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mk\Desktop\"/>
    </mc:Choice>
  </mc:AlternateContent>
  <bookViews>
    <workbookView xWindow="240" yWindow="75" windowWidth="15480" windowHeight="8100" activeTab="5"/>
  </bookViews>
  <sheets>
    <sheet name="المواطبة" sheetId="11" r:id="rId1"/>
    <sheet name="etat" sheetId="12" r:id="rId2"/>
    <sheet name="اس" sheetId="19" r:id="rId3"/>
    <sheet name="الاحـــد" sheetId="13" r:id="rId4"/>
    <sheet name="الاثنين" sheetId="21" r:id="rId5"/>
    <sheet name="الثلاثاء" sheetId="22" r:id="rId6"/>
    <sheet name="الاربعاء" sheetId="23" r:id="rId7"/>
    <sheet name="الخميس" sheetId="24" r:id="rId8"/>
    <sheet name="Feuil1" sheetId="31" r:id="rId9"/>
    <sheet name="Feuil3" sheetId="20" r:id="rId10"/>
    <sheet name="الرجوع" sheetId="25" r:id="rId11"/>
    <sheet name="الشطب" sheetId="28" r:id="rId12"/>
    <sheet name="نعداد" sheetId="29" r:id="rId13"/>
    <sheet name="النقرير" sheetId="30" r:id="rId14"/>
    <sheet name="Feuil2" sheetId="32" r:id="rId15"/>
  </sheets>
  <externalReferences>
    <externalReference r:id="rId16"/>
    <externalReference r:id="rId17"/>
    <externalReference r:id="rId18"/>
    <externalReference r:id="rId19"/>
    <externalReference r:id="rId20"/>
  </externalReferences>
  <definedNames>
    <definedName name="_xlnm._FilterDatabase" localSheetId="1" hidden="1">etat!$B$8:$O$1013</definedName>
    <definedName name="_xlnm._FilterDatabase" localSheetId="3" hidden="1">الاحـــد!$N$121:$AA$121</definedName>
    <definedName name="_xlnm._FilterDatabase" localSheetId="6" hidden="1">الاربعاء!$L$68:$AA$2380</definedName>
    <definedName name="_xlnm._FilterDatabase" localSheetId="5" hidden="1">الثلاثاء!$P$79:$AA$592</definedName>
    <definedName name="_xlnm._FilterDatabase" localSheetId="7" hidden="1">الخميس!$O$56:$Y$753</definedName>
    <definedName name="_xlnm._FilterDatabase" localSheetId="11" hidden="1">الشطب!$K$47:$L$47</definedName>
    <definedName name="a">etat!$P$697</definedName>
    <definedName name="P">etat!$P$697</definedName>
    <definedName name="_xlnm.Print_Area" localSheetId="8">Feuil1!$A$1:$O$101</definedName>
    <definedName name="_xlnm.Print_Area" localSheetId="4">الاثنين!$A$1:$BB$1688</definedName>
    <definedName name="_xlnm.Print_Area" localSheetId="3">الاحـــد!$A$1:$AW$398</definedName>
    <definedName name="_xlnm.Print_Area" localSheetId="0">المواطبة!$A$1:$AB$201</definedName>
  </definedNames>
  <calcPr calcId="152511"/>
</workbook>
</file>

<file path=xl/calcChain.xml><?xml version="1.0" encoding="utf-8"?>
<calcChain xmlns="http://schemas.openxmlformats.org/spreadsheetml/2006/main">
  <c r="C167" i="11" l="1"/>
  <c r="I167" i="11" s="1"/>
  <c r="C162" i="11"/>
  <c r="I162" i="11" s="1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O464" i="12"/>
  <c r="O465" i="12"/>
  <c r="O466" i="12"/>
  <c r="O467" i="12"/>
  <c r="O468" i="12"/>
  <c r="O469" i="12"/>
  <c r="O470" i="12"/>
  <c r="O471" i="12"/>
  <c r="O472" i="12"/>
  <c r="O473" i="12"/>
  <c r="O474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AC124" i="11"/>
  <c r="AC123" i="11"/>
  <c r="O10" i="12"/>
  <c r="O11" i="12"/>
  <c r="E161" i="11" s="1"/>
  <c r="K161" i="11" s="1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75" i="12"/>
  <c r="O458" i="12"/>
  <c r="O459" i="12"/>
  <c r="O460" i="12"/>
  <c r="O461" i="12"/>
  <c r="O462" i="12"/>
  <c r="O463" i="12"/>
  <c r="Q121" i="13"/>
  <c r="R121" i="13"/>
  <c r="S121" i="13"/>
  <c r="Q122" i="13"/>
  <c r="R122" i="13"/>
  <c r="S122" i="13"/>
  <c r="Q123" i="13"/>
  <c r="R123" i="13"/>
  <c r="S123" i="13"/>
  <c r="Q124" i="13"/>
  <c r="R124" i="13"/>
  <c r="S124" i="13"/>
  <c r="Q125" i="13"/>
  <c r="R125" i="13"/>
  <c r="S125" i="13"/>
  <c r="Q126" i="13"/>
  <c r="R126" i="13"/>
  <c r="S126" i="13"/>
  <c r="Q127" i="13"/>
  <c r="R127" i="13"/>
  <c r="S127" i="13"/>
  <c r="Q128" i="13"/>
  <c r="R128" i="13"/>
  <c r="S128" i="13"/>
  <c r="Q129" i="13"/>
  <c r="R129" i="13"/>
  <c r="S129" i="13"/>
  <c r="Q130" i="13"/>
  <c r="R130" i="13"/>
  <c r="S130" i="13"/>
  <c r="Q131" i="13"/>
  <c r="R131" i="13"/>
  <c r="S131" i="13"/>
  <c r="Q132" i="13"/>
  <c r="R132" i="13"/>
  <c r="S132" i="13"/>
  <c r="Q133" i="13"/>
  <c r="R133" i="13"/>
  <c r="S133" i="13"/>
  <c r="Q134" i="13"/>
  <c r="R134" i="13"/>
  <c r="S134" i="13"/>
  <c r="Q135" i="13"/>
  <c r="R135" i="13"/>
  <c r="S135" i="13"/>
  <c r="Q136" i="13"/>
  <c r="R136" i="13"/>
  <c r="S136" i="13"/>
  <c r="Q137" i="13"/>
  <c r="R137" i="13"/>
  <c r="S137" i="13"/>
  <c r="Q138" i="13"/>
  <c r="R138" i="13"/>
  <c r="S138" i="13"/>
  <c r="Q139" i="13"/>
  <c r="R139" i="13"/>
  <c r="S139" i="13"/>
  <c r="Q140" i="13"/>
  <c r="R140" i="13"/>
  <c r="S140" i="13"/>
  <c r="Q141" i="13"/>
  <c r="R141" i="13"/>
  <c r="S141" i="13"/>
  <c r="Q142" i="13"/>
  <c r="R142" i="13"/>
  <c r="S142" i="13"/>
  <c r="Q143" i="13"/>
  <c r="R143" i="13"/>
  <c r="S143" i="13"/>
  <c r="Q144" i="13"/>
  <c r="R144" i="13"/>
  <c r="S144" i="13"/>
  <c r="Q145" i="13"/>
  <c r="R145" i="13"/>
  <c r="S145" i="13"/>
  <c r="Q146" i="13"/>
  <c r="R146" i="13"/>
  <c r="S146" i="13"/>
  <c r="Q147" i="13"/>
  <c r="R147" i="13"/>
  <c r="S147" i="13"/>
  <c r="Q148" i="13"/>
  <c r="R148" i="13"/>
  <c r="S148" i="13"/>
  <c r="Q149" i="13"/>
  <c r="R149" i="13"/>
  <c r="S149" i="13"/>
  <c r="Q150" i="13"/>
  <c r="R150" i="13"/>
  <c r="S150" i="13"/>
  <c r="Q151" i="13"/>
  <c r="R151" i="13"/>
  <c r="S151" i="13"/>
  <c r="Q152" i="13"/>
  <c r="R152" i="13"/>
  <c r="S152" i="13"/>
  <c r="Q153" i="13"/>
  <c r="R153" i="13"/>
  <c r="S153" i="13"/>
  <c r="Q154" i="13"/>
  <c r="R154" i="13"/>
  <c r="S154" i="13"/>
  <c r="Q155" i="13"/>
  <c r="R155" i="13"/>
  <c r="S155" i="13"/>
  <c r="Q156" i="13"/>
  <c r="R156" i="13"/>
  <c r="S156" i="13"/>
  <c r="Q157" i="13"/>
  <c r="R157" i="13"/>
  <c r="S157" i="13"/>
  <c r="Q158" i="13"/>
  <c r="R158" i="13"/>
  <c r="S158" i="13"/>
  <c r="Q159" i="13"/>
  <c r="R159" i="13"/>
  <c r="S159" i="13"/>
  <c r="Q160" i="13"/>
  <c r="R160" i="13"/>
  <c r="S160" i="13"/>
  <c r="Q161" i="13"/>
  <c r="R161" i="13"/>
  <c r="S161" i="13"/>
  <c r="Q162" i="13"/>
  <c r="R162" i="13"/>
  <c r="S162" i="13"/>
  <c r="Q163" i="13"/>
  <c r="R163" i="13"/>
  <c r="S163" i="13"/>
  <c r="Q164" i="13"/>
  <c r="R164" i="13"/>
  <c r="S164" i="13"/>
  <c r="Q165" i="13"/>
  <c r="R165" i="13"/>
  <c r="S165" i="13"/>
  <c r="Q166" i="13"/>
  <c r="R166" i="13"/>
  <c r="S166" i="13"/>
  <c r="Q167" i="13"/>
  <c r="R167" i="13"/>
  <c r="S167" i="13"/>
  <c r="Q168" i="13"/>
  <c r="R168" i="13"/>
  <c r="S168" i="13"/>
  <c r="Q169" i="13"/>
  <c r="R169" i="13"/>
  <c r="S169" i="13"/>
  <c r="Q170" i="13"/>
  <c r="R170" i="13"/>
  <c r="S170" i="13"/>
  <c r="Q171" i="13"/>
  <c r="R171" i="13"/>
  <c r="S171" i="13"/>
  <c r="Q172" i="13"/>
  <c r="R172" i="13"/>
  <c r="S172" i="13"/>
  <c r="Q173" i="13"/>
  <c r="R173" i="13"/>
  <c r="S173" i="13"/>
  <c r="Q174" i="13"/>
  <c r="R174" i="13"/>
  <c r="S174" i="13"/>
  <c r="Q175" i="13"/>
  <c r="R175" i="13"/>
  <c r="S175" i="13"/>
  <c r="Q176" i="13"/>
  <c r="R176" i="13"/>
  <c r="S176" i="13"/>
  <c r="Q177" i="13"/>
  <c r="R177" i="13"/>
  <c r="S177" i="13"/>
  <c r="Q178" i="13"/>
  <c r="R178" i="13"/>
  <c r="S178" i="13"/>
  <c r="Q179" i="13"/>
  <c r="R179" i="13"/>
  <c r="S179" i="13"/>
  <c r="Q180" i="13"/>
  <c r="R180" i="13"/>
  <c r="S180" i="13"/>
  <c r="Q181" i="13"/>
  <c r="R181" i="13"/>
  <c r="S181" i="13"/>
  <c r="Q182" i="13"/>
  <c r="R182" i="13"/>
  <c r="S182" i="13"/>
  <c r="Q183" i="13"/>
  <c r="R183" i="13"/>
  <c r="S183" i="13"/>
  <c r="Q184" i="13"/>
  <c r="R184" i="13"/>
  <c r="S184" i="13"/>
  <c r="Q185" i="13"/>
  <c r="R185" i="13"/>
  <c r="S185" i="13"/>
  <c r="Q186" i="13"/>
  <c r="R186" i="13"/>
  <c r="S186" i="13"/>
  <c r="Q187" i="13"/>
  <c r="R187" i="13"/>
  <c r="S187" i="13"/>
  <c r="Q188" i="13"/>
  <c r="R188" i="13"/>
  <c r="S188" i="13"/>
  <c r="Q189" i="13"/>
  <c r="R189" i="13"/>
  <c r="S189" i="13"/>
  <c r="Q190" i="13"/>
  <c r="R190" i="13"/>
  <c r="S190" i="13"/>
  <c r="Q191" i="13"/>
  <c r="R191" i="13"/>
  <c r="S191" i="13"/>
  <c r="Q192" i="13"/>
  <c r="R192" i="13"/>
  <c r="S192" i="13"/>
  <c r="Q193" i="13"/>
  <c r="R193" i="13"/>
  <c r="S193" i="13"/>
  <c r="Q194" i="13"/>
  <c r="R194" i="13"/>
  <c r="S194" i="13"/>
  <c r="Q195" i="13"/>
  <c r="R195" i="13"/>
  <c r="S195" i="13"/>
  <c r="Q196" i="13"/>
  <c r="R196" i="13"/>
  <c r="S196" i="13"/>
  <c r="Q197" i="13"/>
  <c r="R197" i="13"/>
  <c r="S197" i="13"/>
  <c r="Q198" i="13"/>
  <c r="R198" i="13"/>
  <c r="S198" i="13"/>
  <c r="Q199" i="13"/>
  <c r="R199" i="13"/>
  <c r="S199" i="13"/>
  <c r="Q200" i="13"/>
  <c r="R200" i="13"/>
  <c r="S200" i="13"/>
  <c r="Q201" i="13"/>
  <c r="R201" i="13"/>
  <c r="S201" i="13"/>
  <c r="Q202" i="13"/>
  <c r="R202" i="13"/>
  <c r="S202" i="13"/>
  <c r="Q203" i="13"/>
  <c r="R203" i="13"/>
  <c r="S203" i="13"/>
  <c r="Q204" i="13"/>
  <c r="R204" i="13"/>
  <c r="S204" i="13"/>
  <c r="Q205" i="13"/>
  <c r="R205" i="13"/>
  <c r="S205" i="13"/>
  <c r="Q206" i="13"/>
  <c r="R206" i="13"/>
  <c r="S206" i="13"/>
  <c r="Q207" i="13"/>
  <c r="R207" i="13"/>
  <c r="S207" i="13"/>
  <c r="Q208" i="13"/>
  <c r="R208" i="13"/>
  <c r="S208" i="13"/>
  <c r="Q209" i="13"/>
  <c r="R209" i="13"/>
  <c r="S209" i="13"/>
  <c r="Q210" i="13"/>
  <c r="R210" i="13"/>
  <c r="S210" i="13"/>
  <c r="Q211" i="13"/>
  <c r="R211" i="13"/>
  <c r="S211" i="13"/>
  <c r="Q212" i="13"/>
  <c r="R212" i="13"/>
  <c r="S212" i="13"/>
  <c r="Q213" i="13"/>
  <c r="R213" i="13"/>
  <c r="S213" i="13"/>
  <c r="Q214" i="13"/>
  <c r="R214" i="13"/>
  <c r="S214" i="13"/>
  <c r="Q215" i="13"/>
  <c r="R215" i="13"/>
  <c r="S215" i="13"/>
  <c r="Q216" i="13"/>
  <c r="R216" i="13"/>
  <c r="S216" i="13"/>
  <c r="Q217" i="13"/>
  <c r="R217" i="13"/>
  <c r="S217" i="13"/>
  <c r="Q218" i="13"/>
  <c r="R218" i="13"/>
  <c r="S218" i="13"/>
  <c r="Q219" i="13"/>
  <c r="R219" i="13"/>
  <c r="S219" i="13"/>
  <c r="Q220" i="13"/>
  <c r="R220" i="13"/>
  <c r="S220" i="13"/>
  <c r="Q221" i="13"/>
  <c r="R221" i="13"/>
  <c r="S221" i="13"/>
  <c r="Q222" i="13"/>
  <c r="R222" i="13"/>
  <c r="S222" i="13"/>
  <c r="Q223" i="13"/>
  <c r="R223" i="13"/>
  <c r="S223" i="13"/>
  <c r="Q224" i="13"/>
  <c r="R224" i="13"/>
  <c r="S224" i="13"/>
  <c r="Q225" i="13"/>
  <c r="R225" i="13"/>
  <c r="S225" i="13"/>
  <c r="Q226" i="13"/>
  <c r="R226" i="13"/>
  <c r="S226" i="13"/>
  <c r="Q227" i="13"/>
  <c r="R227" i="13"/>
  <c r="S227" i="13"/>
  <c r="Q228" i="13"/>
  <c r="R228" i="13"/>
  <c r="S228" i="13"/>
  <c r="Q229" i="13"/>
  <c r="R229" i="13"/>
  <c r="S229" i="13"/>
  <c r="Q230" i="13"/>
  <c r="R230" i="13"/>
  <c r="S230" i="13"/>
  <c r="Q231" i="13"/>
  <c r="R231" i="13"/>
  <c r="S231" i="13"/>
  <c r="Q232" i="13"/>
  <c r="R232" i="13"/>
  <c r="S232" i="13"/>
  <c r="Q233" i="13"/>
  <c r="R233" i="13"/>
  <c r="S233" i="13"/>
  <c r="Q234" i="13"/>
  <c r="R234" i="13"/>
  <c r="S234" i="13"/>
  <c r="Q235" i="13"/>
  <c r="R235" i="13"/>
  <c r="S235" i="13"/>
  <c r="Q236" i="13"/>
  <c r="R236" i="13"/>
  <c r="S236" i="13"/>
  <c r="Q237" i="13"/>
  <c r="R237" i="13"/>
  <c r="S237" i="13"/>
  <c r="Q238" i="13"/>
  <c r="R238" i="13"/>
  <c r="S238" i="13"/>
  <c r="Q239" i="13"/>
  <c r="R239" i="13"/>
  <c r="S239" i="13"/>
  <c r="Q240" i="13"/>
  <c r="R240" i="13"/>
  <c r="S240" i="13"/>
  <c r="Q241" i="13"/>
  <c r="R241" i="13"/>
  <c r="S241" i="13"/>
  <c r="Q242" i="13"/>
  <c r="R242" i="13"/>
  <c r="S242" i="13"/>
  <c r="Q243" i="13"/>
  <c r="R243" i="13"/>
  <c r="S243" i="13"/>
  <c r="Q244" i="13"/>
  <c r="R244" i="13"/>
  <c r="S244" i="13"/>
  <c r="Q245" i="13"/>
  <c r="R245" i="13"/>
  <c r="S245" i="13"/>
  <c r="Q246" i="13"/>
  <c r="R246" i="13"/>
  <c r="S246" i="13"/>
  <c r="Q247" i="13"/>
  <c r="R247" i="13"/>
  <c r="S247" i="13"/>
  <c r="Q248" i="13"/>
  <c r="R248" i="13"/>
  <c r="S248" i="13"/>
  <c r="Q249" i="13"/>
  <c r="R249" i="13"/>
  <c r="S249" i="13"/>
  <c r="Q250" i="13"/>
  <c r="R250" i="13"/>
  <c r="S250" i="13"/>
  <c r="Q251" i="13"/>
  <c r="R251" i="13"/>
  <c r="S251" i="13"/>
  <c r="Q252" i="13"/>
  <c r="R252" i="13"/>
  <c r="S252" i="13"/>
  <c r="Q253" i="13"/>
  <c r="R253" i="13"/>
  <c r="S253" i="13"/>
  <c r="Q254" i="13"/>
  <c r="R254" i="13"/>
  <c r="S254" i="13"/>
  <c r="Q255" i="13"/>
  <c r="R255" i="13"/>
  <c r="S255" i="13"/>
  <c r="Q256" i="13"/>
  <c r="R256" i="13"/>
  <c r="S256" i="13"/>
  <c r="Q257" i="13"/>
  <c r="R257" i="13"/>
  <c r="S257" i="13"/>
  <c r="Q258" i="13"/>
  <c r="R258" i="13"/>
  <c r="S258" i="13"/>
  <c r="Q259" i="13"/>
  <c r="R259" i="13"/>
  <c r="S259" i="13"/>
  <c r="Q260" i="13"/>
  <c r="R260" i="13"/>
  <c r="S260" i="13"/>
  <c r="Q261" i="13"/>
  <c r="R261" i="13"/>
  <c r="S261" i="13"/>
  <c r="Q262" i="13"/>
  <c r="R262" i="13"/>
  <c r="S262" i="13"/>
  <c r="Q263" i="13"/>
  <c r="R263" i="13"/>
  <c r="S263" i="13"/>
  <c r="Q264" i="13"/>
  <c r="R264" i="13"/>
  <c r="S264" i="13"/>
  <c r="Q265" i="13"/>
  <c r="R265" i="13"/>
  <c r="S265" i="13"/>
  <c r="Q266" i="13"/>
  <c r="R266" i="13"/>
  <c r="S266" i="13"/>
  <c r="Q267" i="13"/>
  <c r="R267" i="13"/>
  <c r="S267" i="13"/>
  <c r="Q268" i="13"/>
  <c r="R268" i="13"/>
  <c r="S268" i="13"/>
  <c r="Q269" i="13"/>
  <c r="R269" i="13"/>
  <c r="S269" i="13"/>
  <c r="Q270" i="13"/>
  <c r="R270" i="13"/>
  <c r="S270" i="13"/>
  <c r="Q271" i="13"/>
  <c r="R271" i="13"/>
  <c r="S271" i="13"/>
  <c r="Q272" i="13"/>
  <c r="R272" i="13"/>
  <c r="S272" i="13"/>
  <c r="Q273" i="13"/>
  <c r="R273" i="13"/>
  <c r="S273" i="13"/>
  <c r="Q274" i="13"/>
  <c r="R274" i="13"/>
  <c r="S274" i="13"/>
  <c r="Q275" i="13"/>
  <c r="R275" i="13"/>
  <c r="S275" i="13"/>
  <c r="Q276" i="13"/>
  <c r="R276" i="13"/>
  <c r="S276" i="13"/>
  <c r="Q277" i="13"/>
  <c r="R277" i="13"/>
  <c r="S277" i="13"/>
  <c r="Q278" i="13"/>
  <c r="R278" i="13"/>
  <c r="S278" i="13"/>
  <c r="Q279" i="13"/>
  <c r="R279" i="13"/>
  <c r="S279" i="13"/>
  <c r="Q280" i="13"/>
  <c r="R280" i="13"/>
  <c r="S280" i="13"/>
  <c r="Q281" i="13"/>
  <c r="R281" i="13"/>
  <c r="S281" i="13"/>
  <c r="Q282" i="13"/>
  <c r="R282" i="13"/>
  <c r="S282" i="13"/>
  <c r="Q283" i="13"/>
  <c r="R283" i="13"/>
  <c r="S283" i="13"/>
  <c r="Q284" i="13"/>
  <c r="R284" i="13"/>
  <c r="S284" i="13"/>
  <c r="Q285" i="13"/>
  <c r="R285" i="13"/>
  <c r="S285" i="13"/>
  <c r="Q286" i="13"/>
  <c r="R286" i="13"/>
  <c r="S286" i="13"/>
  <c r="Q287" i="13"/>
  <c r="R287" i="13"/>
  <c r="S287" i="13"/>
  <c r="Q288" i="13"/>
  <c r="R288" i="13"/>
  <c r="S288" i="13"/>
  <c r="Q289" i="13"/>
  <c r="R289" i="13"/>
  <c r="S289" i="13"/>
  <c r="Q290" i="13"/>
  <c r="R290" i="13"/>
  <c r="S290" i="13"/>
  <c r="Q291" i="13"/>
  <c r="R291" i="13"/>
  <c r="S291" i="13"/>
  <c r="Q292" i="13"/>
  <c r="R292" i="13"/>
  <c r="S292" i="13"/>
  <c r="Q293" i="13"/>
  <c r="R293" i="13"/>
  <c r="S293" i="13"/>
  <c r="Q294" i="13"/>
  <c r="R294" i="13"/>
  <c r="S294" i="13"/>
  <c r="Q295" i="13"/>
  <c r="R295" i="13"/>
  <c r="S295" i="13"/>
  <c r="Q296" i="13"/>
  <c r="R296" i="13"/>
  <c r="S296" i="13"/>
  <c r="Q297" i="13"/>
  <c r="R297" i="13"/>
  <c r="S297" i="13"/>
  <c r="Q298" i="13"/>
  <c r="R298" i="13"/>
  <c r="S298" i="13"/>
  <c r="Q299" i="13"/>
  <c r="R299" i="13"/>
  <c r="S299" i="13"/>
  <c r="Q300" i="13"/>
  <c r="R300" i="13"/>
  <c r="S300" i="13"/>
  <c r="Q301" i="13"/>
  <c r="R301" i="13"/>
  <c r="S301" i="13"/>
  <c r="Q302" i="13"/>
  <c r="R302" i="13"/>
  <c r="S302" i="13"/>
  <c r="Q303" i="13"/>
  <c r="R303" i="13"/>
  <c r="S303" i="13"/>
  <c r="Q304" i="13"/>
  <c r="R304" i="13"/>
  <c r="S304" i="13"/>
  <c r="Q305" i="13"/>
  <c r="R305" i="13"/>
  <c r="S305" i="13"/>
  <c r="Q306" i="13"/>
  <c r="R306" i="13"/>
  <c r="S306" i="13"/>
  <c r="Q307" i="13"/>
  <c r="R307" i="13"/>
  <c r="S307" i="13"/>
  <c r="Q308" i="13"/>
  <c r="R308" i="13"/>
  <c r="S308" i="13"/>
  <c r="Q309" i="13"/>
  <c r="R309" i="13"/>
  <c r="S309" i="13"/>
  <c r="Q310" i="13"/>
  <c r="R310" i="13"/>
  <c r="S310" i="13"/>
  <c r="Q311" i="13"/>
  <c r="R311" i="13"/>
  <c r="S311" i="13"/>
  <c r="Q312" i="13"/>
  <c r="R312" i="13"/>
  <c r="S312" i="13"/>
  <c r="Q313" i="13"/>
  <c r="R313" i="13"/>
  <c r="S313" i="13"/>
  <c r="Q314" i="13"/>
  <c r="R314" i="13"/>
  <c r="S314" i="13"/>
  <c r="Q315" i="13"/>
  <c r="R315" i="13"/>
  <c r="S315" i="13"/>
  <c r="Q316" i="13"/>
  <c r="R316" i="13"/>
  <c r="S316" i="13"/>
  <c r="Q317" i="13"/>
  <c r="R317" i="13"/>
  <c r="S317" i="13"/>
  <c r="Q318" i="13"/>
  <c r="R318" i="13"/>
  <c r="S318" i="13"/>
  <c r="Q319" i="13"/>
  <c r="R319" i="13"/>
  <c r="S319" i="13"/>
  <c r="Q320" i="13"/>
  <c r="R320" i="13"/>
  <c r="S320" i="13"/>
  <c r="Q321" i="13"/>
  <c r="R321" i="13"/>
  <c r="S321" i="13"/>
  <c r="Q322" i="13"/>
  <c r="R322" i="13"/>
  <c r="S322" i="13"/>
  <c r="Q323" i="13"/>
  <c r="R323" i="13"/>
  <c r="S323" i="13"/>
  <c r="Q324" i="13"/>
  <c r="R324" i="13"/>
  <c r="S324" i="13"/>
  <c r="Q325" i="13"/>
  <c r="R325" i="13"/>
  <c r="S325" i="13"/>
  <c r="Q326" i="13"/>
  <c r="R326" i="13"/>
  <c r="S326" i="13"/>
  <c r="Q327" i="13"/>
  <c r="R327" i="13"/>
  <c r="S327" i="13"/>
  <c r="Q328" i="13"/>
  <c r="R328" i="13"/>
  <c r="S328" i="13"/>
  <c r="Q329" i="13"/>
  <c r="R329" i="13"/>
  <c r="S329" i="13"/>
  <c r="Q330" i="13"/>
  <c r="R330" i="13"/>
  <c r="S330" i="13"/>
  <c r="Q331" i="13"/>
  <c r="R331" i="13"/>
  <c r="S331" i="13"/>
  <c r="Q332" i="13"/>
  <c r="R332" i="13"/>
  <c r="S332" i="13"/>
  <c r="Q333" i="13"/>
  <c r="R333" i="13"/>
  <c r="S333" i="13"/>
  <c r="Q334" i="13"/>
  <c r="R334" i="13"/>
  <c r="S334" i="13"/>
  <c r="Q335" i="13"/>
  <c r="R335" i="13"/>
  <c r="S335" i="13"/>
  <c r="Q336" i="13"/>
  <c r="R336" i="13"/>
  <c r="S336" i="13"/>
  <c r="Q337" i="13"/>
  <c r="R337" i="13"/>
  <c r="S337" i="13"/>
  <c r="Q338" i="13"/>
  <c r="R338" i="13"/>
  <c r="S338" i="13"/>
  <c r="Q339" i="13"/>
  <c r="R339" i="13"/>
  <c r="S339" i="13"/>
  <c r="Q340" i="13"/>
  <c r="R340" i="13"/>
  <c r="S340" i="13"/>
  <c r="Q341" i="13"/>
  <c r="R341" i="13"/>
  <c r="S341" i="13"/>
  <c r="Q342" i="13"/>
  <c r="R342" i="13"/>
  <c r="S342" i="13"/>
  <c r="Q343" i="13"/>
  <c r="R343" i="13"/>
  <c r="S343" i="13"/>
  <c r="Q344" i="13"/>
  <c r="R344" i="13"/>
  <c r="S344" i="13"/>
  <c r="Q345" i="13"/>
  <c r="R345" i="13"/>
  <c r="S345" i="13"/>
  <c r="Q346" i="13"/>
  <c r="R346" i="13"/>
  <c r="S346" i="13"/>
  <c r="Q347" i="13"/>
  <c r="R347" i="13"/>
  <c r="S347" i="13"/>
  <c r="Q348" i="13"/>
  <c r="R348" i="13"/>
  <c r="S348" i="13"/>
  <c r="Q349" i="13"/>
  <c r="R349" i="13"/>
  <c r="S349" i="13"/>
  <c r="Q350" i="13"/>
  <c r="R350" i="13"/>
  <c r="S350" i="13"/>
  <c r="Q351" i="13"/>
  <c r="R351" i="13"/>
  <c r="S351" i="13"/>
  <c r="Q352" i="13"/>
  <c r="R352" i="13"/>
  <c r="S352" i="13"/>
  <c r="Q353" i="13"/>
  <c r="R353" i="13"/>
  <c r="S353" i="13"/>
  <c r="Q354" i="13"/>
  <c r="R354" i="13"/>
  <c r="S354" i="13"/>
  <c r="Q355" i="13"/>
  <c r="R355" i="13"/>
  <c r="S355" i="13"/>
  <c r="Q356" i="13"/>
  <c r="R356" i="13"/>
  <c r="S356" i="13"/>
  <c r="Q357" i="13"/>
  <c r="R357" i="13"/>
  <c r="S357" i="13"/>
  <c r="P358" i="13"/>
  <c r="Q358" i="13"/>
  <c r="R358" i="13"/>
  <c r="S358" i="13"/>
  <c r="P359" i="13"/>
  <c r="Q359" i="13"/>
  <c r="R359" i="13"/>
  <c r="S359" i="13"/>
  <c r="P360" i="13"/>
  <c r="Q360" i="13"/>
  <c r="R360" i="13"/>
  <c r="S360" i="13"/>
  <c r="P361" i="13"/>
  <c r="Q361" i="13"/>
  <c r="R361" i="13"/>
  <c r="S361" i="13"/>
  <c r="P362" i="13"/>
  <c r="Q362" i="13"/>
  <c r="R362" i="13"/>
  <c r="S362" i="13"/>
  <c r="P363" i="13"/>
  <c r="Q363" i="13"/>
  <c r="R363" i="13"/>
  <c r="S363" i="13"/>
  <c r="P364" i="13"/>
  <c r="Q364" i="13"/>
  <c r="R364" i="13"/>
  <c r="S364" i="13"/>
  <c r="P365" i="13"/>
  <c r="Q365" i="13"/>
  <c r="R365" i="13"/>
  <c r="S365" i="13"/>
  <c r="P366" i="13"/>
  <c r="Q366" i="13"/>
  <c r="R366" i="13"/>
  <c r="S366" i="13"/>
  <c r="P367" i="13"/>
  <c r="Q367" i="13"/>
  <c r="R367" i="13"/>
  <c r="S367" i="13"/>
  <c r="P368" i="13"/>
  <c r="Q368" i="13"/>
  <c r="R368" i="13"/>
  <c r="S368" i="13"/>
  <c r="P369" i="13"/>
  <c r="Q369" i="13"/>
  <c r="R369" i="13"/>
  <c r="S369" i="13"/>
  <c r="P370" i="13"/>
  <c r="Q370" i="13"/>
  <c r="R370" i="13"/>
  <c r="S370" i="13"/>
  <c r="P371" i="13"/>
  <c r="Q371" i="13"/>
  <c r="R371" i="13"/>
  <c r="S371" i="13"/>
  <c r="P372" i="13"/>
  <c r="Q372" i="13"/>
  <c r="R372" i="13"/>
  <c r="S372" i="13"/>
  <c r="P373" i="13"/>
  <c r="Q373" i="13"/>
  <c r="R373" i="13"/>
  <c r="S373" i="13"/>
  <c r="P374" i="13"/>
  <c r="Q374" i="13"/>
  <c r="R374" i="13"/>
  <c r="S374" i="13"/>
  <c r="P375" i="13"/>
  <c r="Q375" i="13"/>
  <c r="R375" i="13"/>
  <c r="S375" i="13"/>
  <c r="P376" i="13"/>
  <c r="Q376" i="13"/>
  <c r="R376" i="13"/>
  <c r="S376" i="13"/>
  <c r="P377" i="13"/>
  <c r="Q377" i="13"/>
  <c r="R377" i="13"/>
  <c r="S377" i="13"/>
  <c r="P378" i="13"/>
  <c r="Q378" i="13"/>
  <c r="R378" i="13"/>
  <c r="S378" i="13"/>
  <c r="P379" i="13"/>
  <c r="Q379" i="13"/>
  <c r="R379" i="13"/>
  <c r="S379" i="13"/>
  <c r="P380" i="13"/>
  <c r="Q380" i="13"/>
  <c r="R380" i="13"/>
  <c r="S380" i="13"/>
  <c r="P381" i="13"/>
  <c r="Q381" i="13"/>
  <c r="R381" i="13"/>
  <c r="S381" i="13"/>
  <c r="P382" i="13"/>
  <c r="Q382" i="13"/>
  <c r="R382" i="13"/>
  <c r="S382" i="13"/>
  <c r="P383" i="13"/>
  <c r="Q383" i="13"/>
  <c r="R383" i="13"/>
  <c r="S383" i="13"/>
  <c r="P384" i="13"/>
  <c r="Q384" i="13"/>
  <c r="R384" i="13"/>
  <c r="S384" i="13"/>
  <c r="P385" i="13"/>
  <c r="Q385" i="13"/>
  <c r="R385" i="13"/>
  <c r="S385" i="13"/>
  <c r="P386" i="13"/>
  <c r="Q386" i="13"/>
  <c r="R386" i="13"/>
  <c r="S386" i="13"/>
  <c r="P387" i="13"/>
  <c r="Q387" i="13"/>
  <c r="R387" i="13"/>
  <c r="S387" i="13"/>
  <c r="P388" i="13"/>
  <c r="Q388" i="13"/>
  <c r="R388" i="13"/>
  <c r="S388" i="13"/>
  <c r="P389" i="13"/>
  <c r="Q389" i="13"/>
  <c r="R389" i="13"/>
  <c r="S389" i="13"/>
  <c r="P390" i="13"/>
  <c r="Q390" i="13"/>
  <c r="R390" i="13"/>
  <c r="S390" i="13"/>
  <c r="P391" i="13"/>
  <c r="Q391" i="13"/>
  <c r="R391" i="13"/>
  <c r="S391" i="13"/>
  <c r="P392" i="13"/>
  <c r="Q392" i="13"/>
  <c r="R392" i="13"/>
  <c r="S392" i="13"/>
  <c r="P393" i="13"/>
  <c r="Q393" i="13"/>
  <c r="R393" i="13"/>
  <c r="S393" i="13"/>
  <c r="P394" i="13"/>
  <c r="Q394" i="13"/>
  <c r="R394" i="13"/>
  <c r="S394" i="13"/>
  <c r="P395" i="13"/>
  <c r="Q395" i="13"/>
  <c r="R395" i="13"/>
  <c r="S395" i="13"/>
  <c r="P396" i="13"/>
  <c r="Q396" i="13"/>
  <c r="R396" i="13"/>
  <c r="S396" i="13"/>
  <c r="P397" i="13"/>
  <c r="Q397" i="13"/>
  <c r="R397" i="13"/>
  <c r="S397" i="13"/>
  <c r="P398" i="13"/>
  <c r="Q398" i="13"/>
  <c r="R398" i="13"/>
  <c r="S398" i="13"/>
  <c r="P399" i="13"/>
  <c r="Q399" i="13"/>
  <c r="R399" i="13"/>
  <c r="S399" i="13"/>
  <c r="P400" i="13"/>
  <c r="Q400" i="13"/>
  <c r="R400" i="13"/>
  <c r="S400" i="13"/>
  <c r="P401" i="13"/>
  <c r="Q401" i="13"/>
  <c r="R401" i="13"/>
  <c r="S401" i="13"/>
  <c r="P402" i="13"/>
  <c r="Q402" i="13"/>
  <c r="R402" i="13"/>
  <c r="S402" i="13"/>
  <c r="P403" i="13"/>
  <c r="Q403" i="13"/>
  <c r="R403" i="13"/>
  <c r="S403" i="13"/>
  <c r="P404" i="13"/>
  <c r="Q404" i="13"/>
  <c r="R404" i="13"/>
  <c r="S404" i="13"/>
  <c r="P405" i="13"/>
  <c r="Q405" i="13"/>
  <c r="R405" i="13"/>
  <c r="S405" i="13"/>
  <c r="P406" i="13"/>
  <c r="Q406" i="13"/>
  <c r="R406" i="13"/>
  <c r="S406" i="13"/>
  <c r="P407" i="13"/>
  <c r="Q407" i="13"/>
  <c r="R407" i="13"/>
  <c r="S407" i="13"/>
  <c r="P408" i="13"/>
  <c r="Q408" i="13"/>
  <c r="R408" i="13"/>
  <c r="S408" i="13"/>
  <c r="P409" i="13"/>
  <c r="Q409" i="13"/>
  <c r="R409" i="13"/>
  <c r="S409" i="13"/>
  <c r="P410" i="13"/>
  <c r="Q410" i="13"/>
  <c r="R410" i="13"/>
  <c r="S410" i="13"/>
  <c r="P411" i="13"/>
  <c r="Q411" i="13"/>
  <c r="R411" i="13"/>
  <c r="S411" i="13"/>
  <c r="P412" i="13"/>
  <c r="Q412" i="13"/>
  <c r="R412" i="13"/>
  <c r="S412" i="13"/>
  <c r="P413" i="13"/>
  <c r="Q413" i="13"/>
  <c r="R413" i="13"/>
  <c r="S413" i="13"/>
  <c r="P414" i="13"/>
  <c r="Q414" i="13"/>
  <c r="R414" i="13"/>
  <c r="S414" i="13"/>
  <c r="P415" i="13"/>
  <c r="Q415" i="13"/>
  <c r="R415" i="13"/>
  <c r="S415" i="13"/>
  <c r="P416" i="13"/>
  <c r="Q416" i="13"/>
  <c r="R416" i="13"/>
  <c r="S416" i="13"/>
  <c r="P417" i="13"/>
  <c r="Q417" i="13"/>
  <c r="R417" i="13"/>
  <c r="S417" i="13"/>
  <c r="P418" i="13"/>
  <c r="Q418" i="13"/>
  <c r="R418" i="13"/>
  <c r="S418" i="13"/>
  <c r="P419" i="13"/>
  <c r="Q419" i="13"/>
  <c r="R419" i="13"/>
  <c r="S419" i="13"/>
  <c r="P420" i="13"/>
  <c r="Q420" i="13"/>
  <c r="R420" i="13"/>
  <c r="S420" i="13"/>
  <c r="P421" i="13"/>
  <c r="Q421" i="13"/>
  <c r="R421" i="13"/>
  <c r="S421" i="13"/>
  <c r="P422" i="13"/>
  <c r="Q422" i="13"/>
  <c r="R422" i="13"/>
  <c r="S422" i="13"/>
  <c r="P423" i="13"/>
  <c r="Q423" i="13"/>
  <c r="R423" i="13"/>
  <c r="S423" i="13"/>
  <c r="P424" i="13"/>
  <c r="Q424" i="13"/>
  <c r="R424" i="13"/>
  <c r="S424" i="13"/>
  <c r="P425" i="13"/>
  <c r="Q425" i="13"/>
  <c r="R425" i="13"/>
  <c r="S425" i="13"/>
  <c r="P426" i="13"/>
  <c r="Q426" i="13"/>
  <c r="R426" i="13"/>
  <c r="S426" i="13"/>
  <c r="P427" i="13"/>
  <c r="Q427" i="13"/>
  <c r="R427" i="13"/>
  <c r="S427" i="13"/>
  <c r="P428" i="13"/>
  <c r="Q428" i="13"/>
  <c r="R428" i="13"/>
  <c r="S428" i="13"/>
  <c r="P429" i="13"/>
  <c r="Q429" i="13"/>
  <c r="R429" i="13"/>
  <c r="S429" i="13"/>
  <c r="P430" i="13"/>
  <c r="Q430" i="13"/>
  <c r="R430" i="13"/>
  <c r="S430" i="13"/>
  <c r="P431" i="13"/>
  <c r="Q431" i="13"/>
  <c r="R431" i="13"/>
  <c r="S431" i="13"/>
  <c r="P432" i="13"/>
  <c r="Q432" i="13"/>
  <c r="R432" i="13"/>
  <c r="S432" i="13"/>
  <c r="P433" i="13"/>
  <c r="Q433" i="13"/>
  <c r="R433" i="13"/>
  <c r="S433" i="13"/>
  <c r="P434" i="13"/>
  <c r="Q434" i="13"/>
  <c r="R434" i="13"/>
  <c r="S434" i="13"/>
  <c r="P435" i="13"/>
  <c r="Q435" i="13"/>
  <c r="R435" i="13"/>
  <c r="S435" i="13"/>
  <c r="P436" i="13"/>
  <c r="Q436" i="13"/>
  <c r="R436" i="13"/>
  <c r="S436" i="13"/>
  <c r="P437" i="13"/>
  <c r="Q437" i="13"/>
  <c r="R437" i="13"/>
  <c r="S437" i="13"/>
  <c r="P438" i="13"/>
  <c r="Q438" i="13"/>
  <c r="R438" i="13"/>
  <c r="S438" i="13"/>
  <c r="P439" i="13"/>
  <c r="Q439" i="13"/>
  <c r="R439" i="13"/>
  <c r="S439" i="13"/>
  <c r="P440" i="13"/>
  <c r="Q440" i="13"/>
  <c r="R440" i="13"/>
  <c r="S440" i="13"/>
  <c r="P441" i="13"/>
  <c r="Q441" i="13"/>
  <c r="R441" i="13"/>
  <c r="S441" i="13"/>
  <c r="P442" i="13"/>
  <c r="Q442" i="13"/>
  <c r="R442" i="13"/>
  <c r="S442" i="13"/>
  <c r="P443" i="13"/>
  <c r="Q443" i="13"/>
  <c r="R443" i="13"/>
  <c r="S443" i="13"/>
  <c r="P444" i="13"/>
  <c r="Q444" i="13"/>
  <c r="R444" i="13"/>
  <c r="S444" i="13"/>
  <c r="P445" i="13"/>
  <c r="Q445" i="13"/>
  <c r="R445" i="13"/>
  <c r="S445" i="13"/>
  <c r="P446" i="13"/>
  <c r="Q446" i="13"/>
  <c r="R446" i="13"/>
  <c r="S446" i="13"/>
  <c r="P447" i="13"/>
  <c r="Q447" i="13"/>
  <c r="R447" i="13"/>
  <c r="S447" i="13"/>
  <c r="P448" i="13"/>
  <c r="Q448" i="13"/>
  <c r="R448" i="13"/>
  <c r="S448" i="13"/>
  <c r="P449" i="13"/>
  <c r="Q449" i="13"/>
  <c r="R449" i="13"/>
  <c r="S449" i="13"/>
  <c r="P450" i="13"/>
  <c r="Q450" i="13"/>
  <c r="R450" i="13"/>
  <c r="S450" i="13"/>
  <c r="P451" i="13"/>
  <c r="Q451" i="13"/>
  <c r="R451" i="13"/>
  <c r="S451" i="13"/>
  <c r="P452" i="13"/>
  <c r="Q452" i="13"/>
  <c r="R452" i="13"/>
  <c r="S452" i="13"/>
  <c r="P453" i="13"/>
  <c r="Q453" i="13"/>
  <c r="R453" i="13"/>
  <c r="S453" i="13"/>
  <c r="P454" i="13"/>
  <c r="Q454" i="13"/>
  <c r="R454" i="13"/>
  <c r="S454" i="13"/>
  <c r="P455" i="13"/>
  <c r="Q455" i="13"/>
  <c r="R455" i="13"/>
  <c r="S455" i="13"/>
  <c r="P456" i="13"/>
  <c r="Q456" i="13"/>
  <c r="R456" i="13"/>
  <c r="S456" i="13"/>
  <c r="P457" i="13"/>
  <c r="Q457" i="13"/>
  <c r="R457" i="13"/>
  <c r="S457" i="13"/>
  <c r="P458" i="13"/>
  <c r="Q458" i="13"/>
  <c r="R458" i="13"/>
  <c r="S458" i="13"/>
  <c r="P459" i="13"/>
  <c r="Q459" i="13"/>
  <c r="R459" i="13"/>
  <c r="S459" i="13"/>
  <c r="P460" i="13"/>
  <c r="Q460" i="13"/>
  <c r="R460" i="13"/>
  <c r="S460" i="13"/>
  <c r="P461" i="13"/>
  <c r="Q461" i="13"/>
  <c r="R461" i="13"/>
  <c r="S461" i="13"/>
  <c r="P462" i="13"/>
  <c r="Q462" i="13"/>
  <c r="R462" i="13"/>
  <c r="S462" i="13"/>
  <c r="P463" i="13"/>
  <c r="Q463" i="13"/>
  <c r="R463" i="13"/>
  <c r="S463" i="13"/>
  <c r="P464" i="13"/>
  <c r="Q464" i="13"/>
  <c r="R464" i="13"/>
  <c r="S464" i="13"/>
  <c r="P465" i="13"/>
  <c r="Q465" i="13"/>
  <c r="R465" i="13"/>
  <c r="S465" i="13"/>
  <c r="P466" i="13"/>
  <c r="Q466" i="13"/>
  <c r="R466" i="13"/>
  <c r="S466" i="13"/>
  <c r="P467" i="13"/>
  <c r="Q467" i="13"/>
  <c r="R467" i="13"/>
  <c r="S467" i="13"/>
  <c r="P468" i="13"/>
  <c r="Q468" i="13"/>
  <c r="R468" i="13"/>
  <c r="S468" i="13"/>
  <c r="P469" i="13"/>
  <c r="Q469" i="13"/>
  <c r="R469" i="13"/>
  <c r="S469" i="13"/>
  <c r="P470" i="13"/>
  <c r="Q470" i="13"/>
  <c r="R470" i="13"/>
  <c r="S470" i="13"/>
  <c r="P471" i="13"/>
  <c r="Q471" i="13"/>
  <c r="R471" i="13"/>
  <c r="S471" i="13"/>
  <c r="P472" i="13"/>
  <c r="Q472" i="13"/>
  <c r="R472" i="13"/>
  <c r="S472" i="13"/>
  <c r="P473" i="13"/>
  <c r="Q473" i="13"/>
  <c r="R473" i="13"/>
  <c r="S473" i="13"/>
  <c r="P474" i="13"/>
  <c r="Q474" i="13"/>
  <c r="R474" i="13"/>
  <c r="S474" i="13"/>
  <c r="P475" i="13"/>
  <c r="Q475" i="13"/>
  <c r="R475" i="13"/>
  <c r="S475" i="13"/>
  <c r="P476" i="13"/>
  <c r="Q476" i="13"/>
  <c r="R476" i="13"/>
  <c r="S476" i="13"/>
  <c r="P477" i="13"/>
  <c r="Q477" i="13"/>
  <c r="R477" i="13"/>
  <c r="S477" i="13"/>
  <c r="P478" i="13"/>
  <c r="Q478" i="13"/>
  <c r="R478" i="13"/>
  <c r="S478" i="13"/>
  <c r="P479" i="13"/>
  <c r="Q479" i="13"/>
  <c r="R479" i="13"/>
  <c r="S479" i="13"/>
  <c r="P480" i="13"/>
  <c r="Q480" i="13"/>
  <c r="R480" i="13"/>
  <c r="S480" i="13"/>
  <c r="P481" i="13"/>
  <c r="Q481" i="13"/>
  <c r="R481" i="13"/>
  <c r="S481" i="13"/>
  <c r="P482" i="13"/>
  <c r="Q482" i="13"/>
  <c r="R482" i="13"/>
  <c r="S482" i="13"/>
  <c r="P483" i="13"/>
  <c r="Q483" i="13"/>
  <c r="R483" i="13"/>
  <c r="S483" i="13"/>
  <c r="P484" i="13"/>
  <c r="Q484" i="13"/>
  <c r="R484" i="13"/>
  <c r="S484" i="13"/>
  <c r="P485" i="13"/>
  <c r="Q485" i="13"/>
  <c r="R485" i="13"/>
  <c r="S485" i="13"/>
  <c r="P486" i="13"/>
  <c r="Q486" i="13"/>
  <c r="R486" i="13"/>
  <c r="S486" i="13"/>
  <c r="P487" i="13"/>
  <c r="Q487" i="13"/>
  <c r="R487" i="13"/>
  <c r="S487" i="13"/>
  <c r="P488" i="13"/>
  <c r="Q488" i="13"/>
  <c r="R488" i="13"/>
  <c r="S488" i="13"/>
  <c r="P489" i="13"/>
  <c r="Q489" i="13"/>
  <c r="R489" i="13"/>
  <c r="S489" i="13"/>
  <c r="P490" i="13"/>
  <c r="Q490" i="13"/>
  <c r="R490" i="13"/>
  <c r="S490" i="13"/>
  <c r="P491" i="13"/>
  <c r="Q491" i="13"/>
  <c r="R491" i="13"/>
  <c r="S491" i="13"/>
  <c r="P492" i="13"/>
  <c r="Q492" i="13"/>
  <c r="R492" i="13"/>
  <c r="S492" i="13"/>
  <c r="P493" i="13"/>
  <c r="Q493" i="13"/>
  <c r="R493" i="13"/>
  <c r="S493" i="13"/>
  <c r="P494" i="13"/>
  <c r="Q494" i="13"/>
  <c r="R494" i="13"/>
  <c r="S494" i="13"/>
  <c r="P495" i="13"/>
  <c r="Q495" i="13"/>
  <c r="R495" i="13"/>
  <c r="S495" i="13"/>
  <c r="P496" i="13"/>
  <c r="Q496" i="13"/>
  <c r="R496" i="13"/>
  <c r="S496" i="13"/>
  <c r="P497" i="13"/>
  <c r="Q497" i="13"/>
  <c r="R497" i="13"/>
  <c r="S497" i="13"/>
  <c r="P498" i="13"/>
  <c r="Q498" i="13"/>
  <c r="R498" i="13"/>
  <c r="S498" i="13"/>
  <c r="P499" i="13"/>
  <c r="Q499" i="13"/>
  <c r="R499" i="13"/>
  <c r="S499" i="13"/>
  <c r="P500" i="13"/>
  <c r="Q500" i="13"/>
  <c r="R500" i="13"/>
  <c r="S500" i="13"/>
  <c r="P501" i="13"/>
  <c r="Q501" i="13"/>
  <c r="R501" i="13"/>
  <c r="S501" i="13"/>
  <c r="P502" i="13"/>
  <c r="Q502" i="13"/>
  <c r="R502" i="13"/>
  <c r="S502" i="13"/>
  <c r="P503" i="13"/>
  <c r="Q503" i="13"/>
  <c r="R503" i="13"/>
  <c r="S503" i="13"/>
  <c r="P504" i="13"/>
  <c r="Q504" i="13"/>
  <c r="R504" i="13"/>
  <c r="S504" i="13"/>
  <c r="P505" i="13"/>
  <c r="Q505" i="13"/>
  <c r="R505" i="13"/>
  <c r="S505" i="13"/>
  <c r="P506" i="13"/>
  <c r="Q506" i="13"/>
  <c r="R506" i="13"/>
  <c r="S506" i="13"/>
  <c r="P507" i="13"/>
  <c r="Q507" i="13"/>
  <c r="R507" i="13"/>
  <c r="S507" i="13"/>
  <c r="P508" i="13"/>
  <c r="Q508" i="13"/>
  <c r="R508" i="13"/>
  <c r="S508" i="13"/>
  <c r="P509" i="13"/>
  <c r="Q509" i="13"/>
  <c r="R509" i="13"/>
  <c r="S509" i="13"/>
  <c r="P510" i="13"/>
  <c r="Q510" i="13"/>
  <c r="R510" i="13"/>
  <c r="S510" i="13"/>
  <c r="P511" i="13"/>
  <c r="Q511" i="13"/>
  <c r="R511" i="13"/>
  <c r="S511" i="13"/>
  <c r="P512" i="13"/>
  <c r="Q512" i="13"/>
  <c r="R512" i="13"/>
  <c r="S512" i="13"/>
  <c r="P513" i="13"/>
  <c r="Q513" i="13"/>
  <c r="R513" i="13"/>
  <c r="S513" i="13"/>
  <c r="P514" i="13"/>
  <c r="Q514" i="13"/>
  <c r="R514" i="13"/>
  <c r="S514" i="13"/>
  <c r="P515" i="13"/>
  <c r="Q515" i="13"/>
  <c r="R515" i="13"/>
  <c r="S515" i="13"/>
  <c r="P516" i="13"/>
  <c r="Q516" i="13"/>
  <c r="R516" i="13"/>
  <c r="S516" i="13"/>
  <c r="P517" i="13"/>
  <c r="Q517" i="13"/>
  <c r="R517" i="13"/>
  <c r="S517" i="13"/>
  <c r="P518" i="13"/>
  <c r="Q518" i="13"/>
  <c r="R518" i="13"/>
  <c r="S518" i="13"/>
  <c r="P519" i="13"/>
  <c r="Q519" i="13"/>
  <c r="R519" i="13"/>
  <c r="S519" i="13"/>
  <c r="P520" i="13"/>
  <c r="Q520" i="13"/>
  <c r="R520" i="13"/>
  <c r="S520" i="13"/>
  <c r="P521" i="13"/>
  <c r="Q521" i="13"/>
  <c r="R521" i="13"/>
  <c r="S521" i="13"/>
  <c r="P522" i="13"/>
  <c r="Q522" i="13"/>
  <c r="R522" i="13"/>
  <c r="S522" i="13"/>
  <c r="P523" i="13"/>
  <c r="Q523" i="13"/>
  <c r="R523" i="13"/>
  <c r="S523" i="13"/>
  <c r="P524" i="13"/>
  <c r="Q524" i="13"/>
  <c r="R524" i="13"/>
  <c r="S524" i="13"/>
  <c r="P525" i="13"/>
  <c r="Q525" i="13"/>
  <c r="R525" i="13"/>
  <c r="S525" i="13"/>
  <c r="P526" i="13"/>
  <c r="Q526" i="13"/>
  <c r="R526" i="13"/>
  <c r="S526" i="13"/>
  <c r="P527" i="13"/>
  <c r="Q527" i="13"/>
  <c r="R527" i="13"/>
  <c r="S527" i="13"/>
  <c r="P528" i="13"/>
  <c r="Q528" i="13"/>
  <c r="R528" i="13"/>
  <c r="S528" i="13"/>
  <c r="P529" i="13"/>
  <c r="Q529" i="13"/>
  <c r="R529" i="13"/>
  <c r="S529" i="13"/>
  <c r="P530" i="13"/>
  <c r="Q530" i="13"/>
  <c r="R530" i="13"/>
  <c r="S530" i="13"/>
  <c r="P531" i="13"/>
  <c r="Q531" i="13"/>
  <c r="R531" i="13"/>
  <c r="S531" i="13"/>
  <c r="P532" i="13"/>
  <c r="Q532" i="13"/>
  <c r="R532" i="13"/>
  <c r="S532" i="13"/>
  <c r="P533" i="13"/>
  <c r="Q533" i="13"/>
  <c r="R533" i="13"/>
  <c r="S533" i="13"/>
  <c r="S120" i="13"/>
  <c r="R120" i="13"/>
  <c r="Q120" i="13"/>
  <c r="P120" i="13"/>
  <c r="S119" i="13"/>
  <c r="R119" i="13"/>
  <c r="Q119" i="13"/>
  <c r="P119" i="13"/>
  <c r="S118" i="13"/>
  <c r="R118" i="13"/>
  <c r="Q118" i="13"/>
  <c r="P118" i="13"/>
  <c r="S117" i="13"/>
  <c r="R117" i="13"/>
  <c r="Q117" i="13"/>
  <c r="P117" i="13"/>
  <c r="S116" i="13"/>
  <c r="R116" i="13"/>
  <c r="Q116" i="13"/>
  <c r="P116" i="13"/>
  <c r="S115" i="13"/>
  <c r="R115" i="13"/>
  <c r="Q115" i="13"/>
  <c r="P115" i="13"/>
  <c r="S114" i="13"/>
  <c r="R114" i="13"/>
  <c r="Q114" i="13"/>
  <c r="P114" i="13"/>
  <c r="S113" i="13"/>
  <c r="R113" i="13"/>
  <c r="Q113" i="13"/>
  <c r="P113" i="13"/>
  <c r="S112" i="13"/>
  <c r="R112" i="13"/>
  <c r="Q112" i="13"/>
  <c r="P112" i="13"/>
  <c r="S111" i="13"/>
  <c r="R111" i="13"/>
  <c r="Q111" i="13"/>
  <c r="P111" i="13"/>
  <c r="S110" i="13"/>
  <c r="R110" i="13"/>
  <c r="Q110" i="13"/>
  <c r="P110" i="13"/>
  <c r="S109" i="13"/>
  <c r="R109" i="13"/>
  <c r="Q109" i="13"/>
  <c r="P109" i="13"/>
  <c r="S108" i="13"/>
  <c r="R108" i="13"/>
  <c r="Q108" i="13"/>
  <c r="P108" i="13"/>
  <c r="S107" i="13"/>
  <c r="R107" i="13"/>
  <c r="Q107" i="13"/>
  <c r="P107" i="13"/>
  <c r="S106" i="13"/>
  <c r="R106" i="13"/>
  <c r="Q106" i="13"/>
  <c r="P106" i="13"/>
  <c r="S105" i="13"/>
  <c r="R105" i="13"/>
  <c r="Q105" i="13"/>
  <c r="P105" i="13"/>
  <c r="S104" i="13"/>
  <c r="R104" i="13"/>
  <c r="Q104" i="13"/>
  <c r="P104" i="13"/>
  <c r="S103" i="13"/>
  <c r="R103" i="13"/>
  <c r="Q103" i="13"/>
  <c r="P103" i="13"/>
  <c r="S102" i="13"/>
  <c r="R102" i="13"/>
  <c r="Q102" i="13"/>
  <c r="P102" i="13"/>
  <c r="S101" i="13"/>
  <c r="R101" i="13"/>
  <c r="Q101" i="13"/>
  <c r="P101" i="13"/>
  <c r="S100" i="13"/>
  <c r="R100" i="13"/>
  <c r="Q100" i="13"/>
  <c r="P100" i="13"/>
  <c r="S99" i="13"/>
  <c r="R99" i="13"/>
  <c r="Q99" i="13"/>
  <c r="P99" i="13"/>
  <c r="S98" i="13"/>
  <c r="R98" i="13"/>
  <c r="Q98" i="13"/>
  <c r="P98" i="13"/>
  <c r="S97" i="13"/>
  <c r="R97" i="13"/>
  <c r="Q97" i="13"/>
  <c r="P97" i="13"/>
  <c r="S96" i="13"/>
  <c r="R96" i="13"/>
  <c r="Q96" i="13"/>
  <c r="P96" i="13"/>
  <c r="S95" i="13"/>
  <c r="R95" i="13"/>
  <c r="Q95" i="13"/>
  <c r="P95" i="13"/>
  <c r="S94" i="13"/>
  <c r="R94" i="13"/>
  <c r="Q94" i="13"/>
  <c r="P94" i="13"/>
  <c r="S93" i="13"/>
  <c r="R93" i="13"/>
  <c r="Q93" i="13"/>
  <c r="P93" i="13"/>
  <c r="S92" i="13"/>
  <c r="R92" i="13"/>
  <c r="Q92" i="13"/>
  <c r="P92" i="13"/>
  <c r="S91" i="13"/>
  <c r="R91" i="13"/>
  <c r="Q91" i="13"/>
  <c r="P91" i="13"/>
  <c r="S90" i="13"/>
  <c r="R90" i="13"/>
  <c r="Q90" i="13"/>
  <c r="P90" i="13"/>
  <c r="S89" i="13"/>
  <c r="R89" i="13"/>
  <c r="Q89" i="13"/>
  <c r="P89" i="13"/>
  <c r="S88" i="13"/>
  <c r="R88" i="13"/>
  <c r="Q88" i="13"/>
  <c r="P88" i="13"/>
  <c r="S87" i="13"/>
  <c r="R87" i="13"/>
  <c r="Q87" i="13"/>
  <c r="P87" i="13"/>
  <c r="S86" i="13"/>
  <c r="R86" i="13"/>
  <c r="Q86" i="13"/>
  <c r="P86" i="13"/>
  <c r="S85" i="13"/>
  <c r="R85" i="13"/>
  <c r="Q85" i="13"/>
  <c r="P85" i="13"/>
  <c r="S84" i="13"/>
  <c r="R84" i="13"/>
  <c r="Q84" i="13"/>
  <c r="P84" i="13"/>
  <c r="S83" i="13"/>
  <c r="R83" i="13"/>
  <c r="Q83" i="13"/>
  <c r="P83" i="13"/>
  <c r="S82" i="13"/>
  <c r="R82" i="13"/>
  <c r="Q82" i="13"/>
  <c r="P82" i="13"/>
  <c r="S81" i="13"/>
  <c r="R81" i="13"/>
  <c r="Q81" i="13"/>
  <c r="P81" i="13"/>
  <c r="S80" i="13"/>
  <c r="R80" i="13"/>
  <c r="Q80" i="13"/>
  <c r="P80" i="13"/>
  <c r="S79" i="13"/>
  <c r="R79" i="13"/>
  <c r="Q79" i="13"/>
  <c r="P79" i="13"/>
  <c r="S78" i="13"/>
  <c r="R78" i="13"/>
  <c r="Q78" i="13"/>
  <c r="P78" i="13"/>
  <c r="S77" i="13"/>
  <c r="R77" i="13"/>
  <c r="Q77" i="13"/>
  <c r="P77" i="13"/>
  <c r="S76" i="13"/>
  <c r="R76" i="13"/>
  <c r="Q76" i="13"/>
  <c r="P76" i="13"/>
  <c r="S75" i="13"/>
  <c r="R75" i="13"/>
  <c r="Q75" i="13"/>
  <c r="P75" i="13"/>
  <c r="S74" i="13"/>
  <c r="R74" i="13"/>
  <c r="Q74" i="13"/>
  <c r="P74" i="13"/>
  <c r="S73" i="13"/>
  <c r="R73" i="13"/>
  <c r="Q73" i="13"/>
  <c r="P73" i="13"/>
  <c r="S72" i="13"/>
  <c r="R72" i="13"/>
  <c r="Q72" i="13"/>
  <c r="P72" i="13"/>
  <c r="S71" i="13"/>
  <c r="R71" i="13"/>
  <c r="Q71" i="13"/>
  <c r="P71" i="13"/>
  <c r="S70" i="13"/>
  <c r="R70" i="13"/>
  <c r="Q70" i="13"/>
  <c r="P70" i="13"/>
  <c r="S69" i="13"/>
  <c r="R69" i="13"/>
  <c r="Q69" i="13"/>
  <c r="P69" i="13"/>
  <c r="S68" i="13"/>
  <c r="R68" i="13"/>
  <c r="Q68" i="13"/>
  <c r="P68" i="13"/>
  <c r="S67" i="13"/>
  <c r="R67" i="13"/>
  <c r="Q67" i="13"/>
  <c r="P67" i="13"/>
  <c r="S66" i="13"/>
  <c r="R66" i="13"/>
  <c r="Q66" i="13"/>
  <c r="S65" i="13"/>
  <c r="R65" i="13"/>
  <c r="Q65" i="13"/>
  <c r="S64" i="13"/>
  <c r="R64" i="13"/>
  <c r="Q64" i="13"/>
  <c r="S63" i="13"/>
  <c r="R63" i="13"/>
  <c r="Q63" i="13"/>
  <c r="S62" i="13"/>
  <c r="R62" i="13"/>
  <c r="Q62" i="13"/>
  <c r="S61" i="13"/>
  <c r="R61" i="13"/>
  <c r="Q61" i="13"/>
  <c r="S60" i="13"/>
  <c r="R60" i="13"/>
  <c r="Q60" i="13"/>
  <c r="S59" i="13"/>
  <c r="R59" i="13"/>
  <c r="Q59" i="13"/>
  <c r="S58" i="13"/>
  <c r="R58" i="13"/>
  <c r="Q58" i="13"/>
  <c r="S57" i="13"/>
  <c r="R57" i="13"/>
  <c r="Q57" i="13"/>
  <c r="S56" i="13"/>
  <c r="R56" i="13"/>
  <c r="Q56" i="13"/>
  <c r="S55" i="13"/>
  <c r="R55" i="13"/>
  <c r="Q55" i="13"/>
  <c r="S54" i="13"/>
  <c r="R54" i="13"/>
  <c r="Q54" i="13"/>
  <c r="S53" i="13"/>
  <c r="R53" i="13"/>
  <c r="Q53" i="13"/>
  <c r="S52" i="13"/>
  <c r="R52" i="13"/>
  <c r="Q52" i="13"/>
  <c r="S51" i="13"/>
  <c r="R51" i="13"/>
  <c r="Q51" i="13"/>
  <c r="Z332" i="24"/>
  <c r="S332" i="24"/>
  <c r="R332" i="24"/>
  <c r="Q332" i="24"/>
  <c r="P332" i="24"/>
  <c r="Z331" i="24"/>
  <c r="S331" i="24"/>
  <c r="R331" i="24"/>
  <c r="Q331" i="24"/>
  <c r="P331" i="24"/>
  <c r="Z330" i="24"/>
  <c r="S330" i="24"/>
  <c r="R330" i="24"/>
  <c r="Q330" i="24"/>
  <c r="P330" i="24"/>
  <c r="Z329" i="24"/>
  <c r="S329" i="24"/>
  <c r="R329" i="24"/>
  <c r="Q329" i="24"/>
  <c r="P329" i="24"/>
  <c r="Z328" i="24"/>
  <c r="S328" i="24"/>
  <c r="R328" i="24"/>
  <c r="Q328" i="24"/>
  <c r="P328" i="24"/>
  <c r="Z327" i="24"/>
  <c r="S327" i="24"/>
  <c r="R327" i="24"/>
  <c r="Q327" i="24"/>
  <c r="P327" i="24"/>
  <c r="Z326" i="24"/>
  <c r="S326" i="24"/>
  <c r="R326" i="24"/>
  <c r="Q326" i="24"/>
  <c r="P326" i="24"/>
  <c r="Z325" i="24"/>
  <c r="S325" i="24"/>
  <c r="R325" i="24"/>
  <c r="Q325" i="24"/>
  <c r="P325" i="24"/>
  <c r="Z324" i="24"/>
  <c r="S324" i="24"/>
  <c r="R324" i="24"/>
  <c r="Q324" i="24"/>
  <c r="P324" i="24"/>
  <c r="Z323" i="24"/>
  <c r="S323" i="24"/>
  <c r="R323" i="24"/>
  <c r="Q323" i="24"/>
  <c r="P323" i="24"/>
  <c r="Z322" i="24"/>
  <c r="S322" i="24"/>
  <c r="R322" i="24"/>
  <c r="Q322" i="24"/>
  <c r="P322" i="24"/>
  <c r="Z321" i="24"/>
  <c r="S321" i="24"/>
  <c r="R321" i="24"/>
  <c r="Q321" i="24"/>
  <c r="P321" i="24"/>
  <c r="Z320" i="24"/>
  <c r="S320" i="24"/>
  <c r="R320" i="24"/>
  <c r="Q320" i="24"/>
  <c r="P320" i="24"/>
  <c r="Z319" i="24"/>
  <c r="S319" i="24"/>
  <c r="R319" i="24"/>
  <c r="Q319" i="24"/>
  <c r="P319" i="24"/>
  <c r="Z318" i="24"/>
  <c r="S318" i="24"/>
  <c r="R318" i="24"/>
  <c r="Q318" i="24"/>
  <c r="P318" i="24"/>
  <c r="Z317" i="24"/>
  <c r="S317" i="24"/>
  <c r="R317" i="24"/>
  <c r="Q317" i="24"/>
  <c r="P317" i="24"/>
  <c r="Z316" i="24"/>
  <c r="S316" i="24"/>
  <c r="R316" i="24"/>
  <c r="Q316" i="24"/>
  <c r="P316" i="24"/>
  <c r="Z315" i="24"/>
  <c r="S315" i="24"/>
  <c r="R315" i="24"/>
  <c r="Q315" i="24"/>
  <c r="P315" i="24"/>
  <c r="Z314" i="24"/>
  <c r="S314" i="24"/>
  <c r="R314" i="24"/>
  <c r="Q314" i="24"/>
  <c r="P314" i="24"/>
  <c r="Z313" i="24"/>
  <c r="S313" i="24"/>
  <c r="R313" i="24"/>
  <c r="Q313" i="24"/>
  <c r="P313" i="24"/>
  <c r="Z312" i="24"/>
  <c r="S312" i="24"/>
  <c r="R312" i="24"/>
  <c r="Q312" i="24"/>
  <c r="P312" i="24"/>
  <c r="Z311" i="24"/>
  <c r="S311" i="24"/>
  <c r="R311" i="24"/>
  <c r="Q311" i="24"/>
  <c r="P311" i="24"/>
  <c r="Z310" i="24"/>
  <c r="S310" i="24"/>
  <c r="R310" i="24"/>
  <c r="Q310" i="24"/>
  <c r="P310" i="24"/>
  <c r="Z309" i="24"/>
  <c r="S309" i="24"/>
  <c r="R309" i="24"/>
  <c r="Q309" i="24"/>
  <c r="P309" i="24"/>
  <c r="Z308" i="24"/>
  <c r="S308" i="24"/>
  <c r="R308" i="24"/>
  <c r="Q308" i="24"/>
  <c r="P308" i="24"/>
  <c r="Z307" i="24"/>
  <c r="S307" i="24"/>
  <c r="R307" i="24"/>
  <c r="Q307" i="24"/>
  <c r="P307" i="24"/>
  <c r="Z306" i="24"/>
  <c r="S306" i="24"/>
  <c r="R306" i="24"/>
  <c r="Q306" i="24"/>
  <c r="P306" i="24"/>
  <c r="Z305" i="24"/>
  <c r="S305" i="24"/>
  <c r="R305" i="24"/>
  <c r="Q305" i="24"/>
  <c r="P305" i="24"/>
  <c r="Z304" i="24"/>
  <c r="S304" i="24"/>
  <c r="R304" i="24"/>
  <c r="Q304" i="24"/>
  <c r="P304" i="24"/>
  <c r="Z303" i="24"/>
  <c r="S303" i="24"/>
  <c r="R303" i="24"/>
  <c r="Q303" i="24"/>
  <c r="P303" i="24"/>
  <c r="Z302" i="24"/>
  <c r="S302" i="24"/>
  <c r="R302" i="24"/>
  <c r="Q302" i="24"/>
  <c r="P302" i="24"/>
  <c r="Z301" i="24"/>
  <c r="S301" i="24"/>
  <c r="R301" i="24"/>
  <c r="Q301" i="24"/>
  <c r="P301" i="24"/>
  <c r="Z300" i="24"/>
  <c r="S300" i="24"/>
  <c r="R300" i="24"/>
  <c r="Q300" i="24"/>
  <c r="P300" i="24"/>
  <c r="Z299" i="24"/>
  <c r="S299" i="24"/>
  <c r="R299" i="24"/>
  <c r="Q299" i="24"/>
  <c r="P299" i="24"/>
  <c r="Z298" i="24"/>
  <c r="S298" i="24"/>
  <c r="R298" i="24"/>
  <c r="Q298" i="24"/>
  <c r="P298" i="24"/>
  <c r="S297" i="24"/>
  <c r="R297" i="24"/>
  <c r="Q297" i="24"/>
  <c r="P297" i="24"/>
  <c r="S296" i="24"/>
  <c r="R296" i="24"/>
  <c r="Q296" i="24"/>
  <c r="P296" i="24"/>
  <c r="S295" i="24"/>
  <c r="R295" i="24"/>
  <c r="Q295" i="24"/>
  <c r="P295" i="24"/>
  <c r="Z294" i="24"/>
  <c r="S294" i="24"/>
  <c r="R294" i="24"/>
  <c r="Q294" i="24"/>
  <c r="S293" i="24"/>
  <c r="R293" i="24"/>
  <c r="Q293" i="24"/>
  <c r="S292" i="24"/>
  <c r="R292" i="24"/>
  <c r="Q292" i="24"/>
  <c r="S291" i="24"/>
  <c r="R291" i="24"/>
  <c r="Q291" i="24"/>
  <c r="S290" i="24"/>
  <c r="R290" i="24"/>
  <c r="Q290" i="24"/>
  <c r="S289" i="24"/>
  <c r="R289" i="24"/>
  <c r="Q289" i="24"/>
  <c r="Z288" i="24"/>
  <c r="S288" i="24"/>
  <c r="R288" i="24"/>
  <c r="Q288" i="24"/>
  <c r="S287" i="24"/>
  <c r="R287" i="24"/>
  <c r="Q287" i="24"/>
  <c r="S286" i="24"/>
  <c r="R286" i="24"/>
  <c r="Q286" i="24"/>
  <c r="Z285" i="24"/>
  <c r="S285" i="24"/>
  <c r="R285" i="24"/>
  <c r="Q285" i="24"/>
  <c r="Z284" i="24"/>
  <c r="S284" i="24"/>
  <c r="R284" i="24"/>
  <c r="Q284" i="24"/>
  <c r="S283" i="24"/>
  <c r="R283" i="24"/>
  <c r="Q283" i="24"/>
  <c r="Z282" i="24"/>
  <c r="S282" i="24"/>
  <c r="R282" i="24"/>
  <c r="Q282" i="24"/>
  <c r="S281" i="24"/>
  <c r="R281" i="24"/>
  <c r="Q281" i="24"/>
  <c r="S280" i="24"/>
  <c r="R280" i="24"/>
  <c r="Q280" i="24"/>
  <c r="Z279" i="24"/>
  <c r="S279" i="24"/>
  <c r="R279" i="24"/>
  <c r="Q279" i="24"/>
  <c r="Z278" i="24"/>
  <c r="S278" i="24"/>
  <c r="R278" i="24"/>
  <c r="Q278" i="24"/>
  <c r="S277" i="24"/>
  <c r="R277" i="24"/>
  <c r="Q277" i="24"/>
  <c r="Z276" i="24"/>
  <c r="S276" i="24"/>
  <c r="R276" i="24"/>
  <c r="Q276" i="24"/>
  <c r="S275" i="24"/>
  <c r="R275" i="24"/>
  <c r="Q275" i="24"/>
  <c r="Z274" i="24"/>
  <c r="S274" i="24"/>
  <c r="R274" i="24"/>
  <c r="Q274" i="24"/>
  <c r="Z273" i="24"/>
  <c r="S273" i="24"/>
  <c r="R273" i="24"/>
  <c r="Q273" i="24"/>
  <c r="S272" i="24"/>
  <c r="R272" i="24"/>
  <c r="Q272" i="24"/>
  <c r="S271" i="24"/>
  <c r="R271" i="24"/>
  <c r="Q271" i="24"/>
  <c r="S270" i="24"/>
  <c r="R270" i="24"/>
  <c r="Q270" i="24"/>
  <c r="S269" i="24"/>
  <c r="R269" i="24"/>
  <c r="Q269" i="24"/>
  <c r="S268" i="24"/>
  <c r="R268" i="24"/>
  <c r="Q268" i="24"/>
  <c r="S267" i="24"/>
  <c r="R267" i="24"/>
  <c r="Q267" i="24"/>
  <c r="S266" i="24"/>
  <c r="R266" i="24"/>
  <c r="Q266" i="24"/>
  <c r="S265" i="24"/>
  <c r="R265" i="24"/>
  <c r="Q265" i="24"/>
  <c r="S264" i="24"/>
  <c r="R264" i="24"/>
  <c r="Q264" i="24"/>
  <c r="S263" i="24"/>
  <c r="R263" i="24"/>
  <c r="Q263" i="24"/>
  <c r="S262" i="24"/>
  <c r="R262" i="24"/>
  <c r="Q262" i="24"/>
  <c r="S261" i="24"/>
  <c r="R261" i="24"/>
  <c r="Q261" i="24"/>
  <c r="S260" i="24"/>
  <c r="R260" i="24"/>
  <c r="Q260" i="24"/>
  <c r="S259" i="24"/>
  <c r="R259" i="24"/>
  <c r="Q259" i="24"/>
  <c r="S258" i="24"/>
  <c r="R258" i="24"/>
  <c r="Q258" i="24"/>
  <c r="S257" i="24"/>
  <c r="R257" i="24"/>
  <c r="Q257" i="24"/>
  <c r="S256" i="24"/>
  <c r="R256" i="24"/>
  <c r="Q256" i="24"/>
  <c r="S255" i="24"/>
  <c r="R255" i="24"/>
  <c r="Q255" i="24"/>
  <c r="S254" i="24"/>
  <c r="R254" i="24"/>
  <c r="Q254" i="24"/>
  <c r="S253" i="24"/>
  <c r="R253" i="24"/>
  <c r="Q253" i="24"/>
  <c r="S252" i="24"/>
  <c r="R252" i="24"/>
  <c r="Q252" i="24"/>
  <c r="S251" i="24"/>
  <c r="R251" i="24"/>
  <c r="Q251" i="24"/>
  <c r="Z250" i="24"/>
  <c r="S250" i="24"/>
  <c r="R250" i="24"/>
  <c r="Q250" i="24"/>
  <c r="S249" i="24"/>
  <c r="R249" i="24"/>
  <c r="Q249" i="24"/>
  <c r="S248" i="24"/>
  <c r="R248" i="24"/>
  <c r="Q248" i="24"/>
  <c r="S247" i="24"/>
  <c r="R247" i="24"/>
  <c r="Q247" i="24"/>
  <c r="S246" i="24"/>
  <c r="R246" i="24"/>
  <c r="Q246" i="24"/>
  <c r="S245" i="24"/>
  <c r="R245" i="24"/>
  <c r="Q245" i="24"/>
  <c r="AC84" i="11"/>
  <c r="S516" i="24"/>
  <c r="R516" i="24"/>
  <c r="Q516" i="24"/>
  <c r="P516" i="24"/>
  <c r="S515" i="24"/>
  <c r="R515" i="24"/>
  <c r="Q515" i="24"/>
  <c r="P515" i="24"/>
  <c r="S514" i="24"/>
  <c r="R514" i="24"/>
  <c r="Q514" i="24"/>
  <c r="P514" i="24"/>
  <c r="S513" i="24"/>
  <c r="R513" i="24"/>
  <c r="Q513" i="24"/>
  <c r="P513" i="24"/>
  <c r="S512" i="24"/>
  <c r="R512" i="24"/>
  <c r="Q512" i="24"/>
  <c r="P512" i="24"/>
  <c r="S511" i="24"/>
  <c r="R511" i="24"/>
  <c r="Q511" i="24"/>
  <c r="P511" i="24"/>
  <c r="S510" i="24"/>
  <c r="R510" i="24"/>
  <c r="Q510" i="24"/>
  <c r="P510" i="24"/>
  <c r="S509" i="24"/>
  <c r="R509" i="24"/>
  <c r="Q509" i="24"/>
  <c r="P509" i="24"/>
  <c r="S508" i="24"/>
  <c r="R508" i="24"/>
  <c r="Q508" i="24"/>
  <c r="P508" i="24"/>
  <c r="S507" i="24"/>
  <c r="R507" i="24"/>
  <c r="Q507" i="24"/>
  <c r="P507" i="24"/>
  <c r="S506" i="24"/>
  <c r="R506" i="24"/>
  <c r="Q506" i="24"/>
  <c r="P506" i="24"/>
  <c r="S505" i="24"/>
  <c r="R505" i="24"/>
  <c r="Q505" i="24"/>
  <c r="P505" i="24"/>
  <c r="S504" i="24"/>
  <c r="R504" i="24"/>
  <c r="Q504" i="24"/>
  <c r="P504" i="24"/>
  <c r="S503" i="24"/>
  <c r="R503" i="24"/>
  <c r="Q503" i="24"/>
  <c r="P503" i="24"/>
  <c r="S502" i="24"/>
  <c r="R502" i="24"/>
  <c r="Q502" i="24"/>
  <c r="P502" i="24"/>
  <c r="S501" i="24"/>
  <c r="R501" i="24"/>
  <c r="Q501" i="24"/>
  <c r="P501" i="24"/>
  <c r="S500" i="24"/>
  <c r="R500" i="24"/>
  <c r="Q500" i="24"/>
  <c r="P500" i="24"/>
  <c r="S499" i="24"/>
  <c r="R499" i="24"/>
  <c r="Q499" i="24"/>
  <c r="P499" i="24"/>
  <c r="S498" i="24"/>
  <c r="R498" i="24"/>
  <c r="Q498" i="24"/>
  <c r="P498" i="24"/>
  <c r="S497" i="24"/>
  <c r="R497" i="24"/>
  <c r="Q497" i="24"/>
  <c r="P497" i="24"/>
  <c r="S496" i="24"/>
  <c r="R496" i="24"/>
  <c r="Q496" i="24"/>
  <c r="P496" i="24"/>
  <c r="S495" i="24"/>
  <c r="R495" i="24"/>
  <c r="Q495" i="24"/>
  <c r="P495" i="24"/>
  <c r="S494" i="24"/>
  <c r="R494" i="24"/>
  <c r="Q494" i="24"/>
  <c r="P494" i="24"/>
  <c r="S493" i="24"/>
  <c r="R493" i="24"/>
  <c r="Q493" i="24"/>
  <c r="P493" i="24"/>
  <c r="S492" i="24"/>
  <c r="R492" i="24"/>
  <c r="Q492" i="24"/>
  <c r="P492" i="24"/>
  <c r="S491" i="24"/>
  <c r="R491" i="24"/>
  <c r="Q491" i="24"/>
  <c r="P491" i="24"/>
  <c r="S490" i="24"/>
  <c r="R490" i="24"/>
  <c r="Q490" i="24"/>
  <c r="P490" i="24"/>
  <c r="S489" i="24"/>
  <c r="R489" i="24"/>
  <c r="Q489" i="24"/>
  <c r="P489" i="24"/>
  <c r="S488" i="24"/>
  <c r="R488" i="24"/>
  <c r="Q488" i="24"/>
  <c r="P488" i="24"/>
  <c r="S487" i="24"/>
  <c r="R487" i="24"/>
  <c r="Q487" i="24"/>
  <c r="P487" i="24"/>
  <c r="S486" i="24"/>
  <c r="R486" i="24"/>
  <c r="Q486" i="24"/>
  <c r="P486" i="24"/>
  <c r="S485" i="24"/>
  <c r="R485" i="24"/>
  <c r="Q485" i="24"/>
  <c r="P485" i="24"/>
  <c r="S484" i="24"/>
  <c r="R484" i="24"/>
  <c r="Q484" i="24"/>
  <c r="P484" i="24"/>
  <c r="S483" i="24"/>
  <c r="R483" i="24"/>
  <c r="Q483" i="24"/>
  <c r="P483" i="24"/>
  <c r="S482" i="24"/>
  <c r="R482" i="24"/>
  <c r="Q482" i="24"/>
  <c r="P482" i="24"/>
  <c r="S481" i="24"/>
  <c r="R481" i="24"/>
  <c r="Q481" i="24"/>
  <c r="P481" i="24"/>
  <c r="S480" i="24"/>
  <c r="R480" i="24"/>
  <c r="Q480" i="24"/>
  <c r="P480" i="24"/>
  <c r="S479" i="24"/>
  <c r="R479" i="24"/>
  <c r="Q479" i="24"/>
  <c r="P479" i="24"/>
  <c r="S478" i="24"/>
  <c r="R478" i="24"/>
  <c r="Q478" i="24"/>
  <c r="P478" i="24"/>
  <c r="Z477" i="24"/>
  <c r="S477" i="24"/>
  <c r="R477" i="24"/>
  <c r="Q477" i="24"/>
  <c r="P477" i="24"/>
  <c r="Z476" i="24"/>
  <c r="S476" i="24"/>
  <c r="R476" i="24"/>
  <c r="Q476" i="24"/>
  <c r="P476" i="24"/>
  <c r="Z475" i="24"/>
  <c r="S475" i="24"/>
  <c r="R475" i="24"/>
  <c r="Q475" i="24"/>
  <c r="P475" i="24"/>
  <c r="Z474" i="24"/>
  <c r="S474" i="24"/>
  <c r="R474" i="24"/>
  <c r="Q474" i="24"/>
  <c r="P474" i="24"/>
  <c r="Z473" i="24"/>
  <c r="S473" i="24"/>
  <c r="R473" i="24"/>
  <c r="Q473" i="24"/>
  <c r="P473" i="24"/>
  <c r="Z472" i="24"/>
  <c r="S472" i="24"/>
  <c r="R472" i="24"/>
  <c r="Q472" i="24"/>
  <c r="P472" i="24"/>
  <c r="Z471" i="24"/>
  <c r="S471" i="24"/>
  <c r="R471" i="24"/>
  <c r="Q471" i="24"/>
  <c r="P471" i="24"/>
  <c r="Z470" i="24"/>
  <c r="S470" i="24"/>
  <c r="R470" i="24"/>
  <c r="Q470" i="24"/>
  <c r="P470" i="24"/>
  <c r="Z469" i="24"/>
  <c r="S469" i="24"/>
  <c r="R469" i="24"/>
  <c r="Q469" i="24"/>
  <c r="P469" i="24"/>
  <c r="Z468" i="24"/>
  <c r="S468" i="24"/>
  <c r="R468" i="24"/>
  <c r="Q468" i="24"/>
  <c r="P468" i="24"/>
  <c r="Z467" i="24"/>
  <c r="S467" i="24"/>
  <c r="R467" i="24"/>
  <c r="Q467" i="24"/>
  <c r="P467" i="24"/>
  <c r="Z466" i="24"/>
  <c r="S466" i="24"/>
  <c r="R466" i="24"/>
  <c r="Q466" i="24"/>
  <c r="P466" i="24"/>
  <c r="Z465" i="24"/>
  <c r="S465" i="24"/>
  <c r="R465" i="24"/>
  <c r="Q465" i="24"/>
  <c r="P465" i="24"/>
  <c r="Z464" i="24"/>
  <c r="S464" i="24"/>
  <c r="R464" i="24"/>
  <c r="Q464" i="24"/>
  <c r="P464" i="24"/>
  <c r="Z463" i="24"/>
  <c r="S463" i="24"/>
  <c r="R463" i="24"/>
  <c r="Q463" i="24"/>
  <c r="P463" i="24"/>
  <c r="Z462" i="24"/>
  <c r="S462" i="24"/>
  <c r="R462" i="24"/>
  <c r="Q462" i="24"/>
  <c r="P462" i="24"/>
  <c r="S461" i="24"/>
  <c r="R461" i="24"/>
  <c r="Q461" i="24"/>
  <c r="P461" i="24"/>
  <c r="S460" i="24"/>
  <c r="R460" i="24"/>
  <c r="Q460" i="24"/>
  <c r="P460" i="24"/>
  <c r="S459" i="24"/>
  <c r="R459" i="24"/>
  <c r="Q459" i="24"/>
  <c r="P459" i="24"/>
  <c r="S458" i="24"/>
  <c r="R458" i="24"/>
  <c r="Q458" i="24"/>
  <c r="P458" i="24"/>
  <c r="S457" i="24"/>
  <c r="R457" i="24"/>
  <c r="Q457" i="24"/>
  <c r="P457" i="24"/>
  <c r="S456" i="24"/>
  <c r="R456" i="24"/>
  <c r="Q456" i="24"/>
  <c r="P456" i="24"/>
  <c r="S455" i="24"/>
  <c r="R455" i="24"/>
  <c r="Q455" i="24"/>
  <c r="P455" i="24"/>
  <c r="S454" i="24"/>
  <c r="R454" i="24"/>
  <c r="Q454" i="24"/>
  <c r="P454" i="24"/>
  <c r="S453" i="24"/>
  <c r="R453" i="24"/>
  <c r="Q453" i="24"/>
  <c r="P453" i="24"/>
  <c r="S452" i="24"/>
  <c r="R452" i="24"/>
  <c r="Q452" i="24"/>
  <c r="P452" i="24"/>
  <c r="S451" i="24"/>
  <c r="R451" i="24"/>
  <c r="Q451" i="24"/>
  <c r="P451" i="24"/>
  <c r="S450" i="24"/>
  <c r="R450" i="24"/>
  <c r="Q450" i="24"/>
  <c r="P450" i="24"/>
  <c r="S449" i="24"/>
  <c r="R449" i="24"/>
  <c r="Q449" i="24"/>
  <c r="P449" i="24"/>
  <c r="S448" i="24"/>
  <c r="R448" i="24"/>
  <c r="Q448" i="24"/>
  <c r="P448" i="24"/>
  <c r="S447" i="24"/>
  <c r="R447" i="24"/>
  <c r="Q447" i="24"/>
  <c r="P447" i="24"/>
  <c r="S446" i="24"/>
  <c r="R446" i="24"/>
  <c r="Q446" i="24"/>
  <c r="P446" i="24"/>
  <c r="S445" i="24"/>
  <c r="R445" i="24"/>
  <c r="Q445" i="24"/>
  <c r="P445" i="24"/>
  <c r="S444" i="24"/>
  <c r="R444" i="24"/>
  <c r="Q444" i="24"/>
  <c r="P444" i="24"/>
  <c r="S443" i="24"/>
  <c r="R443" i="24"/>
  <c r="Q443" i="24"/>
  <c r="P443" i="24"/>
  <c r="S442" i="24"/>
  <c r="R442" i="24"/>
  <c r="Q442" i="24"/>
  <c r="P442" i="24"/>
  <c r="S441" i="24"/>
  <c r="R441" i="24"/>
  <c r="Q441" i="24"/>
  <c r="P441" i="24"/>
  <c r="S440" i="24"/>
  <c r="R440" i="24"/>
  <c r="Q440" i="24"/>
  <c r="P440" i="24"/>
  <c r="S439" i="24"/>
  <c r="R439" i="24"/>
  <c r="Q439" i="24"/>
  <c r="P439" i="24"/>
  <c r="S438" i="24"/>
  <c r="R438" i="24"/>
  <c r="Q438" i="24"/>
  <c r="P438" i="24"/>
  <c r="S437" i="24"/>
  <c r="R437" i="24"/>
  <c r="Q437" i="24"/>
  <c r="P437" i="24"/>
  <c r="S436" i="24"/>
  <c r="R436" i="24"/>
  <c r="Q436" i="24"/>
  <c r="P436" i="24"/>
  <c r="S435" i="24"/>
  <c r="R435" i="24"/>
  <c r="Q435" i="24"/>
  <c r="P435" i="24"/>
  <c r="S434" i="24"/>
  <c r="R434" i="24"/>
  <c r="Q434" i="24"/>
  <c r="P434" i="24"/>
  <c r="S433" i="24"/>
  <c r="R433" i="24"/>
  <c r="Q433" i="24"/>
  <c r="P433" i="24"/>
  <c r="S432" i="24"/>
  <c r="R432" i="24"/>
  <c r="Q432" i="24"/>
  <c r="P432" i="24"/>
  <c r="S431" i="24"/>
  <c r="R431" i="24"/>
  <c r="Q431" i="24"/>
  <c r="P431" i="24"/>
  <c r="S430" i="24"/>
  <c r="R430" i="24"/>
  <c r="Q430" i="24"/>
  <c r="P430" i="24"/>
  <c r="S429" i="24"/>
  <c r="R429" i="24"/>
  <c r="Q429" i="24"/>
  <c r="P429" i="24"/>
  <c r="S428" i="24"/>
  <c r="R428" i="24"/>
  <c r="Q428" i="24"/>
  <c r="P428" i="24"/>
  <c r="S427" i="24"/>
  <c r="R427" i="24"/>
  <c r="Q427" i="24"/>
  <c r="P427" i="24"/>
  <c r="S426" i="24"/>
  <c r="R426" i="24"/>
  <c r="Q426" i="24"/>
  <c r="P426" i="24"/>
  <c r="S425" i="24"/>
  <c r="R425" i="24"/>
  <c r="Q425" i="24"/>
  <c r="P425" i="24"/>
  <c r="S424" i="24"/>
  <c r="R424" i="24"/>
  <c r="Q424" i="24"/>
  <c r="P424" i="24"/>
  <c r="S423" i="24"/>
  <c r="R423" i="24"/>
  <c r="Q423" i="24"/>
  <c r="P423" i="24"/>
  <c r="Z422" i="24"/>
  <c r="S422" i="24"/>
  <c r="R422" i="24"/>
  <c r="Q422" i="24"/>
  <c r="P422" i="24"/>
  <c r="Z421" i="24"/>
  <c r="S421" i="24"/>
  <c r="R421" i="24"/>
  <c r="Q421" i="24"/>
  <c r="P421" i="24"/>
  <c r="Z420" i="24"/>
  <c r="S420" i="24"/>
  <c r="R420" i="24"/>
  <c r="Q420" i="24"/>
  <c r="P420" i="24"/>
  <c r="Z419" i="24"/>
  <c r="S419" i="24"/>
  <c r="R419" i="24"/>
  <c r="Q419" i="24"/>
  <c r="P419" i="24"/>
  <c r="Z418" i="24"/>
  <c r="S418" i="24"/>
  <c r="R418" i="24"/>
  <c r="Q418" i="24"/>
  <c r="P418" i="24"/>
  <c r="Z417" i="24"/>
  <c r="S417" i="24"/>
  <c r="R417" i="24"/>
  <c r="Q417" i="24"/>
  <c r="P417" i="24"/>
  <c r="Z416" i="24"/>
  <c r="S416" i="24"/>
  <c r="R416" i="24"/>
  <c r="Q416" i="24"/>
  <c r="P416" i="24"/>
  <c r="Z415" i="24"/>
  <c r="S415" i="24"/>
  <c r="R415" i="24"/>
  <c r="Q415" i="24"/>
  <c r="P415" i="24"/>
  <c r="Z414" i="24"/>
  <c r="S414" i="24"/>
  <c r="R414" i="24"/>
  <c r="Q414" i="24"/>
  <c r="P414" i="24"/>
  <c r="Z413" i="24"/>
  <c r="S413" i="24"/>
  <c r="R413" i="24"/>
  <c r="Q413" i="24"/>
  <c r="P413" i="24"/>
  <c r="Z412" i="24"/>
  <c r="S412" i="24"/>
  <c r="R412" i="24"/>
  <c r="Q412" i="24"/>
  <c r="P412" i="24"/>
  <c r="Z411" i="24"/>
  <c r="S411" i="24"/>
  <c r="R411" i="24"/>
  <c r="Q411" i="24"/>
  <c r="P411" i="24"/>
  <c r="Z410" i="24"/>
  <c r="S410" i="24"/>
  <c r="R410" i="24"/>
  <c r="Q410" i="24"/>
  <c r="P410" i="24"/>
  <c r="Z409" i="24"/>
  <c r="S409" i="24"/>
  <c r="R409" i="24"/>
  <c r="Q409" i="24"/>
  <c r="P409" i="24"/>
  <c r="Z408" i="24"/>
  <c r="S408" i="24"/>
  <c r="R408" i="24"/>
  <c r="Q408" i="24"/>
  <c r="P408" i="24"/>
  <c r="Z407" i="24"/>
  <c r="S407" i="24"/>
  <c r="R407" i="24"/>
  <c r="Q407" i="24"/>
  <c r="P407" i="24"/>
  <c r="Z406" i="24"/>
  <c r="S406" i="24"/>
  <c r="R406" i="24"/>
  <c r="Q406" i="24"/>
  <c r="P406" i="24"/>
  <c r="Z405" i="24"/>
  <c r="S405" i="24"/>
  <c r="R405" i="24"/>
  <c r="Q405" i="24"/>
  <c r="P405" i="24"/>
  <c r="Z404" i="24"/>
  <c r="S404" i="24"/>
  <c r="R404" i="24"/>
  <c r="Q404" i="24"/>
  <c r="P404" i="24"/>
  <c r="Z403" i="24"/>
  <c r="S403" i="24"/>
  <c r="R403" i="24"/>
  <c r="Q403" i="24"/>
  <c r="P403" i="24"/>
  <c r="Z402" i="24"/>
  <c r="S402" i="24"/>
  <c r="R402" i="24"/>
  <c r="Q402" i="24"/>
  <c r="P402" i="24"/>
  <c r="Z401" i="24"/>
  <c r="S401" i="24"/>
  <c r="R401" i="24"/>
  <c r="Q401" i="24"/>
  <c r="P401" i="24"/>
  <c r="Z400" i="24"/>
  <c r="S400" i="24"/>
  <c r="R400" i="24"/>
  <c r="Q400" i="24"/>
  <c r="P400" i="24"/>
  <c r="Z399" i="24"/>
  <c r="S399" i="24"/>
  <c r="R399" i="24"/>
  <c r="Q399" i="24"/>
  <c r="P399" i="24"/>
  <c r="Z398" i="24"/>
  <c r="S398" i="24"/>
  <c r="R398" i="24"/>
  <c r="Q398" i="24"/>
  <c r="P398" i="24"/>
  <c r="Z397" i="24"/>
  <c r="S397" i="24"/>
  <c r="R397" i="24"/>
  <c r="Q397" i="24"/>
  <c r="P397" i="24"/>
  <c r="Z396" i="24"/>
  <c r="S396" i="24"/>
  <c r="R396" i="24"/>
  <c r="Q396" i="24"/>
  <c r="P396" i="24"/>
  <c r="Z395" i="24"/>
  <c r="S395" i="24"/>
  <c r="R395" i="24"/>
  <c r="Q395" i="24"/>
  <c r="P395" i="24"/>
  <c r="Z394" i="24"/>
  <c r="S394" i="24"/>
  <c r="R394" i="24"/>
  <c r="Q394" i="24"/>
  <c r="P394" i="24"/>
  <c r="Z393" i="24"/>
  <c r="S393" i="24"/>
  <c r="R393" i="24"/>
  <c r="Q393" i="24"/>
  <c r="P393" i="24"/>
  <c r="Z392" i="24"/>
  <c r="S392" i="24"/>
  <c r="R392" i="24"/>
  <c r="Q392" i="24"/>
  <c r="P392" i="24"/>
  <c r="Z391" i="24"/>
  <c r="S391" i="24"/>
  <c r="R391" i="24"/>
  <c r="Q391" i="24"/>
  <c r="P391" i="24"/>
  <c r="Z390" i="24"/>
  <c r="S390" i="24"/>
  <c r="R390" i="24"/>
  <c r="Q390" i="24"/>
  <c r="P390" i="24"/>
  <c r="Z389" i="24"/>
  <c r="S389" i="24"/>
  <c r="R389" i="24"/>
  <c r="Q389" i="24"/>
  <c r="P389" i="24"/>
  <c r="Z388" i="24"/>
  <c r="S388" i="24"/>
  <c r="R388" i="24"/>
  <c r="Q388" i="24"/>
  <c r="P388" i="24"/>
  <c r="Z387" i="24"/>
  <c r="S387" i="24"/>
  <c r="R387" i="24"/>
  <c r="Q387" i="24"/>
  <c r="P387" i="24"/>
  <c r="Z386" i="24"/>
  <c r="S386" i="24"/>
  <c r="R386" i="24"/>
  <c r="Q386" i="24"/>
  <c r="P386" i="24"/>
  <c r="Z385" i="24"/>
  <c r="S385" i="24"/>
  <c r="R385" i="24"/>
  <c r="Q385" i="24"/>
  <c r="P385" i="24"/>
  <c r="Z384" i="24"/>
  <c r="S384" i="24"/>
  <c r="R384" i="24"/>
  <c r="Q384" i="24"/>
  <c r="P384" i="24"/>
  <c r="Z383" i="24"/>
  <c r="S383" i="24"/>
  <c r="R383" i="24"/>
  <c r="Q383" i="24"/>
  <c r="P383" i="24"/>
  <c r="Z382" i="24"/>
  <c r="S382" i="24"/>
  <c r="R382" i="24"/>
  <c r="Q382" i="24"/>
  <c r="P382" i="24"/>
  <c r="Z381" i="24"/>
  <c r="S381" i="24"/>
  <c r="R381" i="24"/>
  <c r="Q381" i="24"/>
  <c r="P381" i="24"/>
  <c r="Z380" i="24"/>
  <c r="S380" i="24"/>
  <c r="R380" i="24"/>
  <c r="Q380" i="24"/>
  <c r="P380" i="24"/>
  <c r="Z379" i="24"/>
  <c r="S379" i="24"/>
  <c r="R379" i="24"/>
  <c r="Q379" i="24"/>
  <c r="P379" i="24"/>
  <c r="Z378" i="24"/>
  <c r="S378" i="24"/>
  <c r="R378" i="24"/>
  <c r="Q378" i="24"/>
  <c r="P378" i="24"/>
  <c r="Z377" i="24"/>
  <c r="S377" i="24"/>
  <c r="R377" i="24"/>
  <c r="Q377" i="24"/>
  <c r="P377" i="24"/>
  <c r="Z376" i="24"/>
  <c r="S376" i="24"/>
  <c r="R376" i="24"/>
  <c r="Q376" i="24"/>
  <c r="P376" i="24"/>
  <c r="Z375" i="24"/>
  <c r="S375" i="24"/>
  <c r="R375" i="24"/>
  <c r="Q375" i="24"/>
  <c r="P375" i="24"/>
  <c r="Z374" i="24"/>
  <c r="S374" i="24"/>
  <c r="R374" i="24"/>
  <c r="Q374" i="24"/>
  <c r="P374" i="24"/>
  <c r="Z373" i="24"/>
  <c r="S373" i="24"/>
  <c r="R373" i="24"/>
  <c r="Q373" i="24"/>
  <c r="P373" i="24"/>
  <c r="Z372" i="24"/>
  <c r="S372" i="24"/>
  <c r="R372" i="24"/>
  <c r="Q372" i="24"/>
  <c r="P372" i="24"/>
  <c r="Z371" i="24"/>
  <c r="S371" i="24"/>
  <c r="R371" i="24"/>
  <c r="Q371" i="24"/>
  <c r="P371" i="24"/>
  <c r="Z370" i="24"/>
  <c r="S370" i="24"/>
  <c r="R370" i="24"/>
  <c r="Q370" i="24"/>
  <c r="P370" i="24"/>
  <c r="Z369" i="24"/>
  <c r="S369" i="24"/>
  <c r="R369" i="24"/>
  <c r="Q369" i="24"/>
  <c r="P369" i="24"/>
  <c r="Z368" i="24"/>
  <c r="S368" i="24"/>
  <c r="R368" i="24"/>
  <c r="Q368" i="24"/>
  <c r="P368" i="24"/>
  <c r="Z367" i="24"/>
  <c r="S367" i="24"/>
  <c r="R367" i="24"/>
  <c r="Q367" i="24"/>
  <c r="P367" i="24"/>
  <c r="Z366" i="24"/>
  <c r="S366" i="24"/>
  <c r="R366" i="24"/>
  <c r="Q366" i="24"/>
  <c r="P366" i="24"/>
  <c r="Z365" i="24"/>
  <c r="S365" i="24"/>
  <c r="R365" i="24"/>
  <c r="Q365" i="24"/>
  <c r="P365" i="24"/>
  <c r="Z364" i="24"/>
  <c r="S364" i="24"/>
  <c r="R364" i="24"/>
  <c r="Q364" i="24"/>
  <c r="P364" i="24"/>
  <c r="Z363" i="24"/>
  <c r="S363" i="24"/>
  <c r="R363" i="24"/>
  <c r="Q363" i="24"/>
  <c r="P363" i="24"/>
  <c r="Z362" i="24"/>
  <c r="S362" i="24"/>
  <c r="R362" i="24"/>
  <c r="Q362" i="24"/>
  <c r="P362" i="24"/>
  <c r="Z361" i="24"/>
  <c r="S361" i="24"/>
  <c r="R361" i="24"/>
  <c r="Q361" i="24"/>
  <c r="P361" i="24"/>
  <c r="Z360" i="24"/>
  <c r="S360" i="24"/>
  <c r="R360" i="24"/>
  <c r="Q360" i="24"/>
  <c r="P360" i="24"/>
  <c r="Z359" i="24"/>
  <c r="S359" i="24"/>
  <c r="R359" i="24"/>
  <c r="Q359" i="24"/>
  <c r="P359" i="24"/>
  <c r="Z358" i="24"/>
  <c r="S358" i="24"/>
  <c r="R358" i="24"/>
  <c r="Q358" i="24"/>
  <c r="P358" i="24"/>
  <c r="Z357" i="24"/>
  <c r="S357" i="24"/>
  <c r="R357" i="24"/>
  <c r="Q357" i="24"/>
  <c r="P357" i="24"/>
  <c r="Z356" i="24"/>
  <c r="S356" i="24"/>
  <c r="R356" i="24"/>
  <c r="Q356" i="24"/>
  <c r="P356" i="24"/>
  <c r="Z355" i="24"/>
  <c r="S355" i="24"/>
  <c r="R355" i="24"/>
  <c r="Q355" i="24"/>
  <c r="P355" i="24"/>
  <c r="Z354" i="24"/>
  <c r="S354" i="24"/>
  <c r="R354" i="24"/>
  <c r="Q354" i="24"/>
  <c r="P354" i="24"/>
  <c r="Z353" i="24"/>
  <c r="S353" i="24"/>
  <c r="R353" i="24"/>
  <c r="Q353" i="24"/>
  <c r="P353" i="24"/>
  <c r="Z352" i="24"/>
  <c r="S352" i="24"/>
  <c r="R352" i="24"/>
  <c r="Q352" i="24"/>
  <c r="P352" i="24"/>
  <c r="Z351" i="24"/>
  <c r="S351" i="24"/>
  <c r="R351" i="24"/>
  <c r="Q351" i="24"/>
  <c r="P351" i="24"/>
  <c r="Z350" i="24"/>
  <c r="S350" i="24"/>
  <c r="R350" i="24"/>
  <c r="Q350" i="24"/>
  <c r="P350" i="24"/>
  <c r="Z349" i="24"/>
  <c r="S349" i="24"/>
  <c r="R349" i="24"/>
  <c r="Q349" i="24"/>
  <c r="P349" i="24"/>
  <c r="Z348" i="24"/>
  <c r="S348" i="24"/>
  <c r="R348" i="24"/>
  <c r="Q348" i="24"/>
  <c r="P348" i="24"/>
  <c r="Z347" i="24"/>
  <c r="S347" i="24"/>
  <c r="R347" i="24"/>
  <c r="Q347" i="24"/>
  <c r="P347" i="24"/>
  <c r="Z346" i="24"/>
  <c r="S346" i="24"/>
  <c r="R346" i="24"/>
  <c r="Q346" i="24"/>
  <c r="P346" i="24"/>
  <c r="Z345" i="24"/>
  <c r="S345" i="24"/>
  <c r="R345" i="24"/>
  <c r="Q345" i="24"/>
  <c r="P345" i="24"/>
  <c r="Z344" i="24"/>
  <c r="S344" i="24"/>
  <c r="R344" i="24"/>
  <c r="Q344" i="24"/>
  <c r="P344" i="24"/>
  <c r="Z343" i="24"/>
  <c r="S343" i="24"/>
  <c r="R343" i="24"/>
  <c r="Q343" i="24"/>
  <c r="P343" i="24"/>
  <c r="Z342" i="24"/>
  <c r="S342" i="24"/>
  <c r="R342" i="24"/>
  <c r="Q342" i="24"/>
  <c r="P342" i="24"/>
  <c r="Z341" i="24"/>
  <c r="S341" i="24"/>
  <c r="R341" i="24"/>
  <c r="Q341" i="24"/>
  <c r="P341" i="24"/>
  <c r="Z340" i="24"/>
  <c r="S340" i="24"/>
  <c r="R340" i="24"/>
  <c r="Q340" i="24"/>
  <c r="P340" i="24"/>
  <c r="Z339" i="24"/>
  <c r="S339" i="24"/>
  <c r="R339" i="24"/>
  <c r="Q339" i="24"/>
  <c r="P339" i="24"/>
  <c r="Z338" i="24"/>
  <c r="S338" i="24"/>
  <c r="R338" i="24"/>
  <c r="Q338" i="24"/>
  <c r="P338" i="24"/>
  <c r="Z337" i="24"/>
  <c r="S337" i="24"/>
  <c r="R337" i="24"/>
  <c r="Q337" i="24"/>
  <c r="P337" i="24"/>
  <c r="Z336" i="24"/>
  <c r="S336" i="24"/>
  <c r="R336" i="24"/>
  <c r="Q336" i="24"/>
  <c r="P336" i="24"/>
  <c r="Z335" i="24"/>
  <c r="S335" i="24"/>
  <c r="R335" i="24"/>
  <c r="Q335" i="24"/>
  <c r="P335" i="24"/>
  <c r="Z334" i="24"/>
  <c r="S334" i="24"/>
  <c r="R334" i="24"/>
  <c r="Q334" i="24"/>
  <c r="P334" i="24"/>
  <c r="Z333" i="24"/>
  <c r="S333" i="24"/>
  <c r="R333" i="24"/>
  <c r="Q333" i="24"/>
  <c r="P333" i="24"/>
  <c r="S243" i="24"/>
  <c r="R243" i="24"/>
  <c r="Q243" i="24"/>
  <c r="S242" i="24"/>
  <c r="R242" i="24"/>
  <c r="Q242" i="24"/>
  <c r="Z241" i="24"/>
  <c r="S241" i="24"/>
  <c r="R241" i="24"/>
  <c r="Q241" i="24"/>
  <c r="Q244" i="24"/>
  <c r="R244" i="24"/>
  <c r="S244" i="24"/>
  <c r="S240" i="24"/>
  <c r="R240" i="24"/>
  <c r="Q240" i="24"/>
  <c r="S239" i="24"/>
  <c r="R239" i="24"/>
  <c r="Q239" i="24"/>
  <c r="S238" i="24"/>
  <c r="R238" i="24"/>
  <c r="Q238" i="24"/>
  <c r="S237" i="24"/>
  <c r="R237" i="24"/>
  <c r="Q237" i="24"/>
  <c r="Q182" i="24"/>
  <c r="R182" i="24"/>
  <c r="S182" i="24"/>
  <c r="Q183" i="24"/>
  <c r="R183" i="24"/>
  <c r="S183" i="24"/>
  <c r="Q184" i="24"/>
  <c r="R184" i="24"/>
  <c r="S184" i="24"/>
  <c r="Q185" i="24"/>
  <c r="R185" i="24"/>
  <c r="S185" i="24"/>
  <c r="Q186" i="24"/>
  <c r="R186" i="24"/>
  <c r="S186" i="24"/>
  <c r="Q187" i="24"/>
  <c r="R187" i="24"/>
  <c r="S187" i="24"/>
  <c r="Q188" i="24"/>
  <c r="R188" i="24"/>
  <c r="S188" i="24"/>
  <c r="Q189" i="24"/>
  <c r="R189" i="24"/>
  <c r="S189" i="24"/>
  <c r="Q190" i="24"/>
  <c r="R190" i="24"/>
  <c r="S190" i="24"/>
  <c r="Q191" i="24"/>
  <c r="R191" i="24"/>
  <c r="S191" i="24"/>
  <c r="Q192" i="24"/>
  <c r="R192" i="24"/>
  <c r="S192" i="24"/>
  <c r="Q193" i="24"/>
  <c r="R193" i="24"/>
  <c r="S193" i="24"/>
  <c r="Q194" i="24"/>
  <c r="R194" i="24"/>
  <c r="S194" i="24"/>
  <c r="Q195" i="24"/>
  <c r="R195" i="24"/>
  <c r="S195" i="24"/>
  <c r="Q196" i="24"/>
  <c r="R196" i="24"/>
  <c r="S196" i="24"/>
  <c r="Z196" i="24"/>
  <c r="Q197" i="24"/>
  <c r="R197" i="24"/>
  <c r="S197" i="24"/>
  <c r="Z197" i="24"/>
  <c r="Q198" i="24"/>
  <c r="R198" i="24"/>
  <c r="S198" i="24"/>
  <c r="Q199" i="24"/>
  <c r="R199" i="24"/>
  <c r="S199" i="24"/>
  <c r="Q200" i="24"/>
  <c r="R200" i="24"/>
  <c r="S200" i="24"/>
  <c r="Q201" i="24"/>
  <c r="R201" i="24"/>
  <c r="S201" i="24"/>
  <c r="Z201" i="24"/>
  <c r="Q202" i="24"/>
  <c r="R202" i="24"/>
  <c r="S202" i="24"/>
  <c r="Q203" i="24"/>
  <c r="R203" i="24"/>
  <c r="S203" i="24"/>
  <c r="Z203" i="24"/>
  <c r="Q204" i="24"/>
  <c r="R204" i="24"/>
  <c r="S204" i="24"/>
  <c r="Q205" i="24"/>
  <c r="R205" i="24"/>
  <c r="S205" i="24"/>
  <c r="Q206" i="24"/>
  <c r="R206" i="24"/>
  <c r="S206" i="24"/>
  <c r="Q207" i="24"/>
  <c r="R207" i="24"/>
  <c r="S207" i="24"/>
  <c r="Q208" i="24"/>
  <c r="R208" i="24"/>
  <c r="S208" i="24"/>
  <c r="Q209" i="24"/>
  <c r="R209" i="24"/>
  <c r="S209" i="24"/>
  <c r="Q210" i="24"/>
  <c r="R210" i="24"/>
  <c r="S210" i="24"/>
  <c r="Q211" i="24"/>
  <c r="R211" i="24"/>
  <c r="S211" i="24"/>
  <c r="Q212" i="24"/>
  <c r="R212" i="24"/>
  <c r="S212" i="24"/>
  <c r="Q213" i="24"/>
  <c r="R213" i="24"/>
  <c r="S213" i="24"/>
  <c r="Q214" i="24"/>
  <c r="R214" i="24"/>
  <c r="S214" i="24"/>
  <c r="Q215" i="24"/>
  <c r="R215" i="24"/>
  <c r="S215" i="24"/>
  <c r="Z215" i="24"/>
  <c r="Q216" i="24"/>
  <c r="R216" i="24"/>
  <c r="S216" i="24"/>
  <c r="Q219" i="24"/>
  <c r="R219" i="24"/>
  <c r="S219" i="24"/>
  <c r="Q217" i="24"/>
  <c r="R217" i="24"/>
  <c r="S217" i="24"/>
  <c r="Q218" i="24"/>
  <c r="R218" i="24"/>
  <c r="S218" i="24"/>
  <c r="Q228" i="24"/>
  <c r="R228" i="24"/>
  <c r="S228" i="24"/>
  <c r="Q229" i="24"/>
  <c r="R229" i="24"/>
  <c r="S229" i="24"/>
  <c r="Q230" i="24"/>
  <c r="R230" i="24"/>
  <c r="S230" i="24"/>
  <c r="Q220" i="24"/>
  <c r="R220" i="24"/>
  <c r="S220" i="24"/>
  <c r="Q221" i="24"/>
  <c r="R221" i="24"/>
  <c r="S221" i="24"/>
  <c r="Q222" i="24"/>
  <c r="R222" i="24"/>
  <c r="S222" i="24"/>
  <c r="Q223" i="24"/>
  <c r="R223" i="24"/>
  <c r="S223" i="24"/>
  <c r="Q231" i="24"/>
  <c r="R231" i="24"/>
  <c r="S231" i="24"/>
  <c r="Q224" i="24"/>
  <c r="R224" i="24"/>
  <c r="S224" i="24"/>
  <c r="Q225" i="24"/>
  <c r="R225" i="24"/>
  <c r="S225" i="24"/>
  <c r="Q226" i="24"/>
  <c r="R226" i="24"/>
  <c r="S226" i="24"/>
  <c r="Q227" i="24"/>
  <c r="R227" i="24"/>
  <c r="S227" i="24"/>
  <c r="Q232" i="24"/>
  <c r="R232" i="24"/>
  <c r="S232" i="24"/>
  <c r="Q233" i="24"/>
  <c r="R233" i="24"/>
  <c r="S233" i="24"/>
  <c r="Q234" i="24"/>
  <c r="R234" i="24"/>
  <c r="S234" i="24"/>
  <c r="Q235" i="24"/>
  <c r="R235" i="24"/>
  <c r="S235" i="24"/>
  <c r="Q236" i="24"/>
  <c r="R236" i="24"/>
  <c r="S236" i="24"/>
  <c r="Q176" i="24"/>
  <c r="R176" i="24"/>
  <c r="S176" i="24"/>
  <c r="Q177" i="24"/>
  <c r="R177" i="24"/>
  <c r="S177" i="24"/>
  <c r="Q178" i="24"/>
  <c r="R178" i="24"/>
  <c r="S178" i="24"/>
  <c r="Q179" i="24"/>
  <c r="R179" i="24"/>
  <c r="S179" i="24"/>
  <c r="Q180" i="24"/>
  <c r="R180" i="24"/>
  <c r="S180" i="24"/>
  <c r="Q181" i="24"/>
  <c r="R181" i="24"/>
  <c r="S181" i="24"/>
  <c r="Q168" i="24"/>
  <c r="R168" i="24"/>
  <c r="S168" i="24"/>
  <c r="Q169" i="24"/>
  <c r="R169" i="24"/>
  <c r="S169" i="24"/>
  <c r="Q170" i="24"/>
  <c r="R170" i="24"/>
  <c r="S170" i="24"/>
  <c r="Q171" i="24"/>
  <c r="R171" i="24"/>
  <c r="S171" i="24"/>
  <c r="Q172" i="24"/>
  <c r="R172" i="24"/>
  <c r="S172" i="24"/>
  <c r="Q173" i="24"/>
  <c r="R173" i="24"/>
  <c r="S173" i="24"/>
  <c r="Q174" i="24"/>
  <c r="R174" i="24"/>
  <c r="S174" i="24"/>
  <c r="Q175" i="24"/>
  <c r="R175" i="24"/>
  <c r="S175" i="24"/>
  <c r="S167" i="24"/>
  <c r="R167" i="24"/>
  <c r="Q167" i="24"/>
  <c r="S166" i="24"/>
  <c r="R166" i="24"/>
  <c r="Q166" i="24"/>
  <c r="S165" i="24"/>
  <c r="R165" i="24"/>
  <c r="Q165" i="24"/>
  <c r="Z164" i="24"/>
  <c r="S164" i="24"/>
  <c r="R164" i="24"/>
  <c r="Q164" i="24"/>
  <c r="Z163" i="24"/>
  <c r="S163" i="24"/>
  <c r="R163" i="24"/>
  <c r="Q163" i="24"/>
  <c r="Z162" i="24"/>
  <c r="S162" i="24"/>
  <c r="R162" i="24"/>
  <c r="Q162" i="24"/>
  <c r="S161" i="24"/>
  <c r="R161" i="24"/>
  <c r="Q161" i="24"/>
  <c r="Z160" i="24"/>
  <c r="S160" i="24"/>
  <c r="R160" i="24"/>
  <c r="Q160" i="24"/>
  <c r="Z159" i="24"/>
  <c r="S159" i="24"/>
  <c r="R159" i="24"/>
  <c r="Q159" i="24"/>
  <c r="Z158" i="24"/>
  <c r="S158" i="24"/>
  <c r="R158" i="24"/>
  <c r="Q158" i="24"/>
  <c r="Z157" i="24"/>
  <c r="S157" i="24"/>
  <c r="R157" i="24"/>
  <c r="Q157" i="24"/>
  <c r="Z156" i="24"/>
  <c r="S156" i="24"/>
  <c r="R156" i="24"/>
  <c r="Q156" i="24"/>
  <c r="S155" i="24"/>
  <c r="R155" i="24"/>
  <c r="Q155" i="24"/>
  <c r="S154" i="24"/>
  <c r="R154" i="24"/>
  <c r="Q154" i="24"/>
  <c r="S153" i="24"/>
  <c r="R153" i="24"/>
  <c r="Q153" i="24"/>
  <c r="S152" i="24"/>
  <c r="R152" i="24"/>
  <c r="Q152" i="24"/>
  <c r="S151" i="24"/>
  <c r="R151" i="24"/>
  <c r="Q151" i="24"/>
  <c r="S150" i="24"/>
  <c r="R150" i="24"/>
  <c r="Q150" i="24"/>
  <c r="S149" i="24"/>
  <c r="R149" i="24"/>
  <c r="Q149" i="24"/>
  <c r="Z148" i="24"/>
  <c r="S148" i="24"/>
  <c r="R148" i="24"/>
  <c r="Q148" i="24"/>
  <c r="S147" i="24"/>
  <c r="R147" i="24"/>
  <c r="Q147" i="24"/>
  <c r="Z146" i="24"/>
  <c r="S146" i="24"/>
  <c r="R146" i="24"/>
  <c r="Q146" i="24"/>
  <c r="S145" i="24"/>
  <c r="R145" i="24"/>
  <c r="Q145" i="24"/>
  <c r="S144" i="24"/>
  <c r="R144" i="24"/>
  <c r="Q144" i="24"/>
  <c r="S143" i="24"/>
  <c r="R143" i="24"/>
  <c r="Q143" i="24"/>
  <c r="Z142" i="24"/>
  <c r="S142" i="24"/>
  <c r="R142" i="24"/>
  <c r="Q142" i="24"/>
  <c r="S141" i="24"/>
  <c r="R141" i="24"/>
  <c r="Q141" i="24"/>
  <c r="S140" i="24"/>
  <c r="R140" i="24"/>
  <c r="Q140" i="24"/>
  <c r="Z139" i="24"/>
  <c r="S139" i="24"/>
  <c r="R139" i="24"/>
  <c r="Q139" i="24"/>
  <c r="Z138" i="24"/>
  <c r="S138" i="24"/>
  <c r="R138" i="24"/>
  <c r="Q138" i="24"/>
  <c r="S137" i="24"/>
  <c r="R137" i="24"/>
  <c r="Q137" i="24"/>
  <c r="S136" i="24"/>
  <c r="R136" i="24"/>
  <c r="Q136" i="24"/>
  <c r="S135" i="24"/>
  <c r="R135" i="24"/>
  <c r="Q135" i="24"/>
  <c r="S134" i="24"/>
  <c r="R134" i="24"/>
  <c r="Q134" i="24"/>
  <c r="S133" i="24"/>
  <c r="R133" i="24"/>
  <c r="Q133" i="24"/>
  <c r="Z132" i="24"/>
  <c r="S132" i="24"/>
  <c r="R132" i="24"/>
  <c r="Q132" i="24"/>
  <c r="S131" i="24"/>
  <c r="R131" i="24"/>
  <c r="Q131" i="24"/>
  <c r="S130" i="24"/>
  <c r="R130" i="24"/>
  <c r="Q130" i="24"/>
  <c r="S129" i="24"/>
  <c r="R129" i="24"/>
  <c r="Q129" i="24"/>
  <c r="S128" i="24"/>
  <c r="R128" i="24"/>
  <c r="Q128" i="24"/>
  <c r="S127" i="24"/>
  <c r="R127" i="24"/>
  <c r="Q127" i="24"/>
  <c r="S126" i="24"/>
  <c r="R126" i="24"/>
  <c r="Q126" i="24"/>
  <c r="S125" i="24"/>
  <c r="R125" i="24"/>
  <c r="Q125" i="24"/>
  <c r="S124" i="24"/>
  <c r="R124" i="24"/>
  <c r="Q124" i="24"/>
  <c r="S123" i="24"/>
  <c r="R123" i="24"/>
  <c r="Q123" i="24"/>
  <c r="S122" i="24"/>
  <c r="R122" i="24"/>
  <c r="Q122" i="24"/>
  <c r="S121" i="24"/>
  <c r="R121" i="24"/>
  <c r="Q121" i="24"/>
  <c r="S120" i="24"/>
  <c r="R120" i="24"/>
  <c r="Q120" i="24"/>
  <c r="Z119" i="24"/>
  <c r="S119" i="24"/>
  <c r="R119" i="24"/>
  <c r="Q119" i="24"/>
  <c r="Z118" i="24"/>
  <c r="S118" i="24"/>
  <c r="R118" i="24"/>
  <c r="Q118" i="24"/>
  <c r="S117" i="24"/>
  <c r="R117" i="24"/>
  <c r="Q117" i="24"/>
  <c r="S116" i="24"/>
  <c r="R116" i="24"/>
  <c r="Q116" i="24"/>
  <c r="S115" i="24"/>
  <c r="R115" i="24"/>
  <c r="Q115" i="24"/>
  <c r="S114" i="24"/>
  <c r="R114" i="24"/>
  <c r="Q114" i="24"/>
  <c r="S113" i="24"/>
  <c r="R113" i="24"/>
  <c r="Q113" i="24"/>
  <c r="S112" i="24"/>
  <c r="R112" i="24"/>
  <c r="Q112" i="24"/>
  <c r="S111" i="24"/>
  <c r="R111" i="24"/>
  <c r="Q111" i="24"/>
  <c r="Z110" i="24"/>
  <c r="S110" i="24"/>
  <c r="R110" i="24"/>
  <c r="Q110" i="24"/>
  <c r="Z109" i="24"/>
  <c r="S109" i="24"/>
  <c r="R109" i="24"/>
  <c r="Q109" i="24"/>
  <c r="Z108" i="24"/>
  <c r="S108" i="24"/>
  <c r="R108" i="24"/>
  <c r="Q108" i="24"/>
  <c r="Z107" i="24"/>
  <c r="S107" i="24"/>
  <c r="R107" i="24"/>
  <c r="Q107" i="24"/>
  <c r="S106" i="24"/>
  <c r="R106" i="24"/>
  <c r="Q106" i="24"/>
  <c r="S105" i="24"/>
  <c r="R105" i="24"/>
  <c r="Q105" i="24"/>
  <c r="S104" i="24"/>
  <c r="R104" i="24"/>
  <c r="Q104" i="24"/>
  <c r="S103" i="24"/>
  <c r="R103" i="24"/>
  <c r="Q103" i="24"/>
  <c r="S102" i="24"/>
  <c r="R102" i="24"/>
  <c r="Q102" i="24"/>
  <c r="S101" i="24"/>
  <c r="R101" i="24"/>
  <c r="Q101" i="24"/>
  <c r="S100" i="24"/>
  <c r="R100" i="24"/>
  <c r="Q100" i="24"/>
  <c r="S99" i="24"/>
  <c r="R99" i="24"/>
  <c r="Q99" i="24"/>
  <c r="Z98" i="24"/>
  <c r="S98" i="24"/>
  <c r="R98" i="24"/>
  <c r="Q98" i="24"/>
  <c r="S97" i="24"/>
  <c r="R97" i="24"/>
  <c r="Q97" i="24"/>
  <c r="S96" i="24"/>
  <c r="R96" i="24"/>
  <c r="Q96" i="24"/>
  <c r="Z95" i="24"/>
  <c r="S95" i="24"/>
  <c r="R95" i="24"/>
  <c r="Q95" i="24"/>
  <c r="Z94" i="24"/>
  <c r="S94" i="24"/>
  <c r="R94" i="24"/>
  <c r="Q94" i="24"/>
  <c r="S93" i="24"/>
  <c r="R93" i="24"/>
  <c r="Q93" i="24"/>
  <c r="S92" i="24"/>
  <c r="R92" i="24"/>
  <c r="Q92" i="24"/>
  <c r="Z91" i="24"/>
  <c r="S91" i="24"/>
  <c r="R91" i="24"/>
  <c r="Q91" i="24"/>
  <c r="S90" i="24"/>
  <c r="R90" i="24"/>
  <c r="Q90" i="24"/>
  <c r="Z89" i="24"/>
  <c r="S89" i="24"/>
  <c r="R89" i="24"/>
  <c r="Q89" i="24"/>
  <c r="Z88" i="24"/>
  <c r="S88" i="24"/>
  <c r="R88" i="24"/>
  <c r="Q88" i="24"/>
  <c r="Z87" i="24"/>
  <c r="S87" i="24"/>
  <c r="R87" i="24"/>
  <c r="Q87" i="24"/>
  <c r="Z86" i="24"/>
  <c r="S86" i="24"/>
  <c r="R86" i="24"/>
  <c r="Q86" i="24"/>
  <c r="Z85" i="24"/>
  <c r="S85" i="24"/>
  <c r="R85" i="24"/>
  <c r="Q85" i="24"/>
  <c r="Z84" i="24"/>
  <c r="S84" i="24"/>
  <c r="R84" i="24"/>
  <c r="Q84" i="24"/>
  <c r="Z83" i="24"/>
  <c r="S83" i="24"/>
  <c r="R83" i="24"/>
  <c r="Q83" i="24"/>
  <c r="Z82" i="24"/>
  <c r="S82" i="24"/>
  <c r="R82" i="24"/>
  <c r="Q82" i="24"/>
  <c r="S81" i="24"/>
  <c r="R81" i="24"/>
  <c r="Q81" i="24"/>
  <c r="S80" i="24"/>
  <c r="R80" i="24"/>
  <c r="Q80" i="24"/>
  <c r="S79" i="24"/>
  <c r="R79" i="24"/>
  <c r="Q79" i="24"/>
  <c r="Z78" i="24"/>
  <c r="S78" i="24"/>
  <c r="R78" i="24"/>
  <c r="Q78" i="24"/>
  <c r="S77" i="24"/>
  <c r="R77" i="24"/>
  <c r="Q77" i="24"/>
  <c r="S76" i="24"/>
  <c r="R76" i="24"/>
  <c r="Q76" i="24"/>
  <c r="S75" i="24"/>
  <c r="R75" i="24"/>
  <c r="Q75" i="24"/>
  <c r="S74" i="24"/>
  <c r="R74" i="24"/>
  <c r="Q74" i="24"/>
  <c r="S73" i="24"/>
  <c r="R73" i="24"/>
  <c r="Q73" i="24"/>
  <c r="S72" i="24"/>
  <c r="R72" i="24"/>
  <c r="Q72" i="24"/>
  <c r="S71" i="24"/>
  <c r="R71" i="24"/>
  <c r="Q71" i="24"/>
  <c r="S70" i="24"/>
  <c r="R70" i="24"/>
  <c r="Q70" i="24"/>
  <c r="S69" i="24"/>
  <c r="R69" i="24"/>
  <c r="Q69" i="24"/>
  <c r="S68" i="24"/>
  <c r="R68" i="24"/>
  <c r="Q68" i="24"/>
  <c r="S67" i="24"/>
  <c r="R67" i="24"/>
  <c r="Q67" i="24"/>
  <c r="S66" i="24"/>
  <c r="R66" i="24"/>
  <c r="Q66" i="24"/>
  <c r="S65" i="24"/>
  <c r="R65" i="24"/>
  <c r="Q65" i="24"/>
  <c r="S64" i="24"/>
  <c r="R64" i="24"/>
  <c r="Q64" i="24"/>
  <c r="S63" i="24"/>
  <c r="R63" i="24"/>
  <c r="Q63" i="24"/>
  <c r="S62" i="24"/>
  <c r="R62" i="24"/>
  <c r="Q62" i="24"/>
  <c r="S61" i="24"/>
  <c r="R61" i="24"/>
  <c r="Q61" i="24"/>
  <c r="S60" i="24"/>
  <c r="R60" i="24"/>
  <c r="Q60" i="24"/>
  <c r="S59" i="24"/>
  <c r="R59" i="24"/>
  <c r="Q59" i="24"/>
  <c r="S58" i="24"/>
  <c r="R58" i="24"/>
  <c r="Q58" i="24"/>
  <c r="Z753" i="24"/>
  <c r="S753" i="24"/>
  <c r="R753" i="24"/>
  <c r="Q753" i="24"/>
  <c r="P753" i="24"/>
  <c r="Z752" i="24"/>
  <c r="S752" i="24"/>
  <c r="R752" i="24"/>
  <c r="Q752" i="24"/>
  <c r="P752" i="24"/>
  <c r="Z751" i="24"/>
  <c r="S751" i="24"/>
  <c r="R751" i="24"/>
  <c r="Q751" i="24"/>
  <c r="P751" i="24"/>
  <c r="Z750" i="24"/>
  <c r="S750" i="24"/>
  <c r="R750" i="24"/>
  <c r="Q750" i="24"/>
  <c r="P750" i="24"/>
  <c r="Z749" i="24"/>
  <c r="S749" i="24"/>
  <c r="R749" i="24"/>
  <c r="Q749" i="24"/>
  <c r="P749" i="24"/>
  <c r="Z748" i="24"/>
  <c r="S748" i="24"/>
  <c r="R748" i="24"/>
  <c r="Q748" i="24"/>
  <c r="P748" i="24"/>
  <c r="Z747" i="24"/>
  <c r="S747" i="24"/>
  <c r="R747" i="24"/>
  <c r="Q747" i="24"/>
  <c r="P747" i="24"/>
  <c r="Z746" i="24"/>
  <c r="S746" i="24"/>
  <c r="R746" i="24"/>
  <c r="Q746" i="24"/>
  <c r="P746" i="24"/>
  <c r="Z745" i="24"/>
  <c r="S745" i="24"/>
  <c r="R745" i="24"/>
  <c r="Q745" i="24"/>
  <c r="P745" i="24"/>
  <c r="Z744" i="24"/>
  <c r="S744" i="24"/>
  <c r="R744" i="24"/>
  <c r="Q744" i="24"/>
  <c r="P744" i="24"/>
  <c r="Z743" i="24"/>
  <c r="S743" i="24"/>
  <c r="R743" i="24"/>
  <c r="Q743" i="24"/>
  <c r="P743" i="24"/>
  <c r="Z742" i="24"/>
  <c r="S742" i="24"/>
  <c r="R742" i="24"/>
  <c r="Q742" i="24"/>
  <c r="P742" i="24"/>
  <c r="Z741" i="24"/>
  <c r="S741" i="24"/>
  <c r="R741" i="24"/>
  <c r="Q741" i="24"/>
  <c r="P741" i="24"/>
  <c r="Z740" i="24"/>
  <c r="S740" i="24"/>
  <c r="R740" i="24"/>
  <c r="Q740" i="24"/>
  <c r="P740" i="24"/>
  <c r="Z739" i="24"/>
  <c r="S739" i="24"/>
  <c r="R739" i="24"/>
  <c r="Q739" i="24"/>
  <c r="P739" i="24"/>
  <c r="Z738" i="24"/>
  <c r="S738" i="24"/>
  <c r="R738" i="24"/>
  <c r="Q738" i="24"/>
  <c r="P738" i="24"/>
  <c r="Z737" i="24"/>
  <c r="S737" i="24"/>
  <c r="R737" i="24"/>
  <c r="Q737" i="24"/>
  <c r="P737" i="24"/>
  <c r="Z736" i="24"/>
  <c r="S736" i="24"/>
  <c r="R736" i="24"/>
  <c r="Q736" i="24"/>
  <c r="P736" i="24"/>
  <c r="Z735" i="24"/>
  <c r="S735" i="24"/>
  <c r="R735" i="24"/>
  <c r="Q735" i="24"/>
  <c r="P735" i="24"/>
  <c r="Z734" i="24"/>
  <c r="S734" i="24"/>
  <c r="R734" i="24"/>
  <c r="Q734" i="24"/>
  <c r="P734" i="24"/>
  <c r="Z733" i="24"/>
  <c r="S733" i="24"/>
  <c r="R733" i="24"/>
  <c r="Q733" i="24"/>
  <c r="P733" i="24"/>
  <c r="Z732" i="24"/>
  <c r="S732" i="24"/>
  <c r="R732" i="24"/>
  <c r="Q732" i="24"/>
  <c r="P732" i="24"/>
  <c r="Z731" i="24"/>
  <c r="S731" i="24"/>
  <c r="R731" i="24"/>
  <c r="Q731" i="24"/>
  <c r="P731" i="24"/>
  <c r="Z730" i="24"/>
  <c r="S730" i="24"/>
  <c r="R730" i="24"/>
  <c r="Q730" i="24"/>
  <c r="P730" i="24"/>
  <c r="Z729" i="24"/>
  <c r="S729" i="24"/>
  <c r="R729" i="24"/>
  <c r="Q729" i="24"/>
  <c r="P729" i="24"/>
  <c r="Z728" i="24"/>
  <c r="S728" i="24"/>
  <c r="R728" i="24"/>
  <c r="Q728" i="24"/>
  <c r="P728" i="24"/>
  <c r="Z727" i="24"/>
  <c r="S727" i="24"/>
  <c r="R727" i="24"/>
  <c r="Q727" i="24"/>
  <c r="P727" i="24"/>
  <c r="Z726" i="24"/>
  <c r="S726" i="24"/>
  <c r="R726" i="24"/>
  <c r="Q726" i="24"/>
  <c r="P726" i="24"/>
  <c r="Z725" i="24"/>
  <c r="S725" i="24"/>
  <c r="R725" i="24"/>
  <c r="Q725" i="24"/>
  <c r="P725" i="24"/>
  <c r="Z724" i="24"/>
  <c r="S724" i="24"/>
  <c r="R724" i="24"/>
  <c r="Q724" i="24"/>
  <c r="P724" i="24"/>
  <c r="Z723" i="24"/>
  <c r="S723" i="24"/>
  <c r="R723" i="24"/>
  <c r="Q723" i="24"/>
  <c r="P723" i="24"/>
  <c r="Z722" i="24"/>
  <c r="S722" i="24"/>
  <c r="R722" i="24"/>
  <c r="Q722" i="24"/>
  <c r="P722" i="24"/>
  <c r="Z721" i="24"/>
  <c r="S721" i="24"/>
  <c r="R721" i="24"/>
  <c r="Q721" i="24"/>
  <c r="P721" i="24"/>
  <c r="Z720" i="24"/>
  <c r="S720" i="24"/>
  <c r="R720" i="24"/>
  <c r="Q720" i="24"/>
  <c r="P720" i="24"/>
  <c r="Z719" i="24"/>
  <c r="S719" i="24"/>
  <c r="R719" i="24"/>
  <c r="Q719" i="24"/>
  <c r="P719" i="24"/>
  <c r="Z718" i="24"/>
  <c r="S718" i="24"/>
  <c r="R718" i="24"/>
  <c r="Q718" i="24"/>
  <c r="P718" i="24"/>
  <c r="Z717" i="24"/>
  <c r="S717" i="24"/>
  <c r="R717" i="24"/>
  <c r="Q717" i="24"/>
  <c r="P717" i="24"/>
  <c r="Z716" i="24"/>
  <c r="S716" i="24"/>
  <c r="R716" i="24"/>
  <c r="Q716" i="24"/>
  <c r="P716" i="24"/>
  <c r="Z715" i="24"/>
  <c r="S715" i="24"/>
  <c r="R715" i="24"/>
  <c r="Q715" i="24"/>
  <c r="P715" i="24"/>
  <c r="Z714" i="24"/>
  <c r="S714" i="24"/>
  <c r="R714" i="24"/>
  <c r="Q714" i="24"/>
  <c r="P714" i="24"/>
  <c r="Z713" i="24"/>
  <c r="S713" i="24"/>
  <c r="R713" i="24"/>
  <c r="Q713" i="24"/>
  <c r="P713" i="24"/>
  <c r="Z712" i="24"/>
  <c r="S712" i="24"/>
  <c r="R712" i="24"/>
  <c r="Q712" i="24"/>
  <c r="P712" i="24"/>
  <c r="Z711" i="24"/>
  <c r="S711" i="24"/>
  <c r="R711" i="24"/>
  <c r="Q711" i="24"/>
  <c r="P711" i="24"/>
  <c r="Z710" i="24"/>
  <c r="S710" i="24"/>
  <c r="R710" i="24"/>
  <c r="Q710" i="24"/>
  <c r="P710" i="24"/>
  <c r="Z709" i="24"/>
  <c r="S709" i="24"/>
  <c r="R709" i="24"/>
  <c r="Q709" i="24"/>
  <c r="P709" i="24"/>
  <c r="Z708" i="24"/>
  <c r="S708" i="24"/>
  <c r="R708" i="24"/>
  <c r="Q708" i="24"/>
  <c r="P708" i="24"/>
  <c r="Z707" i="24"/>
  <c r="S707" i="24"/>
  <c r="R707" i="24"/>
  <c r="Q707" i="24"/>
  <c r="P707" i="24"/>
  <c r="Z706" i="24"/>
  <c r="S706" i="24"/>
  <c r="R706" i="24"/>
  <c r="Q706" i="24"/>
  <c r="P706" i="24"/>
  <c r="Z705" i="24"/>
  <c r="S705" i="24"/>
  <c r="R705" i="24"/>
  <c r="Q705" i="24"/>
  <c r="P705" i="24"/>
  <c r="Z704" i="24"/>
  <c r="S704" i="24"/>
  <c r="R704" i="24"/>
  <c r="Q704" i="24"/>
  <c r="P704" i="24"/>
  <c r="Z703" i="24"/>
  <c r="S703" i="24"/>
  <c r="R703" i="24"/>
  <c r="Q703" i="24"/>
  <c r="P703" i="24"/>
  <c r="Z702" i="24"/>
  <c r="S702" i="24"/>
  <c r="R702" i="24"/>
  <c r="Q702" i="24"/>
  <c r="P702" i="24"/>
  <c r="Z701" i="24"/>
  <c r="S701" i="24"/>
  <c r="R701" i="24"/>
  <c r="Q701" i="24"/>
  <c r="P701" i="24"/>
  <c r="Z700" i="24"/>
  <c r="S700" i="24"/>
  <c r="R700" i="24"/>
  <c r="Q700" i="24"/>
  <c r="P700" i="24"/>
  <c r="Z699" i="24"/>
  <c r="S699" i="24"/>
  <c r="R699" i="24"/>
  <c r="Q699" i="24"/>
  <c r="P699" i="24"/>
  <c r="Z698" i="24"/>
  <c r="S698" i="24"/>
  <c r="R698" i="24"/>
  <c r="Q698" i="24"/>
  <c r="P698" i="24"/>
  <c r="Z697" i="24"/>
  <c r="S697" i="24"/>
  <c r="R697" i="24"/>
  <c r="Q697" i="24"/>
  <c r="P697" i="24"/>
  <c r="Z696" i="24"/>
  <c r="S696" i="24"/>
  <c r="R696" i="24"/>
  <c r="Q696" i="24"/>
  <c r="P696" i="24"/>
  <c r="Z695" i="24"/>
  <c r="S695" i="24"/>
  <c r="R695" i="24"/>
  <c r="Q695" i="24"/>
  <c r="P695" i="24"/>
  <c r="Z694" i="24"/>
  <c r="S694" i="24"/>
  <c r="R694" i="24"/>
  <c r="Q694" i="24"/>
  <c r="P694" i="24"/>
  <c r="Z693" i="24"/>
  <c r="S693" i="24"/>
  <c r="R693" i="24"/>
  <c r="Q693" i="24"/>
  <c r="P693" i="24"/>
  <c r="Z692" i="24"/>
  <c r="S692" i="24"/>
  <c r="R692" i="24"/>
  <c r="Q692" i="24"/>
  <c r="P692" i="24"/>
  <c r="Z691" i="24"/>
  <c r="S691" i="24"/>
  <c r="R691" i="24"/>
  <c r="Q691" i="24"/>
  <c r="P691" i="24"/>
  <c r="Z690" i="24"/>
  <c r="S690" i="24"/>
  <c r="R690" i="24"/>
  <c r="Q690" i="24"/>
  <c r="P690" i="24"/>
  <c r="Z689" i="24"/>
  <c r="S689" i="24"/>
  <c r="R689" i="24"/>
  <c r="Q689" i="24"/>
  <c r="P689" i="24"/>
  <c r="Z688" i="24"/>
  <c r="S688" i="24"/>
  <c r="R688" i="24"/>
  <c r="Q688" i="24"/>
  <c r="P688" i="24"/>
  <c r="Z687" i="24"/>
  <c r="S687" i="24"/>
  <c r="R687" i="24"/>
  <c r="Q687" i="24"/>
  <c r="P687" i="24"/>
  <c r="Z686" i="24"/>
  <c r="S686" i="24"/>
  <c r="R686" i="24"/>
  <c r="Q686" i="24"/>
  <c r="P686" i="24"/>
  <c r="Z685" i="24"/>
  <c r="S685" i="24"/>
  <c r="R685" i="24"/>
  <c r="Q685" i="24"/>
  <c r="P685" i="24"/>
  <c r="Z684" i="24"/>
  <c r="S684" i="24"/>
  <c r="R684" i="24"/>
  <c r="Q684" i="24"/>
  <c r="P684" i="24"/>
  <c r="Z683" i="24"/>
  <c r="S683" i="24"/>
  <c r="R683" i="24"/>
  <c r="Q683" i="24"/>
  <c r="P683" i="24"/>
  <c r="Z682" i="24"/>
  <c r="S682" i="24"/>
  <c r="R682" i="24"/>
  <c r="Q682" i="24"/>
  <c r="P682" i="24"/>
  <c r="Z681" i="24"/>
  <c r="S681" i="24"/>
  <c r="R681" i="24"/>
  <c r="Q681" i="24"/>
  <c r="P681" i="24"/>
  <c r="Z680" i="24"/>
  <c r="S680" i="24"/>
  <c r="R680" i="24"/>
  <c r="Q680" i="24"/>
  <c r="P680" i="24"/>
  <c r="Z679" i="24"/>
  <c r="S679" i="24"/>
  <c r="R679" i="24"/>
  <c r="Q679" i="24"/>
  <c r="P679" i="24"/>
  <c r="Z678" i="24"/>
  <c r="S678" i="24"/>
  <c r="R678" i="24"/>
  <c r="Q678" i="24"/>
  <c r="P678" i="24"/>
  <c r="Z677" i="24"/>
  <c r="S677" i="24"/>
  <c r="R677" i="24"/>
  <c r="Q677" i="24"/>
  <c r="P677" i="24"/>
  <c r="Z676" i="24"/>
  <c r="S676" i="24"/>
  <c r="R676" i="24"/>
  <c r="Q676" i="24"/>
  <c r="P676" i="24"/>
  <c r="Z675" i="24"/>
  <c r="S675" i="24"/>
  <c r="R675" i="24"/>
  <c r="Q675" i="24"/>
  <c r="P675" i="24"/>
  <c r="Z674" i="24"/>
  <c r="S674" i="24"/>
  <c r="R674" i="24"/>
  <c r="Q674" i="24"/>
  <c r="P674" i="24"/>
  <c r="Z673" i="24"/>
  <c r="S673" i="24"/>
  <c r="R673" i="24"/>
  <c r="Q673" i="24"/>
  <c r="P673" i="24"/>
  <c r="Z672" i="24"/>
  <c r="S672" i="24"/>
  <c r="R672" i="24"/>
  <c r="Q672" i="24"/>
  <c r="P672" i="24"/>
  <c r="Z671" i="24"/>
  <c r="S671" i="24"/>
  <c r="R671" i="24"/>
  <c r="Q671" i="24"/>
  <c r="P671" i="24"/>
  <c r="Z670" i="24"/>
  <c r="S670" i="24"/>
  <c r="R670" i="24"/>
  <c r="Q670" i="24"/>
  <c r="P670" i="24"/>
  <c r="Z669" i="24"/>
  <c r="S669" i="24"/>
  <c r="R669" i="24"/>
  <c r="Q669" i="24"/>
  <c r="P669" i="24"/>
  <c r="Z668" i="24"/>
  <c r="S668" i="24"/>
  <c r="R668" i="24"/>
  <c r="Q668" i="24"/>
  <c r="P668" i="24"/>
  <c r="Z667" i="24"/>
  <c r="S667" i="24"/>
  <c r="R667" i="24"/>
  <c r="Q667" i="24"/>
  <c r="P667" i="24"/>
  <c r="Z666" i="24"/>
  <c r="S666" i="24"/>
  <c r="R666" i="24"/>
  <c r="Q666" i="24"/>
  <c r="P666" i="24"/>
  <c r="Z665" i="24"/>
  <c r="S665" i="24"/>
  <c r="R665" i="24"/>
  <c r="Q665" i="24"/>
  <c r="P665" i="24"/>
  <c r="Z664" i="24"/>
  <c r="S664" i="24"/>
  <c r="R664" i="24"/>
  <c r="Q664" i="24"/>
  <c r="P664" i="24"/>
  <c r="Z663" i="24"/>
  <c r="S663" i="24"/>
  <c r="R663" i="24"/>
  <c r="Q663" i="24"/>
  <c r="P663" i="24"/>
  <c r="Z662" i="24"/>
  <c r="S662" i="24"/>
  <c r="R662" i="24"/>
  <c r="Q662" i="24"/>
  <c r="P662" i="24"/>
  <c r="Z661" i="24"/>
  <c r="S661" i="24"/>
  <c r="R661" i="24"/>
  <c r="Q661" i="24"/>
  <c r="P661" i="24"/>
  <c r="Z660" i="24"/>
  <c r="S660" i="24"/>
  <c r="R660" i="24"/>
  <c r="Q660" i="24"/>
  <c r="P660" i="24"/>
  <c r="Z659" i="24"/>
  <c r="S659" i="24"/>
  <c r="R659" i="24"/>
  <c r="Q659" i="24"/>
  <c r="P659" i="24"/>
  <c r="Z658" i="24"/>
  <c r="S658" i="24"/>
  <c r="R658" i="24"/>
  <c r="Q658" i="24"/>
  <c r="P658" i="24"/>
  <c r="Z657" i="24"/>
  <c r="S657" i="24"/>
  <c r="R657" i="24"/>
  <c r="Q657" i="24"/>
  <c r="P657" i="24"/>
  <c r="Z656" i="24"/>
  <c r="S656" i="24"/>
  <c r="R656" i="24"/>
  <c r="Q656" i="24"/>
  <c r="P656" i="24"/>
  <c r="Z655" i="24"/>
  <c r="S655" i="24"/>
  <c r="R655" i="24"/>
  <c r="Q655" i="24"/>
  <c r="P655" i="24"/>
  <c r="Z654" i="24"/>
  <c r="S654" i="24"/>
  <c r="R654" i="24"/>
  <c r="Q654" i="24"/>
  <c r="P654" i="24"/>
  <c r="Z653" i="24"/>
  <c r="S653" i="24"/>
  <c r="R653" i="24"/>
  <c r="Q653" i="24"/>
  <c r="P653" i="24"/>
  <c r="Z652" i="24"/>
  <c r="S652" i="24"/>
  <c r="R652" i="24"/>
  <c r="Q652" i="24"/>
  <c r="P652" i="24"/>
  <c r="Z651" i="24"/>
  <c r="S651" i="24"/>
  <c r="R651" i="24"/>
  <c r="Q651" i="24"/>
  <c r="P651" i="24"/>
  <c r="Z650" i="24"/>
  <c r="S650" i="24"/>
  <c r="R650" i="24"/>
  <c r="Q650" i="24"/>
  <c r="P650" i="24"/>
  <c r="Z649" i="24"/>
  <c r="S649" i="24"/>
  <c r="R649" i="24"/>
  <c r="Q649" i="24"/>
  <c r="P649" i="24"/>
  <c r="Z648" i="24"/>
  <c r="S648" i="24"/>
  <c r="R648" i="24"/>
  <c r="Q648" i="24"/>
  <c r="P648" i="24"/>
  <c r="Z647" i="24"/>
  <c r="S647" i="24"/>
  <c r="R647" i="24"/>
  <c r="Q647" i="24"/>
  <c r="P647" i="24"/>
  <c r="Z646" i="24"/>
  <c r="S646" i="24"/>
  <c r="R646" i="24"/>
  <c r="Q646" i="24"/>
  <c r="P646" i="24"/>
  <c r="Z645" i="24"/>
  <c r="S645" i="24"/>
  <c r="R645" i="24"/>
  <c r="Q645" i="24"/>
  <c r="P645" i="24"/>
  <c r="Z644" i="24"/>
  <c r="S644" i="24"/>
  <c r="R644" i="24"/>
  <c r="Q644" i="24"/>
  <c r="P644" i="24"/>
  <c r="Z643" i="24"/>
  <c r="S643" i="24"/>
  <c r="R643" i="24"/>
  <c r="Q643" i="24"/>
  <c r="P643" i="24"/>
  <c r="Z642" i="24"/>
  <c r="S642" i="24"/>
  <c r="R642" i="24"/>
  <c r="Q642" i="24"/>
  <c r="P642" i="24"/>
  <c r="Z641" i="24"/>
  <c r="S641" i="24"/>
  <c r="R641" i="24"/>
  <c r="Q641" i="24"/>
  <c r="P641" i="24"/>
  <c r="Z640" i="24"/>
  <c r="S640" i="24"/>
  <c r="R640" i="24"/>
  <c r="Q640" i="24"/>
  <c r="P640" i="24"/>
  <c r="Z639" i="24"/>
  <c r="S639" i="24"/>
  <c r="R639" i="24"/>
  <c r="Q639" i="24"/>
  <c r="P639" i="24"/>
  <c r="Z638" i="24"/>
  <c r="S638" i="24"/>
  <c r="R638" i="24"/>
  <c r="Q638" i="24"/>
  <c r="P638" i="24"/>
  <c r="Z637" i="24"/>
  <c r="S637" i="24"/>
  <c r="R637" i="24"/>
  <c r="Q637" i="24"/>
  <c r="P637" i="24"/>
  <c r="Z636" i="24"/>
  <c r="S636" i="24"/>
  <c r="R636" i="24"/>
  <c r="Q636" i="24"/>
  <c r="P636" i="24"/>
  <c r="Z635" i="24"/>
  <c r="S635" i="24"/>
  <c r="R635" i="24"/>
  <c r="Q635" i="24"/>
  <c r="P635" i="24"/>
  <c r="Z634" i="24"/>
  <c r="S634" i="24"/>
  <c r="R634" i="24"/>
  <c r="Q634" i="24"/>
  <c r="P634" i="24"/>
  <c r="Z633" i="24"/>
  <c r="S633" i="24"/>
  <c r="R633" i="24"/>
  <c r="Q633" i="24"/>
  <c r="P633" i="24"/>
  <c r="Z632" i="24"/>
  <c r="S632" i="24"/>
  <c r="R632" i="24"/>
  <c r="Q632" i="24"/>
  <c r="P632" i="24"/>
  <c r="Z631" i="24"/>
  <c r="S631" i="24"/>
  <c r="R631" i="24"/>
  <c r="Q631" i="24"/>
  <c r="P631" i="24"/>
  <c r="Z630" i="24"/>
  <c r="S630" i="24"/>
  <c r="R630" i="24"/>
  <c r="Q630" i="24"/>
  <c r="P630" i="24"/>
  <c r="Z629" i="24"/>
  <c r="S629" i="24"/>
  <c r="R629" i="24"/>
  <c r="Q629" i="24"/>
  <c r="P629" i="24"/>
  <c r="Z628" i="24"/>
  <c r="S628" i="24"/>
  <c r="R628" i="24"/>
  <c r="Q628" i="24"/>
  <c r="P628" i="24"/>
  <c r="Z627" i="24"/>
  <c r="S627" i="24"/>
  <c r="R627" i="24"/>
  <c r="Q627" i="24"/>
  <c r="P627" i="24"/>
  <c r="Z626" i="24"/>
  <c r="S626" i="24"/>
  <c r="R626" i="24"/>
  <c r="Q626" i="24"/>
  <c r="P626" i="24"/>
  <c r="Z625" i="24"/>
  <c r="S625" i="24"/>
  <c r="R625" i="24"/>
  <c r="Q625" i="24"/>
  <c r="P625" i="24"/>
  <c r="Z624" i="24"/>
  <c r="S624" i="24"/>
  <c r="R624" i="24"/>
  <c r="Q624" i="24"/>
  <c r="P624" i="24"/>
  <c r="Z623" i="24"/>
  <c r="S623" i="24"/>
  <c r="R623" i="24"/>
  <c r="Q623" i="24"/>
  <c r="P623" i="24"/>
  <c r="Z622" i="24"/>
  <c r="S622" i="24"/>
  <c r="R622" i="24"/>
  <c r="Q622" i="24"/>
  <c r="P622" i="24"/>
  <c r="Z621" i="24"/>
  <c r="S621" i="24"/>
  <c r="R621" i="24"/>
  <c r="Q621" i="24"/>
  <c r="P621" i="24"/>
  <c r="Z620" i="24"/>
  <c r="S620" i="24"/>
  <c r="R620" i="24"/>
  <c r="Q620" i="24"/>
  <c r="P620" i="24"/>
  <c r="Z619" i="24"/>
  <c r="S619" i="24"/>
  <c r="R619" i="24"/>
  <c r="Q619" i="24"/>
  <c r="P619" i="24"/>
  <c r="Z618" i="24"/>
  <c r="S618" i="24"/>
  <c r="R618" i="24"/>
  <c r="Q618" i="24"/>
  <c r="P618" i="24"/>
  <c r="Z617" i="24"/>
  <c r="S617" i="24"/>
  <c r="R617" i="24"/>
  <c r="Q617" i="24"/>
  <c r="P617" i="24"/>
  <c r="Z616" i="24"/>
  <c r="S616" i="24"/>
  <c r="R616" i="24"/>
  <c r="Q616" i="24"/>
  <c r="P616" i="24"/>
  <c r="Z615" i="24"/>
  <c r="S615" i="24"/>
  <c r="R615" i="24"/>
  <c r="Q615" i="24"/>
  <c r="P615" i="24"/>
  <c r="Z614" i="24"/>
  <c r="S614" i="24"/>
  <c r="R614" i="24"/>
  <c r="Q614" i="24"/>
  <c r="P614" i="24"/>
  <c r="Z613" i="24"/>
  <c r="S613" i="24"/>
  <c r="R613" i="24"/>
  <c r="Q613" i="24"/>
  <c r="P613" i="24"/>
  <c r="Z612" i="24"/>
  <c r="S612" i="24"/>
  <c r="R612" i="24"/>
  <c r="Q612" i="24"/>
  <c r="P612" i="24"/>
  <c r="Z611" i="24"/>
  <c r="S611" i="24"/>
  <c r="R611" i="24"/>
  <c r="Q611" i="24"/>
  <c r="P611" i="24"/>
  <c r="Z610" i="24"/>
  <c r="S610" i="24"/>
  <c r="R610" i="24"/>
  <c r="Q610" i="24"/>
  <c r="P610" i="24"/>
  <c r="Z609" i="24"/>
  <c r="S609" i="24"/>
  <c r="R609" i="24"/>
  <c r="Q609" i="24"/>
  <c r="P609" i="24"/>
  <c r="Z608" i="24"/>
  <c r="S608" i="24"/>
  <c r="R608" i="24"/>
  <c r="Q608" i="24"/>
  <c r="P608" i="24"/>
  <c r="Z607" i="24"/>
  <c r="S607" i="24"/>
  <c r="R607" i="24"/>
  <c r="Q607" i="24"/>
  <c r="P607" i="24"/>
  <c r="Z606" i="24"/>
  <c r="S606" i="24"/>
  <c r="R606" i="24"/>
  <c r="Q606" i="24"/>
  <c r="P606" i="24"/>
  <c r="Z605" i="24"/>
  <c r="S605" i="24"/>
  <c r="R605" i="24"/>
  <c r="Q605" i="24"/>
  <c r="P605" i="24"/>
  <c r="Z604" i="24"/>
  <c r="S604" i="24"/>
  <c r="R604" i="24"/>
  <c r="Q604" i="24"/>
  <c r="P604" i="24"/>
  <c r="Z603" i="24"/>
  <c r="S603" i="24"/>
  <c r="R603" i="24"/>
  <c r="Q603" i="24"/>
  <c r="P603" i="24"/>
  <c r="Z602" i="24"/>
  <c r="S602" i="24"/>
  <c r="R602" i="24"/>
  <c r="Q602" i="24"/>
  <c r="P602" i="24"/>
  <c r="Z601" i="24"/>
  <c r="S601" i="24"/>
  <c r="R601" i="24"/>
  <c r="Q601" i="24"/>
  <c r="P601" i="24"/>
  <c r="Z600" i="24"/>
  <c r="S600" i="24"/>
  <c r="R600" i="24"/>
  <c r="Q600" i="24"/>
  <c r="P600" i="24"/>
  <c r="Z599" i="24"/>
  <c r="S599" i="24"/>
  <c r="R599" i="24"/>
  <c r="Q599" i="24"/>
  <c r="P599" i="24"/>
  <c r="Z598" i="24"/>
  <c r="S598" i="24"/>
  <c r="R598" i="24"/>
  <c r="Q598" i="24"/>
  <c r="P598" i="24"/>
  <c r="Z597" i="24"/>
  <c r="S597" i="24"/>
  <c r="R597" i="24"/>
  <c r="Q597" i="24"/>
  <c r="P597" i="24"/>
  <c r="Z596" i="24"/>
  <c r="S596" i="24"/>
  <c r="R596" i="24"/>
  <c r="Q596" i="24"/>
  <c r="P596" i="24"/>
  <c r="Z595" i="24"/>
  <c r="S595" i="24"/>
  <c r="R595" i="24"/>
  <c r="Q595" i="24"/>
  <c r="P595" i="24"/>
  <c r="Z594" i="24"/>
  <c r="S594" i="24"/>
  <c r="R594" i="24"/>
  <c r="Q594" i="24"/>
  <c r="P594" i="24"/>
  <c r="Z593" i="24"/>
  <c r="S593" i="24"/>
  <c r="R593" i="24"/>
  <c r="Q593" i="24"/>
  <c r="P593" i="24"/>
  <c r="Z592" i="24"/>
  <c r="S592" i="24"/>
  <c r="R592" i="24"/>
  <c r="Q592" i="24"/>
  <c r="P592" i="24"/>
  <c r="Z591" i="24"/>
  <c r="S591" i="24"/>
  <c r="R591" i="24"/>
  <c r="Q591" i="24"/>
  <c r="P591" i="24"/>
  <c r="Z590" i="24"/>
  <c r="S590" i="24"/>
  <c r="R590" i="24"/>
  <c r="Q590" i="24"/>
  <c r="Z589" i="24"/>
  <c r="S589" i="24"/>
  <c r="R589" i="24"/>
  <c r="Q589" i="24"/>
  <c r="P589" i="24"/>
  <c r="Z588" i="24"/>
  <c r="S588" i="24"/>
  <c r="R588" i="24"/>
  <c r="Q588" i="24"/>
  <c r="P588" i="24"/>
  <c r="Z587" i="24"/>
  <c r="S587" i="24"/>
  <c r="R587" i="24"/>
  <c r="Q587" i="24"/>
  <c r="P587" i="24"/>
  <c r="Z586" i="24"/>
  <c r="S586" i="24"/>
  <c r="R586" i="24"/>
  <c r="Q586" i="24"/>
  <c r="P586" i="24"/>
  <c r="Z585" i="24"/>
  <c r="S585" i="24"/>
  <c r="R585" i="24"/>
  <c r="Q585" i="24"/>
  <c r="P585" i="24"/>
  <c r="Z584" i="24"/>
  <c r="S584" i="24"/>
  <c r="R584" i="24"/>
  <c r="Q584" i="24"/>
  <c r="P584" i="24"/>
  <c r="Z583" i="24"/>
  <c r="S583" i="24"/>
  <c r="R583" i="24"/>
  <c r="Q583" i="24"/>
  <c r="P583" i="24"/>
  <c r="Z582" i="24"/>
  <c r="S582" i="24"/>
  <c r="R582" i="24"/>
  <c r="Q582" i="24"/>
  <c r="P582" i="24"/>
  <c r="Z581" i="24"/>
  <c r="S581" i="24"/>
  <c r="R581" i="24"/>
  <c r="Q581" i="24"/>
  <c r="P581" i="24"/>
  <c r="Z580" i="24"/>
  <c r="S580" i="24"/>
  <c r="R580" i="24"/>
  <c r="Q580" i="24"/>
  <c r="P580" i="24"/>
  <c r="Z579" i="24"/>
  <c r="S579" i="24"/>
  <c r="R579" i="24"/>
  <c r="Q579" i="24"/>
  <c r="P579" i="24"/>
  <c r="Z578" i="24"/>
  <c r="S578" i="24"/>
  <c r="R578" i="24"/>
  <c r="Q578" i="24"/>
  <c r="P578" i="24"/>
  <c r="Z577" i="24"/>
  <c r="S577" i="24"/>
  <c r="R577" i="24"/>
  <c r="Q577" i="24"/>
  <c r="P577" i="24"/>
  <c r="Z576" i="24"/>
  <c r="S576" i="24"/>
  <c r="R576" i="24"/>
  <c r="Q576" i="24"/>
  <c r="P576" i="24"/>
  <c r="Z575" i="24"/>
  <c r="S575" i="24"/>
  <c r="R575" i="24"/>
  <c r="Q575" i="24"/>
  <c r="P575" i="24"/>
  <c r="Z574" i="24"/>
  <c r="S574" i="24"/>
  <c r="R574" i="24"/>
  <c r="Q574" i="24"/>
  <c r="P574" i="24"/>
  <c r="Z573" i="24"/>
  <c r="S573" i="24"/>
  <c r="R573" i="24"/>
  <c r="Q573" i="24"/>
  <c r="P573" i="24"/>
  <c r="Z572" i="24"/>
  <c r="S572" i="24"/>
  <c r="R572" i="24"/>
  <c r="Q572" i="24"/>
  <c r="P572" i="24"/>
  <c r="Z571" i="24"/>
  <c r="S571" i="24"/>
  <c r="R571" i="24"/>
  <c r="Q571" i="24"/>
  <c r="P571" i="24"/>
  <c r="Z570" i="24"/>
  <c r="S570" i="24"/>
  <c r="R570" i="24"/>
  <c r="Q570" i="24"/>
  <c r="P570" i="24"/>
  <c r="Z569" i="24"/>
  <c r="S569" i="24"/>
  <c r="R569" i="24"/>
  <c r="Q569" i="24"/>
  <c r="P569" i="24"/>
  <c r="Z568" i="24"/>
  <c r="S568" i="24"/>
  <c r="R568" i="24"/>
  <c r="Q568" i="24"/>
  <c r="P568" i="24"/>
  <c r="Z567" i="24"/>
  <c r="S567" i="24"/>
  <c r="R567" i="24"/>
  <c r="Q567" i="24"/>
  <c r="P567" i="24"/>
  <c r="Z566" i="24"/>
  <c r="S566" i="24"/>
  <c r="R566" i="24"/>
  <c r="Q566" i="24"/>
  <c r="P566" i="24"/>
  <c r="Z565" i="24"/>
  <c r="S565" i="24"/>
  <c r="R565" i="24"/>
  <c r="Q565" i="24"/>
  <c r="P565" i="24"/>
  <c r="Z564" i="24"/>
  <c r="S564" i="24"/>
  <c r="R564" i="24"/>
  <c r="Q564" i="24"/>
  <c r="P564" i="24"/>
  <c r="Z563" i="24"/>
  <c r="S563" i="24"/>
  <c r="R563" i="24"/>
  <c r="Q563" i="24"/>
  <c r="P563" i="24"/>
  <c r="Z562" i="24"/>
  <c r="S562" i="24"/>
  <c r="R562" i="24"/>
  <c r="Q562" i="24"/>
  <c r="P562" i="24"/>
  <c r="Z561" i="24"/>
  <c r="S561" i="24"/>
  <c r="R561" i="24"/>
  <c r="Q561" i="24"/>
  <c r="P561" i="24"/>
  <c r="Z560" i="24"/>
  <c r="S560" i="24"/>
  <c r="R560" i="24"/>
  <c r="Q560" i="24"/>
  <c r="P560" i="24"/>
  <c r="Z559" i="24"/>
  <c r="S559" i="24"/>
  <c r="R559" i="24"/>
  <c r="Q559" i="24"/>
  <c r="P559" i="24"/>
  <c r="Z558" i="24"/>
  <c r="S558" i="24"/>
  <c r="R558" i="24"/>
  <c r="Q558" i="24"/>
  <c r="P558" i="24"/>
  <c r="Z557" i="24"/>
  <c r="S557" i="24"/>
  <c r="R557" i="24"/>
  <c r="Q557" i="24"/>
  <c r="P557" i="24"/>
  <c r="Z556" i="24"/>
  <c r="S556" i="24"/>
  <c r="R556" i="24"/>
  <c r="Q556" i="24"/>
  <c r="P556" i="24"/>
  <c r="Z555" i="24"/>
  <c r="S555" i="24"/>
  <c r="R555" i="24"/>
  <c r="Q555" i="24"/>
  <c r="P555" i="24"/>
  <c r="Z554" i="24"/>
  <c r="S554" i="24"/>
  <c r="R554" i="24"/>
  <c r="Q554" i="24"/>
  <c r="P554" i="24"/>
  <c r="Z553" i="24"/>
  <c r="S553" i="24"/>
  <c r="R553" i="24"/>
  <c r="Q553" i="24"/>
  <c r="P553" i="24"/>
  <c r="Z552" i="24"/>
  <c r="S552" i="24"/>
  <c r="R552" i="24"/>
  <c r="Q552" i="24"/>
  <c r="P552" i="24"/>
  <c r="Z551" i="24"/>
  <c r="S551" i="24"/>
  <c r="R551" i="24"/>
  <c r="Q551" i="24"/>
  <c r="P551" i="24"/>
  <c r="Z550" i="24"/>
  <c r="S550" i="24"/>
  <c r="R550" i="24"/>
  <c r="Q550" i="24"/>
  <c r="P550" i="24"/>
  <c r="Z549" i="24"/>
  <c r="S549" i="24"/>
  <c r="R549" i="24"/>
  <c r="Q549" i="24"/>
  <c r="P549" i="24"/>
  <c r="Z548" i="24"/>
  <c r="S548" i="24"/>
  <c r="R548" i="24"/>
  <c r="Q548" i="24"/>
  <c r="P548" i="24"/>
  <c r="Z547" i="24"/>
  <c r="S547" i="24"/>
  <c r="R547" i="24"/>
  <c r="Q547" i="24"/>
  <c r="P547" i="24"/>
  <c r="Z546" i="24"/>
  <c r="S546" i="24"/>
  <c r="R546" i="24"/>
  <c r="Q546" i="24"/>
  <c r="P546" i="24"/>
  <c r="Z545" i="24"/>
  <c r="S545" i="24"/>
  <c r="R545" i="24"/>
  <c r="Q545" i="24"/>
  <c r="P545" i="24"/>
  <c r="Z544" i="24"/>
  <c r="S544" i="24"/>
  <c r="R544" i="24"/>
  <c r="Q544" i="24"/>
  <c r="P544" i="24"/>
  <c r="Z543" i="24"/>
  <c r="S543" i="24"/>
  <c r="R543" i="24"/>
  <c r="Q543" i="24"/>
  <c r="P543" i="24"/>
  <c r="Z542" i="24"/>
  <c r="S542" i="24"/>
  <c r="R542" i="24"/>
  <c r="Q542" i="24"/>
  <c r="P542" i="24"/>
  <c r="Z541" i="24"/>
  <c r="S541" i="24"/>
  <c r="R541" i="24"/>
  <c r="Q541" i="24"/>
  <c r="P541" i="24"/>
  <c r="Z540" i="24"/>
  <c r="S540" i="24"/>
  <c r="R540" i="24"/>
  <c r="Q540" i="24"/>
  <c r="P540" i="24"/>
  <c r="Z539" i="24"/>
  <c r="S539" i="24"/>
  <c r="R539" i="24"/>
  <c r="Q539" i="24"/>
  <c r="P539" i="24"/>
  <c r="Z538" i="24"/>
  <c r="S538" i="24"/>
  <c r="R538" i="24"/>
  <c r="Q538" i="24"/>
  <c r="P538" i="24"/>
  <c r="Z537" i="24"/>
  <c r="S537" i="24"/>
  <c r="R537" i="24"/>
  <c r="Q537" i="24"/>
  <c r="P537" i="24"/>
  <c r="Z536" i="24"/>
  <c r="S536" i="24"/>
  <c r="R536" i="24"/>
  <c r="Q536" i="24"/>
  <c r="P536" i="24"/>
  <c r="Z535" i="24"/>
  <c r="S535" i="24"/>
  <c r="R535" i="24"/>
  <c r="Q535" i="24"/>
  <c r="P535" i="24"/>
  <c r="Z534" i="24"/>
  <c r="S534" i="24"/>
  <c r="R534" i="24"/>
  <c r="Q534" i="24"/>
  <c r="P534" i="24"/>
  <c r="Z533" i="24"/>
  <c r="S533" i="24"/>
  <c r="R533" i="24"/>
  <c r="Q533" i="24"/>
  <c r="P533" i="24"/>
  <c r="Z532" i="24"/>
  <c r="S532" i="24"/>
  <c r="R532" i="24"/>
  <c r="Q532" i="24"/>
  <c r="P532" i="24"/>
  <c r="S531" i="24"/>
  <c r="R531" i="24"/>
  <c r="Q531" i="24"/>
  <c r="P531" i="24"/>
  <c r="S530" i="24"/>
  <c r="R530" i="24"/>
  <c r="Q530" i="24"/>
  <c r="P530" i="24"/>
  <c r="S529" i="24"/>
  <c r="R529" i="24"/>
  <c r="Q529" i="24"/>
  <c r="P529" i="24"/>
  <c r="S528" i="24"/>
  <c r="R528" i="24"/>
  <c r="Q528" i="24"/>
  <c r="P528" i="24"/>
  <c r="S527" i="24"/>
  <c r="R527" i="24"/>
  <c r="Q527" i="24"/>
  <c r="P527" i="24"/>
  <c r="S526" i="24"/>
  <c r="R526" i="24"/>
  <c r="Q526" i="24"/>
  <c r="P526" i="24"/>
  <c r="S525" i="24"/>
  <c r="R525" i="24"/>
  <c r="Q525" i="24"/>
  <c r="P525" i="24"/>
  <c r="S524" i="24"/>
  <c r="R524" i="24"/>
  <c r="Q524" i="24"/>
  <c r="P524" i="24"/>
  <c r="S523" i="24"/>
  <c r="R523" i="24"/>
  <c r="Q523" i="24"/>
  <c r="P523" i="24"/>
  <c r="S522" i="24"/>
  <c r="R522" i="24"/>
  <c r="Q522" i="24"/>
  <c r="P522" i="24"/>
  <c r="S521" i="24"/>
  <c r="R521" i="24"/>
  <c r="Q521" i="24"/>
  <c r="P521" i="24"/>
  <c r="S520" i="24"/>
  <c r="R520" i="24"/>
  <c r="Q520" i="24"/>
  <c r="P520" i="24"/>
  <c r="S519" i="24"/>
  <c r="R519" i="24"/>
  <c r="Q519" i="24"/>
  <c r="P519" i="24"/>
  <c r="S518" i="24"/>
  <c r="R518" i="24"/>
  <c r="Q518" i="24"/>
  <c r="P518" i="24"/>
  <c r="S517" i="24"/>
  <c r="R517" i="24"/>
  <c r="Q517" i="24"/>
  <c r="P517" i="24"/>
  <c r="Z283" i="23"/>
  <c r="S283" i="23"/>
  <c r="R283" i="23"/>
  <c r="Q283" i="23"/>
  <c r="S282" i="23"/>
  <c r="R282" i="23"/>
  <c r="Q282" i="23"/>
  <c r="Z290" i="23"/>
  <c r="S290" i="23"/>
  <c r="R290" i="23"/>
  <c r="Q290" i="23"/>
  <c r="P290" i="23"/>
  <c r="S289" i="23"/>
  <c r="R289" i="23"/>
  <c r="Q289" i="23"/>
  <c r="P289" i="23"/>
  <c r="Q276" i="23"/>
  <c r="R276" i="23"/>
  <c r="S276" i="23"/>
  <c r="Z276" i="23"/>
  <c r="Q277" i="23"/>
  <c r="R277" i="23"/>
  <c r="S277" i="23"/>
  <c r="Q278" i="23"/>
  <c r="R278" i="23"/>
  <c r="S278" i="23"/>
  <c r="Q279" i="23"/>
  <c r="R279" i="23"/>
  <c r="S279" i="23"/>
  <c r="Z279" i="23"/>
  <c r="Q271" i="23"/>
  <c r="R271" i="23"/>
  <c r="S271" i="23"/>
  <c r="Q274" i="23"/>
  <c r="R274" i="23"/>
  <c r="S274" i="23"/>
  <c r="Z274" i="23"/>
  <c r="Q275" i="23"/>
  <c r="R275" i="23"/>
  <c r="S275" i="23"/>
  <c r="Z275" i="23"/>
  <c r="S270" i="23"/>
  <c r="R270" i="23"/>
  <c r="Q270" i="23"/>
  <c r="S269" i="23"/>
  <c r="R269" i="23"/>
  <c r="Q269" i="23"/>
  <c r="S268" i="23"/>
  <c r="R268" i="23"/>
  <c r="Q268" i="23"/>
  <c r="S267" i="23"/>
  <c r="R267" i="23"/>
  <c r="Q267" i="23"/>
  <c r="S266" i="23"/>
  <c r="R266" i="23"/>
  <c r="Q266" i="23"/>
  <c r="Z265" i="23"/>
  <c r="S265" i="23"/>
  <c r="R265" i="23"/>
  <c r="Q265" i="23"/>
  <c r="S264" i="23"/>
  <c r="R264" i="23"/>
  <c r="Q264" i="23"/>
  <c r="S263" i="23"/>
  <c r="R263" i="23"/>
  <c r="Q263" i="23"/>
  <c r="S262" i="23"/>
  <c r="R262" i="23"/>
  <c r="Q262" i="23"/>
  <c r="S261" i="23"/>
  <c r="R261" i="23"/>
  <c r="Q261" i="23"/>
  <c r="S260" i="23"/>
  <c r="R260" i="23"/>
  <c r="Q260" i="23"/>
  <c r="S259" i="23"/>
  <c r="R259" i="23"/>
  <c r="Q259" i="23"/>
  <c r="S255" i="23"/>
  <c r="R255" i="23"/>
  <c r="Q255" i="23"/>
  <c r="Q272" i="23"/>
  <c r="R272" i="23"/>
  <c r="S272" i="23"/>
  <c r="Q273" i="23"/>
  <c r="R273" i="23"/>
  <c r="S273" i="23"/>
  <c r="Q247" i="23"/>
  <c r="R247" i="23"/>
  <c r="S247" i="23"/>
  <c r="Q248" i="23"/>
  <c r="R248" i="23"/>
  <c r="S248" i="23"/>
  <c r="Q249" i="23"/>
  <c r="R249" i="23"/>
  <c r="S249" i="23"/>
  <c r="Q251" i="23"/>
  <c r="R251" i="23"/>
  <c r="S251" i="23"/>
  <c r="Z251" i="23"/>
  <c r="Q250" i="23"/>
  <c r="R250" i="23"/>
  <c r="S250" i="23"/>
  <c r="Q246" i="23"/>
  <c r="R246" i="23"/>
  <c r="S246" i="23"/>
  <c r="Q252" i="23"/>
  <c r="R252" i="23"/>
  <c r="S252" i="23"/>
  <c r="Q253" i="23"/>
  <c r="R253" i="23"/>
  <c r="S253" i="23"/>
  <c r="Q254" i="23"/>
  <c r="R254" i="23"/>
  <c r="S254" i="23"/>
  <c r="Q256" i="23"/>
  <c r="R256" i="23"/>
  <c r="S256" i="23"/>
  <c r="Q257" i="23"/>
  <c r="R257" i="23"/>
  <c r="S257" i="23"/>
  <c r="Q258" i="23"/>
  <c r="R258" i="23"/>
  <c r="S258" i="23"/>
  <c r="Q280" i="23"/>
  <c r="R280" i="23"/>
  <c r="S280" i="23"/>
  <c r="Z280" i="23"/>
  <c r="Q281" i="23"/>
  <c r="R281" i="23"/>
  <c r="S281" i="23"/>
  <c r="Q284" i="23"/>
  <c r="R284" i="23"/>
  <c r="S284" i="23"/>
  <c r="Q285" i="23"/>
  <c r="R285" i="23"/>
  <c r="S285" i="23"/>
  <c r="Z285" i="23"/>
  <c r="P286" i="23"/>
  <c r="Q286" i="23"/>
  <c r="R286" i="23"/>
  <c r="S286" i="23"/>
  <c r="P287" i="23"/>
  <c r="Q287" i="23"/>
  <c r="R287" i="23"/>
  <c r="S287" i="23"/>
  <c r="Z287" i="23"/>
  <c r="P288" i="23"/>
  <c r="Q288" i="23"/>
  <c r="R288" i="23"/>
  <c r="S288" i="23"/>
  <c r="Z288" i="23"/>
  <c r="P291" i="23"/>
  <c r="Q291" i="23"/>
  <c r="R291" i="23"/>
  <c r="S291" i="23"/>
  <c r="Z291" i="23"/>
  <c r="P292" i="23"/>
  <c r="Q292" i="23"/>
  <c r="R292" i="23"/>
  <c r="S292" i="23"/>
  <c r="P293" i="23"/>
  <c r="Q293" i="23"/>
  <c r="R293" i="23"/>
  <c r="S293" i="23"/>
  <c r="P294" i="23"/>
  <c r="Q294" i="23"/>
  <c r="R294" i="23"/>
  <c r="S294" i="23"/>
  <c r="P295" i="23"/>
  <c r="Q295" i="23"/>
  <c r="R295" i="23"/>
  <c r="S295" i="23"/>
  <c r="P296" i="23"/>
  <c r="Q296" i="23"/>
  <c r="R296" i="23"/>
  <c r="S296" i="23"/>
  <c r="P297" i="23"/>
  <c r="Q297" i="23"/>
  <c r="R297" i="23"/>
  <c r="S297" i="23"/>
  <c r="P298" i="23"/>
  <c r="Q298" i="23"/>
  <c r="R298" i="23"/>
  <c r="S298" i="23"/>
  <c r="P299" i="23"/>
  <c r="Q299" i="23"/>
  <c r="R299" i="23"/>
  <c r="S299" i="23"/>
  <c r="P300" i="23"/>
  <c r="Q300" i="23"/>
  <c r="R300" i="23"/>
  <c r="S300" i="23"/>
  <c r="P301" i="23"/>
  <c r="Q301" i="23"/>
  <c r="R301" i="23"/>
  <c r="S301" i="23"/>
  <c r="P302" i="23"/>
  <c r="Q302" i="23"/>
  <c r="R302" i="23"/>
  <c r="S302" i="23"/>
  <c r="P303" i="23"/>
  <c r="Q303" i="23"/>
  <c r="R303" i="23"/>
  <c r="S303" i="23"/>
  <c r="P304" i="23"/>
  <c r="Q304" i="23"/>
  <c r="R304" i="23"/>
  <c r="S304" i="23"/>
  <c r="P305" i="23"/>
  <c r="Q305" i="23"/>
  <c r="R305" i="23"/>
  <c r="S305" i="23"/>
  <c r="P306" i="23"/>
  <c r="Q306" i="23"/>
  <c r="R306" i="23"/>
  <c r="S306" i="23"/>
  <c r="P307" i="23"/>
  <c r="Q307" i="23"/>
  <c r="R307" i="23"/>
  <c r="S307" i="23"/>
  <c r="P308" i="23"/>
  <c r="Q308" i="23"/>
  <c r="R308" i="23"/>
  <c r="S308" i="23"/>
  <c r="P309" i="23"/>
  <c r="Q309" i="23"/>
  <c r="R309" i="23"/>
  <c r="S309" i="23"/>
  <c r="P310" i="23"/>
  <c r="Q310" i="23"/>
  <c r="R310" i="23"/>
  <c r="S310" i="23"/>
  <c r="P311" i="23"/>
  <c r="Q311" i="23"/>
  <c r="R311" i="23"/>
  <c r="S311" i="23"/>
  <c r="P312" i="23"/>
  <c r="Q312" i="23"/>
  <c r="R312" i="23"/>
  <c r="S312" i="23"/>
  <c r="P313" i="23"/>
  <c r="Q313" i="23"/>
  <c r="R313" i="23"/>
  <c r="S313" i="23"/>
  <c r="P314" i="23"/>
  <c r="Q314" i="23"/>
  <c r="R314" i="23"/>
  <c r="S314" i="23"/>
  <c r="P315" i="23"/>
  <c r="Q315" i="23"/>
  <c r="R315" i="23"/>
  <c r="S315" i="23"/>
  <c r="P316" i="23"/>
  <c r="Q316" i="23"/>
  <c r="R316" i="23"/>
  <c r="S316" i="23"/>
  <c r="P317" i="23"/>
  <c r="Q317" i="23"/>
  <c r="R317" i="23"/>
  <c r="S317" i="23"/>
  <c r="P318" i="23"/>
  <c r="Q318" i="23"/>
  <c r="R318" i="23"/>
  <c r="S318" i="23"/>
  <c r="P319" i="23"/>
  <c r="Q319" i="23"/>
  <c r="R319" i="23"/>
  <c r="S319" i="23"/>
  <c r="P320" i="23"/>
  <c r="Q320" i="23"/>
  <c r="R320" i="23"/>
  <c r="S320" i="23"/>
  <c r="P321" i="23"/>
  <c r="Q321" i="23"/>
  <c r="R321" i="23"/>
  <c r="S321" i="23"/>
  <c r="P322" i="23"/>
  <c r="Q322" i="23"/>
  <c r="R322" i="23"/>
  <c r="S322" i="23"/>
  <c r="P323" i="23"/>
  <c r="Q323" i="23"/>
  <c r="R323" i="23"/>
  <c r="S323" i="23"/>
  <c r="P324" i="23"/>
  <c r="Q324" i="23"/>
  <c r="R324" i="23"/>
  <c r="S324" i="23"/>
  <c r="P325" i="23"/>
  <c r="Q325" i="23"/>
  <c r="R325" i="23"/>
  <c r="S325" i="23"/>
  <c r="P326" i="23"/>
  <c r="Q326" i="23"/>
  <c r="R326" i="23"/>
  <c r="S326" i="23"/>
  <c r="P327" i="23"/>
  <c r="Q327" i="23"/>
  <c r="R327" i="23"/>
  <c r="S327" i="23"/>
  <c r="P328" i="23"/>
  <c r="Q328" i="23"/>
  <c r="R328" i="23"/>
  <c r="S328" i="23"/>
  <c r="P329" i="23"/>
  <c r="Q329" i="23"/>
  <c r="R329" i="23"/>
  <c r="S329" i="23"/>
  <c r="P330" i="23"/>
  <c r="Q330" i="23"/>
  <c r="R330" i="23"/>
  <c r="S330" i="23"/>
  <c r="P331" i="23"/>
  <c r="Q331" i="23"/>
  <c r="R331" i="23"/>
  <c r="S331" i="23"/>
  <c r="P332" i="23"/>
  <c r="Q332" i="23"/>
  <c r="R332" i="23"/>
  <c r="S332" i="23"/>
  <c r="P333" i="23"/>
  <c r="Q333" i="23"/>
  <c r="R333" i="23"/>
  <c r="S333" i="23"/>
  <c r="P334" i="23"/>
  <c r="Q334" i="23"/>
  <c r="R334" i="23"/>
  <c r="S334" i="23"/>
  <c r="P335" i="23"/>
  <c r="Q335" i="23"/>
  <c r="R335" i="23"/>
  <c r="S335" i="23"/>
  <c r="P336" i="23"/>
  <c r="Q336" i="23"/>
  <c r="R336" i="23"/>
  <c r="S336" i="23"/>
  <c r="P337" i="23"/>
  <c r="Q337" i="23"/>
  <c r="R337" i="23"/>
  <c r="S337" i="23"/>
  <c r="P338" i="23"/>
  <c r="Q338" i="23"/>
  <c r="R338" i="23"/>
  <c r="S338" i="23"/>
  <c r="P339" i="23"/>
  <c r="Q339" i="23"/>
  <c r="R339" i="23"/>
  <c r="S339" i="23"/>
  <c r="Z339" i="23"/>
  <c r="P340" i="23"/>
  <c r="Q340" i="23"/>
  <c r="R340" i="23"/>
  <c r="S340" i="23"/>
  <c r="Z340" i="23"/>
  <c r="P341" i="23"/>
  <c r="Q341" i="23"/>
  <c r="R341" i="23"/>
  <c r="S341" i="23"/>
  <c r="Z341" i="23"/>
  <c r="P342" i="23"/>
  <c r="Q342" i="23"/>
  <c r="R342" i="23"/>
  <c r="S342" i="23"/>
  <c r="Z342" i="23"/>
  <c r="P343" i="23"/>
  <c r="Q343" i="23"/>
  <c r="R343" i="23"/>
  <c r="S343" i="23"/>
  <c r="Z343" i="23"/>
  <c r="P344" i="23"/>
  <c r="Q344" i="23"/>
  <c r="R344" i="23"/>
  <c r="S344" i="23"/>
  <c r="Z344" i="23"/>
  <c r="P345" i="23"/>
  <c r="Q345" i="23"/>
  <c r="R345" i="23"/>
  <c r="S345" i="23"/>
  <c r="Z345" i="23"/>
  <c r="P346" i="23"/>
  <c r="Q346" i="23"/>
  <c r="R346" i="23"/>
  <c r="S346" i="23"/>
  <c r="Z346" i="23"/>
  <c r="P347" i="23"/>
  <c r="Q347" i="23"/>
  <c r="R347" i="23"/>
  <c r="S347" i="23"/>
  <c r="Z347" i="23"/>
  <c r="P348" i="23"/>
  <c r="Q348" i="23"/>
  <c r="R348" i="23"/>
  <c r="S348" i="23"/>
  <c r="Z348" i="23"/>
  <c r="P349" i="23"/>
  <c r="Q349" i="23"/>
  <c r="R349" i="23"/>
  <c r="S349" i="23"/>
  <c r="Z349" i="23"/>
  <c r="Q244" i="23"/>
  <c r="R244" i="23"/>
  <c r="S244" i="23"/>
  <c r="Q245" i="23"/>
  <c r="R245" i="23"/>
  <c r="S245" i="23"/>
  <c r="Q236" i="23"/>
  <c r="R236" i="23"/>
  <c r="S236" i="23"/>
  <c r="Q239" i="23"/>
  <c r="R239" i="23"/>
  <c r="S239" i="23"/>
  <c r="Q240" i="23"/>
  <c r="R240" i="23"/>
  <c r="S240" i="23"/>
  <c r="Q241" i="23"/>
  <c r="R241" i="23"/>
  <c r="S241" i="23"/>
  <c r="Q242" i="23"/>
  <c r="R242" i="23"/>
  <c r="S242" i="23"/>
  <c r="Q243" i="23"/>
  <c r="R243" i="23"/>
  <c r="S243" i="23"/>
  <c r="Z243" i="23"/>
  <c r="Z235" i="23"/>
  <c r="S235" i="23"/>
  <c r="R235" i="23"/>
  <c r="Q235" i="23"/>
  <c r="S234" i="23"/>
  <c r="R234" i="23"/>
  <c r="Q234" i="23"/>
  <c r="Q195" i="23"/>
  <c r="R195" i="23"/>
  <c r="S195" i="23"/>
  <c r="Q196" i="23"/>
  <c r="R196" i="23"/>
  <c r="S196" i="23"/>
  <c r="Q197" i="23"/>
  <c r="R197" i="23"/>
  <c r="S197" i="23"/>
  <c r="Q198" i="23"/>
  <c r="R198" i="23"/>
  <c r="S198" i="23"/>
  <c r="Q199" i="23"/>
  <c r="R199" i="23"/>
  <c r="S199" i="23"/>
  <c r="Q200" i="23"/>
  <c r="R200" i="23"/>
  <c r="S200" i="23"/>
  <c r="Q201" i="23"/>
  <c r="R201" i="23"/>
  <c r="S201" i="23"/>
  <c r="Q202" i="23"/>
  <c r="R202" i="23"/>
  <c r="S202" i="23"/>
  <c r="Q203" i="23"/>
  <c r="R203" i="23"/>
  <c r="S203" i="23"/>
  <c r="Q204" i="23"/>
  <c r="R204" i="23"/>
  <c r="S204" i="23"/>
  <c r="Q205" i="23"/>
  <c r="R205" i="23"/>
  <c r="S205" i="23"/>
  <c r="Q206" i="23"/>
  <c r="R206" i="23"/>
  <c r="S206" i="23"/>
  <c r="Q207" i="23"/>
  <c r="R207" i="23"/>
  <c r="S207" i="23"/>
  <c r="Q208" i="23"/>
  <c r="R208" i="23"/>
  <c r="S208" i="23"/>
  <c r="Q209" i="23"/>
  <c r="R209" i="23"/>
  <c r="S209" i="23"/>
  <c r="Q210" i="23"/>
  <c r="R210" i="23"/>
  <c r="S210" i="23"/>
  <c r="Z210" i="23"/>
  <c r="Q211" i="23"/>
  <c r="R211" i="23"/>
  <c r="S211" i="23"/>
  <c r="Z211" i="23"/>
  <c r="Q212" i="23"/>
  <c r="R212" i="23"/>
  <c r="S212" i="23"/>
  <c r="Q213" i="23"/>
  <c r="R213" i="23"/>
  <c r="S213" i="23"/>
  <c r="Q214" i="23"/>
  <c r="R214" i="23"/>
  <c r="S214" i="23"/>
  <c r="Q215" i="23"/>
  <c r="R215" i="23"/>
  <c r="S215" i="23"/>
  <c r="Z215" i="23"/>
  <c r="Q216" i="23"/>
  <c r="R216" i="23"/>
  <c r="S216" i="23"/>
  <c r="Q217" i="23"/>
  <c r="R217" i="23"/>
  <c r="S217" i="23"/>
  <c r="Q218" i="23"/>
  <c r="R218" i="23"/>
  <c r="S218" i="23"/>
  <c r="Z218" i="23"/>
  <c r="Q219" i="23"/>
  <c r="R219" i="23"/>
  <c r="S219" i="23"/>
  <c r="Q220" i="23"/>
  <c r="R220" i="23"/>
  <c r="S220" i="23"/>
  <c r="Q221" i="23"/>
  <c r="R221" i="23"/>
  <c r="S221" i="23"/>
  <c r="Q222" i="23"/>
  <c r="R222" i="23"/>
  <c r="S222" i="23"/>
  <c r="Q223" i="23"/>
  <c r="R223" i="23"/>
  <c r="S223" i="23"/>
  <c r="Q224" i="23"/>
  <c r="R224" i="23"/>
  <c r="S224" i="23"/>
  <c r="Q225" i="23"/>
  <c r="R225" i="23"/>
  <c r="S225" i="23"/>
  <c r="Q226" i="23"/>
  <c r="R226" i="23"/>
  <c r="S226" i="23"/>
  <c r="Q227" i="23"/>
  <c r="R227" i="23"/>
  <c r="S227" i="23"/>
  <c r="Q228" i="23"/>
  <c r="R228" i="23"/>
  <c r="S228" i="23"/>
  <c r="Q229" i="23"/>
  <c r="R229" i="23"/>
  <c r="S229" i="23"/>
  <c r="Q230" i="23"/>
  <c r="R230" i="23"/>
  <c r="S230" i="23"/>
  <c r="Q231" i="23"/>
  <c r="R231" i="23"/>
  <c r="S231" i="23"/>
  <c r="Q232" i="23"/>
  <c r="R232" i="23"/>
  <c r="S232" i="23"/>
  <c r="Q233" i="23"/>
  <c r="R233" i="23"/>
  <c r="S233" i="23"/>
  <c r="Z233" i="23"/>
  <c r="Q237" i="23"/>
  <c r="R237" i="23"/>
  <c r="S237" i="23"/>
  <c r="Q238" i="23"/>
  <c r="R238" i="23"/>
  <c r="S238" i="23"/>
  <c r="Z156" i="23"/>
  <c r="S156" i="23"/>
  <c r="R156" i="23"/>
  <c r="Q156" i="23"/>
  <c r="S155" i="23"/>
  <c r="R155" i="23"/>
  <c r="Q155" i="23"/>
  <c r="S154" i="23"/>
  <c r="R154" i="23"/>
  <c r="Q154" i="23"/>
  <c r="S153" i="23"/>
  <c r="R153" i="23"/>
  <c r="Q153" i="23"/>
  <c r="S152" i="23"/>
  <c r="R152" i="23"/>
  <c r="Q152" i="23"/>
  <c r="S151" i="23"/>
  <c r="R151" i="23"/>
  <c r="Q151" i="23"/>
  <c r="S150" i="23"/>
  <c r="R150" i="23"/>
  <c r="Q150" i="23"/>
  <c r="Z149" i="23"/>
  <c r="S149" i="23"/>
  <c r="R149" i="23"/>
  <c r="Q149" i="23"/>
  <c r="S148" i="23"/>
  <c r="R148" i="23"/>
  <c r="Q148" i="23"/>
  <c r="S147" i="23"/>
  <c r="R147" i="23"/>
  <c r="Q147" i="23"/>
  <c r="S146" i="23"/>
  <c r="R146" i="23"/>
  <c r="Q146" i="23"/>
  <c r="S145" i="23"/>
  <c r="R145" i="23"/>
  <c r="Q145" i="23"/>
  <c r="S144" i="23"/>
  <c r="R144" i="23"/>
  <c r="Q144" i="23"/>
  <c r="S143" i="23"/>
  <c r="R143" i="23"/>
  <c r="Q143" i="23"/>
  <c r="Z142" i="23"/>
  <c r="S142" i="23"/>
  <c r="R142" i="23"/>
  <c r="Q142" i="23"/>
  <c r="S141" i="23"/>
  <c r="R141" i="23"/>
  <c r="Q141" i="23"/>
  <c r="S140" i="23"/>
  <c r="R140" i="23"/>
  <c r="Q140" i="23"/>
  <c r="S139" i="23"/>
  <c r="R139" i="23"/>
  <c r="Q139" i="23"/>
  <c r="S138" i="23"/>
  <c r="R138" i="23"/>
  <c r="Q138" i="23"/>
  <c r="S137" i="23"/>
  <c r="R137" i="23"/>
  <c r="Q137" i="23"/>
  <c r="Z136" i="23"/>
  <c r="S136" i="23"/>
  <c r="R136" i="23"/>
  <c r="Q136" i="23"/>
  <c r="S135" i="23"/>
  <c r="R135" i="23"/>
  <c r="Q135" i="23"/>
  <c r="S133" i="23"/>
  <c r="R133" i="23"/>
  <c r="Q133" i="23"/>
  <c r="S132" i="23"/>
  <c r="R132" i="23"/>
  <c r="Q132" i="23"/>
  <c r="Z131" i="23"/>
  <c r="S131" i="23"/>
  <c r="R131" i="23"/>
  <c r="Q131" i="23"/>
  <c r="Z130" i="23"/>
  <c r="S130" i="23"/>
  <c r="R130" i="23"/>
  <c r="Q130" i="23"/>
  <c r="S129" i="23"/>
  <c r="R129" i="23"/>
  <c r="Q129" i="23"/>
  <c r="S128" i="23"/>
  <c r="R128" i="23"/>
  <c r="Q128" i="23"/>
  <c r="S127" i="23"/>
  <c r="R127" i="23"/>
  <c r="Q127" i="23"/>
  <c r="S126" i="23"/>
  <c r="R126" i="23"/>
  <c r="Q126" i="23"/>
  <c r="S125" i="23"/>
  <c r="R125" i="23"/>
  <c r="Q125" i="23"/>
  <c r="S124" i="23"/>
  <c r="R124" i="23"/>
  <c r="Q124" i="23"/>
  <c r="S123" i="23"/>
  <c r="R123" i="23"/>
  <c r="Q123" i="23"/>
  <c r="S122" i="23"/>
  <c r="R122" i="23"/>
  <c r="Q122" i="23"/>
  <c r="S121" i="23"/>
  <c r="R121" i="23"/>
  <c r="Q121" i="23"/>
  <c r="Z120" i="23"/>
  <c r="S120" i="23"/>
  <c r="R120" i="23"/>
  <c r="Q120" i="23"/>
  <c r="Z119" i="23"/>
  <c r="S119" i="23"/>
  <c r="R119" i="23"/>
  <c r="Q119" i="23"/>
  <c r="Z118" i="23"/>
  <c r="S118" i="23"/>
  <c r="R118" i="23"/>
  <c r="Q118" i="23"/>
  <c r="Z117" i="23"/>
  <c r="S117" i="23"/>
  <c r="R117" i="23"/>
  <c r="Q117" i="23"/>
  <c r="S116" i="23"/>
  <c r="R116" i="23"/>
  <c r="Q116" i="23"/>
  <c r="S115" i="23"/>
  <c r="R115" i="23"/>
  <c r="Q115" i="23"/>
  <c r="S114" i="23"/>
  <c r="R114" i="23"/>
  <c r="Q114" i="23"/>
  <c r="S113" i="23"/>
  <c r="R113" i="23"/>
  <c r="Q113" i="23"/>
  <c r="S112" i="23"/>
  <c r="R112" i="23"/>
  <c r="Q112" i="23"/>
  <c r="S111" i="23"/>
  <c r="R111" i="23"/>
  <c r="Q111" i="23"/>
  <c r="S110" i="23"/>
  <c r="R110" i="23"/>
  <c r="Q110" i="23"/>
  <c r="S109" i="23"/>
  <c r="R109" i="23"/>
  <c r="Q109" i="23"/>
  <c r="S108" i="23"/>
  <c r="R108" i="23"/>
  <c r="Q108" i="23"/>
  <c r="S107" i="23"/>
  <c r="R107" i="23"/>
  <c r="Q107" i="23"/>
  <c r="Z106" i="23"/>
  <c r="S106" i="23"/>
  <c r="R106" i="23"/>
  <c r="Q106" i="23"/>
  <c r="S105" i="23"/>
  <c r="R105" i="23"/>
  <c r="Q105" i="23"/>
  <c r="S104" i="23"/>
  <c r="R104" i="23"/>
  <c r="Q104" i="23"/>
  <c r="Z103" i="23"/>
  <c r="S103" i="23"/>
  <c r="R103" i="23"/>
  <c r="Q103" i="23"/>
  <c r="S102" i="23"/>
  <c r="R102" i="23"/>
  <c r="Q102" i="23"/>
  <c r="S101" i="23"/>
  <c r="R101" i="23"/>
  <c r="Q101" i="23"/>
  <c r="S100" i="23"/>
  <c r="R100" i="23"/>
  <c r="Q100" i="23"/>
  <c r="Z99" i="23"/>
  <c r="S99" i="23"/>
  <c r="R99" i="23"/>
  <c r="Q99" i="23"/>
  <c r="Z98" i="23"/>
  <c r="S98" i="23"/>
  <c r="R98" i="23"/>
  <c r="Q98" i="23"/>
  <c r="S97" i="23"/>
  <c r="R97" i="23"/>
  <c r="Q97" i="23"/>
  <c r="S96" i="23"/>
  <c r="R96" i="23"/>
  <c r="Q96" i="23"/>
  <c r="S95" i="23"/>
  <c r="R95" i="23"/>
  <c r="Q95" i="23"/>
  <c r="S94" i="23"/>
  <c r="R94" i="23"/>
  <c r="Q94" i="23"/>
  <c r="S93" i="23"/>
  <c r="R93" i="23"/>
  <c r="Q93" i="23"/>
  <c r="Z92" i="23"/>
  <c r="S92" i="23"/>
  <c r="R92" i="23"/>
  <c r="Q92" i="23"/>
  <c r="S91" i="23"/>
  <c r="R91" i="23"/>
  <c r="Q91" i="23"/>
  <c r="Z90" i="23"/>
  <c r="S90" i="23"/>
  <c r="R90" i="23"/>
  <c r="Q90" i="23"/>
  <c r="Z89" i="23"/>
  <c r="S89" i="23"/>
  <c r="R89" i="23"/>
  <c r="Q89" i="23"/>
  <c r="Z88" i="23"/>
  <c r="S88" i="23"/>
  <c r="R88" i="23"/>
  <c r="Q88" i="23"/>
  <c r="Z87" i="23"/>
  <c r="S87" i="23"/>
  <c r="R87" i="23"/>
  <c r="Q87" i="23"/>
  <c r="Z86" i="23"/>
  <c r="S86" i="23"/>
  <c r="R86" i="23"/>
  <c r="Q86" i="23"/>
  <c r="Z85" i="23"/>
  <c r="S85" i="23"/>
  <c r="R85" i="23"/>
  <c r="Q85" i="23"/>
  <c r="Z84" i="23"/>
  <c r="S84" i="23"/>
  <c r="R84" i="23"/>
  <c r="Q84" i="23"/>
  <c r="Z83" i="23"/>
  <c r="S83" i="23"/>
  <c r="R83" i="23"/>
  <c r="Q83" i="23"/>
  <c r="Q134" i="23"/>
  <c r="R134" i="23"/>
  <c r="S134" i="23"/>
  <c r="Q157" i="23"/>
  <c r="R157" i="23"/>
  <c r="S157" i="23"/>
  <c r="Q158" i="23"/>
  <c r="R158" i="23"/>
  <c r="S158" i="23"/>
  <c r="Q159" i="23"/>
  <c r="R159" i="23"/>
  <c r="S159" i="23"/>
  <c r="Q160" i="23"/>
  <c r="R160" i="23"/>
  <c r="S160" i="23"/>
  <c r="Q161" i="23"/>
  <c r="R161" i="23"/>
  <c r="S161" i="23"/>
  <c r="Q162" i="23"/>
  <c r="R162" i="23"/>
  <c r="S162" i="23"/>
  <c r="Z162" i="23"/>
  <c r="Q163" i="23"/>
  <c r="R163" i="23"/>
  <c r="S163" i="23"/>
  <c r="Z163" i="23"/>
  <c r="Q164" i="23"/>
  <c r="R164" i="23"/>
  <c r="S164" i="23"/>
  <c r="Q165" i="23"/>
  <c r="R165" i="23"/>
  <c r="S165" i="23"/>
  <c r="Q166" i="23"/>
  <c r="R166" i="23"/>
  <c r="S166" i="23"/>
  <c r="Z166" i="23"/>
  <c r="Q167" i="23"/>
  <c r="R167" i="23"/>
  <c r="S167" i="23"/>
  <c r="Q168" i="23"/>
  <c r="R168" i="23"/>
  <c r="S168" i="23"/>
  <c r="Q169" i="23"/>
  <c r="R169" i="23"/>
  <c r="S169" i="23"/>
  <c r="Q170" i="23"/>
  <c r="R170" i="23"/>
  <c r="S170" i="23"/>
  <c r="Z170" i="23"/>
  <c r="Q171" i="23"/>
  <c r="R171" i="23"/>
  <c r="S171" i="23"/>
  <c r="Z171" i="23"/>
  <c r="Q172" i="23"/>
  <c r="R172" i="23"/>
  <c r="S172" i="23"/>
  <c r="Q173" i="23"/>
  <c r="R173" i="23"/>
  <c r="S173" i="23"/>
  <c r="Q174" i="23"/>
  <c r="R174" i="23"/>
  <c r="S174" i="23"/>
  <c r="Z174" i="23"/>
  <c r="Q175" i="23"/>
  <c r="R175" i="23"/>
  <c r="S175" i="23"/>
  <c r="Q176" i="23"/>
  <c r="R176" i="23"/>
  <c r="S176" i="23"/>
  <c r="Z176" i="23"/>
  <c r="Q177" i="23"/>
  <c r="R177" i="23"/>
  <c r="S177" i="23"/>
  <c r="Q178" i="23"/>
  <c r="R178" i="23"/>
  <c r="S178" i="23"/>
  <c r="Q179" i="23"/>
  <c r="R179" i="23"/>
  <c r="S179" i="23"/>
  <c r="Q180" i="23"/>
  <c r="R180" i="23"/>
  <c r="S180" i="23"/>
  <c r="Q181" i="23"/>
  <c r="R181" i="23"/>
  <c r="S181" i="23"/>
  <c r="Q182" i="23"/>
  <c r="R182" i="23"/>
  <c r="S182" i="23"/>
  <c r="Q183" i="23"/>
  <c r="R183" i="23"/>
  <c r="S183" i="23"/>
  <c r="Z183" i="23"/>
  <c r="Q184" i="23"/>
  <c r="R184" i="23"/>
  <c r="S184" i="23"/>
  <c r="Q185" i="23"/>
  <c r="R185" i="23"/>
  <c r="S185" i="23"/>
  <c r="Z185" i="23"/>
  <c r="Q186" i="23"/>
  <c r="R186" i="23"/>
  <c r="S186" i="23"/>
  <c r="Z186" i="23"/>
  <c r="Q187" i="23"/>
  <c r="R187" i="23"/>
  <c r="S187" i="23"/>
  <c r="Z187" i="23"/>
  <c r="Q188" i="23"/>
  <c r="R188" i="23"/>
  <c r="S188" i="23"/>
  <c r="Z188" i="23"/>
  <c r="Q189" i="23"/>
  <c r="R189" i="23"/>
  <c r="S189" i="23"/>
  <c r="Q190" i="23"/>
  <c r="R190" i="23"/>
  <c r="S190" i="23"/>
  <c r="Z190" i="23"/>
  <c r="Q191" i="23"/>
  <c r="R191" i="23"/>
  <c r="S191" i="23"/>
  <c r="Z191" i="23"/>
  <c r="Q192" i="23"/>
  <c r="R192" i="23"/>
  <c r="S192" i="23"/>
  <c r="Z192" i="23"/>
  <c r="Q193" i="23"/>
  <c r="R193" i="23"/>
  <c r="S193" i="23"/>
  <c r="Q194" i="23"/>
  <c r="R194" i="23"/>
  <c r="S194" i="23"/>
  <c r="Z509" i="23"/>
  <c r="S509" i="23"/>
  <c r="R509" i="23"/>
  <c r="Q509" i="23"/>
  <c r="P509" i="23"/>
  <c r="Z508" i="23"/>
  <c r="S508" i="23"/>
  <c r="R508" i="23"/>
  <c r="Q508" i="23"/>
  <c r="P508" i="23"/>
  <c r="Z507" i="23"/>
  <c r="S507" i="23"/>
  <c r="R507" i="23"/>
  <c r="Q507" i="23"/>
  <c r="P507" i="23"/>
  <c r="Z506" i="23"/>
  <c r="S506" i="23"/>
  <c r="R506" i="23"/>
  <c r="Q506" i="23"/>
  <c r="P506" i="23"/>
  <c r="Z505" i="23"/>
  <c r="S505" i="23"/>
  <c r="R505" i="23"/>
  <c r="Q505" i="23"/>
  <c r="P505" i="23"/>
  <c r="Z504" i="23"/>
  <c r="S504" i="23"/>
  <c r="R504" i="23"/>
  <c r="Q504" i="23"/>
  <c r="P504" i="23"/>
  <c r="Z503" i="23"/>
  <c r="S503" i="23"/>
  <c r="R503" i="23"/>
  <c r="Q503" i="23"/>
  <c r="P503" i="23"/>
  <c r="Z502" i="23"/>
  <c r="S502" i="23"/>
  <c r="R502" i="23"/>
  <c r="Q502" i="23"/>
  <c r="P502" i="23"/>
  <c r="Z501" i="23"/>
  <c r="S501" i="23"/>
  <c r="R501" i="23"/>
  <c r="Q501" i="23"/>
  <c r="P501" i="23"/>
  <c r="Z500" i="23"/>
  <c r="S500" i="23"/>
  <c r="R500" i="23"/>
  <c r="Q500" i="23"/>
  <c r="P500" i="23"/>
  <c r="Z499" i="23"/>
  <c r="S499" i="23"/>
  <c r="R499" i="23"/>
  <c r="Q499" i="23"/>
  <c r="P499" i="23"/>
  <c r="Z498" i="23"/>
  <c r="S498" i="23"/>
  <c r="R498" i="23"/>
  <c r="Q498" i="23"/>
  <c r="P498" i="23"/>
  <c r="Z497" i="23"/>
  <c r="S497" i="23"/>
  <c r="R497" i="23"/>
  <c r="Q497" i="23"/>
  <c r="P497" i="23"/>
  <c r="Z496" i="23"/>
  <c r="S496" i="23"/>
  <c r="R496" i="23"/>
  <c r="Q496" i="23"/>
  <c r="P496" i="23"/>
  <c r="Z495" i="23"/>
  <c r="S495" i="23"/>
  <c r="R495" i="23"/>
  <c r="Q495" i="23"/>
  <c r="P495" i="23"/>
  <c r="Z494" i="23"/>
  <c r="S494" i="23"/>
  <c r="R494" i="23"/>
  <c r="Q494" i="23"/>
  <c r="P494" i="23"/>
  <c r="Z493" i="23"/>
  <c r="S493" i="23"/>
  <c r="R493" i="23"/>
  <c r="Q493" i="23"/>
  <c r="P493" i="23"/>
  <c r="Z492" i="23"/>
  <c r="S492" i="23"/>
  <c r="R492" i="23"/>
  <c r="Q492" i="23"/>
  <c r="P492" i="23"/>
  <c r="Z491" i="23"/>
  <c r="S491" i="23"/>
  <c r="R491" i="23"/>
  <c r="Q491" i="23"/>
  <c r="P491" i="23"/>
  <c r="Z490" i="23"/>
  <c r="S490" i="23"/>
  <c r="R490" i="23"/>
  <c r="Q490" i="23"/>
  <c r="P490" i="23"/>
  <c r="Z489" i="23"/>
  <c r="S489" i="23"/>
  <c r="R489" i="23"/>
  <c r="Q489" i="23"/>
  <c r="P489" i="23"/>
  <c r="Z488" i="23"/>
  <c r="S488" i="23"/>
  <c r="R488" i="23"/>
  <c r="Q488" i="23"/>
  <c r="P488" i="23"/>
  <c r="Z487" i="23"/>
  <c r="S487" i="23"/>
  <c r="R487" i="23"/>
  <c r="Q487" i="23"/>
  <c r="P487" i="23"/>
  <c r="Z486" i="23"/>
  <c r="S486" i="23"/>
  <c r="R486" i="23"/>
  <c r="Q486" i="23"/>
  <c r="P486" i="23"/>
  <c r="Z485" i="23"/>
  <c r="S485" i="23"/>
  <c r="R485" i="23"/>
  <c r="Q485" i="23"/>
  <c r="P485" i="23"/>
  <c r="Z484" i="23"/>
  <c r="S484" i="23"/>
  <c r="R484" i="23"/>
  <c r="Q484" i="23"/>
  <c r="P484" i="23"/>
  <c r="Z483" i="23"/>
  <c r="S483" i="23"/>
  <c r="R483" i="23"/>
  <c r="Q483" i="23"/>
  <c r="P483" i="23"/>
  <c r="Z482" i="23"/>
  <c r="S482" i="23"/>
  <c r="R482" i="23"/>
  <c r="Q482" i="23"/>
  <c r="P482" i="23"/>
  <c r="Z481" i="23"/>
  <c r="S481" i="23"/>
  <c r="R481" i="23"/>
  <c r="Q481" i="23"/>
  <c r="P481" i="23"/>
  <c r="Z480" i="23"/>
  <c r="S480" i="23"/>
  <c r="R480" i="23"/>
  <c r="Q480" i="23"/>
  <c r="P480" i="23"/>
  <c r="Z479" i="23"/>
  <c r="S479" i="23"/>
  <c r="R479" i="23"/>
  <c r="Q479" i="23"/>
  <c r="P479" i="23"/>
  <c r="Z478" i="23"/>
  <c r="S478" i="23"/>
  <c r="R478" i="23"/>
  <c r="Q478" i="23"/>
  <c r="P478" i="23"/>
  <c r="S477" i="23"/>
  <c r="R477" i="23"/>
  <c r="Q477" i="23"/>
  <c r="P477" i="23"/>
  <c r="S476" i="23"/>
  <c r="R476" i="23"/>
  <c r="Q476" i="23"/>
  <c r="P476" i="23"/>
  <c r="S475" i="23"/>
  <c r="R475" i="23"/>
  <c r="Q475" i="23"/>
  <c r="P475" i="23"/>
  <c r="S474" i="23"/>
  <c r="R474" i="23"/>
  <c r="Q474" i="23"/>
  <c r="P474" i="23"/>
  <c r="S473" i="23"/>
  <c r="R473" i="23"/>
  <c r="Q473" i="23"/>
  <c r="P473" i="23"/>
  <c r="S472" i="23"/>
  <c r="R472" i="23"/>
  <c r="Q472" i="23"/>
  <c r="P472" i="23"/>
  <c r="S471" i="23"/>
  <c r="R471" i="23"/>
  <c r="Q471" i="23"/>
  <c r="P471" i="23"/>
  <c r="S470" i="23"/>
  <c r="R470" i="23"/>
  <c r="Q470" i="23"/>
  <c r="P470" i="23"/>
  <c r="S469" i="23"/>
  <c r="R469" i="23"/>
  <c r="Q469" i="23"/>
  <c r="P469" i="23"/>
  <c r="S468" i="23"/>
  <c r="R468" i="23"/>
  <c r="Q468" i="23"/>
  <c r="P468" i="23"/>
  <c r="S467" i="23"/>
  <c r="R467" i="23"/>
  <c r="Q467" i="23"/>
  <c r="P467" i="23"/>
  <c r="S466" i="23"/>
  <c r="R466" i="23"/>
  <c r="Q466" i="23"/>
  <c r="P466" i="23"/>
  <c r="S465" i="23"/>
  <c r="R465" i="23"/>
  <c r="Q465" i="23"/>
  <c r="P465" i="23"/>
  <c r="S464" i="23"/>
  <c r="R464" i="23"/>
  <c r="Q464" i="23"/>
  <c r="P464" i="23"/>
  <c r="S463" i="23"/>
  <c r="R463" i="23"/>
  <c r="Q463" i="23"/>
  <c r="P463" i="23"/>
  <c r="S462" i="23"/>
  <c r="R462" i="23"/>
  <c r="Q462" i="23"/>
  <c r="P462" i="23"/>
  <c r="S461" i="23"/>
  <c r="R461" i="23"/>
  <c r="Q461" i="23"/>
  <c r="P461" i="23"/>
  <c r="S460" i="23"/>
  <c r="R460" i="23"/>
  <c r="Q460" i="23"/>
  <c r="P460" i="23"/>
  <c r="S459" i="23"/>
  <c r="R459" i="23"/>
  <c r="Q459" i="23"/>
  <c r="P459" i="23"/>
  <c r="S458" i="23"/>
  <c r="R458" i="23"/>
  <c r="Q458" i="23"/>
  <c r="P458" i="23"/>
  <c r="S457" i="23"/>
  <c r="R457" i="23"/>
  <c r="Q457" i="23"/>
  <c r="P457" i="23"/>
  <c r="S456" i="23"/>
  <c r="R456" i="23"/>
  <c r="Q456" i="23"/>
  <c r="P456" i="23"/>
  <c r="S455" i="23"/>
  <c r="R455" i="23"/>
  <c r="Q455" i="23"/>
  <c r="P455" i="23"/>
  <c r="S454" i="23"/>
  <c r="R454" i="23"/>
  <c r="Q454" i="23"/>
  <c r="P454" i="23"/>
  <c r="S453" i="23"/>
  <c r="R453" i="23"/>
  <c r="Q453" i="23"/>
  <c r="P453" i="23"/>
  <c r="S452" i="23"/>
  <c r="R452" i="23"/>
  <c r="Q452" i="23"/>
  <c r="P452" i="23"/>
  <c r="S451" i="23"/>
  <c r="R451" i="23"/>
  <c r="Q451" i="23"/>
  <c r="P451" i="23"/>
  <c r="S450" i="23"/>
  <c r="R450" i="23"/>
  <c r="Q450" i="23"/>
  <c r="P450" i="23"/>
  <c r="S449" i="23"/>
  <c r="R449" i="23"/>
  <c r="Q449" i="23"/>
  <c r="P449" i="23"/>
  <c r="S448" i="23"/>
  <c r="R448" i="23"/>
  <c r="Q448" i="23"/>
  <c r="P448" i="23"/>
  <c r="S447" i="23"/>
  <c r="R447" i="23"/>
  <c r="Q447" i="23"/>
  <c r="P447" i="23"/>
  <c r="S446" i="23"/>
  <c r="R446" i="23"/>
  <c r="Q446" i="23"/>
  <c r="P446" i="23"/>
  <c r="S445" i="23"/>
  <c r="R445" i="23"/>
  <c r="Q445" i="23"/>
  <c r="P445" i="23"/>
  <c r="S444" i="23"/>
  <c r="R444" i="23"/>
  <c r="Q444" i="23"/>
  <c r="P444" i="23"/>
  <c r="S443" i="23"/>
  <c r="R443" i="23"/>
  <c r="Q443" i="23"/>
  <c r="P443" i="23"/>
  <c r="S442" i="23"/>
  <c r="R442" i="23"/>
  <c r="Q442" i="23"/>
  <c r="P442" i="23"/>
  <c r="S441" i="23"/>
  <c r="R441" i="23"/>
  <c r="Q441" i="23"/>
  <c r="P441" i="23"/>
  <c r="S440" i="23"/>
  <c r="R440" i="23"/>
  <c r="Q440" i="23"/>
  <c r="P440" i="23"/>
  <c r="S439" i="23"/>
  <c r="R439" i="23"/>
  <c r="Q439" i="23"/>
  <c r="P439" i="23"/>
  <c r="S438" i="23"/>
  <c r="R438" i="23"/>
  <c r="Q438" i="23"/>
  <c r="P438" i="23"/>
  <c r="S437" i="23"/>
  <c r="R437" i="23"/>
  <c r="Q437" i="23"/>
  <c r="P437" i="23"/>
  <c r="Z436" i="23"/>
  <c r="S436" i="23"/>
  <c r="R436" i="23"/>
  <c r="Q436" i="23"/>
  <c r="P436" i="23"/>
  <c r="Z435" i="23"/>
  <c r="S435" i="23"/>
  <c r="R435" i="23"/>
  <c r="Q435" i="23"/>
  <c r="P435" i="23"/>
  <c r="Z434" i="23"/>
  <c r="S434" i="23"/>
  <c r="R434" i="23"/>
  <c r="Q434" i="23"/>
  <c r="P434" i="23"/>
  <c r="Z433" i="23"/>
  <c r="S433" i="23"/>
  <c r="R433" i="23"/>
  <c r="Q433" i="23"/>
  <c r="P433" i="23"/>
  <c r="Z432" i="23"/>
  <c r="S432" i="23"/>
  <c r="R432" i="23"/>
  <c r="Q432" i="23"/>
  <c r="P432" i="23"/>
  <c r="Z431" i="23"/>
  <c r="S431" i="23"/>
  <c r="R431" i="23"/>
  <c r="Q431" i="23"/>
  <c r="P431" i="23"/>
  <c r="Z430" i="23"/>
  <c r="S430" i="23"/>
  <c r="R430" i="23"/>
  <c r="Q430" i="23"/>
  <c r="P430" i="23"/>
  <c r="Z429" i="23"/>
  <c r="S429" i="23"/>
  <c r="R429" i="23"/>
  <c r="Q429" i="23"/>
  <c r="P429" i="23"/>
  <c r="Z428" i="23"/>
  <c r="S428" i="23"/>
  <c r="R428" i="23"/>
  <c r="Q428" i="23"/>
  <c r="P428" i="23"/>
  <c r="Z427" i="23"/>
  <c r="S427" i="23"/>
  <c r="R427" i="23"/>
  <c r="Q427" i="23"/>
  <c r="P427" i="23"/>
  <c r="Z426" i="23"/>
  <c r="S426" i="23"/>
  <c r="R426" i="23"/>
  <c r="Q426" i="23"/>
  <c r="P426" i="23"/>
  <c r="Z425" i="23"/>
  <c r="S425" i="23"/>
  <c r="R425" i="23"/>
  <c r="Q425" i="23"/>
  <c r="P425" i="23"/>
  <c r="Z424" i="23"/>
  <c r="S424" i="23"/>
  <c r="R424" i="23"/>
  <c r="Q424" i="23"/>
  <c r="P424" i="23"/>
  <c r="Z423" i="23"/>
  <c r="S423" i="23"/>
  <c r="R423" i="23"/>
  <c r="Q423" i="23"/>
  <c r="P423" i="23"/>
  <c r="S422" i="23"/>
  <c r="R422" i="23"/>
  <c r="Q422" i="23"/>
  <c r="P422" i="23"/>
  <c r="S421" i="23"/>
  <c r="R421" i="23"/>
  <c r="Q421" i="23"/>
  <c r="P421" i="23"/>
  <c r="S420" i="23"/>
  <c r="R420" i="23"/>
  <c r="Q420" i="23"/>
  <c r="P420" i="23"/>
  <c r="S419" i="23"/>
  <c r="R419" i="23"/>
  <c r="Q419" i="23"/>
  <c r="P419" i="23"/>
  <c r="S418" i="23"/>
  <c r="R418" i="23"/>
  <c r="Q418" i="23"/>
  <c r="P418" i="23"/>
  <c r="S417" i="23"/>
  <c r="R417" i="23"/>
  <c r="Q417" i="23"/>
  <c r="P417" i="23"/>
  <c r="S416" i="23"/>
  <c r="R416" i="23"/>
  <c r="Q416" i="23"/>
  <c r="P416" i="23"/>
  <c r="S415" i="23"/>
  <c r="R415" i="23"/>
  <c r="Q415" i="23"/>
  <c r="P415" i="23"/>
  <c r="S414" i="23"/>
  <c r="R414" i="23"/>
  <c r="Q414" i="23"/>
  <c r="P414" i="23"/>
  <c r="S413" i="23"/>
  <c r="R413" i="23"/>
  <c r="Q413" i="23"/>
  <c r="P413" i="23"/>
  <c r="S412" i="23"/>
  <c r="R412" i="23"/>
  <c r="Q412" i="23"/>
  <c r="P412" i="23"/>
  <c r="S411" i="23"/>
  <c r="R411" i="23"/>
  <c r="Q411" i="23"/>
  <c r="P411" i="23"/>
  <c r="S410" i="23"/>
  <c r="R410" i="23"/>
  <c r="Q410" i="23"/>
  <c r="P410" i="23"/>
  <c r="S409" i="23"/>
  <c r="R409" i="23"/>
  <c r="Q409" i="23"/>
  <c r="P409" i="23"/>
  <c r="S408" i="23"/>
  <c r="R408" i="23"/>
  <c r="Q408" i="23"/>
  <c r="P408" i="23"/>
  <c r="S407" i="23"/>
  <c r="R407" i="23"/>
  <c r="Q407" i="23"/>
  <c r="P407" i="23"/>
  <c r="S406" i="23"/>
  <c r="R406" i="23"/>
  <c r="Q406" i="23"/>
  <c r="P406" i="23"/>
  <c r="S405" i="23"/>
  <c r="R405" i="23"/>
  <c r="Q405" i="23"/>
  <c r="P405" i="23"/>
  <c r="S404" i="23"/>
  <c r="R404" i="23"/>
  <c r="Q404" i="23"/>
  <c r="P404" i="23"/>
  <c r="S403" i="23"/>
  <c r="R403" i="23"/>
  <c r="Q403" i="23"/>
  <c r="P403" i="23"/>
  <c r="S402" i="23"/>
  <c r="R402" i="23"/>
  <c r="Q402" i="23"/>
  <c r="P402" i="23"/>
  <c r="S401" i="23"/>
  <c r="R401" i="23"/>
  <c r="Q401" i="23"/>
  <c r="P401" i="23"/>
  <c r="S400" i="23"/>
  <c r="R400" i="23"/>
  <c r="Q400" i="23"/>
  <c r="P400" i="23"/>
  <c r="S399" i="23"/>
  <c r="R399" i="23"/>
  <c r="Q399" i="23"/>
  <c r="P399" i="23"/>
  <c r="S398" i="23"/>
  <c r="R398" i="23"/>
  <c r="Q398" i="23"/>
  <c r="P398" i="23"/>
  <c r="S397" i="23"/>
  <c r="R397" i="23"/>
  <c r="Q397" i="23"/>
  <c r="P397" i="23"/>
  <c r="S396" i="23"/>
  <c r="R396" i="23"/>
  <c r="Q396" i="23"/>
  <c r="P396" i="23"/>
  <c r="S395" i="23"/>
  <c r="R395" i="23"/>
  <c r="Q395" i="23"/>
  <c r="P395" i="23"/>
  <c r="S394" i="23"/>
  <c r="R394" i="23"/>
  <c r="Q394" i="23"/>
  <c r="P394" i="23"/>
  <c r="S393" i="23"/>
  <c r="R393" i="23"/>
  <c r="Q393" i="23"/>
  <c r="P393" i="23"/>
  <c r="S392" i="23"/>
  <c r="R392" i="23"/>
  <c r="Q392" i="23"/>
  <c r="P392" i="23"/>
  <c r="S391" i="23"/>
  <c r="R391" i="23"/>
  <c r="Q391" i="23"/>
  <c r="P391" i="23"/>
  <c r="S390" i="23"/>
  <c r="R390" i="23"/>
  <c r="Q390" i="23"/>
  <c r="P390" i="23"/>
  <c r="S389" i="23"/>
  <c r="R389" i="23"/>
  <c r="Q389" i="23"/>
  <c r="P389" i="23"/>
  <c r="S388" i="23"/>
  <c r="R388" i="23"/>
  <c r="Q388" i="23"/>
  <c r="P388" i="23"/>
  <c r="S387" i="23"/>
  <c r="R387" i="23"/>
  <c r="Q387" i="23"/>
  <c r="P387" i="23"/>
  <c r="S386" i="23"/>
  <c r="R386" i="23"/>
  <c r="Q386" i="23"/>
  <c r="P386" i="23"/>
  <c r="Z385" i="23"/>
  <c r="S385" i="23"/>
  <c r="R385" i="23"/>
  <c r="Q385" i="23"/>
  <c r="P385" i="23"/>
  <c r="Z384" i="23"/>
  <c r="S384" i="23"/>
  <c r="R384" i="23"/>
  <c r="Q384" i="23"/>
  <c r="P384" i="23"/>
  <c r="Z383" i="23"/>
  <c r="S383" i="23"/>
  <c r="R383" i="23"/>
  <c r="Q383" i="23"/>
  <c r="P383" i="23"/>
  <c r="Z382" i="23"/>
  <c r="S382" i="23"/>
  <c r="R382" i="23"/>
  <c r="Q382" i="23"/>
  <c r="P382" i="23"/>
  <c r="Z381" i="23"/>
  <c r="S381" i="23"/>
  <c r="R381" i="23"/>
  <c r="Q381" i="23"/>
  <c r="P381" i="23"/>
  <c r="Z380" i="23"/>
  <c r="S380" i="23"/>
  <c r="R380" i="23"/>
  <c r="Q380" i="23"/>
  <c r="P380" i="23"/>
  <c r="Z379" i="23"/>
  <c r="S379" i="23"/>
  <c r="R379" i="23"/>
  <c r="Q379" i="23"/>
  <c r="P379" i="23"/>
  <c r="Z378" i="23"/>
  <c r="S378" i="23"/>
  <c r="R378" i="23"/>
  <c r="Q378" i="23"/>
  <c r="P378" i="23"/>
  <c r="Z377" i="23"/>
  <c r="S377" i="23"/>
  <c r="R377" i="23"/>
  <c r="Q377" i="23"/>
  <c r="P377" i="23"/>
  <c r="Z376" i="23"/>
  <c r="S376" i="23"/>
  <c r="R376" i="23"/>
  <c r="Q376" i="23"/>
  <c r="P376" i="23"/>
  <c r="Z375" i="23"/>
  <c r="S375" i="23"/>
  <c r="R375" i="23"/>
  <c r="Q375" i="23"/>
  <c r="P375" i="23"/>
  <c r="Z374" i="23"/>
  <c r="S374" i="23"/>
  <c r="R374" i="23"/>
  <c r="Q374" i="23"/>
  <c r="P374" i="23"/>
  <c r="Z373" i="23"/>
  <c r="S373" i="23"/>
  <c r="R373" i="23"/>
  <c r="Q373" i="23"/>
  <c r="P373" i="23"/>
  <c r="Z372" i="23"/>
  <c r="S372" i="23"/>
  <c r="R372" i="23"/>
  <c r="Q372" i="23"/>
  <c r="P372" i="23"/>
  <c r="Z371" i="23"/>
  <c r="S371" i="23"/>
  <c r="R371" i="23"/>
  <c r="Q371" i="23"/>
  <c r="P371" i="23"/>
  <c r="Z370" i="23"/>
  <c r="S370" i="23"/>
  <c r="R370" i="23"/>
  <c r="Q370" i="23"/>
  <c r="P370" i="23"/>
  <c r="Z369" i="23"/>
  <c r="S369" i="23"/>
  <c r="R369" i="23"/>
  <c r="Q369" i="23"/>
  <c r="P369" i="23"/>
  <c r="Z368" i="23"/>
  <c r="S368" i="23"/>
  <c r="R368" i="23"/>
  <c r="Q368" i="23"/>
  <c r="P368" i="23"/>
  <c r="Z367" i="23"/>
  <c r="S367" i="23"/>
  <c r="R367" i="23"/>
  <c r="Q367" i="23"/>
  <c r="P367" i="23"/>
  <c r="Z366" i="23"/>
  <c r="S366" i="23"/>
  <c r="R366" i="23"/>
  <c r="Q366" i="23"/>
  <c r="P366" i="23"/>
  <c r="Z365" i="23"/>
  <c r="S365" i="23"/>
  <c r="R365" i="23"/>
  <c r="Q365" i="23"/>
  <c r="P365" i="23"/>
  <c r="Z364" i="23"/>
  <c r="S364" i="23"/>
  <c r="R364" i="23"/>
  <c r="Q364" i="23"/>
  <c r="P364" i="23"/>
  <c r="Z363" i="23"/>
  <c r="S363" i="23"/>
  <c r="R363" i="23"/>
  <c r="Q363" i="23"/>
  <c r="P363" i="23"/>
  <c r="Z362" i="23"/>
  <c r="S362" i="23"/>
  <c r="R362" i="23"/>
  <c r="Q362" i="23"/>
  <c r="P362" i="23"/>
  <c r="Z361" i="23"/>
  <c r="S361" i="23"/>
  <c r="R361" i="23"/>
  <c r="Q361" i="23"/>
  <c r="P361" i="23"/>
  <c r="Z360" i="23"/>
  <c r="S360" i="23"/>
  <c r="R360" i="23"/>
  <c r="Q360" i="23"/>
  <c r="P360" i="23"/>
  <c r="Z359" i="23"/>
  <c r="S359" i="23"/>
  <c r="R359" i="23"/>
  <c r="Q359" i="23"/>
  <c r="P359" i="23"/>
  <c r="Z358" i="23"/>
  <c r="S358" i="23"/>
  <c r="R358" i="23"/>
  <c r="Q358" i="23"/>
  <c r="P358" i="23"/>
  <c r="Z357" i="23"/>
  <c r="S357" i="23"/>
  <c r="R357" i="23"/>
  <c r="Q357" i="23"/>
  <c r="P357" i="23"/>
  <c r="Z356" i="23"/>
  <c r="S356" i="23"/>
  <c r="R356" i="23"/>
  <c r="Q356" i="23"/>
  <c r="P356" i="23"/>
  <c r="Z355" i="23"/>
  <c r="S355" i="23"/>
  <c r="R355" i="23"/>
  <c r="Q355" i="23"/>
  <c r="P355" i="23"/>
  <c r="Z354" i="23"/>
  <c r="S354" i="23"/>
  <c r="R354" i="23"/>
  <c r="Q354" i="23"/>
  <c r="P354" i="23"/>
  <c r="Z353" i="23"/>
  <c r="S353" i="23"/>
  <c r="R353" i="23"/>
  <c r="Q353" i="23"/>
  <c r="P353" i="23"/>
  <c r="Z352" i="23"/>
  <c r="S352" i="23"/>
  <c r="R352" i="23"/>
  <c r="Q352" i="23"/>
  <c r="P352" i="23"/>
  <c r="Z351" i="23"/>
  <c r="S351" i="23"/>
  <c r="R351" i="23"/>
  <c r="Q351" i="23"/>
  <c r="P351" i="23"/>
  <c r="Z350" i="23"/>
  <c r="S350" i="23"/>
  <c r="R350" i="23"/>
  <c r="Q350" i="23"/>
  <c r="P350" i="23"/>
  <c r="Z82" i="23"/>
  <c r="S82" i="23"/>
  <c r="R82" i="23"/>
  <c r="Q82" i="23"/>
  <c r="S81" i="23"/>
  <c r="R81" i="23"/>
  <c r="Q81" i="23"/>
  <c r="S80" i="23"/>
  <c r="R80" i="23"/>
  <c r="Q80" i="23"/>
  <c r="S79" i="23"/>
  <c r="R79" i="23"/>
  <c r="Q79" i="23"/>
  <c r="S78" i="23"/>
  <c r="R78" i="23"/>
  <c r="Q78" i="23"/>
  <c r="Z77" i="23"/>
  <c r="S77" i="23"/>
  <c r="R77" i="23"/>
  <c r="Q77" i="23"/>
  <c r="S76" i="23"/>
  <c r="R76" i="23"/>
  <c r="Q76" i="23"/>
  <c r="S75" i="23"/>
  <c r="R75" i="23"/>
  <c r="Q75" i="23"/>
  <c r="S74" i="23"/>
  <c r="R74" i="23"/>
  <c r="Q74" i="23"/>
  <c r="S73" i="23"/>
  <c r="R73" i="23"/>
  <c r="Q73" i="23"/>
  <c r="S72" i="23"/>
  <c r="R72" i="23"/>
  <c r="Q72" i="23"/>
  <c r="S71" i="23"/>
  <c r="R71" i="23"/>
  <c r="Q71" i="23"/>
  <c r="S70" i="23"/>
  <c r="R70" i="23"/>
  <c r="Q70" i="23"/>
  <c r="S69" i="23"/>
  <c r="R69" i="23"/>
  <c r="Q69" i="23"/>
  <c r="S68" i="23"/>
  <c r="R68" i="23"/>
  <c r="Q68" i="23"/>
  <c r="S67" i="23"/>
  <c r="R67" i="23"/>
  <c r="Q67" i="23"/>
  <c r="S66" i="23"/>
  <c r="R66" i="23"/>
  <c r="Q66" i="23"/>
  <c r="S65" i="23"/>
  <c r="R65" i="23"/>
  <c r="Q65" i="23"/>
  <c r="S64" i="23"/>
  <c r="R64" i="23"/>
  <c r="Q64" i="23"/>
  <c r="S63" i="23"/>
  <c r="R63" i="23"/>
  <c r="Q63" i="23"/>
  <c r="S62" i="23"/>
  <c r="R62" i="23"/>
  <c r="Q62" i="23"/>
  <c r="S61" i="23"/>
  <c r="R61" i="23"/>
  <c r="Q61" i="23"/>
  <c r="S60" i="23"/>
  <c r="R60" i="23"/>
  <c r="Q60" i="23"/>
  <c r="S59" i="23"/>
  <c r="R59" i="23"/>
  <c r="Q59" i="23"/>
  <c r="S58" i="23"/>
  <c r="R58" i="23"/>
  <c r="Q58" i="23"/>
  <c r="S57" i="23"/>
  <c r="R57" i="23"/>
  <c r="Q57" i="23"/>
  <c r="S56" i="23"/>
  <c r="R56" i="23"/>
  <c r="Q56" i="23"/>
  <c r="S55" i="23"/>
  <c r="R55" i="23"/>
  <c r="Q55" i="23"/>
  <c r="S54" i="23"/>
  <c r="R54" i="23"/>
  <c r="Q54" i="23"/>
  <c r="S286" i="22"/>
  <c r="R286" i="22"/>
  <c r="Q286" i="22"/>
  <c r="Q287" i="22"/>
  <c r="R287" i="22"/>
  <c r="S287" i="22"/>
  <c r="Q288" i="22"/>
  <c r="R288" i="22"/>
  <c r="S288" i="22"/>
  <c r="Q289" i="22"/>
  <c r="R289" i="22"/>
  <c r="S289" i="22"/>
  <c r="Z289" i="22"/>
  <c r="Q290" i="22"/>
  <c r="R290" i="22"/>
  <c r="S290" i="22"/>
  <c r="Q291" i="22"/>
  <c r="R291" i="22"/>
  <c r="S291" i="22"/>
  <c r="Q292" i="22"/>
  <c r="R292" i="22"/>
  <c r="S292" i="22"/>
  <c r="Z292" i="22"/>
  <c r="Q293" i="22"/>
  <c r="R293" i="22"/>
  <c r="S293" i="22"/>
  <c r="Z293" i="22"/>
  <c r="Q294" i="22"/>
  <c r="R294" i="22"/>
  <c r="S294" i="22"/>
  <c r="Q295" i="22"/>
  <c r="R295" i="22"/>
  <c r="S295" i="22"/>
  <c r="Q296" i="22"/>
  <c r="R296" i="22"/>
  <c r="S296" i="22"/>
  <c r="Z296" i="22"/>
  <c r="Q297" i="22"/>
  <c r="R297" i="22"/>
  <c r="S297" i="22"/>
  <c r="Q298" i="22"/>
  <c r="R298" i="22"/>
  <c r="S298" i="22"/>
  <c r="Z298" i="22"/>
  <c r="Q299" i="22"/>
  <c r="R299" i="22"/>
  <c r="S299" i="22"/>
  <c r="Q300" i="22"/>
  <c r="R300" i="22"/>
  <c r="S300" i="22"/>
  <c r="Q301" i="22"/>
  <c r="R301" i="22"/>
  <c r="S301" i="22"/>
  <c r="Q302" i="22"/>
  <c r="R302" i="22"/>
  <c r="S302" i="22"/>
  <c r="Z302" i="22"/>
  <c r="Q303" i="22"/>
  <c r="R303" i="22"/>
  <c r="S303" i="22"/>
  <c r="Q304" i="22"/>
  <c r="R304" i="22"/>
  <c r="S304" i="22"/>
  <c r="Q305" i="22"/>
  <c r="R305" i="22"/>
  <c r="S305" i="22"/>
  <c r="Q306" i="22"/>
  <c r="R306" i="22"/>
  <c r="S306" i="22"/>
  <c r="Q307" i="22"/>
  <c r="R307" i="22"/>
  <c r="S307" i="22"/>
  <c r="Q308" i="22"/>
  <c r="R308" i="22"/>
  <c r="S308" i="22"/>
  <c r="Z308" i="22"/>
  <c r="Q309" i="22"/>
  <c r="R309" i="22"/>
  <c r="S309" i="22"/>
  <c r="Z309" i="22"/>
  <c r="Q310" i="22"/>
  <c r="R310" i="22"/>
  <c r="S310" i="22"/>
  <c r="Z310" i="22"/>
  <c r="Q311" i="22"/>
  <c r="R311" i="22"/>
  <c r="S311" i="22"/>
  <c r="Z311" i="22"/>
  <c r="Q312" i="22"/>
  <c r="R312" i="22"/>
  <c r="S312" i="22"/>
  <c r="Z312" i="22"/>
  <c r="Q313" i="22"/>
  <c r="R313" i="22"/>
  <c r="S313" i="22"/>
  <c r="Z313" i="22"/>
  <c r="Q314" i="22"/>
  <c r="R314" i="22"/>
  <c r="S314" i="22"/>
  <c r="Z314" i="22"/>
  <c r="Q315" i="22"/>
  <c r="R315" i="22"/>
  <c r="S315" i="22"/>
  <c r="Z326" i="22"/>
  <c r="S326" i="22"/>
  <c r="R326" i="22"/>
  <c r="Q326" i="22"/>
  <c r="P326" i="22"/>
  <c r="Z325" i="22"/>
  <c r="S325" i="22"/>
  <c r="R325" i="22"/>
  <c r="Q325" i="22"/>
  <c r="P325" i="22"/>
  <c r="Z324" i="22"/>
  <c r="S324" i="22"/>
  <c r="R324" i="22"/>
  <c r="Q324" i="22"/>
  <c r="P324" i="22"/>
  <c r="Z323" i="22"/>
  <c r="S323" i="22"/>
  <c r="R323" i="22"/>
  <c r="Q323" i="22"/>
  <c r="P323" i="22"/>
  <c r="Z322" i="22"/>
  <c r="S322" i="22"/>
  <c r="R322" i="22"/>
  <c r="Q322" i="22"/>
  <c r="P322" i="22"/>
  <c r="Z321" i="22"/>
  <c r="S321" i="22"/>
  <c r="R321" i="22"/>
  <c r="Q321" i="22"/>
  <c r="P321" i="22"/>
  <c r="Z320" i="22"/>
  <c r="S320" i="22"/>
  <c r="R320" i="22"/>
  <c r="Q320" i="22"/>
  <c r="P320" i="22"/>
  <c r="S319" i="22"/>
  <c r="R319" i="22"/>
  <c r="Q319" i="22"/>
  <c r="P319" i="22"/>
  <c r="S318" i="22"/>
  <c r="R318" i="22"/>
  <c r="Q318" i="22"/>
  <c r="P318" i="22"/>
  <c r="S317" i="22"/>
  <c r="R317" i="22"/>
  <c r="Q317" i="22"/>
  <c r="P317" i="22"/>
  <c r="S316" i="22"/>
  <c r="R316" i="22"/>
  <c r="Q316" i="22"/>
  <c r="P316" i="22"/>
  <c r="S368" i="22"/>
  <c r="R368" i="22"/>
  <c r="Q368" i="22"/>
  <c r="P368" i="22"/>
  <c r="S367" i="22"/>
  <c r="R367" i="22"/>
  <c r="Q367" i="22"/>
  <c r="P367" i="22"/>
  <c r="S366" i="22"/>
  <c r="R366" i="22"/>
  <c r="Q366" i="22"/>
  <c r="P366" i="22"/>
  <c r="S365" i="22"/>
  <c r="R365" i="22"/>
  <c r="Q365" i="22"/>
  <c r="P365" i="22"/>
  <c r="Z364" i="22"/>
  <c r="S364" i="22"/>
  <c r="R364" i="22"/>
  <c r="Q364" i="22"/>
  <c r="P364" i="22"/>
  <c r="Z363" i="22"/>
  <c r="S363" i="22"/>
  <c r="R363" i="22"/>
  <c r="Q363" i="22"/>
  <c r="P363" i="22"/>
  <c r="Z362" i="22"/>
  <c r="S362" i="22"/>
  <c r="R362" i="22"/>
  <c r="Q362" i="22"/>
  <c r="P362" i="22"/>
  <c r="Z361" i="22"/>
  <c r="S361" i="22"/>
  <c r="R361" i="22"/>
  <c r="Q361" i="22"/>
  <c r="P361" i="22"/>
  <c r="Z360" i="22"/>
  <c r="S360" i="22"/>
  <c r="R360" i="22"/>
  <c r="Q360" i="22"/>
  <c r="P360" i="22"/>
  <c r="Z359" i="22"/>
  <c r="S359" i="22"/>
  <c r="R359" i="22"/>
  <c r="Q359" i="22"/>
  <c r="P359" i="22"/>
  <c r="Z358" i="22"/>
  <c r="S358" i="22"/>
  <c r="R358" i="22"/>
  <c r="Q358" i="22"/>
  <c r="P358" i="22"/>
  <c r="Z357" i="22"/>
  <c r="S357" i="22"/>
  <c r="R357" i="22"/>
  <c r="Q357" i="22"/>
  <c r="P357" i="22"/>
  <c r="Z356" i="22"/>
  <c r="S356" i="22"/>
  <c r="R356" i="22"/>
  <c r="Q356" i="22"/>
  <c r="P356" i="22"/>
  <c r="Z355" i="22"/>
  <c r="S355" i="22"/>
  <c r="R355" i="22"/>
  <c r="Q355" i="22"/>
  <c r="P355" i="22"/>
  <c r="Z354" i="22"/>
  <c r="S354" i="22"/>
  <c r="R354" i="22"/>
  <c r="Q354" i="22"/>
  <c r="P354" i="22"/>
  <c r="Z353" i="22"/>
  <c r="S353" i="22"/>
  <c r="R353" i="22"/>
  <c r="Q353" i="22"/>
  <c r="P353" i="22"/>
  <c r="Z352" i="22"/>
  <c r="S352" i="22"/>
  <c r="R352" i="22"/>
  <c r="Q352" i="22"/>
  <c r="P352" i="22"/>
  <c r="Z351" i="22"/>
  <c r="S351" i="22"/>
  <c r="R351" i="22"/>
  <c r="Q351" i="22"/>
  <c r="P351" i="22"/>
  <c r="Z350" i="22"/>
  <c r="S350" i="22"/>
  <c r="R350" i="22"/>
  <c r="Q350" i="22"/>
  <c r="P350" i="22"/>
  <c r="Z349" i="22"/>
  <c r="S349" i="22"/>
  <c r="R349" i="22"/>
  <c r="Q349" i="22"/>
  <c r="P349" i="22"/>
  <c r="Z348" i="22"/>
  <c r="S348" i="22"/>
  <c r="R348" i="22"/>
  <c r="Q348" i="22"/>
  <c r="P348" i="22"/>
  <c r="Z347" i="22"/>
  <c r="S347" i="22"/>
  <c r="R347" i="22"/>
  <c r="Q347" i="22"/>
  <c r="P347" i="22"/>
  <c r="Z346" i="22"/>
  <c r="S346" i="22"/>
  <c r="R346" i="22"/>
  <c r="Q346" i="22"/>
  <c r="P346" i="22"/>
  <c r="Z345" i="22"/>
  <c r="S345" i="22"/>
  <c r="R345" i="22"/>
  <c r="Q345" i="22"/>
  <c r="P345" i="22"/>
  <c r="Z344" i="22"/>
  <c r="S344" i="22"/>
  <c r="R344" i="22"/>
  <c r="Q344" i="22"/>
  <c r="P344" i="22"/>
  <c r="Z343" i="22"/>
  <c r="S343" i="22"/>
  <c r="R343" i="22"/>
  <c r="Q343" i="22"/>
  <c r="P343" i="22"/>
  <c r="Z342" i="22"/>
  <c r="S342" i="22"/>
  <c r="R342" i="22"/>
  <c r="Q342" i="22"/>
  <c r="P342" i="22"/>
  <c r="Z341" i="22"/>
  <c r="S341" i="22"/>
  <c r="R341" i="22"/>
  <c r="Q341" i="22"/>
  <c r="P341" i="22"/>
  <c r="Z340" i="22"/>
  <c r="S340" i="22"/>
  <c r="R340" i="22"/>
  <c r="Q340" i="22"/>
  <c r="P340" i="22"/>
  <c r="Z339" i="22"/>
  <c r="S339" i="22"/>
  <c r="R339" i="22"/>
  <c r="Q339" i="22"/>
  <c r="P339" i="22"/>
  <c r="Z338" i="22"/>
  <c r="S338" i="22"/>
  <c r="R338" i="22"/>
  <c r="Q338" i="22"/>
  <c r="P338" i="22"/>
  <c r="Z337" i="22"/>
  <c r="S337" i="22"/>
  <c r="R337" i="22"/>
  <c r="Q337" i="22"/>
  <c r="P337" i="22"/>
  <c r="Z336" i="22"/>
  <c r="S336" i="22"/>
  <c r="R336" i="22"/>
  <c r="Q336" i="22"/>
  <c r="P336" i="22"/>
  <c r="Z335" i="22"/>
  <c r="S335" i="22"/>
  <c r="R335" i="22"/>
  <c r="Q335" i="22"/>
  <c r="P335" i="22"/>
  <c r="Z334" i="22"/>
  <c r="S334" i="22"/>
  <c r="R334" i="22"/>
  <c r="Q334" i="22"/>
  <c r="P334" i="22"/>
  <c r="Z333" i="22"/>
  <c r="S333" i="22"/>
  <c r="R333" i="22"/>
  <c r="Q333" i="22"/>
  <c r="P333" i="22"/>
  <c r="Z332" i="22"/>
  <c r="S332" i="22"/>
  <c r="R332" i="22"/>
  <c r="Q332" i="22"/>
  <c r="P332" i="22"/>
  <c r="Z331" i="22"/>
  <c r="S331" i="22"/>
  <c r="R331" i="22"/>
  <c r="Q331" i="22"/>
  <c r="P331" i="22"/>
  <c r="Z330" i="22"/>
  <c r="S330" i="22"/>
  <c r="R330" i="22"/>
  <c r="Q330" i="22"/>
  <c r="P330" i="22"/>
  <c r="Z329" i="22"/>
  <c r="S329" i="22"/>
  <c r="R329" i="22"/>
  <c r="Q329" i="22"/>
  <c r="P329" i="22"/>
  <c r="Z328" i="22"/>
  <c r="S328" i="22"/>
  <c r="R328" i="22"/>
  <c r="Q328" i="22"/>
  <c r="P328" i="22"/>
  <c r="Z327" i="22"/>
  <c r="S327" i="22"/>
  <c r="R327" i="22"/>
  <c r="Q327" i="22"/>
  <c r="P327" i="22"/>
  <c r="S285" i="22"/>
  <c r="R285" i="22"/>
  <c r="Q285" i="22"/>
  <c r="S284" i="22"/>
  <c r="R284" i="22"/>
  <c r="Q284" i="22"/>
  <c r="S283" i="22"/>
  <c r="R283" i="22"/>
  <c r="Q283" i="22"/>
  <c r="S278" i="22"/>
  <c r="R278" i="22"/>
  <c r="Q278" i="22"/>
  <c r="S281" i="22"/>
  <c r="R281" i="22"/>
  <c r="Q281" i="22"/>
  <c r="S282" i="22"/>
  <c r="R282" i="22"/>
  <c r="Q282" i="22"/>
  <c r="Z280" i="22"/>
  <c r="S280" i="22"/>
  <c r="R280" i="22"/>
  <c r="Q280" i="22"/>
  <c r="S279" i="22"/>
  <c r="R279" i="22"/>
  <c r="Q279" i="22"/>
  <c r="S269" i="22"/>
  <c r="R269" i="22"/>
  <c r="Q269" i="22"/>
  <c r="S267" i="22"/>
  <c r="R267" i="22"/>
  <c r="Q267" i="22"/>
  <c r="S273" i="22"/>
  <c r="R273" i="22"/>
  <c r="Q273" i="22"/>
  <c r="S272" i="22"/>
  <c r="R272" i="22"/>
  <c r="Q272" i="22"/>
  <c r="S271" i="22"/>
  <c r="R271" i="22"/>
  <c r="Q271" i="22"/>
  <c r="S270" i="22"/>
  <c r="R270" i="22"/>
  <c r="Q270" i="22"/>
  <c r="S268" i="22"/>
  <c r="R268" i="22"/>
  <c r="Q268" i="22"/>
  <c r="Z266" i="22"/>
  <c r="S266" i="22"/>
  <c r="R266" i="22"/>
  <c r="Q266" i="22"/>
  <c r="S265" i="22"/>
  <c r="R265" i="22"/>
  <c r="Q265" i="22"/>
  <c r="S264" i="22"/>
  <c r="R264" i="22"/>
  <c r="Q264" i="22"/>
  <c r="Z263" i="22"/>
  <c r="S263" i="22"/>
  <c r="R263" i="22"/>
  <c r="Q263" i="22"/>
  <c r="S262" i="22"/>
  <c r="R262" i="22"/>
  <c r="Q262" i="22"/>
  <c r="S261" i="22"/>
  <c r="R261" i="22"/>
  <c r="Q261" i="22"/>
  <c r="S260" i="22"/>
  <c r="R260" i="22"/>
  <c r="Q260" i="22"/>
  <c r="S259" i="22"/>
  <c r="R259" i="22"/>
  <c r="Q259" i="22"/>
  <c r="S258" i="22"/>
  <c r="R258" i="22"/>
  <c r="Q258" i="22"/>
  <c r="S257" i="22"/>
  <c r="R257" i="22"/>
  <c r="Q257" i="22"/>
  <c r="S256" i="22"/>
  <c r="R256" i="22"/>
  <c r="Q256" i="22"/>
  <c r="S255" i="22"/>
  <c r="R255" i="22"/>
  <c r="Q255" i="22"/>
  <c r="S254" i="22"/>
  <c r="R254" i="22"/>
  <c r="Q254" i="22"/>
  <c r="S253" i="22"/>
  <c r="R253" i="22"/>
  <c r="Q253" i="22"/>
  <c r="S252" i="22"/>
  <c r="R252" i="22"/>
  <c r="Q252" i="22"/>
  <c r="S251" i="22"/>
  <c r="R251" i="22"/>
  <c r="Q251" i="22"/>
  <c r="S250" i="22"/>
  <c r="R250" i="22"/>
  <c r="Q250" i="22"/>
  <c r="S249" i="22"/>
  <c r="R249" i="22"/>
  <c r="Q249" i="22"/>
  <c r="S248" i="22"/>
  <c r="R248" i="22"/>
  <c r="Q248" i="22"/>
  <c r="Z247" i="22"/>
  <c r="S247" i="22"/>
  <c r="R247" i="22"/>
  <c r="Q247" i="22"/>
  <c r="S246" i="22"/>
  <c r="R246" i="22"/>
  <c r="Q246" i="22"/>
  <c r="S245" i="22"/>
  <c r="R245" i="22"/>
  <c r="Q245" i="22"/>
  <c r="S244" i="22"/>
  <c r="R244" i="22"/>
  <c r="Q244" i="22"/>
  <c r="Z243" i="22"/>
  <c r="S243" i="22"/>
  <c r="R243" i="22"/>
  <c r="Q243" i="22"/>
  <c r="S242" i="22"/>
  <c r="R242" i="22"/>
  <c r="Q242" i="22"/>
  <c r="S241" i="22"/>
  <c r="R241" i="22"/>
  <c r="Q241" i="22"/>
  <c r="S240" i="22"/>
  <c r="R240" i="22"/>
  <c r="Q240" i="22"/>
  <c r="Z239" i="22"/>
  <c r="S239" i="22"/>
  <c r="R239" i="22"/>
  <c r="Q239" i="22"/>
  <c r="S238" i="22"/>
  <c r="R238" i="22"/>
  <c r="Q238" i="22"/>
  <c r="S237" i="22"/>
  <c r="R237" i="22"/>
  <c r="Q237" i="22"/>
  <c r="S236" i="22"/>
  <c r="R236" i="22"/>
  <c r="Q236" i="22"/>
  <c r="S235" i="22"/>
  <c r="R235" i="22"/>
  <c r="Q235" i="22"/>
  <c r="S234" i="22"/>
  <c r="R234" i="22"/>
  <c r="Q234" i="22"/>
  <c r="S233" i="22"/>
  <c r="R233" i="22"/>
  <c r="Q233" i="22"/>
  <c r="S232" i="22"/>
  <c r="R232" i="22"/>
  <c r="Q232" i="22"/>
  <c r="S231" i="22"/>
  <c r="R231" i="22"/>
  <c r="Q231" i="22"/>
  <c r="S230" i="22"/>
  <c r="R230" i="22"/>
  <c r="Q230" i="22"/>
  <c r="S229" i="22"/>
  <c r="R229" i="22"/>
  <c r="Q229" i="22"/>
  <c r="S228" i="22"/>
  <c r="R228" i="22"/>
  <c r="Q228" i="22"/>
  <c r="S227" i="22"/>
  <c r="R227" i="22"/>
  <c r="Q227" i="22"/>
  <c r="S226" i="22"/>
  <c r="R226" i="22"/>
  <c r="Q226" i="22"/>
  <c r="Z238" i="22"/>
  <c r="Z229" i="22"/>
  <c r="S225" i="22"/>
  <c r="R225" i="22"/>
  <c r="Q225" i="22"/>
  <c r="S224" i="22"/>
  <c r="R224" i="22"/>
  <c r="Q224" i="22"/>
  <c r="S223" i="22"/>
  <c r="R223" i="22"/>
  <c r="Q223" i="22"/>
  <c r="S222" i="22"/>
  <c r="R222" i="22"/>
  <c r="Q222" i="22"/>
  <c r="S221" i="22"/>
  <c r="R221" i="22"/>
  <c r="Q221" i="22"/>
  <c r="S220" i="22"/>
  <c r="R220" i="22"/>
  <c r="Q220" i="22"/>
  <c r="Z219" i="22"/>
  <c r="S219" i="22"/>
  <c r="R219" i="22"/>
  <c r="Q219" i="22"/>
  <c r="S218" i="22"/>
  <c r="R218" i="22"/>
  <c r="Q218" i="22"/>
  <c r="Z217" i="22"/>
  <c r="S217" i="22"/>
  <c r="R217" i="22"/>
  <c r="Q217" i="22"/>
  <c r="Z216" i="22"/>
  <c r="S216" i="22"/>
  <c r="R216" i="22"/>
  <c r="Q216" i="22"/>
  <c r="S215" i="22"/>
  <c r="R215" i="22"/>
  <c r="Q215" i="22"/>
  <c r="Z214" i="22"/>
  <c r="S214" i="22"/>
  <c r="R214" i="22"/>
  <c r="Q214" i="22"/>
  <c r="S213" i="22"/>
  <c r="R213" i="22"/>
  <c r="Q213" i="22"/>
  <c r="S212" i="22"/>
  <c r="R212" i="22"/>
  <c r="Q212" i="22"/>
  <c r="Z211" i="22"/>
  <c r="S211" i="22"/>
  <c r="R211" i="22"/>
  <c r="Q211" i="22"/>
  <c r="S210" i="22"/>
  <c r="R210" i="22"/>
  <c r="Q210" i="22"/>
  <c r="S209" i="22"/>
  <c r="R209" i="22"/>
  <c r="Q209" i="22"/>
  <c r="S208" i="22"/>
  <c r="R208" i="22"/>
  <c r="Q208" i="22"/>
  <c r="Z207" i="22"/>
  <c r="S207" i="22"/>
  <c r="R207" i="22"/>
  <c r="Q207" i="22"/>
  <c r="Z206" i="22"/>
  <c r="S206" i="22"/>
  <c r="R206" i="22"/>
  <c r="Q206" i="22"/>
  <c r="Z205" i="22"/>
  <c r="S205" i="22"/>
  <c r="R205" i="22"/>
  <c r="Q205" i="22"/>
  <c r="S204" i="22"/>
  <c r="R204" i="22"/>
  <c r="Q204" i="22"/>
  <c r="S203" i="22"/>
  <c r="R203" i="22"/>
  <c r="Q203" i="22"/>
  <c r="Z202" i="22"/>
  <c r="S202" i="22"/>
  <c r="R202" i="22"/>
  <c r="Q202" i="22"/>
  <c r="S200" i="22"/>
  <c r="R200" i="22"/>
  <c r="Q200" i="22"/>
  <c r="S198" i="22"/>
  <c r="R198" i="22"/>
  <c r="Q198" i="22"/>
  <c r="S197" i="22"/>
  <c r="R197" i="22"/>
  <c r="Q197" i="22"/>
  <c r="S196" i="22"/>
  <c r="R196" i="22"/>
  <c r="Q196" i="22"/>
  <c r="S195" i="22"/>
  <c r="R195" i="22"/>
  <c r="Q195" i="22"/>
  <c r="Z194" i="22"/>
  <c r="S194" i="22"/>
  <c r="R194" i="22"/>
  <c r="Q194" i="22"/>
  <c r="S193" i="22"/>
  <c r="R193" i="22"/>
  <c r="Q193" i="22"/>
  <c r="S192" i="22"/>
  <c r="R192" i="22"/>
  <c r="Q192" i="22"/>
  <c r="S191" i="22"/>
  <c r="R191" i="22"/>
  <c r="Q191" i="22"/>
  <c r="Z190" i="22"/>
  <c r="S190" i="22"/>
  <c r="R190" i="22"/>
  <c r="Q190" i="22"/>
  <c r="S189" i="22"/>
  <c r="R189" i="22"/>
  <c r="Q189" i="22"/>
  <c r="S188" i="22"/>
  <c r="R188" i="22"/>
  <c r="Q188" i="22"/>
  <c r="Z187" i="22"/>
  <c r="S187" i="22"/>
  <c r="R187" i="22"/>
  <c r="Q187" i="22"/>
  <c r="Z186" i="22"/>
  <c r="S186" i="22"/>
  <c r="R186" i="22"/>
  <c r="Q186" i="22"/>
  <c r="S183" i="22"/>
  <c r="R183" i="22"/>
  <c r="Q183" i="22"/>
  <c r="Z182" i="22"/>
  <c r="S182" i="22"/>
  <c r="R182" i="22"/>
  <c r="Q182" i="22"/>
  <c r="S199" i="22"/>
  <c r="R199" i="22"/>
  <c r="Q199" i="22"/>
  <c r="S181" i="22"/>
  <c r="R181" i="22"/>
  <c r="Q181" i="22"/>
  <c r="S180" i="22"/>
  <c r="R180" i="22"/>
  <c r="Q180" i="22"/>
  <c r="S184" i="22"/>
  <c r="R184" i="22"/>
  <c r="Q184" i="22"/>
  <c r="Z179" i="22"/>
  <c r="S179" i="22"/>
  <c r="R179" i="22"/>
  <c r="Q179" i="22"/>
  <c r="S175" i="22"/>
  <c r="R175" i="22"/>
  <c r="Q175" i="22"/>
  <c r="S174" i="22"/>
  <c r="R174" i="22"/>
  <c r="Q174" i="22"/>
  <c r="Z173" i="22"/>
  <c r="S173" i="22"/>
  <c r="R173" i="22"/>
  <c r="Q173" i="22"/>
  <c r="S172" i="22"/>
  <c r="R172" i="22"/>
  <c r="Q172" i="22"/>
  <c r="S171" i="22"/>
  <c r="R171" i="22"/>
  <c r="Q171" i="22"/>
  <c r="S170" i="22"/>
  <c r="R170" i="22"/>
  <c r="Q170" i="22"/>
  <c r="S169" i="22"/>
  <c r="R169" i="22"/>
  <c r="Q169" i="22"/>
  <c r="S168" i="22"/>
  <c r="R168" i="22"/>
  <c r="Q168" i="22"/>
  <c r="S167" i="22"/>
  <c r="R167" i="22"/>
  <c r="Q167" i="22"/>
  <c r="S166" i="22"/>
  <c r="R166" i="22"/>
  <c r="Q166" i="22"/>
  <c r="S165" i="22"/>
  <c r="R165" i="22"/>
  <c r="Q165" i="22"/>
  <c r="Z164" i="22"/>
  <c r="S164" i="22"/>
  <c r="R164" i="22"/>
  <c r="Q164" i="22"/>
  <c r="S163" i="22"/>
  <c r="R163" i="22"/>
  <c r="Q163" i="22"/>
  <c r="S162" i="22"/>
  <c r="R162" i="22"/>
  <c r="Q162" i="22"/>
  <c r="S161" i="22"/>
  <c r="R161" i="22"/>
  <c r="Q161" i="22"/>
  <c r="S160" i="22"/>
  <c r="R160" i="22"/>
  <c r="Q160" i="22"/>
  <c r="Z159" i="22"/>
  <c r="S159" i="22"/>
  <c r="R159" i="22"/>
  <c r="Q159" i="22"/>
  <c r="S158" i="22"/>
  <c r="R158" i="22"/>
  <c r="Q158" i="22"/>
  <c r="S157" i="22"/>
  <c r="R157" i="22"/>
  <c r="Q157" i="22"/>
  <c r="S156" i="22"/>
  <c r="R156" i="22"/>
  <c r="Q156" i="22"/>
  <c r="S155" i="22"/>
  <c r="R155" i="22"/>
  <c r="Q155" i="22"/>
  <c r="S154" i="22"/>
  <c r="R154" i="22"/>
  <c r="Q154" i="22"/>
  <c r="Z153" i="22"/>
  <c r="S153" i="22"/>
  <c r="R153" i="22"/>
  <c r="Q153" i="22"/>
  <c r="S152" i="22"/>
  <c r="R152" i="22"/>
  <c r="Q152" i="22"/>
  <c r="Z151" i="22"/>
  <c r="S151" i="22"/>
  <c r="R151" i="22"/>
  <c r="Q151" i="22"/>
  <c r="S150" i="22"/>
  <c r="R150" i="22"/>
  <c r="Q150" i="22"/>
  <c r="Z148" i="22"/>
  <c r="S148" i="22"/>
  <c r="R148" i="22"/>
  <c r="Q148" i="22"/>
  <c r="Z147" i="22"/>
  <c r="S147" i="22"/>
  <c r="R147" i="22"/>
  <c r="Q147" i="22"/>
  <c r="S146" i="22"/>
  <c r="R146" i="22"/>
  <c r="Q146" i="22"/>
  <c r="S144" i="22"/>
  <c r="R144" i="22"/>
  <c r="Q144" i="22"/>
  <c r="S143" i="22"/>
  <c r="R143" i="22"/>
  <c r="Q143" i="22"/>
  <c r="S142" i="22"/>
  <c r="R142" i="22"/>
  <c r="Q142" i="22"/>
  <c r="S141" i="22"/>
  <c r="R141" i="22"/>
  <c r="Q141" i="22"/>
  <c r="S140" i="22"/>
  <c r="R140" i="22"/>
  <c r="Q140" i="22"/>
  <c r="S138" i="22"/>
  <c r="R138" i="22"/>
  <c r="Q138" i="22"/>
  <c r="Z137" i="22"/>
  <c r="S137" i="22"/>
  <c r="R137" i="22"/>
  <c r="Q137" i="22"/>
  <c r="Z136" i="22"/>
  <c r="S136" i="22"/>
  <c r="R136" i="22"/>
  <c r="Q136" i="22"/>
  <c r="Z135" i="22"/>
  <c r="S135" i="22"/>
  <c r="R135" i="22"/>
  <c r="Q135" i="22"/>
  <c r="Z134" i="22"/>
  <c r="S134" i="22"/>
  <c r="R134" i="22"/>
  <c r="Q134" i="22"/>
  <c r="S133" i="22"/>
  <c r="R133" i="22"/>
  <c r="Q133" i="22"/>
  <c r="S132" i="22"/>
  <c r="R132" i="22"/>
  <c r="Q132" i="22"/>
  <c r="S131" i="22"/>
  <c r="R131" i="22"/>
  <c r="Q131" i="22"/>
  <c r="S130" i="22"/>
  <c r="R130" i="22"/>
  <c r="Q130" i="22"/>
  <c r="S125" i="22"/>
  <c r="R125" i="22"/>
  <c r="Q125" i="22"/>
  <c r="S124" i="22"/>
  <c r="R124" i="22"/>
  <c r="Q124" i="22"/>
  <c r="Z123" i="22"/>
  <c r="S123" i="22"/>
  <c r="R123" i="22"/>
  <c r="Q123" i="22"/>
  <c r="S122" i="22"/>
  <c r="R122" i="22"/>
  <c r="Q122" i="22"/>
  <c r="Z121" i="22"/>
  <c r="S121" i="22"/>
  <c r="R121" i="22"/>
  <c r="Q121" i="22"/>
  <c r="S120" i="22"/>
  <c r="R120" i="22"/>
  <c r="Q120" i="22"/>
  <c r="Z119" i="22"/>
  <c r="S119" i="22"/>
  <c r="R119" i="22"/>
  <c r="Q119" i="22"/>
  <c r="S118" i="22"/>
  <c r="R118" i="22"/>
  <c r="Q118" i="22"/>
  <c r="Z117" i="22"/>
  <c r="S117" i="22"/>
  <c r="R117" i="22"/>
  <c r="Q117" i="22"/>
  <c r="S116" i="22"/>
  <c r="R116" i="22"/>
  <c r="Q116" i="22"/>
  <c r="S115" i="22"/>
  <c r="R115" i="22"/>
  <c r="Q115" i="22"/>
  <c r="S114" i="22"/>
  <c r="R114" i="22"/>
  <c r="Q114" i="22"/>
  <c r="Z113" i="22"/>
  <c r="S113" i="22"/>
  <c r="R113" i="22"/>
  <c r="Q113" i="22"/>
  <c r="Z112" i="22"/>
  <c r="S112" i="22"/>
  <c r="R112" i="22"/>
  <c r="Q112" i="22"/>
  <c r="S111" i="22"/>
  <c r="R111" i="22"/>
  <c r="Q111" i="22"/>
  <c r="S110" i="22"/>
  <c r="R110" i="22"/>
  <c r="Q110" i="22"/>
  <c r="S109" i="22"/>
  <c r="R109" i="22"/>
  <c r="Q109" i="22"/>
  <c r="S108" i="22"/>
  <c r="R108" i="22"/>
  <c r="Q108" i="22"/>
  <c r="S107" i="22"/>
  <c r="R107" i="22"/>
  <c r="Q107" i="22"/>
  <c r="S106" i="22"/>
  <c r="R106" i="22"/>
  <c r="Q106" i="22"/>
  <c r="S105" i="22"/>
  <c r="R105" i="22"/>
  <c r="Q105" i="22"/>
  <c r="S104" i="22"/>
  <c r="R104" i="22"/>
  <c r="Q104" i="22"/>
  <c r="Z103" i="22"/>
  <c r="S103" i="22"/>
  <c r="R103" i="22"/>
  <c r="Q103" i="22"/>
  <c r="S102" i="22"/>
  <c r="R102" i="22"/>
  <c r="Q102" i="22"/>
  <c r="Z101" i="22"/>
  <c r="S101" i="22"/>
  <c r="R101" i="22"/>
  <c r="Q101" i="22"/>
  <c r="Z100" i="22"/>
  <c r="S100" i="22"/>
  <c r="R100" i="22"/>
  <c r="Q100" i="22"/>
  <c r="Z99" i="22"/>
  <c r="S99" i="22"/>
  <c r="R99" i="22"/>
  <c r="Q99" i="22"/>
  <c r="S98" i="22"/>
  <c r="R98" i="22"/>
  <c r="Q98" i="22"/>
  <c r="Z97" i="22"/>
  <c r="S97" i="22"/>
  <c r="R97" i="22"/>
  <c r="Q97" i="22"/>
  <c r="Z96" i="22"/>
  <c r="S96" i="22"/>
  <c r="R96" i="22"/>
  <c r="Q96" i="22"/>
  <c r="Z95" i="22"/>
  <c r="S95" i="22"/>
  <c r="R95" i="22"/>
  <c r="Q95" i="22"/>
  <c r="Z94" i="22"/>
  <c r="S94" i="22"/>
  <c r="R94" i="22"/>
  <c r="Q94" i="22"/>
  <c r="Z93" i="22"/>
  <c r="S93" i="22"/>
  <c r="R93" i="22"/>
  <c r="Q93" i="22"/>
  <c r="S92" i="22"/>
  <c r="R92" i="22"/>
  <c r="Q92" i="22"/>
  <c r="Z91" i="22"/>
  <c r="S91" i="22"/>
  <c r="R91" i="22"/>
  <c r="Q91" i="22"/>
  <c r="S90" i="22"/>
  <c r="R90" i="22"/>
  <c r="Q90" i="22"/>
  <c r="Z89" i="22"/>
  <c r="S89" i="22"/>
  <c r="R89" i="22"/>
  <c r="Q89" i="22"/>
  <c r="S88" i="22"/>
  <c r="R88" i="22"/>
  <c r="Q88" i="22"/>
  <c r="S87" i="22"/>
  <c r="R87" i="22"/>
  <c r="Q87" i="22"/>
  <c r="S86" i="22"/>
  <c r="R86" i="22"/>
  <c r="Q86" i="22"/>
  <c r="S85" i="22"/>
  <c r="R85" i="22"/>
  <c r="Q85" i="22"/>
  <c r="Z84" i="22"/>
  <c r="S84" i="22"/>
  <c r="R84" i="22"/>
  <c r="Q84" i="22"/>
  <c r="S83" i="22"/>
  <c r="R83" i="22"/>
  <c r="Q83" i="22"/>
  <c r="S82" i="22"/>
  <c r="R82" i="22"/>
  <c r="Q82" i="22"/>
  <c r="S81" i="22"/>
  <c r="R81" i="22"/>
  <c r="Q81" i="22"/>
  <c r="S80" i="22"/>
  <c r="R80" i="22"/>
  <c r="Q80" i="22"/>
  <c r="S79" i="22"/>
  <c r="R79" i="22"/>
  <c r="Q79" i="22"/>
  <c r="S78" i="22"/>
  <c r="R78" i="22"/>
  <c r="Q78" i="22"/>
  <c r="S77" i="22"/>
  <c r="R77" i="22"/>
  <c r="Q77" i="22"/>
  <c r="S76" i="22"/>
  <c r="R76" i="22"/>
  <c r="Q76" i="22"/>
  <c r="S75" i="22"/>
  <c r="R75" i="22"/>
  <c r="Q75" i="22"/>
  <c r="S74" i="22"/>
  <c r="R74" i="22"/>
  <c r="Q74" i="22"/>
  <c r="S73" i="22"/>
  <c r="R73" i="22"/>
  <c r="Q73" i="22"/>
  <c r="S72" i="22"/>
  <c r="R72" i="22"/>
  <c r="Q72" i="22"/>
  <c r="S71" i="22"/>
  <c r="R71" i="22"/>
  <c r="Q71" i="22"/>
  <c r="S70" i="22"/>
  <c r="R70" i="22"/>
  <c r="Q70" i="22"/>
  <c r="S69" i="22"/>
  <c r="R69" i="22"/>
  <c r="Q69" i="22"/>
  <c r="S68" i="22"/>
  <c r="R68" i="22"/>
  <c r="Q68" i="22"/>
  <c r="S67" i="22"/>
  <c r="R67" i="22"/>
  <c r="Q67" i="22"/>
  <c r="S66" i="22"/>
  <c r="R66" i="22"/>
  <c r="Q66" i="22"/>
  <c r="S65" i="22"/>
  <c r="R65" i="22"/>
  <c r="Q65" i="22"/>
  <c r="S64" i="22"/>
  <c r="R64" i="22"/>
  <c r="Q64" i="22"/>
  <c r="S63" i="22"/>
  <c r="R63" i="22"/>
  <c r="Q63" i="22"/>
  <c r="S62" i="22"/>
  <c r="R62" i="22"/>
  <c r="Q62" i="22"/>
  <c r="S61" i="22"/>
  <c r="R61" i="22"/>
  <c r="Q61" i="22"/>
  <c r="S60" i="22"/>
  <c r="R60" i="22"/>
  <c r="Q60" i="22"/>
  <c r="S59" i="22"/>
  <c r="R59" i="22"/>
  <c r="Q59" i="22"/>
  <c r="S58" i="22"/>
  <c r="R58" i="22"/>
  <c r="Q58" i="22"/>
  <c r="S277" i="22"/>
  <c r="R277" i="22"/>
  <c r="Q277" i="22"/>
  <c r="S276" i="22"/>
  <c r="R276" i="22"/>
  <c r="Q276" i="22"/>
  <c r="S275" i="22"/>
  <c r="R275" i="22"/>
  <c r="Q275" i="22"/>
  <c r="S274" i="22"/>
  <c r="R274" i="22"/>
  <c r="Q274" i="22"/>
  <c r="S201" i="22"/>
  <c r="R201" i="22"/>
  <c r="Q201" i="22"/>
  <c r="S185" i="22"/>
  <c r="R185" i="22"/>
  <c r="Q185" i="22"/>
  <c r="S178" i="22"/>
  <c r="R178" i="22"/>
  <c r="Q178" i="22"/>
  <c r="S177" i="22"/>
  <c r="R177" i="22"/>
  <c r="Q177" i="22"/>
  <c r="S176" i="22"/>
  <c r="R176" i="22"/>
  <c r="Q176" i="22"/>
  <c r="S149" i="22"/>
  <c r="R149" i="22"/>
  <c r="Q149" i="22"/>
  <c r="S145" i="22"/>
  <c r="R145" i="22"/>
  <c r="Q145" i="22"/>
  <c r="S139" i="22"/>
  <c r="R139" i="22"/>
  <c r="Q139" i="22"/>
  <c r="S129" i="22"/>
  <c r="R129" i="22"/>
  <c r="Q129" i="22"/>
  <c r="S128" i="22"/>
  <c r="R128" i="22"/>
  <c r="Q128" i="22"/>
  <c r="S127" i="22"/>
  <c r="R127" i="22"/>
  <c r="Q127" i="22"/>
  <c r="S126" i="22"/>
  <c r="R126" i="22"/>
  <c r="Q126" i="22"/>
  <c r="S210" i="21"/>
  <c r="R210" i="21"/>
  <c r="Q210" i="21"/>
  <c r="S334" i="21"/>
  <c r="R334" i="21"/>
  <c r="Q334" i="21"/>
  <c r="P334" i="21"/>
  <c r="S333" i="21"/>
  <c r="R333" i="21"/>
  <c r="Q333" i="21"/>
  <c r="P333" i="21"/>
  <c r="S332" i="21"/>
  <c r="R332" i="21"/>
  <c r="Q332" i="21"/>
  <c r="P332" i="21"/>
  <c r="S331" i="21"/>
  <c r="R331" i="21"/>
  <c r="Q331" i="21"/>
  <c r="P331" i="21"/>
  <c r="S330" i="21"/>
  <c r="R330" i="21"/>
  <c r="Q330" i="21"/>
  <c r="P330" i="21"/>
  <c r="S329" i="21"/>
  <c r="R329" i="21"/>
  <c r="Q329" i="21"/>
  <c r="P329" i="21"/>
  <c r="S328" i="21"/>
  <c r="R328" i="21"/>
  <c r="Q328" i="21"/>
  <c r="P328" i="21"/>
  <c r="S327" i="21"/>
  <c r="R327" i="21"/>
  <c r="Q327" i="21"/>
  <c r="P327" i="21"/>
  <c r="S326" i="21"/>
  <c r="R326" i="21"/>
  <c r="Q326" i="21"/>
  <c r="P326" i="21"/>
  <c r="S325" i="21"/>
  <c r="R325" i="21"/>
  <c r="Q325" i="21"/>
  <c r="P325" i="21"/>
  <c r="S324" i="21"/>
  <c r="R324" i="21"/>
  <c r="Q324" i="21"/>
  <c r="P324" i="21"/>
  <c r="S323" i="21"/>
  <c r="R323" i="21"/>
  <c r="Q323" i="21"/>
  <c r="P323" i="21"/>
  <c r="S322" i="21"/>
  <c r="R322" i="21"/>
  <c r="Q322" i="21"/>
  <c r="P322" i="21"/>
  <c r="S321" i="21"/>
  <c r="R321" i="21"/>
  <c r="Q321" i="21"/>
  <c r="P321" i="21"/>
  <c r="S320" i="21"/>
  <c r="R320" i="21"/>
  <c r="Q320" i="21"/>
  <c r="P320" i="21"/>
  <c r="S319" i="21"/>
  <c r="R319" i="21"/>
  <c r="Q319" i="21"/>
  <c r="P319" i="21"/>
  <c r="S318" i="21"/>
  <c r="R318" i="21"/>
  <c r="Q318" i="21"/>
  <c r="P318" i="21"/>
  <c r="S317" i="21"/>
  <c r="R317" i="21"/>
  <c r="Q317" i="21"/>
  <c r="P317" i="21"/>
  <c r="S316" i="21"/>
  <c r="R316" i="21"/>
  <c r="Q316" i="21"/>
  <c r="P316" i="21"/>
  <c r="S315" i="21"/>
  <c r="R315" i="21"/>
  <c r="Q315" i="21"/>
  <c r="P315" i="21"/>
  <c r="S314" i="21"/>
  <c r="R314" i="21"/>
  <c r="Q314" i="21"/>
  <c r="P314" i="21"/>
  <c r="S313" i="21"/>
  <c r="R313" i="21"/>
  <c r="Q313" i="21"/>
  <c r="P313" i="21"/>
  <c r="S312" i="21"/>
  <c r="R312" i="21"/>
  <c r="Q312" i="21"/>
  <c r="P312" i="21"/>
  <c r="S311" i="21"/>
  <c r="R311" i="21"/>
  <c r="Q311" i="21"/>
  <c r="P311" i="21"/>
  <c r="S310" i="21"/>
  <c r="R310" i="21"/>
  <c r="Q310" i="21"/>
  <c r="P310" i="21"/>
  <c r="S309" i="21"/>
  <c r="R309" i="21"/>
  <c r="Q309" i="21"/>
  <c r="P309" i="21"/>
  <c r="S308" i="21"/>
  <c r="R308" i="21"/>
  <c r="Q308" i="21"/>
  <c r="P308" i="21"/>
  <c r="S307" i="21"/>
  <c r="R307" i="21"/>
  <c r="Q307" i="21"/>
  <c r="P307" i="21"/>
  <c r="S306" i="21"/>
  <c r="R306" i="21"/>
  <c r="Q306" i="21"/>
  <c r="P306" i="21"/>
  <c r="S305" i="21"/>
  <c r="R305" i="21"/>
  <c r="Q305" i="21"/>
  <c r="P305" i="21"/>
  <c r="S304" i="21"/>
  <c r="R304" i="21"/>
  <c r="Q304" i="21"/>
  <c r="P304" i="21"/>
  <c r="S303" i="21"/>
  <c r="R303" i="21"/>
  <c r="Q303" i="21"/>
  <c r="P303" i="21"/>
  <c r="S302" i="21"/>
  <c r="R302" i="21"/>
  <c r="Q302" i="21"/>
  <c r="P302" i="21"/>
  <c r="S301" i="21"/>
  <c r="R301" i="21"/>
  <c r="Q301" i="21"/>
  <c r="P301" i="21"/>
  <c r="S300" i="21"/>
  <c r="R300" i="21"/>
  <c r="Q300" i="21"/>
  <c r="P300" i="21"/>
  <c r="S299" i="21"/>
  <c r="R299" i="21"/>
  <c r="Q299" i="21"/>
  <c r="P299" i="21"/>
  <c r="S298" i="21"/>
  <c r="R298" i="21"/>
  <c r="Q298" i="21"/>
  <c r="P298" i="21"/>
  <c r="S297" i="21"/>
  <c r="R297" i="21"/>
  <c r="Q297" i="21"/>
  <c r="P297" i="21"/>
  <c r="S296" i="21"/>
  <c r="R296" i="21"/>
  <c r="Q296" i="21"/>
  <c r="P296" i="21"/>
  <c r="S295" i="21"/>
  <c r="R295" i="21"/>
  <c r="Q295" i="21"/>
  <c r="P295" i="21"/>
  <c r="S294" i="21"/>
  <c r="R294" i="21"/>
  <c r="Q294" i="21"/>
  <c r="Z293" i="21"/>
  <c r="S293" i="21"/>
  <c r="R293" i="21"/>
  <c r="Q293" i="21"/>
  <c r="Z292" i="21"/>
  <c r="S292" i="21"/>
  <c r="R292" i="21"/>
  <c r="Q292" i="21"/>
  <c r="Z291" i="21"/>
  <c r="S291" i="21"/>
  <c r="R291" i="21"/>
  <c r="Q291" i="21"/>
  <c r="Z290" i="21"/>
  <c r="S290" i="21"/>
  <c r="R290" i="21"/>
  <c r="Q290" i="21"/>
  <c r="Z289" i="21"/>
  <c r="S289" i="21"/>
  <c r="R289" i="21"/>
  <c r="Q289" i="21"/>
  <c r="S288" i="21"/>
  <c r="R288" i="21"/>
  <c r="Q288" i="21"/>
  <c r="S287" i="21"/>
  <c r="R287" i="21"/>
  <c r="Q287" i="21"/>
  <c r="S286" i="21"/>
  <c r="R286" i="21"/>
  <c r="Q286" i="21"/>
  <c r="Z285" i="21"/>
  <c r="S285" i="21"/>
  <c r="R285" i="21"/>
  <c r="Q285" i="21"/>
  <c r="S284" i="21"/>
  <c r="R284" i="21"/>
  <c r="Q284" i="21"/>
  <c r="S283" i="21"/>
  <c r="R283" i="21"/>
  <c r="Q283" i="21"/>
  <c r="S282" i="21"/>
  <c r="R282" i="21"/>
  <c r="Q282" i="21"/>
  <c r="Z281" i="21"/>
  <c r="S281" i="21"/>
  <c r="R281" i="21"/>
  <c r="Q281" i="21"/>
  <c r="S280" i="21"/>
  <c r="R280" i="21"/>
  <c r="Q280" i="21"/>
  <c r="Z279" i="21"/>
  <c r="S279" i="21"/>
  <c r="R279" i="21"/>
  <c r="Q279" i="21"/>
  <c r="S278" i="21"/>
  <c r="R278" i="21"/>
  <c r="Q278" i="21"/>
  <c r="S277" i="21"/>
  <c r="R277" i="21"/>
  <c r="Q277" i="21"/>
  <c r="Z276" i="21"/>
  <c r="S276" i="21"/>
  <c r="R276" i="21"/>
  <c r="Q276" i="21"/>
  <c r="Z275" i="21"/>
  <c r="S275" i="21"/>
  <c r="R275" i="21"/>
  <c r="Q275" i="21"/>
  <c r="S274" i="21"/>
  <c r="R274" i="21"/>
  <c r="Q274" i="21"/>
  <c r="Z273" i="21"/>
  <c r="S273" i="21"/>
  <c r="R273" i="21"/>
  <c r="Q273" i="21"/>
  <c r="S272" i="21"/>
  <c r="R272" i="21"/>
  <c r="Q272" i="21"/>
  <c r="S271" i="21"/>
  <c r="R271" i="21"/>
  <c r="Q271" i="21"/>
  <c r="S270" i="21"/>
  <c r="R270" i="21"/>
  <c r="Q270" i="21"/>
  <c r="S269" i="21"/>
  <c r="R269" i="21"/>
  <c r="Q269" i="21"/>
  <c r="S268" i="21"/>
  <c r="R268" i="21"/>
  <c r="Q268" i="21"/>
  <c r="S267" i="21"/>
  <c r="R267" i="21"/>
  <c r="Q267" i="21"/>
  <c r="S266" i="21"/>
  <c r="R266" i="21"/>
  <c r="Q266" i="21"/>
  <c r="S265" i="21"/>
  <c r="R265" i="21"/>
  <c r="Q265" i="21"/>
  <c r="S264" i="21"/>
  <c r="R264" i="21"/>
  <c r="Q264" i="21"/>
  <c r="S263" i="21"/>
  <c r="R263" i="21"/>
  <c r="Q263" i="21"/>
  <c r="Z262" i="21"/>
  <c r="S262" i="21"/>
  <c r="R262" i="21"/>
  <c r="Q262" i="21"/>
  <c r="S261" i="21"/>
  <c r="R261" i="21"/>
  <c r="Q261" i="21"/>
  <c r="S260" i="21"/>
  <c r="R260" i="21"/>
  <c r="Q260" i="21"/>
  <c r="Z259" i="21"/>
  <c r="S259" i="21"/>
  <c r="R259" i="21"/>
  <c r="Q259" i="21"/>
  <c r="S258" i="21"/>
  <c r="R258" i="21"/>
  <c r="Q258" i="21"/>
  <c r="S257" i="21"/>
  <c r="R257" i="21"/>
  <c r="Q257" i="21"/>
  <c r="S256" i="21"/>
  <c r="R256" i="21"/>
  <c r="Q256" i="21"/>
  <c r="S255" i="21"/>
  <c r="R255" i="21"/>
  <c r="Q255" i="21"/>
  <c r="S254" i="21"/>
  <c r="R254" i="21"/>
  <c r="Q254" i="21"/>
  <c r="S253" i="21"/>
  <c r="R253" i="21"/>
  <c r="Q253" i="21"/>
  <c r="S252" i="21"/>
  <c r="R252" i="21"/>
  <c r="Q252" i="21"/>
  <c r="S251" i="21"/>
  <c r="R251" i="21"/>
  <c r="Q251" i="21"/>
  <c r="S250" i="21"/>
  <c r="R250" i="21"/>
  <c r="Q250" i="21"/>
  <c r="S249" i="21"/>
  <c r="R249" i="21"/>
  <c r="Q249" i="21"/>
  <c r="S248" i="21"/>
  <c r="R248" i="21"/>
  <c r="Q248" i="21"/>
  <c r="S247" i="21"/>
  <c r="R247" i="21"/>
  <c r="Q247" i="21"/>
  <c r="S246" i="21"/>
  <c r="R246" i="21"/>
  <c r="Q246" i="21"/>
  <c r="Z245" i="21"/>
  <c r="S245" i="21"/>
  <c r="R245" i="21"/>
  <c r="Q245" i="21"/>
  <c r="S244" i="21"/>
  <c r="R244" i="21"/>
  <c r="Q244" i="21"/>
  <c r="S243" i="21"/>
  <c r="R243" i="21"/>
  <c r="Q243" i="21"/>
  <c r="Z242" i="21"/>
  <c r="S242" i="21"/>
  <c r="R242" i="21"/>
  <c r="Q242" i="21"/>
  <c r="S241" i="21"/>
  <c r="R241" i="21"/>
  <c r="Q241" i="21"/>
  <c r="S240" i="21"/>
  <c r="R240" i="21"/>
  <c r="Q240" i="21"/>
  <c r="S239" i="21"/>
  <c r="R239" i="21"/>
  <c r="Q239" i="21"/>
  <c r="Z238" i="21"/>
  <c r="S238" i="21"/>
  <c r="R238" i="21"/>
  <c r="Q238" i="21"/>
  <c r="S237" i="21"/>
  <c r="R237" i="21"/>
  <c r="Q237" i="21"/>
  <c r="S236" i="21"/>
  <c r="R236" i="21"/>
  <c r="Q236" i="21"/>
  <c r="S235" i="21"/>
  <c r="R235" i="21"/>
  <c r="Q235" i="21"/>
  <c r="Z234" i="21"/>
  <c r="S234" i="21"/>
  <c r="R234" i="21"/>
  <c r="Q234" i="21"/>
  <c r="S355" i="21"/>
  <c r="R355" i="21"/>
  <c r="Q355" i="21"/>
  <c r="P355" i="21"/>
  <c r="S354" i="21"/>
  <c r="R354" i="21"/>
  <c r="Q354" i="21"/>
  <c r="P354" i="21"/>
  <c r="S353" i="21"/>
  <c r="R353" i="21"/>
  <c r="Q353" i="21"/>
  <c r="P353" i="21"/>
  <c r="S352" i="21"/>
  <c r="R352" i="21"/>
  <c r="Q352" i="21"/>
  <c r="P352" i="21"/>
  <c r="S351" i="21"/>
  <c r="R351" i="21"/>
  <c r="Q351" i="21"/>
  <c r="P351" i="21"/>
  <c r="S350" i="21"/>
  <c r="R350" i="21"/>
  <c r="Q350" i="21"/>
  <c r="P350" i="21"/>
  <c r="S349" i="21"/>
  <c r="R349" i="21"/>
  <c r="Q349" i="21"/>
  <c r="P349" i="21"/>
  <c r="S348" i="21"/>
  <c r="R348" i="21"/>
  <c r="Q348" i="21"/>
  <c r="P348" i="21"/>
  <c r="S347" i="21"/>
  <c r="R347" i="21"/>
  <c r="Q347" i="21"/>
  <c r="P347" i="21"/>
  <c r="S346" i="21"/>
  <c r="R346" i="21"/>
  <c r="Q346" i="21"/>
  <c r="P346" i="21"/>
  <c r="S345" i="21"/>
  <c r="R345" i="21"/>
  <c r="Q345" i="21"/>
  <c r="P345" i="21"/>
  <c r="S344" i="21"/>
  <c r="R344" i="21"/>
  <c r="Q344" i="21"/>
  <c r="P344" i="21"/>
  <c r="S343" i="21"/>
  <c r="R343" i="21"/>
  <c r="Q343" i="21"/>
  <c r="P343" i="21"/>
  <c r="S342" i="21"/>
  <c r="R342" i="21"/>
  <c r="Q342" i="21"/>
  <c r="P342" i="21"/>
  <c r="S341" i="21"/>
  <c r="R341" i="21"/>
  <c r="Q341" i="21"/>
  <c r="P341" i="21"/>
  <c r="S340" i="21"/>
  <c r="R340" i="21"/>
  <c r="Q340" i="21"/>
  <c r="P340" i="21"/>
  <c r="S339" i="21"/>
  <c r="R339" i="21"/>
  <c r="Q339" i="21"/>
  <c r="P339" i="21"/>
  <c r="S338" i="21"/>
  <c r="R338" i="21"/>
  <c r="Q338" i="21"/>
  <c r="P338" i="21"/>
  <c r="S337" i="21"/>
  <c r="R337" i="21"/>
  <c r="Q337" i="21"/>
  <c r="P337" i="21"/>
  <c r="S336" i="21"/>
  <c r="R336" i="21"/>
  <c r="Q336" i="21"/>
  <c r="P336" i="21"/>
  <c r="S335" i="21"/>
  <c r="R335" i="21"/>
  <c r="Q335" i="21"/>
  <c r="P335" i="21"/>
  <c r="S228" i="21"/>
  <c r="R228" i="21"/>
  <c r="Q228" i="21"/>
  <c r="S225" i="21"/>
  <c r="R225" i="21"/>
  <c r="Q225" i="21"/>
  <c r="S223" i="21"/>
  <c r="R223" i="21"/>
  <c r="Q223" i="21"/>
  <c r="S222" i="21"/>
  <c r="R222" i="21"/>
  <c r="Q222" i="21"/>
  <c r="S219" i="21"/>
  <c r="R219" i="21"/>
  <c r="Q219" i="21"/>
  <c r="S217" i="21"/>
  <c r="R217" i="21"/>
  <c r="Q217" i="21"/>
  <c r="S216" i="21"/>
  <c r="R216" i="21"/>
  <c r="Q216" i="21"/>
  <c r="S214" i="21"/>
  <c r="R214" i="21"/>
  <c r="Q214" i="21"/>
  <c r="S233" i="21"/>
  <c r="R233" i="21"/>
  <c r="Q233" i="21"/>
  <c r="S224" i="21"/>
  <c r="R224" i="21"/>
  <c r="Q224" i="21"/>
  <c r="S229" i="21"/>
  <c r="R229" i="21"/>
  <c r="Q229" i="21"/>
  <c r="S215" i="21"/>
  <c r="R215" i="21"/>
  <c r="Q215" i="21"/>
  <c r="S213" i="21"/>
  <c r="R213" i="21"/>
  <c r="Q213" i="21"/>
  <c r="Z232" i="21"/>
  <c r="S232" i="21"/>
  <c r="R232" i="21"/>
  <c r="Q232" i="21"/>
  <c r="Z231" i="21"/>
  <c r="S231" i="21"/>
  <c r="R231" i="21"/>
  <c r="Q231" i="21"/>
  <c r="S230" i="21"/>
  <c r="R230" i="21"/>
  <c r="Q230" i="21"/>
  <c r="S227" i="21"/>
  <c r="R227" i="21"/>
  <c r="Q227" i="21"/>
  <c r="S226" i="21"/>
  <c r="R226" i="21"/>
  <c r="Q226" i="21"/>
  <c r="Z221" i="21"/>
  <c r="S221" i="21"/>
  <c r="R221" i="21"/>
  <c r="Q221" i="21"/>
  <c r="S220" i="21"/>
  <c r="R220" i="21"/>
  <c r="Q220" i="21"/>
  <c r="S218" i="21"/>
  <c r="R218" i="21"/>
  <c r="Q218" i="21"/>
  <c r="S212" i="21"/>
  <c r="R212" i="21"/>
  <c r="Q212" i="21"/>
  <c r="Z211" i="21"/>
  <c r="S211" i="21"/>
  <c r="R211" i="21"/>
  <c r="Q211" i="21"/>
  <c r="S209" i="21"/>
  <c r="R209" i="21"/>
  <c r="Q209" i="21"/>
  <c r="Z208" i="21"/>
  <c r="S208" i="21"/>
  <c r="R208" i="21"/>
  <c r="Q208" i="21"/>
  <c r="Z207" i="21"/>
  <c r="S207" i="21"/>
  <c r="R207" i="21"/>
  <c r="Q207" i="21"/>
  <c r="S206" i="21"/>
  <c r="R206" i="21"/>
  <c r="Q206" i="21"/>
  <c r="Z205" i="21"/>
  <c r="S205" i="21"/>
  <c r="R205" i="21"/>
  <c r="Q205" i="21"/>
  <c r="S204" i="21"/>
  <c r="R204" i="21"/>
  <c r="Q204" i="21"/>
  <c r="S203" i="21"/>
  <c r="R203" i="21"/>
  <c r="Q203" i="21"/>
  <c r="Z202" i="21"/>
  <c r="S202" i="21"/>
  <c r="R202" i="21"/>
  <c r="Q202" i="21"/>
  <c r="Z201" i="21"/>
  <c r="S201" i="21"/>
  <c r="R201" i="21"/>
  <c r="Q201" i="21"/>
  <c r="S200" i="21"/>
  <c r="R200" i="21"/>
  <c r="Q200" i="21"/>
  <c r="S199" i="21"/>
  <c r="R199" i="21"/>
  <c r="Q199" i="21"/>
  <c r="Z198" i="21"/>
  <c r="S198" i="21"/>
  <c r="R198" i="21"/>
  <c r="Q198" i="21"/>
  <c r="S197" i="21"/>
  <c r="R197" i="21"/>
  <c r="Q197" i="21"/>
  <c r="Z196" i="21"/>
  <c r="S196" i="21"/>
  <c r="R196" i="21"/>
  <c r="Q196" i="21"/>
  <c r="Z195" i="21"/>
  <c r="S195" i="21"/>
  <c r="R195" i="21"/>
  <c r="Q195" i="21"/>
  <c r="Z194" i="21"/>
  <c r="S194" i="21"/>
  <c r="R194" i="21"/>
  <c r="Q194" i="21"/>
  <c r="S193" i="21"/>
  <c r="R193" i="21"/>
  <c r="Q193" i="21"/>
  <c r="S192" i="21"/>
  <c r="R192" i="21"/>
  <c r="Q192" i="21"/>
  <c r="Z191" i="21"/>
  <c r="S191" i="21"/>
  <c r="R191" i="21"/>
  <c r="Q191" i="21"/>
  <c r="S190" i="21"/>
  <c r="R190" i="21"/>
  <c r="Q190" i="21"/>
  <c r="S189" i="21"/>
  <c r="R189" i="21"/>
  <c r="Q189" i="21"/>
  <c r="S188" i="21"/>
  <c r="R188" i="21"/>
  <c r="Q188" i="21"/>
  <c r="S187" i="21"/>
  <c r="R187" i="21"/>
  <c r="Q187" i="21"/>
  <c r="S186" i="21"/>
  <c r="R186" i="21"/>
  <c r="Q186" i="21"/>
  <c r="Z185" i="21"/>
  <c r="S185" i="21"/>
  <c r="R185" i="21"/>
  <c r="Q185" i="21"/>
  <c r="S184" i="21"/>
  <c r="R184" i="21"/>
  <c r="Q184" i="21"/>
  <c r="S183" i="21"/>
  <c r="R183" i="21"/>
  <c r="Q183" i="21"/>
  <c r="S182" i="21"/>
  <c r="R182" i="21"/>
  <c r="Q182" i="21"/>
  <c r="Z181" i="21"/>
  <c r="S181" i="21"/>
  <c r="R181" i="21"/>
  <c r="Q181" i="21"/>
  <c r="S180" i="21"/>
  <c r="R180" i="21"/>
  <c r="Q180" i="21"/>
  <c r="S179" i="21"/>
  <c r="R179" i="21"/>
  <c r="Q179" i="21"/>
  <c r="Z178" i="21"/>
  <c r="S178" i="21"/>
  <c r="R178" i="21"/>
  <c r="Q178" i="21"/>
  <c r="Z177" i="21"/>
  <c r="S177" i="21"/>
  <c r="R177" i="21"/>
  <c r="Q177" i="21"/>
  <c r="S176" i="21"/>
  <c r="R176" i="21"/>
  <c r="Q176" i="21"/>
  <c r="Z175" i="21"/>
  <c r="S175" i="21"/>
  <c r="R175" i="21"/>
  <c r="Q175" i="21"/>
  <c r="S381" i="21"/>
  <c r="R381" i="21"/>
  <c r="Q381" i="21"/>
  <c r="P381" i="21"/>
  <c r="S380" i="21"/>
  <c r="R380" i="21"/>
  <c r="Q380" i="21"/>
  <c r="P380" i="21"/>
  <c r="S379" i="21"/>
  <c r="R379" i="21"/>
  <c r="Q379" i="21"/>
  <c r="P379" i="21"/>
  <c r="S378" i="21"/>
  <c r="R378" i="21"/>
  <c r="Q378" i="21"/>
  <c r="P378" i="21"/>
  <c r="S377" i="21"/>
  <c r="R377" i="21"/>
  <c r="Q377" i="21"/>
  <c r="P377" i="21"/>
  <c r="S376" i="21"/>
  <c r="R376" i="21"/>
  <c r="Q376" i="21"/>
  <c r="P376" i="21"/>
  <c r="S375" i="21"/>
  <c r="R375" i="21"/>
  <c r="Q375" i="21"/>
  <c r="P375" i="21"/>
  <c r="S374" i="21"/>
  <c r="R374" i="21"/>
  <c r="Q374" i="21"/>
  <c r="P374" i="21"/>
  <c r="S373" i="21"/>
  <c r="R373" i="21"/>
  <c r="Q373" i="21"/>
  <c r="P373" i="21"/>
  <c r="S372" i="21"/>
  <c r="R372" i="21"/>
  <c r="Q372" i="21"/>
  <c r="P372" i="21"/>
  <c r="S371" i="21"/>
  <c r="R371" i="21"/>
  <c r="Q371" i="21"/>
  <c r="P371" i="21"/>
  <c r="S370" i="21"/>
  <c r="R370" i="21"/>
  <c r="Q370" i="21"/>
  <c r="P370" i="21"/>
  <c r="S369" i="21"/>
  <c r="R369" i="21"/>
  <c r="Q369" i="21"/>
  <c r="P369" i="21"/>
  <c r="S368" i="21"/>
  <c r="R368" i="21"/>
  <c r="Q368" i="21"/>
  <c r="P368" i="21"/>
  <c r="S367" i="21"/>
  <c r="R367" i="21"/>
  <c r="Q367" i="21"/>
  <c r="P367" i="21"/>
  <c r="S366" i="21"/>
  <c r="R366" i="21"/>
  <c r="Q366" i="21"/>
  <c r="P366" i="21"/>
  <c r="S365" i="21"/>
  <c r="R365" i="21"/>
  <c r="Q365" i="21"/>
  <c r="P365" i="21"/>
  <c r="S364" i="21"/>
  <c r="R364" i="21"/>
  <c r="Q364" i="21"/>
  <c r="P364" i="21"/>
  <c r="S363" i="21"/>
  <c r="R363" i="21"/>
  <c r="Q363" i="21"/>
  <c r="P363" i="21"/>
  <c r="S362" i="21"/>
  <c r="R362" i="21"/>
  <c r="Q362" i="21"/>
  <c r="P362" i="21"/>
  <c r="S361" i="21"/>
  <c r="R361" i="21"/>
  <c r="Q361" i="21"/>
  <c r="P361" i="21"/>
  <c r="S360" i="21"/>
  <c r="R360" i="21"/>
  <c r="Q360" i="21"/>
  <c r="P360" i="21"/>
  <c r="S359" i="21"/>
  <c r="R359" i="21"/>
  <c r="Q359" i="21"/>
  <c r="P359" i="21"/>
  <c r="S358" i="21"/>
  <c r="R358" i="21"/>
  <c r="Q358" i="21"/>
  <c r="P358" i="21"/>
  <c r="S357" i="21"/>
  <c r="R357" i="21"/>
  <c r="Q357" i="21"/>
  <c r="P357" i="21"/>
  <c r="S356" i="21"/>
  <c r="R356" i="21"/>
  <c r="Q356" i="21"/>
  <c r="P356" i="21"/>
  <c r="S174" i="21"/>
  <c r="R174" i="21"/>
  <c r="Q174" i="21"/>
  <c r="S173" i="21"/>
  <c r="R173" i="21"/>
  <c r="Q173" i="21"/>
  <c r="S172" i="21"/>
  <c r="R172" i="21"/>
  <c r="Q172" i="21"/>
  <c r="S171" i="21"/>
  <c r="R171" i="21"/>
  <c r="Q171" i="21"/>
  <c r="Z170" i="21"/>
  <c r="S170" i="21"/>
  <c r="R170" i="21"/>
  <c r="Q170" i="21"/>
  <c r="S169" i="21"/>
  <c r="R169" i="21"/>
  <c r="Q169" i="21"/>
  <c r="S168" i="21"/>
  <c r="R168" i="21"/>
  <c r="Q168" i="21"/>
  <c r="Z167" i="21"/>
  <c r="S167" i="21"/>
  <c r="R167" i="21"/>
  <c r="Q167" i="21"/>
  <c r="S166" i="21"/>
  <c r="R166" i="21"/>
  <c r="Q166" i="21"/>
  <c r="S165" i="21"/>
  <c r="R165" i="21"/>
  <c r="Q165" i="21"/>
  <c r="S164" i="21"/>
  <c r="R164" i="21"/>
  <c r="Q164" i="21"/>
  <c r="S163" i="21"/>
  <c r="R163" i="21"/>
  <c r="Q163" i="21"/>
  <c r="S162" i="21"/>
  <c r="R162" i="21"/>
  <c r="Q162" i="21"/>
  <c r="S161" i="21"/>
  <c r="R161" i="21"/>
  <c r="Q161" i="21"/>
  <c r="S160" i="21"/>
  <c r="R160" i="21"/>
  <c r="Q160" i="21"/>
  <c r="S159" i="21"/>
  <c r="R159" i="21"/>
  <c r="Q159" i="21"/>
  <c r="Z158" i="21"/>
  <c r="S158" i="21"/>
  <c r="R158" i="21"/>
  <c r="Q158" i="21"/>
  <c r="S157" i="21"/>
  <c r="R157" i="21"/>
  <c r="Q157" i="21"/>
  <c r="S156" i="21"/>
  <c r="R156" i="21"/>
  <c r="Q156" i="21"/>
  <c r="S155" i="21"/>
  <c r="R155" i="21"/>
  <c r="Q155" i="21"/>
  <c r="S154" i="21"/>
  <c r="R154" i="21"/>
  <c r="Q154" i="21"/>
  <c r="Z153" i="21"/>
  <c r="S153" i="21"/>
  <c r="R153" i="21"/>
  <c r="Q153" i="21"/>
  <c r="S152" i="21"/>
  <c r="R152" i="21"/>
  <c r="Q152" i="21"/>
  <c r="S151" i="21"/>
  <c r="R151" i="21"/>
  <c r="Q151" i="21"/>
  <c r="S150" i="21"/>
  <c r="R150" i="21"/>
  <c r="Q150" i="21"/>
  <c r="S149" i="21"/>
  <c r="R149" i="21"/>
  <c r="Q149" i="21"/>
  <c r="S148" i="21"/>
  <c r="R148" i="21"/>
  <c r="Q148" i="21"/>
  <c r="Z147" i="21"/>
  <c r="S147" i="21"/>
  <c r="R147" i="21"/>
  <c r="Q147" i="21"/>
  <c r="S146" i="21"/>
  <c r="R146" i="21"/>
  <c r="Q146" i="21"/>
  <c r="Z145" i="21"/>
  <c r="S145" i="21"/>
  <c r="R145" i="21"/>
  <c r="Q145" i="21"/>
  <c r="S144" i="21"/>
  <c r="R144" i="21"/>
  <c r="Q144" i="21"/>
  <c r="Z143" i="21"/>
  <c r="S143" i="21"/>
  <c r="R143" i="21"/>
  <c r="Q143" i="21"/>
  <c r="Z142" i="21"/>
  <c r="S142" i="21"/>
  <c r="R142" i="21"/>
  <c r="Q142" i="21"/>
  <c r="S141" i="21"/>
  <c r="R141" i="21"/>
  <c r="Q141" i="21"/>
  <c r="S140" i="21"/>
  <c r="R140" i="21"/>
  <c r="Q140" i="21"/>
  <c r="S139" i="21"/>
  <c r="R139" i="21"/>
  <c r="Q139" i="21"/>
  <c r="S138" i="21"/>
  <c r="R138" i="21"/>
  <c r="Q138" i="21"/>
  <c r="S137" i="21"/>
  <c r="R137" i="21"/>
  <c r="Q137" i="21"/>
  <c r="S136" i="21"/>
  <c r="R136" i="21"/>
  <c r="Q136" i="21"/>
  <c r="S135" i="21"/>
  <c r="R135" i="21"/>
  <c r="Q135" i="21"/>
  <c r="Z134" i="21"/>
  <c r="S134" i="21"/>
  <c r="R134" i="21"/>
  <c r="Q134" i="21"/>
  <c r="Z133" i="21"/>
  <c r="S133" i="21"/>
  <c r="R133" i="21"/>
  <c r="Q133" i="21"/>
  <c r="Z132" i="21"/>
  <c r="S132" i="21"/>
  <c r="R132" i="21"/>
  <c r="Q132" i="21"/>
  <c r="Z131" i="21"/>
  <c r="S131" i="21"/>
  <c r="R131" i="21"/>
  <c r="Q131" i="21"/>
  <c r="S130" i="21"/>
  <c r="R130" i="21"/>
  <c r="Q130" i="21"/>
  <c r="S129" i="21"/>
  <c r="R129" i="21"/>
  <c r="Q129" i="21"/>
  <c r="S128" i="21"/>
  <c r="R128" i="21"/>
  <c r="Q128" i="21"/>
  <c r="S127" i="21"/>
  <c r="R127" i="21"/>
  <c r="Q127" i="21"/>
  <c r="S126" i="21"/>
  <c r="R126" i="21"/>
  <c r="Q126" i="21"/>
  <c r="S125" i="21"/>
  <c r="R125" i="21"/>
  <c r="Q125" i="21"/>
  <c r="Z124" i="21"/>
  <c r="S124" i="21"/>
  <c r="R124" i="21"/>
  <c r="Q124" i="21"/>
  <c r="S123" i="21"/>
  <c r="R123" i="21"/>
  <c r="Q123" i="21"/>
  <c r="Z122" i="21"/>
  <c r="S122" i="21"/>
  <c r="R122" i="21"/>
  <c r="Q122" i="21"/>
  <c r="Z121" i="21"/>
  <c r="S121" i="21"/>
  <c r="R121" i="21"/>
  <c r="Q121" i="21"/>
  <c r="S120" i="21"/>
  <c r="R120" i="21"/>
  <c r="Q120" i="21"/>
  <c r="Z119" i="21"/>
  <c r="S119" i="21"/>
  <c r="R119" i="21"/>
  <c r="Q119" i="21"/>
  <c r="S118" i="21"/>
  <c r="R118" i="21"/>
  <c r="Q118" i="21"/>
  <c r="Z117" i="21"/>
  <c r="S117" i="21"/>
  <c r="R117" i="21"/>
  <c r="Q117" i="21"/>
  <c r="S116" i="21"/>
  <c r="R116" i="21"/>
  <c r="Q116" i="21"/>
  <c r="S115" i="21"/>
  <c r="R115" i="21"/>
  <c r="Q115" i="21"/>
  <c r="S114" i="21"/>
  <c r="R114" i="21"/>
  <c r="Q114" i="21"/>
  <c r="Z113" i="21"/>
  <c r="S113" i="21"/>
  <c r="R113" i="21"/>
  <c r="Q113" i="21"/>
  <c r="Z112" i="21"/>
  <c r="S112" i="21"/>
  <c r="R112" i="21"/>
  <c r="Q112" i="21"/>
  <c r="S111" i="21"/>
  <c r="R111" i="21"/>
  <c r="Q111" i="21"/>
  <c r="S110" i="21"/>
  <c r="R110" i="21"/>
  <c r="Q110" i="21"/>
  <c r="S109" i="21"/>
  <c r="R109" i="21"/>
  <c r="Q109" i="21"/>
  <c r="S108" i="21"/>
  <c r="R108" i="21"/>
  <c r="Q108" i="21"/>
  <c r="S107" i="21"/>
  <c r="R107" i="21"/>
  <c r="Q107" i="21"/>
  <c r="S106" i="21"/>
  <c r="R106" i="21"/>
  <c r="Q106" i="21"/>
  <c r="S105" i="21"/>
  <c r="R105" i="21"/>
  <c r="Q105" i="21"/>
  <c r="S104" i="21"/>
  <c r="R104" i="21"/>
  <c r="Q104" i="21"/>
  <c r="Z91" i="21"/>
  <c r="S91" i="21"/>
  <c r="R91" i="21"/>
  <c r="Q91" i="21"/>
  <c r="Z93" i="21"/>
  <c r="S93" i="21"/>
  <c r="R93" i="21"/>
  <c r="Q93" i="21"/>
  <c r="Z99" i="21"/>
  <c r="S99" i="21"/>
  <c r="R99" i="21"/>
  <c r="Q99" i="21"/>
  <c r="Z103" i="21"/>
  <c r="S103" i="21"/>
  <c r="R103" i="21"/>
  <c r="Q103" i="21"/>
  <c r="S102" i="21"/>
  <c r="R102" i="21"/>
  <c r="Q102" i="21"/>
  <c r="Z101" i="21"/>
  <c r="S101" i="21"/>
  <c r="R101" i="21"/>
  <c r="Q101" i="21"/>
  <c r="Z100" i="21"/>
  <c r="S100" i="21"/>
  <c r="R100" i="21"/>
  <c r="Q100" i="21"/>
  <c r="S98" i="21"/>
  <c r="R98" i="21"/>
  <c r="Q98" i="21"/>
  <c r="Z97" i="21"/>
  <c r="S97" i="21"/>
  <c r="R97" i="21"/>
  <c r="Q97" i="21"/>
  <c r="Z96" i="21"/>
  <c r="S96" i="21"/>
  <c r="R96" i="21"/>
  <c r="Q96" i="21"/>
  <c r="Z95" i="21"/>
  <c r="S95" i="21"/>
  <c r="R95" i="21"/>
  <c r="Q95" i="21"/>
  <c r="Z94" i="21"/>
  <c r="S94" i="21"/>
  <c r="R94" i="21"/>
  <c r="Q94" i="21"/>
  <c r="S92" i="21"/>
  <c r="R92" i="21"/>
  <c r="Q92" i="21"/>
  <c r="S90" i="21"/>
  <c r="R90" i="21"/>
  <c r="Q90" i="21"/>
  <c r="Z89" i="21"/>
  <c r="S89" i="21"/>
  <c r="R89" i="21"/>
  <c r="Q89" i="21"/>
  <c r="S88" i="21"/>
  <c r="R88" i="21"/>
  <c r="Q88" i="21"/>
  <c r="S87" i="21"/>
  <c r="R87" i="21"/>
  <c r="Q87" i="21"/>
  <c r="S86" i="21"/>
  <c r="R86" i="21"/>
  <c r="Q86" i="21"/>
  <c r="S85" i="21"/>
  <c r="R85" i="21"/>
  <c r="Q85" i="21"/>
  <c r="Z84" i="21"/>
  <c r="S84" i="21"/>
  <c r="R84" i="21"/>
  <c r="Q84" i="21"/>
  <c r="S83" i="21"/>
  <c r="R83" i="21"/>
  <c r="Q83" i="21"/>
  <c r="S82" i="21"/>
  <c r="R82" i="21"/>
  <c r="Q82" i="21"/>
  <c r="S81" i="21"/>
  <c r="R81" i="21"/>
  <c r="Q81" i="21"/>
  <c r="S80" i="21"/>
  <c r="R80" i="21"/>
  <c r="Q80" i="21"/>
  <c r="S79" i="21"/>
  <c r="R79" i="21"/>
  <c r="Q79" i="21"/>
  <c r="S78" i="21"/>
  <c r="R78" i="21"/>
  <c r="Q78" i="21"/>
  <c r="S77" i="21"/>
  <c r="R77" i="21"/>
  <c r="Q77" i="21"/>
  <c r="S76" i="21"/>
  <c r="R76" i="21"/>
  <c r="Q76" i="21"/>
  <c r="S75" i="21"/>
  <c r="R75" i="21"/>
  <c r="Q75" i="21"/>
  <c r="S74" i="21"/>
  <c r="R74" i="21"/>
  <c r="Q74" i="21"/>
  <c r="S72" i="21"/>
  <c r="R72" i="21"/>
  <c r="Q72" i="21"/>
  <c r="S71" i="21"/>
  <c r="R71" i="21"/>
  <c r="Q71" i="21"/>
  <c r="S70" i="21"/>
  <c r="R70" i="21"/>
  <c r="Q70" i="21"/>
  <c r="S69" i="21"/>
  <c r="R69" i="21"/>
  <c r="Q69" i="21"/>
  <c r="S68" i="21"/>
  <c r="R68" i="21"/>
  <c r="Q68" i="21"/>
  <c r="S66" i="21"/>
  <c r="R66" i="21"/>
  <c r="Q66" i="21"/>
  <c r="S64" i="21"/>
  <c r="R64" i="21"/>
  <c r="Q64" i="21"/>
  <c r="S63" i="21"/>
  <c r="R63" i="21"/>
  <c r="Q63" i="21"/>
  <c r="S61" i="21"/>
  <c r="R61" i="21"/>
  <c r="Q61" i="21"/>
  <c r="S60" i="21"/>
  <c r="R60" i="21"/>
  <c r="Q60" i="21"/>
  <c r="P382" i="21"/>
  <c r="Q382" i="21"/>
  <c r="R382" i="21"/>
  <c r="S382" i="21"/>
  <c r="P383" i="21"/>
  <c r="Q383" i="21"/>
  <c r="R383" i="21"/>
  <c r="S383" i="21"/>
  <c r="P384" i="21"/>
  <c r="Q384" i="21"/>
  <c r="R384" i="21"/>
  <c r="S384" i="21"/>
  <c r="P385" i="21"/>
  <c r="Q385" i="21"/>
  <c r="R385" i="21"/>
  <c r="S385" i="21"/>
  <c r="P386" i="21"/>
  <c r="Q386" i="21"/>
  <c r="R386" i="21"/>
  <c r="S386" i="21"/>
  <c r="P387" i="21"/>
  <c r="Q387" i="21"/>
  <c r="R387" i="21"/>
  <c r="S387" i="21"/>
  <c r="P388" i="21"/>
  <c r="Q388" i="21"/>
  <c r="R388" i="21"/>
  <c r="S388" i="21"/>
  <c r="P389" i="21"/>
  <c r="Q389" i="21"/>
  <c r="R389" i="21"/>
  <c r="S389" i="21"/>
  <c r="P390" i="21"/>
  <c r="Q390" i="21"/>
  <c r="R390" i="21"/>
  <c r="S390" i="21"/>
  <c r="P391" i="21"/>
  <c r="Q391" i="21"/>
  <c r="R391" i="21"/>
  <c r="S391" i="21"/>
  <c r="P392" i="21"/>
  <c r="Q392" i="21"/>
  <c r="R392" i="21"/>
  <c r="S392" i="21"/>
  <c r="P393" i="21"/>
  <c r="Q393" i="21"/>
  <c r="R393" i="21"/>
  <c r="S393" i="21"/>
  <c r="P394" i="21"/>
  <c r="Q394" i="21"/>
  <c r="R394" i="21"/>
  <c r="S394" i="21"/>
  <c r="P395" i="21"/>
  <c r="Q395" i="21"/>
  <c r="R395" i="21"/>
  <c r="S395" i="21"/>
  <c r="P396" i="21"/>
  <c r="Q396" i="21"/>
  <c r="R396" i="21"/>
  <c r="S396" i="21"/>
  <c r="P397" i="21"/>
  <c r="Q397" i="21"/>
  <c r="R397" i="21"/>
  <c r="S397" i="21"/>
  <c r="P398" i="21"/>
  <c r="Q398" i="21"/>
  <c r="R398" i="21"/>
  <c r="S398" i="21"/>
  <c r="P399" i="21"/>
  <c r="Q399" i="21"/>
  <c r="R399" i="21"/>
  <c r="S399" i="21"/>
  <c r="P400" i="21"/>
  <c r="Q400" i="21"/>
  <c r="R400" i="21"/>
  <c r="S400" i="21"/>
  <c r="P401" i="21"/>
  <c r="Q401" i="21"/>
  <c r="R401" i="21"/>
  <c r="S401" i="21"/>
  <c r="P402" i="21"/>
  <c r="Q402" i="21"/>
  <c r="R402" i="21"/>
  <c r="S402" i="21"/>
  <c r="P403" i="21"/>
  <c r="Q403" i="21"/>
  <c r="R403" i="21"/>
  <c r="S403" i="21"/>
  <c r="P404" i="21"/>
  <c r="Q404" i="21"/>
  <c r="R404" i="21"/>
  <c r="S404" i="21"/>
  <c r="P405" i="21"/>
  <c r="Q405" i="21"/>
  <c r="R405" i="21"/>
  <c r="S405" i="21"/>
  <c r="P406" i="21"/>
  <c r="Q406" i="21"/>
  <c r="R406" i="21"/>
  <c r="S406" i="21"/>
  <c r="P407" i="21"/>
  <c r="Q407" i="21"/>
  <c r="R407" i="21"/>
  <c r="S407" i="21"/>
  <c r="P408" i="21"/>
  <c r="Q408" i="21"/>
  <c r="R408" i="21"/>
  <c r="S408" i="21"/>
  <c r="P409" i="21"/>
  <c r="Q409" i="21"/>
  <c r="R409" i="21"/>
  <c r="S409" i="21"/>
  <c r="P410" i="21"/>
  <c r="Q410" i="21"/>
  <c r="R410" i="21"/>
  <c r="S410" i="21"/>
  <c r="P411" i="21"/>
  <c r="Q411" i="21"/>
  <c r="R411" i="21"/>
  <c r="S411" i="21"/>
  <c r="P412" i="21"/>
  <c r="Q412" i="21"/>
  <c r="R412" i="21"/>
  <c r="S412" i="21"/>
  <c r="P413" i="21"/>
  <c r="Q413" i="21"/>
  <c r="R413" i="21"/>
  <c r="S413" i="21"/>
  <c r="P414" i="21"/>
  <c r="Q414" i="21"/>
  <c r="R414" i="21"/>
  <c r="S414" i="21"/>
  <c r="P415" i="21"/>
  <c r="Q415" i="21"/>
  <c r="R415" i="21"/>
  <c r="S415" i="21"/>
  <c r="P416" i="21"/>
  <c r="Q416" i="21"/>
  <c r="R416" i="21"/>
  <c r="S416" i="21"/>
  <c r="P417" i="21"/>
  <c r="Q417" i="21"/>
  <c r="R417" i="21"/>
  <c r="S417" i="21"/>
  <c r="P418" i="21"/>
  <c r="Q418" i="21"/>
  <c r="R418" i="21"/>
  <c r="S418" i="21"/>
  <c r="P419" i="21"/>
  <c r="Q419" i="21"/>
  <c r="R419" i="21"/>
  <c r="S419" i="21"/>
  <c r="P420" i="21"/>
  <c r="Q420" i="21"/>
  <c r="R420" i="21"/>
  <c r="S420" i="21"/>
  <c r="P421" i="21"/>
  <c r="Q421" i="21"/>
  <c r="R421" i="21"/>
  <c r="S421" i="21"/>
  <c r="P422" i="21"/>
  <c r="Q422" i="21"/>
  <c r="R422" i="21"/>
  <c r="S422" i="21"/>
  <c r="P423" i="21"/>
  <c r="Q423" i="21"/>
  <c r="R423" i="21"/>
  <c r="S423" i="21"/>
  <c r="P424" i="21"/>
  <c r="Q424" i="21"/>
  <c r="R424" i="21"/>
  <c r="S424" i="21"/>
  <c r="P425" i="21"/>
  <c r="Q425" i="21"/>
  <c r="R425" i="21"/>
  <c r="S425" i="21"/>
  <c r="P426" i="21"/>
  <c r="Q426" i="21"/>
  <c r="R426" i="21"/>
  <c r="S426" i="21"/>
  <c r="P427" i="21"/>
  <c r="Q427" i="21"/>
  <c r="R427" i="21"/>
  <c r="S427" i="21"/>
  <c r="P428" i="21"/>
  <c r="Q428" i="21"/>
  <c r="R428" i="21"/>
  <c r="S428" i="21"/>
  <c r="P429" i="21"/>
  <c r="Q429" i="21"/>
  <c r="R429" i="21"/>
  <c r="S429" i="21"/>
  <c r="P430" i="21"/>
  <c r="Q430" i="21"/>
  <c r="R430" i="21"/>
  <c r="S430" i="21"/>
  <c r="P431" i="21"/>
  <c r="Q431" i="21"/>
  <c r="R431" i="21"/>
  <c r="S431" i="21"/>
  <c r="P432" i="21"/>
  <c r="Q432" i="21"/>
  <c r="R432" i="21"/>
  <c r="S432" i="21"/>
  <c r="P433" i="21"/>
  <c r="Q433" i="21"/>
  <c r="R433" i="21"/>
  <c r="S433" i="21"/>
  <c r="P434" i="21"/>
  <c r="Q434" i="21"/>
  <c r="R434" i="21"/>
  <c r="S434" i="21"/>
  <c r="Z434" i="21"/>
  <c r="P435" i="21"/>
  <c r="Q435" i="21"/>
  <c r="R435" i="21"/>
  <c r="S435" i="21"/>
  <c r="Z435" i="21"/>
  <c r="P436" i="21"/>
  <c r="Q436" i="21"/>
  <c r="R436" i="21"/>
  <c r="S436" i="21"/>
  <c r="Z436" i="21"/>
  <c r="P437" i="21"/>
  <c r="Q437" i="21"/>
  <c r="R437" i="21"/>
  <c r="S437" i="21"/>
  <c r="Z437" i="21"/>
  <c r="P438" i="21"/>
  <c r="Q438" i="21"/>
  <c r="R438" i="21"/>
  <c r="S438" i="21"/>
  <c r="Z438" i="21"/>
  <c r="P439" i="21"/>
  <c r="Q439" i="21"/>
  <c r="R439" i="21"/>
  <c r="S439" i="21"/>
  <c r="Z439" i="21"/>
  <c r="P440" i="21"/>
  <c r="Q440" i="21"/>
  <c r="R440" i="21"/>
  <c r="S440" i="21"/>
  <c r="Z440" i="21"/>
  <c r="P441" i="21"/>
  <c r="Q441" i="21"/>
  <c r="R441" i="21"/>
  <c r="S441" i="21"/>
  <c r="Z441" i="21"/>
  <c r="P442" i="21"/>
  <c r="Q442" i="21"/>
  <c r="R442" i="21"/>
  <c r="S442" i="21"/>
  <c r="Z442" i="21"/>
  <c r="P443" i="21"/>
  <c r="Q443" i="21"/>
  <c r="R443" i="21"/>
  <c r="S443" i="21"/>
  <c r="Z443" i="21"/>
  <c r="P444" i="21"/>
  <c r="Q444" i="21"/>
  <c r="R444" i="21"/>
  <c r="S444" i="21"/>
  <c r="Z444" i="21"/>
  <c r="P445" i="21"/>
  <c r="Q445" i="21"/>
  <c r="R445" i="21"/>
  <c r="S445" i="21"/>
  <c r="Z445" i="21"/>
  <c r="P446" i="21"/>
  <c r="Q446" i="21"/>
  <c r="R446" i="21"/>
  <c r="S446" i="21"/>
  <c r="Z446" i="21"/>
  <c r="P447" i="21"/>
  <c r="Q447" i="21"/>
  <c r="R447" i="21"/>
  <c r="S447" i="21"/>
  <c r="Z447" i="21"/>
  <c r="P448" i="21"/>
  <c r="Q448" i="21"/>
  <c r="R448" i="21"/>
  <c r="S448" i="21"/>
  <c r="Z448" i="21"/>
  <c r="P449" i="21"/>
  <c r="Q449" i="21"/>
  <c r="R449" i="21"/>
  <c r="S449" i="21"/>
  <c r="P450" i="21"/>
  <c r="Q450" i="21"/>
  <c r="R450" i="21"/>
  <c r="S450" i="21"/>
  <c r="P451" i="21"/>
  <c r="Q451" i="21"/>
  <c r="R451" i="21"/>
  <c r="S451" i="21"/>
  <c r="P452" i="21"/>
  <c r="Q452" i="21"/>
  <c r="R452" i="21"/>
  <c r="S452" i="21"/>
  <c r="P453" i="21"/>
  <c r="Q453" i="21"/>
  <c r="R453" i="21"/>
  <c r="S453" i="21"/>
  <c r="P454" i="21"/>
  <c r="Q454" i="21"/>
  <c r="R454" i="21"/>
  <c r="S454" i="21"/>
  <c r="P455" i="21"/>
  <c r="Q455" i="21"/>
  <c r="R455" i="21"/>
  <c r="S455" i="21"/>
  <c r="P456" i="21"/>
  <c r="Q456" i="21"/>
  <c r="R456" i="21"/>
  <c r="S456" i="21"/>
  <c r="P457" i="21"/>
  <c r="Q457" i="21"/>
  <c r="R457" i="21"/>
  <c r="S457" i="21"/>
  <c r="P458" i="21"/>
  <c r="Q458" i="21"/>
  <c r="R458" i="21"/>
  <c r="S458" i="21"/>
  <c r="P459" i="21"/>
  <c r="Q459" i="21"/>
  <c r="R459" i="21"/>
  <c r="S459" i="21"/>
  <c r="P460" i="21"/>
  <c r="Q460" i="21"/>
  <c r="R460" i="21"/>
  <c r="S460" i="21"/>
  <c r="P461" i="21"/>
  <c r="Q461" i="21"/>
  <c r="R461" i="21"/>
  <c r="S461" i="21"/>
  <c r="P462" i="21"/>
  <c r="Q462" i="21"/>
  <c r="R462" i="21"/>
  <c r="S462" i="21"/>
  <c r="P463" i="21"/>
  <c r="Q463" i="21"/>
  <c r="R463" i="21"/>
  <c r="S463" i="21"/>
  <c r="P464" i="21"/>
  <c r="Q464" i="21"/>
  <c r="R464" i="21"/>
  <c r="S464" i="21"/>
  <c r="P465" i="21"/>
  <c r="Q465" i="21"/>
  <c r="R465" i="21"/>
  <c r="S465" i="21"/>
  <c r="P466" i="21"/>
  <c r="Q466" i="21"/>
  <c r="R466" i="21"/>
  <c r="S466" i="21"/>
  <c r="P467" i="21"/>
  <c r="Q467" i="21"/>
  <c r="R467" i="21"/>
  <c r="S467" i="21"/>
  <c r="P468" i="21"/>
  <c r="Q468" i="21"/>
  <c r="R468" i="21"/>
  <c r="S468" i="21"/>
  <c r="P469" i="21"/>
  <c r="Q469" i="21"/>
  <c r="R469" i="21"/>
  <c r="S469" i="21"/>
  <c r="P470" i="21"/>
  <c r="Q470" i="21"/>
  <c r="R470" i="21"/>
  <c r="S470" i="21"/>
  <c r="P471" i="21"/>
  <c r="Q471" i="21"/>
  <c r="R471" i="21"/>
  <c r="S471" i="21"/>
  <c r="P472" i="21"/>
  <c r="Q472" i="21"/>
  <c r="R472" i="21"/>
  <c r="S472" i="21"/>
  <c r="P473" i="21"/>
  <c r="Q473" i="21"/>
  <c r="R473" i="21"/>
  <c r="S473" i="21"/>
  <c r="P474" i="21"/>
  <c r="Q474" i="21"/>
  <c r="R474" i="21"/>
  <c r="S474" i="21"/>
  <c r="P475" i="21"/>
  <c r="Q475" i="21"/>
  <c r="R475" i="21"/>
  <c r="S475" i="21"/>
  <c r="P476" i="21"/>
  <c r="Q476" i="21"/>
  <c r="R476" i="21"/>
  <c r="S476" i="21"/>
  <c r="P477" i="21"/>
  <c r="Q477" i="21"/>
  <c r="R477" i="21"/>
  <c r="S477" i="21"/>
  <c r="P478" i="21"/>
  <c r="Q478" i="21"/>
  <c r="R478" i="21"/>
  <c r="S478" i="21"/>
  <c r="P479" i="21"/>
  <c r="Q479" i="21"/>
  <c r="R479" i="21"/>
  <c r="S479" i="21"/>
  <c r="P480" i="21"/>
  <c r="Q480" i="21"/>
  <c r="R480" i="21"/>
  <c r="S480" i="21"/>
  <c r="P481" i="21"/>
  <c r="Q481" i="21"/>
  <c r="R481" i="21"/>
  <c r="S481" i="21"/>
  <c r="P482" i="21"/>
  <c r="Q482" i="21"/>
  <c r="R482" i="21"/>
  <c r="S482" i="21"/>
  <c r="P483" i="21"/>
  <c r="Q483" i="21"/>
  <c r="R483" i="21"/>
  <c r="S483" i="21"/>
  <c r="P484" i="21"/>
  <c r="Q484" i="21"/>
  <c r="R484" i="21"/>
  <c r="S484" i="21"/>
  <c r="P485" i="21"/>
  <c r="Q485" i="21"/>
  <c r="R485" i="21"/>
  <c r="S485" i="21"/>
  <c r="P486" i="21"/>
  <c r="Q486" i="21"/>
  <c r="R486" i="21"/>
  <c r="S486" i="21"/>
  <c r="P487" i="21"/>
  <c r="Q487" i="21"/>
  <c r="R487" i="21"/>
  <c r="S487" i="21"/>
  <c r="P488" i="21"/>
  <c r="Q488" i="21"/>
  <c r="R488" i="21"/>
  <c r="S488" i="21"/>
  <c r="P489" i="21"/>
  <c r="Q489" i="21"/>
  <c r="R489" i="21"/>
  <c r="S489" i="21"/>
  <c r="P490" i="21"/>
  <c r="Q490" i="21"/>
  <c r="R490" i="21"/>
  <c r="S490" i="21"/>
  <c r="P491" i="21"/>
  <c r="Q491" i="21"/>
  <c r="R491" i="21"/>
  <c r="S491" i="21"/>
  <c r="P492" i="21"/>
  <c r="Q492" i="21"/>
  <c r="R492" i="21"/>
  <c r="S492" i="21"/>
  <c r="P493" i="21"/>
  <c r="Q493" i="21"/>
  <c r="R493" i="21"/>
  <c r="S493" i="21"/>
  <c r="P494" i="21"/>
  <c r="Q494" i="21"/>
  <c r="R494" i="21"/>
  <c r="S494" i="21"/>
  <c r="P495" i="21"/>
  <c r="Q495" i="21"/>
  <c r="R495" i="21"/>
  <c r="S495" i="21"/>
  <c r="P496" i="21"/>
  <c r="Q496" i="21"/>
  <c r="R496" i="21"/>
  <c r="S496" i="21"/>
  <c r="P497" i="21"/>
  <c r="Q497" i="21"/>
  <c r="R497" i="21"/>
  <c r="S497" i="21"/>
  <c r="P498" i="21"/>
  <c r="Q498" i="21"/>
  <c r="R498" i="21"/>
  <c r="S498" i="21"/>
  <c r="P499" i="21"/>
  <c r="Q499" i="21"/>
  <c r="R499" i="21"/>
  <c r="S499" i="21"/>
  <c r="S73" i="21"/>
  <c r="R73" i="21"/>
  <c r="Q73" i="21"/>
  <c r="S67" i="21"/>
  <c r="R67" i="21"/>
  <c r="Q67" i="21"/>
  <c r="S65" i="21"/>
  <c r="R65" i="21"/>
  <c r="Q65" i="21"/>
  <c r="S62" i="21"/>
  <c r="R62" i="21"/>
  <c r="Q62" i="21"/>
  <c r="S59" i="21"/>
  <c r="R59" i="21"/>
  <c r="Q59" i="21"/>
  <c r="S58" i="21"/>
  <c r="R58" i="21"/>
  <c r="Q58" i="21"/>
  <c r="Z587" i="13"/>
  <c r="S587" i="13"/>
  <c r="R587" i="13"/>
  <c r="Q587" i="13"/>
  <c r="P587" i="13"/>
  <c r="Z586" i="13"/>
  <c r="S586" i="13"/>
  <c r="R586" i="13"/>
  <c r="Q586" i="13"/>
  <c r="P586" i="13"/>
  <c r="Z585" i="13"/>
  <c r="S585" i="13"/>
  <c r="R585" i="13"/>
  <c r="Q585" i="13"/>
  <c r="P585" i="13"/>
  <c r="Z584" i="13"/>
  <c r="S584" i="13"/>
  <c r="R584" i="13"/>
  <c r="Q584" i="13"/>
  <c r="P584" i="13"/>
  <c r="Z583" i="13"/>
  <c r="S583" i="13"/>
  <c r="R583" i="13"/>
  <c r="Q583" i="13"/>
  <c r="P583" i="13"/>
  <c r="Z582" i="13"/>
  <c r="S582" i="13"/>
  <c r="R582" i="13"/>
  <c r="Q582" i="13"/>
  <c r="P582" i="13"/>
  <c r="S581" i="13"/>
  <c r="R581" i="13"/>
  <c r="Q581" i="13"/>
  <c r="P581" i="13"/>
  <c r="S580" i="13"/>
  <c r="R580" i="13"/>
  <c r="Q580" i="13"/>
  <c r="P580" i="13"/>
  <c r="S579" i="13"/>
  <c r="R579" i="13"/>
  <c r="Q579" i="13"/>
  <c r="P579" i="13"/>
  <c r="S578" i="13"/>
  <c r="R578" i="13"/>
  <c r="Q578" i="13"/>
  <c r="P578" i="13"/>
  <c r="S577" i="13"/>
  <c r="R577" i="13"/>
  <c r="Q577" i="13"/>
  <c r="P577" i="13"/>
  <c r="S576" i="13"/>
  <c r="R576" i="13"/>
  <c r="Q576" i="13"/>
  <c r="P576" i="13"/>
  <c r="S575" i="13"/>
  <c r="R575" i="13"/>
  <c r="Q575" i="13"/>
  <c r="P575" i="13"/>
  <c r="S574" i="13"/>
  <c r="R574" i="13"/>
  <c r="Q574" i="13"/>
  <c r="P574" i="13"/>
  <c r="S573" i="13"/>
  <c r="R573" i="13"/>
  <c r="Q573" i="13"/>
  <c r="P573" i="13"/>
  <c r="S572" i="13"/>
  <c r="R572" i="13"/>
  <c r="Q572" i="13"/>
  <c r="P572" i="13"/>
  <c r="S571" i="13"/>
  <c r="R571" i="13"/>
  <c r="Q571" i="13"/>
  <c r="P571" i="13"/>
  <c r="S570" i="13"/>
  <c r="R570" i="13"/>
  <c r="Q570" i="13"/>
  <c r="P570" i="13"/>
  <c r="S569" i="13"/>
  <c r="R569" i="13"/>
  <c r="Q569" i="13"/>
  <c r="P569" i="13"/>
  <c r="S568" i="13"/>
  <c r="R568" i="13"/>
  <c r="Q568" i="13"/>
  <c r="P568" i="13"/>
  <c r="S567" i="13"/>
  <c r="R567" i="13"/>
  <c r="Q567" i="13"/>
  <c r="P567" i="13"/>
  <c r="S566" i="13"/>
  <c r="R566" i="13"/>
  <c r="Q566" i="13"/>
  <c r="P566" i="13"/>
  <c r="S565" i="13"/>
  <c r="R565" i="13"/>
  <c r="Q565" i="13"/>
  <c r="P565" i="13"/>
  <c r="S564" i="13"/>
  <c r="R564" i="13"/>
  <c r="Q564" i="13"/>
  <c r="P564" i="13"/>
  <c r="S563" i="13"/>
  <c r="R563" i="13"/>
  <c r="Q563" i="13"/>
  <c r="P563" i="13"/>
  <c r="S562" i="13"/>
  <c r="R562" i="13"/>
  <c r="Q562" i="13"/>
  <c r="P562" i="13"/>
  <c r="S561" i="13"/>
  <c r="R561" i="13"/>
  <c r="Q561" i="13"/>
  <c r="P561" i="13"/>
  <c r="S560" i="13"/>
  <c r="R560" i="13"/>
  <c r="Q560" i="13"/>
  <c r="P560" i="13"/>
  <c r="S559" i="13"/>
  <c r="R559" i="13"/>
  <c r="Q559" i="13"/>
  <c r="P559" i="13"/>
  <c r="S558" i="13"/>
  <c r="R558" i="13"/>
  <c r="Q558" i="13"/>
  <c r="P558" i="13"/>
  <c r="S557" i="13"/>
  <c r="R557" i="13"/>
  <c r="Q557" i="13"/>
  <c r="P557" i="13"/>
  <c r="S556" i="13"/>
  <c r="R556" i="13"/>
  <c r="Q556" i="13"/>
  <c r="P556" i="13"/>
  <c r="S555" i="13"/>
  <c r="R555" i="13"/>
  <c r="Q555" i="13"/>
  <c r="P555" i="13"/>
  <c r="S554" i="13"/>
  <c r="R554" i="13"/>
  <c r="Q554" i="13"/>
  <c r="P554" i="13"/>
  <c r="S553" i="13"/>
  <c r="R553" i="13"/>
  <c r="Q553" i="13"/>
  <c r="P553" i="13"/>
  <c r="S552" i="13"/>
  <c r="R552" i="13"/>
  <c r="Q552" i="13"/>
  <c r="P552" i="13"/>
  <c r="S551" i="13"/>
  <c r="R551" i="13"/>
  <c r="Q551" i="13"/>
  <c r="P551" i="13"/>
  <c r="S550" i="13"/>
  <c r="R550" i="13"/>
  <c r="Q550" i="13"/>
  <c r="P550" i="13"/>
  <c r="S549" i="13"/>
  <c r="R549" i="13"/>
  <c r="Q549" i="13"/>
  <c r="P549" i="13"/>
  <c r="S548" i="13"/>
  <c r="R548" i="13"/>
  <c r="Q548" i="13"/>
  <c r="P548" i="13"/>
  <c r="S547" i="13"/>
  <c r="R547" i="13"/>
  <c r="Q547" i="13"/>
  <c r="P547" i="13"/>
  <c r="S546" i="13"/>
  <c r="R546" i="13"/>
  <c r="Q546" i="13"/>
  <c r="P546" i="13"/>
  <c r="S545" i="13"/>
  <c r="R545" i="13"/>
  <c r="Q545" i="13"/>
  <c r="P545" i="13"/>
  <c r="S544" i="13"/>
  <c r="R544" i="13"/>
  <c r="Q544" i="13"/>
  <c r="P544" i="13"/>
  <c r="S543" i="13"/>
  <c r="R543" i="13"/>
  <c r="Q543" i="13"/>
  <c r="P543" i="13"/>
  <c r="S542" i="13"/>
  <c r="R542" i="13"/>
  <c r="Q542" i="13"/>
  <c r="P542" i="13"/>
  <c r="S541" i="13"/>
  <c r="R541" i="13"/>
  <c r="Q541" i="13"/>
  <c r="P541" i="13"/>
  <c r="S540" i="13"/>
  <c r="R540" i="13"/>
  <c r="Q540" i="13"/>
  <c r="P540" i="13"/>
  <c r="S539" i="13"/>
  <c r="R539" i="13"/>
  <c r="Q539" i="13"/>
  <c r="P539" i="13"/>
  <c r="S538" i="13"/>
  <c r="R538" i="13"/>
  <c r="Q538" i="13"/>
  <c r="P538" i="13"/>
  <c r="S537" i="13"/>
  <c r="R537" i="13"/>
  <c r="Q537" i="13"/>
  <c r="P537" i="13"/>
  <c r="S536" i="13"/>
  <c r="R536" i="13"/>
  <c r="Q536" i="13"/>
  <c r="P536" i="13"/>
  <c r="S535" i="13"/>
  <c r="R535" i="13"/>
  <c r="Q535" i="13"/>
  <c r="P535" i="13"/>
  <c r="S534" i="13"/>
  <c r="R534" i="13"/>
  <c r="Q534" i="13"/>
  <c r="P534" i="13"/>
  <c r="Z514" i="23"/>
  <c r="S514" i="23"/>
  <c r="R514" i="23"/>
  <c r="Q514" i="23"/>
  <c r="P514" i="23"/>
  <c r="Z513" i="23"/>
  <c r="S513" i="23"/>
  <c r="R513" i="23"/>
  <c r="Q513" i="23"/>
  <c r="P513" i="23"/>
  <c r="Z512" i="23"/>
  <c r="S512" i="23"/>
  <c r="R512" i="23"/>
  <c r="Q512" i="23"/>
  <c r="P512" i="23"/>
  <c r="Z511" i="23"/>
  <c r="S511" i="23"/>
  <c r="R511" i="23"/>
  <c r="Q511" i="23"/>
  <c r="P511" i="23"/>
  <c r="Z510" i="23"/>
  <c r="S510" i="23"/>
  <c r="R510" i="23"/>
  <c r="Q510" i="23"/>
  <c r="P510" i="23"/>
  <c r="H7" i="22"/>
  <c r="P515" i="23"/>
  <c r="Q515" i="23"/>
  <c r="R515" i="23"/>
  <c r="S515" i="23"/>
  <c r="Z515" i="23"/>
  <c r="P516" i="23"/>
  <c r="Q516" i="23"/>
  <c r="R516" i="23"/>
  <c r="S516" i="23"/>
  <c r="Z516" i="23"/>
  <c r="P517" i="23"/>
  <c r="Q517" i="23"/>
  <c r="R517" i="23"/>
  <c r="S517" i="23"/>
  <c r="Z517" i="23"/>
  <c r="P518" i="23"/>
  <c r="Q518" i="23"/>
  <c r="R518" i="23"/>
  <c r="S518" i="23"/>
  <c r="Z518" i="23"/>
  <c r="P519" i="23"/>
  <c r="Q519" i="23"/>
  <c r="R519" i="23"/>
  <c r="S519" i="23"/>
  <c r="Z519" i="23"/>
  <c r="P520" i="23"/>
  <c r="Q520" i="23"/>
  <c r="R520" i="23"/>
  <c r="S520" i="23"/>
  <c r="Z520" i="23"/>
  <c r="P521" i="23"/>
  <c r="Q521" i="23"/>
  <c r="R521" i="23"/>
  <c r="S521" i="23"/>
  <c r="Z521" i="23"/>
  <c r="P522" i="23"/>
  <c r="Q522" i="23"/>
  <c r="R522" i="23"/>
  <c r="S522" i="23"/>
  <c r="Z522" i="23"/>
  <c r="P523" i="23"/>
  <c r="Q523" i="23"/>
  <c r="R523" i="23"/>
  <c r="S523" i="23"/>
  <c r="Z523" i="23"/>
  <c r="P524" i="23"/>
  <c r="Q524" i="23"/>
  <c r="R524" i="23"/>
  <c r="S524" i="23"/>
  <c r="Z524" i="23"/>
  <c r="P525" i="23"/>
  <c r="Q525" i="23"/>
  <c r="R525" i="23"/>
  <c r="S525" i="23"/>
  <c r="Z525" i="23"/>
  <c r="P526" i="23"/>
  <c r="Q526" i="23"/>
  <c r="R526" i="23"/>
  <c r="S526" i="23"/>
  <c r="Z526" i="23"/>
  <c r="P527" i="23"/>
  <c r="Q527" i="23"/>
  <c r="R527" i="23"/>
  <c r="S527" i="23"/>
  <c r="Z527" i="23"/>
  <c r="P528" i="23"/>
  <c r="Q528" i="23"/>
  <c r="R528" i="23"/>
  <c r="S528" i="23"/>
  <c r="Z528" i="23"/>
  <c r="P529" i="23"/>
  <c r="Q529" i="23"/>
  <c r="R529" i="23"/>
  <c r="S529" i="23"/>
  <c r="Z529" i="23"/>
  <c r="P530" i="23"/>
  <c r="Q530" i="23"/>
  <c r="R530" i="23"/>
  <c r="S530" i="23"/>
  <c r="Z530" i="23"/>
  <c r="P531" i="23"/>
  <c r="Q531" i="23"/>
  <c r="R531" i="23"/>
  <c r="S531" i="23"/>
  <c r="Z531" i="23"/>
  <c r="P532" i="23"/>
  <c r="Q532" i="23"/>
  <c r="R532" i="23"/>
  <c r="S532" i="23"/>
  <c r="Z532" i="23"/>
  <c r="P533" i="23"/>
  <c r="Q533" i="23"/>
  <c r="R533" i="23"/>
  <c r="S533" i="23"/>
  <c r="Z533" i="23"/>
  <c r="P534" i="23"/>
  <c r="Q534" i="23"/>
  <c r="R534" i="23"/>
  <c r="S534" i="23"/>
  <c r="Z534" i="23"/>
  <c r="P535" i="23"/>
  <c r="Q535" i="23"/>
  <c r="R535" i="23"/>
  <c r="S535" i="23"/>
  <c r="Z535" i="23"/>
  <c r="Q536" i="23"/>
  <c r="R536" i="23"/>
  <c r="S536" i="23"/>
  <c r="Z536" i="23"/>
  <c r="P537" i="23"/>
  <c r="Q537" i="23"/>
  <c r="R537" i="23"/>
  <c r="S537" i="23"/>
  <c r="Z537" i="23"/>
  <c r="P538" i="23"/>
  <c r="Q538" i="23"/>
  <c r="R538" i="23"/>
  <c r="S538" i="23"/>
  <c r="Z538" i="23"/>
  <c r="P539" i="23"/>
  <c r="Q539" i="23"/>
  <c r="R539" i="23"/>
  <c r="S539" i="23"/>
  <c r="Z539" i="23"/>
  <c r="P540" i="23"/>
  <c r="Q540" i="23"/>
  <c r="R540" i="23"/>
  <c r="S540" i="23"/>
  <c r="Z540" i="23"/>
  <c r="P541" i="23"/>
  <c r="Q541" i="23"/>
  <c r="R541" i="23"/>
  <c r="S541" i="23"/>
  <c r="Z541" i="23"/>
  <c r="P542" i="23"/>
  <c r="Q542" i="23"/>
  <c r="R542" i="23"/>
  <c r="S542" i="23"/>
  <c r="Z542" i="23"/>
  <c r="P543" i="23"/>
  <c r="Q543" i="23"/>
  <c r="R543" i="23"/>
  <c r="S543" i="23"/>
  <c r="Z543" i="23"/>
  <c r="P544" i="23"/>
  <c r="Q544" i="23"/>
  <c r="R544" i="23"/>
  <c r="S544" i="23"/>
  <c r="Z544" i="23"/>
  <c r="P545" i="23"/>
  <c r="Q545" i="23"/>
  <c r="R545" i="23"/>
  <c r="S545" i="23"/>
  <c r="Z545" i="23"/>
  <c r="P546" i="23"/>
  <c r="Q546" i="23"/>
  <c r="R546" i="23"/>
  <c r="S546" i="23"/>
  <c r="Z546" i="23"/>
  <c r="P547" i="23"/>
  <c r="Q547" i="23"/>
  <c r="R547" i="23"/>
  <c r="S547" i="23"/>
  <c r="Z547" i="23"/>
  <c r="P548" i="23"/>
  <c r="Q548" i="23"/>
  <c r="R548" i="23"/>
  <c r="S548" i="23"/>
  <c r="Z548" i="23"/>
  <c r="P549" i="23"/>
  <c r="Q549" i="23"/>
  <c r="R549" i="23"/>
  <c r="S549" i="23"/>
  <c r="Z549" i="23"/>
  <c r="P550" i="23"/>
  <c r="Q550" i="23"/>
  <c r="R550" i="23"/>
  <c r="S550" i="23"/>
  <c r="Z550" i="23"/>
  <c r="P551" i="23"/>
  <c r="Q551" i="23"/>
  <c r="R551" i="23"/>
  <c r="S551" i="23"/>
  <c r="Z551" i="23"/>
  <c r="P552" i="23"/>
  <c r="Q552" i="23"/>
  <c r="R552" i="23"/>
  <c r="S552" i="23"/>
  <c r="Z552" i="23"/>
  <c r="P553" i="23"/>
  <c r="Q553" i="23"/>
  <c r="R553" i="23"/>
  <c r="S553" i="23"/>
  <c r="Z553" i="23"/>
  <c r="P554" i="23"/>
  <c r="Q554" i="23"/>
  <c r="R554" i="23"/>
  <c r="S554" i="23"/>
  <c r="Z554" i="23"/>
  <c r="P555" i="23"/>
  <c r="Q555" i="23"/>
  <c r="R555" i="23"/>
  <c r="S555" i="23"/>
  <c r="Z555" i="23"/>
  <c r="P556" i="23"/>
  <c r="Q556" i="23"/>
  <c r="R556" i="23"/>
  <c r="S556" i="23"/>
  <c r="Z556" i="23"/>
  <c r="P557" i="23"/>
  <c r="Q557" i="23"/>
  <c r="R557" i="23"/>
  <c r="S557" i="23"/>
  <c r="Z557" i="23"/>
  <c r="P558" i="23"/>
  <c r="Q558" i="23"/>
  <c r="R558" i="23"/>
  <c r="S558" i="23"/>
  <c r="Z558" i="23"/>
  <c r="P559" i="23"/>
  <c r="Q559" i="23"/>
  <c r="R559" i="23"/>
  <c r="S559" i="23"/>
  <c r="Z559" i="23"/>
  <c r="P560" i="23"/>
  <c r="Q560" i="23"/>
  <c r="R560" i="23"/>
  <c r="S560" i="23"/>
  <c r="Z560" i="23"/>
  <c r="P561" i="23"/>
  <c r="Q561" i="23"/>
  <c r="R561" i="23"/>
  <c r="S561" i="23"/>
  <c r="Z561" i="23"/>
  <c r="P562" i="23"/>
  <c r="Q562" i="23"/>
  <c r="R562" i="23"/>
  <c r="S562" i="23"/>
  <c r="Z562" i="23"/>
  <c r="P563" i="23"/>
  <c r="Q563" i="23"/>
  <c r="R563" i="23"/>
  <c r="S563" i="23"/>
  <c r="Z563" i="23"/>
  <c r="P564" i="23"/>
  <c r="Q564" i="23"/>
  <c r="R564" i="23"/>
  <c r="S564" i="23"/>
  <c r="Z564" i="23"/>
  <c r="P565" i="23"/>
  <c r="Q565" i="23"/>
  <c r="R565" i="23"/>
  <c r="S565" i="23"/>
  <c r="Z565" i="23"/>
  <c r="P566" i="23"/>
  <c r="Q566" i="23"/>
  <c r="R566" i="23"/>
  <c r="S566" i="23"/>
  <c r="Z566" i="23"/>
  <c r="P567" i="23"/>
  <c r="Q567" i="23"/>
  <c r="R567" i="23"/>
  <c r="S567" i="23"/>
  <c r="Z567" i="23"/>
  <c r="P568" i="23"/>
  <c r="Q568" i="23"/>
  <c r="R568" i="23"/>
  <c r="S568" i="23"/>
  <c r="Z568" i="23"/>
  <c r="P569" i="23"/>
  <c r="Q569" i="23"/>
  <c r="R569" i="23"/>
  <c r="S569" i="23"/>
  <c r="Z569" i="23"/>
  <c r="P570" i="23"/>
  <c r="Q570" i="23"/>
  <c r="R570" i="23"/>
  <c r="S570" i="23"/>
  <c r="Z570" i="23"/>
  <c r="P571" i="23"/>
  <c r="Q571" i="23"/>
  <c r="R571" i="23"/>
  <c r="S571" i="23"/>
  <c r="Z571" i="23"/>
  <c r="P572" i="23"/>
  <c r="Q572" i="23"/>
  <c r="R572" i="23"/>
  <c r="S572" i="23"/>
  <c r="Z572" i="23"/>
  <c r="P573" i="23"/>
  <c r="Q573" i="23"/>
  <c r="R573" i="23"/>
  <c r="S573" i="23"/>
  <c r="Z573" i="23"/>
  <c r="P574" i="23"/>
  <c r="Q574" i="23"/>
  <c r="R574" i="23"/>
  <c r="S574" i="23"/>
  <c r="Z574" i="23"/>
  <c r="P575" i="23"/>
  <c r="Q575" i="23"/>
  <c r="R575" i="23"/>
  <c r="S575" i="23"/>
  <c r="Z575" i="23"/>
  <c r="P576" i="23"/>
  <c r="Q576" i="23"/>
  <c r="R576" i="23"/>
  <c r="S576" i="23"/>
  <c r="Z576" i="23"/>
  <c r="P577" i="23"/>
  <c r="Q577" i="23"/>
  <c r="R577" i="23"/>
  <c r="S577" i="23"/>
  <c r="Z577" i="23"/>
  <c r="P578" i="23"/>
  <c r="Q578" i="23"/>
  <c r="R578" i="23"/>
  <c r="S578" i="23"/>
  <c r="Z578" i="23"/>
  <c r="P579" i="23"/>
  <c r="Q579" i="23"/>
  <c r="R579" i="23"/>
  <c r="S579" i="23"/>
  <c r="Z579" i="23"/>
  <c r="P580" i="23"/>
  <c r="Q580" i="23"/>
  <c r="R580" i="23"/>
  <c r="S580" i="23"/>
  <c r="Z580" i="23"/>
  <c r="P581" i="23"/>
  <c r="Q581" i="23"/>
  <c r="R581" i="23"/>
  <c r="S581" i="23"/>
  <c r="Z581" i="23"/>
  <c r="P582" i="23"/>
  <c r="Q582" i="23"/>
  <c r="R582" i="23"/>
  <c r="S582" i="23"/>
  <c r="Z582" i="23"/>
  <c r="P583" i="23"/>
  <c r="Q583" i="23"/>
  <c r="R583" i="23"/>
  <c r="S583" i="23"/>
  <c r="Z583" i="23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R387" i="22"/>
  <c r="Q387" i="22"/>
  <c r="P387" i="22"/>
  <c r="R386" i="22"/>
  <c r="Q386" i="22"/>
  <c r="P386" i="22"/>
  <c r="R385" i="22"/>
  <c r="Q385" i="22"/>
  <c r="P385" i="22"/>
  <c r="R384" i="22"/>
  <c r="Q384" i="22"/>
  <c r="P384" i="22"/>
  <c r="R383" i="22"/>
  <c r="Q383" i="22"/>
  <c r="P383" i="22"/>
  <c r="R382" i="22"/>
  <c r="Q382" i="22"/>
  <c r="P382" i="22"/>
  <c r="R381" i="22"/>
  <c r="Q381" i="22"/>
  <c r="P381" i="22"/>
  <c r="R380" i="22"/>
  <c r="Q380" i="22"/>
  <c r="P380" i="22"/>
  <c r="R379" i="22"/>
  <c r="Q379" i="22"/>
  <c r="P379" i="22"/>
  <c r="R378" i="22"/>
  <c r="Q378" i="22"/>
  <c r="P378" i="22"/>
  <c r="R377" i="22"/>
  <c r="Q377" i="22"/>
  <c r="P377" i="22"/>
  <c r="R376" i="22"/>
  <c r="Q376" i="22"/>
  <c r="P376" i="22"/>
  <c r="R375" i="22"/>
  <c r="Q375" i="22"/>
  <c r="P375" i="22"/>
  <c r="R374" i="22"/>
  <c r="Q374" i="22"/>
  <c r="P374" i="22"/>
  <c r="R373" i="22"/>
  <c r="Q373" i="22"/>
  <c r="P373" i="22"/>
  <c r="R372" i="22"/>
  <c r="Q372" i="22"/>
  <c r="P372" i="22"/>
  <c r="R371" i="22"/>
  <c r="Q371" i="22"/>
  <c r="P371" i="22"/>
  <c r="R370" i="22"/>
  <c r="Q370" i="22"/>
  <c r="P370" i="22"/>
  <c r="R369" i="22"/>
  <c r="Q369" i="22"/>
  <c r="P369" i="22"/>
  <c r="R390" i="22"/>
  <c r="Q390" i="22"/>
  <c r="P390" i="22"/>
  <c r="R389" i="22"/>
  <c r="Q389" i="22"/>
  <c r="P389" i="22"/>
  <c r="R388" i="22"/>
  <c r="Q388" i="22"/>
  <c r="P388" i="22"/>
  <c r="R398" i="22"/>
  <c r="Q398" i="22"/>
  <c r="P398" i="22"/>
  <c r="R397" i="22"/>
  <c r="Q397" i="22"/>
  <c r="P397" i="22"/>
  <c r="R396" i="22"/>
  <c r="Q396" i="22"/>
  <c r="P396" i="22"/>
  <c r="R395" i="22"/>
  <c r="Q395" i="22"/>
  <c r="P395" i="22"/>
  <c r="R394" i="22"/>
  <c r="Q394" i="22"/>
  <c r="P394" i="22"/>
  <c r="R393" i="22"/>
  <c r="Q393" i="22"/>
  <c r="P393" i="22"/>
  <c r="R392" i="22"/>
  <c r="Q392" i="22"/>
  <c r="P392" i="22"/>
  <c r="R391" i="22"/>
  <c r="Q391" i="22"/>
  <c r="P391" i="22"/>
  <c r="P399" i="22"/>
  <c r="Q399" i="22"/>
  <c r="R399" i="22"/>
  <c r="Z399" i="22"/>
  <c r="P400" i="22"/>
  <c r="Q400" i="22"/>
  <c r="R400" i="22"/>
  <c r="Z400" i="22"/>
  <c r="P401" i="22"/>
  <c r="Q401" i="22"/>
  <c r="R401" i="22"/>
  <c r="Z401" i="22"/>
  <c r="P402" i="22"/>
  <c r="Q402" i="22"/>
  <c r="R402" i="22"/>
  <c r="Z402" i="22"/>
  <c r="P403" i="22"/>
  <c r="Q403" i="22"/>
  <c r="R403" i="22"/>
  <c r="Z403" i="22"/>
  <c r="P404" i="22"/>
  <c r="Q404" i="22"/>
  <c r="R404" i="22"/>
  <c r="Z404" i="22"/>
  <c r="P405" i="22"/>
  <c r="Q405" i="22"/>
  <c r="R405" i="22"/>
  <c r="Z405" i="22"/>
  <c r="P406" i="22"/>
  <c r="Q406" i="22"/>
  <c r="R406" i="22"/>
  <c r="Z406" i="22"/>
  <c r="P407" i="22"/>
  <c r="Q407" i="22"/>
  <c r="R407" i="22"/>
  <c r="Z407" i="22"/>
  <c r="P408" i="22"/>
  <c r="Q408" i="22"/>
  <c r="R408" i="22"/>
  <c r="Z408" i="22"/>
  <c r="P409" i="22"/>
  <c r="Q409" i="22"/>
  <c r="R409" i="22"/>
  <c r="Z409" i="22"/>
  <c r="P410" i="22"/>
  <c r="Q410" i="22"/>
  <c r="R410" i="22"/>
  <c r="Z410" i="22"/>
  <c r="P411" i="22"/>
  <c r="Q411" i="22"/>
  <c r="R411" i="22"/>
  <c r="Z411" i="22"/>
  <c r="P412" i="22"/>
  <c r="Q412" i="22"/>
  <c r="R412" i="22"/>
  <c r="Z412" i="22"/>
  <c r="P413" i="22"/>
  <c r="Q413" i="22"/>
  <c r="R413" i="22"/>
  <c r="P414" i="22"/>
  <c r="Q414" i="22"/>
  <c r="R414" i="22"/>
  <c r="P415" i="22"/>
  <c r="Q415" i="22"/>
  <c r="R415" i="22"/>
  <c r="P416" i="22"/>
  <c r="Q416" i="22"/>
  <c r="R416" i="22"/>
  <c r="P417" i="22"/>
  <c r="Q417" i="22"/>
  <c r="R417" i="22"/>
  <c r="P418" i="22"/>
  <c r="Q418" i="22"/>
  <c r="R418" i="22"/>
  <c r="P419" i="22"/>
  <c r="Q419" i="22"/>
  <c r="R419" i="22"/>
  <c r="P420" i="22"/>
  <c r="Q420" i="22"/>
  <c r="R420" i="22"/>
  <c r="P421" i="22"/>
  <c r="Q421" i="22"/>
  <c r="R421" i="22"/>
  <c r="P422" i="22"/>
  <c r="Q422" i="22"/>
  <c r="R422" i="22"/>
  <c r="P423" i="22"/>
  <c r="Q423" i="22"/>
  <c r="R423" i="22"/>
  <c r="P424" i="22"/>
  <c r="Q424" i="22"/>
  <c r="R424" i="22"/>
  <c r="P425" i="22"/>
  <c r="Q425" i="22"/>
  <c r="R425" i="22"/>
  <c r="P426" i="22"/>
  <c r="Q426" i="22"/>
  <c r="R426" i="22"/>
  <c r="P427" i="22"/>
  <c r="Q427" i="22"/>
  <c r="R427" i="22"/>
  <c r="P428" i="22"/>
  <c r="Q428" i="22"/>
  <c r="R428" i="22"/>
  <c r="P429" i="22"/>
  <c r="Q429" i="22"/>
  <c r="R429" i="22"/>
  <c r="P430" i="22"/>
  <c r="Q430" i="22"/>
  <c r="R430" i="22"/>
  <c r="P431" i="22"/>
  <c r="Q431" i="22"/>
  <c r="R431" i="22"/>
  <c r="P432" i="22"/>
  <c r="Q432" i="22"/>
  <c r="R432" i="22"/>
  <c r="P433" i="22"/>
  <c r="Q433" i="22"/>
  <c r="R433" i="22"/>
  <c r="P434" i="22"/>
  <c r="Q434" i="22"/>
  <c r="R434" i="22"/>
  <c r="P435" i="22"/>
  <c r="Q435" i="22"/>
  <c r="R435" i="22"/>
  <c r="P436" i="22"/>
  <c r="Q436" i="22"/>
  <c r="R436" i="22"/>
  <c r="P437" i="22"/>
  <c r="Q437" i="22"/>
  <c r="R437" i="22"/>
  <c r="P438" i="22"/>
  <c r="Q438" i="22"/>
  <c r="R438" i="22"/>
  <c r="P439" i="22"/>
  <c r="Q439" i="22"/>
  <c r="R439" i="22"/>
  <c r="P440" i="22"/>
  <c r="Q440" i="22"/>
  <c r="R440" i="22"/>
  <c r="P441" i="22"/>
  <c r="Q441" i="22"/>
  <c r="R441" i="22"/>
  <c r="P442" i="22"/>
  <c r="Q442" i="22"/>
  <c r="R442" i="22"/>
  <c r="P443" i="22"/>
  <c r="Q443" i="22"/>
  <c r="R443" i="22"/>
  <c r="P444" i="22"/>
  <c r="Q444" i="22"/>
  <c r="R444" i="22"/>
  <c r="P445" i="22"/>
  <c r="Q445" i="22"/>
  <c r="R445" i="22"/>
  <c r="P446" i="22"/>
  <c r="Q446" i="22"/>
  <c r="R446" i="22"/>
  <c r="P447" i="22"/>
  <c r="Q447" i="22"/>
  <c r="R447" i="22"/>
  <c r="P448" i="22"/>
  <c r="Q448" i="22"/>
  <c r="R448" i="22"/>
  <c r="P449" i="22"/>
  <c r="Q449" i="22"/>
  <c r="R449" i="22"/>
  <c r="P450" i="22"/>
  <c r="Q450" i="22"/>
  <c r="R450" i="22"/>
  <c r="P451" i="22"/>
  <c r="Q451" i="22"/>
  <c r="R451" i="22"/>
  <c r="P452" i="22"/>
  <c r="Q452" i="22"/>
  <c r="R452" i="22"/>
  <c r="P453" i="22"/>
  <c r="Q453" i="22"/>
  <c r="R453" i="22"/>
  <c r="P454" i="22"/>
  <c r="Q454" i="22"/>
  <c r="R454" i="22"/>
  <c r="P455" i="22"/>
  <c r="Q455" i="22"/>
  <c r="R455" i="22"/>
  <c r="P456" i="22"/>
  <c r="Q456" i="22"/>
  <c r="R456" i="22"/>
  <c r="P457" i="22"/>
  <c r="Q457" i="22"/>
  <c r="R457" i="22"/>
  <c r="P458" i="22"/>
  <c r="Q458" i="22"/>
  <c r="R458" i="22"/>
  <c r="P459" i="22"/>
  <c r="Q459" i="22"/>
  <c r="R459" i="22"/>
  <c r="P460" i="22"/>
  <c r="Q460" i="22"/>
  <c r="R460" i="22"/>
  <c r="P461" i="22"/>
  <c r="Q461" i="22"/>
  <c r="R461" i="22"/>
  <c r="P462" i="22"/>
  <c r="Q462" i="22"/>
  <c r="R462" i="22"/>
  <c r="P463" i="22"/>
  <c r="Q463" i="22"/>
  <c r="R463" i="22"/>
  <c r="P464" i="22"/>
  <c r="Q464" i="22"/>
  <c r="R464" i="22"/>
  <c r="P465" i="22"/>
  <c r="Q465" i="22"/>
  <c r="R465" i="22"/>
  <c r="P466" i="22"/>
  <c r="Q466" i="22"/>
  <c r="R466" i="22"/>
  <c r="P467" i="22"/>
  <c r="Q467" i="22"/>
  <c r="R467" i="22"/>
  <c r="P468" i="22"/>
  <c r="Q468" i="22"/>
  <c r="R468" i="22"/>
  <c r="P469" i="22"/>
  <c r="Q469" i="22"/>
  <c r="R469" i="22"/>
  <c r="P470" i="22"/>
  <c r="Q470" i="22"/>
  <c r="R470" i="22"/>
  <c r="P471" i="22"/>
  <c r="Q471" i="22"/>
  <c r="R471" i="22"/>
  <c r="P472" i="22"/>
  <c r="Q472" i="22"/>
  <c r="R472" i="22"/>
  <c r="P473" i="22"/>
  <c r="Q473" i="22"/>
  <c r="R473" i="22"/>
  <c r="P474" i="22"/>
  <c r="Q474" i="22"/>
  <c r="R474" i="22"/>
  <c r="P475" i="22"/>
  <c r="Q475" i="22"/>
  <c r="R475" i="22"/>
  <c r="P476" i="22"/>
  <c r="Q476" i="22"/>
  <c r="R476" i="22"/>
  <c r="P477" i="22"/>
  <c r="Q477" i="22"/>
  <c r="R477" i="22"/>
  <c r="P478" i="22"/>
  <c r="Q478" i="22"/>
  <c r="R478" i="22"/>
  <c r="P479" i="22"/>
  <c r="Q479" i="22"/>
  <c r="R479" i="22"/>
  <c r="P480" i="22"/>
  <c r="Q480" i="22"/>
  <c r="R480" i="22"/>
  <c r="P481" i="22"/>
  <c r="Q481" i="22"/>
  <c r="R481" i="22"/>
  <c r="P482" i="22"/>
  <c r="Q482" i="22"/>
  <c r="R482" i="22"/>
  <c r="Z482" i="22"/>
  <c r="P483" i="22"/>
  <c r="Q483" i="22"/>
  <c r="R483" i="22"/>
  <c r="Z483" i="22"/>
  <c r="P484" i="22"/>
  <c r="Q484" i="22"/>
  <c r="R484" i="22"/>
  <c r="Z484" i="22"/>
  <c r="P485" i="22"/>
  <c r="Q485" i="22"/>
  <c r="R485" i="22"/>
  <c r="Z485" i="22"/>
  <c r="P486" i="22"/>
  <c r="Q486" i="22"/>
  <c r="R486" i="22"/>
  <c r="Z486" i="22"/>
  <c r="P487" i="22"/>
  <c r="Q487" i="22"/>
  <c r="R487" i="22"/>
  <c r="Z487" i="22"/>
  <c r="P488" i="22"/>
  <c r="Q488" i="22"/>
  <c r="R488" i="22"/>
  <c r="Z488" i="22"/>
  <c r="P489" i="22"/>
  <c r="Q489" i="22"/>
  <c r="R489" i="22"/>
  <c r="Z489" i="22"/>
  <c r="P490" i="22"/>
  <c r="Q490" i="22"/>
  <c r="R490" i="22"/>
  <c r="Z490" i="22"/>
  <c r="P491" i="22"/>
  <c r="Q491" i="22"/>
  <c r="R491" i="22"/>
  <c r="Z491" i="22"/>
  <c r="P492" i="22"/>
  <c r="Q492" i="22"/>
  <c r="R492" i="22"/>
  <c r="Z492" i="22"/>
  <c r="P493" i="22"/>
  <c r="Q493" i="22"/>
  <c r="R493" i="22"/>
  <c r="Z493" i="22"/>
  <c r="P494" i="22"/>
  <c r="Q494" i="22"/>
  <c r="R494" i="22"/>
  <c r="Z494" i="22"/>
  <c r="P495" i="22"/>
  <c r="Q495" i="22"/>
  <c r="R495" i="22"/>
  <c r="Z495" i="22"/>
  <c r="P496" i="22"/>
  <c r="Q496" i="22"/>
  <c r="R496" i="22"/>
  <c r="S496" i="22"/>
  <c r="Z496" i="22"/>
  <c r="P497" i="22"/>
  <c r="Q497" i="22"/>
  <c r="R497" i="22"/>
  <c r="S497" i="22"/>
  <c r="Z497" i="22"/>
  <c r="P498" i="22"/>
  <c r="Q498" i="22"/>
  <c r="R498" i="22"/>
  <c r="S498" i="22"/>
  <c r="Z498" i="22"/>
  <c r="P499" i="22"/>
  <c r="Q499" i="22"/>
  <c r="R499" i="22"/>
  <c r="S499" i="22"/>
  <c r="Z499" i="22"/>
  <c r="P500" i="22"/>
  <c r="Q500" i="22"/>
  <c r="R500" i="22"/>
  <c r="S500" i="22"/>
  <c r="Z500" i="22"/>
  <c r="P501" i="22"/>
  <c r="Q501" i="22"/>
  <c r="R501" i="22"/>
  <c r="S501" i="22"/>
  <c r="Z501" i="22"/>
  <c r="P502" i="22"/>
  <c r="Q502" i="22"/>
  <c r="R502" i="22"/>
  <c r="S502" i="22"/>
  <c r="Z502" i="22"/>
  <c r="P503" i="22"/>
  <c r="Q503" i="22"/>
  <c r="R503" i="22"/>
  <c r="S503" i="22"/>
  <c r="Z503" i="22"/>
  <c r="P504" i="22"/>
  <c r="Q504" i="22"/>
  <c r="R504" i="22"/>
  <c r="S504" i="22"/>
  <c r="Z504" i="22"/>
  <c r="P505" i="22"/>
  <c r="Q505" i="22"/>
  <c r="R505" i="22"/>
  <c r="S505" i="22"/>
  <c r="Z505" i="22"/>
  <c r="P506" i="22"/>
  <c r="Q506" i="22"/>
  <c r="R506" i="22"/>
  <c r="S506" i="22"/>
  <c r="Z506" i="22"/>
  <c r="P507" i="22"/>
  <c r="Q507" i="22"/>
  <c r="R507" i="22"/>
  <c r="S507" i="22"/>
  <c r="Z507" i="22"/>
  <c r="P508" i="22"/>
  <c r="Q508" i="22"/>
  <c r="R508" i="22"/>
  <c r="S508" i="22"/>
  <c r="Z508" i="22"/>
  <c r="P509" i="22"/>
  <c r="Q509" i="22"/>
  <c r="R509" i="22"/>
  <c r="S509" i="22"/>
  <c r="Z509" i="22"/>
  <c r="Q510" i="22"/>
  <c r="R510" i="22"/>
  <c r="S510" i="22"/>
  <c r="Z510" i="22"/>
  <c r="P511" i="22"/>
  <c r="Q511" i="22"/>
  <c r="R511" i="22"/>
  <c r="S511" i="22"/>
  <c r="Z511" i="22"/>
  <c r="P512" i="22"/>
  <c r="Q512" i="22"/>
  <c r="R512" i="22"/>
  <c r="S512" i="22"/>
  <c r="Z512" i="22"/>
  <c r="P513" i="22"/>
  <c r="Q513" i="22"/>
  <c r="R513" i="22"/>
  <c r="S513" i="22"/>
  <c r="Z513" i="22"/>
  <c r="P514" i="22"/>
  <c r="Q514" i="22"/>
  <c r="R514" i="22"/>
  <c r="S514" i="22"/>
  <c r="Z514" i="22"/>
  <c r="P515" i="22"/>
  <c r="Q515" i="22"/>
  <c r="R515" i="22"/>
  <c r="S515" i="22"/>
  <c r="Z515" i="22"/>
  <c r="P516" i="22"/>
  <c r="Q516" i="22"/>
  <c r="R516" i="22"/>
  <c r="S516" i="22"/>
  <c r="Z516" i="22"/>
  <c r="P517" i="22"/>
  <c r="Q517" i="22"/>
  <c r="R517" i="22"/>
  <c r="S517" i="22"/>
  <c r="Z517" i="22"/>
  <c r="P518" i="22"/>
  <c r="Q518" i="22"/>
  <c r="R518" i="22"/>
  <c r="S518" i="22"/>
  <c r="Z518" i="22"/>
  <c r="P519" i="22"/>
  <c r="Q519" i="22"/>
  <c r="R519" i="22"/>
  <c r="S519" i="22"/>
  <c r="Z519" i="22"/>
  <c r="P520" i="22"/>
  <c r="Q520" i="22"/>
  <c r="R520" i="22"/>
  <c r="S520" i="22"/>
  <c r="Z520" i="22"/>
  <c r="P521" i="22"/>
  <c r="Q521" i="22"/>
  <c r="R521" i="22"/>
  <c r="S521" i="22"/>
  <c r="Z521" i="22"/>
  <c r="P522" i="22"/>
  <c r="Q522" i="22"/>
  <c r="R522" i="22"/>
  <c r="S522" i="22"/>
  <c r="Z522" i="22"/>
  <c r="P523" i="22"/>
  <c r="Q523" i="22"/>
  <c r="R523" i="22"/>
  <c r="S523" i="22"/>
  <c r="Z523" i="22"/>
  <c r="P524" i="22"/>
  <c r="Q524" i="22"/>
  <c r="R524" i="22"/>
  <c r="S524" i="22"/>
  <c r="Z524" i="22"/>
  <c r="P525" i="22"/>
  <c r="Q525" i="22"/>
  <c r="R525" i="22"/>
  <c r="S525" i="22"/>
  <c r="Z525" i="22"/>
  <c r="P526" i="22"/>
  <c r="Q526" i="22"/>
  <c r="R526" i="22"/>
  <c r="S526" i="22"/>
  <c r="Z526" i="22"/>
  <c r="P527" i="22"/>
  <c r="Q527" i="22"/>
  <c r="R527" i="22"/>
  <c r="S527" i="22"/>
  <c r="Z527" i="22"/>
  <c r="P528" i="22"/>
  <c r="Q528" i="22"/>
  <c r="R528" i="22"/>
  <c r="S528" i="22"/>
  <c r="Z528" i="22"/>
  <c r="P529" i="22"/>
  <c r="Q529" i="22"/>
  <c r="R529" i="22"/>
  <c r="S529" i="22"/>
  <c r="Z529" i="22"/>
  <c r="P530" i="22"/>
  <c r="Q530" i="22"/>
  <c r="R530" i="22"/>
  <c r="S530" i="22"/>
  <c r="Z530" i="22"/>
  <c r="P531" i="22"/>
  <c r="Q531" i="22"/>
  <c r="R531" i="22"/>
  <c r="S531" i="22"/>
  <c r="Z531" i="22"/>
  <c r="P532" i="22"/>
  <c r="Q532" i="22"/>
  <c r="R532" i="22"/>
  <c r="S532" i="22"/>
  <c r="Z532" i="22"/>
  <c r="P533" i="22"/>
  <c r="Q533" i="22"/>
  <c r="R533" i="22"/>
  <c r="S533" i="22"/>
  <c r="Z533" i="22"/>
  <c r="P534" i="22"/>
  <c r="Q534" i="22"/>
  <c r="R534" i="22"/>
  <c r="S534" i="22"/>
  <c r="Z534" i="22"/>
  <c r="P535" i="22"/>
  <c r="Q535" i="22"/>
  <c r="R535" i="22"/>
  <c r="S535" i="22"/>
  <c r="Z535" i="22"/>
  <c r="P536" i="22"/>
  <c r="Q536" i="22"/>
  <c r="R536" i="22"/>
  <c r="S536" i="22"/>
  <c r="Z536" i="22"/>
  <c r="P537" i="22"/>
  <c r="Q537" i="22"/>
  <c r="R537" i="22"/>
  <c r="S537" i="22"/>
  <c r="Z537" i="22"/>
  <c r="P538" i="22"/>
  <c r="Q538" i="22"/>
  <c r="R538" i="22"/>
  <c r="S538" i="22"/>
  <c r="Z538" i="22"/>
  <c r="P539" i="22"/>
  <c r="Q539" i="22"/>
  <c r="R539" i="22"/>
  <c r="S539" i="22"/>
  <c r="Z539" i="22"/>
  <c r="P540" i="22"/>
  <c r="Q540" i="22"/>
  <c r="R540" i="22"/>
  <c r="S540" i="22"/>
  <c r="Z540" i="22"/>
  <c r="P541" i="22"/>
  <c r="Q541" i="22"/>
  <c r="R541" i="22"/>
  <c r="S541" i="22"/>
  <c r="Z541" i="22"/>
  <c r="P542" i="22"/>
  <c r="Q542" i="22"/>
  <c r="R542" i="22"/>
  <c r="S542" i="22"/>
  <c r="Z542" i="22"/>
  <c r="P543" i="22"/>
  <c r="Q543" i="22"/>
  <c r="R543" i="22"/>
  <c r="S543" i="22"/>
  <c r="Z543" i="22"/>
  <c r="P544" i="22"/>
  <c r="Q544" i="22"/>
  <c r="R544" i="22"/>
  <c r="S544" i="22"/>
  <c r="Z544" i="22"/>
  <c r="P545" i="22"/>
  <c r="Q545" i="22"/>
  <c r="R545" i="22"/>
  <c r="S545" i="22"/>
  <c r="Z545" i="22"/>
  <c r="P546" i="22"/>
  <c r="Q546" i="22"/>
  <c r="R546" i="22"/>
  <c r="S546" i="22"/>
  <c r="Z546" i="22"/>
  <c r="P547" i="22"/>
  <c r="Q547" i="22"/>
  <c r="R547" i="22"/>
  <c r="S547" i="22"/>
  <c r="Z547" i="22"/>
  <c r="P548" i="22"/>
  <c r="Q548" i="22"/>
  <c r="R548" i="22"/>
  <c r="S548" i="22"/>
  <c r="Z548" i="22"/>
  <c r="P549" i="22"/>
  <c r="Q549" i="22"/>
  <c r="R549" i="22"/>
  <c r="S549" i="22"/>
  <c r="Z549" i="22"/>
  <c r="P550" i="22"/>
  <c r="Q550" i="22"/>
  <c r="R550" i="22"/>
  <c r="S550" i="22"/>
  <c r="Z550" i="22"/>
  <c r="P551" i="22"/>
  <c r="Q551" i="22"/>
  <c r="R551" i="22"/>
  <c r="S551" i="22"/>
  <c r="Z551" i="22"/>
  <c r="P552" i="22"/>
  <c r="Q552" i="22"/>
  <c r="R552" i="22"/>
  <c r="S552" i="22"/>
  <c r="Z552" i="22"/>
  <c r="P553" i="22"/>
  <c r="Q553" i="22"/>
  <c r="R553" i="22"/>
  <c r="S553" i="22"/>
  <c r="Z553" i="22"/>
  <c r="P554" i="22"/>
  <c r="Q554" i="22"/>
  <c r="R554" i="22"/>
  <c r="S554" i="22"/>
  <c r="Z554" i="22"/>
  <c r="P555" i="22"/>
  <c r="Q555" i="22"/>
  <c r="R555" i="22"/>
  <c r="S555" i="22"/>
  <c r="Z555" i="22"/>
  <c r="P556" i="22"/>
  <c r="Q556" i="22"/>
  <c r="R556" i="22"/>
  <c r="S556" i="22"/>
  <c r="Z556" i="22"/>
  <c r="P557" i="22"/>
  <c r="Q557" i="22"/>
  <c r="R557" i="22"/>
  <c r="S557" i="22"/>
  <c r="Z557" i="22"/>
  <c r="P558" i="22"/>
  <c r="Q558" i="22"/>
  <c r="R558" i="22"/>
  <c r="S558" i="22"/>
  <c r="Z558" i="22"/>
  <c r="P559" i="22"/>
  <c r="Q559" i="22"/>
  <c r="R559" i="22"/>
  <c r="S559" i="22"/>
  <c r="Z559" i="22"/>
  <c r="P560" i="22"/>
  <c r="Q560" i="22"/>
  <c r="R560" i="22"/>
  <c r="S560" i="22"/>
  <c r="Z560" i="22"/>
  <c r="P561" i="22"/>
  <c r="Q561" i="22"/>
  <c r="R561" i="22"/>
  <c r="S561" i="22"/>
  <c r="Z561" i="22"/>
  <c r="P562" i="22"/>
  <c r="Q562" i="22"/>
  <c r="R562" i="22"/>
  <c r="S562" i="22"/>
  <c r="Z562" i="22"/>
  <c r="P563" i="22"/>
  <c r="Q563" i="22"/>
  <c r="R563" i="22"/>
  <c r="S563" i="22"/>
  <c r="Z563" i="22"/>
  <c r="P564" i="22"/>
  <c r="Q564" i="22"/>
  <c r="R564" i="22"/>
  <c r="S564" i="22"/>
  <c r="Z564" i="22"/>
  <c r="P565" i="22"/>
  <c r="Q565" i="22"/>
  <c r="R565" i="22"/>
  <c r="S565" i="22"/>
  <c r="Z565" i="22"/>
  <c r="P566" i="22"/>
  <c r="Q566" i="22"/>
  <c r="R566" i="22"/>
  <c r="S566" i="22"/>
  <c r="Z566" i="22"/>
  <c r="P567" i="22"/>
  <c r="Q567" i="22"/>
  <c r="R567" i="22"/>
  <c r="S567" i="22"/>
  <c r="Z567" i="22"/>
  <c r="P568" i="22"/>
  <c r="Q568" i="22"/>
  <c r="R568" i="22"/>
  <c r="S568" i="22"/>
  <c r="Z568" i="22"/>
  <c r="P569" i="22"/>
  <c r="Q569" i="22"/>
  <c r="R569" i="22"/>
  <c r="S569" i="22"/>
  <c r="Z569" i="22"/>
  <c r="P570" i="22"/>
  <c r="Q570" i="22"/>
  <c r="R570" i="22"/>
  <c r="S570" i="22"/>
  <c r="Z570" i="22"/>
  <c r="P571" i="22"/>
  <c r="Q571" i="22"/>
  <c r="R571" i="22"/>
  <c r="S571" i="22"/>
  <c r="Z571" i="22"/>
  <c r="P572" i="22"/>
  <c r="Q572" i="22"/>
  <c r="R572" i="22"/>
  <c r="S572" i="22"/>
  <c r="Z572" i="22"/>
  <c r="P573" i="22"/>
  <c r="Q573" i="22"/>
  <c r="R573" i="22"/>
  <c r="S573" i="22"/>
  <c r="Z573" i="22"/>
  <c r="P574" i="22"/>
  <c r="Q574" i="22"/>
  <c r="R574" i="22"/>
  <c r="S574" i="22"/>
  <c r="Z574" i="22"/>
  <c r="P575" i="22"/>
  <c r="Q575" i="22"/>
  <c r="R575" i="22"/>
  <c r="S575" i="22"/>
  <c r="Z575" i="22"/>
  <c r="P576" i="22"/>
  <c r="Q576" i="22"/>
  <c r="R576" i="22"/>
  <c r="S576" i="22"/>
  <c r="Z576" i="22"/>
  <c r="P577" i="22"/>
  <c r="Q577" i="22"/>
  <c r="R577" i="22"/>
  <c r="S577" i="22"/>
  <c r="Z577" i="22"/>
  <c r="P578" i="22"/>
  <c r="Q578" i="22"/>
  <c r="R578" i="22"/>
  <c r="S578" i="22"/>
  <c r="Z578" i="22"/>
  <c r="P579" i="22"/>
  <c r="Q579" i="22"/>
  <c r="R579" i="22"/>
  <c r="S579" i="22"/>
  <c r="Z579" i="22"/>
  <c r="P580" i="22"/>
  <c r="Q580" i="22"/>
  <c r="R580" i="22"/>
  <c r="S580" i="22"/>
  <c r="Z580" i="22"/>
  <c r="P581" i="22"/>
  <c r="Q581" i="22"/>
  <c r="R581" i="22"/>
  <c r="S581" i="22"/>
  <c r="Z581" i="22"/>
  <c r="P582" i="22"/>
  <c r="Q582" i="22"/>
  <c r="R582" i="22"/>
  <c r="S582" i="22"/>
  <c r="Z582" i="22"/>
  <c r="P583" i="22"/>
  <c r="Q583" i="22"/>
  <c r="R583" i="22"/>
  <c r="S583" i="22"/>
  <c r="Z583" i="22"/>
  <c r="P584" i="22"/>
  <c r="Q584" i="22"/>
  <c r="R584" i="22"/>
  <c r="S584" i="22"/>
  <c r="Z584" i="22"/>
  <c r="P585" i="22"/>
  <c r="Q585" i="22"/>
  <c r="R585" i="22"/>
  <c r="S585" i="22"/>
  <c r="Z585" i="22"/>
  <c r="P586" i="22"/>
  <c r="Q586" i="22"/>
  <c r="R586" i="22"/>
  <c r="S586" i="22"/>
  <c r="Z586" i="22"/>
  <c r="P587" i="22"/>
  <c r="Q587" i="22"/>
  <c r="R587" i="22"/>
  <c r="S587" i="22"/>
  <c r="Z587" i="22"/>
  <c r="P588" i="22"/>
  <c r="Q588" i="22"/>
  <c r="R588" i="22"/>
  <c r="S588" i="22"/>
  <c r="Z588" i="22"/>
  <c r="P589" i="22"/>
  <c r="Q589" i="22"/>
  <c r="R589" i="22"/>
  <c r="S589" i="22"/>
  <c r="Z589" i="22"/>
  <c r="P590" i="22"/>
  <c r="Q590" i="22"/>
  <c r="R590" i="22"/>
  <c r="S590" i="22"/>
  <c r="Z590" i="22"/>
  <c r="P591" i="22"/>
  <c r="Q591" i="22"/>
  <c r="R591" i="22"/>
  <c r="S591" i="22"/>
  <c r="Z591" i="22"/>
  <c r="P592" i="22"/>
  <c r="Q592" i="22"/>
  <c r="R592" i="22"/>
  <c r="S592" i="22"/>
  <c r="Z592" i="22"/>
  <c r="H7" i="24"/>
  <c r="H7" i="23"/>
  <c r="H7" i="21"/>
  <c r="H7" i="13"/>
  <c r="Z591" i="13"/>
  <c r="R591" i="13"/>
  <c r="Q591" i="13"/>
  <c r="P591" i="13"/>
  <c r="Z590" i="13"/>
  <c r="R590" i="13"/>
  <c r="Q590" i="13"/>
  <c r="P590" i="13"/>
  <c r="Z589" i="13"/>
  <c r="R589" i="13"/>
  <c r="Q589" i="13"/>
  <c r="P589" i="13"/>
  <c r="Z588" i="13"/>
  <c r="R588" i="13"/>
  <c r="Q588" i="13"/>
  <c r="P588" i="13"/>
  <c r="Z1095" i="23"/>
  <c r="Z1096" i="23"/>
  <c r="Z1097" i="23"/>
  <c r="Z1098" i="23"/>
  <c r="Z1099" i="23"/>
  <c r="Z1100" i="23"/>
  <c r="Z1101" i="23"/>
  <c r="Z1102" i="23"/>
  <c r="Z1103" i="23"/>
  <c r="Z1104" i="23"/>
  <c r="Z1105" i="23"/>
  <c r="Z1106" i="23"/>
  <c r="Z1107" i="23"/>
  <c r="Z1108" i="23"/>
  <c r="Z1109" i="23"/>
  <c r="Z1110" i="23"/>
  <c r="Z1111" i="23"/>
  <c r="Z1112" i="23"/>
  <c r="Z1113" i="23"/>
  <c r="Z1114" i="23"/>
  <c r="Z1115" i="23"/>
  <c r="Z1116" i="23"/>
  <c r="Z1117" i="23"/>
  <c r="Z1118" i="23"/>
  <c r="Z1119" i="23"/>
  <c r="Z1120" i="23"/>
  <c r="Z1121" i="23"/>
  <c r="Z1122" i="23"/>
  <c r="Z1123" i="23"/>
  <c r="Z1124" i="23"/>
  <c r="Z1125" i="23"/>
  <c r="Z1126" i="23"/>
  <c r="Z1127" i="23"/>
  <c r="Z1128" i="23"/>
  <c r="Z1129" i="23"/>
  <c r="Z1130" i="23"/>
  <c r="Z1131" i="23"/>
  <c r="Z1132" i="23"/>
  <c r="Z1133" i="23"/>
  <c r="Z1134" i="23"/>
  <c r="Z1135" i="23"/>
  <c r="Z1136" i="23"/>
  <c r="Z1137" i="23"/>
  <c r="Z1138" i="23"/>
  <c r="Z1139" i="23"/>
  <c r="Z1140" i="23"/>
  <c r="Z1141" i="23"/>
  <c r="Z1142" i="23"/>
  <c r="Z1143" i="23"/>
  <c r="Z1144" i="23"/>
  <c r="Z1145" i="23"/>
  <c r="Z1146" i="23"/>
  <c r="Z1147" i="23"/>
  <c r="Z1148" i="23"/>
  <c r="Z1149" i="23"/>
  <c r="Z1150" i="23"/>
  <c r="Z1151" i="23"/>
  <c r="Z1152" i="23"/>
  <c r="Z1153" i="23"/>
  <c r="Z1154" i="23"/>
  <c r="Z1155" i="23"/>
  <c r="Z1156" i="23"/>
  <c r="Z1157" i="23"/>
  <c r="Z1158" i="23"/>
  <c r="Z1159" i="23"/>
  <c r="Z1160" i="23"/>
  <c r="Z1161" i="23"/>
  <c r="Z1162" i="23"/>
  <c r="Z1163" i="23"/>
  <c r="Z1164" i="23"/>
  <c r="Z1165" i="23"/>
  <c r="Z1166" i="23"/>
  <c r="Z1167" i="23"/>
  <c r="Z1168" i="23"/>
  <c r="Z1169" i="23"/>
  <c r="Z1170" i="23"/>
  <c r="Z1171" i="23"/>
  <c r="Z1172" i="23"/>
  <c r="Z1173" i="23"/>
  <c r="Z1174" i="23"/>
  <c r="Z1175" i="23"/>
  <c r="Z1176" i="23"/>
  <c r="Z1177" i="23"/>
  <c r="Z1178" i="23"/>
  <c r="Z1179" i="23"/>
  <c r="Z1180" i="23"/>
  <c r="Z1181" i="23"/>
  <c r="Z1182" i="23"/>
  <c r="Z1183" i="23"/>
  <c r="Z1184" i="23"/>
  <c r="Z1185" i="23"/>
  <c r="Z1186" i="23"/>
  <c r="Z1187" i="23"/>
  <c r="Z1188" i="23"/>
  <c r="Z1189" i="23"/>
  <c r="Z1190" i="23"/>
  <c r="Z1191" i="23"/>
  <c r="Z1192" i="23"/>
  <c r="Z1193" i="23"/>
  <c r="Z1194" i="23"/>
  <c r="Z1195" i="23"/>
  <c r="Z1196" i="23"/>
  <c r="Z1197" i="23"/>
  <c r="Z1198" i="23"/>
  <c r="Z1199" i="23"/>
  <c r="Z1200" i="23"/>
  <c r="Z1201" i="23"/>
  <c r="Z1202" i="23"/>
  <c r="Z1203" i="23"/>
  <c r="Z1204" i="23"/>
  <c r="Z1205" i="23"/>
  <c r="Z1206" i="23"/>
  <c r="Z1207" i="23"/>
  <c r="Z1208" i="23"/>
  <c r="Z1209" i="23"/>
  <c r="Z1210" i="23"/>
  <c r="Z1211" i="23"/>
  <c r="Z1212" i="23"/>
  <c r="Z1213" i="23"/>
  <c r="Z1214" i="23"/>
  <c r="Z1215" i="23"/>
  <c r="Z1216" i="23"/>
  <c r="Z1217" i="23"/>
  <c r="Z1218" i="23"/>
  <c r="Z1219" i="23"/>
  <c r="Z1220" i="23"/>
  <c r="Z1221" i="23"/>
  <c r="Z1222" i="23"/>
  <c r="Z1223" i="23"/>
  <c r="Z1224" i="23"/>
  <c r="Z1225" i="23"/>
  <c r="Z1226" i="23"/>
  <c r="Z1227" i="23"/>
  <c r="Z1228" i="23"/>
  <c r="Z1229" i="23"/>
  <c r="Z1230" i="23"/>
  <c r="Z1231" i="23"/>
  <c r="Z1232" i="23"/>
  <c r="Z1233" i="23"/>
  <c r="Z1234" i="23"/>
  <c r="Z1235" i="23"/>
  <c r="Z1236" i="23"/>
  <c r="Z1237" i="23"/>
  <c r="Z1238" i="23"/>
  <c r="Z1239" i="23"/>
  <c r="Z1240" i="23"/>
  <c r="Z1241" i="23"/>
  <c r="Z1242" i="23"/>
  <c r="Z1243" i="23"/>
  <c r="Z1244" i="23"/>
  <c r="Z1245" i="23"/>
  <c r="Z1246" i="23"/>
  <c r="Z1247" i="23"/>
  <c r="Z1248" i="23"/>
  <c r="Z1249" i="23"/>
  <c r="Z1250" i="23"/>
  <c r="Z1251" i="23"/>
  <c r="Z1252" i="23"/>
  <c r="Z1253" i="23"/>
  <c r="Z1254" i="23"/>
  <c r="Z1255" i="23"/>
  <c r="Z1256" i="23"/>
  <c r="Z1257" i="23"/>
  <c r="Z1258" i="23"/>
  <c r="Z1259" i="23"/>
  <c r="Z1260" i="23"/>
  <c r="Z1261" i="23"/>
  <c r="Z1262" i="23"/>
  <c r="Z1263" i="23"/>
  <c r="Z1264" i="23"/>
  <c r="Z1265" i="23"/>
  <c r="Z1266" i="23"/>
  <c r="Z1267" i="23"/>
  <c r="Z1268" i="23"/>
  <c r="Z1269" i="23"/>
  <c r="Z1270" i="23"/>
  <c r="Z1271" i="23"/>
  <c r="Z1272" i="23"/>
  <c r="Z1273" i="23"/>
  <c r="Z1274" i="23"/>
  <c r="Z1275" i="23"/>
  <c r="Z1276" i="23"/>
  <c r="Z1277" i="23"/>
  <c r="Z1278" i="23"/>
  <c r="Z1279" i="23"/>
  <c r="Z1280" i="23"/>
  <c r="Z1281" i="23"/>
  <c r="Z1282" i="23"/>
  <c r="Z1283" i="23"/>
  <c r="Z1284" i="23"/>
  <c r="Z1285" i="23"/>
  <c r="Z1286" i="23"/>
  <c r="Z1287" i="23"/>
  <c r="P832" i="23"/>
  <c r="Q832" i="23"/>
  <c r="R832" i="23"/>
  <c r="P833" i="23"/>
  <c r="Q833" i="23"/>
  <c r="R833" i="23"/>
  <c r="P834" i="23"/>
  <c r="Q834" i="23"/>
  <c r="R834" i="23"/>
  <c r="P835" i="23"/>
  <c r="Q835" i="23"/>
  <c r="R835" i="23"/>
  <c r="P836" i="23"/>
  <c r="Q836" i="23"/>
  <c r="R836" i="23"/>
  <c r="P837" i="23"/>
  <c r="Q837" i="23"/>
  <c r="R837" i="23"/>
  <c r="P838" i="23"/>
  <c r="Q838" i="23"/>
  <c r="R838" i="23"/>
  <c r="P839" i="23"/>
  <c r="Q839" i="23"/>
  <c r="R839" i="23"/>
  <c r="P840" i="23"/>
  <c r="Q840" i="23"/>
  <c r="R840" i="23"/>
  <c r="P841" i="23"/>
  <c r="Q841" i="23"/>
  <c r="R841" i="23"/>
  <c r="P842" i="23"/>
  <c r="Q842" i="23"/>
  <c r="R842" i="23"/>
  <c r="P843" i="23"/>
  <c r="Q843" i="23"/>
  <c r="R843" i="23"/>
  <c r="P844" i="23"/>
  <c r="Q844" i="23"/>
  <c r="R844" i="23"/>
  <c r="P845" i="23"/>
  <c r="Q845" i="23"/>
  <c r="R845" i="23"/>
  <c r="P846" i="23"/>
  <c r="Q846" i="23"/>
  <c r="R846" i="23"/>
  <c r="P847" i="23"/>
  <c r="Q847" i="23"/>
  <c r="R847" i="23"/>
  <c r="P848" i="23"/>
  <c r="Q848" i="23"/>
  <c r="R848" i="23"/>
  <c r="P849" i="23"/>
  <c r="Q849" i="23"/>
  <c r="R849" i="23"/>
  <c r="P850" i="23"/>
  <c r="Q850" i="23"/>
  <c r="R850" i="23"/>
  <c r="P851" i="23"/>
  <c r="Q851" i="23"/>
  <c r="R851" i="23"/>
  <c r="P852" i="23"/>
  <c r="Q852" i="23"/>
  <c r="R852" i="23"/>
  <c r="P853" i="23"/>
  <c r="Q853" i="23"/>
  <c r="R853" i="23"/>
  <c r="P854" i="23"/>
  <c r="Q854" i="23"/>
  <c r="R854" i="23"/>
  <c r="P855" i="23"/>
  <c r="Q855" i="23"/>
  <c r="R855" i="23"/>
  <c r="P856" i="23"/>
  <c r="Q856" i="23"/>
  <c r="R856" i="23"/>
  <c r="P857" i="23"/>
  <c r="Q857" i="23"/>
  <c r="R857" i="23"/>
  <c r="P858" i="23"/>
  <c r="Q858" i="23"/>
  <c r="R858" i="23"/>
  <c r="P859" i="23"/>
  <c r="Q859" i="23"/>
  <c r="R859" i="23"/>
  <c r="P860" i="23"/>
  <c r="Q860" i="23"/>
  <c r="R860" i="23"/>
  <c r="P861" i="23"/>
  <c r="Q861" i="23"/>
  <c r="R861" i="23"/>
  <c r="P862" i="23"/>
  <c r="Q862" i="23"/>
  <c r="R862" i="23"/>
  <c r="P863" i="23"/>
  <c r="Q863" i="23"/>
  <c r="R863" i="23"/>
  <c r="P864" i="23"/>
  <c r="Q864" i="23"/>
  <c r="R864" i="23"/>
  <c r="P865" i="23"/>
  <c r="Q865" i="23"/>
  <c r="R865" i="23"/>
  <c r="P866" i="23"/>
  <c r="Q866" i="23"/>
  <c r="R866" i="23"/>
  <c r="P867" i="23"/>
  <c r="Q867" i="23"/>
  <c r="R867" i="23"/>
  <c r="P868" i="23"/>
  <c r="Q868" i="23"/>
  <c r="R868" i="23"/>
  <c r="P869" i="23"/>
  <c r="Q869" i="23"/>
  <c r="R869" i="23"/>
  <c r="P870" i="23"/>
  <c r="Q870" i="23"/>
  <c r="R870" i="23"/>
  <c r="P871" i="23"/>
  <c r="Q871" i="23"/>
  <c r="R871" i="23"/>
  <c r="P872" i="23"/>
  <c r="Q872" i="23"/>
  <c r="R872" i="23"/>
  <c r="P873" i="23"/>
  <c r="Q873" i="23"/>
  <c r="R873" i="23"/>
  <c r="P874" i="23"/>
  <c r="Q874" i="23"/>
  <c r="R874" i="23"/>
  <c r="P875" i="23"/>
  <c r="Q875" i="23"/>
  <c r="R875" i="23"/>
  <c r="P876" i="23"/>
  <c r="Q876" i="23"/>
  <c r="R876" i="23"/>
  <c r="P877" i="23"/>
  <c r="Q877" i="23"/>
  <c r="R877" i="23"/>
  <c r="P878" i="23"/>
  <c r="Q878" i="23"/>
  <c r="R878" i="23"/>
  <c r="P879" i="23"/>
  <c r="Q879" i="23"/>
  <c r="R879" i="23"/>
  <c r="P880" i="23"/>
  <c r="Q880" i="23"/>
  <c r="R880" i="23"/>
  <c r="P881" i="23"/>
  <c r="Q881" i="23"/>
  <c r="R881" i="23"/>
  <c r="P882" i="23"/>
  <c r="Q882" i="23"/>
  <c r="R882" i="23"/>
  <c r="P883" i="23"/>
  <c r="Q883" i="23"/>
  <c r="R883" i="23"/>
  <c r="P884" i="23"/>
  <c r="Q884" i="23"/>
  <c r="R884" i="23"/>
  <c r="P885" i="23"/>
  <c r="Q885" i="23"/>
  <c r="R885" i="23"/>
  <c r="P886" i="23"/>
  <c r="Q886" i="23"/>
  <c r="R886" i="23"/>
  <c r="P887" i="23"/>
  <c r="Q887" i="23"/>
  <c r="R887" i="23"/>
  <c r="P888" i="23"/>
  <c r="Q888" i="23"/>
  <c r="R888" i="23"/>
  <c r="P889" i="23"/>
  <c r="Q889" i="23"/>
  <c r="R889" i="23"/>
  <c r="P890" i="23"/>
  <c r="Q890" i="23"/>
  <c r="R890" i="23"/>
  <c r="P891" i="23"/>
  <c r="Q891" i="23"/>
  <c r="R891" i="23"/>
  <c r="P892" i="23"/>
  <c r="Q892" i="23"/>
  <c r="R892" i="23"/>
  <c r="P893" i="23"/>
  <c r="Q893" i="23"/>
  <c r="R893" i="23"/>
  <c r="P894" i="23"/>
  <c r="Q894" i="23"/>
  <c r="R894" i="23"/>
  <c r="P895" i="23"/>
  <c r="Q895" i="23"/>
  <c r="R895" i="23"/>
  <c r="P896" i="23"/>
  <c r="Q896" i="23"/>
  <c r="R896" i="23"/>
  <c r="P897" i="23"/>
  <c r="Q897" i="23"/>
  <c r="R897" i="23"/>
  <c r="P898" i="23"/>
  <c r="Q898" i="23"/>
  <c r="R898" i="23"/>
  <c r="P899" i="23"/>
  <c r="Q899" i="23"/>
  <c r="R899" i="23"/>
  <c r="P900" i="23"/>
  <c r="Q900" i="23"/>
  <c r="R900" i="23"/>
  <c r="P901" i="23"/>
  <c r="Q901" i="23"/>
  <c r="R901" i="23"/>
  <c r="P902" i="23"/>
  <c r="Q902" i="23"/>
  <c r="R902" i="23"/>
  <c r="P903" i="23"/>
  <c r="Q903" i="23"/>
  <c r="R903" i="23"/>
  <c r="P904" i="23"/>
  <c r="Q904" i="23"/>
  <c r="R904" i="23"/>
  <c r="P905" i="23"/>
  <c r="Q905" i="23"/>
  <c r="R905" i="23"/>
  <c r="P906" i="23"/>
  <c r="Q906" i="23"/>
  <c r="R906" i="23"/>
  <c r="P907" i="23"/>
  <c r="Q907" i="23"/>
  <c r="R907" i="23"/>
  <c r="P908" i="23"/>
  <c r="Q908" i="23"/>
  <c r="R908" i="23"/>
  <c r="P909" i="23"/>
  <c r="Q909" i="23"/>
  <c r="R909" i="23"/>
  <c r="P910" i="23"/>
  <c r="Q910" i="23"/>
  <c r="R910" i="23"/>
  <c r="P911" i="23"/>
  <c r="Q911" i="23"/>
  <c r="R911" i="23"/>
  <c r="P912" i="23"/>
  <c r="Q912" i="23"/>
  <c r="R912" i="23"/>
  <c r="P913" i="23"/>
  <c r="Q913" i="23"/>
  <c r="R913" i="23"/>
  <c r="P914" i="23"/>
  <c r="Q914" i="23"/>
  <c r="R914" i="23"/>
  <c r="P915" i="23"/>
  <c r="Q915" i="23"/>
  <c r="R915" i="23"/>
  <c r="P916" i="23"/>
  <c r="Q916" i="23"/>
  <c r="R916" i="23"/>
  <c r="P917" i="23"/>
  <c r="Q917" i="23"/>
  <c r="R917" i="23"/>
  <c r="P918" i="23"/>
  <c r="Q918" i="23"/>
  <c r="R918" i="23"/>
  <c r="P919" i="23"/>
  <c r="Q919" i="23"/>
  <c r="R919" i="23"/>
  <c r="P920" i="23"/>
  <c r="Q920" i="23"/>
  <c r="R920" i="23"/>
  <c r="P921" i="23"/>
  <c r="Q921" i="23"/>
  <c r="R921" i="23"/>
  <c r="P922" i="23"/>
  <c r="Q922" i="23"/>
  <c r="R922" i="23"/>
  <c r="P923" i="23"/>
  <c r="Q923" i="23"/>
  <c r="R923" i="23"/>
  <c r="P924" i="23"/>
  <c r="Q924" i="23"/>
  <c r="R924" i="23"/>
  <c r="P925" i="23"/>
  <c r="Q925" i="23"/>
  <c r="R925" i="23"/>
  <c r="P926" i="23"/>
  <c r="Q926" i="23"/>
  <c r="R926" i="23"/>
  <c r="P927" i="23"/>
  <c r="Q927" i="23"/>
  <c r="R927" i="23"/>
  <c r="P928" i="23"/>
  <c r="Q928" i="23"/>
  <c r="R928" i="23"/>
  <c r="P929" i="23"/>
  <c r="Q929" i="23"/>
  <c r="R929" i="23"/>
  <c r="P930" i="23"/>
  <c r="Q930" i="23"/>
  <c r="R930" i="23"/>
  <c r="P931" i="23"/>
  <c r="Q931" i="23"/>
  <c r="R931" i="23"/>
  <c r="P932" i="23"/>
  <c r="Q932" i="23"/>
  <c r="R932" i="23"/>
  <c r="P933" i="23"/>
  <c r="Q933" i="23"/>
  <c r="R933" i="23"/>
  <c r="P934" i="23"/>
  <c r="Q934" i="23"/>
  <c r="R934" i="23"/>
  <c r="P935" i="23"/>
  <c r="Q935" i="23"/>
  <c r="R935" i="23"/>
  <c r="P936" i="23"/>
  <c r="Q936" i="23"/>
  <c r="R936" i="23"/>
  <c r="P937" i="23"/>
  <c r="Q937" i="23"/>
  <c r="R937" i="23"/>
  <c r="P938" i="23"/>
  <c r="Q938" i="23"/>
  <c r="R938" i="23"/>
  <c r="P939" i="23"/>
  <c r="Q939" i="23"/>
  <c r="R939" i="23"/>
  <c r="P940" i="23"/>
  <c r="Q940" i="23"/>
  <c r="R940" i="23"/>
  <c r="P941" i="23"/>
  <c r="Q941" i="23"/>
  <c r="R941" i="23"/>
  <c r="P942" i="23"/>
  <c r="Q942" i="23"/>
  <c r="R942" i="23"/>
  <c r="P943" i="23"/>
  <c r="Q943" i="23"/>
  <c r="R943" i="23"/>
  <c r="P944" i="23"/>
  <c r="Q944" i="23"/>
  <c r="R944" i="23"/>
  <c r="P945" i="23"/>
  <c r="Q945" i="23"/>
  <c r="R945" i="23"/>
  <c r="P946" i="23"/>
  <c r="Q946" i="23"/>
  <c r="R946" i="23"/>
  <c r="P947" i="23"/>
  <c r="Q947" i="23"/>
  <c r="R947" i="23"/>
  <c r="P948" i="23"/>
  <c r="Q948" i="23"/>
  <c r="R948" i="23"/>
  <c r="P949" i="23"/>
  <c r="Q949" i="23"/>
  <c r="R949" i="23"/>
  <c r="P950" i="23"/>
  <c r="Q950" i="23"/>
  <c r="R950" i="23"/>
  <c r="P951" i="23"/>
  <c r="Q951" i="23"/>
  <c r="R951" i="23"/>
  <c r="P952" i="23"/>
  <c r="Q952" i="23"/>
  <c r="R952" i="23"/>
  <c r="P953" i="23"/>
  <c r="Q953" i="23"/>
  <c r="R953" i="23"/>
  <c r="P954" i="23"/>
  <c r="Q954" i="23"/>
  <c r="R954" i="23"/>
  <c r="P955" i="23"/>
  <c r="Q955" i="23"/>
  <c r="R955" i="23"/>
  <c r="P956" i="23"/>
  <c r="Q956" i="23"/>
  <c r="R956" i="23"/>
  <c r="P957" i="23"/>
  <c r="Q957" i="23"/>
  <c r="R957" i="23"/>
  <c r="P958" i="23"/>
  <c r="Q958" i="23"/>
  <c r="R958" i="23"/>
  <c r="P959" i="23"/>
  <c r="Q959" i="23"/>
  <c r="R959" i="23"/>
  <c r="P960" i="23"/>
  <c r="Q960" i="23"/>
  <c r="R960" i="23"/>
  <c r="P961" i="23"/>
  <c r="Q961" i="23"/>
  <c r="R961" i="23"/>
  <c r="P962" i="23"/>
  <c r="Q962" i="23"/>
  <c r="R962" i="23"/>
  <c r="P963" i="23"/>
  <c r="Q963" i="23"/>
  <c r="R963" i="23"/>
  <c r="P964" i="23"/>
  <c r="Q964" i="23"/>
  <c r="R964" i="23"/>
  <c r="P965" i="23"/>
  <c r="Q965" i="23"/>
  <c r="R965" i="23"/>
  <c r="P966" i="23"/>
  <c r="Q966" i="23"/>
  <c r="R966" i="23"/>
  <c r="P967" i="23"/>
  <c r="Q967" i="23"/>
  <c r="R967" i="23"/>
  <c r="P968" i="23"/>
  <c r="Q968" i="23"/>
  <c r="R968" i="23"/>
  <c r="P969" i="23"/>
  <c r="Q969" i="23"/>
  <c r="R969" i="23"/>
  <c r="P970" i="23"/>
  <c r="Q970" i="23"/>
  <c r="R970" i="23"/>
  <c r="P971" i="23"/>
  <c r="Q971" i="23"/>
  <c r="R971" i="23"/>
  <c r="P972" i="23"/>
  <c r="Q972" i="23"/>
  <c r="R972" i="23"/>
  <c r="P973" i="23"/>
  <c r="Q973" i="23"/>
  <c r="R973" i="23"/>
  <c r="P974" i="23"/>
  <c r="Q974" i="23"/>
  <c r="R974" i="23"/>
  <c r="P975" i="23"/>
  <c r="Q975" i="23"/>
  <c r="R975" i="23"/>
  <c r="P976" i="23"/>
  <c r="Q976" i="23"/>
  <c r="R976" i="23"/>
  <c r="P977" i="23"/>
  <c r="Q977" i="23"/>
  <c r="R977" i="23"/>
  <c r="P978" i="23"/>
  <c r="Q978" i="23"/>
  <c r="R978" i="23"/>
  <c r="P979" i="23"/>
  <c r="Q979" i="23"/>
  <c r="R979" i="23"/>
  <c r="P980" i="23"/>
  <c r="Q980" i="23"/>
  <c r="R980" i="23"/>
  <c r="P981" i="23"/>
  <c r="Q981" i="23"/>
  <c r="R981" i="23"/>
  <c r="P982" i="23"/>
  <c r="Q982" i="23"/>
  <c r="R982" i="23"/>
  <c r="P983" i="23"/>
  <c r="Q983" i="23"/>
  <c r="R983" i="23"/>
  <c r="P984" i="23"/>
  <c r="Q984" i="23"/>
  <c r="R984" i="23"/>
  <c r="P985" i="23"/>
  <c r="Q985" i="23"/>
  <c r="R985" i="23"/>
  <c r="P986" i="23"/>
  <c r="Q986" i="23"/>
  <c r="R986" i="23"/>
  <c r="P987" i="23"/>
  <c r="Q987" i="23"/>
  <c r="R987" i="23"/>
  <c r="P988" i="23"/>
  <c r="Q988" i="23"/>
  <c r="R988" i="23"/>
  <c r="P989" i="23"/>
  <c r="Q989" i="23"/>
  <c r="R989" i="23"/>
  <c r="P990" i="23"/>
  <c r="Q990" i="23"/>
  <c r="R990" i="23"/>
  <c r="P991" i="23"/>
  <c r="Q991" i="23"/>
  <c r="R991" i="23"/>
  <c r="P992" i="23"/>
  <c r="Q992" i="23"/>
  <c r="R992" i="23"/>
  <c r="P993" i="23"/>
  <c r="Q993" i="23"/>
  <c r="R993" i="23"/>
  <c r="P994" i="23"/>
  <c r="Q994" i="23"/>
  <c r="R994" i="23"/>
  <c r="P995" i="23"/>
  <c r="Q995" i="23"/>
  <c r="R995" i="23"/>
  <c r="P996" i="23"/>
  <c r="Q996" i="23"/>
  <c r="R996" i="23"/>
  <c r="P997" i="23"/>
  <c r="Q997" i="23"/>
  <c r="R997" i="23"/>
  <c r="P998" i="23"/>
  <c r="Q998" i="23"/>
  <c r="R998" i="23"/>
  <c r="P999" i="23"/>
  <c r="Q999" i="23"/>
  <c r="R999" i="23"/>
  <c r="P1000" i="23"/>
  <c r="Q1000" i="23"/>
  <c r="R1000" i="23"/>
  <c r="P1001" i="23"/>
  <c r="Q1001" i="23"/>
  <c r="R1001" i="23"/>
  <c r="P1002" i="23"/>
  <c r="Q1002" i="23"/>
  <c r="R1002" i="23"/>
  <c r="P1003" i="23"/>
  <c r="Q1003" i="23"/>
  <c r="R1003" i="23"/>
  <c r="P1004" i="23"/>
  <c r="Q1004" i="23"/>
  <c r="R1004" i="23"/>
  <c r="P1005" i="23"/>
  <c r="Q1005" i="23"/>
  <c r="R1005" i="23"/>
  <c r="P1006" i="23"/>
  <c r="Q1006" i="23"/>
  <c r="R1006" i="23"/>
  <c r="P1007" i="23"/>
  <c r="Q1007" i="23"/>
  <c r="R1007" i="23"/>
  <c r="P1008" i="23"/>
  <c r="Q1008" i="23"/>
  <c r="R1008" i="23"/>
  <c r="P1009" i="23"/>
  <c r="Q1009" i="23"/>
  <c r="R1009" i="23"/>
  <c r="P1010" i="23"/>
  <c r="Q1010" i="23"/>
  <c r="R1010" i="23"/>
  <c r="P1011" i="23"/>
  <c r="Q1011" i="23"/>
  <c r="R1011" i="23"/>
  <c r="P1012" i="23"/>
  <c r="Q1012" i="23"/>
  <c r="R1012" i="23"/>
  <c r="P1013" i="23"/>
  <c r="Q1013" i="23"/>
  <c r="R1013" i="23"/>
  <c r="P1014" i="23"/>
  <c r="Q1014" i="23"/>
  <c r="R1014" i="23"/>
  <c r="P1015" i="23"/>
  <c r="Q1015" i="23"/>
  <c r="R1015" i="23"/>
  <c r="P1016" i="23"/>
  <c r="Q1016" i="23"/>
  <c r="R1016" i="23"/>
  <c r="P1017" i="23"/>
  <c r="Q1017" i="23"/>
  <c r="R1017" i="23"/>
  <c r="P1018" i="23"/>
  <c r="Q1018" i="23"/>
  <c r="R1018" i="23"/>
  <c r="P1019" i="23"/>
  <c r="Q1019" i="23"/>
  <c r="R1019" i="23"/>
  <c r="P1020" i="23"/>
  <c r="Q1020" i="23"/>
  <c r="R1020" i="23"/>
  <c r="P1021" i="23"/>
  <c r="Q1021" i="23"/>
  <c r="R1021" i="23"/>
  <c r="P1022" i="23"/>
  <c r="Q1022" i="23"/>
  <c r="R1022" i="23"/>
  <c r="P1023" i="23"/>
  <c r="Q1023" i="23"/>
  <c r="R1023" i="23"/>
  <c r="P1024" i="23"/>
  <c r="Q1024" i="23"/>
  <c r="R1024" i="23"/>
  <c r="P1025" i="23"/>
  <c r="Q1025" i="23"/>
  <c r="R1025" i="23"/>
  <c r="P1026" i="23"/>
  <c r="Q1026" i="23"/>
  <c r="R1026" i="23"/>
  <c r="P1027" i="23"/>
  <c r="Q1027" i="23"/>
  <c r="R1027" i="23"/>
  <c r="P1028" i="23"/>
  <c r="Q1028" i="23"/>
  <c r="R1028" i="23"/>
  <c r="P1029" i="23"/>
  <c r="Q1029" i="23"/>
  <c r="R1029" i="23"/>
  <c r="P1030" i="23"/>
  <c r="Q1030" i="23"/>
  <c r="R1030" i="23"/>
  <c r="P1031" i="23"/>
  <c r="Q1031" i="23"/>
  <c r="R1031" i="23"/>
  <c r="P1032" i="23"/>
  <c r="Q1032" i="23"/>
  <c r="R1032" i="23"/>
  <c r="P1033" i="23"/>
  <c r="Q1033" i="23"/>
  <c r="R1033" i="23"/>
  <c r="P1034" i="23"/>
  <c r="Q1034" i="23"/>
  <c r="R1034" i="23"/>
  <c r="P1035" i="23"/>
  <c r="Q1035" i="23"/>
  <c r="R1035" i="23"/>
  <c r="P1036" i="23"/>
  <c r="Q1036" i="23"/>
  <c r="R1036" i="23"/>
  <c r="P1037" i="23"/>
  <c r="Q1037" i="23"/>
  <c r="R1037" i="23"/>
  <c r="P1038" i="23"/>
  <c r="Q1038" i="23"/>
  <c r="R1038" i="23"/>
  <c r="P1039" i="23"/>
  <c r="Q1039" i="23"/>
  <c r="R1039" i="23"/>
  <c r="P1040" i="23"/>
  <c r="Q1040" i="23"/>
  <c r="R1040" i="23"/>
  <c r="P1041" i="23"/>
  <c r="Q1041" i="23"/>
  <c r="R1041" i="23"/>
  <c r="P1042" i="23"/>
  <c r="Q1042" i="23"/>
  <c r="R1042" i="23"/>
  <c r="P1043" i="23"/>
  <c r="Q1043" i="23"/>
  <c r="R1043" i="23"/>
  <c r="P1044" i="23"/>
  <c r="Q1044" i="23"/>
  <c r="R1044" i="23"/>
  <c r="P1045" i="23"/>
  <c r="Q1045" i="23"/>
  <c r="R1045" i="23"/>
  <c r="P1046" i="23"/>
  <c r="Q1046" i="23"/>
  <c r="R1046" i="23"/>
  <c r="P1047" i="23"/>
  <c r="Q1047" i="23"/>
  <c r="R1047" i="23"/>
  <c r="P1048" i="23"/>
  <c r="Q1048" i="23"/>
  <c r="R1048" i="23"/>
  <c r="P1049" i="23"/>
  <c r="Q1049" i="23"/>
  <c r="R1049" i="23"/>
  <c r="P1050" i="23"/>
  <c r="Q1050" i="23"/>
  <c r="R1050" i="23"/>
  <c r="P1051" i="23"/>
  <c r="Q1051" i="23"/>
  <c r="R1051" i="23"/>
  <c r="P1052" i="23"/>
  <c r="Q1052" i="23"/>
  <c r="R1052" i="23"/>
  <c r="P1053" i="23"/>
  <c r="Q1053" i="23"/>
  <c r="R1053" i="23"/>
  <c r="P1054" i="23"/>
  <c r="Q1054" i="23"/>
  <c r="R1054" i="23"/>
  <c r="P1055" i="23"/>
  <c r="Q1055" i="23"/>
  <c r="R1055" i="23"/>
  <c r="P1056" i="23"/>
  <c r="Q1056" i="23"/>
  <c r="R1056" i="23"/>
  <c r="P1057" i="23"/>
  <c r="Q1057" i="23"/>
  <c r="R1057" i="23"/>
  <c r="P1058" i="23"/>
  <c r="Q1058" i="23"/>
  <c r="R1058" i="23"/>
  <c r="P1059" i="23"/>
  <c r="Q1059" i="23"/>
  <c r="R1059" i="23"/>
  <c r="P1060" i="23"/>
  <c r="Q1060" i="23"/>
  <c r="R1060" i="23"/>
  <c r="P1061" i="23"/>
  <c r="Q1061" i="23"/>
  <c r="R1061" i="23"/>
  <c r="P1062" i="23"/>
  <c r="Q1062" i="23"/>
  <c r="R1062" i="23"/>
  <c r="P1063" i="23"/>
  <c r="Q1063" i="23"/>
  <c r="R1063" i="23"/>
  <c r="P1064" i="23"/>
  <c r="Q1064" i="23"/>
  <c r="R1064" i="23"/>
  <c r="P1065" i="23"/>
  <c r="Q1065" i="23"/>
  <c r="R1065" i="23"/>
  <c r="P1066" i="23"/>
  <c r="Q1066" i="23"/>
  <c r="R1066" i="23"/>
  <c r="P1067" i="23"/>
  <c r="Q1067" i="23"/>
  <c r="R1067" i="23"/>
  <c r="P1068" i="23"/>
  <c r="Q1068" i="23"/>
  <c r="R1068" i="23"/>
  <c r="P1069" i="23"/>
  <c r="Q1069" i="23"/>
  <c r="R1069" i="23"/>
  <c r="P1070" i="23"/>
  <c r="Q1070" i="23"/>
  <c r="R1070" i="23"/>
  <c r="P1071" i="23"/>
  <c r="Q1071" i="23"/>
  <c r="R1071" i="23"/>
  <c r="P1072" i="23"/>
  <c r="Q1072" i="23"/>
  <c r="R1072" i="23"/>
  <c r="P1073" i="23"/>
  <c r="Q1073" i="23"/>
  <c r="R1073" i="23"/>
  <c r="P1074" i="23"/>
  <c r="Q1074" i="23"/>
  <c r="R1074" i="23"/>
  <c r="P1075" i="23"/>
  <c r="Q1075" i="23"/>
  <c r="R1075" i="23"/>
  <c r="P1076" i="23"/>
  <c r="Q1076" i="23"/>
  <c r="R1076" i="23"/>
  <c r="P1077" i="23"/>
  <c r="Q1077" i="23"/>
  <c r="R1077" i="23"/>
  <c r="P1078" i="23"/>
  <c r="Q1078" i="23"/>
  <c r="R1078" i="23"/>
  <c r="P1079" i="23"/>
  <c r="Q1079" i="23"/>
  <c r="R1079" i="23"/>
  <c r="P1080" i="23"/>
  <c r="Q1080" i="23"/>
  <c r="R1080" i="23"/>
  <c r="P1081" i="23"/>
  <c r="Q1081" i="23"/>
  <c r="R1081" i="23"/>
  <c r="P1082" i="23"/>
  <c r="Q1082" i="23"/>
  <c r="R1082" i="23"/>
  <c r="P1083" i="23"/>
  <c r="Q1083" i="23"/>
  <c r="R1083" i="23"/>
  <c r="P1084" i="23"/>
  <c r="Q1084" i="23"/>
  <c r="R1084" i="23"/>
  <c r="P1085" i="23"/>
  <c r="Q1085" i="23"/>
  <c r="R1085" i="23"/>
  <c r="P1086" i="23"/>
  <c r="Q1086" i="23"/>
  <c r="R1086" i="23"/>
  <c r="P1087" i="23"/>
  <c r="Q1087" i="23"/>
  <c r="R1087" i="23"/>
  <c r="P1088" i="23"/>
  <c r="Q1088" i="23"/>
  <c r="R1088" i="23"/>
  <c r="P1089" i="23"/>
  <c r="Q1089" i="23"/>
  <c r="R1089" i="23"/>
  <c r="P1090" i="23"/>
  <c r="Q1090" i="23"/>
  <c r="R1090" i="23"/>
  <c r="P1091" i="23"/>
  <c r="Q1091" i="23"/>
  <c r="R1091" i="23"/>
  <c r="P1092" i="23"/>
  <c r="Q1092" i="23"/>
  <c r="R1092" i="23"/>
  <c r="P1093" i="23"/>
  <c r="Q1093" i="23"/>
  <c r="R1093" i="23"/>
  <c r="P1094" i="23"/>
  <c r="Q1094" i="23"/>
  <c r="R1094" i="23"/>
  <c r="P1095" i="23"/>
  <c r="Q1095" i="23"/>
  <c r="R1095" i="23"/>
  <c r="P1096" i="23"/>
  <c r="Q1096" i="23"/>
  <c r="R1096" i="23"/>
  <c r="P1097" i="23"/>
  <c r="Q1097" i="23"/>
  <c r="R1097" i="23"/>
  <c r="P1098" i="23"/>
  <c r="Q1098" i="23"/>
  <c r="R1098" i="23"/>
  <c r="P1099" i="23"/>
  <c r="Q1099" i="23"/>
  <c r="R1099" i="23"/>
  <c r="P1100" i="23"/>
  <c r="Q1100" i="23"/>
  <c r="R1100" i="23"/>
  <c r="P1101" i="23"/>
  <c r="Q1101" i="23"/>
  <c r="R1101" i="23"/>
  <c r="P1102" i="23"/>
  <c r="Q1102" i="23"/>
  <c r="R1102" i="23"/>
  <c r="P1103" i="23"/>
  <c r="Q1103" i="23"/>
  <c r="R1103" i="23"/>
  <c r="P1104" i="23"/>
  <c r="Q1104" i="23"/>
  <c r="R1104" i="23"/>
  <c r="P1105" i="23"/>
  <c r="Q1105" i="23"/>
  <c r="R1105" i="23"/>
  <c r="P1106" i="23"/>
  <c r="Q1106" i="23"/>
  <c r="R1106" i="23"/>
  <c r="P1107" i="23"/>
  <c r="Q1107" i="23"/>
  <c r="R1107" i="23"/>
  <c r="P1108" i="23"/>
  <c r="Q1108" i="23"/>
  <c r="R1108" i="23"/>
  <c r="P1109" i="23"/>
  <c r="Q1109" i="23"/>
  <c r="R1109" i="23"/>
  <c r="P1110" i="23"/>
  <c r="Q1110" i="23"/>
  <c r="R1110" i="23"/>
  <c r="P1111" i="23"/>
  <c r="Q1111" i="23"/>
  <c r="R1111" i="23"/>
  <c r="P1112" i="23"/>
  <c r="Q1112" i="23"/>
  <c r="R1112" i="23"/>
  <c r="P1113" i="23"/>
  <c r="Q1113" i="23"/>
  <c r="R1113" i="23"/>
  <c r="P1114" i="23"/>
  <c r="Q1114" i="23"/>
  <c r="R1114" i="23"/>
  <c r="P1115" i="23"/>
  <c r="Q1115" i="23"/>
  <c r="R1115" i="23"/>
  <c r="P1116" i="23"/>
  <c r="Q1116" i="23"/>
  <c r="R1116" i="23"/>
  <c r="P1117" i="23"/>
  <c r="Q1117" i="23"/>
  <c r="R1117" i="23"/>
  <c r="P1118" i="23"/>
  <c r="Q1118" i="23"/>
  <c r="R1118" i="23"/>
  <c r="P1119" i="23"/>
  <c r="Q1119" i="23"/>
  <c r="R1119" i="23"/>
  <c r="P1120" i="23"/>
  <c r="Q1120" i="23"/>
  <c r="R1120" i="23"/>
  <c r="P1121" i="23"/>
  <c r="Q1121" i="23"/>
  <c r="R1121" i="23"/>
  <c r="P1122" i="23"/>
  <c r="Q1122" i="23"/>
  <c r="R1122" i="23"/>
  <c r="P1123" i="23"/>
  <c r="Q1123" i="23"/>
  <c r="R1123" i="23"/>
  <c r="P1124" i="23"/>
  <c r="Q1124" i="23"/>
  <c r="R1124" i="23"/>
  <c r="P1125" i="23"/>
  <c r="Q1125" i="23"/>
  <c r="R1125" i="23"/>
  <c r="P1126" i="23"/>
  <c r="Q1126" i="23"/>
  <c r="R1126" i="23"/>
  <c r="P1127" i="23"/>
  <c r="Q1127" i="23"/>
  <c r="R1127" i="23"/>
  <c r="P1128" i="23"/>
  <c r="Q1128" i="23"/>
  <c r="R1128" i="23"/>
  <c r="P1129" i="23"/>
  <c r="Q1129" i="23"/>
  <c r="R1129" i="23"/>
  <c r="P1130" i="23"/>
  <c r="Q1130" i="23"/>
  <c r="R1130" i="23"/>
  <c r="P1131" i="23"/>
  <c r="Q1131" i="23"/>
  <c r="R1131" i="23"/>
  <c r="P1132" i="23"/>
  <c r="Q1132" i="23"/>
  <c r="R1132" i="23"/>
  <c r="P1133" i="23"/>
  <c r="Q1133" i="23"/>
  <c r="R1133" i="23"/>
  <c r="P1134" i="23"/>
  <c r="Q1134" i="23"/>
  <c r="R1134" i="23"/>
  <c r="P1135" i="23"/>
  <c r="Q1135" i="23"/>
  <c r="R1135" i="23"/>
  <c r="P1136" i="23"/>
  <c r="Q1136" i="23"/>
  <c r="R1136" i="23"/>
  <c r="P1137" i="23"/>
  <c r="Q1137" i="23"/>
  <c r="R1137" i="23"/>
  <c r="P1138" i="23"/>
  <c r="Q1138" i="23"/>
  <c r="R1138" i="23"/>
  <c r="P1139" i="23"/>
  <c r="Q1139" i="23"/>
  <c r="R1139" i="23"/>
  <c r="P1140" i="23"/>
  <c r="Q1140" i="23"/>
  <c r="R1140" i="23"/>
  <c r="P1141" i="23"/>
  <c r="Q1141" i="23"/>
  <c r="R1141" i="23"/>
  <c r="P1142" i="23"/>
  <c r="Q1142" i="23"/>
  <c r="R1142" i="23"/>
  <c r="P1143" i="23"/>
  <c r="Q1143" i="23"/>
  <c r="R1143" i="23"/>
  <c r="P1144" i="23"/>
  <c r="Q1144" i="23"/>
  <c r="R1144" i="23"/>
  <c r="P1145" i="23"/>
  <c r="Q1145" i="23"/>
  <c r="R1145" i="23"/>
  <c r="P1146" i="23"/>
  <c r="Q1146" i="23"/>
  <c r="R1146" i="23"/>
  <c r="P1147" i="23"/>
  <c r="Q1147" i="23"/>
  <c r="R1147" i="23"/>
  <c r="P1148" i="23"/>
  <c r="Q1148" i="23"/>
  <c r="R1148" i="23"/>
  <c r="P1149" i="23"/>
  <c r="Q1149" i="23"/>
  <c r="R1149" i="23"/>
  <c r="P1150" i="23"/>
  <c r="Q1150" i="23"/>
  <c r="R1150" i="23"/>
  <c r="P1151" i="23"/>
  <c r="Q1151" i="23"/>
  <c r="R1151" i="23"/>
  <c r="P1152" i="23"/>
  <c r="Q1152" i="23"/>
  <c r="R1152" i="23"/>
  <c r="P1153" i="23"/>
  <c r="Q1153" i="23"/>
  <c r="R1153" i="23"/>
  <c r="P1154" i="23"/>
  <c r="Q1154" i="23"/>
  <c r="R1154" i="23"/>
  <c r="P1155" i="23"/>
  <c r="Q1155" i="23"/>
  <c r="R1155" i="23"/>
  <c r="P1156" i="23"/>
  <c r="Q1156" i="23"/>
  <c r="R1156" i="23"/>
  <c r="P1157" i="23"/>
  <c r="Q1157" i="23"/>
  <c r="R1157" i="23"/>
  <c r="P1158" i="23"/>
  <c r="Q1158" i="23"/>
  <c r="R1158" i="23"/>
  <c r="P1159" i="23"/>
  <c r="Q1159" i="23"/>
  <c r="R1159" i="23"/>
  <c r="P1160" i="23"/>
  <c r="Q1160" i="23"/>
  <c r="R1160" i="23"/>
  <c r="P1161" i="23"/>
  <c r="Q1161" i="23"/>
  <c r="R1161" i="23"/>
  <c r="P1162" i="23"/>
  <c r="Q1162" i="23"/>
  <c r="R1162" i="23"/>
  <c r="P1163" i="23"/>
  <c r="Q1163" i="23"/>
  <c r="R1163" i="23"/>
  <c r="P1164" i="23"/>
  <c r="Q1164" i="23"/>
  <c r="R1164" i="23"/>
  <c r="P1165" i="23"/>
  <c r="Q1165" i="23"/>
  <c r="R1165" i="23"/>
  <c r="P1166" i="23"/>
  <c r="Q1166" i="23"/>
  <c r="R1166" i="23"/>
  <c r="P1167" i="23"/>
  <c r="Q1167" i="23"/>
  <c r="R1167" i="23"/>
  <c r="P1168" i="23"/>
  <c r="Q1168" i="23"/>
  <c r="R1168" i="23"/>
  <c r="P1169" i="23"/>
  <c r="Q1169" i="23"/>
  <c r="R1169" i="23"/>
  <c r="P1170" i="23"/>
  <c r="Q1170" i="23"/>
  <c r="R1170" i="23"/>
  <c r="P1171" i="23"/>
  <c r="Q1171" i="23"/>
  <c r="R1171" i="23"/>
  <c r="P1172" i="23"/>
  <c r="Q1172" i="23"/>
  <c r="R1172" i="23"/>
  <c r="P1173" i="23"/>
  <c r="Q1173" i="23"/>
  <c r="R1173" i="23"/>
  <c r="P1174" i="23"/>
  <c r="Q1174" i="23"/>
  <c r="R1174" i="23"/>
  <c r="P1175" i="23"/>
  <c r="Q1175" i="23"/>
  <c r="R1175" i="23"/>
  <c r="P1176" i="23"/>
  <c r="Q1176" i="23"/>
  <c r="R1176" i="23"/>
  <c r="P1177" i="23"/>
  <c r="Q1177" i="23"/>
  <c r="R1177" i="23"/>
  <c r="P1178" i="23"/>
  <c r="Q1178" i="23"/>
  <c r="R1178" i="23"/>
  <c r="P1179" i="23"/>
  <c r="Q1179" i="23"/>
  <c r="R1179" i="23"/>
  <c r="P1180" i="23"/>
  <c r="Q1180" i="23"/>
  <c r="R1180" i="23"/>
  <c r="P1181" i="23"/>
  <c r="Q1181" i="23"/>
  <c r="R1181" i="23"/>
  <c r="P1182" i="23"/>
  <c r="Q1182" i="23"/>
  <c r="R1182" i="23"/>
  <c r="P1183" i="23"/>
  <c r="Q1183" i="23"/>
  <c r="R1183" i="23"/>
  <c r="P1184" i="23"/>
  <c r="Q1184" i="23"/>
  <c r="R1184" i="23"/>
  <c r="P1185" i="23"/>
  <c r="Q1185" i="23"/>
  <c r="R1185" i="23"/>
  <c r="P1186" i="23"/>
  <c r="Q1186" i="23"/>
  <c r="R1186" i="23"/>
  <c r="P1187" i="23"/>
  <c r="Q1187" i="23"/>
  <c r="R1187" i="23"/>
  <c r="P1188" i="23"/>
  <c r="Q1188" i="23"/>
  <c r="R1188" i="23"/>
  <c r="P1189" i="23"/>
  <c r="Q1189" i="23"/>
  <c r="R1189" i="23"/>
  <c r="P1190" i="23"/>
  <c r="Q1190" i="23"/>
  <c r="R1190" i="23"/>
  <c r="P1191" i="23"/>
  <c r="Q1191" i="23"/>
  <c r="R1191" i="23"/>
  <c r="P1192" i="23"/>
  <c r="Q1192" i="23"/>
  <c r="R1192" i="23"/>
  <c r="P1193" i="23"/>
  <c r="Q1193" i="23"/>
  <c r="R1193" i="23"/>
  <c r="P1194" i="23"/>
  <c r="Q1194" i="23"/>
  <c r="R1194" i="23"/>
  <c r="P1195" i="23"/>
  <c r="Q1195" i="23"/>
  <c r="R1195" i="23"/>
  <c r="P1196" i="23"/>
  <c r="Q1196" i="23"/>
  <c r="R1196" i="23"/>
  <c r="P1197" i="23"/>
  <c r="Q1197" i="23"/>
  <c r="R1197" i="23"/>
  <c r="P1198" i="23"/>
  <c r="Q1198" i="23"/>
  <c r="R1198" i="23"/>
  <c r="P1199" i="23"/>
  <c r="Q1199" i="23"/>
  <c r="R1199" i="23"/>
  <c r="P1200" i="23"/>
  <c r="Q1200" i="23"/>
  <c r="R1200" i="23"/>
  <c r="P1201" i="23"/>
  <c r="Q1201" i="23"/>
  <c r="R1201" i="23"/>
  <c r="P1202" i="23"/>
  <c r="Q1202" i="23"/>
  <c r="R1202" i="23"/>
  <c r="P1203" i="23"/>
  <c r="Q1203" i="23"/>
  <c r="R1203" i="23"/>
  <c r="P1204" i="23"/>
  <c r="Q1204" i="23"/>
  <c r="R1204" i="23"/>
  <c r="P1205" i="23"/>
  <c r="Q1205" i="23"/>
  <c r="R1205" i="23"/>
  <c r="P1206" i="23"/>
  <c r="Q1206" i="23"/>
  <c r="R1206" i="23"/>
  <c r="P1207" i="23"/>
  <c r="Q1207" i="23"/>
  <c r="R1207" i="23"/>
  <c r="P1208" i="23"/>
  <c r="Q1208" i="23"/>
  <c r="R1208" i="23"/>
  <c r="P1209" i="23"/>
  <c r="Q1209" i="23"/>
  <c r="R1209" i="23"/>
  <c r="P1210" i="23"/>
  <c r="Q1210" i="23"/>
  <c r="R1210" i="23"/>
  <c r="P1211" i="23"/>
  <c r="Q1211" i="23"/>
  <c r="R1211" i="23"/>
  <c r="P1212" i="23"/>
  <c r="Q1212" i="23"/>
  <c r="R1212" i="23"/>
  <c r="P1213" i="23"/>
  <c r="Q1213" i="23"/>
  <c r="R1213" i="23"/>
  <c r="P1214" i="23"/>
  <c r="Q1214" i="23"/>
  <c r="R1214" i="23"/>
  <c r="P1215" i="23"/>
  <c r="Q1215" i="23"/>
  <c r="R1215" i="23"/>
  <c r="P1216" i="23"/>
  <c r="Q1216" i="23"/>
  <c r="R1216" i="23"/>
  <c r="P1217" i="23"/>
  <c r="Q1217" i="23"/>
  <c r="R1217" i="23"/>
  <c r="P1218" i="23"/>
  <c r="Q1218" i="23"/>
  <c r="R1218" i="23"/>
  <c r="P1219" i="23"/>
  <c r="Q1219" i="23"/>
  <c r="R1219" i="23"/>
  <c r="P1220" i="23"/>
  <c r="Q1220" i="23"/>
  <c r="R1220" i="23"/>
  <c r="P1221" i="23"/>
  <c r="Q1221" i="23"/>
  <c r="R1221" i="23"/>
  <c r="P1222" i="23"/>
  <c r="Q1222" i="23"/>
  <c r="R1222" i="23"/>
  <c r="P1223" i="23"/>
  <c r="Q1223" i="23"/>
  <c r="R1223" i="23"/>
  <c r="P1224" i="23"/>
  <c r="Q1224" i="23"/>
  <c r="R1224" i="23"/>
  <c r="P1225" i="23"/>
  <c r="Q1225" i="23"/>
  <c r="R1225" i="23"/>
  <c r="P1226" i="23"/>
  <c r="Q1226" i="23"/>
  <c r="R1226" i="23"/>
  <c r="P1227" i="23"/>
  <c r="Q1227" i="23"/>
  <c r="R1227" i="23"/>
  <c r="P1228" i="23"/>
  <c r="Q1228" i="23"/>
  <c r="R1228" i="23"/>
  <c r="P1229" i="23"/>
  <c r="Q1229" i="23"/>
  <c r="R1229" i="23"/>
  <c r="P1230" i="23"/>
  <c r="Q1230" i="23"/>
  <c r="R1230" i="23"/>
  <c r="P1231" i="23"/>
  <c r="Q1231" i="23"/>
  <c r="R1231" i="23"/>
  <c r="P1232" i="23"/>
  <c r="Q1232" i="23"/>
  <c r="R1232" i="23"/>
  <c r="P1233" i="23"/>
  <c r="Q1233" i="23"/>
  <c r="R1233" i="23"/>
  <c r="P1234" i="23"/>
  <c r="Q1234" i="23"/>
  <c r="R1234" i="23"/>
  <c r="P1235" i="23"/>
  <c r="Q1235" i="23"/>
  <c r="R1235" i="23"/>
  <c r="P1236" i="23"/>
  <c r="Q1236" i="23"/>
  <c r="R1236" i="23"/>
  <c r="P1237" i="23"/>
  <c r="Q1237" i="23"/>
  <c r="R1237" i="23"/>
  <c r="P1238" i="23"/>
  <c r="Q1238" i="23"/>
  <c r="R1238" i="23"/>
  <c r="P1239" i="23"/>
  <c r="Q1239" i="23"/>
  <c r="R1239" i="23"/>
  <c r="P1240" i="23"/>
  <c r="Q1240" i="23"/>
  <c r="R1240" i="23"/>
  <c r="P1241" i="23"/>
  <c r="Q1241" i="23"/>
  <c r="R1241" i="23"/>
  <c r="P1242" i="23"/>
  <c r="Q1242" i="23"/>
  <c r="R1242" i="23"/>
  <c r="P1243" i="23"/>
  <c r="Q1243" i="23"/>
  <c r="R1243" i="23"/>
  <c r="P1244" i="23"/>
  <c r="Q1244" i="23"/>
  <c r="R1244" i="23"/>
  <c r="P1245" i="23"/>
  <c r="Q1245" i="23"/>
  <c r="R1245" i="23"/>
  <c r="P1246" i="23"/>
  <c r="Q1246" i="23"/>
  <c r="R1246" i="23"/>
  <c r="P1247" i="23"/>
  <c r="Q1247" i="23"/>
  <c r="R1247" i="23"/>
  <c r="P1248" i="23"/>
  <c r="Q1248" i="23"/>
  <c r="R1248" i="23"/>
  <c r="P1249" i="23"/>
  <c r="Q1249" i="23"/>
  <c r="R1249" i="23"/>
  <c r="P1250" i="23"/>
  <c r="Q1250" i="23"/>
  <c r="R1250" i="23"/>
  <c r="P1251" i="23"/>
  <c r="Q1251" i="23"/>
  <c r="R1251" i="23"/>
  <c r="P1252" i="23"/>
  <c r="Q1252" i="23"/>
  <c r="R1252" i="23"/>
  <c r="P1253" i="23"/>
  <c r="Q1253" i="23"/>
  <c r="R1253" i="23"/>
  <c r="P1254" i="23"/>
  <c r="Q1254" i="23"/>
  <c r="R1254" i="23"/>
  <c r="P1255" i="23"/>
  <c r="Q1255" i="23"/>
  <c r="R1255" i="23"/>
  <c r="P1256" i="23"/>
  <c r="Q1256" i="23"/>
  <c r="R1256" i="23"/>
  <c r="P1257" i="23"/>
  <c r="Q1257" i="23"/>
  <c r="R1257" i="23"/>
  <c r="P1258" i="23"/>
  <c r="Q1258" i="23"/>
  <c r="R1258" i="23"/>
  <c r="P1259" i="23"/>
  <c r="Q1259" i="23"/>
  <c r="R1259" i="23"/>
  <c r="P1260" i="23"/>
  <c r="Q1260" i="23"/>
  <c r="R1260" i="23"/>
  <c r="P1261" i="23"/>
  <c r="Q1261" i="23"/>
  <c r="R1261" i="23"/>
  <c r="P1262" i="23"/>
  <c r="Q1262" i="23"/>
  <c r="R1262" i="23"/>
  <c r="P1263" i="23"/>
  <c r="Q1263" i="23"/>
  <c r="R1263" i="23"/>
  <c r="P1264" i="23"/>
  <c r="Q1264" i="23"/>
  <c r="R1264" i="23"/>
  <c r="P1265" i="23"/>
  <c r="Q1265" i="23"/>
  <c r="R1265" i="23"/>
  <c r="P1266" i="23"/>
  <c r="Q1266" i="23"/>
  <c r="R1266" i="23"/>
  <c r="P1267" i="23"/>
  <c r="Q1267" i="23"/>
  <c r="R1267" i="23"/>
  <c r="P1268" i="23"/>
  <c r="Q1268" i="23"/>
  <c r="R1268" i="23"/>
  <c r="P1269" i="23"/>
  <c r="Q1269" i="23"/>
  <c r="R1269" i="23"/>
  <c r="P1270" i="23"/>
  <c r="Q1270" i="23"/>
  <c r="R1270" i="23"/>
  <c r="P1271" i="23"/>
  <c r="Q1271" i="23"/>
  <c r="R1271" i="23"/>
  <c r="P1272" i="23"/>
  <c r="Q1272" i="23"/>
  <c r="R1272" i="23"/>
  <c r="P1273" i="23"/>
  <c r="Q1273" i="23"/>
  <c r="R1273" i="23"/>
  <c r="P1274" i="23"/>
  <c r="Q1274" i="23"/>
  <c r="R1274" i="23"/>
  <c r="P1275" i="23"/>
  <c r="Q1275" i="23"/>
  <c r="R1275" i="23"/>
  <c r="P1276" i="23"/>
  <c r="Q1276" i="23"/>
  <c r="R1276" i="23"/>
  <c r="P1277" i="23"/>
  <c r="Q1277" i="23"/>
  <c r="R1277" i="23"/>
  <c r="P1278" i="23"/>
  <c r="Q1278" i="23"/>
  <c r="R1278" i="23"/>
  <c r="P1279" i="23"/>
  <c r="Q1279" i="23"/>
  <c r="R1279" i="23"/>
  <c r="P1280" i="23"/>
  <c r="Q1280" i="23"/>
  <c r="R1280" i="23"/>
  <c r="P1281" i="23"/>
  <c r="Q1281" i="23"/>
  <c r="R1281" i="23"/>
  <c r="P1282" i="23"/>
  <c r="Q1282" i="23"/>
  <c r="R1282" i="23"/>
  <c r="P1283" i="23"/>
  <c r="Q1283" i="23"/>
  <c r="R1283" i="23"/>
  <c r="P1284" i="23"/>
  <c r="Q1284" i="23"/>
  <c r="R1284" i="23"/>
  <c r="P1285" i="23"/>
  <c r="Q1285" i="23"/>
  <c r="R1285" i="23"/>
  <c r="P1286" i="23"/>
  <c r="Q1286" i="23"/>
  <c r="R1286" i="23"/>
  <c r="P1287" i="23"/>
  <c r="Q1287" i="23"/>
  <c r="R1287" i="23"/>
  <c r="P1288" i="23"/>
  <c r="Q1288" i="23"/>
  <c r="R1288" i="23"/>
  <c r="P1289" i="23"/>
  <c r="Q1289" i="23"/>
  <c r="R1289" i="23"/>
  <c r="P1290" i="23"/>
  <c r="Q1290" i="23"/>
  <c r="R1290" i="23"/>
  <c r="P1291" i="23"/>
  <c r="Q1291" i="23"/>
  <c r="R1291" i="23"/>
  <c r="P1292" i="23"/>
  <c r="Q1292" i="23"/>
  <c r="R1292" i="23"/>
  <c r="P1293" i="23"/>
  <c r="Q1293" i="23"/>
  <c r="R1293" i="23"/>
  <c r="P1294" i="23"/>
  <c r="Q1294" i="23"/>
  <c r="R1294" i="23"/>
  <c r="P1295" i="23"/>
  <c r="Q1295" i="23"/>
  <c r="R1295" i="23"/>
  <c r="P1296" i="23"/>
  <c r="Q1296" i="23"/>
  <c r="R1296" i="23"/>
  <c r="P1297" i="23"/>
  <c r="Q1297" i="23"/>
  <c r="R1297" i="23"/>
  <c r="P1298" i="23"/>
  <c r="Q1298" i="23"/>
  <c r="R1298" i="23"/>
  <c r="P1299" i="23"/>
  <c r="Q1299" i="23"/>
  <c r="R1299" i="23"/>
  <c r="P1300" i="23"/>
  <c r="Q1300" i="23"/>
  <c r="R1300" i="23"/>
  <c r="P1301" i="23"/>
  <c r="Q1301" i="23"/>
  <c r="R1301" i="23"/>
  <c r="P1302" i="23"/>
  <c r="Q1302" i="23"/>
  <c r="R1302" i="23"/>
  <c r="P1303" i="23"/>
  <c r="Q1303" i="23"/>
  <c r="R1303" i="23"/>
  <c r="P1304" i="23"/>
  <c r="Q1304" i="23"/>
  <c r="R1304" i="23"/>
  <c r="P1305" i="23"/>
  <c r="Q1305" i="23"/>
  <c r="R1305" i="23"/>
  <c r="P1306" i="23"/>
  <c r="Q1306" i="23"/>
  <c r="R1306" i="23"/>
  <c r="P1307" i="23"/>
  <c r="Q1307" i="23"/>
  <c r="R1307" i="23"/>
  <c r="P1308" i="23"/>
  <c r="Q1308" i="23"/>
  <c r="R1308" i="23"/>
  <c r="P1309" i="23"/>
  <c r="Q1309" i="23"/>
  <c r="R1309" i="23"/>
  <c r="P1310" i="23"/>
  <c r="Q1310" i="23"/>
  <c r="R1310" i="23"/>
  <c r="P1311" i="23"/>
  <c r="Q1311" i="23"/>
  <c r="R1311" i="23"/>
  <c r="P1312" i="23"/>
  <c r="Q1312" i="23"/>
  <c r="R1312" i="23"/>
  <c r="P1313" i="23"/>
  <c r="Q1313" i="23"/>
  <c r="R1313" i="23"/>
  <c r="P1314" i="23"/>
  <c r="Q1314" i="23"/>
  <c r="R1314" i="23"/>
  <c r="P1315" i="23"/>
  <c r="Q1315" i="23"/>
  <c r="R1315" i="23"/>
  <c r="P1316" i="23"/>
  <c r="Q1316" i="23"/>
  <c r="R1316" i="23"/>
  <c r="P1317" i="23"/>
  <c r="Q1317" i="23"/>
  <c r="R1317" i="23"/>
  <c r="P1318" i="23"/>
  <c r="Q1318" i="23"/>
  <c r="R1318" i="23"/>
  <c r="P1319" i="23"/>
  <c r="Q1319" i="23"/>
  <c r="R1319" i="23"/>
  <c r="P1320" i="23"/>
  <c r="Q1320" i="23"/>
  <c r="R1320" i="23"/>
  <c r="P1321" i="23"/>
  <c r="Q1321" i="23"/>
  <c r="R1321" i="23"/>
  <c r="P1322" i="23"/>
  <c r="Q1322" i="23"/>
  <c r="R1322" i="23"/>
  <c r="P1323" i="23"/>
  <c r="Q1323" i="23"/>
  <c r="R1323" i="23"/>
  <c r="P1324" i="23"/>
  <c r="Q1324" i="23"/>
  <c r="R1324" i="23"/>
  <c r="P1325" i="23"/>
  <c r="Q1325" i="23"/>
  <c r="R1325" i="23"/>
  <c r="P1326" i="23"/>
  <c r="Q1326" i="23"/>
  <c r="R1326" i="23"/>
  <c r="P1327" i="23"/>
  <c r="Q1327" i="23"/>
  <c r="R1327" i="23"/>
  <c r="P1328" i="23"/>
  <c r="Q1328" i="23"/>
  <c r="R1328" i="23"/>
  <c r="P1329" i="23"/>
  <c r="Q1329" i="23"/>
  <c r="R1329" i="23"/>
  <c r="P1330" i="23"/>
  <c r="Q1330" i="23"/>
  <c r="R1330" i="23"/>
  <c r="P1331" i="23"/>
  <c r="Q1331" i="23"/>
  <c r="R1331" i="23"/>
  <c r="P1332" i="23"/>
  <c r="Q1332" i="23"/>
  <c r="R1332" i="23"/>
  <c r="P1333" i="23"/>
  <c r="Q1333" i="23"/>
  <c r="R1333" i="23"/>
  <c r="P1334" i="23"/>
  <c r="Q1334" i="23"/>
  <c r="R1334" i="23"/>
  <c r="P1335" i="23"/>
  <c r="Q1335" i="23"/>
  <c r="R1335" i="23"/>
  <c r="P1336" i="23"/>
  <c r="Q1336" i="23"/>
  <c r="R1336" i="23"/>
  <c r="P1337" i="23"/>
  <c r="Q1337" i="23"/>
  <c r="R1337" i="23"/>
  <c r="P1338" i="23"/>
  <c r="Q1338" i="23"/>
  <c r="R1338" i="23"/>
  <c r="P1339" i="23"/>
  <c r="Q1339" i="23"/>
  <c r="R1339" i="23"/>
  <c r="P1340" i="23"/>
  <c r="Q1340" i="23"/>
  <c r="R1340" i="23"/>
  <c r="P1341" i="23"/>
  <c r="Q1341" i="23"/>
  <c r="R1341" i="23"/>
  <c r="P1342" i="23"/>
  <c r="Q1342" i="23"/>
  <c r="R1342" i="23"/>
  <c r="P1343" i="23"/>
  <c r="Q1343" i="23"/>
  <c r="R1343" i="23"/>
  <c r="P1344" i="23"/>
  <c r="Q1344" i="23"/>
  <c r="R1344" i="23"/>
  <c r="P1345" i="23"/>
  <c r="Q1345" i="23"/>
  <c r="R1345" i="23"/>
  <c r="P1346" i="23"/>
  <c r="Q1346" i="23"/>
  <c r="R1346" i="23"/>
  <c r="P1347" i="23"/>
  <c r="Q1347" i="23"/>
  <c r="R1347" i="23"/>
  <c r="P1348" i="23"/>
  <c r="Q1348" i="23"/>
  <c r="R1348" i="23"/>
  <c r="P1349" i="23"/>
  <c r="Q1349" i="23"/>
  <c r="R1349" i="23"/>
  <c r="P1350" i="23"/>
  <c r="Q1350" i="23"/>
  <c r="R1350" i="23"/>
  <c r="P1351" i="23"/>
  <c r="Q1351" i="23"/>
  <c r="R1351" i="23"/>
  <c r="P1352" i="23"/>
  <c r="Q1352" i="23"/>
  <c r="R1352" i="23"/>
  <c r="P1353" i="23"/>
  <c r="Q1353" i="23"/>
  <c r="R1353" i="23"/>
  <c r="P1354" i="23"/>
  <c r="Q1354" i="23"/>
  <c r="R1354" i="23"/>
  <c r="P1355" i="23"/>
  <c r="Q1355" i="23"/>
  <c r="R1355" i="23"/>
  <c r="P1356" i="23"/>
  <c r="Q1356" i="23"/>
  <c r="R1356" i="23"/>
  <c r="P1357" i="23"/>
  <c r="Q1357" i="23"/>
  <c r="R1357" i="23"/>
  <c r="P1358" i="23"/>
  <c r="Q1358" i="23"/>
  <c r="R1358" i="23"/>
  <c r="P1359" i="23"/>
  <c r="Q1359" i="23"/>
  <c r="R1359" i="23"/>
  <c r="P1360" i="23"/>
  <c r="Q1360" i="23"/>
  <c r="R1360" i="23"/>
  <c r="P1361" i="23"/>
  <c r="Q1361" i="23"/>
  <c r="R1361" i="23"/>
  <c r="P1362" i="23"/>
  <c r="Q1362" i="23"/>
  <c r="R1362" i="23"/>
  <c r="P1363" i="23"/>
  <c r="Q1363" i="23"/>
  <c r="R1363" i="23"/>
  <c r="P1364" i="23"/>
  <c r="Q1364" i="23"/>
  <c r="R1364" i="23"/>
  <c r="P1365" i="23"/>
  <c r="Q1365" i="23"/>
  <c r="R1365" i="23"/>
  <c r="P1366" i="23"/>
  <c r="Q1366" i="23"/>
  <c r="R1366" i="23"/>
  <c r="P1367" i="23"/>
  <c r="Q1367" i="23"/>
  <c r="R1367" i="23"/>
  <c r="P1368" i="23"/>
  <c r="Q1368" i="23"/>
  <c r="R1368" i="23"/>
  <c r="P1369" i="23"/>
  <c r="Q1369" i="23"/>
  <c r="R1369" i="23"/>
  <c r="P1370" i="23"/>
  <c r="Q1370" i="23"/>
  <c r="R1370" i="23"/>
  <c r="P1371" i="23"/>
  <c r="Q1371" i="23"/>
  <c r="R1371" i="23"/>
  <c r="P1372" i="23"/>
  <c r="Q1372" i="23"/>
  <c r="R1372" i="23"/>
  <c r="P1373" i="23"/>
  <c r="Q1373" i="23"/>
  <c r="R1373" i="23"/>
  <c r="P1374" i="23"/>
  <c r="Q1374" i="23"/>
  <c r="R1374" i="23"/>
  <c r="P1375" i="23"/>
  <c r="Q1375" i="23"/>
  <c r="R1375" i="23"/>
  <c r="P1376" i="23"/>
  <c r="Q1376" i="23"/>
  <c r="R1376" i="23"/>
  <c r="P1377" i="23"/>
  <c r="Q1377" i="23"/>
  <c r="R1377" i="23"/>
  <c r="P1378" i="23"/>
  <c r="Q1378" i="23"/>
  <c r="R1378" i="23"/>
  <c r="P1379" i="23"/>
  <c r="Q1379" i="23"/>
  <c r="R1379" i="23"/>
  <c r="P1380" i="23"/>
  <c r="Q1380" i="23"/>
  <c r="R1380" i="23"/>
  <c r="Z647" i="23"/>
  <c r="Z648" i="23"/>
  <c r="Z649" i="23"/>
  <c r="Z650" i="23"/>
  <c r="Z651" i="23"/>
  <c r="Z652" i="23"/>
  <c r="Z653" i="23"/>
  <c r="Z654" i="23"/>
  <c r="Z655" i="23"/>
  <c r="Z656" i="23"/>
  <c r="Z657" i="23"/>
  <c r="Z658" i="23"/>
  <c r="Z659" i="23"/>
  <c r="Z660" i="23"/>
  <c r="Z661" i="23"/>
  <c r="Z662" i="23"/>
  <c r="Z663" i="23"/>
  <c r="Z664" i="23"/>
  <c r="Z665" i="23"/>
  <c r="Z666" i="23"/>
  <c r="Z667" i="23"/>
  <c r="Z668" i="23"/>
  <c r="Z669" i="23"/>
  <c r="Z670" i="23"/>
  <c r="Z671" i="23"/>
  <c r="Z672" i="23"/>
  <c r="Z673" i="23"/>
  <c r="Z674" i="23"/>
  <c r="Z675" i="23"/>
  <c r="Z676" i="23"/>
  <c r="Z677" i="23"/>
  <c r="Z678" i="23"/>
  <c r="Z679" i="23"/>
  <c r="Z680" i="23"/>
  <c r="Z681" i="23"/>
  <c r="Z682" i="23"/>
  <c r="Z683" i="23"/>
  <c r="Z684" i="23"/>
  <c r="Z685" i="23"/>
  <c r="Z686" i="23"/>
  <c r="Z687" i="23"/>
  <c r="Z688" i="23"/>
  <c r="Z689" i="23"/>
  <c r="Z690" i="23"/>
  <c r="Z691" i="23"/>
  <c r="Z692" i="23"/>
  <c r="Z693" i="23"/>
  <c r="Z694" i="23"/>
  <c r="Z695" i="23"/>
  <c r="Z696" i="23"/>
  <c r="Z697" i="23"/>
  <c r="Z698" i="23"/>
  <c r="Z699" i="23"/>
  <c r="Z700" i="23"/>
  <c r="Z701" i="23"/>
  <c r="Z702" i="23"/>
  <c r="Z703" i="23"/>
  <c r="Z704" i="23"/>
  <c r="Z705" i="23"/>
  <c r="Z706" i="23"/>
  <c r="Z707" i="23"/>
  <c r="Z708" i="23"/>
  <c r="Z709" i="23"/>
  <c r="Z710" i="23"/>
  <c r="Z711" i="23"/>
  <c r="Z712" i="23"/>
  <c r="Z713" i="23"/>
  <c r="Z714" i="23"/>
  <c r="Z715" i="23"/>
  <c r="Z716" i="23"/>
  <c r="Z717" i="23"/>
  <c r="Z718" i="23"/>
  <c r="Z719" i="23"/>
  <c r="Z720" i="23"/>
  <c r="Z721" i="23"/>
  <c r="Z722" i="23"/>
  <c r="Z723" i="23"/>
  <c r="Z724" i="23"/>
  <c r="Z725" i="23"/>
  <c r="Z726" i="23"/>
  <c r="Z727" i="23"/>
  <c r="Z728" i="23"/>
  <c r="Z729" i="23"/>
  <c r="Z730" i="23"/>
  <c r="Z731" i="23"/>
  <c r="Z732" i="23"/>
  <c r="Z733" i="23"/>
  <c r="Z734" i="23"/>
  <c r="Z735" i="23"/>
  <c r="Z736" i="23"/>
  <c r="Z737" i="23"/>
  <c r="Z738" i="23"/>
  <c r="Z739" i="23"/>
  <c r="Z740" i="23"/>
  <c r="Z741" i="23"/>
  <c r="Z742" i="23"/>
  <c r="Z743" i="23"/>
  <c r="Z744" i="23"/>
  <c r="Z745" i="23"/>
  <c r="Z746" i="23"/>
  <c r="Z747" i="23"/>
  <c r="Z748" i="23"/>
  <c r="Z749" i="23"/>
  <c r="Z750" i="23"/>
  <c r="Z751" i="23"/>
  <c r="Z752" i="23"/>
  <c r="Z753" i="23"/>
  <c r="Z754" i="23"/>
  <c r="Z755" i="23"/>
  <c r="Z756" i="23"/>
  <c r="Z757" i="23"/>
  <c r="Z758" i="23"/>
  <c r="Z759" i="23"/>
  <c r="Z760" i="23"/>
  <c r="Z761" i="23"/>
  <c r="Z762" i="23"/>
  <c r="Z763" i="23"/>
  <c r="Z764" i="23"/>
  <c r="Z765" i="23"/>
  <c r="Z766" i="23"/>
  <c r="Z767" i="23"/>
  <c r="Z768" i="23"/>
  <c r="Z769" i="23"/>
  <c r="Z770" i="23"/>
  <c r="Z771" i="23"/>
  <c r="Z772" i="23"/>
  <c r="Z773" i="23"/>
  <c r="Z774" i="23"/>
  <c r="Z775" i="23"/>
  <c r="Z776" i="23"/>
  <c r="Z777" i="23"/>
  <c r="Z778" i="23"/>
  <c r="Z779" i="23"/>
  <c r="Z780" i="23"/>
  <c r="Z781" i="23"/>
  <c r="Z782" i="23"/>
  <c r="Z783" i="23"/>
  <c r="Z784" i="23"/>
  <c r="Z785" i="23"/>
  <c r="Z786" i="23"/>
  <c r="Z787" i="23"/>
  <c r="Z788" i="23"/>
  <c r="Z789" i="23"/>
  <c r="Z790" i="23"/>
  <c r="Z791" i="23"/>
  <c r="Z792" i="23"/>
  <c r="Z793" i="23"/>
  <c r="Z794" i="23"/>
  <c r="Z795" i="23"/>
  <c r="Z796" i="23"/>
  <c r="Z797" i="23"/>
  <c r="Z798" i="23"/>
  <c r="Z799" i="23"/>
  <c r="Z800" i="23"/>
  <c r="Z801" i="23"/>
  <c r="Z802" i="23"/>
  <c r="Z803" i="23"/>
  <c r="Z804" i="23"/>
  <c r="Z805" i="23"/>
  <c r="Z806" i="23"/>
  <c r="Z807" i="23"/>
  <c r="Z808" i="23"/>
  <c r="Z809" i="23"/>
  <c r="Z810" i="23"/>
  <c r="Z811" i="23"/>
  <c r="Z812" i="23"/>
  <c r="Z813" i="23"/>
  <c r="Z814" i="23"/>
  <c r="Z815" i="23"/>
  <c r="Z816" i="23"/>
  <c r="Z817" i="23"/>
  <c r="Z818" i="23"/>
  <c r="Z819" i="23"/>
  <c r="Z820" i="23"/>
  <c r="Z821" i="23"/>
  <c r="Z822" i="23"/>
  <c r="Z823" i="23"/>
  <c r="Z824" i="23"/>
  <c r="Z825" i="23"/>
  <c r="Z826" i="23"/>
  <c r="Z827" i="23"/>
  <c r="Z828" i="23"/>
  <c r="Z829" i="23"/>
  <c r="Z830" i="23"/>
  <c r="Z831" i="23"/>
  <c r="Z832" i="23"/>
  <c r="Z833" i="23"/>
  <c r="Z834" i="23"/>
  <c r="Z835" i="23"/>
  <c r="Z836" i="23"/>
  <c r="Z837" i="23"/>
  <c r="Z838" i="23"/>
  <c r="Z839" i="23"/>
  <c r="Z840" i="23"/>
  <c r="Z841" i="23"/>
  <c r="Z842" i="23"/>
  <c r="Z843" i="23"/>
  <c r="Z844" i="23"/>
  <c r="Z845" i="23"/>
  <c r="Z846" i="23"/>
  <c r="Z847" i="23"/>
  <c r="Z848" i="23"/>
  <c r="Z849" i="23"/>
  <c r="Z850" i="23"/>
  <c r="Z851" i="23"/>
  <c r="Z852" i="23"/>
  <c r="Z853" i="23"/>
  <c r="Z854" i="23"/>
  <c r="Z855" i="23"/>
  <c r="Z856" i="23"/>
  <c r="Z857" i="23"/>
  <c r="Z858" i="23"/>
  <c r="Z859" i="23"/>
  <c r="Z860" i="23"/>
  <c r="Z861" i="23"/>
  <c r="Z862" i="23"/>
  <c r="Z863" i="23"/>
  <c r="Z864" i="23"/>
  <c r="Z865" i="23"/>
  <c r="Z866" i="23"/>
  <c r="Z867" i="23"/>
  <c r="Z868" i="23"/>
  <c r="Z869" i="23"/>
  <c r="Z870" i="23"/>
  <c r="Z871" i="23"/>
  <c r="Z872" i="23"/>
  <c r="Z873" i="23"/>
  <c r="Z874" i="23"/>
  <c r="Z875" i="23"/>
  <c r="Z876" i="23"/>
  <c r="Z877" i="23"/>
  <c r="Z878" i="23"/>
  <c r="Z879" i="23"/>
  <c r="Z880" i="23"/>
  <c r="Z881" i="23"/>
  <c r="Z882" i="23"/>
  <c r="Z883" i="23"/>
  <c r="Z884" i="23"/>
  <c r="Z885" i="23"/>
  <c r="Z886" i="23"/>
  <c r="Z887" i="23"/>
  <c r="Z888" i="23"/>
  <c r="Z889" i="23"/>
  <c r="Z890" i="23"/>
  <c r="Z891" i="23"/>
  <c r="Z892" i="23"/>
  <c r="Z893" i="23"/>
  <c r="Z894" i="23"/>
  <c r="Z895" i="23"/>
  <c r="Z896" i="23"/>
  <c r="Z897" i="23"/>
  <c r="Z898" i="23"/>
  <c r="Z899" i="23"/>
  <c r="Z900" i="23"/>
  <c r="Z901" i="23"/>
  <c r="Z902" i="23"/>
  <c r="Z903" i="23"/>
  <c r="Z904" i="23"/>
  <c r="Z905" i="23"/>
  <c r="Z906" i="23"/>
  <c r="Z907" i="23"/>
  <c r="Z908" i="23"/>
  <c r="Z909" i="23"/>
  <c r="Z910" i="23"/>
  <c r="Z911" i="23"/>
  <c r="Z912" i="23"/>
  <c r="Z913" i="23"/>
  <c r="Z914" i="23"/>
  <c r="Z915" i="23"/>
  <c r="Z916" i="23"/>
  <c r="Z917" i="23"/>
  <c r="Z918" i="23"/>
  <c r="Z919" i="23"/>
  <c r="Z920" i="23"/>
  <c r="Z921" i="23"/>
  <c r="Z922" i="23"/>
  <c r="Z923" i="23"/>
  <c r="Z924" i="23"/>
  <c r="Z925" i="23"/>
  <c r="Z926" i="23"/>
  <c r="Z927" i="23"/>
  <c r="Z928" i="23"/>
  <c r="Z929" i="23"/>
  <c r="Z930" i="23"/>
  <c r="Z931" i="23"/>
  <c r="Z932" i="23"/>
  <c r="Z933" i="23"/>
  <c r="Z934" i="23"/>
  <c r="Z935" i="23"/>
  <c r="Z936" i="23"/>
  <c r="Z937" i="23"/>
  <c r="Z938" i="23"/>
  <c r="Z939" i="23"/>
  <c r="Z940" i="23"/>
  <c r="Z941" i="23"/>
  <c r="Z942" i="23"/>
  <c r="Z943" i="23"/>
  <c r="Z944" i="23"/>
  <c r="Z945" i="23"/>
  <c r="Z946" i="23"/>
  <c r="Z947" i="23"/>
  <c r="Z948" i="23"/>
  <c r="Z949" i="23"/>
  <c r="Z950" i="23"/>
  <c r="Z951" i="23"/>
  <c r="Z952" i="23"/>
  <c r="Z953" i="23"/>
  <c r="Z954" i="23"/>
  <c r="Z955" i="23"/>
  <c r="Z956" i="23"/>
  <c r="Z957" i="23"/>
  <c r="Z958" i="23"/>
  <c r="Z959" i="23"/>
  <c r="Z960" i="23"/>
  <c r="Z961" i="23"/>
  <c r="Z962" i="23"/>
  <c r="Z963" i="23"/>
  <c r="Z964" i="23"/>
  <c r="Z965" i="23"/>
  <c r="Z966" i="23"/>
  <c r="Z967" i="23"/>
  <c r="Z968" i="23"/>
  <c r="Z969" i="23"/>
  <c r="Z970" i="23"/>
  <c r="Z971" i="23"/>
  <c r="Z972" i="23"/>
  <c r="Z973" i="23"/>
  <c r="Z974" i="23"/>
  <c r="Z975" i="23"/>
  <c r="Z976" i="23"/>
  <c r="Z977" i="23"/>
  <c r="Z978" i="23"/>
  <c r="Z979" i="23"/>
  <c r="Z980" i="23"/>
  <c r="Z981" i="23"/>
  <c r="Z982" i="23"/>
  <c r="Z983" i="23"/>
  <c r="Z984" i="23"/>
  <c r="Z985" i="23"/>
  <c r="Z986" i="23"/>
  <c r="Z987" i="23"/>
  <c r="Z988" i="23"/>
  <c r="Z989" i="23"/>
  <c r="Z990" i="23"/>
  <c r="Z991" i="23"/>
  <c r="Z992" i="23"/>
  <c r="Z993" i="23"/>
  <c r="Z994" i="23"/>
  <c r="Z995" i="23"/>
  <c r="Z996" i="23"/>
  <c r="Z997" i="23"/>
  <c r="Z998" i="23"/>
  <c r="Z999" i="23"/>
  <c r="Z1000" i="23"/>
  <c r="Z1001" i="23"/>
  <c r="Z1002" i="23"/>
  <c r="Z1003" i="23"/>
  <c r="Z1004" i="23"/>
  <c r="Z1005" i="23"/>
  <c r="Z1006" i="23"/>
  <c r="Z1007" i="23"/>
  <c r="Z1008" i="23"/>
  <c r="Z1009" i="23"/>
  <c r="Z1010" i="23"/>
  <c r="Z1011" i="23"/>
  <c r="Z1012" i="23"/>
  <c r="Z1013" i="23"/>
  <c r="Z1014" i="23"/>
  <c r="Z1015" i="23"/>
  <c r="Z1016" i="23"/>
  <c r="Z1017" i="23"/>
  <c r="Z1018" i="23"/>
  <c r="Z1019" i="23"/>
  <c r="Z1020" i="23"/>
  <c r="Z1021" i="23"/>
  <c r="Z1022" i="23"/>
  <c r="Z1023" i="23"/>
  <c r="Z1024" i="23"/>
  <c r="Z1025" i="23"/>
  <c r="Z1026" i="23"/>
  <c r="Z1027" i="23"/>
  <c r="Z1028" i="23"/>
  <c r="Z1029" i="23"/>
  <c r="Z1030" i="23"/>
  <c r="Z1031" i="23"/>
  <c r="Z1032" i="23"/>
  <c r="Z1033" i="23"/>
  <c r="Z1034" i="23"/>
  <c r="Z1035" i="23"/>
  <c r="Z1036" i="23"/>
  <c r="Z1037" i="23"/>
  <c r="Z1038" i="23"/>
  <c r="Z1039" i="23"/>
  <c r="Z1040" i="23"/>
  <c r="Z1041" i="23"/>
  <c r="Z1042" i="23"/>
  <c r="Z1043" i="23"/>
  <c r="Z1044" i="23"/>
  <c r="Z1045" i="23"/>
  <c r="Z1046" i="23"/>
  <c r="Z1047" i="23"/>
  <c r="Z1048" i="23"/>
  <c r="Z1049" i="23"/>
  <c r="Z1050" i="23"/>
  <c r="Z1051" i="23"/>
  <c r="Z1052" i="23"/>
  <c r="Z1053" i="23"/>
  <c r="Z1054" i="23"/>
  <c r="Z1055" i="23"/>
  <c r="Z1056" i="23"/>
  <c r="Z1057" i="23"/>
  <c r="Z1058" i="23"/>
  <c r="Z1059" i="23"/>
  <c r="Z1060" i="23"/>
  <c r="Z1061" i="23"/>
  <c r="Z1062" i="23"/>
  <c r="Z1063" i="23"/>
  <c r="Z1064" i="23"/>
  <c r="Z1065" i="23"/>
  <c r="Z1066" i="23"/>
  <c r="Z1067" i="23"/>
  <c r="Z1068" i="23"/>
  <c r="Z1069" i="23"/>
  <c r="Z1070" i="23"/>
  <c r="Z1071" i="23"/>
  <c r="Z1072" i="23"/>
  <c r="Z1073" i="23"/>
  <c r="Z1074" i="23"/>
  <c r="Z1075" i="23"/>
  <c r="Z1076" i="23"/>
  <c r="Z1077" i="23"/>
  <c r="Z1078" i="23"/>
  <c r="Z1079" i="23"/>
  <c r="Z1080" i="23"/>
  <c r="Z1081" i="23"/>
  <c r="Z1082" i="23"/>
  <c r="Z1083" i="23"/>
  <c r="Z1084" i="23"/>
  <c r="Z1085" i="23"/>
  <c r="Z1086" i="23"/>
  <c r="Z1087" i="23"/>
  <c r="Z1088" i="23"/>
  <c r="Z1089" i="23"/>
  <c r="Z1090" i="23"/>
  <c r="Z1091" i="23"/>
  <c r="Z1092" i="23"/>
  <c r="Z1093" i="23"/>
  <c r="Z1094" i="23"/>
  <c r="J12" i="21"/>
  <c r="Z634" i="23"/>
  <c r="S634" i="23"/>
  <c r="R634" i="23"/>
  <c r="Q634" i="23"/>
  <c r="P634" i="23"/>
  <c r="Z633" i="23"/>
  <c r="S633" i="23"/>
  <c r="R633" i="23"/>
  <c r="Q633" i="23"/>
  <c r="P633" i="23"/>
  <c r="Z632" i="23"/>
  <c r="S632" i="23"/>
  <c r="R632" i="23"/>
  <c r="Q632" i="23"/>
  <c r="P632" i="23"/>
  <c r="Z631" i="23"/>
  <c r="S631" i="23"/>
  <c r="R631" i="23"/>
  <c r="Q631" i="23"/>
  <c r="P631" i="23"/>
  <c r="Z630" i="23"/>
  <c r="S630" i="23"/>
  <c r="R630" i="23"/>
  <c r="Q630" i="23"/>
  <c r="P630" i="23"/>
  <c r="Z629" i="23"/>
  <c r="S629" i="23"/>
  <c r="R629" i="23"/>
  <c r="Q629" i="23"/>
  <c r="P629" i="23"/>
  <c r="Z628" i="23"/>
  <c r="S628" i="23"/>
  <c r="R628" i="23"/>
  <c r="Q628" i="23"/>
  <c r="P628" i="23"/>
  <c r="Z627" i="23"/>
  <c r="S627" i="23"/>
  <c r="R627" i="23"/>
  <c r="Q627" i="23"/>
  <c r="P627" i="23"/>
  <c r="Z626" i="23"/>
  <c r="S626" i="23"/>
  <c r="R626" i="23"/>
  <c r="Q626" i="23"/>
  <c r="P626" i="23"/>
  <c r="Z625" i="23"/>
  <c r="S625" i="23"/>
  <c r="R625" i="23"/>
  <c r="Q625" i="23"/>
  <c r="P625" i="23"/>
  <c r="Z624" i="23"/>
  <c r="S624" i="23"/>
  <c r="R624" i="23"/>
  <c r="Q624" i="23"/>
  <c r="P624" i="23"/>
  <c r="Z623" i="23"/>
  <c r="S623" i="23"/>
  <c r="R623" i="23"/>
  <c r="Q623" i="23"/>
  <c r="P623" i="23"/>
  <c r="Z622" i="23"/>
  <c r="S622" i="23"/>
  <c r="R622" i="23"/>
  <c r="Q622" i="23"/>
  <c r="P622" i="23"/>
  <c r="Z621" i="23"/>
  <c r="S621" i="23"/>
  <c r="R621" i="23"/>
  <c r="Q621" i="23"/>
  <c r="P621" i="23"/>
  <c r="Z620" i="23"/>
  <c r="S620" i="23"/>
  <c r="R620" i="23"/>
  <c r="Q620" i="23"/>
  <c r="P620" i="23"/>
  <c r="Z619" i="23"/>
  <c r="S619" i="23"/>
  <c r="R619" i="23"/>
  <c r="Q619" i="23"/>
  <c r="P619" i="23"/>
  <c r="Z618" i="23"/>
  <c r="S618" i="23"/>
  <c r="R618" i="23"/>
  <c r="Q618" i="23"/>
  <c r="P618" i="23"/>
  <c r="Z617" i="23"/>
  <c r="S617" i="23"/>
  <c r="R617" i="23"/>
  <c r="Q617" i="23"/>
  <c r="P617" i="23"/>
  <c r="Z616" i="23"/>
  <c r="S616" i="23"/>
  <c r="R616" i="23"/>
  <c r="Q616" i="23"/>
  <c r="P616" i="23"/>
  <c r="Z615" i="23"/>
  <c r="S615" i="23"/>
  <c r="R615" i="23"/>
  <c r="Q615" i="23"/>
  <c r="P615" i="23"/>
  <c r="Z614" i="23"/>
  <c r="S614" i="23"/>
  <c r="R614" i="23"/>
  <c r="Q614" i="23"/>
  <c r="P614" i="23"/>
  <c r="Z613" i="23"/>
  <c r="S613" i="23"/>
  <c r="R613" i="23"/>
  <c r="Q613" i="23"/>
  <c r="P613" i="23"/>
  <c r="Z612" i="23"/>
  <c r="S612" i="23"/>
  <c r="R612" i="23"/>
  <c r="Q612" i="23"/>
  <c r="P612" i="23"/>
  <c r="Z611" i="23"/>
  <c r="S611" i="23"/>
  <c r="R611" i="23"/>
  <c r="Q611" i="23"/>
  <c r="P611" i="23"/>
  <c r="Z610" i="23"/>
  <c r="S610" i="23"/>
  <c r="R610" i="23"/>
  <c r="Q610" i="23"/>
  <c r="P610" i="23"/>
  <c r="Z609" i="23"/>
  <c r="S609" i="23"/>
  <c r="R609" i="23"/>
  <c r="Q609" i="23"/>
  <c r="P609" i="23"/>
  <c r="Z608" i="23"/>
  <c r="S608" i="23"/>
  <c r="R608" i="23"/>
  <c r="Q608" i="23"/>
  <c r="P608" i="23"/>
  <c r="Z607" i="23"/>
  <c r="S607" i="23"/>
  <c r="R607" i="23"/>
  <c r="Q607" i="23"/>
  <c r="P607" i="23"/>
  <c r="Z606" i="23"/>
  <c r="S606" i="23"/>
  <c r="R606" i="23"/>
  <c r="Q606" i="23"/>
  <c r="P606" i="23"/>
  <c r="Z605" i="23"/>
  <c r="S605" i="23"/>
  <c r="R605" i="23"/>
  <c r="Q605" i="23"/>
  <c r="P605" i="23"/>
  <c r="Z604" i="23"/>
  <c r="S604" i="23"/>
  <c r="R604" i="23"/>
  <c r="Q604" i="23"/>
  <c r="P604" i="23"/>
  <c r="Z603" i="23"/>
  <c r="S603" i="23"/>
  <c r="R603" i="23"/>
  <c r="Q603" i="23"/>
  <c r="P603" i="23"/>
  <c r="Z602" i="23"/>
  <c r="S602" i="23"/>
  <c r="R602" i="23"/>
  <c r="Q602" i="23"/>
  <c r="P602" i="23"/>
  <c r="Z601" i="23"/>
  <c r="S601" i="23"/>
  <c r="R601" i="23"/>
  <c r="Q601" i="23"/>
  <c r="P601" i="23"/>
  <c r="Z600" i="23"/>
  <c r="S600" i="23"/>
  <c r="R600" i="23"/>
  <c r="Q600" i="23"/>
  <c r="P600" i="23"/>
  <c r="Z599" i="23"/>
  <c r="S599" i="23"/>
  <c r="R599" i="23"/>
  <c r="Q599" i="23"/>
  <c r="P599" i="23"/>
  <c r="Z598" i="23"/>
  <c r="S598" i="23"/>
  <c r="R598" i="23"/>
  <c r="Q598" i="23"/>
  <c r="P598" i="23"/>
  <c r="Z597" i="23"/>
  <c r="S597" i="23"/>
  <c r="R597" i="23"/>
  <c r="Q597" i="23"/>
  <c r="P597" i="23"/>
  <c r="Z596" i="23"/>
  <c r="S596" i="23"/>
  <c r="R596" i="23"/>
  <c r="Q596" i="23"/>
  <c r="P596" i="23"/>
  <c r="Z595" i="23"/>
  <c r="S595" i="23"/>
  <c r="R595" i="23"/>
  <c r="Q595" i="23"/>
  <c r="P595" i="23"/>
  <c r="Z594" i="23"/>
  <c r="S594" i="23"/>
  <c r="R594" i="23"/>
  <c r="Q594" i="23"/>
  <c r="P594" i="23"/>
  <c r="Z593" i="23"/>
  <c r="S593" i="23"/>
  <c r="R593" i="23"/>
  <c r="Q593" i="23"/>
  <c r="P593" i="23"/>
  <c r="Z592" i="23"/>
  <c r="S592" i="23"/>
  <c r="R592" i="23"/>
  <c r="Q592" i="23"/>
  <c r="P592" i="23"/>
  <c r="Z591" i="23"/>
  <c r="S591" i="23"/>
  <c r="R591" i="23"/>
  <c r="Q591" i="23"/>
  <c r="P591" i="23"/>
  <c r="Z590" i="23"/>
  <c r="S590" i="23"/>
  <c r="R590" i="23"/>
  <c r="Q590" i="23"/>
  <c r="P590" i="23"/>
  <c r="Z589" i="23"/>
  <c r="S589" i="23"/>
  <c r="R589" i="23"/>
  <c r="Q589" i="23"/>
  <c r="P589" i="23"/>
  <c r="Z588" i="23"/>
  <c r="S588" i="23"/>
  <c r="R588" i="23"/>
  <c r="Q588" i="23"/>
  <c r="P588" i="23"/>
  <c r="Z587" i="23"/>
  <c r="S587" i="23"/>
  <c r="R587" i="23"/>
  <c r="Q587" i="23"/>
  <c r="P587" i="23"/>
  <c r="Z586" i="23"/>
  <c r="S586" i="23"/>
  <c r="R586" i="23"/>
  <c r="Q586" i="23"/>
  <c r="P586" i="23"/>
  <c r="Z585" i="23"/>
  <c r="S585" i="23"/>
  <c r="R585" i="23"/>
  <c r="Q585" i="23"/>
  <c r="P585" i="23"/>
  <c r="Z584" i="23"/>
  <c r="S584" i="23"/>
  <c r="R584" i="23"/>
  <c r="Q584" i="23"/>
  <c r="P584" i="23"/>
  <c r="P837" i="21"/>
  <c r="Q837" i="21"/>
  <c r="R837" i="21"/>
  <c r="S837" i="21"/>
  <c r="Z837" i="21"/>
  <c r="P838" i="21"/>
  <c r="Q838" i="21"/>
  <c r="R838" i="21"/>
  <c r="S838" i="21"/>
  <c r="Z838" i="21"/>
  <c r="P839" i="21"/>
  <c r="Q839" i="21"/>
  <c r="R839" i="21"/>
  <c r="S839" i="21"/>
  <c r="Z839" i="21"/>
  <c r="P840" i="21"/>
  <c r="Q840" i="21"/>
  <c r="R840" i="21"/>
  <c r="S840" i="21"/>
  <c r="Z840" i="21"/>
  <c r="P841" i="21"/>
  <c r="Q841" i="21"/>
  <c r="R841" i="21"/>
  <c r="S841" i="21"/>
  <c r="Z841" i="21"/>
  <c r="P842" i="21"/>
  <c r="Q842" i="21"/>
  <c r="R842" i="21"/>
  <c r="S842" i="21"/>
  <c r="Z842" i="21"/>
  <c r="P843" i="21"/>
  <c r="Q843" i="21"/>
  <c r="R843" i="21"/>
  <c r="S843" i="21"/>
  <c r="Z843" i="21"/>
  <c r="P844" i="21"/>
  <c r="Q844" i="21"/>
  <c r="R844" i="21"/>
  <c r="S844" i="21"/>
  <c r="Z844" i="21"/>
  <c r="P845" i="21"/>
  <c r="Q845" i="21"/>
  <c r="R845" i="21"/>
  <c r="S845" i="21"/>
  <c r="Z845" i="21"/>
  <c r="P846" i="21"/>
  <c r="Q846" i="21"/>
  <c r="R846" i="21"/>
  <c r="S846" i="21"/>
  <c r="Z846" i="21"/>
  <c r="P847" i="21"/>
  <c r="Q847" i="21"/>
  <c r="R847" i="21"/>
  <c r="S847" i="21"/>
  <c r="Z847" i="21"/>
  <c r="P848" i="21"/>
  <c r="Q848" i="21"/>
  <c r="R848" i="21"/>
  <c r="S848" i="21"/>
  <c r="Z848" i="21"/>
  <c r="P849" i="21"/>
  <c r="Q849" i="21"/>
  <c r="R849" i="21"/>
  <c r="S849" i="21"/>
  <c r="Z849" i="21"/>
  <c r="P850" i="21"/>
  <c r="Q850" i="21"/>
  <c r="R850" i="21"/>
  <c r="S850" i="21"/>
  <c r="Z850" i="21"/>
  <c r="P851" i="21"/>
  <c r="Q851" i="21"/>
  <c r="R851" i="21"/>
  <c r="S851" i="21"/>
  <c r="Z851" i="21"/>
  <c r="P852" i="21"/>
  <c r="Q852" i="21"/>
  <c r="R852" i="21"/>
  <c r="S852" i="21"/>
  <c r="Z852" i="21"/>
  <c r="P853" i="21"/>
  <c r="Q853" i="21"/>
  <c r="R853" i="21"/>
  <c r="S853" i="21"/>
  <c r="Z853" i="21"/>
  <c r="P854" i="21"/>
  <c r="Q854" i="21"/>
  <c r="R854" i="21"/>
  <c r="S854" i="21"/>
  <c r="Z854" i="21"/>
  <c r="P855" i="21"/>
  <c r="Q855" i="21"/>
  <c r="R855" i="21"/>
  <c r="S855" i="21"/>
  <c r="Z855" i="21"/>
  <c r="P856" i="21"/>
  <c r="Q856" i="21"/>
  <c r="R856" i="21"/>
  <c r="S856" i="21"/>
  <c r="Z856" i="21"/>
  <c r="P857" i="21"/>
  <c r="Q857" i="21"/>
  <c r="R857" i="21"/>
  <c r="S857" i="21"/>
  <c r="Z857" i="21"/>
  <c r="P858" i="21"/>
  <c r="Q858" i="21"/>
  <c r="R858" i="21"/>
  <c r="S858" i="21"/>
  <c r="Z858" i="21"/>
  <c r="P859" i="21"/>
  <c r="Q859" i="21"/>
  <c r="R859" i="21"/>
  <c r="S859" i="21"/>
  <c r="Z859" i="21"/>
  <c r="P860" i="21"/>
  <c r="Q860" i="21"/>
  <c r="R860" i="21"/>
  <c r="S860" i="21"/>
  <c r="Z860" i="21"/>
  <c r="P861" i="21"/>
  <c r="Q861" i="21"/>
  <c r="R861" i="21"/>
  <c r="S861" i="21"/>
  <c r="Z861" i="21"/>
  <c r="P862" i="21"/>
  <c r="Q862" i="21"/>
  <c r="R862" i="21"/>
  <c r="S862" i="21"/>
  <c r="Z862" i="21"/>
  <c r="P863" i="21"/>
  <c r="Q863" i="21"/>
  <c r="R863" i="21"/>
  <c r="S863" i="21"/>
  <c r="Z863" i="21"/>
  <c r="P864" i="21"/>
  <c r="Q864" i="21"/>
  <c r="R864" i="21"/>
  <c r="S864" i="21"/>
  <c r="Z864" i="21"/>
  <c r="P865" i="21"/>
  <c r="Q865" i="21"/>
  <c r="R865" i="21"/>
  <c r="S865" i="21"/>
  <c r="Z865" i="21"/>
  <c r="P866" i="21"/>
  <c r="Q866" i="21"/>
  <c r="R866" i="21"/>
  <c r="S866" i="21"/>
  <c r="Z866" i="21"/>
  <c r="P867" i="21"/>
  <c r="Q867" i="21"/>
  <c r="R867" i="21"/>
  <c r="S867" i="21"/>
  <c r="Z867" i="21"/>
  <c r="P868" i="21"/>
  <c r="Q868" i="21"/>
  <c r="R868" i="21"/>
  <c r="S868" i="21"/>
  <c r="Z868" i="21"/>
  <c r="P500" i="21"/>
  <c r="Q500" i="21"/>
  <c r="R500" i="21"/>
  <c r="S500" i="21"/>
  <c r="P501" i="21"/>
  <c r="Q501" i="21"/>
  <c r="R501" i="21"/>
  <c r="S501" i="21"/>
  <c r="P502" i="21"/>
  <c r="Q502" i="21"/>
  <c r="R502" i="21"/>
  <c r="S502" i="21"/>
  <c r="P503" i="21"/>
  <c r="Q503" i="21"/>
  <c r="R503" i="21"/>
  <c r="S503" i="21"/>
  <c r="P504" i="21"/>
  <c r="Q504" i="21"/>
  <c r="R504" i="21"/>
  <c r="S504" i="21"/>
  <c r="P505" i="21"/>
  <c r="Q505" i="21"/>
  <c r="R505" i="21"/>
  <c r="S505" i="21"/>
  <c r="P506" i="21"/>
  <c r="Q506" i="21"/>
  <c r="R506" i="21"/>
  <c r="S506" i="21"/>
  <c r="P507" i="21"/>
  <c r="Q507" i="21"/>
  <c r="R507" i="21"/>
  <c r="S507" i="21"/>
  <c r="P508" i="21"/>
  <c r="Q508" i="21"/>
  <c r="R508" i="21"/>
  <c r="S508" i="21"/>
  <c r="P509" i="21"/>
  <c r="Q509" i="21"/>
  <c r="R509" i="21"/>
  <c r="S509" i="21"/>
  <c r="P510" i="21"/>
  <c r="Q510" i="21"/>
  <c r="R510" i="21"/>
  <c r="S510" i="21"/>
  <c r="P511" i="21"/>
  <c r="Q511" i="21"/>
  <c r="R511" i="21"/>
  <c r="S511" i="21"/>
  <c r="P512" i="21"/>
  <c r="Q512" i="21"/>
  <c r="R512" i="21"/>
  <c r="S512" i="21"/>
  <c r="P513" i="21"/>
  <c r="Q513" i="21"/>
  <c r="R513" i="21"/>
  <c r="S513" i="21"/>
  <c r="P514" i="21"/>
  <c r="Q514" i="21"/>
  <c r="R514" i="21"/>
  <c r="S514" i="21"/>
  <c r="P515" i="21"/>
  <c r="Q515" i="21"/>
  <c r="R515" i="21"/>
  <c r="S515" i="21"/>
  <c r="P516" i="21"/>
  <c r="Q516" i="21"/>
  <c r="R516" i="21"/>
  <c r="S516" i="21"/>
  <c r="P517" i="21"/>
  <c r="Q517" i="21"/>
  <c r="R517" i="21"/>
  <c r="S517" i="21"/>
  <c r="P518" i="21"/>
  <c r="Q518" i="21"/>
  <c r="R518" i="21"/>
  <c r="S518" i="21"/>
  <c r="P519" i="21"/>
  <c r="Q519" i="21"/>
  <c r="R519" i="21"/>
  <c r="S519" i="21"/>
  <c r="P520" i="21"/>
  <c r="Q520" i="21"/>
  <c r="R520" i="21"/>
  <c r="S520" i="21"/>
  <c r="P521" i="21"/>
  <c r="Q521" i="21"/>
  <c r="R521" i="21"/>
  <c r="S521" i="21"/>
  <c r="P522" i="21"/>
  <c r="Q522" i="21"/>
  <c r="R522" i="21"/>
  <c r="S522" i="21"/>
  <c r="P523" i="21"/>
  <c r="Q523" i="21"/>
  <c r="R523" i="21"/>
  <c r="S523" i="21"/>
  <c r="P524" i="21"/>
  <c r="Q524" i="21"/>
  <c r="R524" i="21"/>
  <c r="S524" i="21"/>
  <c r="P525" i="21"/>
  <c r="Q525" i="21"/>
  <c r="R525" i="21"/>
  <c r="S525" i="21"/>
  <c r="P526" i="21"/>
  <c r="Q526" i="21"/>
  <c r="R526" i="21"/>
  <c r="S526" i="21"/>
  <c r="P527" i="21"/>
  <c r="Q527" i="21"/>
  <c r="R527" i="21"/>
  <c r="S527" i="21"/>
  <c r="P528" i="21"/>
  <c r="Q528" i="21"/>
  <c r="R528" i="21"/>
  <c r="S528" i="21"/>
  <c r="P529" i="21"/>
  <c r="Q529" i="21"/>
  <c r="R529" i="21"/>
  <c r="S529" i="21"/>
  <c r="P530" i="21"/>
  <c r="Q530" i="21"/>
  <c r="R530" i="21"/>
  <c r="S530" i="21"/>
  <c r="P531" i="21"/>
  <c r="Q531" i="21"/>
  <c r="R531" i="21"/>
  <c r="S531" i="21"/>
  <c r="P532" i="21"/>
  <c r="Q532" i="21"/>
  <c r="R532" i="21"/>
  <c r="S532" i="21"/>
  <c r="P533" i="21"/>
  <c r="Q533" i="21"/>
  <c r="R533" i="21"/>
  <c r="S533" i="21"/>
  <c r="P534" i="21"/>
  <c r="Q534" i="21"/>
  <c r="R534" i="21"/>
  <c r="S534" i="21"/>
  <c r="P535" i="21"/>
  <c r="Q535" i="21"/>
  <c r="R535" i="21"/>
  <c r="S535" i="21"/>
  <c r="P536" i="21"/>
  <c r="Q536" i="21"/>
  <c r="R536" i="21"/>
  <c r="S536" i="21"/>
  <c r="P537" i="21"/>
  <c r="Q537" i="21"/>
  <c r="R537" i="21"/>
  <c r="S537" i="21"/>
  <c r="P538" i="21"/>
  <c r="Q538" i="21"/>
  <c r="R538" i="21"/>
  <c r="S538" i="21"/>
  <c r="P539" i="21"/>
  <c r="Q539" i="21"/>
  <c r="R539" i="21"/>
  <c r="S539" i="21"/>
  <c r="P540" i="21"/>
  <c r="Q540" i="21"/>
  <c r="R540" i="21"/>
  <c r="S540" i="21"/>
  <c r="P541" i="21"/>
  <c r="Q541" i="21"/>
  <c r="R541" i="21"/>
  <c r="S541" i="21"/>
  <c r="P542" i="21"/>
  <c r="Q542" i="21"/>
  <c r="R542" i="21"/>
  <c r="S542" i="21"/>
  <c r="P543" i="21"/>
  <c r="Q543" i="21"/>
  <c r="R543" i="21"/>
  <c r="S543" i="21"/>
  <c r="P544" i="21"/>
  <c r="Q544" i="21"/>
  <c r="R544" i="21"/>
  <c r="S544" i="21"/>
  <c r="P545" i="21"/>
  <c r="Q545" i="21"/>
  <c r="R545" i="21"/>
  <c r="S545" i="21"/>
  <c r="P546" i="21"/>
  <c r="Q546" i="21"/>
  <c r="R546" i="21"/>
  <c r="S546" i="21"/>
  <c r="P547" i="21"/>
  <c r="Q547" i="21"/>
  <c r="R547" i="21"/>
  <c r="S547" i="21"/>
  <c r="P548" i="21"/>
  <c r="Q548" i="21"/>
  <c r="R548" i="21"/>
  <c r="S548" i="21"/>
  <c r="P549" i="21"/>
  <c r="Q549" i="21"/>
  <c r="R549" i="21"/>
  <c r="S549" i="21"/>
  <c r="P550" i="21"/>
  <c r="Q550" i="21"/>
  <c r="R550" i="21"/>
  <c r="S550" i="21"/>
  <c r="P551" i="21"/>
  <c r="Q551" i="21"/>
  <c r="R551" i="21"/>
  <c r="S551" i="21"/>
  <c r="P552" i="21"/>
  <c r="Q552" i="21"/>
  <c r="R552" i="21"/>
  <c r="S552" i="21"/>
  <c r="P553" i="21"/>
  <c r="Q553" i="21"/>
  <c r="R553" i="21"/>
  <c r="S553" i="21"/>
  <c r="P554" i="21"/>
  <c r="Q554" i="21"/>
  <c r="R554" i="21"/>
  <c r="S554" i="21"/>
  <c r="P555" i="21"/>
  <c r="Q555" i="21"/>
  <c r="R555" i="21"/>
  <c r="S555" i="21"/>
  <c r="P556" i="21"/>
  <c r="Q556" i="21"/>
  <c r="R556" i="21"/>
  <c r="S556" i="21"/>
  <c r="P557" i="21"/>
  <c r="Q557" i="21"/>
  <c r="R557" i="21"/>
  <c r="S557" i="21"/>
  <c r="P558" i="21"/>
  <c r="Q558" i="21"/>
  <c r="R558" i="21"/>
  <c r="S558" i="21"/>
  <c r="P559" i="21"/>
  <c r="Q559" i="21"/>
  <c r="R559" i="21"/>
  <c r="S559" i="21"/>
  <c r="P560" i="21"/>
  <c r="Q560" i="21"/>
  <c r="R560" i="21"/>
  <c r="S560" i="21"/>
  <c r="P561" i="21"/>
  <c r="Q561" i="21"/>
  <c r="R561" i="21"/>
  <c r="S561" i="21"/>
  <c r="P562" i="21"/>
  <c r="Q562" i="21"/>
  <c r="R562" i="21"/>
  <c r="S562" i="21"/>
  <c r="P563" i="21"/>
  <c r="Q563" i="21"/>
  <c r="R563" i="21"/>
  <c r="S563" i="21"/>
  <c r="P564" i="21"/>
  <c r="Q564" i="21"/>
  <c r="R564" i="21"/>
  <c r="S564" i="21"/>
  <c r="P565" i="21"/>
  <c r="Q565" i="21"/>
  <c r="R565" i="21"/>
  <c r="S565" i="21"/>
  <c r="P566" i="21"/>
  <c r="Q566" i="21"/>
  <c r="R566" i="21"/>
  <c r="S566" i="21"/>
  <c r="P567" i="21"/>
  <c r="Q567" i="21"/>
  <c r="R567" i="21"/>
  <c r="S567" i="21"/>
  <c r="P568" i="21"/>
  <c r="Q568" i="21"/>
  <c r="R568" i="21"/>
  <c r="S568" i="21"/>
  <c r="P569" i="21"/>
  <c r="Q569" i="21"/>
  <c r="R569" i="21"/>
  <c r="S569" i="21"/>
  <c r="P570" i="21"/>
  <c r="Q570" i="21"/>
  <c r="R570" i="21"/>
  <c r="S570" i="21"/>
  <c r="P571" i="21"/>
  <c r="Q571" i="21"/>
  <c r="R571" i="21"/>
  <c r="S571" i="21"/>
  <c r="P572" i="21"/>
  <c r="Q572" i="21"/>
  <c r="R572" i="21"/>
  <c r="S572" i="21"/>
  <c r="P573" i="21"/>
  <c r="Q573" i="21"/>
  <c r="R573" i="21"/>
  <c r="S573" i="21"/>
  <c r="P574" i="21"/>
  <c r="Q574" i="21"/>
  <c r="R574" i="21"/>
  <c r="S574" i="21"/>
  <c r="P575" i="21"/>
  <c r="Q575" i="21"/>
  <c r="R575" i="21"/>
  <c r="S575" i="21"/>
  <c r="P576" i="21"/>
  <c r="Q576" i="21"/>
  <c r="R576" i="21"/>
  <c r="S576" i="21"/>
  <c r="P577" i="21"/>
  <c r="Q577" i="21"/>
  <c r="R577" i="21"/>
  <c r="S577" i="21"/>
  <c r="P578" i="21"/>
  <c r="Q578" i="21"/>
  <c r="R578" i="21"/>
  <c r="S578" i="21"/>
  <c r="P579" i="21"/>
  <c r="Q579" i="21"/>
  <c r="R579" i="21"/>
  <c r="S579" i="21"/>
  <c r="P580" i="21"/>
  <c r="Q580" i="21"/>
  <c r="R580" i="21"/>
  <c r="S580" i="21"/>
  <c r="P581" i="21"/>
  <c r="Q581" i="21"/>
  <c r="R581" i="21"/>
  <c r="S581" i="21"/>
  <c r="P582" i="21"/>
  <c r="Q582" i="21"/>
  <c r="R582" i="21"/>
  <c r="S582" i="21"/>
  <c r="P583" i="21"/>
  <c r="Q583" i="21"/>
  <c r="R583" i="21"/>
  <c r="S583" i="21"/>
  <c r="P584" i="21"/>
  <c r="Q584" i="21"/>
  <c r="R584" i="21"/>
  <c r="S584" i="21"/>
  <c r="P585" i="21"/>
  <c r="Q585" i="21"/>
  <c r="R585" i="21"/>
  <c r="S585" i="21"/>
  <c r="P586" i="21"/>
  <c r="Q586" i="21"/>
  <c r="R586" i="21"/>
  <c r="S586" i="21"/>
  <c r="P587" i="21"/>
  <c r="Q587" i="21"/>
  <c r="R587" i="21"/>
  <c r="S587" i="21"/>
  <c r="P588" i="21"/>
  <c r="Q588" i="21"/>
  <c r="R588" i="21"/>
  <c r="S588" i="21"/>
  <c r="P589" i="21"/>
  <c r="Q589" i="21"/>
  <c r="R589" i="21"/>
  <c r="S589" i="21"/>
  <c r="P590" i="21"/>
  <c r="Q590" i="21"/>
  <c r="R590" i="21"/>
  <c r="S590" i="21"/>
  <c r="P591" i="21"/>
  <c r="Q591" i="21"/>
  <c r="R591" i="21"/>
  <c r="S591" i="21"/>
  <c r="P592" i="21"/>
  <c r="Q592" i="21"/>
  <c r="R592" i="21"/>
  <c r="S592" i="21"/>
  <c r="P593" i="21"/>
  <c r="Q593" i="21"/>
  <c r="R593" i="21"/>
  <c r="S593" i="21"/>
  <c r="P594" i="21"/>
  <c r="Q594" i="21"/>
  <c r="R594" i="21"/>
  <c r="S594" i="21"/>
  <c r="P595" i="21"/>
  <c r="Q595" i="21"/>
  <c r="R595" i="21"/>
  <c r="S595" i="21"/>
  <c r="P596" i="21"/>
  <c r="Q596" i="21"/>
  <c r="R596" i="21"/>
  <c r="S596" i="21"/>
  <c r="P597" i="21"/>
  <c r="Q597" i="21"/>
  <c r="R597" i="21"/>
  <c r="S597" i="21"/>
  <c r="P598" i="21"/>
  <c r="Q598" i="21"/>
  <c r="R598" i="21"/>
  <c r="S598" i="21"/>
  <c r="P599" i="21"/>
  <c r="Q599" i="21"/>
  <c r="R599" i="21"/>
  <c r="S599" i="21"/>
  <c r="P600" i="21"/>
  <c r="Q600" i="21"/>
  <c r="R600" i="21"/>
  <c r="S600" i="21"/>
  <c r="P601" i="21"/>
  <c r="Q601" i="21"/>
  <c r="R601" i="21"/>
  <c r="S601" i="21"/>
  <c r="P602" i="21"/>
  <c r="Q602" i="21"/>
  <c r="R602" i="21"/>
  <c r="S602" i="21"/>
  <c r="P603" i="21"/>
  <c r="Q603" i="21"/>
  <c r="R603" i="21"/>
  <c r="S603" i="21"/>
  <c r="P604" i="21"/>
  <c r="Q604" i="21"/>
  <c r="R604" i="21"/>
  <c r="S604" i="21"/>
  <c r="P605" i="21"/>
  <c r="Q605" i="21"/>
  <c r="R605" i="21"/>
  <c r="S605" i="21"/>
  <c r="P606" i="21"/>
  <c r="Q606" i="21"/>
  <c r="R606" i="21"/>
  <c r="S606" i="21"/>
  <c r="P607" i="21"/>
  <c r="Q607" i="21"/>
  <c r="R607" i="21"/>
  <c r="S607" i="21"/>
  <c r="P608" i="21"/>
  <c r="Q608" i="21"/>
  <c r="R608" i="21"/>
  <c r="S608" i="21"/>
  <c r="P609" i="21"/>
  <c r="Q609" i="21"/>
  <c r="R609" i="21"/>
  <c r="S609" i="21"/>
  <c r="P610" i="21"/>
  <c r="Q610" i="21"/>
  <c r="R610" i="21"/>
  <c r="S610" i="21"/>
  <c r="P611" i="21"/>
  <c r="Q611" i="21"/>
  <c r="R611" i="21"/>
  <c r="S611" i="21"/>
  <c r="P612" i="21"/>
  <c r="Q612" i="21"/>
  <c r="R612" i="21"/>
  <c r="S612" i="21"/>
  <c r="P613" i="21"/>
  <c r="Q613" i="21"/>
  <c r="R613" i="21"/>
  <c r="S613" i="21"/>
  <c r="P614" i="21"/>
  <c r="Q614" i="21"/>
  <c r="R614" i="21"/>
  <c r="S614" i="21"/>
  <c r="P615" i="21"/>
  <c r="Q615" i="21"/>
  <c r="R615" i="21"/>
  <c r="S615" i="21"/>
  <c r="P616" i="21"/>
  <c r="Q616" i="21"/>
  <c r="R616" i="21"/>
  <c r="S616" i="21"/>
  <c r="P617" i="21"/>
  <c r="Q617" i="21"/>
  <c r="R617" i="21"/>
  <c r="S617" i="21"/>
  <c r="P618" i="21"/>
  <c r="Q618" i="21"/>
  <c r="R618" i="21"/>
  <c r="S618" i="21"/>
  <c r="P619" i="21"/>
  <c r="Q619" i="21"/>
  <c r="R619" i="21"/>
  <c r="S619" i="21"/>
  <c r="P620" i="21"/>
  <c r="Q620" i="21"/>
  <c r="R620" i="21"/>
  <c r="S620" i="21"/>
  <c r="P621" i="21"/>
  <c r="Q621" i="21"/>
  <c r="R621" i="21"/>
  <c r="S621" i="21"/>
  <c r="P622" i="21"/>
  <c r="Q622" i="21"/>
  <c r="R622" i="21"/>
  <c r="S622" i="21"/>
  <c r="P623" i="21"/>
  <c r="Q623" i="21"/>
  <c r="R623" i="21"/>
  <c r="S623" i="21"/>
  <c r="P624" i="21"/>
  <c r="Q624" i="21"/>
  <c r="R624" i="21"/>
  <c r="S624" i="21"/>
  <c r="P625" i="21"/>
  <c r="Q625" i="21"/>
  <c r="R625" i="21"/>
  <c r="S625" i="21"/>
  <c r="P626" i="21"/>
  <c r="Q626" i="21"/>
  <c r="R626" i="21"/>
  <c r="S626" i="21"/>
  <c r="P627" i="21"/>
  <c r="Q627" i="21"/>
  <c r="R627" i="21"/>
  <c r="S627" i="21"/>
  <c r="P628" i="21"/>
  <c r="Q628" i="21"/>
  <c r="R628" i="21"/>
  <c r="S628" i="21"/>
  <c r="P629" i="21"/>
  <c r="Q629" i="21"/>
  <c r="R629" i="21"/>
  <c r="S629" i="21"/>
  <c r="P630" i="21"/>
  <c r="Q630" i="21"/>
  <c r="R630" i="21"/>
  <c r="S630" i="21"/>
  <c r="P631" i="21"/>
  <c r="Q631" i="21"/>
  <c r="R631" i="21"/>
  <c r="S631" i="21"/>
  <c r="P632" i="21"/>
  <c r="Q632" i="21"/>
  <c r="R632" i="21"/>
  <c r="S632" i="21"/>
  <c r="P633" i="21"/>
  <c r="Q633" i="21"/>
  <c r="R633" i="21"/>
  <c r="S633" i="21"/>
  <c r="P634" i="21"/>
  <c r="Q634" i="21"/>
  <c r="R634" i="21"/>
  <c r="S634" i="21"/>
  <c r="P635" i="21"/>
  <c r="Q635" i="21"/>
  <c r="R635" i="21"/>
  <c r="S635" i="21"/>
  <c r="P636" i="21"/>
  <c r="Q636" i="21"/>
  <c r="R636" i="21"/>
  <c r="S636" i="21"/>
  <c r="P637" i="21"/>
  <c r="Q637" i="21"/>
  <c r="R637" i="21"/>
  <c r="S637" i="21"/>
  <c r="P638" i="21"/>
  <c r="Q638" i="21"/>
  <c r="R638" i="21"/>
  <c r="S638" i="21"/>
  <c r="P639" i="21"/>
  <c r="Q639" i="21"/>
  <c r="R639" i="21"/>
  <c r="S639" i="21"/>
  <c r="P640" i="21"/>
  <c r="Q640" i="21"/>
  <c r="R640" i="21"/>
  <c r="S640" i="21"/>
  <c r="P641" i="21"/>
  <c r="Q641" i="21"/>
  <c r="R641" i="21"/>
  <c r="S641" i="21"/>
  <c r="P642" i="21"/>
  <c r="Q642" i="21"/>
  <c r="R642" i="21"/>
  <c r="S642" i="21"/>
  <c r="P643" i="21"/>
  <c r="Q643" i="21"/>
  <c r="R643" i="21"/>
  <c r="S643" i="21"/>
  <c r="P644" i="21"/>
  <c r="Q644" i="21"/>
  <c r="R644" i="21"/>
  <c r="S644" i="21"/>
  <c r="P645" i="21"/>
  <c r="Q645" i="21"/>
  <c r="R645" i="21"/>
  <c r="S645" i="21"/>
  <c r="P646" i="21"/>
  <c r="Q646" i="21"/>
  <c r="R646" i="21"/>
  <c r="S646" i="21"/>
  <c r="P647" i="21"/>
  <c r="Q647" i="21"/>
  <c r="R647" i="21"/>
  <c r="S647" i="21"/>
  <c r="P648" i="21"/>
  <c r="Q648" i="21"/>
  <c r="R648" i="21"/>
  <c r="S648" i="21"/>
  <c r="P649" i="21"/>
  <c r="Q649" i="21"/>
  <c r="R649" i="21"/>
  <c r="S649" i="21"/>
  <c r="P650" i="21"/>
  <c r="Q650" i="21"/>
  <c r="R650" i="21"/>
  <c r="S650" i="21"/>
  <c r="P651" i="21"/>
  <c r="Q651" i="21"/>
  <c r="R651" i="21"/>
  <c r="S651" i="21"/>
  <c r="P652" i="21"/>
  <c r="Q652" i="21"/>
  <c r="R652" i="21"/>
  <c r="S652" i="21"/>
  <c r="P653" i="21"/>
  <c r="Q653" i="21"/>
  <c r="R653" i="21"/>
  <c r="S653" i="21"/>
  <c r="P654" i="21"/>
  <c r="Q654" i="21"/>
  <c r="R654" i="21"/>
  <c r="S654" i="21"/>
  <c r="P655" i="21"/>
  <c r="Q655" i="21"/>
  <c r="R655" i="21"/>
  <c r="S655" i="21"/>
  <c r="P656" i="21"/>
  <c r="Q656" i="21"/>
  <c r="R656" i="21"/>
  <c r="S656" i="21"/>
  <c r="P657" i="21"/>
  <c r="Q657" i="21"/>
  <c r="R657" i="21"/>
  <c r="S657" i="21"/>
  <c r="P658" i="21"/>
  <c r="Q658" i="21"/>
  <c r="R658" i="21"/>
  <c r="S658" i="21"/>
  <c r="P659" i="21"/>
  <c r="Q659" i="21"/>
  <c r="R659" i="21"/>
  <c r="S659" i="21"/>
  <c r="P660" i="21"/>
  <c r="Q660" i="21"/>
  <c r="R660" i="21"/>
  <c r="S660" i="21"/>
  <c r="P661" i="21"/>
  <c r="Q661" i="21"/>
  <c r="R661" i="21"/>
  <c r="S661" i="21"/>
  <c r="P662" i="21"/>
  <c r="Q662" i="21"/>
  <c r="R662" i="21"/>
  <c r="S662" i="21"/>
  <c r="P663" i="21"/>
  <c r="Q663" i="21"/>
  <c r="R663" i="21"/>
  <c r="S663" i="21"/>
  <c r="P664" i="21"/>
  <c r="Q664" i="21"/>
  <c r="R664" i="21"/>
  <c r="S664" i="21"/>
  <c r="P665" i="21"/>
  <c r="Q665" i="21"/>
  <c r="R665" i="21"/>
  <c r="S665" i="21"/>
  <c r="P666" i="21"/>
  <c r="Q666" i="21"/>
  <c r="R666" i="21"/>
  <c r="S666" i="21"/>
  <c r="P667" i="21"/>
  <c r="Q667" i="21"/>
  <c r="R667" i="21"/>
  <c r="S667" i="21"/>
  <c r="P668" i="21"/>
  <c r="Q668" i="21"/>
  <c r="R668" i="21"/>
  <c r="S668" i="21"/>
  <c r="P669" i="21"/>
  <c r="Q669" i="21"/>
  <c r="R669" i="21"/>
  <c r="S669" i="21"/>
  <c r="P670" i="21"/>
  <c r="Q670" i="21"/>
  <c r="R670" i="21"/>
  <c r="S670" i="21"/>
  <c r="P671" i="21"/>
  <c r="Q671" i="21"/>
  <c r="R671" i="21"/>
  <c r="S671" i="21"/>
  <c r="P672" i="21"/>
  <c r="Q672" i="21"/>
  <c r="R672" i="21"/>
  <c r="S672" i="21"/>
  <c r="P673" i="21"/>
  <c r="Q673" i="21"/>
  <c r="R673" i="21"/>
  <c r="S673" i="21"/>
  <c r="P674" i="21"/>
  <c r="Q674" i="21"/>
  <c r="R674" i="21"/>
  <c r="S674" i="21"/>
  <c r="P675" i="21"/>
  <c r="Q675" i="21"/>
  <c r="R675" i="21"/>
  <c r="S675" i="21"/>
  <c r="P676" i="21"/>
  <c r="Q676" i="21"/>
  <c r="R676" i="21"/>
  <c r="S676" i="21"/>
  <c r="P677" i="21"/>
  <c r="Q677" i="21"/>
  <c r="R677" i="21"/>
  <c r="S677" i="21"/>
  <c r="P678" i="21"/>
  <c r="Q678" i="21"/>
  <c r="R678" i="21"/>
  <c r="S678" i="21"/>
  <c r="P679" i="21"/>
  <c r="Q679" i="21"/>
  <c r="R679" i="21"/>
  <c r="S679" i="21"/>
  <c r="P680" i="21"/>
  <c r="Q680" i="21"/>
  <c r="R680" i="21"/>
  <c r="S680" i="21"/>
  <c r="P681" i="21"/>
  <c r="Q681" i="21"/>
  <c r="R681" i="21"/>
  <c r="S681" i="21"/>
  <c r="L30" i="24"/>
  <c r="Z637" i="23"/>
  <c r="S637" i="23"/>
  <c r="R637" i="23"/>
  <c r="Q637" i="23"/>
  <c r="P637" i="23"/>
  <c r="Z636" i="23"/>
  <c r="S636" i="23"/>
  <c r="R636" i="23"/>
  <c r="Q636" i="23"/>
  <c r="P636" i="23"/>
  <c r="Z635" i="23"/>
  <c r="S635" i="23"/>
  <c r="R635" i="23"/>
  <c r="Q635" i="23"/>
  <c r="P635" i="23"/>
  <c r="I98" i="11"/>
  <c r="L30" i="21"/>
  <c r="S682" i="21"/>
  <c r="S683" i="21"/>
  <c r="S684" i="21"/>
  <c r="S685" i="21"/>
  <c r="S686" i="21"/>
  <c r="S687" i="21"/>
  <c r="S688" i="21"/>
  <c r="S689" i="21"/>
  <c r="S690" i="21"/>
  <c r="S691" i="21"/>
  <c r="S692" i="21"/>
  <c r="S693" i="21"/>
  <c r="S694" i="21"/>
  <c r="S695" i="21"/>
  <c r="S696" i="21"/>
  <c r="S697" i="21"/>
  <c r="S698" i="21"/>
  <c r="S699" i="21"/>
  <c r="S700" i="21"/>
  <c r="S701" i="21"/>
  <c r="S702" i="21"/>
  <c r="S703" i="21"/>
  <c r="S704" i="21"/>
  <c r="S705" i="21"/>
  <c r="S706" i="21"/>
  <c r="S707" i="21"/>
  <c r="S708" i="21"/>
  <c r="S709" i="21"/>
  <c r="S710" i="21"/>
  <c r="S711" i="21"/>
  <c r="S712" i="21"/>
  <c r="S713" i="21"/>
  <c r="S714" i="21"/>
  <c r="S715" i="21"/>
  <c r="S716" i="21"/>
  <c r="S717" i="21"/>
  <c r="S718" i="21"/>
  <c r="S719" i="21"/>
  <c r="S720" i="21"/>
  <c r="S721" i="21"/>
  <c r="S722" i="21"/>
  <c r="S723" i="21"/>
  <c r="S724" i="21"/>
  <c r="S725" i="21"/>
  <c r="S726" i="21"/>
  <c r="S727" i="21"/>
  <c r="S728" i="21"/>
  <c r="S729" i="21"/>
  <c r="S730" i="21"/>
  <c r="S731" i="21"/>
  <c r="S732" i="21"/>
  <c r="S733" i="21"/>
  <c r="S734" i="21"/>
  <c r="S735" i="21"/>
  <c r="S736" i="21"/>
  <c r="S737" i="21"/>
  <c r="S738" i="21"/>
  <c r="S739" i="21"/>
  <c r="S740" i="21"/>
  <c r="S741" i="21"/>
  <c r="S742" i="21"/>
  <c r="S743" i="21"/>
  <c r="S744" i="21"/>
  <c r="S745" i="21"/>
  <c r="S746" i="21"/>
  <c r="S747" i="21"/>
  <c r="S748" i="21"/>
  <c r="S749" i="21"/>
  <c r="S750" i="21"/>
  <c r="S751" i="21"/>
  <c r="S752" i="21"/>
  <c r="S753" i="21"/>
  <c r="S754" i="21"/>
  <c r="S755" i="21"/>
  <c r="S756" i="21"/>
  <c r="S757" i="21"/>
  <c r="S758" i="21"/>
  <c r="S759" i="21"/>
  <c r="S760" i="21"/>
  <c r="S761" i="21"/>
  <c r="S762" i="21"/>
  <c r="S763" i="21"/>
  <c r="S764" i="21"/>
  <c r="S765" i="21"/>
  <c r="S766" i="21"/>
  <c r="S767" i="21"/>
  <c r="S768" i="21"/>
  <c r="S769" i="21"/>
  <c r="S770" i="21"/>
  <c r="S771" i="21"/>
  <c r="S772" i="21"/>
  <c r="S773" i="21"/>
  <c r="S774" i="21"/>
  <c r="S775" i="21"/>
  <c r="S776" i="21"/>
  <c r="S777" i="21"/>
  <c r="S778" i="21"/>
  <c r="S779" i="21"/>
  <c r="S780" i="21"/>
  <c r="S781" i="21"/>
  <c r="S782" i="21"/>
  <c r="S783" i="21"/>
  <c r="S784" i="21"/>
  <c r="S785" i="21"/>
  <c r="S786" i="21"/>
  <c r="S787" i="21"/>
  <c r="S788" i="21"/>
  <c r="S789" i="21"/>
  <c r="S790" i="21"/>
  <c r="S791" i="21"/>
  <c r="S792" i="21"/>
  <c r="S793" i="21"/>
  <c r="S794" i="21"/>
  <c r="S795" i="21"/>
  <c r="S796" i="21"/>
  <c r="S797" i="21"/>
  <c r="S798" i="21"/>
  <c r="S799" i="21"/>
  <c r="S800" i="21"/>
  <c r="S801" i="21"/>
  <c r="S802" i="21"/>
  <c r="S803" i="21"/>
  <c r="S804" i="21"/>
  <c r="K17" i="21"/>
  <c r="F7" i="23"/>
  <c r="J18" i="22"/>
  <c r="K18" i="22"/>
  <c r="J19" i="22"/>
  <c r="K19" i="22"/>
  <c r="N12" i="22"/>
  <c r="N13" i="22"/>
  <c r="N14" i="22"/>
  <c r="N15" i="22"/>
  <c r="N16" i="22"/>
  <c r="N17" i="22"/>
  <c r="N18" i="22"/>
  <c r="N19" i="22"/>
  <c r="N20" i="22"/>
  <c r="I77" i="11"/>
  <c r="M12" i="21"/>
  <c r="P269" i="23"/>
  <c r="P142" i="23"/>
  <c r="L32" i="24"/>
  <c r="N16" i="24"/>
  <c r="N15" i="24"/>
  <c r="L16" i="22"/>
  <c r="L17" i="22"/>
  <c r="L18" i="22"/>
  <c r="L19" i="22"/>
  <c r="L20" i="22"/>
  <c r="J15" i="21"/>
  <c r="M20" i="13"/>
  <c r="G73" i="11"/>
  <c r="J11" i="23"/>
  <c r="K11" i="23"/>
  <c r="L11" i="23"/>
  <c r="M11" i="23"/>
  <c r="AC116" i="11"/>
  <c r="L122" i="11"/>
  <c r="C76" i="11"/>
  <c r="N20" i="21"/>
  <c r="K79" i="11"/>
  <c r="H73" i="11"/>
  <c r="F7" i="24"/>
  <c r="F7" i="22"/>
  <c r="F7" i="21"/>
  <c r="F7" i="13"/>
  <c r="N32" i="23"/>
  <c r="L32" i="23"/>
  <c r="N30" i="23"/>
  <c r="M30" i="23"/>
  <c r="L30" i="23"/>
  <c r="N26" i="23"/>
  <c r="J26" i="23"/>
  <c r="N25" i="23"/>
  <c r="J25" i="23"/>
  <c r="G25" i="23"/>
  <c r="F25" i="23"/>
  <c r="E25" i="23"/>
  <c r="D25" i="23"/>
  <c r="C25" i="23"/>
  <c r="B25" i="23"/>
  <c r="N24" i="23"/>
  <c r="J24" i="23"/>
  <c r="N23" i="23"/>
  <c r="J23" i="23"/>
  <c r="N20" i="23"/>
  <c r="M20" i="23"/>
  <c r="L20" i="23"/>
  <c r="K20" i="23"/>
  <c r="J20" i="23"/>
  <c r="I20" i="23"/>
  <c r="H20" i="23"/>
  <c r="G20" i="23"/>
  <c r="F20" i="23"/>
  <c r="E20" i="23"/>
  <c r="D20" i="23"/>
  <c r="B20" i="23"/>
  <c r="N19" i="23"/>
  <c r="M19" i="23"/>
  <c r="L19" i="23"/>
  <c r="K19" i="23"/>
  <c r="J19" i="23"/>
  <c r="I19" i="23"/>
  <c r="H19" i="23"/>
  <c r="G19" i="23"/>
  <c r="F19" i="23"/>
  <c r="E19" i="23"/>
  <c r="D19" i="23"/>
  <c r="B19" i="23"/>
  <c r="N18" i="23"/>
  <c r="M18" i="23"/>
  <c r="L18" i="23"/>
  <c r="K18" i="23"/>
  <c r="J18" i="23"/>
  <c r="I18" i="23"/>
  <c r="H18" i="23"/>
  <c r="G18" i="23"/>
  <c r="F18" i="23"/>
  <c r="E18" i="23"/>
  <c r="D18" i="23"/>
  <c r="B18" i="23"/>
  <c r="N17" i="23"/>
  <c r="M17" i="23"/>
  <c r="L17" i="23"/>
  <c r="K17" i="23"/>
  <c r="J17" i="23"/>
  <c r="I17" i="23"/>
  <c r="H17" i="23"/>
  <c r="G17" i="23"/>
  <c r="F17" i="23"/>
  <c r="E17" i="23"/>
  <c r="D17" i="23"/>
  <c r="B17" i="23"/>
  <c r="N16" i="23"/>
  <c r="M16" i="23"/>
  <c r="L16" i="23"/>
  <c r="K16" i="23"/>
  <c r="J16" i="23"/>
  <c r="I16" i="23"/>
  <c r="H16" i="23"/>
  <c r="G16" i="23"/>
  <c r="F16" i="23"/>
  <c r="E16" i="23"/>
  <c r="D16" i="23"/>
  <c r="B16" i="23"/>
  <c r="N15" i="23"/>
  <c r="M15" i="23"/>
  <c r="L15" i="23"/>
  <c r="K15" i="23"/>
  <c r="J15" i="23"/>
  <c r="I15" i="23"/>
  <c r="H15" i="23"/>
  <c r="G15" i="23"/>
  <c r="F15" i="23"/>
  <c r="E15" i="23"/>
  <c r="D15" i="23"/>
  <c r="B15" i="23"/>
  <c r="N14" i="23"/>
  <c r="M14" i="23"/>
  <c r="L14" i="23"/>
  <c r="K14" i="23"/>
  <c r="J14" i="23"/>
  <c r="I14" i="23"/>
  <c r="H14" i="23"/>
  <c r="G14" i="23"/>
  <c r="F14" i="23"/>
  <c r="E14" i="23"/>
  <c r="D14" i="23"/>
  <c r="B14" i="23"/>
  <c r="N13" i="23"/>
  <c r="M13" i="23"/>
  <c r="L13" i="23"/>
  <c r="K13" i="23"/>
  <c r="J13" i="23"/>
  <c r="I13" i="23"/>
  <c r="H13" i="23"/>
  <c r="G13" i="23"/>
  <c r="F13" i="23"/>
  <c r="E13" i="23"/>
  <c r="D13" i="23"/>
  <c r="B13" i="23"/>
  <c r="N12" i="23"/>
  <c r="M12" i="23"/>
  <c r="L12" i="23"/>
  <c r="K12" i="23"/>
  <c r="J12" i="23"/>
  <c r="I12" i="23"/>
  <c r="H12" i="23"/>
  <c r="G12" i="23"/>
  <c r="F12" i="23"/>
  <c r="E12" i="23"/>
  <c r="D12" i="23"/>
  <c r="B12" i="23"/>
  <c r="N11" i="23"/>
  <c r="I11" i="23"/>
  <c r="H11" i="23"/>
  <c r="G11" i="23"/>
  <c r="F11" i="23"/>
  <c r="E11" i="23"/>
  <c r="D11" i="23"/>
  <c r="B11" i="23"/>
  <c r="I4" i="23"/>
  <c r="L32" i="22"/>
  <c r="N30" i="22"/>
  <c r="M30" i="22"/>
  <c r="L30" i="22"/>
  <c r="N26" i="22"/>
  <c r="J26" i="22"/>
  <c r="N25" i="22"/>
  <c r="J25" i="22"/>
  <c r="G25" i="22"/>
  <c r="F25" i="22"/>
  <c r="E25" i="22"/>
  <c r="D25" i="22"/>
  <c r="C25" i="22"/>
  <c r="B25" i="22"/>
  <c r="N24" i="22"/>
  <c r="J24" i="22"/>
  <c r="N23" i="22"/>
  <c r="J23" i="22"/>
  <c r="M20" i="22"/>
  <c r="K20" i="22"/>
  <c r="J20" i="22"/>
  <c r="I20" i="22"/>
  <c r="H20" i="22"/>
  <c r="G20" i="22"/>
  <c r="F20" i="22"/>
  <c r="E20" i="22"/>
  <c r="D20" i="22"/>
  <c r="B20" i="22"/>
  <c r="M19" i="22"/>
  <c r="I19" i="22"/>
  <c r="H19" i="22"/>
  <c r="G19" i="22"/>
  <c r="F19" i="22"/>
  <c r="E19" i="22"/>
  <c r="D19" i="22"/>
  <c r="B19" i="22"/>
  <c r="M18" i="22"/>
  <c r="I18" i="22"/>
  <c r="H18" i="22"/>
  <c r="G18" i="22"/>
  <c r="F18" i="22"/>
  <c r="E18" i="22"/>
  <c r="D18" i="22"/>
  <c r="B18" i="22"/>
  <c r="M17" i="22"/>
  <c r="K17" i="22"/>
  <c r="J17" i="22"/>
  <c r="I17" i="22"/>
  <c r="H17" i="22"/>
  <c r="G17" i="22"/>
  <c r="F17" i="22"/>
  <c r="E17" i="22"/>
  <c r="D17" i="22"/>
  <c r="B17" i="22"/>
  <c r="M16" i="22"/>
  <c r="K16" i="22"/>
  <c r="J16" i="22"/>
  <c r="I16" i="22"/>
  <c r="H16" i="22"/>
  <c r="G16" i="22"/>
  <c r="F16" i="22"/>
  <c r="E16" i="22"/>
  <c r="D16" i="22"/>
  <c r="B16" i="22"/>
  <c r="M15" i="22"/>
  <c r="L15" i="22"/>
  <c r="K15" i="22"/>
  <c r="J15" i="22"/>
  <c r="I15" i="22"/>
  <c r="H15" i="22"/>
  <c r="G15" i="22"/>
  <c r="F15" i="22"/>
  <c r="E15" i="22"/>
  <c r="D15" i="22"/>
  <c r="B15" i="22"/>
  <c r="M14" i="22"/>
  <c r="L14" i="22"/>
  <c r="K14" i="22"/>
  <c r="J14" i="22"/>
  <c r="I14" i="22"/>
  <c r="H14" i="22"/>
  <c r="G14" i="22"/>
  <c r="F14" i="22"/>
  <c r="E14" i="22"/>
  <c r="D14" i="22"/>
  <c r="B14" i="22"/>
  <c r="M13" i="22"/>
  <c r="L13" i="22"/>
  <c r="K13" i="22"/>
  <c r="J13" i="22"/>
  <c r="I13" i="22"/>
  <c r="H13" i="22"/>
  <c r="G13" i="22"/>
  <c r="F13" i="22"/>
  <c r="E13" i="22"/>
  <c r="D13" i="22"/>
  <c r="B13" i="22"/>
  <c r="M12" i="22"/>
  <c r="L12" i="22"/>
  <c r="K12" i="22"/>
  <c r="J12" i="22"/>
  <c r="I12" i="22"/>
  <c r="H12" i="22"/>
  <c r="G12" i="22"/>
  <c r="F12" i="22"/>
  <c r="E12" i="22"/>
  <c r="D12" i="22"/>
  <c r="B12" i="22"/>
  <c r="N11" i="22"/>
  <c r="M11" i="22"/>
  <c r="L11" i="22"/>
  <c r="K11" i="22"/>
  <c r="J11" i="22"/>
  <c r="I11" i="22"/>
  <c r="H11" i="22"/>
  <c r="G11" i="22"/>
  <c r="F11" i="22"/>
  <c r="E11" i="22"/>
  <c r="D11" i="22"/>
  <c r="B11" i="22"/>
  <c r="I4" i="22"/>
  <c r="L32" i="21"/>
  <c r="N30" i="21"/>
  <c r="M30" i="21"/>
  <c r="M31" i="21" s="1"/>
  <c r="N26" i="21"/>
  <c r="J26" i="21"/>
  <c r="N25" i="21"/>
  <c r="J25" i="21"/>
  <c r="G25" i="21"/>
  <c r="F25" i="21"/>
  <c r="E25" i="21"/>
  <c r="D25" i="21"/>
  <c r="C25" i="21"/>
  <c r="B25" i="21"/>
  <c r="N24" i="21"/>
  <c r="J24" i="21"/>
  <c r="N23" i="21"/>
  <c r="J23" i="21"/>
  <c r="M20" i="21"/>
  <c r="L20" i="21"/>
  <c r="K20" i="21"/>
  <c r="J20" i="21"/>
  <c r="I20" i="21"/>
  <c r="H20" i="21"/>
  <c r="G20" i="21"/>
  <c r="F20" i="21"/>
  <c r="E20" i="21"/>
  <c r="D20" i="21"/>
  <c r="B20" i="21"/>
  <c r="N19" i="21"/>
  <c r="M19" i="21"/>
  <c r="L19" i="21"/>
  <c r="K19" i="21"/>
  <c r="J19" i="21"/>
  <c r="I19" i="21"/>
  <c r="H19" i="21"/>
  <c r="G19" i="21"/>
  <c r="F19" i="21"/>
  <c r="E19" i="21"/>
  <c r="D19" i="21"/>
  <c r="B19" i="21"/>
  <c r="N18" i="21"/>
  <c r="M18" i="21"/>
  <c r="L18" i="21"/>
  <c r="K18" i="21"/>
  <c r="J18" i="21"/>
  <c r="I18" i="21"/>
  <c r="H18" i="21"/>
  <c r="G18" i="21"/>
  <c r="F18" i="21"/>
  <c r="E18" i="21"/>
  <c r="D18" i="21"/>
  <c r="B18" i="21"/>
  <c r="N17" i="21"/>
  <c r="M17" i="21"/>
  <c r="L17" i="21"/>
  <c r="J17" i="21"/>
  <c r="I17" i="21"/>
  <c r="H17" i="21"/>
  <c r="G17" i="21"/>
  <c r="F17" i="21"/>
  <c r="E17" i="21"/>
  <c r="D17" i="21"/>
  <c r="B17" i="21"/>
  <c r="N16" i="21"/>
  <c r="M16" i="21"/>
  <c r="L16" i="21"/>
  <c r="K16" i="21"/>
  <c r="J16" i="21"/>
  <c r="I16" i="21"/>
  <c r="H16" i="21"/>
  <c r="G16" i="21"/>
  <c r="F16" i="21"/>
  <c r="E16" i="21"/>
  <c r="D16" i="21"/>
  <c r="B16" i="21"/>
  <c r="N15" i="21"/>
  <c r="M15" i="21"/>
  <c r="L15" i="21"/>
  <c r="K15" i="21"/>
  <c r="I15" i="21"/>
  <c r="H15" i="21"/>
  <c r="G15" i="21"/>
  <c r="F15" i="21"/>
  <c r="E15" i="21"/>
  <c r="D15" i="21"/>
  <c r="B15" i="21"/>
  <c r="N14" i="21"/>
  <c r="M14" i="21"/>
  <c r="L14" i="21"/>
  <c r="K14" i="21"/>
  <c r="J14" i="21"/>
  <c r="I14" i="21"/>
  <c r="H14" i="21"/>
  <c r="G14" i="21"/>
  <c r="F14" i="21"/>
  <c r="E14" i="21"/>
  <c r="D14" i="21"/>
  <c r="B14" i="21"/>
  <c r="N13" i="21"/>
  <c r="M13" i="21"/>
  <c r="L13" i="21"/>
  <c r="K13" i="21"/>
  <c r="J13" i="21"/>
  <c r="I13" i="21"/>
  <c r="H13" i="21"/>
  <c r="G13" i="21"/>
  <c r="F13" i="21"/>
  <c r="E13" i="21"/>
  <c r="D13" i="21"/>
  <c r="B13" i="21"/>
  <c r="N12" i="21"/>
  <c r="L12" i="21"/>
  <c r="K12" i="21"/>
  <c r="I12" i="21"/>
  <c r="H12" i="21"/>
  <c r="G12" i="21"/>
  <c r="F12" i="21"/>
  <c r="E12" i="21"/>
  <c r="D12" i="21"/>
  <c r="B12" i="21"/>
  <c r="N11" i="21"/>
  <c r="M11" i="21"/>
  <c r="L11" i="21"/>
  <c r="K11" i="21"/>
  <c r="J11" i="21"/>
  <c r="I11" i="21"/>
  <c r="H11" i="21"/>
  <c r="G11" i="21"/>
  <c r="F11" i="21"/>
  <c r="E11" i="21"/>
  <c r="D11" i="21"/>
  <c r="B11" i="21"/>
  <c r="I4" i="21"/>
  <c r="L32" i="13"/>
  <c r="N30" i="13"/>
  <c r="M30" i="13"/>
  <c r="L30" i="13"/>
  <c r="N26" i="13"/>
  <c r="J26" i="13"/>
  <c r="N25" i="13"/>
  <c r="J25" i="13"/>
  <c r="G25" i="13"/>
  <c r="F25" i="13"/>
  <c r="E25" i="13"/>
  <c r="D25" i="13"/>
  <c r="C25" i="13"/>
  <c r="B25" i="13"/>
  <c r="N24" i="13"/>
  <c r="J24" i="13"/>
  <c r="N23" i="13"/>
  <c r="J23" i="13"/>
  <c r="N20" i="13"/>
  <c r="L20" i="13"/>
  <c r="K20" i="13"/>
  <c r="J20" i="13"/>
  <c r="I20" i="13"/>
  <c r="H20" i="13"/>
  <c r="G20" i="13"/>
  <c r="F20" i="13"/>
  <c r="E20" i="13"/>
  <c r="D20" i="13"/>
  <c r="B20" i="13"/>
  <c r="N19" i="13"/>
  <c r="M19" i="13"/>
  <c r="L19" i="13"/>
  <c r="K19" i="13"/>
  <c r="J19" i="13"/>
  <c r="I19" i="13"/>
  <c r="H19" i="13"/>
  <c r="G19" i="13"/>
  <c r="F19" i="13"/>
  <c r="E19" i="13"/>
  <c r="D19" i="13"/>
  <c r="B19" i="13"/>
  <c r="N18" i="13"/>
  <c r="M18" i="13"/>
  <c r="L18" i="13"/>
  <c r="K18" i="13"/>
  <c r="J18" i="13"/>
  <c r="I18" i="13"/>
  <c r="H18" i="13"/>
  <c r="G18" i="13"/>
  <c r="F18" i="13"/>
  <c r="E18" i="13"/>
  <c r="D18" i="13"/>
  <c r="B18" i="13"/>
  <c r="N17" i="13"/>
  <c r="M17" i="13"/>
  <c r="L17" i="13"/>
  <c r="K17" i="13"/>
  <c r="J17" i="13"/>
  <c r="I17" i="13"/>
  <c r="H17" i="13"/>
  <c r="G17" i="13"/>
  <c r="F17" i="13"/>
  <c r="E17" i="13"/>
  <c r="D17" i="13"/>
  <c r="B17" i="13"/>
  <c r="N16" i="13"/>
  <c r="M16" i="13"/>
  <c r="L16" i="13"/>
  <c r="K16" i="13"/>
  <c r="J16" i="13"/>
  <c r="I16" i="13"/>
  <c r="H16" i="13"/>
  <c r="G16" i="13"/>
  <c r="F16" i="13"/>
  <c r="E16" i="13"/>
  <c r="D16" i="13"/>
  <c r="B16" i="13"/>
  <c r="N15" i="13"/>
  <c r="M15" i="13"/>
  <c r="L15" i="13"/>
  <c r="K15" i="13"/>
  <c r="J15" i="13"/>
  <c r="I15" i="13"/>
  <c r="H15" i="13"/>
  <c r="G15" i="13"/>
  <c r="F15" i="13"/>
  <c r="E15" i="13"/>
  <c r="D15" i="13"/>
  <c r="B15" i="13"/>
  <c r="N14" i="13"/>
  <c r="M14" i="13"/>
  <c r="L14" i="13"/>
  <c r="K14" i="13"/>
  <c r="J14" i="13"/>
  <c r="I14" i="13"/>
  <c r="H14" i="13"/>
  <c r="G14" i="13"/>
  <c r="F14" i="13"/>
  <c r="E14" i="13"/>
  <c r="D14" i="13"/>
  <c r="B14" i="13"/>
  <c r="N13" i="13"/>
  <c r="M13" i="13"/>
  <c r="L13" i="13"/>
  <c r="K13" i="13"/>
  <c r="J13" i="13"/>
  <c r="I13" i="13"/>
  <c r="H13" i="13"/>
  <c r="G13" i="13"/>
  <c r="F13" i="13"/>
  <c r="E13" i="13"/>
  <c r="D13" i="13"/>
  <c r="B13" i="13"/>
  <c r="N12" i="13"/>
  <c r="M12" i="13"/>
  <c r="L12" i="13"/>
  <c r="K12" i="13"/>
  <c r="J12" i="13"/>
  <c r="I12" i="13"/>
  <c r="H12" i="13"/>
  <c r="G12" i="13"/>
  <c r="F12" i="13"/>
  <c r="E12" i="13"/>
  <c r="D12" i="13"/>
  <c r="B12" i="13"/>
  <c r="N11" i="13"/>
  <c r="M11" i="13"/>
  <c r="L11" i="13"/>
  <c r="K11" i="13"/>
  <c r="J11" i="13"/>
  <c r="I11" i="13"/>
  <c r="H11" i="13"/>
  <c r="G11" i="13"/>
  <c r="F11" i="13"/>
  <c r="E11" i="13"/>
  <c r="D11" i="13"/>
  <c r="B11" i="13"/>
  <c r="I4" i="13"/>
  <c r="P285" i="22"/>
  <c r="M17" i="24"/>
  <c r="K22" i="11"/>
  <c r="P218" i="22"/>
  <c r="P311" i="22"/>
  <c r="P209" i="22"/>
  <c r="P60" i="22"/>
  <c r="P59" i="23"/>
  <c r="P64" i="21"/>
  <c r="P66" i="22"/>
  <c r="P65" i="23"/>
  <c r="P51" i="13"/>
  <c r="P79" i="22"/>
  <c r="P86" i="21"/>
  <c r="P80" i="23"/>
  <c r="P90" i="22"/>
  <c r="P91" i="22"/>
  <c r="P92" i="22"/>
  <c r="P83" i="23"/>
  <c r="P98" i="22"/>
  <c r="P104" i="22"/>
  <c r="P108" i="22"/>
  <c r="P110" i="22"/>
  <c r="P111" i="22"/>
  <c r="P113" i="21"/>
  <c r="P62" i="13"/>
  <c r="P115" i="22"/>
  <c r="P117" i="22"/>
  <c r="P102" i="23"/>
  <c r="P119" i="21"/>
  <c r="P121" i="21"/>
  <c r="P121" i="22"/>
  <c r="P106" i="23"/>
  <c r="P125" i="21"/>
  <c r="P126" i="22"/>
  <c r="P127" i="21"/>
  <c r="P131" i="21"/>
  <c r="P135" i="21"/>
  <c r="P138" i="21"/>
  <c r="P141" i="21"/>
  <c r="P132" i="23"/>
  <c r="P144" i="21"/>
  <c r="P148" i="21"/>
  <c r="P63" i="13"/>
  <c r="P152" i="21"/>
  <c r="P160" i="22"/>
  <c r="P176" i="22"/>
  <c r="P163" i="22"/>
  <c r="P165" i="22"/>
  <c r="P167" i="22"/>
  <c r="P165" i="21"/>
  <c r="P172" i="22"/>
  <c r="P171" i="21"/>
  <c r="P64" i="13"/>
  <c r="P174" i="21"/>
  <c r="P191" i="22"/>
  <c r="P192" i="22"/>
  <c r="P185" i="21"/>
  <c r="P201" i="22"/>
  <c r="P184" i="23"/>
  <c r="P206" i="22"/>
  <c r="P198" i="21"/>
  <c r="P210" i="22"/>
  <c r="P202" i="21"/>
  <c r="P215" i="22"/>
  <c r="P216" i="22"/>
  <c r="P219" i="22"/>
  <c r="P213" i="21"/>
  <c r="P215" i="21"/>
  <c r="P225" i="22"/>
  <c r="P218" i="21"/>
  <c r="P219" i="21"/>
  <c r="P221" i="21"/>
  <c r="P222" i="21"/>
  <c r="P229" i="22"/>
  <c r="P224" i="21"/>
  <c r="P233" i="22"/>
  <c r="P230" i="21"/>
  <c r="P231" i="21"/>
  <c r="P241" i="22"/>
  <c r="P239" i="21"/>
  <c r="P240" i="21"/>
  <c r="P246" i="22"/>
  <c r="P242" i="21"/>
  <c r="P54" i="13"/>
  <c r="P55" i="13"/>
  <c r="P56" i="13"/>
  <c r="P57" i="13"/>
  <c r="P58" i="13"/>
  <c r="P66" i="13"/>
  <c r="P295" i="22"/>
  <c r="P280" i="21"/>
  <c r="P281" i="21"/>
  <c r="P302" i="22"/>
  <c r="P301" i="22"/>
  <c r="P284" i="21"/>
  <c r="P286" i="21"/>
  <c r="P303" i="22"/>
  <c r="P287" i="21"/>
  <c r="P278" i="23"/>
  <c r="P309" i="22"/>
  <c r="P307" i="22"/>
  <c r="P308" i="22"/>
  <c r="P312" i="22"/>
  <c r="P291" i="21"/>
  <c r="P315" i="22"/>
  <c r="P293" i="21"/>
  <c r="P284" i="23"/>
  <c r="D166" i="11" l="1"/>
  <c r="J166" i="11" s="1"/>
  <c r="P274" i="21"/>
  <c r="P289" i="22"/>
  <c r="P268" i="21"/>
  <c r="P284" i="22"/>
  <c r="P269" i="21"/>
  <c r="P267" i="21"/>
  <c r="P276" i="22"/>
  <c r="P277" i="22"/>
  <c r="P274" i="22"/>
  <c r="P272" i="22"/>
  <c r="P237" i="23"/>
  <c r="P263" i="22"/>
  <c r="P261" i="22"/>
  <c r="P229" i="23"/>
  <c r="P256" i="22"/>
  <c r="P253" i="22"/>
  <c r="P251" i="22"/>
  <c r="P250" i="22"/>
  <c r="P245" i="21"/>
  <c r="P248" i="22"/>
  <c r="P291" i="22"/>
  <c r="P288" i="22"/>
  <c r="P287" i="22"/>
  <c r="P286" i="22"/>
  <c r="P279" i="22"/>
  <c r="P246" i="23"/>
  <c r="P275" i="22"/>
  <c r="P273" i="22"/>
  <c r="P271" i="22"/>
  <c r="P269" i="22"/>
  <c r="P265" i="21"/>
  <c r="P238" i="23"/>
  <c r="P236" i="23"/>
  <c r="P267" i="22"/>
  <c r="P264" i="22"/>
  <c r="P232" i="23"/>
  <c r="P230" i="23"/>
  <c r="P258" i="22"/>
  <c r="P52" i="13"/>
  <c r="P53" i="13"/>
  <c r="P60" i="13"/>
  <c r="P61" i="13"/>
  <c r="P65" i="13"/>
  <c r="I39" i="13"/>
  <c r="G41" i="13"/>
  <c r="K41" i="13"/>
  <c r="H41" i="13"/>
  <c r="J41" i="13"/>
  <c r="I41" i="13"/>
  <c r="D39" i="13"/>
  <c r="F39" i="13"/>
  <c r="H39" i="13"/>
  <c r="G39" i="13"/>
  <c r="E39" i="13"/>
  <c r="P347" i="13"/>
  <c r="P284" i="24"/>
  <c r="P279" i="23"/>
  <c r="P346" i="13"/>
  <c r="P283" i="24"/>
  <c r="P345" i="13"/>
  <c r="P282" i="24"/>
  <c r="P342" i="13"/>
  <c r="P279" i="24"/>
  <c r="P340" i="13"/>
  <c r="P277" i="24"/>
  <c r="P335" i="13"/>
  <c r="P272" i="24"/>
  <c r="P273" i="23"/>
  <c r="P271" i="23"/>
  <c r="P300" i="22"/>
  <c r="P330" i="13"/>
  <c r="P267" i="24"/>
  <c r="P267" i="23"/>
  <c r="P260" i="23"/>
  <c r="P324" i="13"/>
  <c r="P261" i="24"/>
  <c r="P293" i="22"/>
  <c r="P317" i="13"/>
  <c r="P254" i="24"/>
  <c r="P252" i="23"/>
  <c r="P314" i="13"/>
  <c r="P251" i="24"/>
  <c r="P311" i="13"/>
  <c r="P248" i="24"/>
  <c r="P282" i="22"/>
  <c r="P249" i="23"/>
  <c r="P309" i="13"/>
  <c r="P246" i="24"/>
  <c r="P241" i="24"/>
  <c r="P243" i="23"/>
  <c r="P304" i="13"/>
  <c r="P240" i="24"/>
  <c r="P303" i="13"/>
  <c r="P239" i="24"/>
  <c r="P242" i="23"/>
  <c r="P302" i="13"/>
  <c r="P238" i="24"/>
  <c r="P241" i="23"/>
  <c r="P301" i="13"/>
  <c r="P234" i="24"/>
  <c r="P297" i="13"/>
  <c r="P232" i="24"/>
  <c r="P295" i="13"/>
  <c r="P229" i="24"/>
  <c r="P292" i="13"/>
  <c r="P227" i="24"/>
  <c r="P290" i="13"/>
  <c r="P226" i="24"/>
  <c r="P289" i="13"/>
  <c r="P224" i="24"/>
  <c r="P287" i="13"/>
  <c r="P222" i="24"/>
  <c r="P285" i="13"/>
  <c r="P220" i="24"/>
  <c r="P283" i="13"/>
  <c r="P218" i="24"/>
  <c r="P281" i="13"/>
  <c r="P276" i="13"/>
  <c r="P228" i="23"/>
  <c r="P213" i="24"/>
  <c r="P274" i="13"/>
  <c r="P226" i="23"/>
  <c r="P211" i="24"/>
  <c r="P273" i="13"/>
  <c r="P225" i="23"/>
  <c r="P210" i="24"/>
  <c r="P271" i="13"/>
  <c r="P223" i="23"/>
  <c r="P208" i="24"/>
  <c r="P268" i="13"/>
  <c r="P220" i="23"/>
  <c r="P205" i="24"/>
  <c r="P264" i="13"/>
  <c r="P215" i="23"/>
  <c r="P201" i="24"/>
  <c r="P263" i="13"/>
  <c r="P214" i="23"/>
  <c r="P200" i="24"/>
  <c r="P261" i="13"/>
  <c r="P212" i="23"/>
  <c r="P198" i="24"/>
  <c r="P197" i="24"/>
  <c r="P239" i="22"/>
  <c r="P260" i="13"/>
  <c r="P211" i="23"/>
  <c r="P256" i="13"/>
  <c r="P207" i="23"/>
  <c r="P235" i="22"/>
  <c r="P193" i="24"/>
  <c r="P255" i="13"/>
  <c r="P206" i="23"/>
  <c r="P234" i="22"/>
  <c r="P192" i="24"/>
  <c r="P254" i="13"/>
  <c r="P205" i="23"/>
  <c r="P232" i="22"/>
  <c r="P191" i="24"/>
  <c r="P204" i="23"/>
  <c r="P231" i="22"/>
  <c r="P249" i="13"/>
  <c r="P199" i="23"/>
  <c r="P224" i="22"/>
  <c r="P186" i="24"/>
  <c r="P247" i="13"/>
  <c r="P197" i="23"/>
  <c r="P184" i="24"/>
  <c r="P245" i="13"/>
  <c r="P195" i="23"/>
  <c r="P182" i="24"/>
  <c r="P164" i="24"/>
  <c r="P227" i="13"/>
  <c r="P192" i="23"/>
  <c r="P244" i="13"/>
  <c r="P181" i="24"/>
  <c r="P162" i="24"/>
  <c r="P225" i="13"/>
  <c r="P190" i="23"/>
  <c r="P242" i="13"/>
  <c r="P179" i="24"/>
  <c r="P240" i="13"/>
  <c r="P177" i="24"/>
  <c r="P223" i="13"/>
  <c r="P188" i="23"/>
  <c r="P160" i="24"/>
  <c r="P236" i="13"/>
  <c r="P173" i="24"/>
  <c r="P233" i="13"/>
  <c r="P170" i="24"/>
  <c r="P159" i="24"/>
  <c r="P222" i="13"/>
  <c r="P187" i="23"/>
  <c r="P157" i="24"/>
  <c r="P220" i="13"/>
  <c r="P185" i="23"/>
  <c r="P231" i="13"/>
  <c r="P168" i="24"/>
  <c r="P219" i="13"/>
  <c r="P183" i="23"/>
  <c r="P156" i="24"/>
  <c r="P258" i="13"/>
  <c r="P209" i="23"/>
  <c r="P237" i="22"/>
  <c r="P195" i="24"/>
  <c r="P306" i="13"/>
  <c r="P245" i="23"/>
  <c r="P243" i="24"/>
  <c r="P259" i="13"/>
  <c r="P210" i="23"/>
  <c r="P238" i="22"/>
  <c r="P196" i="24"/>
  <c r="P236" i="24"/>
  <c r="P299" i="13"/>
  <c r="P153" i="21"/>
  <c r="P191" i="21"/>
  <c r="P195" i="21"/>
  <c r="P197" i="21"/>
  <c r="P206" i="21"/>
  <c r="P207" i="21"/>
  <c r="P209" i="21"/>
  <c r="P211" i="21"/>
  <c r="P226" i="21"/>
  <c r="P227" i="21"/>
  <c r="P229" i="21"/>
  <c r="P233" i="21"/>
  <c r="P214" i="21"/>
  <c r="P216" i="21"/>
  <c r="P217" i="21"/>
  <c r="P223" i="21"/>
  <c r="P225" i="21"/>
  <c r="P228" i="21"/>
  <c r="P234" i="21"/>
  <c r="P241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3" i="21"/>
  <c r="P264" i="21"/>
  <c r="P266" i="21"/>
  <c r="P270" i="21"/>
  <c r="P271" i="21"/>
  <c r="P272" i="21"/>
  <c r="P273" i="21"/>
  <c r="P276" i="21"/>
  <c r="P288" i="21"/>
  <c r="P289" i="21"/>
  <c r="P159" i="22"/>
  <c r="P202" i="22"/>
  <c r="P208" i="22"/>
  <c r="P211" i="22"/>
  <c r="P240" i="22"/>
  <c r="P242" i="22"/>
  <c r="P243" i="22"/>
  <c r="P249" i="22"/>
  <c r="P252" i="22"/>
  <c r="P254" i="22"/>
  <c r="P255" i="22"/>
  <c r="P257" i="22"/>
  <c r="P259" i="22"/>
  <c r="P260" i="22"/>
  <c r="P262" i="22"/>
  <c r="P356" i="13"/>
  <c r="P293" i="24"/>
  <c r="P283" i="23"/>
  <c r="P314" i="22"/>
  <c r="P355" i="13"/>
  <c r="P292" i="24"/>
  <c r="P282" i="23"/>
  <c r="P313" i="22"/>
  <c r="P353" i="13"/>
  <c r="P290" i="24"/>
  <c r="P352" i="13"/>
  <c r="P289" i="24"/>
  <c r="P277" i="23"/>
  <c r="P310" i="22"/>
  <c r="P350" i="13"/>
  <c r="P287" i="24"/>
  <c r="P338" i="13"/>
  <c r="P275" i="24"/>
  <c r="P334" i="13"/>
  <c r="P271" i="24"/>
  <c r="P272" i="23"/>
  <c r="P326" i="13"/>
  <c r="P263" i="24"/>
  <c r="P268" i="23"/>
  <c r="P258" i="23"/>
  <c r="P323" i="13"/>
  <c r="P260" i="24"/>
  <c r="P259" i="23"/>
  <c r="P292" i="22"/>
  <c r="P256" i="23"/>
  <c r="P320" i="13"/>
  <c r="P257" i="24"/>
  <c r="P357" i="13"/>
  <c r="P294" i="24"/>
  <c r="P285" i="23"/>
  <c r="P354" i="13"/>
  <c r="P291" i="24"/>
  <c r="P276" i="23"/>
  <c r="P351" i="13"/>
  <c r="P288" i="24"/>
  <c r="P306" i="22"/>
  <c r="P349" i="13"/>
  <c r="P286" i="24"/>
  <c r="P281" i="23"/>
  <c r="P348" i="13"/>
  <c r="P285" i="24"/>
  <c r="P280" i="23"/>
  <c r="P344" i="13"/>
  <c r="P281" i="24"/>
  <c r="P343" i="13"/>
  <c r="P280" i="24"/>
  <c r="P341" i="13"/>
  <c r="P278" i="24"/>
  <c r="P274" i="23"/>
  <c r="P305" i="22"/>
  <c r="P339" i="13"/>
  <c r="P276" i="24"/>
  <c r="P275" i="23"/>
  <c r="P337" i="13"/>
  <c r="P274" i="24"/>
  <c r="P304" i="22"/>
  <c r="P336" i="13"/>
  <c r="P273" i="24"/>
  <c r="P265" i="23"/>
  <c r="P299" i="22"/>
  <c r="P264" i="23"/>
  <c r="P333" i="13"/>
  <c r="P270" i="24"/>
  <c r="P298" i="22"/>
  <c r="P261" i="23"/>
  <c r="P294" i="22"/>
  <c r="P332" i="13"/>
  <c r="P269" i="24"/>
  <c r="P331" i="13"/>
  <c r="P268" i="24"/>
  <c r="P266" i="23"/>
  <c r="P263" i="23"/>
  <c r="P329" i="13"/>
  <c r="P266" i="24"/>
  <c r="P297" i="22"/>
  <c r="P328" i="13"/>
  <c r="P265" i="24"/>
  <c r="P270" i="23"/>
  <c r="P262" i="23"/>
  <c r="P296" i="22"/>
  <c r="P327" i="13"/>
  <c r="P264" i="24"/>
  <c r="P257" i="23"/>
  <c r="P322" i="13"/>
  <c r="P259" i="24"/>
  <c r="P321" i="13"/>
  <c r="P258" i="24"/>
  <c r="P255" i="23"/>
  <c r="P290" i="22"/>
  <c r="P319" i="13"/>
  <c r="P256" i="24"/>
  <c r="P254" i="23"/>
  <c r="P318" i="13"/>
  <c r="P255" i="24"/>
  <c r="P253" i="23"/>
  <c r="P315" i="13"/>
  <c r="P252" i="24"/>
  <c r="P316" i="13"/>
  <c r="P253" i="24"/>
  <c r="P313" i="13"/>
  <c r="P250" i="24"/>
  <c r="P283" i="22"/>
  <c r="P251" i="23"/>
  <c r="P312" i="13"/>
  <c r="P249" i="24"/>
  <c r="P250" i="23"/>
  <c r="P310" i="13"/>
  <c r="P247" i="24"/>
  <c r="P281" i="22"/>
  <c r="P248" i="23"/>
  <c r="P308" i="13"/>
  <c r="P245" i="24"/>
  <c r="P247" i="23"/>
  <c r="P280" i="22"/>
  <c r="P307" i="13"/>
  <c r="P278" i="22"/>
  <c r="P244" i="24"/>
  <c r="P305" i="13"/>
  <c r="P244" i="23"/>
  <c r="P242" i="24"/>
  <c r="P237" i="24"/>
  <c r="P240" i="23"/>
  <c r="P300" i="13"/>
  <c r="P235" i="24"/>
  <c r="P298" i="13"/>
  <c r="P233" i="24"/>
  <c r="P296" i="13"/>
  <c r="P231" i="24"/>
  <c r="P294" i="13"/>
  <c r="P230" i="24"/>
  <c r="P293" i="13"/>
  <c r="P228" i="24"/>
  <c r="P291" i="13"/>
  <c r="P225" i="24"/>
  <c r="P288" i="13"/>
  <c r="P223" i="24"/>
  <c r="P286" i="13"/>
  <c r="P221" i="24"/>
  <c r="P284" i="13"/>
  <c r="P219" i="24"/>
  <c r="P239" i="23"/>
  <c r="P282" i="13"/>
  <c r="P217" i="24"/>
  <c r="P280" i="13"/>
  <c r="P278" i="13"/>
  <c r="P233" i="23"/>
  <c r="P215" i="24"/>
  <c r="P277" i="13"/>
  <c r="P231" i="23"/>
  <c r="P214" i="24"/>
  <c r="P275" i="13"/>
  <c r="P227" i="23"/>
  <c r="P212" i="24"/>
  <c r="P272" i="13"/>
  <c r="P224" i="23"/>
  <c r="P209" i="24"/>
  <c r="P270" i="13"/>
  <c r="P222" i="23"/>
  <c r="P207" i="24"/>
  <c r="P269" i="13"/>
  <c r="P221" i="23"/>
  <c r="P206" i="24"/>
  <c r="P267" i="13"/>
  <c r="P219" i="23"/>
  <c r="P204" i="24"/>
  <c r="P203" i="24"/>
  <c r="P247" i="22"/>
  <c r="P266" i="13"/>
  <c r="P218" i="23"/>
  <c r="P245" i="22"/>
  <c r="P217" i="23"/>
  <c r="P202" i="24"/>
  <c r="P244" i="22"/>
  <c r="P265" i="13"/>
  <c r="P216" i="23"/>
  <c r="P262" i="13"/>
  <c r="P213" i="23"/>
  <c r="P199" i="24"/>
  <c r="P257" i="13"/>
  <c r="P208" i="23"/>
  <c r="P236" i="22"/>
  <c r="P194" i="24"/>
  <c r="P253" i="13"/>
  <c r="P203" i="23"/>
  <c r="P230" i="22"/>
  <c r="P190" i="24"/>
  <c r="P252" i="13"/>
  <c r="P202" i="23"/>
  <c r="P228" i="22"/>
  <c r="P189" i="24"/>
  <c r="P251" i="13"/>
  <c r="P201" i="23"/>
  <c r="P227" i="22"/>
  <c r="P188" i="24"/>
  <c r="P250" i="13"/>
  <c r="P200" i="23"/>
  <c r="P226" i="22"/>
  <c r="P187" i="24"/>
  <c r="P248" i="13"/>
  <c r="P198" i="23"/>
  <c r="P185" i="24"/>
  <c r="P246" i="13"/>
  <c r="P196" i="23"/>
  <c r="P183" i="24"/>
  <c r="P226" i="13"/>
  <c r="P191" i="23"/>
  <c r="P163" i="24"/>
  <c r="P243" i="13"/>
  <c r="P180" i="24"/>
  <c r="P161" i="24"/>
  <c r="P224" i="13"/>
  <c r="P189" i="23"/>
  <c r="P241" i="13"/>
  <c r="P178" i="24"/>
  <c r="P239" i="13"/>
  <c r="P176" i="24"/>
  <c r="P238" i="13"/>
  <c r="P175" i="24"/>
  <c r="P237" i="13"/>
  <c r="P174" i="24"/>
  <c r="P194" i="23"/>
  <c r="P234" i="13"/>
  <c r="P171" i="24"/>
  <c r="P232" i="13"/>
  <c r="P169" i="24"/>
  <c r="P221" i="13"/>
  <c r="P186" i="23"/>
  <c r="P158" i="24"/>
  <c r="P230" i="13"/>
  <c r="P167" i="24"/>
  <c r="P229" i="13"/>
  <c r="P166" i="24"/>
  <c r="P235" i="13"/>
  <c r="P172" i="24"/>
  <c r="P228" i="13"/>
  <c r="P193" i="23"/>
  <c r="P165" i="24"/>
  <c r="P216" i="24"/>
  <c r="P265" i="22"/>
  <c r="P279" i="13"/>
  <c r="P234" i="23"/>
  <c r="P266" i="22"/>
  <c r="P235" i="23"/>
  <c r="P325" i="13"/>
  <c r="P262" i="24"/>
  <c r="P192" i="21"/>
  <c r="P193" i="21"/>
  <c r="P194" i="21"/>
  <c r="P196" i="21"/>
  <c r="P199" i="21"/>
  <c r="P200" i="21"/>
  <c r="P201" i="21"/>
  <c r="P203" i="21"/>
  <c r="P204" i="21"/>
  <c r="P205" i="21"/>
  <c r="P208" i="21"/>
  <c r="P212" i="21"/>
  <c r="P220" i="21"/>
  <c r="P232" i="21"/>
  <c r="P235" i="21"/>
  <c r="P236" i="21"/>
  <c r="P237" i="21"/>
  <c r="P238" i="21"/>
  <c r="P243" i="21"/>
  <c r="P244" i="21"/>
  <c r="P260" i="21"/>
  <c r="P261" i="21"/>
  <c r="P262" i="21"/>
  <c r="P275" i="21"/>
  <c r="P277" i="21"/>
  <c r="P278" i="21"/>
  <c r="P279" i="21"/>
  <c r="P282" i="21"/>
  <c r="P283" i="21"/>
  <c r="P285" i="21"/>
  <c r="P290" i="21"/>
  <c r="P292" i="21"/>
  <c r="P294" i="21"/>
  <c r="P210" i="21"/>
  <c r="P203" i="22"/>
  <c r="P204" i="22"/>
  <c r="P205" i="22"/>
  <c r="P207" i="22"/>
  <c r="P212" i="22"/>
  <c r="P213" i="22"/>
  <c r="P214" i="22"/>
  <c r="P217" i="22"/>
  <c r="P220" i="22"/>
  <c r="P221" i="22"/>
  <c r="P222" i="22"/>
  <c r="P223" i="22"/>
  <c r="P268" i="22"/>
  <c r="P270" i="22"/>
  <c r="P147" i="24"/>
  <c r="P210" i="13"/>
  <c r="P172" i="23"/>
  <c r="P188" i="22"/>
  <c r="P208" i="13"/>
  <c r="P145" i="24"/>
  <c r="P169" i="23"/>
  <c r="P140" i="24"/>
  <c r="P164" i="23"/>
  <c r="P180" i="22"/>
  <c r="P203" i="13"/>
  <c r="P158" i="23"/>
  <c r="P168" i="22"/>
  <c r="P152" i="23"/>
  <c r="P134" i="24"/>
  <c r="P157" i="23"/>
  <c r="P166" i="22"/>
  <c r="P197" i="13"/>
  <c r="P151" i="23"/>
  <c r="P133" i="24"/>
  <c r="P196" i="13"/>
  <c r="P150" i="23"/>
  <c r="P174" i="22"/>
  <c r="P195" i="13"/>
  <c r="P149" i="23"/>
  <c r="P132" i="24"/>
  <c r="P164" i="22"/>
  <c r="P186" i="13"/>
  <c r="P156" i="22"/>
  <c r="P123" i="24"/>
  <c r="P139" i="23"/>
  <c r="P184" i="13"/>
  <c r="P135" i="23"/>
  <c r="P121" i="24"/>
  <c r="P119" i="24"/>
  <c r="P182" i="13"/>
  <c r="P131" i="23"/>
  <c r="P178" i="13"/>
  <c r="P127" i="23"/>
  <c r="P144" i="22"/>
  <c r="P115" i="24"/>
  <c r="P175" i="13"/>
  <c r="P123" i="23"/>
  <c r="P140" i="22"/>
  <c r="P112" i="24"/>
  <c r="P172" i="13"/>
  <c r="P119" i="23"/>
  <c r="P136" i="22"/>
  <c r="P109" i="24"/>
  <c r="P115" i="23"/>
  <c r="P132" i="22"/>
  <c r="P167" i="13"/>
  <c r="P111" i="23"/>
  <c r="P104" i="24"/>
  <c r="P93" i="24"/>
  <c r="P97" i="23"/>
  <c r="P109" i="22"/>
  <c r="P156" i="13"/>
  <c r="P94" i="23"/>
  <c r="P105" i="22"/>
  <c r="P153" i="13"/>
  <c r="P90" i="24"/>
  <c r="P91" i="23"/>
  <c r="P151" i="13"/>
  <c r="P88" i="24"/>
  <c r="P89" i="23"/>
  <c r="P85" i="24"/>
  <c r="P86" i="23"/>
  <c r="P96" i="22"/>
  <c r="P148" i="13"/>
  <c r="P83" i="24"/>
  <c r="P84" i="23"/>
  <c r="P94" i="22"/>
  <c r="P146" i="13"/>
  <c r="P144" i="13"/>
  <c r="P81" i="24"/>
  <c r="P81" i="23"/>
  <c r="P78" i="24"/>
  <c r="P77" i="23"/>
  <c r="P84" i="22"/>
  <c r="P141" i="13"/>
  <c r="P76" i="24"/>
  <c r="P75" i="23"/>
  <c r="P82" i="22"/>
  <c r="P139" i="13"/>
  <c r="P73" i="24"/>
  <c r="P73" i="23"/>
  <c r="P78" i="22"/>
  <c r="P136" i="13"/>
  <c r="P70" i="24"/>
  <c r="P69" i="23"/>
  <c r="P133" i="13"/>
  <c r="P68" i="24"/>
  <c r="P67" i="23"/>
  <c r="P131" i="13"/>
  <c r="P65" i="24"/>
  <c r="P63" i="23"/>
  <c r="P128" i="13"/>
  <c r="P61" i="24"/>
  <c r="P58" i="23"/>
  <c r="P124" i="13"/>
  <c r="P217" i="13"/>
  <c r="P199" i="22"/>
  <c r="P154" i="24"/>
  <c r="P181" i="23"/>
  <c r="P216" i="13"/>
  <c r="P153" i="24"/>
  <c r="P180" i="23"/>
  <c r="P198" i="22"/>
  <c r="P214" i="13"/>
  <c r="P151" i="24"/>
  <c r="P178" i="23"/>
  <c r="P196" i="22"/>
  <c r="P212" i="13"/>
  <c r="P175" i="23"/>
  <c r="P193" i="22"/>
  <c r="P149" i="24"/>
  <c r="P173" i="23"/>
  <c r="P189" i="22"/>
  <c r="P209" i="13"/>
  <c r="P171" i="23"/>
  <c r="P187" i="22"/>
  <c r="P146" i="24"/>
  <c r="P207" i="13"/>
  <c r="P184" i="22"/>
  <c r="P144" i="24"/>
  <c r="P168" i="23"/>
  <c r="P142" i="24"/>
  <c r="P166" i="23"/>
  <c r="P182" i="22"/>
  <c r="P205" i="13"/>
  <c r="P141" i="24"/>
  <c r="P165" i="23"/>
  <c r="P181" i="22"/>
  <c r="P204" i="13"/>
  <c r="P138" i="24"/>
  <c r="P162" i="23"/>
  <c r="P173" i="22"/>
  <c r="P201" i="13"/>
  <c r="P156" i="23"/>
  <c r="P137" i="24"/>
  <c r="P160" i="23"/>
  <c r="P170" i="22"/>
  <c r="P200" i="13"/>
  <c r="P154" i="23"/>
  <c r="P135" i="24"/>
  <c r="P159" i="23"/>
  <c r="P169" i="22"/>
  <c r="P198" i="13"/>
  <c r="P153" i="23"/>
  <c r="P194" i="13"/>
  <c r="P148" i="23"/>
  <c r="P131" i="24"/>
  <c r="P175" i="22"/>
  <c r="P193" i="13"/>
  <c r="P147" i="23"/>
  <c r="P130" i="24"/>
  <c r="P192" i="13"/>
  <c r="P146" i="23"/>
  <c r="P129" i="24"/>
  <c r="P162" i="22"/>
  <c r="P191" i="13"/>
  <c r="P145" i="23"/>
  <c r="P128" i="24"/>
  <c r="P189" i="13"/>
  <c r="P143" i="23"/>
  <c r="P126" i="24"/>
  <c r="P161" i="22"/>
  <c r="P187" i="13"/>
  <c r="P157" i="22"/>
  <c r="P124" i="24"/>
  <c r="P140" i="23"/>
  <c r="P185" i="13"/>
  <c r="P155" i="22"/>
  <c r="P122" i="24"/>
  <c r="P138" i="23"/>
  <c r="P136" i="23"/>
  <c r="P153" i="22"/>
  <c r="P134" i="23"/>
  <c r="P151" i="22"/>
  <c r="P181" i="13"/>
  <c r="P130" i="23"/>
  <c r="P147" i="22"/>
  <c r="P118" i="24"/>
  <c r="P179" i="13"/>
  <c r="P128" i="23"/>
  <c r="P116" i="24"/>
  <c r="P126" i="23"/>
  <c r="P143" i="22"/>
  <c r="P176" i="13"/>
  <c r="P124" i="23"/>
  <c r="P141" i="22"/>
  <c r="P113" i="24"/>
  <c r="P174" i="13"/>
  <c r="P122" i="23"/>
  <c r="P111" i="24"/>
  <c r="P110" i="24"/>
  <c r="P173" i="13"/>
  <c r="P120" i="23"/>
  <c r="P108" i="24"/>
  <c r="P171" i="13"/>
  <c r="P118" i="23"/>
  <c r="P116" i="23"/>
  <c r="P133" i="22"/>
  <c r="P169" i="13"/>
  <c r="P114" i="23"/>
  <c r="P131" i="22"/>
  <c r="P106" i="24"/>
  <c r="P168" i="13"/>
  <c r="P112" i="23"/>
  <c r="P105" i="24"/>
  <c r="P166" i="13"/>
  <c r="P110" i="23"/>
  <c r="P103" i="24"/>
  <c r="P108" i="23"/>
  <c r="P125" i="22"/>
  <c r="P163" i="13"/>
  <c r="P100" i="24"/>
  <c r="P105" i="23"/>
  <c r="P162" i="13"/>
  <c r="P120" i="22"/>
  <c r="P99" i="24"/>
  <c r="P104" i="23"/>
  <c r="P97" i="24"/>
  <c r="P101" i="23"/>
  <c r="P116" i="22"/>
  <c r="P160" i="13"/>
  <c r="P96" i="24"/>
  <c r="P100" i="23"/>
  <c r="P114" i="22"/>
  <c r="P159" i="13"/>
  <c r="P94" i="24"/>
  <c r="P98" i="23"/>
  <c r="P112" i="22"/>
  <c r="P157" i="13"/>
  <c r="P92" i="24"/>
  <c r="P96" i="23"/>
  <c r="P107" i="22"/>
  <c r="P155" i="13"/>
  <c r="P95" i="23"/>
  <c r="P106" i="22"/>
  <c r="P154" i="13"/>
  <c r="P91" i="24"/>
  <c r="P92" i="23"/>
  <c r="P89" i="24"/>
  <c r="P90" i="23"/>
  <c r="P101" i="22"/>
  <c r="P152" i="13"/>
  <c r="P87" i="24"/>
  <c r="P88" i="23"/>
  <c r="P99" i="22"/>
  <c r="P150" i="13"/>
  <c r="P149" i="13"/>
  <c r="P86" i="24"/>
  <c r="P87" i="23"/>
  <c r="P147" i="13"/>
  <c r="P84" i="24"/>
  <c r="P85" i="23"/>
  <c r="P145" i="13"/>
  <c r="P82" i="24"/>
  <c r="P82" i="23"/>
  <c r="P142" i="13"/>
  <c r="P79" i="24"/>
  <c r="P78" i="23"/>
  <c r="P75" i="24"/>
  <c r="P93" i="23"/>
  <c r="P81" i="22"/>
  <c r="P138" i="13"/>
  <c r="P72" i="23"/>
  <c r="P77" i="22"/>
  <c r="P71" i="24"/>
  <c r="P70" i="23"/>
  <c r="P75" i="22"/>
  <c r="P134" i="13"/>
  <c r="P69" i="24"/>
  <c r="P68" i="23"/>
  <c r="P132" i="13"/>
  <c r="P67" i="24"/>
  <c r="P66" i="23"/>
  <c r="P130" i="13"/>
  <c r="P66" i="24"/>
  <c r="P64" i="23"/>
  <c r="P129" i="13"/>
  <c r="P64" i="24"/>
  <c r="P62" i="23"/>
  <c r="P127" i="13"/>
  <c r="P62" i="24"/>
  <c r="P60" i="23"/>
  <c r="P125" i="13"/>
  <c r="P60" i="24"/>
  <c r="P57" i="23"/>
  <c r="P123" i="13"/>
  <c r="P58" i="24"/>
  <c r="P55" i="23"/>
  <c r="P121" i="13"/>
  <c r="P59" i="21"/>
  <c r="P62" i="21"/>
  <c r="P65" i="21"/>
  <c r="P67" i="21"/>
  <c r="P73" i="21"/>
  <c r="P85" i="21"/>
  <c r="P87" i="21"/>
  <c r="P88" i="21"/>
  <c r="P89" i="21"/>
  <c r="P95" i="21"/>
  <c r="P97" i="21"/>
  <c r="P101" i="21"/>
  <c r="P99" i="21"/>
  <c r="P91" i="21"/>
  <c r="P118" i="21"/>
  <c r="P122" i="21"/>
  <c r="P126" i="21"/>
  <c r="P128" i="21"/>
  <c r="P129" i="21"/>
  <c r="P130" i="21"/>
  <c r="P133" i="21"/>
  <c r="P136" i="21"/>
  <c r="P137" i="21"/>
  <c r="P139" i="21"/>
  <c r="P140" i="21"/>
  <c r="P142" i="21"/>
  <c r="P145" i="21"/>
  <c r="P149" i="21"/>
  <c r="P150" i="21"/>
  <c r="P151" i="21"/>
  <c r="P159" i="21"/>
  <c r="P160" i="21"/>
  <c r="P161" i="21"/>
  <c r="P162" i="21"/>
  <c r="P163" i="21"/>
  <c r="P164" i="21"/>
  <c r="P166" i="21"/>
  <c r="P167" i="21"/>
  <c r="P172" i="21"/>
  <c r="P173" i="21"/>
  <c r="P175" i="21"/>
  <c r="P178" i="21"/>
  <c r="P182" i="21"/>
  <c r="P183" i="21"/>
  <c r="P184" i="21"/>
  <c r="P127" i="22"/>
  <c r="P128" i="22"/>
  <c r="P129" i="22"/>
  <c r="P139" i="22"/>
  <c r="P145" i="22"/>
  <c r="P149" i="22"/>
  <c r="P177" i="22"/>
  <c r="P178" i="22"/>
  <c r="P185" i="22"/>
  <c r="P59" i="22"/>
  <c r="P61" i="22"/>
  <c r="P62" i="22"/>
  <c r="P63" i="22"/>
  <c r="P64" i="22"/>
  <c r="P65" i="22"/>
  <c r="P67" i="22"/>
  <c r="P68" i="22"/>
  <c r="P69" i="22"/>
  <c r="P70" i="22"/>
  <c r="P71" i="22"/>
  <c r="P72" i="22"/>
  <c r="P73" i="22"/>
  <c r="P74" i="22"/>
  <c r="P95" i="22"/>
  <c r="P102" i="22"/>
  <c r="P103" i="22"/>
  <c r="P135" i="22"/>
  <c r="P218" i="13"/>
  <c r="P155" i="24"/>
  <c r="P182" i="23"/>
  <c r="P200" i="22"/>
  <c r="P215" i="13"/>
  <c r="P152" i="24"/>
  <c r="P179" i="23"/>
  <c r="P197" i="22"/>
  <c r="P213" i="13"/>
  <c r="P150" i="24"/>
  <c r="P177" i="23"/>
  <c r="P195" i="22"/>
  <c r="P176" i="23"/>
  <c r="P194" i="22"/>
  <c r="P148" i="24"/>
  <c r="P211" i="13"/>
  <c r="P174" i="23"/>
  <c r="P190" i="22"/>
  <c r="P170" i="23"/>
  <c r="P186" i="22"/>
  <c r="P206" i="13"/>
  <c r="P143" i="24"/>
  <c r="P167" i="23"/>
  <c r="P183" i="22"/>
  <c r="P202" i="13"/>
  <c r="P139" i="24"/>
  <c r="P163" i="23"/>
  <c r="P179" i="22"/>
  <c r="P136" i="24"/>
  <c r="P161" i="23"/>
  <c r="P171" i="22"/>
  <c r="P199" i="13"/>
  <c r="P155" i="23"/>
  <c r="P190" i="13"/>
  <c r="P144" i="23"/>
  <c r="P127" i="24"/>
  <c r="P188" i="13"/>
  <c r="P158" i="22"/>
  <c r="P125" i="24"/>
  <c r="P141" i="23"/>
  <c r="P154" i="22"/>
  <c r="P137" i="23"/>
  <c r="P183" i="13"/>
  <c r="P133" i="23"/>
  <c r="P150" i="22"/>
  <c r="P120" i="24"/>
  <c r="P180" i="13"/>
  <c r="P129" i="23"/>
  <c r="P146" i="22"/>
  <c r="P117" i="24"/>
  <c r="P177" i="13"/>
  <c r="P125" i="23"/>
  <c r="P142" i="22"/>
  <c r="P114" i="24"/>
  <c r="P121" i="23"/>
  <c r="P138" i="22"/>
  <c r="P170" i="13"/>
  <c r="P117" i="23"/>
  <c r="P134" i="22"/>
  <c r="P107" i="24"/>
  <c r="P113" i="23"/>
  <c r="P130" i="22"/>
  <c r="P165" i="13"/>
  <c r="P109" i="23"/>
  <c r="P102" i="24"/>
  <c r="P164" i="13"/>
  <c r="P107" i="23"/>
  <c r="P124" i="22"/>
  <c r="P101" i="24"/>
  <c r="P98" i="24"/>
  <c r="P103" i="23"/>
  <c r="P161" i="13"/>
  <c r="P158" i="13"/>
  <c r="P95" i="24"/>
  <c r="P99" i="23"/>
  <c r="P143" i="13"/>
  <c r="P80" i="24"/>
  <c r="P79" i="23"/>
  <c r="P77" i="24"/>
  <c r="P76" i="23"/>
  <c r="P83" i="22"/>
  <c r="P140" i="13"/>
  <c r="P74" i="24"/>
  <c r="P74" i="23"/>
  <c r="P80" i="22"/>
  <c r="P137" i="13"/>
  <c r="P72" i="24"/>
  <c r="P71" i="23"/>
  <c r="P76" i="22"/>
  <c r="P135" i="13"/>
  <c r="P63" i="24"/>
  <c r="P61" i="23"/>
  <c r="P126" i="13"/>
  <c r="P59" i="24"/>
  <c r="P56" i="23"/>
  <c r="P122" i="13"/>
  <c r="P60" i="21"/>
  <c r="P61" i="21"/>
  <c r="P63" i="21"/>
  <c r="P66" i="21"/>
  <c r="P68" i="21"/>
  <c r="P69" i="21"/>
  <c r="P70" i="21"/>
  <c r="P71" i="21"/>
  <c r="P72" i="21"/>
  <c r="P74" i="21"/>
  <c r="P75" i="21"/>
  <c r="P76" i="21"/>
  <c r="P77" i="21"/>
  <c r="P78" i="21"/>
  <c r="P79" i="21"/>
  <c r="P80" i="21"/>
  <c r="P81" i="21"/>
  <c r="P82" i="21"/>
  <c r="P83" i="21"/>
  <c r="P84" i="21"/>
  <c r="P90" i="21"/>
  <c r="P92" i="21"/>
  <c r="P94" i="21"/>
  <c r="P96" i="21"/>
  <c r="P98" i="21"/>
  <c r="P100" i="21"/>
  <c r="P102" i="21"/>
  <c r="P103" i="21"/>
  <c r="P93" i="21"/>
  <c r="P104" i="21"/>
  <c r="P105" i="21"/>
  <c r="P106" i="21"/>
  <c r="P107" i="21"/>
  <c r="P108" i="21"/>
  <c r="P109" i="21"/>
  <c r="P110" i="21"/>
  <c r="P111" i="21"/>
  <c r="P112" i="21"/>
  <c r="P114" i="21"/>
  <c r="P115" i="21"/>
  <c r="P116" i="21"/>
  <c r="P117" i="21"/>
  <c r="P120" i="21"/>
  <c r="P123" i="21"/>
  <c r="P124" i="21"/>
  <c r="P132" i="21"/>
  <c r="P134" i="21"/>
  <c r="P143" i="21"/>
  <c r="P146" i="21"/>
  <c r="P147" i="21"/>
  <c r="P154" i="21"/>
  <c r="P155" i="21"/>
  <c r="P156" i="21"/>
  <c r="P157" i="21"/>
  <c r="P158" i="21"/>
  <c r="P168" i="21"/>
  <c r="P169" i="21"/>
  <c r="P170" i="21"/>
  <c r="P176" i="21"/>
  <c r="P177" i="21"/>
  <c r="P179" i="21"/>
  <c r="P180" i="21"/>
  <c r="P181" i="21"/>
  <c r="P186" i="21"/>
  <c r="P187" i="21"/>
  <c r="P188" i="21"/>
  <c r="P189" i="21"/>
  <c r="P190" i="21"/>
  <c r="P85" i="22"/>
  <c r="P86" i="22"/>
  <c r="P87" i="22"/>
  <c r="P88" i="22"/>
  <c r="P89" i="22"/>
  <c r="P93" i="22"/>
  <c r="P97" i="22"/>
  <c r="P100" i="22"/>
  <c r="P113" i="22"/>
  <c r="P118" i="22"/>
  <c r="P119" i="22"/>
  <c r="P122" i="22"/>
  <c r="P123" i="22"/>
  <c r="P137" i="22"/>
  <c r="P148" i="22"/>
  <c r="P152" i="22"/>
  <c r="N31" i="21"/>
  <c r="N31" i="22"/>
  <c r="M33" i="22"/>
  <c r="L31" i="21"/>
  <c r="M33" i="21"/>
  <c r="N31" i="23"/>
  <c r="M33" i="23"/>
  <c r="M31" i="22"/>
  <c r="L31" i="22"/>
  <c r="L33" i="22"/>
  <c r="N33" i="22"/>
  <c r="M31" i="23"/>
  <c r="N31" i="13"/>
  <c r="L31" i="23"/>
  <c r="L33" i="23"/>
  <c r="N33" i="23"/>
  <c r="F23" i="23"/>
  <c r="F23" i="13"/>
  <c r="F23" i="22"/>
  <c r="M33" i="13"/>
  <c r="L33" i="13"/>
  <c r="N33" i="13"/>
  <c r="B23" i="13"/>
  <c r="D23" i="13"/>
  <c r="F23" i="21"/>
  <c r="B23" i="22"/>
  <c r="D23" i="22"/>
  <c r="L33" i="21"/>
  <c r="N33" i="21"/>
  <c r="L31" i="13"/>
  <c r="B23" i="23"/>
  <c r="D23" i="23"/>
  <c r="I25" i="23"/>
  <c r="H25" i="23"/>
  <c r="H25" i="22"/>
  <c r="I25" i="22"/>
  <c r="B23" i="21"/>
  <c r="D23" i="21"/>
  <c r="I25" i="21"/>
  <c r="H25" i="21"/>
  <c r="I25" i="13"/>
  <c r="H25" i="13"/>
  <c r="M31" i="13"/>
  <c r="H23" i="23" l="1"/>
  <c r="H23" i="22"/>
  <c r="H23" i="21"/>
  <c r="H23" i="13"/>
  <c r="N30" i="24"/>
  <c r="M30" i="24"/>
  <c r="N26" i="24"/>
  <c r="J26" i="24"/>
  <c r="N25" i="24"/>
  <c r="J25" i="24"/>
  <c r="G25" i="24"/>
  <c r="F23" i="24" s="1"/>
  <c r="F25" i="24"/>
  <c r="E25" i="24"/>
  <c r="D23" i="24" s="1"/>
  <c r="D25" i="24"/>
  <c r="C25" i="24"/>
  <c r="B25" i="24"/>
  <c r="N24" i="24"/>
  <c r="J24" i="24"/>
  <c r="N23" i="24"/>
  <c r="J23" i="24"/>
  <c r="N20" i="24"/>
  <c r="M20" i="24"/>
  <c r="L20" i="24"/>
  <c r="K20" i="24"/>
  <c r="J20" i="24"/>
  <c r="I20" i="24"/>
  <c r="H20" i="24"/>
  <c r="G20" i="24"/>
  <c r="F20" i="24"/>
  <c r="E20" i="24"/>
  <c r="D20" i="24"/>
  <c r="B20" i="24"/>
  <c r="N19" i="24"/>
  <c r="M19" i="24"/>
  <c r="L19" i="24"/>
  <c r="K19" i="24"/>
  <c r="J19" i="24"/>
  <c r="I19" i="24"/>
  <c r="H19" i="24"/>
  <c r="G19" i="24"/>
  <c r="F19" i="24"/>
  <c r="E19" i="24"/>
  <c r="D19" i="24"/>
  <c r="B19" i="24"/>
  <c r="N18" i="24"/>
  <c r="M18" i="24"/>
  <c r="L18" i="24"/>
  <c r="K18" i="24"/>
  <c r="J18" i="24"/>
  <c r="I18" i="24"/>
  <c r="H18" i="24"/>
  <c r="G18" i="24"/>
  <c r="F18" i="24"/>
  <c r="E18" i="24"/>
  <c r="D18" i="24"/>
  <c r="B18" i="24"/>
  <c r="N17" i="24"/>
  <c r="L17" i="24"/>
  <c r="K17" i="24"/>
  <c r="J17" i="24"/>
  <c r="I17" i="24"/>
  <c r="H17" i="24"/>
  <c r="G17" i="24"/>
  <c r="F17" i="24"/>
  <c r="E17" i="24"/>
  <c r="D17" i="24"/>
  <c r="B17" i="24"/>
  <c r="M16" i="24"/>
  <c r="L16" i="24"/>
  <c r="K16" i="24"/>
  <c r="J16" i="24"/>
  <c r="I16" i="24"/>
  <c r="H16" i="24"/>
  <c r="G16" i="24"/>
  <c r="F16" i="24"/>
  <c r="E16" i="24"/>
  <c r="D16" i="24"/>
  <c r="B16" i="24"/>
  <c r="M15" i="24"/>
  <c r="L15" i="24"/>
  <c r="K15" i="24"/>
  <c r="J15" i="24"/>
  <c r="I15" i="24"/>
  <c r="H15" i="24"/>
  <c r="G15" i="24"/>
  <c r="F15" i="24"/>
  <c r="E15" i="24"/>
  <c r="D15" i="24"/>
  <c r="B15" i="24"/>
  <c r="N14" i="24"/>
  <c r="M14" i="24"/>
  <c r="L14" i="24"/>
  <c r="K14" i="24"/>
  <c r="J14" i="24"/>
  <c r="I14" i="24"/>
  <c r="H14" i="24"/>
  <c r="G14" i="24"/>
  <c r="F14" i="24"/>
  <c r="E14" i="24"/>
  <c r="D14" i="24"/>
  <c r="B14" i="24"/>
  <c r="N13" i="24"/>
  <c r="M13" i="24"/>
  <c r="L13" i="24"/>
  <c r="K13" i="24"/>
  <c r="J13" i="24"/>
  <c r="I13" i="24"/>
  <c r="H13" i="24"/>
  <c r="G13" i="24"/>
  <c r="F13" i="24"/>
  <c r="E13" i="24"/>
  <c r="D13" i="24"/>
  <c r="B13" i="24"/>
  <c r="N12" i="24"/>
  <c r="M12" i="24"/>
  <c r="L12" i="24"/>
  <c r="K12" i="24"/>
  <c r="J12" i="24"/>
  <c r="I12" i="24"/>
  <c r="H12" i="24"/>
  <c r="G12" i="24"/>
  <c r="F12" i="24"/>
  <c r="E12" i="24"/>
  <c r="D12" i="24"/>
  <c r="B12" i="24"/>
  <c r="N11" i="24"/>
  <c r="M11" i="24"/>
  <c r="L11" i="24"/>
  <c r="K11" i="24"/>
  <c r="J11" i="24"/>
  <c r="I11" i="24"/>
  <c r="H11" i="24"/>
  <c r="G11" i="24"/>
  <c r="F11" i="24"/>
  <c r="E11" i="24"/>
  <c r="D11" i="24"/>
  <c r="B11" i="24"/>
  <c r="I4" i="24"/>
  <c r="D90" i="11"/>
  <c r="E67" i="11"/>
  <c r="N31" i="24" l="1"/>
  <c r="M33" i="24"/>
  <c r="G32" i="24"/>
  <c r="E31" i="24"/>
  <c r="F32" i="24"/>
  <c r="C31" i="24"/>
  <c r="C32" i="24"/>
  <c r="B31" i="24"/>
  <c r="D31" i="24"/>
  <c r="G31" i="24"/>
  <c r="E32" i="24"/>
  <c r="F31" i="24"/>
  <c r="B32" i="24"/>
  <c r="D32" i="24"/>
  <c r="L31" i="24"/>
  <c r="M31" i="24"/>
  <c r="L33" i="24"/>
  <c r="N33" i="24"/>
  <c r="B23" i="24"/>
  <c r="I25" i="24"/>
  <c r="H25" i="24"/>
  <c r="D10" i="28"/>
  <c r="D8" i="28"/>
  <c r="G30" i="24" l="1"/>
  <c r="G26" i="24" s="1"/>
  <c r="I41" i="22"/>
  <c r="E41" i="22"/>
  <c r="G39" i="22"/>
  <c r="C39" i="22"/>
  <c r="H37" i="22"/>
  <c r="D37" i="22"/>
  <c r="G41" i="22"/>
  <c r="F37" i="22"/>
  <c r="E39" i="22"/>
  <c r="C37" i="22"/>
  <c r="G37" i="22"/>
  <c r="B39" i="22"/>
  <c r="F39" i="22"/>
  <c r="B41" i="22"/>
  <c r="F41" i="22"/>
  <c r="B37" i="22"/>
  <c r="J37" i="22"/>
  <c r="C41" i="22"/>
  <c r="H41" i="22"/>
  <c r="E37" i="22"/>
  <c r="I37" i="22"/>
  <c r="D39" i="22"/>
  <c r="H39" i="22"/>
  <c r="D41" i="22"/>
  <c r="F32" i="22"/>
  <c r="B32" i="22"/>
  <c r="G31" i="22"/>
  <c r="C31" i="22"/>
  <c r="D32" i="22"/>
  <c r="E31" i="22"/>
  <c r="G32" i="22"/>
  <c r="D31" i="22"/>
  <c r="C32" i="22"/>
  <c r="B31" i="22"/>
  <c r="F31" i="22"/>
  <c r="F30" i="22" s="1"/>
  <c r="E32" i="22"/>
  <c r="I31" i="24"/>
  <c r="F30" i="24"/>
  <c r="F29" i="24" s="1"/>
  <c r="F34" i="24" s="1"/>
  <c r="D30" i="24"/>
  <c r="D26" i="24" s="1"/>
  <c r="C30" i="24"/>
  <c r="C26" i="24" s="1"/>
  <c r="E30" i="24"/>
  <c r="E26" i="24" s="1"/>
  <c r="I32" i="24"/>
  <c r="H32" i="24"/>
  <c r="B30" i="24"/>
  <c r="H31" i="24"/>
  <c r="F41" i="24"/>
  <c r="B41" i="24"/>
  <c r="G41" i="24"/>
  <c r="C41" i="24"/>
  <c r="E39" i="24"/>
  <c r="J37" i="24"/>
  <c r="F37" i="24"/>
  <c r="D37" i="24"/>
  <c r="B37" i="24"/>
  <c r="I41" i="24"/>
  <c r="E41" i="24"/>
  <c r="G39" i="24"/>
  <c r="C39" i="24"/>
  <c r="H37" i="24"/>
  <c r="E37" i="24"/>
  <c r="C37" i="24"/>
  <c r="D41" i="24"/>
  <c r="H39" i="24"/>
  <c r="D39" i="24"/>
  <c r="I37" i="24"/>
  <c r="F39" i="24"/>
  <c r="B39" i="24"/>
  <c r="G37" i="24"/>
  <c r="H41" i="24"/>
  <c r="H23" i="24"/>
  <c r="S806" i="23"/>
  <c r="R806" i="23"/>
  <c r="Q806" i="23"/>
  <c r="P806" i="23"/>
  <c r="S805" i="23"/>
  <c r="R805" i="23"/>
  <c r="Q805" i="23"/>
  <c r="P805" i="23"/>
  <c r="S804" i="23"/>
  <c r="R804" i="23"/>
  <c r="Q804" i="23"/>
  <c r="P804" i="23"/>
  <c r="S803" i="23"/>
  <c r="R803" i="23"/>
  <c r="Q803" i="23"/>
  <c r="P803" i="23"/>
  <c r="S802" i="23"/>
  <c r="R802" i="23"/>
  <c r="Q802" i="23"/>
  <c r="P802" i="23"/>
  <c r="S801" i="23"/>
  <c r="R801" i="23"/>
  <c r="Q801" i="23"/>
  <c r="P801" i="23"/>
  <c r="S800" i="23"/>
  <c r="R800" i="23"/>
  <c r="Q800" i="23"/>
  <c r="P800" i="23"/>
  <c r="S799" i="23"/>
  <c r="R799" i="23"/>
  <c r="Q799" i="23"/>
  <c r="P799" i="23"/>
  <c r="S798" i="23"/>
  <c r="R798" i="23"/>
  <c r="Q798" i="23"/>
  <c r="P798" i="23"/>
  <c r="S797" i="23"/>
  <c r="R797" i="23"/>
  <c r="Q797" i="23"/>
  <c r="P797" i="23"/>
  <c r="S796" i="23"/>
  <c r="R796" i="23"/>
  <c r="Q796" i="23"/>
  <c r="P796" i="23"/>
  <c r="S795" i="23"/>
  <c r="R795" i="23"/>
  <c r="Q795" i="23"/>
  <c r="P795" i="23"/>
  <c r="S794" i="23"/>
  <c r="R794" i="23"/>
  <c r="Q794" i="23"/>
  <c r="P794" i="23"/>
  <c r="S793" i="23"/>
  <c r="R793" i="23"/>
  <c r="Q793" i="23"/>
  <c r="P793" i="23"/>
  <c r="S792" i="23"/>
  <c r="R792" i="23"/>
  <c r="Q792" i="23"/>
  <c r="P792" i="23"/>
  <c r="S791" i="23"/>
  <c r="R791" i="23"/>
  <c r="Q791" i="23"/>
  <c r="P791" i="23"/>
  <c r="S790" i="23"/>
  <c r="R790" i="23"/>
  <c r="Q790" i="23"/>
  <c r="P790" i="23"/>
  <c r="S789" i="23"/>
  <c r="R789" i="23"/>
  <c r="Q789" i="23"/>
  <c r="P789" i="23"/>
  <c r="S788" i="23"/>
  <c r="R788" i="23"/>
  <c r="Q788" i="23"/>
  <c r="P788" i="23"/>
  <c r="S787" i="23"/>
  <c r="R787" i="23"/>
  <c r="Q787" i="23"/>
  <c r="P787" i="23"/>
  <c r="S786" i="23"/>
  <c r="R786" i="23"/>
  <c r="Q786" i="23"/>
  <c r="P786" i="23"/>
  <c r="S785" i="23"/>
  <c r="R785" i="23"/>
  <c r="Q785" i="23"/>
  <c r="P785" i="23"/>
  <c r="S784" i="23"/>
  <c r="R784" i="23"/>
  <c r="Q784" i="23"/>
  <c r="P784" i="23"/>
  <c r="S783" i="23"/>
  <c r="R783" i="23"/>
  <c r="Q783" i="23"/>
  <c r="P783" i="23"/>
  <c r="S782" i="23"/>
  <c r="R782" i="23"/>
  <c r="Q782" i="23"/>
  <c r="P782" i="23"/>
  <c r="S781" i="23"/>
  <c r="R781" i="23"/>
  <c r="Q781" i="23"/>
  <c r="P781" i="23"/>
  <c r="S780" i="23"/>
  <c r="R780" i="23"/>
  <c r="Q780" i="23"/>
  <c r="P780" i="23"/>
  <c r="S779" i="23"/>
  <c r="R779" i="23"/>
  <c r="Q779" i="23"/>
  <c r="P779" i="23"/>
  <c r="S778" i="23"/>
  <c r="R778" i="23"/>
  <c r="Q778" i="23"/>
  <c r="P778" i="23"/>
  <c r="S777" i="23"/>
  <c r="R777" i="23"/>
  <c r="Q777" i="23"/>
  <c r="P777" i="23"/>
  <c r="S776" i="23"/>
  <c r="R776" i="23"/>
  <c r="Q776" i="23"/>
  <c r="P776" i="23"/>
  <c r="S775" i="23"/>
  <c r="R775" i="23"/>
  <c r="Q775" i="23"/>
  <c r="P775" i="23"/>
  <c r="S774" i="23"/>
  <c r="R774" i="23"/>
  <c r="Q774" i="23"/>
  <c r="P774" i="23"/>
  <c r="S773" i="23"/>
  <c r="R773" i="23"/>
  <c r="Q773" i="23"/>
  <c r="P773" i="23"/>
  <c r="S772" i="23"/>
  <c r="R772" i="23"/>
  <c r="Q772" i="23"/>
  <c r="P772" i="23"/>
  <c r="S771" i="23"/>
  <c r="R771" i="23"/>
  <c r="Q771" i="23"/>
  <c r="P771" i="23"/>
  <c r="S770" i="23"/>
  <c r="R770" i="23"/>
  <c r="Q770" i="23"/>
  <c r="P770" i="23"/>
  <c r="S769" i="23"/>
  <c r="R769" i="23"/>
  <c r="Q769" i="23"/>
  <c r="P769" i="23"/>
  <c r="S768" i="23"/>
  <c r="R768" i="23"/>
  <c r="Q768" i="23"/>
  <c r="P768" i="23"/>
  <c r="S767" i="23"/>
  <c r="R767" i="23"/>
  <c r="Q767" i="23"/>
  <c r="P767" i="23"/>
  <c r="S766" i="23"/>
  <c r="R766" i="23"/>
  <c r="Q766" i="23"/>
  <c r="P766" i="23"/>
  <c r="S765" i="23"/>
  <c r="R765" i="23"/>
  <c r="Q765" i="23"/>
  <c r="P765" i="23"/>
  <c r="S764" i="23"/>
  <c r="R764" i="23"/>
  <c r="Q764" i="23"/>
  <c r="P764" i="23"/>
  <c r="S763" i="23"/>
  <c r="R763" i="23"/>
  <c r="Q763" i="23"/>
  <c r="P763" i="23"/>
  <c r="S762" i="23"/>
  <c r="R762" i="23"/>
  <c r="Q762" i="23"/>
  <c r="P762" i="23"/>
  <c r="S761" i="23"/>
  <c r="R761" i="23"/>
  <c r="Q761" i="23"/>
  <c r="P761" i="23"/>
  <c r="S760" i="23"/>
  <c r="R760" i="23"/>
  <c r="Q760" i="23"/>
  <c r="P760" i="23"/>
  <c r="S759" i="23"/>
  <c r="R759" i="23"/>
  <c r="Q759" i="23"/>
  <c r="P759" i="23"/>
  <c r="S758" i="23"/>
  <c r="R758" i="23"/>
  <c r="Q758" i="23"/>
  <c r="P758" i="23"/>
  <c r="S757" i="23"/>
  <c r="R757" i="23"/>
  <c r="Q757" i="23"/>
  <c r="P757" i="23"/>
  <c r="S756" i="23"/>
  <c r="R756" i="23"/>
  <c r="Q756" i="23"/>
  <c r="P756" i="23"/>
  <c r="S755" i="23"/>
  <c r="R755" i="23"/>
  <c r="Q755" i="23"/>
  <c r="P755" i="23"/>
  <c r="P647" i="23"/>
  <c r="Q647" i="23"/>
  <c r="R647" i="23"/>
  <c r="S647" i="23"/>
  <c r="P648" i="23"/>
  <c r="Q648" i="23"/>
  <c r="R648" i="23"/>
  <c r="S648" i="23"/>
  <c r="P649" i="23"/>
  <c r="Q649" i="23"/>
  <c r="R649" i="23"/>
  <c r="S649" i="23"/>
  <c r="P650" i="23"/>
  <c r="Q650" i="23"/>
  <c r="R650" i="23"/>
  <c r="S650" i="23"/>
  <c r="P651" i="23"/>
  <c r="Q651" i="23"/>
  <c r="R651" i="23"/>
  <c r="S651" i="23"/>
  <c r="P652" i="23"/>
  <c r="Q652" i="23"/>
  <c r="R652" i="23"/>
  <c r="S652" i="23"/>
  <c r="P653" i="23"/>
  <c r="Q653" i="23"/>
  <c r="R653" i="23"/>
  <c r="S653" i="23"/>
  <c r="P654" i="23"/>
  <c r="Q654" i="23"/>
  <c r="R654" i="23"/>
  <c r="S654" i="23"/>
  <c r="P655" i="23"/>
  <c r="Q655" i="23"/>
  <c r="R655" i="23"/>
  <c r="S655" i="23"/>
  <c r="P656" i="23"/>
  <c r="Q656" i="23"/>
  <c r="R656" i="23"/>
  <c r="S656" i="23"/>
  <c r="P657" i="23"/>
  <c r="Q657" i="23"/>
  <c r="R657" i="23"/>
  <c r="S657" i="23"/>
  <c r="P658" i="23"/>
  <c r="Q658" i="23"/>
  <c r="R658" i="23"/>
  <c r="S658" i="23"/>
  <c r="P659" i="23"/>
  <c r="Q659" i="23"/>
  <c r="R659" i="23"/>
  <c r="S659" i="23"/>
  <c r="P660" i="23"/>
  <c r="Q660" i="23"/>
  <c r="R660" i="23"/>
  <c r="S660" i="23"/>
  <c r="P661" i="23"/>
  <c r="Q661" i="23"/>
  <c r="R661" i="23"/>
  <c r="S661" i="23"/>
  <c r="P662" i="23"/>
  <c r="Q662" i="23"/>
  <c r="R662" i="23"/>
  <c r="S662" i="23"/>
  <c r="P663" i="23"/>
  <c r="Q663" i="23"/>
  <c r="R663" i="23"/>
  <c r="S663" i="23"/>
  <c r="P664" i="23"/>
  <c r="Q664" i="23"/>
  <c r="R664" i="23"/>
  <c r="S664" i="23"/>
  <c r="P665" i="23"/>
  <c r="Q665" i="23"/>
  <c r="R665" i="23"/>
  <c r="S665" i="23"/>
  <c r="P666" i="23"/>
  <c r="Q666" i="23"/>
  <c r="R666" i="23"/>
  <c r="S666" i="23"/>
  <c r="P667" i="23"/>
  <c r="Q667" i="23"/>
  <c r="R667" i="23"/>
  <c r="S667" i="23"/>
  <c r="P668" i="23"/>
  <c r="Q668" i="23"/>
  <c r="R668" i="23"/>
  <c r="S668" i="23"/>
  <c r="P669" i="23"/>
  <c r="Q669" i="23"/>
  <c r="R669" i="23"/>
  <c r="S669" i="23"/>
  <c r="P670" i="23"/>
  <c r="Q670" i="23"/>
  <c r="R670" i="23"/>
  <c r="S670" i="23"/>
  <c r="P671" i="23"/>
  <c r="Q671" i="23"/>
  <c r="R671" i="23"/>
  <c r="S671" i="23"/>
  <c r="P672" i="23"/>
  <c r="Q672" i="23"/>
  <c r="R672" i="23"/>
  <c r="S672" i="23"/>
  <c r="P673" i="23"/>
  <c r="Q673" i="23"/>
  <c r="R673" i="23"/>
  <c r="S673" i="23"/>
  <c r="P674" i="23"/>
  <c r="Q674" i="23"/>
  <c r="R674" i="23"/>
  <c r="S674" i="23"/>
  <c r="P675" i="23"/>
  <c r="Q675" i="23"/>
  <c r="R675" i="23"/>
  <c r="S675" i="23"/>
  <c r="P676" i="23"/>
  <c r="Q676" i="23"/>
  <c r="R676" i="23"/>
  <c r="S676" i="23"/>
  <c r="P677" i="23"/>
  <c r="Q677" i="23"/>
  <c r="R677" i="23"/>
  <c r="S677" i="23"/>
  <c r="P678" i="23"/>
  <c r="Q678" i="23"/>
  <c r="R678" i="23"/>
  <c r="S678" i="23"/>
  <c r="P679" i="23"/>
  <c r="Q679" i="23"/>
  <c r="R679" i="23"/>
  <c r="S679" i="23"/>
  <c r="P680" i="23"/>
  <c r="Q680" i="23"/>
  <c r="R680" i="23"/>
  <c r="S680" i="23"/>
  <c r="P681" i="23"/>
  <c r="Q681" i="23"/>
  <c r="R681" i="23"/>
  <c r="S681" i="23"/>
  <c r="P682" i="23"/>
  <c r="Q682" i="23"/>
  <c r="R682" i="23"/>
  <c r="S682" i="23"/>
  <c r="P683" i="23"/>
  <c r="Q683" i="23"/>
  <c r="R683" i="23"/>
  <c r="S683" i="23"/>
  <c r="P684" i="23"/>
  <c r="Q684" i="23"/>
  <c r="R684" i="23"/>
  <c r="S684" i="23"/>
  <c r="P685" i="23"/>
  <c r="Q685" i="23"/>
  <c r="R685" i="23"/>
  <c r="S685" i="23"/>
  <c r="P686" i="23"/>
  <c r="Q686" i="23"/>
  <c r="R686" i="23"/>
  <c r="S686" i="23"/>
  <c r="P687" i="23"/>
  <c r="Q687" i="23"/>
  <c r="R687" i="23"/>
  <c r="S687" i="23"/>
  <c r="P688" i="23"/>
  <c r="Q688" i="23"/>
  <c r="R688" i="23"/>
  <c r="S688" i="23"/>
  <c r="P689" i="23"/>
  <c r="Q689" i="23"/>
  <c r="R689" i="23"/>
  <c r="S689" i="23"/>
  <c r="P690" i="23"/>
  <c r="Q690" i="23"/>
  <c r="R690" i="23"/>
  <c r="S690" i="23"/>
  <c r="P691" i="23"/>
  <c r="Q691" i="23"/>
  <c r="R691" i="23"/>
  <c r="S691" i="23"/>
  <c r="P692" i="23"/>
  <c r="Q692" i="23"/>
  <c r="R692" i="23"/>
  <c r="S692" i="23"/>
  <c r="P693" i="23"/>
  <c r="Q693" i="23"/>
  <c r="R693" i="23"/>
  <c r="S693" i="23"/>
  <c r="P694" i="23"/>
  <c r="Q694" i="23"/>
  <c r="R694" i="23"/>
  <c r="S694" i="23"/>
  <c r="P695" i="23"/>
  <c r="Q695" i="23"/>
  <c r="R695" i="23"/>
  <c r="S695" i="23"/>
  <c r="P696" i="23"/>
  <c r="Q696" i="23"/>
  <c r="R696" i="23"/>
  <c r="S696" i="23"/>
  <c r="P697" i="23"/>
  <c r="Q697" i="23"/>
  <c r="R697" i="23"/>
  <c r="S697" i="23"/>
  <c r="P698" i="23"/>
  <c r="Q698" i="23"/>
  <c r="R698" i="23"/>
  <c r="S698" i="23"/>
  <c r="P699" i="23"/>
  <c r="Q699" i="23"/>
  <c r="R699" i="23"/>
  <c r="S699" i="23"/>
  <c r="P700" i="23"/>
  <c r="Q700" i="23"/>
  <c r="R700" i="23"/>
  <c r="S700" i="23"/>
  <c r="P701" i="23"/>
  <c r="Q701" i="23"/>
  <c r="R701" i="23"/>
  <c r="S701" i="23"/>
  <c r="P702" i="23"/>
  <c r="Q702" i="23"/>
  <c r="R702" i="23"/>
  <c r="S702" i="23"/>
  <c r="P703" i="23"/>
  <c r="Q703" i="23"/>
  <c r="R703" i="23"/>
  <c r="S703" i="23"/>
  <c r="P704" i="23"/>
  <c r="Q704" i="23"/>
  <c r="R704" i="23"/>
  <c r="S704" i="23"/>
  <c r="P705" i="23"/>
  <c r="Q705" i="23"/>
  <c r="R705" i="23"/>
  <c r="S705" i="23"/>
  <c r="P706" i="23"/>
  <c r="Q706" i="23"/>
  <c r="R706" i="23"/>
  <c r="S706" i="23"/>
  <c r="P707" i="23"/>
  <c r="Q707" i="23"/>
  <c r="R707" i="23"/>
  <c r="S707" i="23"/>
  <c r="P708" i="23"/>
  <c r="Q708" i="23"/>
  <c r="R708" i="23"/>
  <c r="S708" i="23"/>
  <c r="P709" i="23"/>
  <c r="Q709" i="23"/>
  <c r="R709" i="23"/>
  <c r="S709" i="23"/>
  <c r="P710" i="23"/>
  <c r="Q710" i="23"/>
  <c r="R710" i="23"/>
  <c r="S710" i="23"/>
  <c r="P711" i="23"/>
  <c r="Q711" i="23"/>
  <c r="R711" i="23"/>
  <c r="S711" i="23"/>
  <c r="P712" i="23"/>
  <c r="Q712" i="23"/>
  <c r="R712" i="23"/>
  <c r="S712" i="23"/>
  <c r="P713" i="23"/>
  <c r="Q713" i="23"/>
  <c r="R713" i="23"/>
  <c r="S713" i="23"/>
  <c r="P714" i="23"/>
  <c r="Q714" i="23"/>
  <c r="R714" i="23"/>
  <c r="S714" i="23"/>
  <c r="P715" i="23"/>
  <c r="Q715" i="23"/>
  <c r="R715" i="23"/>
  <c r="S715" i="23"/>
  <c r="P716" i="23"/>
  <c r="Q716" i="23"/>
  <c r="R716" i="23"/>
  <c r="S716" i="23"/>
  <c r="P717" i="23"/>
  <c r="Q717" i="23"/>
  <c r="R717" i="23"/>
  <c r="S717" i="23"/>
  <c r="P718" i="23"/>
  <c r="Q718" i="23"/>
  <c r="R718" i="23"/>
  <c r="S718" i="23"/>
  <c r="P719" i="23"/>
  <c r="Q719" i="23"/>
  <c r="R719" i="23"/>
  <c r="S719" i="23"/>
  <c r="P720" i="23"/>
  <c r="Q720" i="23"/>
  <c r="R720" i="23"/>
  <c r="S720" i="23"/>
  <c r="P721" i="23"/>
  <c r="Q721" i="23"/>
  <c r="R721" i="23"/>
  <c r="S721" i="23"/>
  <c r="P722" i="23"/>
  <c r="Q722" i="23"/>
  <c r="R722" i="23"/>
  <c r="S722" i="23"/>
  <c r="P723" i="23"/>
  <c r="Q723" i="23"/>
  <c r="R723" i="23"/>
  <c r="S723" i="23"/>
  <c r="P724" i="23"/>
  <c r="Q724" i="23"/>
  <c r="R724" i="23"/>
  <c r="S724" i="23"/>
  <c r="P725" i="23"/>
  <c r="Q725" i="23"/>
  <c r="R725" i="23"/>
  <c r="S725" i="23"/>
  <c r="P726" i="23"/>
  <c r="Q726" i="23"/>
  <c r="R726" i="23"/>
  <c r="S726" i="23"/>
  <c r="P727" i="23"/>
  <c r="Q727" i="23"/>
  <c r="R727" i="23"/>
  <c r="S727" i="23"/>
  <c r="P728" i="23"/>
  <c r="Q728" i="23"/>
  <c r="R728" i="23"/>
  <c r="S728" i="23"/>
  <c r="P729" i="23"/>
  <c r="Q729" i="23"/>
  <c r="R729" i="23"/>
  <c r="S729" i="23"/>
  <c r="P730" i="23"/>
  <c r="Q730" i="23"/>
  <c r="R730" i="23"/>
  <c r="S730" i="23"/>
  <c r="P731" i="23"/>
  <c r="Q731" i="23"/>
  <c r="R731" i="23"/>
  <c r="S731" i="23"/>
  <c r="P732" i="23"/>
  <c r="Q732" i="23"/>
  <c r="R732" i="23"/>
  <c r="S732" i="23"/>
  <c r="P733" i="23"/>
  <c r="Q733" i="23"/>
  <c r="R733" i="23"/>
  <c r="S733" i="23"/>
  <c r="P734" i="23"/>
  <c r="Q734" i="23"/>
  <c r="R734" i="23"/>
  <c r="S734" i="23"/>
  <c r="P735" i="23"/>
  <c r="Q735" i="23"/>
  <c r="R735" i="23"/>
  <c r="S735" i="23"/>
  <c r="P736" i="23"/>
  <c r="Q736" i="23"/>
  <c r="R736" i="23"/>
  <c r="S736" i="23"/>
  <c r="P737" i="23"/>
  <c r="Q737" i="23"/>
  <c r="R737" i="23"/>
  <c r="S737" i="23"/>
  <c r="P738" i="23"/>
  <c r="Q738" i="23"/>
  <c r="R738" i="23"/>
  <c r="S738" i="23"/>
  <c r="P739" i="23"/>
  <c r="Q739" i="23"/>
  <c r="R739" i="23"/>
  <c r="S739" i="23"/>
  <c r="P740" i="23"/>
  <c r="Q740" i="23"/>
  <c r="R740" i="23"/>
  <c r="S740" i="23"/>
  <c r="P741" i="23"/>
  <c r="Q741" i="23"/>
  <c r="R741" i="23"/>
  <c r="S741" i="23"/>
  <c r="P742" i="23"/>
  <c r="Q742" i="23"/>
  <c r="R742" i="23"/>
  <c r="S742" i="23"/>
  <c r="P743" i="23"/>
  <c r="Q743" i="23"/>
  <c r="R743" i="23"/>
  <c r="S743" i="23"/>
  <c r="P744" i="23"/>
  <c r="Q744" i="23"/>
  <c r="R744" i="23"/>
  <c r="S744" i="23"/>
  <c r="P745" i="23"/>
  <c r="Q745" i="23"/>
  <c r="R745" i="23"/>
  <c r="S745" i="23"/>
  <c r="P746" i="23"/>
  <c r="Q746" i="23"/>
  <c r="R746" i="23"/>
  <c r="S746" i="23"/>
  <c r="P747" i="23"/>
  <c r="Q747" i="23"/>
  <c r="R747" i="23"/>
  <c r="S747" i="23"/>
  <c r="P748" i="23"/>
  <c r="Q748" i="23"/>
  <c r="R748" i="23"/>
  <c r="S748" i="23"/>
  <c r="P749" i="23"/>
  <c r="Q749" i="23"/>
  <c r="R749" i="23"/>
  <c r="S749" i="23"/>
  <c r="P750" i="23"/>
  <c r="Q750" i="23"/>
  <c r="R750" i="23"/>
  <c r="S750" i="23"/>
  <c r="P751" i="23"/>
  <c r="Q751" i="23"/>
  <c r="R751" i="23"/>
  <c r="S751" i="23"/>
  <c r="P752" i="23"/>
  <c r="Q752" i="23"/>
  <c r="R752" i="23"/>
  <c r="S752" i="23"/>
  <c r="P753" i="23"/>
  <c r="Q753" i="23"/>
  <c r="R753" i="23"/>
  <c r="S753" i="23"/>
  <c r="P754" i="23"/>
  <c r="Q754" i="23"/>
  <c r="R754" i="23"/>
  <c r="S754" i="23"/>
  <c r="P807" i="23"/>
  <c r="Q807" i="23"/>
  <c r="R807" i="23"/>
  <c r="S807" i="23"/>
  <c r="P808" i="23"/>
  <c r="Q808" i="23"/>
  <c r="R808" i="23"/>
  <c r="S808" i="23"/>
  <c r="P809" i="23"/>
  <c r="Q809" i="23"/>
  <c r="R809" i="23"/>
  <c r="S809" i="23"/>
  <c r="P810" i="23"/>
  <c r="Q810" i="23"/>
  <c r="R810" i="23"/>
  <c r="S810" i="23"/>
  <c r="P811" i="23"/>
  <c r="Q811" i="23"/>
  <c r="R811" i="23"/>
  <c r="S811" i="23"/>
  <c r="P812" i="23"/>
  <c r="Q812" i="23"/>
  <c r="R812" i="23"/>
  <c r="S812" i="23"/>
  <c r="P813" i="23"/>
  <c r="Q813" i="23"/>
  <c r="R813" i="23"/>
  <c r="S813" i="23"/>
  <c r="P814" i="23"/>
  <c r="Q814" i="23"/>
  <c r="R814" i="23"/>
  <c r="S814" i="23"/>
  <c r="P815" i="23"/>
  <c r="Q815" i="23"/>
  <c r="R815" i="23"/>
  <c r="S815" i="23"/>
  <c r="P816" i="23"/>
  <c r="Q816" i="23"/>
  <c r="R816" i="23"/>
  <c r="S816" i="23"/>
  <c r="P817" i="23"/>
  <c r="Q817" i="23"/>
  <c r="R817" i="23"/>
  <c r="S817" i="23"/>
  <c r="P818" i="23"/>
  <c r="Q818" i="23"/>
  <c r="R818" i="23"/>
  <c r="S818" i="23"/>
  <c r="P819" i="23"/>
  <c r="Q819" i="23"/>
  <c r="R819" i="23"/>
  <c r="S819" i="23"/>
  <c r="P820" i="23"/>
  <c r="Q820" i="23"/>
  <c r="R820" i="23"/>
  <c r="S820" i="23"/>
  <c r="P821" i="23"/>
  <c r="Q821" i="23"/>
  <c r="R821" i="23"/>
  <c r="S821" i="23"/>
  <c r="P822" i="23"/>
  <c r="Q822" i="23"/>
  <c r="R822" i="23"/>
  <c r="S822" i="23"/>
  <c r="P823" i="23"/>
  <c r="Q823" i="23"/>
  <c r="R823" i="23"/>
  <c r="S823" i="23"/>
  <c r="P824" i="23"/>
  <c r="Q824" i="23"/>
  <c r="R824" i="23"/>
  <c r="S824" i="23"/>
  <c r="P825" i="23"/>
  <c r="Q825" i="23"/>
  <c r="R825" i="23"/>
  <c r="S825" i="23"/>
  <c r="P826" i="23"/>
  <c r="Q826" i="23"/>
  <c r="R826" i="23"/>
  <c r="S826" i="23"/>
  <c r="P827" i="23"/>
  <c r="Q827" i="23"/>
  <c r="R827" i="23"/>
  <c r="S827" i="23"/>
  <c r="P828" i="23"/>
  <c r="Q828" i="23"/>
  <c r="R828" i="23"/>
  <c r="S828" i="23"/>
  <c r="P829" i="23"/>
  <c r="Q829" i="23"/>
  <c r="R829" i="23"/>
  <c r="S829" i="23"/>
  <c r="P830" i="23"/>
  <c r="Q830" i="23"/>
  <c r="R830" i="23"/>
  <c r="S830" i="23"/>
  <c r="P831" i="23"/>
  <c r="Q831" i="23"/>
  <c r="R831" i="23"/>
  <c r="S831" i="23"/>
  <c r="P638" i="23"/>
  <c r="Q638" i="23"/>
  <c r="R638" i="23"/>
  <c r="S638" i="23"/>
  <c r="Z638" i="23"/>
  <c r="P639" i="23"/>
  <c r="Q639" i="23"/>
  <c r="R639" i="23"/>
  <c r="S639" i="23"/>
  <c r="Z639" i="23"/>
  <c r="P640" i="23"/>
  <c r="Q640" i="23"/>
  <c r="R640" i="23"/>
  <c r="S640" i="23"/>
  <c r="Z640" i="23"/>
  <c r="P641" i="23"/>
  <c r="Q641" i="23"/>
  <c r="R641" i="23"/>
  <c r="S641" i="23"/>
  <c r="Z641" i="23"/>
  <c r="P642" i="23"/>
  <c r="Q642" i="23"/>
  <c r="R642" i="23"/>
  <c r="S642" i="23"/>
  <c r="Z642" i="23"/>
  <c r="P643" i="23"/>
  <c r="Q643" i="23"/>
  <c r="R643" i="23"/>
  <c r="S643" i="23"/>
  <c r="Z643" i="23"/>
  <c r="P644" i="23"/>
  <c r="Q644" i="23"/>
  <c r="R644" i="23"/>
  <c r="S644" i="23"/>
  <c r="Z644" i="23"/>
  <c r="P645" i="23"/>
  <c r="Q645" i="23"/>
  <c r="R645" i="23"/>
  <c r="S645" i="23"/>
  <c r="Z645" i="23"/>
  <c r="P646" i="23"/>
  <c r="Q646" i="23"/>
  <c r="R646" i="23"/>
  <c r="S646" i="23"/>
  <c r="Z646" i="23"/>
  <c r="Z746" i="21"/>
  <c r="Z745" i="21"/>
  <c r="Z744" i="21"/>
  <c r="Z743" i="21"/>
  <c r="Z742" i="21"/>
  <c r="Z741" i="21"/>
  <c r="Z740" i="21"/>
  <c r="Z739" i="21"/>
  <c r="Z738" i="21"/>
  <c r="Z737" i="21"/>
  <c r="Z736" i="21"/>
  <c r="Z735" i="21"/>
  <c r="Z734" i="21"/>
  <c r="Z733" i="21"/>
  <c r="Z732" i="21"/>
  <c r="Z731" i="21"/>
  <c r="Z730" i="21"/>
  <c r="Z729" i="21"/>
  <c r="Z728" i="21"/>
  <c r="Z727" i="21"/>
  <c r="Z726" i="21"/>
  <c r="Z725" i="21"/>
  <c r="Z724" i="21"/>
  <c r="Z723" i="21"/>
  <c r="Z722" i="21"/>
  <c r="Z721" i="21"/>
  <c r="Z720" i="21"/>
  <c r="Z719" i="21"/>
  <c r="Z718" i="21"/>
  <c r="Z717" i="21"/>
  <c r="Z716" i="21"/>
  <c r="Z715" i="21"/>
  <c r="Z714" i="21"/>
  <c r="Z713" i="21"/>
  <c r="Z712" i="21"/>
  <c r="Z711" i="21"/>
  <c r="Z710" i="21"/>
  <c r="Z709" i="21"/>
  <c r="Z708" i="21"/>
  <c r="Z707" i="21"/>
  <c r="Z706" i="21"/>
  <c r="Z705" i="21"/>
  <c r="Z704" i="21"/>
  <c r="Z703" i="21"/>
  <c r="Z702" i="21"/>
  <c r="Z701" i="21"/>
  <c r="Z700" i="21"/>
  <c r="Z699" i="21"/>
  <c r="Z698" i="21"/>
  <c r="Z697" i="21"/>
  <c r="Z696" i="21"/>
  <c r="Z695" i="21"/>
  <c r="Z694" i="21"/>
  <c r="Z693" i="21"/>
  <c r="Z692" i="21"/>
  <c r="Z691" i="21"/>
  <c r="Z690" i="21"/>
  <c r="Z689" i="21"/>
  <c r="Z688" i="21"/>
  <c r="Z687" i="21"/>
  <c r="Z686" i="21"/>
  <c r="Z685" i="21"/>
  <c r="Z684" i="21"/>
  <c r="Z683" i="21"/>
  <c r="Z682" i="21"/>
  <c r="Z764" i="21"/>
  <c r="R764" i="21"/>
  <c r="Q764" i="21"/>
  <c r="P764" i="21"/>
  <c r="Z763" i="21"/>
  <c r="R763" i="21"/>
  <c r="Q763" i="21"/>
  <c r="P763" i="21"/>
  <c r="Z762" i="21"/>
  <c r="R762" i="21"/>
  <c r="Q762" i="21"/>
  <c r="P762" i="21"/>
  <c r="Z761" i="21"/>
  <c r="R761" i="21"/>
  <c r="Q761" i="21"/>
  <c r="P761" i="21"/>
  <c r="Z760" i="21"/>
  <c r="R760" i="21"/>
  <c r="Q760" i="21"/>
  <c r="P760" i="21"/>
  <c r="Z759" i="21"/>
  <c r="R759" i="21"/>
  <c r="Q759" i="21"/>
  <c r="P759" i="21"/>
  <c r="Z758" i="21"/>
  <c r="R758" i="21"/>
  <c r="Q758" i="21"/>
  <c r="P758" i="21"/>
  <c r="Z757" i="21"/>
  <c r="R757" i="21"/>
  <c r="Q757" i="21"/>
  <c r="P757" i="21"/>
  <c r="Z756" i="21"/>
  <c r="R756" i="21"/>
  <c r="Q756" i="21"/>
  <c r="P756" i="21"/>
  <c r="Z755" i="21"/>
  <c r="R755" i="21"/>
  <c r="Q755" i="21"/>
  <c r="P755" i="21"/>
  <c r="Z754" i="21"/>
  <c r="R754" i="21"/>
  <c r="Q754" i="21"/>
  <c r="P754" i="21"/>
  <c r="Z753" i="21"/>
  <c r="R753" i="21"/>
  <c r="Q753" i="21"/>
  <c r="P753" i="21"/>
  <c r="Z752" i="21"/>
  <c r="R752" i="21"/>
  <c r="Q752" i="21"/>
  <c r="P752" i="21"/>
  <c r="Z751" i="21"/>
  <c r="R751" i="21"/>
  <c r="Q751" i="21"/>
  <c r="P751" i="21"/>
  <c r="Z750" i="21"/>
  <c r="R750" i="21"/>
  <c r="Q750" i="21"/>
  <c r="P750" i="21"/>
  <c r="Z749" i="21"/>
  <c r="R749" i="21"/>
  <c r="Q749" i="21"/>
  <c r="P749" i="21"/>
  <c r="Z748" i="21"/>
  <c r="R748" i="21"/>
  <c r="Q748" i="21"/>
  <c r="P748" i="21"/>
  <c r="Z747" i="21"/>
  <c r="R747" i="21"/>
  <c r="Q747" i="21"/>
  <c r="P747" i="21"/>
  <c r="R746" i="21"/>
  <c r="Q746" i="21"/>
  <c r="P746" i="21"/>
  <c r="R745" i="21"/>
  <c r="Q745" i="21"/>
  <c r="P745" i="21"/>
  <c r="R744" i="21"/>
  <c r="Q744" i="21"/>
  <c r="P744" i="21"/>
  <c r="R743" i="21"/>
  <c r="Q743" i="21"/>
  <c r="P743" i="21"/>
  <c r="R742" i="21"/>
  <c r="Q742" i="21"/>
  <c r="P742" i="21"/>
  <c r="R741" i="21"/>
  <c r="Q741" i="21"/>
  <c r="P741" i="21"/>
  <c r="R740" i="21"/>
  <c r="Q740" i="21"/>
  <c r="P740" i="21"/>
  <c r="R739" i="21"/>
  <c r="Q739" i="21"/>
  <c r="P739" i="21"/>
  <c r="R738" i="21"/>
  <c r="Q738" i="21"/>
  <c r="P738" i="21"/>
  <c r="R737" i="21"/>
  <c r="Q737" i="21"/>
  <c r="P737" i="21"/>
  <c r="R736" i="21"/>
  <c r="Q736" i="21"/>
  <c r="P736" i="21"/>
  <c r="R735" i="21"/>
  <c r="Q735" i="21"/>
  <c r="P735" i="21"/>
  <c r="R734" i="21"/>
  <c r="Q734" i="21"/>
  <c r="P734" i="21"/>
  <c r="R733" i="21"/>
  <c r="Q733" i="21"/>
  <c r="P733" i="21"/>
  <c r="R732" i="21"/>
  <c r="Q732" i="21"/>
  <c r="P732" i="21"/>
  <c r="R731" i="21"/>
  <c r="Q731" i="21"/>
  <c r="P731" i="21"/>
  <c r="R730" i="21"/>
  <c r="Q730" i="21"/>
  <c r="P730" i="21"/>
  <c r="R729" i="21"/>
  <c r="Q729" i="21"/>
  <c r="P729" i="21"/>
  <c r="R728" i="21"/>
  <c r="Q728" i="21"/>
  <c r="P728" i="21"/>
  <c r="R727" i="21"/>
  <c r="Q727" i="21"/>
  <c r="P727" i="21"/>
  <c r="R726" i="21"/>
  <c r="Q726" i="21"/>
  <c r="P726" i="21"/>
  <c r="R725" i="21"/>
  <c r="Q725" i="21"/>
  <c r="P725" i="21"/>
  <c r="R724" i="21"/>
  <c r="Q724" i="21"/>
  <c r="P724" i="21"/>
  <c r="R723" i="21"/>
  <c r="Q723" i="21"/>
  <c r="P723" i="21"/>
  <c r="R722" i="21"/>
  <c r="Q722" i="21"/>
  <c r="P722" i="21"/>
  <c r="R721" i="21"/>
  <c r="Q721" i="21"/>
  <c r="P721" i="21"/>
  <c r="R720" i="21"/>
  <c r="Q720" i="21"/>
  <c r="P720" i="21"/>
  <c r="R719" i="21"/>
  <c r="Q719" i="21"/>
  <c r="P719" i="21"/>
  <c r="R718" i="21"/>
  <c r="Q718" i="21"/>
  <c r="P718" i="21"/>
  <c r="R717" i="21"/>
  <c r="Q717" i="21"/>
  <c r="P717" i="21"/>
  <c r="R716" i="21"/>
  <c r="Q716" i="21"/>
  <c r="P716" i="21"/>
  <c r="R715" i="21"/>
  <c r="Q715" i="21"/>
  <c r="P715" i="21"/>
  <c r="R714" i="21"/>
  <c r="Q714" i="21"/>
  <c r="P714" i="21"/>
  <c r="R713" i="21"/>
  <c r="Q713" i="21"/>
  <c r="P713" i="21"/>
  <c r="R712" i="21"/>
  <c r="Q712" i="21"/>
  <c r="P712" i="21"/>
  <c r="R711" i="21"/>
  <c r="Q711" i="21"/>
  <c r="P711" i="21"/>
  <c r="R710" i="21"/>
  <c r="Q710" i="21"/>
  <c r="P710" i="21"/>
  <c r="R709" i="21"/>
  <c r="Q709" i="21"/>
  <c r="P709" i="21"/>
  <c r="R708" i="21"/>
  <c r="Q708" i="21"/>
  <c r="P708" i="21"/>
  <c r="R707" i="21"/>
  <c r="Q707" i="21"/>
  <c r="P707" i="21"/>
  <c r="R706" i="21"/>
  <c r="Q706" i="21"/>
  <c r="P706" i="21"/>
  <c r="R705" i="21"/>
  <c r="Q705" i="21"/>
  <c r="P705" i="21"/>
  <c r="R704" i="21"/>
  <c r="Q704" i="21"/>
  <c r="P704" i="21"/>
  <c r="R703" i="21"/>
  <c r="Q703" i="21"/>
  <c r="P703" i="21"/>
  <c r="R702" i="21"/>
  <c r="Q702" i="21"/>
  <c r="P702" i="21"/>
  <c r="R701" i="21"/>
  <c r="Q701" i="21"/>
  <c r="P701" i="21"/>
  <c r="R700" i="21"/>
  <c r="Q700" i="21"/>
  <c r="P700" i="21"/>
  <c r="R699" i="21"/>
  <c r="Q699" i="21"/>
  <c r="P699" i="21"/>
  <c r="R698" i="21"/>
  <c r="Q698" i="21"/>
  <c r="P698" i="21"/>
  <c r="R697" i="21"/>
  <c r="Q697" i="21"/>
  <c r="P697" i="21"/>
  <c r="R696" i="21"/>
  <c r="Q696" i="21"/>
  <c r="P696" i="21"/>
  <c r="R695" i="21"/>
  <c r="Q695" i="21"/>
  <c r="P695" i="21"/>
  <c r="R694" i="21"/>
  <c r="Q694" i="21"/>
  <c r="P694" i="21"/>
  <c r="R693" i="21"/>
  <c r="Q693" i="21"/>
  <c r="P693" i="21"/>
  <c r="R692" i="21"/>
  <c r="Q692" i="21"/>
  <c r="P692" i="21"/>
  <c r="R691" i="21"/>
  <c r="Q691" i="21"/>
  <c r="P691" i="21"/>
  <c r="R690" i="21"/>
  <c r="Q690" i="21"/>
  <c r="P690" i="21"/>
  <c r="R689" i="21"/>
  <c r="Q689" i="21"/>
  <c r="P689" i="21"/>
  <c r="R688" i="21"/>
  <c r="Q688" i="21"/>
  <c r="P688" i="21"/>
  <c r="R687" i="21"/>
  <c r="Q687" i="21"/>
  <c r="P687" i="21"/>
  <c r="R686" i="21"/>
  <c r="Q686" i="21"/>
  <c r="P686" i="21"/>
  <c r="R685" i="21"/>
  <c r="Q685" i="21"/>
  <c r="P685" i="21"/>
  <c r="R684" i="21"/>
  <c r="Q684" i="21"/>
  <c r="P684" i="21"/>
  <c r="R683" i="21"/>
  <c r="Q683" i="21"/>
  <c r="P683" i="21"/>
  <c r="R682" i="21"/>
  <c r="Q682" i="21"/>
  <c r="P682" i="21"/>
  <c r="Z836" i="21"/>
  <c r="S836" i="21"/>
  <c r="R836" i="21"/>
  <c r="Q836" i="21"/>
  <c r="P836" i="21"/>
  <c r="Z835" i="21"/>
  <c r="S835" i="21"/>
  <c r="R835" i="21"/>
  <c r="Q835" i="21"/>
  <c r="P835" i="21"/>
  <c r="Z834" i="21"/>
  <c r="S834" i="21"/>
  <c r="R834" i="21"/>
  <c r="Q834" i="21"/>
  <c r="P834" i="21"/>
  <c r="Z833" i="21"/>
  <c r="S833" i="21"/>
  <c r="R833" i="21"/>
  <c r="Q833" i="21"/>
  <c r="P833" i="21"/>
  <c r="Z832" i="21"/>
  <c r="S832" i="21"/>
  <c r="R832" i="21"/>
  <c r="Q832" i="21"/>
  <c r="P832" i="21"/>
  <c r="Z831" i="21"/>
  <c r="S831" i="21"/>
  <c r="R831" i="21"/>
  <c r="Q831" i="21"/>
  <c r="P831" i="21"/>
  <c r="Z830" i="21"/>
  <c r="S830" i="21"/>
  <c r="R830" i="21"/>
  <c r="Q830" i="21"/>
  <c r="P830" i="21"/>
  <c r="Z829" i="21"/>
  <c r="S829" i="21"/>
  <c r="R829" i="21"/>
  <c r="Q829" i="21"/>
  <c r="P829" i="21"/>
  <c r="Z828" i="21"/>
  <c r="S828" i="21"/>
  <c r="R828" i="21"/>
  <c r="Q828" i="21"/>
  <c r="P828" i="21"/>
  <c r="Z827" i="21"/>
  <c r="S827" i="21"/>
  <c r="R827" i="21"/>
  <c r="Q827" i="21"/>
  <c r="P827" i="21"/>
  <c r="Z826" i="21"/>
  <c r="S826" i="21"/>
  <c r="R826" i="21"/>
  <c r="Q826" i="21"/>
  <c r="P826" i="21"/>
  <c r="Z825" i="21"/>
  <c r="S825" i="21"/>
  <c r="R825" i="21"/>
  <c r="Q825" i="21"/>
  <c r="P825" i="21"/>
  <c r="Z824" i="21"/>
  <c r="S824" i="21"/>
  <c r="R824" i="21"/>
  <c r="Q824" i="21"/>
  <c r="P824" i="21"/>
  <c r="Z823" i="21"/>
  <c r="S823" i="21"/>
  <c r="R823" i="21"/>
  <c r="Q823" i="21"/>
  <c r="P823" i="21"/>
  <c r="Z822" i="21"/>
  <c r="S822" i="21"/>
  <c r="R822" i="21"/>
  <c r="Q822" i="21"/>
  <c r="P822" i="21"/>
  <c r="Z821" i="21"/>
  <c r="S821" i="21"/>
  <c r="R821" i="21"/>
  <c r="Q821" i="21"/>
  <c r="P821" i="21"/>
  <c r="Z820" i="21"/>
  <c r="S820" i="21"/>
  <c r="R820" i="21"/>
  <c r="Q820" i="21"/>
  <c r="P820" i="21"/>
  <c r="Z819" i="21"/>
  <c r="S819" i="21"/>
  <c r="R819" i="21"/>
  <c r="Q819" i="21"/>
  <c r="P819" i="21"/>
  <c r="Z818" i="21"/>
  <c r="S818" i="21"/>
  <c r="R818" i="21"/>
  <c r="Q818" i="21"/>
  <c r="P818" i="21"/>
  <c r="Z817" i="21"/>
  <c r="S817" i="21"/>
  <c r="R817" i="21"/>
  <c r="Q817" i="21"/>
  <c r="P817" i="21"/>
  <c r="Z816" i="21"/>
  <c r="S816" i="21"/>
  <c r="R816" i="21"/>
  <c r="Q816" i="21"/>
  <c r="P816" i="21"/>
  <c r="Z815" i="21"/>
  <c r="S815" i="21"/>
  <c r="R815" i="21"/>
  <c r="Q815" i="21"/>
  <c r="P815" i="21"/>
  <c r="Z814" i="21"/>
  <c r="S814" i="21"/>
  <c r="R814" i="21"/>
  <c r="Q814" i="21"/>
  <c r="P814" i="21"/>
  <c r="Z813" i="21"/>
  <c r="S813" i="21"/>
  <c r="R813" i="21"/>
  <c r="Q813" i="21"/>
  <c r="P813" i="21"/>
  <c r="Z812" i="21"/>
  <c r="S812" i="21"/>
  <c r="R812" i="21"/>
  <c r="Q812" i="21"/>
  <c r="P812" i="21"/>
  <c r="Z811" i="21"/>
  <c r="S811" i="21"/>
  <c r="R811" i="21"/>
  <c r="Q811" i="21"/>
  <c r="P811" i="21"/>
  <c r="Z810" i="21"/>
  <c r="S810" i="21"/>
  <c r="R810" i="21"/>
  <c r="Q810" i="21"/>
  <c r="P810" i="21"/>
  <c r="Z809" i="21"/>
  <c r="S809" i="21"/>
  <c r="R809" i="21"/>
  <c r="Q809" i="21"/>
  <c r="P809" i="21"/>
  <c r="Z808" i="21"/>
  <c r="S808" i="21"/>
  <c r="R808" i="21"/>
  <c r="Q808" i="21"/>
  <c r="P808" i="21"/>
  <c r="Z807" i="21"/>
  <c r="S807" i="21"/>
  <c r="R807" i="21"/>
  <c r="Q807" i="21"/>
  <c r="P807" i="21"/>
  <c r="Z806" i="21"/>
  <c r="S806" i="21"/>
  <c r="R806" i="21"/>
  <c r="Q806" i="21"/>
  <c r="P806" i="21"/>
  <c r="Z805" i="21"/>
  <c r="S805" i="21"/>
  <c r="R805" i="21"/>
  <c r="Q805" i="21"/>
  <c r="P805" i="21"/>
  <c r="Z804" i="21"/>
  <c r="R804" i="21"/>
  <c r="Q804" i="21"/>
  <c r="P804" i="21"/>
  <c r="Z803" i="21"/>
  <c r="R803" i="21"/>
  <c r="Q803" i="21"/>
  <c r="P803" i="21"/>
  <c r="Z802" i="21"/>
  <c r="R802" i="21"/>
  <c r="Q802" i="21"/>
  <c r="P802" i="21"/>
  <c r="Z801" i="21"/>
  <c r="R801" i="21"/>
  <c r="Q801" i="21"/>
  <c r="P801" i="21"/>
  <c r="Z800" i="21"/>
  <c r="R800" i="21"/>
  <c r="Q800" i="21"/>
  <c r="P800" i="21"/>
  <c r="Z799" i="21"/>
  <c r="R799" i="21"/>
  <c r="Q799" i="21"/>
  <c r="P799" i="21"/>
  <c r="Z798" i="21"/>
  <c r="R798" i="21"/>
  <c r="Q798" i="21"/>
  <c r="P798" i="21"/>
  <c r="Z797" i="21"/>
  <c r="R797" i="21"/>
  <c r="Q797" i="21"/>
  <c r="P797" i="21"/>
  <c r="Z796" i="21"/>
  <c r="R796" i="21"/>
  <c r="Q796" i="21"/>
  <c r="P796" i="21"/>
  <c r="Z795" i="21"/>
  <c r="R795" i="21"/>
  <c r="Q795" i="21"/>
  <c r="P795" i="21"/>
  <c r="Z794" i="21"/>
  <c r="R794" i="21"/>
  <c r="Q794" i="21"/>
  <c r="P794" i="21"/>
  <c r="Z793" i="21"/>
  <c r="R793" i="21"/>
  <c r="Q793" i="21"/>
  <c r="P793" i="21"/>
  <c r="Z792" i="21"/>
  <c r="R792" i="21"/>
  <c r="Q792" i="21"/>
  <c r="P792" i="21"/>
  <c r="Z791" i="21"/>
  <c r="R791" i="21"/>
  <c r="Q791" i="21"/>
  <c r="P791" i="21"/>
  <c r="Z790" i="21"/>
  <c r="R790" i="21"/>
  <c r="Q790" i="21"/>
  <c r="P790" i="21"/>
  <c r="Z789" i="21"/>
  <c r="R789" i="21"/>
  <c r="Q789" i="21"/>
  <c r="P789" i="21"/>
  <c r="Z788" i="21"/>
  <c r="R788" i="21"/>
  <c r="Q788" i="21"/>
  <c r="P788" i="21"/>
  <c r="Z787" i="21"/>
  <c r="R787" i="21"/>
  <c r="Q787" i="21"/>
  <c r="P787" i="21"/>
  <c r="Z786" i="21"/>
  <c r="R786" i="21"/>
  <c r="Q786" i="21"/>
  <c r="P786" i="21"/>
  <c r="Z785" i="21"/>
  <c r="R785" i="21"/>
  <c r="Q785" i="21"/>
  <c r="P785" i="21"/>
  <c r="Z784" i="21"/>
  <c r="R784" i="21"/>
  <c r="Q784" i="21"/>
  <c r="P784" i="21"/>
  <c r="Z783" i="21"/>
  <c r="R783" i="21"/>
  <c r="Q783" i="21"/>
  <c r="P783" i="21"/>
  <c r="Z782" i="21"/>
  <c r="R782" i="21"/>
  <c r="Q782" i="21"/>
  <c r="P782" i="21"/>
  <c r="Z781" i="21"/>
  <c r="R781" i="21"/>
  <c r="Q781" i="21"/>
  <c r="P781" i="21"/>
  <c r="Z780" i="21"/>
  <c r="R780" i="21"/>
  <c r="Q780" i="21"/>
  <c r="P780" i="21"/>
  <c r="Z779" i="21"/>
  <c r="R779" i="21"/>
  <c r="Q779" i="21"/>
  <c r="P779" i="21"/>
  <c r="Z778" i="21"/>
  <c r="R778" i="21"/>
  <c r="Q778" i="21"/>
  <c r="P778" i="21"/>
  <c r="Z777" i="21"/>
  <c r="R777" i="21"/>
  <c r="Q777" i="21"/>
  <c r="P777" i="21"/>
  <c r="Z776" i="21"/>
  <c r="R776" i="21"/>
  <c r="Q776" i="21"/>
  <c r="P776" i="21"/>
  <c r="Z775" i="21"/>
  <c r="R775" i="21"/>
  <c r="Q775" i="21"/>
  <c r="P775" i="21"/>
  <c r="Z774" i="21"/>
  <c r="R774" i="21"/>
  <c r="Q774" i="21"/>
  <c r="P774" i="21"/>
  <c r="Z773" i="21"/>
  <c r="R773" i="21"/>
  <c r="Q773" i="21"/>
  <c r="P773" i="21"/>
  <c r="Z772" i="21"/>
  <c r="R772" i="21"/>
  <c r="Q772" i="21"/>
  <c r="P772" i="21"/>
  <c r="Z771" i="21"/>
  <c r="R771" i="21"/>
  <c r="Q771" i="21"/>
  <c r="P771" i="21"/>
  <c r="Z770" i="21"/>
  <c r="R770" i="21"/>
  <c r="Q770" i="21"/>
  <c r="P770" i="21"/>
  <c r="Z769" i="21"/>
  <c r="R769" i="21"/>
  <c r="Q769" i="21"/>
  <c r="P769" i="21"/>
  <c r="Z768" i="21"/>
  <c r="R768" i="21"/>
  <c r="Q768" i="21"/>
  <c r="P768" i="21"/>
  <c r="Z767" i="21"/>
  <c r="R767" i="21"/>
  <c r="Q767" i="21"/>
  <c r="P767" i="21"/>
  <c r="Z766" i="21"/>
  <c r="R766" i="21"/>
  <c r="Q766" i="21"/>
  <c r="P766" i="21"/>
  <c r="Z765" i="21"/>
  <c r="R765" i="21"/>
  <c r="Q765" i="21"/>
  <c r="P765" i="21"/>
  <c r="E30" i="22" l="1"/>
  <c r="C33" i="24"/>
  <c r="B37" i="13"/>
  <c r="E37" i="13"/>
  <c r="C41" i="13"/>
  <c r="F41" i="13"/>
  <c r="D37" i="13"/>
  <c r="G37" i="13"/>
  <c r="E41" i="13"/>
  <c r="H37" i="13"/>
  <c r="I37" i="13"/>
  <c r="C39" i="13"/>
  <c r="B41" i="13"/>
  <c r="J37" i="13"/>
  <c r="B39" i="13"/>
  <c r="C37" i="13"/>
  <c r="D41" i="13"/>
  <c r="F37" i="13"/>
  <c r="B29" i="24"/>
  <c r="B34" i="24" s="1"/>
  <c r="G33" i="24"/>
  <c r="C32" i="21"/>
  <c r="G32" i="21"/>
  <c r="B32" i="21"/>
  <c r="F32" i="21"/>
  <c r="B31" i="21"/>
  <c r="E32" i="21"/>
  <c r="C31" i="21"/>
  <c r="D32" i="21"/>
  <c r="D30" i="22"/>
  <c r="D33" i="22" s="1"/>
  <c r="C41" i="23"/>
  <c r="E31" i="23"/>
  <c r="F33" i="22"/>
  <c r="F26" i="22"/>
  <c r="F31" i="23"/>
  <c r="G31" i="23"/>
  <c r="D31" i="23"/>
  <c r="B32" i="23"/>
  <c r="F32" i="23"/>
  <c r="D32" i="23"/>
  <c r="H39" i="23"/>
  <c r="I37" i="23"/>
  <c r="H41" i="23"/>
  <c r="C39" i="23"/>
  <c r="I41" i="23"/>
  <c r="B41" i="23"/>
  <c r="B39" i="23"/>
  <c r="C37" i="23"/>
  <c r="H37" i="23"/>
  <c r="F37" i="23"/>
  <c r="E39" i="23"/>
  <c r="G41" i="23"/>
  <c r="I32" i="22"/>
  <c r="G30" i="22"/>
  <c r="D32" i="13"/>
  <c r="F31" i="13"/>
  <c r="B31" i="13"/>
  <c r="E32" i="13"/>
  <c r="C31" i="13"/>
  <c r="C32" i="13"/>
  <c r="F32" i="13"/>
  <c r="B32" i="13"/>
  <c r="D31" i="13"/>
  <c r="D30" i="13" s="1"/>
  <c r="G31" i="13"/>
  <c r="G32" i="13"/>
  <c r="E31" i="13"/>
  <c r="E30" i="13" s="1"/>
  <c r="E33" i="22"/>
  <c r="E26" i="22"/>
  <c r="H31" i="22"/>
  <c r="B30" i="22"/>
  <c r="I31" i="22"/>
  <c r="C30" i="22"/>
  <c r="E32" i="23"/>
  <c r="E30" i="23" s="1"/>
  <c r="B31" i="23"/>
  <c r="C32" i="23"/>
  <c r="G32" i="23"/>
  <c r="C31" i="23"/>
  <c r="I31" i="23" s="1"/>
  <c r="D41" i="23"/>
  <c r="D39" i="23"/>
  <c r="E37" i="23"/>
  <c r="E41" i="23"/>
  <c r="D37" i="23"/>
  <c r="F41" i="23"/>
  <c r="F39" i="23"/>
  <c r="G37" i="23"/>
  <c r="G39" i="23"/>
  <c r="B37" i="23"/>
  <c r="J37" i="23"/>
  <c r="H32" i="22"/>
  <c r="M37" i="22"/>
  <c r="M41" i="22"/>
  <c r="M39" i="22"/>
  <c r="G41" i="21"/>
  <c r="E39" i="21"/>
  <c r="J37" i="21"/>
  <c r="F37" i="21"/>
  <c r="B37" i="21"/>
  <c r="H37" i="21"/>
  <c r="H41" i="21"/>
  <c r="E41" i="21"/>
  <c r="I41" i="21"/>
  <c r="E37" i="21"/>
  <c r="I37" i="21"/>
  <c r="D39" i="21"/>
  <c r="H39" i="21"/>
  <c r="D41" i="21"/>
  <c r="C41" i="21"/>
  <c r="D37" i="21"/>
  <c r="C39" i="21"/>
  <c r="G39" i="21"/>
  <c r="C37" i="21"/>
  <c r="G37" i="21"/>
  <c r="B39" i="21"/>
  <c r="F39" i="21"/>
  <c r="B41" i="21"/>
  <c r="F41" i="21"/>
  <c r="E31" i="21"/>
  <c r="E30" i="21" s="1"/>
  <c r="G31" i="21"/>
  <c r="F31" i="21"/>
  <c r="F30" i="21" s="1"/>
  <c r="D31" i="21"/>
  <c r="D30" i="21" s="1"/>
  <c r="F33" i="24"/>
  <c r="F26" i="24"/>
  <c r="I30" i="24"/>
  <c r="I26" i="24" s="1"/>
  <c r="D33" i="24"/>
  <c r="D29" i="24"/>
  <c r="D34" i="24" s="1"/>
  <c r="E33" i="24"/>
  <c r="M37" i="24"/>
  <c r="M39" i="24"/>
  <c r="H30" i="24"/>
  <c r="H26" i="24" s="1"/>
  <c r="B26" i="24"/>
  <c r="B33" i="24"/>
  <c r="M41" i="24"/>
  <c r="D29" i="22" l="1"/>
  <c r="D34" i="22" s="1"/>
  <c r="D26" i="22"/>
  <c r="N37" i="22"/>
  <c r="H32" i="21"/>
  <c r="G30" i="21"/>
  <c r="F29" i="21" s="1"/>
  <c r="F34" i="21" s="1"/>
  <c r="I31" i="21"/>
  <c r="C30" i="23"/>
  <c r="I32" i="23"/>
  <c r="I30" i="23" s="1"/>
  <c r="E33" i="23"/>
  <c r="E26" i="23"/>
  <c r="B29" i="22"/>
  <c r="B34" i="22" s="1"/>
  <c r="C33" i="22"/>
  <c r="C26" i="22"/>
  <c r="B26" i="22"/>
  <c r="B33" i="22"/>
  <c r="D33" i="13"/>
  <c r="D26" i="13"/>
  <c r="I31" i="13"/>
  <c r="C30" i="13"/>
  <c r="H31" i="13"/>
  <c r="B30" i="13"/>
  <c r="M41" i="13"/>
  <c r="I30" i="22"/>
  <c r="M39" i="23"/>
  <c r="D30" i="23"/>
  <c r="D29" i="23" s="1"/>
  <c r="D34" i="23" s="1"/>
  <c r="F30" i="23"/>
  <c r="M39" i="13"/>
  <c r="H31" i="23"/>
  <c r="B30" i="23"/>
  <c r="E33" i="13"/>
  <c r="E26" i="13"/>
  <c r="D29" i="13"/>
  <c r="D34" i="13" s="1"/>
  <c r="G33" i="22"/>
  <c r="G26" i="22"/>
  <c r="F29" i="22"/>
  <c r="F34" i="22" s="1"/>
  <c r="M37" i="13"/>
  <c r="H30" i="22"/>
  <c r="G30" i="13"/>
  <c r="H32" i="13"/>
  <c r="I32" i="13"/>
  <c r="F30" i="13"/>
  <c r="M37" i="23"/>
  <c r="M41" i="23"/>
  <c r="H32" i="23"/>
  <c r="G30" i="23"/>
  <c r="D33" i="21"/>
  <c r="D26" i="21"/>
  <c r="F33" i="21"/>
  <c r="F26" i="21"/>
  <c r="M41" i="21"/>
  <c r="M39" i="21"/>
  <c r="M37" i="21"/>
  <c r="C30" i="21"/>
  <c r="I32" i="21"/>
  <c r="E33" i="21"/>
  <c r="E26" i="21"/>
  <c r="D29" i="21"/>
  <c r="D34" i="21" s="1"/>
  <c r="H31" i="21"/>
  <c r="H30" i="21" s="1"/>
  <c r="B30" i="21"/>
  <c r="I33" i="24"/>
  <c r="N37" i="24"/>
  <c r="H29" i="24"/>
  <c r="H34" i="24" s="1"/>
  <c r="H33" i="24"/>
  <c r="C15" i="11"/>
  <c r="AC82" i="11"/>
  <c r="AC83" i="11"/>
  <c r="AC85" i="11"/>
  <c r="AC86" i="11"/>
  <c r="AC87" i="11"/>
  <c r="AC88" i="11"/>
  <c r="AC89" i="11"/>
  <c r="AC90" i="11"/>
  <c r="AC91" i="11"/>
  <c r="AC92" i="11"/>
  <c r="AC93" i="11"/>
  <c r="AC94" i="11"/>
  <c r="AC95" i="11"/>
  <c r="AC96" i="11"/>
  <c r="AC97" i="11"/>
  <c r="AC98" i="11"/>
  <c r="AC99" i="11"/>
  <c r="AC100" i="11"/>
  <c r="AC101" i="11"/>
  <c r="AC102" i="11"/>
  <c r="AC103" i="11"/>
  <c r="AC104" i="11"/>
  <c r="AC105" i="11"/>
  <c r="AC106" i="11"/>
  <c r="AC107" i="11"/>
  <c r="AC108" i="11"/>
  <c r="AC109" i="11"/>
  <c r="AC110" i="11"/>
  <c r="AC111" i="11"/>
  <c r="AC112" i="11"/>
  <c r="AC113" i="11"/>
  <c r="AC114" i="11"/>
  <c r="AC115" i="11"/>
  <c r="AC117" i="11"/>
  <c r="AC118" i="11"/>
  <c r="AC119" i="11"/>
  <c r="AC120" i="11"/>
  <c r="AC121" i="11"/>
  <c r="AC122" i="11"/>
  <c r="AC81" i="11"/>
  <c r="AC80" i="11"/>
  <c r="AC79" i="11"/>
  <c r="AC78" i="11"/>
  <c r="AC77" i="11"/>
  <c r="AC76" i="11"/>
  <c r="AC75" i="11"/>
  <c r="AC74" i="11"/>
  <c r="AC73" i="11"/>
  <c r="AC72" i="11"/>
  <c r="AC71" i="11"/>
  <c r="AC70" i="11"/>
  <c r="AC69" i="11"/>
  <c r="AC68" i="11"/>
  <c r="AC67" i="11"/>
  <c r="G65" i="11"/>
  <c r="AC61" i="11"/>
  <c r="I30" i="21" l="1"/>
  <c r="I33" i="21" s="1"/>
  <c r="G26" i="21"/>
  <c r="G33" i="21"/>
  <c r="N37" i="13"/>
  <c r="H30" i="13"/>
  <c r="H26" i="13" s="1"/>
  <c r="G33" i="13"/>
  <c r="G26" i="13"/>
  <c r="F29" i="13"/>
  <c r="F34" i="13" s="1"/>
  <c r="F33" i="23"/>
  <c r="F26" i="23"/>
  <c r="C26" i="23"/>
  <c r="C33" i="23"/>
  <c r="B29" i="23"/>
  <c r="B34" i="23" s="1"/>
  <c r="H30" i="23"/>
  <c r="H29" i="23" s="1"/>
  <c r="H34" i="23" s="1"/>
  <c r="N37" i="23"/>
  <c r="I30" i="13"/>
  <c r="G33" i="23"/>
  <c r="F29" i="23"/>
  <c r="F34" i="23" s="1"/>
  <c r="G26" i="23"/>
  <c r="F33" i="13"/>
  <c r="F26" i="13"/>
  <c r="H33" i="22"/>
  <c r="H26" i="22"/>
  <c r="B33" i="23"/>
  <c r="B26" i="23"/>
  <c r="D33" i="23"/>
  <c r="D26" i="23"/>
  <c r="I26" i="22"/>
  <c r="H29" i="22"/>
  <c r="H34" i="22" s="1"/>
  <c r="I33" i="22"/>
  <c r="B33" i="13"/>
  <c r="B26" i="13"/>
  <c r="C33" i="13"/>
  <c r="C26" i="13"/>
  <c r="B29" i="13"/>
  <c r="B34" i="13" s="1"/>
  <c r="I33" i="23"/>
  <c r="I26" i="23"/>
  <c r="N37" i="21"/>
  <c r="H33" i="21"/>
  <c r="H26" i="21"/>
  <c r="B29" i="21"/>
  <c r="B34" i="21" s="1"/>
  <c r="B33" i="21"/>
  <c r="B26" i="21"/>
  <c r="C26" i="21"/>
  <c r="C33" i="21"/>
  <c r="C97" i="11"/>
  <c r="H97" i="11" s="1"/>
  <c r="K104" i="11"/>
  <c r="J90" i="11"/>
  <c r="D68" i="11"/>
  <c r="J68" i="11" s="1"/>
  <c r="I76" i="11"/>
  <c r="I44" i="11"/>
  <c r="C43" i="11"/>
  <c r="D35" i="11"/>
  <c r="K174" i="11"/>
  <c r="C136" i="11"/>
  <c r="E135" i="11"/>
  <c r="K129" i="11"/>
  <c r="E129" i="11"/>
  <c r="I125" i="11"/>
  <c r="D125" i="11"/>
  <c r="H122" i="11"/>
  <c r="F122" i="11"/>
  <c r="C122" i="11"/>
  <c r="K119" i="11"/>
  <c r="I119" i="11"/>
  <c r="F119" i="11"/>
  <c r="D119" i="11"/>
  <c r="K118" i="11"/>
  <c r="H118" i="11"/>
  <c r="F118" i="11"/>
  <c r="C118" i="11"/>
  <c r="I115" i="11"/>
  <c r="D115" i="11"/>
  <c r="G98" i="11"/>
  <c r="G91" i="11"/>
  <c r="G81" i="11"/>
  <c r="I74" i="11"/>
  <c r="G70" i="11"/>
  <c r="I16" i="11"/>
  <c r="H15" i="11"/>
  <c r="C7" i="11"/>
  <c r="J7" i="11" s="1"/>
  <c r="G16" i="11"/>
  <c r="J10" i="11"/>
  <c r="G9" i="11"/>
  <c r="H29" i="21" l="1"/>
  <c r="H34" i="21" s="1"/>
  <c r="H33" i="13"/>
  <c r="I26" i="21"/>
  <c r="H29" i="13"/>
  <c r="H34" i="13" s="1"/>
  <c r="I26" i="13"/>
  <c r="I33" i="13"/>
  <c r="H33" i="23"/>
  <c r="H26" i="23"/>
  <c r="C42" i="11"/>
  <c r="D75" i="11"/>
  <c r="K75" i="11" s="1"/>
  <c r="D9" i="28" l="1"/>
  <c r="C14" i="11"/>
  <c r="I14" i="11" s="1"/>
  <c r="E4" i="31"/>
  <c r="E34" i="11" l="1"/>
  <c r="E6" i="11"/>
  <c r="K6" i="11" s="1"/>
  <c r="K67" i="11"/>
  <c r="G37" i="11"/>
  <c r="O9" i="12" l="1"/>
  <c r="D89" i="11" s="1"/>
  <c r="J89" i="11" s="1"/>
  <c r="AA173" i="30" l="1"/>
  <c r="T173" i="30"/>
  <c r="S173" i="30"/>
  <c r="R173" i="30"/>
  <c r="Q173" i="30"/>
  <c r="AA172" i="30"/>
  <c r="T172" i="30"/>
  <c r="S172" i="30"/>
  <c r="R172" i="30"/>
  <c r="Q172" i="30"/>
  <c r="AA171" i="30"/>
  <c r="T171" i="30"/>
  <c r="S171" i="30"/>
  <c r="R171" i="30"/>
  <c r="Q171" i="30"/>
  <c r="AA170" i="30"/>
  <c r="T170" i="30"/>
  <c r="S170" i="30"/>
  <c r="R170" i="30"/>
  <c r="Q170" i="30"/>
  <c r="AA169" i="30"/>
  <c r="T169" i="30"/>
  <c r="S169" i="30"/>
  <c r="R169" i="30"/>
  <c r="Q169" i="30"/>
  <c r="AA168" i="30"/>
  <c r="T168" i="30"/>
  <c r="S168" i="30"/>
  <c r="R168" i="30"/>
  <c r="Q168" i="30"/>
  <c r="AA167" i="30"/>
  <c r="T167" i="30"/>
  <c r="S167" i="30"/>
  <c r="R167" i="30"/>
  <c r="Q167" i="30"/>
  <c r="AA166" i="30"/>
  <c r="T166" i="30"/>
  <c r="S166" i="30"/>
  <c r="R166" i="30"/>
  <c r="Q166" i="30"/>
  <c r="AA165" i="30"/>
  <c r="T165" i="30"/>
  <c r="S165" i="30"/>
  <c r="R165" i="30"/>
  <c r="Q165" i="30"/>
  <c r="AA164" i="30"/>
  <c r="T164" i="30"/>
  <c r="S164" i="30"/>
  <c r="R164" i="30"/>
  <c r="Q164" i="30"/>
  <c r="AA163" i="30"/>
  <c r="T163" i="30"/>
  <c r="S163" i="30"/>
  <c r="R163" i="30"/>
  <c r="Q163" i="30"/>
  <c r="AA162" i="30"/>
  <c r="T162" i="30"/>
  <c r="S162" i="30"/>
  <c r="R162" i="30"/>
  <c r="Q162" i="30"/>
  <c r="AA161" i="30"/>
  <c r="T161" i="30"/>
  <c r="S161" i="30"/>
  <c r="R161" i="30"/>
  <c r="Q161" i="30"/>
  <c r="AA160" i="30"/>
  <c r="T160" i="30"/>
  <c r="S160" i="30"/>
  <c r="R160" i="30"/>
  <c r="Q160" i="30"/>
  <c r="AA159" i="30"/>
  <c r="T159" i="30"/>
  <c r="S159" i="30"/>
  <c r="R159" i="30"/>
  <c r="Q159" i="30"/>
  <c r="AA158" i="30"/>
  <c r="T158" i="30"/>
  <c r="S158" i="30"/>
  <c r="R158" i="30"/>
  <c r="Q158" i="30"/>
  <c r="AA157" i="30"/>
  <c r="T157" i="30"/>
  <c r="S157" i="30"/>
  <c r="R157" i="30"/>
  <c r="Q157" i="30"/>
  <c r="AA156" i="30"/>
  <c r="T156" i="30"/>
  <c r="S156" i="30"/>
  <c r="R156" i="30"/>
  <c r="Q156" i="30"/>
  <c r="AA155" i="30"/>
  <c r="T155" i="30"/>
  <c r="S155" i="30"/>
  <c r="R155" i="30"/>
  <c r="Q155" i="30"/>
  <c r="AA154" i="30"/>
  <c r="T154" i="30"/>
  <c r="S154" i="30"/>
  <c r="R154" i="30"/>
  <c r="Q154" i="30"/>
  <c r="AA153" i="30"/>
  <c r="T153" i="30"/>
  <c r="S153" i="30"/>
  <c r="R153" i="30"/>
  <c r="Q153" i="30"/>
  <c r="AA152" i="30"/>
  <c r="T152" i="30"/>
  <c r="S152" i="30"/>
  <c r="R152" i="30"/>
  <c r="Q152" i="30"/>
  <c r="AA151" i="30"/>
  <c r="T151" i="30"/>
  <c r="S151" i="30"/>
  <c r="R151" i="30"/>
  <c r="Q151" i="30"/>
  <c r="AA150" i="30"/>
  <c r="T150" i="30"/>
  <c r="S150" i="30"/>
  <c r="R150" i="30"/>
  <c r="Q150" i="30"/>
  <c r="AA149" i="30"/>
  <c r="T149" i="30"/>
  <c r="S149" i="30"/>
  <c r="R149" i="30"/>
  <c r="Q149" i="30"/>
  <c r="AA148" i="30"/>
  <c r="T148" i="30"/>
  <c r="S148" i="30"/>
  <c r="R148" i="30"/>
  <c r="Q148" i="30"/>
  <c r="AA147" i="30"/>
  <c r="T147" i="30"/>
  <c r="S147" i="30"/>
  <c r="R147" i="30"/>
  <c r="Q147" i="30"/>
  <c r="AA146" i="30"/>
  <c r="T146" i="30"/>
  <c r="S146" i="30"/>
  <c r="R146" i="30"/>
  <c r="Q146" i="30"/>
  <c r="AA145" i="30"/>
  <c r="T145" i="30"/>
  <c r="S145" i="30"/>
  <c r="R145" i="30"/>
  <c r="Q145" i="30"/>
  <c r="AA144" i="30"/>
  <c r="T144" i="30"/>
  <c r="S144" i="30"/>
  <c r="R144" i="30"/>
  <c r="Q144" i="30"/>
  <c r="AA143" i="30"/>
  <c r="T143" i="30"/>
  <c r="S143" i="30"/>
  <c r="R143" i="30"/>
  <c r="Q143" i="30"/>
  <c r="AA142" i="30"/>
  <c r="T142" i="30"/>
  <c r="S142" i="30"/>
  <c r="R142" i="30"/>
  <c r="Q142" i="30"/>
  <c r="AA141" i="30"/>
  <c r="T141" i="30"/>
  <c r="S141" i="30"/>
  <c r="R141" i="30"/>
  <c r="Q141" i="30"/>
  <c r="AA140" i="30"/>
  <c r="T140" i="30"/>
  <c r="S140" i="30"/>
  <c r="R140" i="30"/>
  <c r="Q140" i="30"/>
  <c r="AA139" i="30"/>
  <c r="T139" i="30"/>
  <c r="S139" i="30"/>
  <c r="R139" i="30"/>
  <c r="Q139" i="30"/>
  <c r="AA138" i="30"/>
  <c r="T138" i="30"/>
  <c r="S138" i="30"/>
  <c r="R138" i="30"/>
  <c r="Q138" i="30"/>
  <c r="AA137" i="30"/>
  <c r="T137" i="30"/>
  <c r="S137" i="30"/>
  <c r="R137" i="30"/>
  <c r="Q137" i="30"/>
  <c r="AA136" i="30"/>
  <c r="T136" i="30"/>
  <c r="S136" i="30"/>
  <c r="R136" i="30"/>
  <c r="Q136" i="30"/>
  <c r="AA135" i="30"/>
  <c r="T135" i="30"/>
  <c r="S135" i="30"/>
  <c r="R135" i="30"/>
  <c r="Q135" i="30"/>
  <c r="AA134" i="30"/>
  <c r="T134" i="30"/>
  <c r="S134" i="30"/>
  <c r="R134" i="30"/>
  <c r="Q134" i="30"/>
  <c r="AA133" i="30"/>
  <c r="T133" i="30"/>
  <c r="S133" i="30"/>
  <c r="R133" i="30"/>
  <c r="Q133" i="30"/>
  <c r="AA132" i="30"/>
  <c r="T132" i="30"/>
  <c r="S132" i="30"/>
  <c r="R132" i="30"/>
  <c r="Q132" i="30"/>
  <c r="AA131" i="30"/>
  <c r="T131" i="30"/>
  <c r="S131" i="30"/>
  <c r="R131" i="30"/>
  <c r="Q131" i="30"/>
  <c r="AA130" i="30"/>
  <c r="T130" i="30"/>
  <c r="S130" i="30"/>
  <c r="R130" i="30"/>
  <c r="Q130" i="30"/>
  <c r="AA129" i="30"/>
  <c r="T129" i="30"/>
  <c r="S129" i="30"/>
  <c r="R129" i="30"/>
  <c r="Q129" i="30"/>
  <c r="AA128" i="30"/>
  <c r="T128" i="30"/>
  <c r="S128" i="30"/>
  <c r="R128" i="30"/>
  <c r="Q128" i="30"/>
  <c r="AA127" i="30"/>
  <c r="T127" i="30"/>
  <c r="S127" i="30"/>
  <c r="R127" i="30"/>
  <c r="Q127" i="30"/>
  <c r="AA126" i="30"/>
  <c r="T126" i="30"/>
  <c r="S126" i="30"/>
  <c r="R126" i="30"/>
  <c r="Q126" i="30"/>
  <c r="AA125" i="30"/>
  <c r="T125" i="30"/>
  <c r="S125" i="30"/>
  <c r="R125" i="30"/>
  <c r="Q125" i="30"/>
  <c r="AA124" i="30"/>
  <c r="T124" i="30"/>
  <c r="S124" i="30"/>
  <c r="R124" i="30"/>
  <c r="Q124" i="30"/>
  <c r="AA123" i="30"/>
  <c r="T123" i="30"/>
  <c r="S123" i="30"/>
  <c r="R123" i="30"/>
  <c r="Q123" i="30"/>
  <c r="AA122" i="30"/>
  <c r="T122" i="30"/>
  <c r="S122" i="30"/>
  <c r="R122" i="30"/>
  <c r="Q122" i="30"/>
  <c r="AA121" i="30"/>
  <c r="T121" i="30"/>
  <c r="S121" i="30"/>
  <c r="R121" i="30"/>
  <c r="Q121" i="30"/>
  <c r="AA120" i="30"/>
  <c r="T120" i="30"/>
  <c r="S120" i="30"/>
  <c r="R120" i="30"/>
  <c r="Q120" i="30"/>
  <c r="AA119" i="30"/>
  <c r="T119" i="30"/>
  <c r="S119" i="30"/>
  <c r="R119" i="30"/>
  <c r="Q119" i="30"/>
  <c r="AA118" i="30"/>
  <c r="T118" i="30"/>
  <c r="S118" i="30"/>
  <c r="R118" i="30"/>
  <c r="Q118" i="30"/>
  <c r="AA117" i="30"/>
  <c r="T117" i="30"/>
  <c r="S117" i="30"/>
  <c r="R117" i="30"/>
  <c r="Q117" i="30"/>
  <c r="AA116" i="30"/>
  <c r="T116" i="30"/>
  <c r="S116" i="30"/>
  <c r="R116" i="30"/>
  <c r="Q116" i="30"/>
  <c r="AA115" i="30"/>
  <c r="T115" i="30"/>
  <c r="S115" i="30"/>
  <c r="R115" i="30"/>
  <c r="Q115" i="30"/>
  <c r="AA114" i="30"/>
  <c r="T114" i="30"/>
  <c r="S114" i="30"/>
  <c r="R114" i="30"/>
  <c r="Q114" i="30"/>
  <c r="AA113" i="30"/>
  <c r="T113" i="30"/>
  <c r="S113" i="30"/>
  <c r="R113" i="30"/>
  <c r="Q113" i="30"/>
  <c r="AA112" i="30"/>
  <c r="T112" i="30"/>
  <c r="S112" i="30"/>
  <c r="R112" i="30"/>
  <c r="Q112" i="30"/>
  <c r="AA111" i="30"/>
  <c r="T111" i="30"/>
  <c r="S111" i="30"/>
  <c r="R111" i="30"/>
  <c r="Q111" i="30"/>
  <c r="AA110" i="30"/>
  <c r="T110" i="30"/>
  <c r="S110" i="30"/>
  <c r="R110" i="30"/>
  <c r="Q110" i="30"/>
  <c r="AA109" i="30"/>
  <c r="T109" i="30"/>
  <c r="S109" i="30"/>
  <c r="R109" i="30"/>
  <c r="Q109" i="30"/>
  <c r="AA108" i="30"/>
  <c r="T108" i="30"/>
  <c r="S108" i="30"/>
  <c r="R108" i="30"/>
  <c r="Q108" i="30"/>
  <c r="AA107" i="30"/>
  <c r="T107" i="30"/>
  <c r="S107" i="30"/>
  <c r="R107" i="30"/>
  <c r="Q107" i="30"/>
  <c r="AA106" i="30"/>
  <c r="T106" i="30"/>
  <c r="S106" i="30"/>
  <c r="R106" i="30"/>
  <c r="Q106" i="30"/>
  <c r="AA105" i="30"/>
  <c r="T105" i="30"/>
  <c r="S105" i="30"/>
  <c r="R105" i="30"/>
  <c r="Q105" i="30"/>
  <c r="AA104" i="30"/>
  <c r="T104" i="30"/>
  <c r="S104" i="30"/>
  <c r="R104" i="30"/>
  <c r="Q104" i="30"/>
  <c r="AA103" i="30"/>
  <c r="T103" i="30"/>
  <c r="S103" i="30"/>
  <c r="R103" i="30"/>
  <c r="Q103" i="30"/>
  <c r="AA102" i="30"/>
  <c r="T102" i="30"/>
  <c r="S102" i="30"/>
  <c r="R102" i="30"/>
  <c r="Q102" i="30"/>
  <c r="AA101" i="30"/>
  <c r="T101" i="30"/>
  <c r="S101" i="30"/>
  <c r="R101" i="30"/>
  <c r="Q101" i="30"/>
  <c r="AA100" i="30"/>
  <c r="T100" i="30"/>
  <c r="S100" i="30"/>
  <c r="R100" i="30"/>
  <c r="Q100" i="30"/>
  <c r="AA99" i="30"/>
  <c r="T99" i="30"/>
  <c r="S99" i="30"/>
  <c r="R99" i="30"/>
  <c r="Q99" i="30"/>
  <c r="AA98" i="30"/>
  <c r="T98" i="30"/>
  <c r="S98" i="30"/>
  <c r="R98" i="30"/>
  <c r="Q98" i="30"/>
  <c r="AA97" i="30"/>
  <c r="T97" i="30"/>
  <c r="S97" i="30"/>
  <c r="R97" i="30"/>
  <c r="Q97" i="30"/>
  <c r="AA96" i="30"/>
  <c r="T96" i="30"/>
  <c r="S96" i="30"/>
  <c r="R96" i="30"/>
  <c r="Q96" i="30"/>
  <c r="AA95" i="30"/>
  <c r="T95" i="30"/>
  <c r="S95" i="30"/>
  <c r="R95" i="30"/>
  <c r="Q95" i="30"/>
  <c r="AA94" i="30"/>
  <c r="T94" i="30"/>
  <c r="S94" i="30"/>
  <c r="R94" i="30"/>
  <c r="Q94" i="30"/>
  <c r="AA93" i="30"/>
  <c r="T93" i="30"/>
  <c r="S93" i="30"/>
  <c r="R93" i="30"/>
  <c r="Q93" i="30"/>
  <c r="AA92" i="30"/>
  <c r="T92" i="30"/>
  <c r="S92" i="30"/>
  <c r="R92" i="30"/>
  <c r="Q92" i="30"/>
  <c r="AA91" i="30"/>
  <c r="T91" i="30"/>
  <c r="S91" i="30"/>
  <c r="R91" i="30"/>
  <c r="Q91" i="30"/>
  <c r="AA90" i="30"/>
  <c r="T90" i="30"/>
  <c r="S90" i="30"/>
  <c r="R90" i="30"/>
  <c r="AA89" i="30"/>
  <c r="T89" i="30"/>
  <c r="S89" i="30"/>
  <c r="R89" i="30"/>
  <c r="AA88" i="30"/>
  <c r="T88" i="30"/>
  <c r="S88" i="30"/>
  <c r="R88" i="30"/>
  <c r="AA87" i="30"/>
  <c r="T87" i="30"/>
  <c r="S87" i="30"/>
  <c r="R87" i="30"/>
  <c r="AA86" i="30"/>
  <c r="T86" i="30"/>
  <c r="S86" i="30"/>
  <c r="R86" i="30"/>
  <c r="AA85" i="30"/>
  <c r="T85" i="30"/>
  <c r="S85" i="30"/>
  <c r="R85" i="30"/>
  <c r="AA84" i="30"/>
  <c r="T84" i="30"/>
  <c r="S84" i="30"/>
  <c r="R84" i="30"/>
  <c r="AA83" i="30"/>
  <c r="T83" i="30"/>
  <c r="S83" i="30"/>
  <c r="R83" i="30"/>
  <c r="AA82" i="30"/>
  <c r="T82" i="30"/>
  <c r="S82" i="30"/>
  <c r="R82" i="30"/>
  <c r="AA81" i="30"/>
  <c r="T81" i="30"/>
  <c r="S81" i="30"/>
  <c r="R81" i="30"/>
  <c r="AA80" i="30"/>
  <c r="T80" i="30"/>
  <c r="S80" i="30"/>
  <c r="R80" i="30"/>
  <c r="AA79" i="30"/>
  <c r="T79" i="30"/>
  <c r="S79" i="30"/>
  <c r="R79" i="30"/>
  <c r="AA78" i="30"/>
  <c r="T78" i="30"/>
  <c r="S78" i="30"/>
  <c r="R78" i="30"/>
  <c r="AA77" i="30"/>
  <c r="T77" i="30"/>
  <c r="S77" i="30"/>
  <c r="R77" i="30"/>
  <c r="AA76" i="30"/>
  <c r="T76" i="30"/>
  <c r="S76" i="30"/>
  <c r="R76" i="30"/>
  <c r="AA75" i="30"/>
  <c r="T75" i="30"/>
  <c r="S75" i="30"/>
  <c r="R75" i="30"/>
  <c r="AA74" i="30"/>
  <c r="T74" i="30"/>
  <c r="S74" i="30"/>
  <c r="R74" i="30"/>
  <c r="AA73" i="30"/>
  <c r="T73" i="30"/>
  <c r="S73" i="30"/>
  <c r="R73" i="30"/>
  <c r="AA72" i="30"/>
  <c r="T72" i="30"/>
  <c r="S72" i="30"/>
  <c r="R72" i="30"/>
  <c r="AA71" i="30"/>
  <c r="T71" i="30"/>
  <c r="S71" i="30"/>
  <c r="R71" i="30"/>
  <c r="AA70" i="30"/>
  <c r="T70" i="30"/>
  <c r="S70" i="30"/>
  <c r="R70" i="30"/>
  <c r="AA69" i="30"/>
  <c r="T69" i="30"/>
  <c r="S69" i="30"/>
  <c r="R69" i="30"/>
  <c r="AA68" i="30"/>
  <c r="T68" i="30"/>
  <c r="S68" i="30"/>
  <c r="R68" i="30"/>
  <c r="P68" i="30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P84" i="30" s="1"/>
  <c r="P85" i="30" s="1"/>
  <c r="P86" i="30" s="1"/>
  <c r="P87" i="30" s="1"/>
  <c r="P88" i="30" s="1"/>
  <c r="P89" i="30" s="1"/>
  <c r="P90" i="30" s="1"/>
  <c r="P91" i="30" s="1"/>
  <c r="P92" i="30" s="1"/>
  <c r="P93" i="30" s="1"/>
  <c r="P94" i="30" s="1"/>
  <c r="P95" i="30" s="1"/>
  <c r="P96" i="30" s="1"/>
  <c r="P97" i="30" s="1"/>
  <c r="P98" i="30" s="1"/>
  <c r="P99" i="30" s="1"/>
  <c r="P100" i="30" s="1"/>
  <c r="P101" i="30" s="1"/>
  <c r="P102" i="30" s="1"/>
  <c r="P103" i="30" s="1"/>
  <c r="P104" i="30" s="1"/>
  <c r="P105" i="30" s="1"/>
  <c r="P106" i="30" s="1"/>
  <c r="P107" i="30" s="1"/>
  <c r="P108" i="30" s="1"/>
  <c r="P109" i="30" s="1"/>
  <c r="P110" i="30" s="1"/>
  <c r="P111" i="30" s="1"/>
  <c r="P112" i="30" s="1"/>
  <c r="P113" i="30" s="1"/>
  <c r="P114" i="30" s="1"/>
  <c r="P115" i="30" s="1"/>
  <c r="P116" i="30" s="1"/>
  <c r="P117" i="30" s="1"/>
  <c r="P118" i="30" s="1"/>
  <c r="P119" i="30" s="1"/>
  <c r="P120" i="30" s="1"/>
  <c r="P121" i="30" s="1"/>
  <c r="P122" i="30" s="1"/>
  <c r="P123" i="30" s="1"/>
  <c r="P124" i="30" s="1"/>
  <c r="P125" i="30" s="1"/>
  <c r="P126" i="30" s="1"/>
  <c r="P127" i="30" s="1"/>
  <c r="P128" i="30" s="1"/>
  <c r="P129" i="30" s="1"/>
  <c r="P130" i="30" s="1"/>
  <c r="P131" i="30" s="1"/>
  <c r="P132" i="30" s="1"/>
  <c r="P133" i="30" s="1"/>
  <c r="P134" i="30" s="1"/>
  <c r="P135" i="30" s="1"/>
  <c r="P136" i="30" s="1"/>
  <c r="P137" i="30" s="1"/>
  <c r="P138" i="30" s="1"/>
  <c r="P139" i="30" s="1"/>
  <c r="P140" i="30" s="1"/>
  <c r="P141" i="30" s="1"/>
  <c r="P142" i="30" s="1"/>
  <c r="P143" i="30" s="1"/>
  <c r="P144" i="30" s="1"/>
  <c r="P145" i="30" s="1"/>
  <c r="P146" i="30" s="1"/>
  <c r="P147" i="30" s="1"/>
  <c r="P148" i="30" s="1"/>
  <c r="P149" i="30" s="1"/>
  <c r="P150" i="30" s="1"/>
  <c r="P151" i="30" s="1"/>
  <c r="P152" i="30" s="1"/>
  <c r="P153" i="30" s="1"/>
  <c r="P154" i="30" s="1"/>
  <c r="P155" i="30" s="1"/>
  <c r="P156" i="30" s="1"/>
  <c r="P157" i="30" s="1"/>
  <c r="P158" i="30" s="1"/>
  <c r="P159" i="30" s="1"/>
  <c r="P160" i="30" s="1"/>
  <c r="P161" i="30" s="1"/>
  <c r="P162" i="30" s="1"/>
  <c r="P163" i="30" s="1"/>
  <c r="P164" i="30" s="1"/>
  <c r="P165" i="30" s="1"/>
  <c r="P166" i="30" s="1"/>
  <c r="P167" i="30" s="1"/>
  <c r="P168" i="30" s="1"/>
  <c r="P169" i="30" s="1"/>
  <c r="P170" i="30" s="1"/>
  <c r="P171" i="30" s="1"/>
  <c r="P172" i="30" s="1"/>
  <c r="P173" i="30" s="1"/>
  <c r="U65" i="30"/>
  <c r="S65" i="30"/>
  <c r="N32" i="30"/>
  <c r="N33" i="30" s="1"/>
  <c r="M32" i="30"/>
  <c r="L32" i="30"/>
  <c r="L33" i="30" s="1"/>
  <c r="M30" i="30"/>
  <c r="M33" i="30" s="1"/>
  <c r="L30" i="30"/>
  <c r="N26" i="30"/>
  <c r="J26" i="30"/>
  <c r="N25" i="30"/>
  <c r="J25" i="30"/>
  <c r="G25" i="30"/>
  <c r="F25" i="30"/>
  <c r="E25" i="30"/>
  <c r="D25" i="30"/>
  <c r="C25" i="30"/>
  <c r="B25" i="30"/>
  <c r="N24" i="30"/>
  <c r="J24" i="30"/>
  <c r="N23" i="30"/>
  <c r="J23" i="30"/>
  <c r="N20" i="30"/>
  <c r="M20" i="30"/>
  <c r="L20" i="30"/>
  <c r="K20" i="30"/>
  <c r="J20" i="30"/>
  <c r="I20" i="30"/>
  <c r="H20" i="30"/>
  <c r="G20" i="30"/>
  <c r="F20" i="30"/>
  <c r="E20" i="30"/>
  <c r="D20" i="30"/>
  <c r="B20" i="30"/>
  <c r="N19" i="30"/>
  <c r="M19" i="30"/>
  <c r="L19" i="30"/>
  <c r="K19" i="30"/>
  <c r="J19" i="30"/>
  <c r="I19" i="30"/>
  <c r="H19" i="30"/>
  <c r="G19" i="30"/>
  <c r="F19" i="30"/>
  <c r="E19" i="30"/>
  <c r="D19" i="30"/>
  <c r="B19" i="30"/>
  <c r="N18" i="30"/>
  <c r="M18" i="30"/>
  <c r="L18" i="30"/>
  <c r="K18" i="30"/>
  <c r="J18" i="30"/>
  <c r="I18" i="30"/>
  <c r="H18" i="30"/>
  <c r="G18" i="30"/>
  <c r="F18" i="30"/>
  <c r="E18" i="30"/>
  <c r="D18" i="30"/>
  <c r="B18" i="30"/>
  <c r="N17" i="30"/>
  <c r="M17" i="30"/>
  <c r="L17" i="30"/>
  <c r="K17" i="30"/>
  <c r="J17" i="30"/>
  <c r="I17" i="30"/>
  <c r="H17" i="30"/>
  <c r="G17" i="30"/>
  <c r="F17" i="30"/>
  <c r="E17" i="30"/>
  <c r="D17" i="30"/>
  <c r="B17" i="30"/>
  <c r="N16" i="30"/>
  <c r="M16" i="30"/>
  <c r="L16" i="30"/>
  <c r="K16" i="30"/>
  <c r="J16" i="30"/>
  <c r="I16" i="30"/>
  <c r="H16" i="30"/>
  <c r="G16" i="30"/>
  <c r="F16" i="30"/>
  <c r="E16" i="30"/>
  <c r="D16" i="30"/>
  <c r="B16" i="30"/>
  <c r="N15" i="30"/>
  <c r="M15" i="30"/>
  <c r="L15" i="30"/>
  <c r="K15" i="30"/>
  <c r="J15" i="30"/>
  <c r="I15" i="30"/>
  <c r="H15" i="30"/>
  <c r="G15" i="30"/>
  <c r="F15" i="30"/>
  <c r="E15" i="30"/>
  <c r="D15" i="30"/>
  <c r="B15" i="30"/>
  <c r="N14" i="30"/>
  <c r="M14" i="30"/>
  <c r="L14" i="30"/>
  <c r="K14" i="30"/>
  <c r="J14" i="30"/>
  <c r="I14" i="30"/>
  <c r="H14" i="30"/>
  <c r="G14" i="30"/>
  <c r="F14" i="30"/>
  <c r="E14" i="30"/>
  <c r="D14" i="30"/>
  <c r="B14" i="30"/>
  <c r="N13" i="30"/>
  <c r="M13" i="30"/>
  <c r="L13" i="30"/>
  <c r="K13" i="30"/>
  <c r="J13" i="30"/>
  <c r="I13" i="30"/>
  <c r="H13" i="30"/>
  <c r="G13" i="30"/>
  <c r="F13" i="30"/>
  <c r="E13" i="30"/>
  <c r="D13" i="30"/>
  <c r="B13" i="30"/>
  <c r="N12" i="30"/>
  <c r="M12" i="30"/>
  <c r="L12" i="30"/>
  <c r="K12" i="30"/>
  <c r="J12" i="30"/>
  <c r="I12" i="30"/>
  <c r="H12" i="30"/>
  <c r="G12" i="30"/>
  <c r="F12" i="30"/>
  <c r="E12" i="30"/>
  <c r="D12" i="30"/>
  <c r="B12" i="30"/>
  <c r="N11" i="30"/>
  <c r="M11" i="30"/>
  <c r="L11" i="30"/>
  <c r="K11" i="30"/>
  <c r="J11" i="30"/>
  <c r="I11" i="30"/>
  <c r="H11" i="30"/>
  <c r="G11" i="30"/>
  <c r="F11" i="30"/>
  <c r="E11" i="30"/>
  <c r="D11" i="30"/>
  <c r="B11" i="30"/>
  <c r="I4" i="30"/>
  <c r="G815" i="29"/>
  <c r="G814" i="29"/>
  <c r="G813" i="29"/>
  <c r="G812" i="29"/>
  <c r="G811" i="29"/>
  <c r="G810" i="29"/>
  <c r="G809" i="29"/>
  <c r="G808" i="29"/>
  <c r="G807" i="29"/>
  <c r="G806" i="29"/>
  <c r="G805" i="29"/>
  <c r="G804" i="29"/>
  <c r="G803" i="29"/>
  <c r="G802" i="29"/>
  <c r="G801" i="29"/>
  <c r="G800" i="29"/>
  <c r="G799" i="29"/>
  <c r="G798" i="29"/>
  <c r="G797" i="29"/>
  <c r="G796" i="29"/>
  <c r="G795" i="29"/>
  <c r="G794" i="29"/>
  <c r="G793" i="29"/>
  <c r="G792" i="29"/>
  <c r="G791" i="29"/>
  <c r="G790" i="29"/>
  <c r="G789" i="29"/>
  <c r="G788" i="29"/>
  <c r="G787" i="29"/>
  <c r="G786" i="29"/>
  <c r="G785" i="29"/>
  <c r="G784" i="29"/>
  <c r="G783" i="29"/>
  <c r="G782" i="29"/>
  <c r="G781" i="29"/>
  <c r="G780" i="29"/>
  <c r="G779" i="29"/>
  <c r="G778" i="29"/>
  <c r="G777" i="29"/>
  <c r="G776" i="29"/>
  <c r="G775" i="29"/>
  <c r="G774" i="29"/>
  <c r="G773" i="29"/>
  <c r="G772" i="29"/>
  <c r="G771" i="29"/>
  <c r="G770" i="29"/>
  <c r="G769" i="29"/>
  <c r="G768" i="29"/>
  <c r="G767" i="29"/>
  <c r="G766" i="29"/>
  <c r="G765" i="29"/>
  <c r="G764" i="29"/>
  <c r="G763" i="29"/>
  <c r="G762" i="29"/>
  <c r="G761" i="29"/>
  <c r="G760" i="29"/>
  <c r="G759" i="29"/>
  <c r="G758" i="29"/>
  <c r="G757" i="29"/>
  <c r="G756" i="29"/>
  <c r="G755" i="29"/>
  <c r="G754" i="29"/>
  <c r="G753" i="29"/>
  <c r="G752" i="29"/>
  <c r="G751" i="29"/>
  <c r="G750" i="29"/>
  <c r="G749" i="29"/>
  <c r="G748" i="29"/>
  <c r="G747" i="29"/>
  <c r="G746" i="29"/>
  <c r="G745" i="29"/>
  <c r="G744" i="29"/>
  <c r="G743" i="29"/>
  <c r="G742" i="29"/>
  <c r="G741" i="29"/>
  <c r="G740" i="29"/>
  <c r="G739" i="29"/>
  <c r="G738" i="29"/>
  <c r="G737" i="29"/>
  <c r="G736" i="29"/>
  <c r="G735" i="29"/>
  <c r="G734" i="29"/>
  <c r="G733" i="29"/>
  <c r="G732" i="29"/>
  <c r="G731" i="29"/>
  <c r="G730" i="29"/>
  <c r="G729" i="29"/>
  <c r="G728" i="29"/>
  <c r="G727" i="29"/>
  <c r="G726" i="29"/>
  <c r="G725" i="29"/>
  <c r="G724" i="29"/>
  <c r="G723" i="29"/>
  <c r="G722" i="29"/>
  <c r="G721" i="29"/>
  <c r="G720" i="29"/>
  <c r="G719" i="29"/>
  <c r="G718" i="29"/>
  <c r="G717" i="29"/>
  <c r="G716" i="29"/>
  <c r="G715" i="29"/>
  <c r="G714" i="29"/>
  <c r="G713" i="29"/>
  <c r="G712" i="29"/>
  <c r="G711" i="29"/>
  <c r="G710" i="29"/>
  <c r="G709" i="29"/>
  <c r="G708" i="29"/>
  <c r="G707" i="29"/>
  <c r="G706" i="29"/>
  <c r="G705" i="29"/>
  <c r="G704" i="29"/>
  <c r="G703" i="29"/>
  <c r="G702" i="29"/>
  <c r="G701" i="29"/>
  <c r="G700" i="29"/>
  <c r="G699" i="29"/>
  <c r="G698" i="29"/>
  <c r="G697" i="29"/>
  <c r="G696" i="29"/>
  <c r="G695" i="29"/>
  <c r="G694" i="29"/>
  <c r="G693" i="29"/>
  <c r="G692" i="29"/>
  <c r="G691" i="29"/>
  <c r="G690" i="29"/>
  <c r="G689" i="29"/>
  <c r="G688" i="29"/>
  <c r="G687" i="29"/>
  <c r="G686" i="29"/>
  <c r="G685" i="29"/>
  <c r="G684" i="29"/>
  <c r="G683" i="29"/>
  <c r="G682" i="29"/>
  <c r="G681" i="29"/>
  <c r="G680" i="29"/>
  <c r="G679" i="29"/>
  <c r="G678" i="29"/>
  <c r="G677" i="29"/>
  <c r="G676" i="29"/>
  <c r="G675" i="29"/>
  <c r="G674" i="29"/>
  <c r="G673" i="29"/>
  <c r="G672" i="29"/>
  <c r="G671" i="29"/>
  <c r="G670" i="29"/>
  <c r="G669" i="29"/>
  <c r="G668" i="29"/>
  <c r="G667" i="29"/>
  <c r="G666" i="29"/>
  <c r="G665" i="29"/>
  <c r="G664" i="29"/>
  <c r="G663" i="29"/>
  <c r="G662" i="29"/>
  <c r="G661" i="29"/>
  <c r="G660" i="29"/>
  <c r="G659" i="29"/>
  <c r="G658" i="29"/>
  <c r="G657" i="29"/>
  <c r="G656" i="29"/>
  <c r="G655" i="29"/>
  <c r="G654" i="29"/>
  <c r="G653" i="29"/>
  <c r="G652" i="29"/>
  <c r="G651" i="29"/>
  <c r="G650" i="29"/>
  <c r="G649" i="29"/>
  <c r="G648" i="29"/>
  <c r="G647" i="29"/>
  <c r="G646" i="29"/>
  <c r="G645" i="29"/>
  <c r="G644" i="29"/>
  <c r="G643" i="29"/>
  <c r="G642" i="29"/>
  <c r="G641" i="29"/>
  <c r="G640" i="29"/>
  <c r="G639" i="29"/>
  <c r="G638" i="29"/>
  <c r="G637" i="29"/>
  <c r="G636" i="29"/>
  <c r="G635" i="29"/>
  <c r="G634" i="29"/>
  <c r="G633" i="29"/>
  <c r="G632" i="29"/>
  <c r="G631" i="29"/>
  <c r="G630" i="29"/>
  <c r="G629" i="29"/>
  <c r="G628" i="29"/>
  <c r="G627" i="29"/>
  <c r="G626" i="29"/>
  <c r="G625" i="29"/>
  <c r="G624" i="29"/>
  <c r="G623" i="29"/>
  <c r="G622" i="29"/>
  <c r="G621" i="29"/>
  <c r="G620" i="29"/>
  <c r="G619" i="29"/>
  <c r="G618" i="29"/>
  <c r="G617" i="29"/>
  <c r="G616" i="29"/>
  <c r="G615" i="29"/>
  <c r="G614" i="29"/>
  <c r="G613" i="29"/>
  <c r="G612" i="29"/>
  <c r="G611" i="29"/>
  <c r="G610" i="29"/>
  <c r="G609" i="29"/>
  <c r="G608" i="29"/>
  <c r="G607" i="29"/>
  <c r="G606" i="29"/>
  <c r="G605" i="29"/>
  <c r="G604" i="29"/>
  <c r="G603" i="29"/>
  <c r="G602" i="29"/>
  <c r="G601" i="29"/>
  <c r="G600" i="29"/>
  <c r="G599" i="29"/>
  <c r="G598" i="29"/>
  <c r="G597" i="29"/>
  <c r="G596" i="29"/>
  <c r="G595" i="29"/>
  <c r="G594" i="29"/>
  <c r="G593" i="29"/>
  <c r="G592" i="29"/>
  <c r="G591" i="29"/>
  <c r="G590" i="29"/>
  <c r="G589" i="29"/>
  <c r="G588" i="29"/>
  <c r="G587" i="29"/>
  <c r="G586" i="29"/>
  <c r="G585" i="29"/>
  <c r="G584" i="29"/>
  <c r="G583" i="29"/>
  <c r="G582" i="29"/>
  <c r="G581" i="29"/>
  <c r="G580" i="29"/>
  <c r="G579" i="29"/>
  <c r="G578" i="29"/>
  <c r="G577" i="29"/>
  <c r="G576" i="29"/>
  <c r="G575" i="29"/>
  <c r="G574" i="29"/>
  <c r="G573" i="29"/>
  <c r="G572" i="29"/>
  <c r="G571" i="29"/>
  <c r="G570" i="29"/>
  <c r="G569" i="29"/>
  <c r="G568" i="29"/>
  <c r="G567" i="29"/>
  <c r="G566" i="29"/>
  <c r="G565" i="29"/>
  <c r="G564" i="29"/>
  <c r="G563" i="29"/>
  <c r="G562" i="29"/>
  <c r="G561" i="29"/>
  <c r="G560" i="29"/>
  <c r="G559" i="29"/>
  <c r="G558" i="29"/>
  <c r="G557" i="29"/>
  <c r="G556" i="29"/>
  <c r="G555" i="29"/>
  <c r="G554" i="29"/>
  <c r="G553" i="29"/>
  <c r="G552" i="29"/>
  <c r="G551" i="29"/>
  <c r="G550" i="29"/>
  <c r="G549" i="29"/>
  <c r="G548" i="29"/>
  <c r="G547" i="29"/>
  <c r="G546" i="29"/>
  <c r="G545" i="29"/>
  <c r="G544" i="29"/>
  <c r="G543" i="29"/>
  <c r="G542" i="29"/>
  <c r="G541" i="29"/>
  <c r="G540" i="29"/>
  <c r="G539" i="29"/>
  <c r="G538" i="29"/>
  <c r="G537" i="29"/>
  <c r="G536" i="29"/>
  <c r="G535" i="29"/>
  <c r="G534" i="29"/>
  <c r="G533" i="29"/>
  <c r="G532" i="29"/>
  <c r="G531" i="29"/>
  <c r="G530" i="29"/>
  <c r="G529" i="29"/>
  <c r="G528" i="29"/>
  <c r="G527" i="29"/>
  <c r="G526" i="29"/>
  <c r="G525" i="29"/>
  <c r="G524" i="29"/>
  <c r="G523" i="29"/>
  <c r="G522" i="29"/>
  <c r="G521" i="29"/>
  <c r="G520" i="29"/>
  <c r="G519" i="29"/>
  <c r="G518" i="29"/>
  <c r="G517" i="29"/>
  <c r="G516" i="29"/>
  <c r="G515" i="29"/>
  <c r="G514" i="29"/>
  <c r="G513" i="29"/>
  <c r="G512" i="29"/>
  <c r="G511" i="29"/>
  <c r="G510" i="29"/>
  <c r="G509" i="29"/>
  <c r="G508" i="29"/>
  <c r="G507" i="29"/>
  <c r="G506" i="29"/>
  <c r="G505" i="29"/>
  <c r="G504" i="29"/>
  <c r="G503" i="29"/>
  <c r="G502" i="29"/>
  <c r="G501" i="29"/>
  <c r="G500" i="29"/>
  <c r="G499" i="29"/>
  <c r="G498" i="29"/>
  <c r="G497" i="29"/>
  <c r="G496" i="29"/>
  <c r="G495" i="29"/>
  <c r="G494" i="29"/>
  <c r="G493" i="29"/>
  <c r="G492" i="29"/>
  <c r="G491" i="29"/>
  <c r="G490" i="29"/>
  <c r="G489" i="29"/>
  <c r="G488" i="29"/>
  <c r="G487" i="29"/>
  <c r="G486" i="29"/>
  <c r="G485" i="29"/>
  <c r="G484" i="29"/>
  <c r="G483" i="29"/>
  <c r="G482" i="29"/>
  <c r="G481" i="29"/>
  <c r="G480" i="29"/>
  <c r="G479" i="29"/>
  <c r="G478" i="29"/>
  <c r="G477" i="29"/>
  <c r="G476" i="29"/>
  <c r="G475" i="29"/>
  <c r="G474" i="29"/>
  <c r="G473" i="29"/>
  <c r="G472" i="29"/>
  <c r="G471" i="29"/>
  <c r="G470" i="29"/>
  <c r="G469" i="29"/>
  <c r="G468" i="29"/>
  <c r="G467" i="29"/>
  <c r="G466" i="29"/>
  <c r="G465" i="29"/>
  <c r="G464" i="29"/>
  <c r="G463" i="29"/>
  <c r="G462" i="29"/>
  <c r="G461" i="29"/>
  <c r="G460" i="29"/>
  <c r="G459" i="29"/>
  <c r="G458" i="29"/>
  <c r="G457" i="29"/>
  <c r="G456" i="29"/>
  <c r="G455" i="29"/>
  <c r="G454" i="29"/>
  <c r="G453" i="29"/>
  <c r="G452" i="29"/>
  <c r="G451" i="29"/>
  <c r="G450" i="29"/>
  <c r="G449" i="29"/>
  <c r="G448" i="29"/>
  <c r="G447" i="29"/>
  <c r="G446" i="29"/>
  <c r="G445" i="29"/>
  <c r="G444" i="29"/>
  <c r="G443" i="29"/>
  <c r="G442" i="29"/>
  <c r="G441" i="29"/>
  <c r="G440" i="29"/>
  <c r="G439" i="29"/>
  <c r="G438" i="29"/>
  <c r="G437" i="29"/>
  <c r="G436" i="29"/>
  <c r="G435" i="29"/>
  <c r="G434" i="29"/>
  <c r="G433" i="29"/>
  <c r="G432" i="29"/>
  <c r="G431" i="29"/>
  <c r="G430" i="29"/>
  <c r="G429" i="29"/>
  <c r="G428" i="29"/>
  <c r="G427" i="29"/>
  <c r="G426" i="29"/>
  <c r="G425" i="29"/>
  <c r="G424" i="29"/>
  <c r="G423" i="29"/>
  <c r="G422" i="29"/>
  <c r="G421" i="29"/>
  <c r="G420" i="29"/>
  <c r="G419" i="29"/>
  <c r="G418" i="29"/>
  <c r="G417" i="29"/>
  <c r="G416" i="29"/>
  <c r="G415" i="29"/>
  <c r="G414" i="29"/>
  <c r="G413" i="29"/>
  <c r="G412" i="29"/>
  <c r="G411" i="29"/>
  <c r="G410" i="29"/>
  <c r="G409" i="29"/>
  <c r="G408" i="29"/>
  <c r="G407" i="29"/>
  <c r="G406" i="29"/>
  <c r="G405" i="29"/>
  <c r="G404" i="29"/>
  <c r="G403" i="29"/>
  <c r="G402" i="29"/>
  <c r="G401" i="29"/>
  <c r="G400" i="29"/>
  <c r="G399" i="29"/>
  <c r="G398" i="29"/>
  <c r="G397" i="29"/>
  <c r="G396" i="29"/>
  <c r="G395" i="29"/>
  <c r="G394" i="29"/>
  <c r="G393" i="29"/>
  <c r="G392" i="29"/>
  <c r="G391" i="29"/>
  <c r="G390" i="29"/>
  <c r="G389" i="29"/>
  <c r="G388" i="29"/>
  <c r="G387" i="29"/>
  <c r="G386" i="29"/>
  <c r="G385" i="29"/>
  <c r="G384" i="29"/>
  <c r="G383" i="29"/>
  <c r="G382" i="29"/>
  <c r="G381" i="29"/>
  <c r="G380" i="29"/>
  <c r="G379" i="29"/>
  <c r="G378" i="29"/>
  <c r="G377" i="29"/>
  <c r="G376" i="29"/>
  <c r="G375" i="29"/>
  <c r="G374" i="29"/>
  <c r="G373" i="29"/>
  <c r="G372" i="29"/>
  <c r="G371" i="29"/>
  <c r="G370" i="29"/>
  <c r="G369" i="29"/>
  <c r="G368" i="29"/>
  <c r="G367" i="29"/>
  <c r="G366" i="29"/>
  <c r="G365" i="29"/>
  <c r="G364" i="29"/>
  <c r="G363" i="29"/>
  <c r="G362" i="29"/>
  <c r="G361" i="29"/>
  <c r="G360" i="29"/>
  <c r="G359" i="29"/>
  <c r="G358" i="29"/>
  <c r="G357" i="29"/>
  <c r="G356" i="29"/>
  <c r="G355" i="29"/>
  <c r="G354" i="29"/>
  <c r="G353" i="29"/>
  <c r="G352" i="29"/>
  <c r="G351" i="29"/>
  <c r="G350" i="29"/>
  <c r="G349" i="29"/>
  <c r="G348" i="29"/>
  <c r="G347" i="29"/>
  <c r="G346" i="29"/>
  <c r="G345" i="29"/>
  <c r="G344" i="29"/>
  <c r="G343" i="29"/>
  <c r="G342" i="29"/>
  <c r="G341" i="29"/>
  <c r="G340" i="29"/>
  <c r="G339" i="29"/>
  <c r="G338" i="29"/>
  <c r="G337" i="29"/>
  <c r="G336" i="29"/>
  <c r="G335" i="29"/>
  <c r="G334" i="29"/>
  <c r="G333" i="29"/>
  <c r="G332" i="29"/>
  <c r="G331" i="29"/>
  <c r="G330" i="29"/>
  <c r="G329" i="29"/>
  <c r="G328" i="29"/>
  <c r="G327" i="29"/>
  <c r="G326" i="29"/>
  <c r="G325" i="29"/>
  <c r="G324" i="29"/>
  <c r="G323" i="29"/>
  <c r="G322" i="29"/>
  <c r="G321" i="29"/>
  <c r="G320" i="29"/>
  <c r="G319" i="29"/>
  <c r="G318" i="29"/>
  <c r="G317" i="29"/>
  <c r="G316" i="29"/>
  <c r="G315" i="29"/>
  <c r="G314" i="29"/>
  <c r="G313" i="29"/>
  <c r="G312" i="29"/>
  <c r="G311" i="29"/>
  <c r="G310" i="29"/>
  <c r="G309" i="29"/>
  <c r="G308" i="29"/>
  <c r="G307" i="29"/>
  <c r="G306" i="29"/>
  <c r="G305" i="29"/>
  <c r="G304" i="29"/>
  <c r="G303" i="29"/>
  <c r="G302" i="29"/>
  <c r="G301" i="29"/>
  <c r="G300" i="29"/>
  <c r="G299" i="29"/>
  <c r="G298" i="29"/>
  <c r="G297" i="29"/>
  <c r="G296" i="29"/>
  <c r="G295" i="29"/>
  <c r="G294" i="29"/>
  <c r="G293" i="29"/>
  <c r="G292" i="29"/>
  <c r="G291" i="29"/>
  <c r="G290" i="29"/>
  <c r="G289" i="29"/>
  <c r="G288" i="29"/>
  <c r="G287" i="29"/>
  <c r="G286" i="29"/>
  <c r="G285" i="29"/>
  <c r="G284" i="29"/>
  <c r="G283" i="29"/>
  <c r="G282" i="29"/>
  <c r="G281" i="29"/>
  <c r="G280" i="29"/>
  <c r="G279" i="29"/>
  <c r="G278" i="29"/>
  <c r="G277" i="29"/>
  <c r="G276" i="29"/>
  <c r="G275" i="29"/>
  <c r="G274" i="29"/>
  <c r="G273" i="29"/>
  <c r="G272" i="29"/>
  <c r="G271" i="29"/>
  <c r="G270" i="29"/>
  <c r="G269" i="29"/>
  <c r="G268" i="29"/>
  <c r="G267" i="29"/>
  <c r="G266" i="29"/>
  <c r="G265" i="29"/>
  <c r="G264" i="29"/>
  <c r="G263" i="29"/>
  <c r="G262" i="29"/>
  <c r="G261" i="29"/>
  <c r="G260" i="29"/>
  <c r="G259" i="29"/>
  <c r="G258" i="29"/>
  <c r="G257" i="29"/>
  <c r="G256" i="29"/>
  <c r="G255" i="29"/>
  <c r="G254" i="29"/>
  <c r="G253" i="29"/>
  <c r="G252" i="29"/>
  <c r="G251" i="29"/>
  <c r="G250" i="29"/>
  <c r="G249" i="29"/>
  <c r="G248" i="29"/>
  <c r="G247" i="29"/>
  <c r="G246" i="29"/>
  <c r="G245" i="29"/>
  <c r="G244" i="29"/>
  <c r="G243" i="29"/>
  <c r="G242" i="29"/>
  <c r="G241" i="29"/>
  <c r="G240" i="29"/>
  <c r="G239" i="29"/>
  <c r="G238" i="29"/>
  <c r="G237" i="29"/>
  <c r="G236" i="29"/>
  <c r="G235" i="29"/>
  <c r="G234" i="29"/>
  <c r="G233" i="29"/>
  <c r="G232" i="29"/>
  <c r="G231" i="29"/>
  <c r="G230" i="29"/>
  <c r="G229" i="29"/>
  <c r="G228" i="29"/>
  <c r="G227" i="29"/>
  <c r="G226" i="29"/>
  <c r="G225" i="29"/>
  <c r="G224" i="29"/>
  <c r="G223" i="29"/>
  <c r="G222" i="29"/>
  <c r="G221" i="29"/>
  <c r="G220" i="29"/>
  <c r="G219" i="29"/>
  <c r="G218" i="29"/>
  <c r="G217" i="29"/>
  <c r="G216" i="29"/>
  <c r="G215" i="29"/>
  <c r="G214" i="29"/>
  <c r="G213" i="29"/>
  <c r="G212" i="29"/>
  <c r="G211" i="29"/>
  <c r="G210" i="29"/>
  <c r="G209" i="29"/>
  <c r="G208" i="29"/>
  <c r="G207" i="29"/>
  <c r="G206" i="29"/>
  <c r="G205" i="29"/>
  <c r="G204" i="29"/>
  <c r="G203" i="29"/>
  <c r="G202" i="29"/>
  <c r="G201" i="29"/>
  <c r="G200" i="29"/>
  <c r="G199" i="29"/>
  <c r="G198" i="29"/>
  <c r="G197" i="29"/>
  <c r="G196" i="29"/>
  <c r="G195" i="29"/>
  <c r="G194" i="29"/>
  <c r="G193" i="29"/>
  <c r="G192" i="29"/>
  <c r="G191" i="29"/>
  <c r="G190" i="29"/>
  <c r="G189" i="29"/>
  <c r="G188" i="29"/>
  <c r="G187" i="29"/>
  <c r="G186" i="29"/>
  <c r="G185" i="29"/>
  <c r="G184" i="29"/>
  <c r="G183" i="29"/>
  <c r="G182" i="29"/>
  <c r="G181" i="29"/>
  <c r="G180" i="29"/>
  <c r="G179" i="29"/>
  <c r="G178" i="29"/>
  <c r="G177" i="29"/>
  <c r="G176" i="29"/>
  <c r="G175" i="29"/>
  <c r="G174" i="29"/>
  <c r="G173" i="29"/>
  <c r="G172" i="29"/>
  <c r="G171" i="29"/>
  <c r="G170" i="29"/>
  <c r="G169" i="29"/>
  <c r="G168" i="29"/>
  <c r="G167" i="29"/>
  <c r="G166" i="29"/>
  <c r="G165" i="29"/>
  <c r="G164" i="29"/>
  <c r="G163" i="29"/>
  <c r="G162" i="29"/>
  <c r="G161" i="29"/>
  <c r="G160" i="29"/>
  <c r="G159" i="29"/>
  <c r="G158" i="29"/>
  <c r="G157" i="29"/>
  <c r="G156" i="29"/>
  <c r="G155" i="29"/>
  <c r="G154" i="29"/>
  <c r="G153" i="29"/>
  <c r="G152" i="29"/>
  <c r="G151" i="29"/>
  <c r="G150" i="29"/>
  <c r="G149" i="29"/>
  <c r="G148" i="29"/>
  <c r="G147" i="29"/>
  <c r="G146" i="29"/>
  <c r="G145" i="29"/>
  <c r="G144" i="29"/>
  <c r="G143" i="29"/>
  <c r="G142" i="29"/>
  <c r="G141" i="29"/>
  <c r="G140" i="29"/>
  <c r="G139" i="29"/>
  <c r="G138" i="29"/>
  <c r="G137" i="29"/>
  <c r="G136" i="29"/>
  <c r="G135" i="29"/>
  <c r="G134" i="29"/>
  <c r="G133" i="29"/>
  <c r="G132" i="29"/>
  <c r="G131" i="29"/>
  <c r="G130" i="29"/>
  <c r="G129" i="29"/>
  <c r="G128" i="29"/>
  <c r="G127" i="29"/>
  <c r="G126" i="29"/>
  <c r="G125" i="29"/>
  <c r="G124" i="29"/>
  <c r="G123" i="29"/>
  <c r="G122" i="29"/>
  <c r="G121" i="29"/>
  <c r="G120" i="29"/>
  <c r="G119" i="29"/>
  <c r="G118" i="29"/>
  <c r="G117" i="29"/>
  <c r="G116" i="29"/>
  <c r="G115" i="29"/>
  <c r="G114" i="29"/>
  <c r="G113" i="29"/>
  <c r="D78" i="29" s="1"/>
  <c r="G112" i="29"/>
  <c r="E78" i="29" s="1"/>
  <c r="E76" i="29"/>
  <c r="E77" i="29" s="1"/>
  <c r="G75" i="29"/>
  <c r="F75" i="29"/>
  <c r="A57" i="29"/>
  <c r="F56" i="29"/>
  <c r="A56" i="29"/>
  <c r="A55" i="29"/>
  <c r="A54" i="29"/>
  <c r="G48" i="29"/>
  <c r="C37" i="29"/>
  <c r="M35" i="29"/>
  <c r="E34" i="29"/>
  <c r="C33" i="29"/>
  <c r="M31" i="29"/>
  <c r="E30" i="29"/>
  <c r="C29" i="29"/>
  <c r="M25" i="29"/>
  <c r="E24" i="29"/>
  <c r="C23" i="29"/>
  <c r="M21" i="29"/>
  <c r="C20" i="29"/>
  <c r="G20" i="29" s="1"/>
  <c r="M18" i="29"/>
  <c r="E17" i="29"/>
  <c r="C12" i="29"/>
  <c r="M8" i="29"/>
  <c r="E7" i="29"/>
  <c r="C6" i="29"/>
  <c r="A1" i="29"/>
  <c r="E6" i="29" l="1"/>
  <c r="C11" i="29"/>
  <c r="E12" i="29"/>
  <c r="C19" i="29"/>
  <c r="C22" i="29"/>
  <c r="M24" i="29"/>
  <c r="M30" i="29"/>
  <c r="E33" i="29"/>
  <c r="C36" i="29"/>
  <c r="C78" i="29"/>
  <c r="E5" i="29"/>
  <c r="M6" i="29"/>
  <c r="C8" i="29"/>
  <c r="E11" i="29"/>
  <c r="E13" i="29" s="1"/>
  <c r="M12" i="29"/>
  <c r="C18" i="29"/>
  <c r="E19" i="29"/>
  <c r="C21" i="29"/>
  <c r="E22" i="29"/>
  <c r="M23" i="29"/>
  <c r="C25" i="29"/>
  <c r="E26" i="29"/>
  <c r="M29" i="29"/>
  <c r="C31" i="29"/>
  <c r="E32" i="29"/>
  <c r="M33" i="29"/>
  <c r="C35" i="29"/>
  <c r="E36" i="29"/>
  <c r="M37" i="29"/>
  <c r="H75" i="29"/>
  <c r="L31" i="30"/>
  <c r="G12" i="29"/>
  <c r="M7" i="29"/>
  <c r="M17" i="29"/>
  <c r="M20" i="29"/>
  <c r="E23" i="29"/>
  <c r="C26" i="29"/>
  <c r="G26" i="29" s="1"/>
  <c r="C32" i="29"/>
  <c r="G32" i="29" s="1"/>
  <c r="M34" i="29"/>
  <c r="E37" i="29"/>
  <c r="M5" i="29"/>
  <c r="M9" i="29" s="1"/>
  <c r="C7" i="29"/>
  <c r="E8" i="29"/>
  <c r="M11" i="29"/>
  <c r="M13" i="29" s="1"/>
  <c r="C17" i="29"/>
  <c r="E18" i="29"/>
  <c r="M19" i="29"/>
  <c r="E21" i="29"/>
  <c r="M22" i="29"/>
  <c r="C24" i="29"/>
  <c r="G24" i="29" s="1"/>
  <c r="E25" i="29"/>
  <c r="M26" i="29"/>
  <c r="C30" i="29"/>
  <c r="G30" i="29" s="1"/>
  <c r="E31" i="29"/>
  <c r="M32" i="29"/>
  <c r="C34" i="29"/>
  <c r="G34" i="29" s="1"/>
  <c r="E35" i="29"/>
  <c r="G35" i="29" s="1"/>
  <c r="M36" i="29"/>
  <c r="C76" i="29"/>
  <c r="C77" i="29" s="1"/>
  <c r="C79" i="29" s="1"/>
  <c r="C5" i="29"/>
  <c r="E29" i="29"/>
  <c r="E38" i="29" s="1"/>
  <c r="N31" i="30"/>
  <c r="G6" i="29"/>
  <c r="E27" i="29"/>
  <c r="E65" i="29" s="1"/>
  <c r="G37" i="29"/>
  <c r="F23" i="30"/>
  <c r="D23" i="30"/>
  <c r="C31" i="30"/>
  <c r="F32" i="30"/>
  <c r="D32" i="30"/>
  <c r="G31" i="30"/>
  <c r="B32" i="30"/>
  <c r="E31" i="30"/>
  <c r="G32" i="30"/>
  <c r="B31" i="30"/>
  <c r="D31" i="30"/>
  <c r="F31" i="30"/>
  <c r="C32" i="30"/>
  <c r="E32" i="30"/>
  <c r="B23" i="30"/>
  <c r="H25" i="30"/>
  <c r="I25" i="30"/>
  <c r="M31" i="30"/>
  <c r="G36" i="29"/>
  <c r="C9" i="29"/>
  <c r="C15" i="29" s="1"/>
  <c r="G7" i="29"/>
  <c r="C13" i="29"/>
  <c r="C27" i="29"/>
  <c r="C65" i="29" s="1"/>
  <c r="G19" i="29"/>
  <c r="G21" i="29"/>
  <c r="G23" i="29"/>
  <c r="G25" i="29"/>
  <c r="C38" i="29"/>
  <c r="G31" i="29"/>
  <c r="G33" i="29"/>
  <c r="G78" i="29"/>
  <c r="B5" i="29"/>
  <c r="D5" i="29"/>
  <c r="L5" i="29"/>
  <c r="B6" i="29"/>
  <c r="D6" i="29"/>
  <c r="L6" i="29"/>
  <c r="N6" i="29" s="1"/>
  <c r="B7" i="29"/>
  <c r="D7" i="29"/>
  <c r="L7" i="29"/>
  <c r="N7" i="29" s="1"/>
  <c r="B8" i="29"/>
  <c r="D8" i="29"/>
  <c r="L8" i="29"/>
  <c r="N8" i="29" s="1"/>
  <c r="B11" i="29"/>
  <c r="D11" i="29"/>
  <c r="L11" i="29"/>
  <c r="B12" i="29"/>
  <c r="F12" i="29" s="1"/>
  <c r="H12" i="29" s="1"/>
  <c r="D12" i="29"/>
  <c r="L12" i="29"/>
  <c r="N12" i="29" s="1"/>
  <c r="B17" i="29"/>
  <c r="D17" i="29"/>
  <c r="L17" i="29"/>
  <c r="B18" i="29"/>
  <c r="F18" i="29" s="1"/>
  <c r="D18" i="29"/>
  <c r="L18" i="29"/>
  <c r="N18" i="29" s="1"/>
  <c r="B19" i="29"/>
  <c r="D19" i="29"/>
  <c r="L19" i="29"/>
  <c r="N19" i="29" s="1"/>
  <c r="B20" i="29"/>
  <c r="F20" i="29" s="1"/>
  <c r="H20" i="29" s="1"/>
  <c r="D20" i="29"/>
  <c r="L20" i="29"/>
  <c r="N20" i="29" s="1"/>
  <c r="B21" i="29"/>
  <c r="D21" i="29"/>
  <c r="L21" i="29"/>
  <c r="N21" i="29" s="1"/>
  <c r="B22" i="29"/>
  <c r="F22" i="29" s="1"/>
  <c r="D22" i="29"/>
  <c r="L22" i="29"/>
  <c r="N22" i="29" s="1"/>
  <c r="B23" i="29"/>
  <c r="D23" i="29"/>
  <c r="L23" i="29"/>
  <c r="N23" i="29" s="1"/>
  <c r="B24" i="29"/>
  <c r="F24" i="29" s="1"/>
  <c r="H24" i="29" s="1"/>
  <c r="D24" i="29"/>
  <c r="L24" i="29"/>
  <c r="N24" i="29" s="1"/>
  <c r="B25" i="29"/>
  <c r="D25" i="29"/>
  <c r="L25" i="29"/>
  <c r="N25" i="29" s="1"/>
  <c r="B26" i="29"/>
  <c r="F26" i="29" s="1"/>
  <c r="D26" i="29"/>
  <c r="L26" i="29"/>
  <c r="N26" i="29" s="1"/>
  <c r="B29" i="29"/>
  <c r="D29" i="29"/>
  <c r="L29" i="29"/>
  <c r="B30" i="29"/>
  <c r="F30" i="29" s="1"/>
  <c r="H30" i="29" s="1"/>
  <c r="D30" i="29"/>
  <c r="L30" i="29"/>
  <c r="N30" i="29" s="1"/>
  <c r="B31" i="29"/>
  <c r="D31" i="29"/>
  <c r="L31" i="29"/>
  <c r="N31" i="29" s="1"/>
  <c r="B32" i="29"/>
  <c r="F32" i="29" s="1"/>
  <c r="H32" i="29" s="1"/>
  <c r="D32" i="29"/>
  <c r="L32" i="29"/>
  <c r="N32" i="29" s="1"/>
  <c r="B33" i="29"/>
  <c r="D33" i="29"/>
  <c r="L33" i="29"/>
  <c r="N33" i="29" s="1"/>
  <c r="B34" i="29"/>
  <c r="F34" i="29" s="1"/>
  <c r="H34" i="29" s="1"/>
  <c r="D34" i="29"/>
  <c r="L34" i="29"/>
  <c r="N34" i="29" s="1"/>
  <c r="B35" i="29"/>
  <c r="D35" i="29"/>
  <c r="L35" i="29"/>
  <c r="N35" i="29" s="1"/>
  <c r="B36" i="29"/>
  <c r="D36" i="29"/>
  <c r="L36" i="29"/>
  <c r="N36" i="29" s="1"/>
  <c r="B37" i="29"/>
  <c r="D37" i="29"/>
  <c r="L37" i="29"/>
  <c r="N37" i="29" s="1"/>
  <c r="B76" i="29"/>
  <c r="B77" i="29" s="1"/>
  <c r="D76" i="29"/>
  <c r="B78" i="29"/>
  <c r="F78" i="29" s="1"/>
  <c r="G13" i="29"/>
  <c r="C66" i="29"/>
  <c r="E66" i="29"/>
  <c r="F79" i="29"/>
  <c r="G77" i="29"/>
  <c r="M15" i="29"/>
  <c r="G65" i="29"/>
  <c r="H26" i="29"/>
  <c r="G5" i="29"/>
  <c r="N5" i="29"/>
  <c r="G11" i="29"/>
  <c r="N11" i="29"/>
  <c r="N13" i="29" s="1"/>
  <c r="G17" i="29"/>
  <c r="N17" i="29"/>
  <c r="F29" i="29"/>
  <c r="G76" i="29"/>
  <c r="D77" i="29"/>
  <c r="F5" i="29"/>
  <c r="F11" i="29"/>
  <c r="H11" i="29" s="1"/>
  <c r="H13" i="29" s="1"/>
  <c r="F17" i="29"/>
  <c r="G29" i="29"/>
  <c r="N29" i="29"/>
  <c r="Q90" i="30"/>
  <c r="Q75" i="30"/>
  <c r="Q74" i="30"/>
  <c r="Q73" i="30"/>
  <c r="Q72" i="30"/>
  <c r="Q71" i="30"/>
  <c r="G18" i="29" l="1"/>
  <c r="H18" i="29"/>
  <c r="M38" i="29"/>
  <c r="E9" i="29"/>
  <c r="E15" i="29" s="1"/>
  <c r="E64" i="29" s="1"/>
  <c r="P59" i="13"/>
  <c r="C96" i="11"/>
  <c r="H96" i="11" s="1"/>
  <c r="G38" i="29"/>
  <c r="G27" i="29"/>
  <c r="M41" i="29"/>
  <c r="M27" i="29"/>
  <c r="G8" i="29"/>
  <c r="G22" i="29"/>
  <c r="H22" i="29" s="1"/>
  <c r="C64" i="29"/>
  <c r="C41" i="29"/>
  <c r="P54" i="23"/>
  <c r="P58" i="22"/>
  <c r="P58" i="21"/>
  <c r="Q68" i="30"/>
  <c r="Q77" i="30"/>
  <c r="Q85" i="30"/>
  <c r="Q87" i="30"/>
  <c r="Q80" i="30"/>
  <c r="Q79" i="30"/>
  <c r="Q81" i="30"/>
  <c r="Q83" i="30"/>
  <c r="Q84" i="30"/>
  <c r="Q86" i="30"/>
  <c r="I31" i="30"/>
  <c r="Q70" i="30"/>
  <c r="Q78" i="30"/>
  <c r="Q82" i="30"/>
  <c r="Q69" i="30"/>
  <c r="Q76" i="30"/>
  <c r="E30" i="30"/>
  <c r="E33" i="30" s="1"/>
  <c r="F30" i="30"/>
  <c r="D30" i="30"/>
  <c r="D26" i="30" s="1"/>
  <c r="H32" i="30"/>
  <c r="B30" i="30"/>
  <c r="B33" i="30" s="1"/>
  <c r="G30" i="30"/>
  <c r="I32" i="30"/>
  <c r="C30" i="30"/>
  <c r="H31" i="30"/>
  <c r="Q88" i="30"/>
  <c r="Q89" i="30"/>
  <c r="H23" i="30"/>
  <c r="F7" i="29"/>
  <c r="H7" i="29" s="1"/>
  <c r="G66" i="29"/>
  <c r="F36" i="29"/>
  <c r="H36" i="29" s="1"/>
  <c r="B79" i="29"/>
  <c r="B80" i="29" s="1"/>
  <c r="N38" i="29"/>
  <c r="H76" i="29"/>
  <c r="F76" i="29"/>
  <c r="F37" i="29"/>
  <c r="H37" i="29" s="1"/>
  <c r="F35" i="29"/>
  <c r="H35" i="29" s="1"/>
  <c r="F33" i="29"/>
  <c r="H33" i="29" s="1"/>
  <c r="F31" i="29"/>
  <c r="H31" i="29" s="1"/>
  <c r="L38" i="29"/>
  <c r="B38" i="29"/>
  <c r="F25" i="29"/>
  <c r="H25" i="29" s="1"/>
  <c r="F23" i="29"/>
  <c r="H23" i="29" s="1"/>
  <c r="F21" i="29"/>
  <c r="H21" i="29" s="1"/>
  <c r="F19" i="29"/>
  <c r="H19" i="29" s="1"/>
  <c r="L27" i="29"/>
  <c r="B27" i="29"/>
  <c r="L13" i="29"/>
  <c r="B13" i="29"/>
  <c r="L9" i="29"/>
  <c r="B9" i="29"/>
  <c r="B10" i="29" s="1"/>
  <c r="D38" i="29"/>
  <c r="D27" i="29"/>
  <c r="D13" i="29"/>
  <c r="F8" i="29"/>
  <c r="H8" i="29" s="1"/>
  <c r="F6" i="29"/>
  <c r="H6" i="29" s="1"/>
  <c r="D9" i="29"/>
  <c r="D10" i="29" s="1"/>
  <c r="H78" i="29"/>
  <c r="D79" i="29"/>
  <c r="D80" i="29" s="1"/>
  <c r="F77" i="29"/>
  <c r="G79" i="29" s="1"/>
  <c r="H29" i="29"/>
  <c r="H5" i="29"/>
  <c r="G9" i="29"/>
  <c r="G15" i="29" s="1"/>
  <c r="G41" i="29" s="1"/>
  <c r="E67" i="29"/>
  <c r="G64" i="29"/>
  <c r="G67" i="29" s="1"/>
  <c r="H17" i="29"/>
  <c r="H79" i="29"/>
  <c r="E41" i="29"/>
  <c r="C67" i="29"/>
  <c r="H77" i="29" l="1"/>
  <c r="H38" i="29"/>
  <c r="F38" i="29"/>
  <c r="F27" i="29"/>
  <c r="I30" i="30"/>
  <c r="I33" i="30" s="1"/>
  <c r="D33" i="30"/>
  <c r="D29" i="30"/>
  <c r="D34" i="30" s="1"/>
  <c r="E26" i="30"/>
  <c r="F29" i="30"/>
  <c r="F34" i="30" s="1"/>
  <c r="H30" i="30"/>
  <c r="F33" i="30"/>
  <c r="F26" i="30"/>
  <c r="B26" i="30"/>
  <c r="B29" i="30"/>
  <c r="B34" i="30" s="1"/>
  <c r="G33" i="30"/>
  <c r="G26" i="30"/>
  <c r="I26" i="30"/>
  <c r="C33" i="30"/>
  <c r="C26" i="30"/>
  <c r="E41" i="30"/>
  <c r="C37" i="30"/>
  <c r="G37" i="30"/>
  <c r="B39" i="30"/>
  <c r="F39" i="30"/>
  <c r="J39" i="30"/>
  <c r="D41" i="30"/>
  <c r="B37" i="30"/>
  <c r="F37" i="30"/>
  <c r="J37" i="30"/>
  <c r="E39" i="30"/>
  <c r="I39" i="30"/>
  <c r="C41" i="30"/>
  <c r="G41" i="30"/>
  <c r="E37" i="30"/>
  <c r="I37" i="30"/>
  <c r="D39" i="30"/>
  <c r="H39" i="30"/>
  <c r="B41" i="30"/>
  <c r="F41" i="30"/>
  <c r="D37" i="30"/>
  <c r="H37" i="30"/>
  <c r="C39" i="30"/>
  <c r="G39" i="30"/>
  <c r="K39" i="30"/>
  <c r="D28" i="29"/>
  <c r="D65" i="29"/>
  <c r="B15" i="29"/>
  <c r="F13" i="29"/>
  <c r="B14" i="29"/>
  <c r="B65" i="29"/>
  <c r="B28" i="29"/>
  <c r="B41" i="29"/>
  <c r="B42" i="29" s="1"/>
  <c r="B66" i="29"/>
  <c r="B39" i="29"/>
  <c r="F9" i="29"/>
  <c r="H9" i="29" s="1"/>
  <c r="H15" i="29" s="1"/>
  <c r="D14" i="29"/>
  <c r="D15" i="29"/>
  <c r="D66" i="29"/>
  <c r="D39" i="29"/>
  <c r="L10" i="29"/>
  <c r="L15" i="29" s="1"/>
  <c r="N9" i="29"/>
  <c r="N15" i="29" s="1"/>
  <c r="L14" i="29"/>
  <c r="L28" i="29"/>
  <c r="N27" i="29"/>
  <c r="L39" i="29"/>
  <c r="F10" i="29"/>
  <c r="F39" i="29"/>
  <c r="G80" i="29"/>
  <c r="F28" i="29" l="1"/>
  <c r="H27" i="29"/>
  <c r="H41" i="29" s="1"/>
  <c r="H29" i="30"/>
  <c r="H34" i="30" s="1"/>
  <c r="H33" i="30"/>
  <c r="H26" i="30"/>
  <c r="N37" i="30"/>
  <c r="N39" i="30"/>
  <c r="N41" i="30"/>
  <c r="L16" i="29"/>
  <c r="L41" i="29"/>
  <c r="L42" i="29" s="1"/>
  <c r="C46" i="29" s="1"/>
  <c r="N28" i="29"/>
  <c r="N41" i="29"/>
  <c r="D16" i="29"/>
  <c r="D64" i="29"/>
  <c r="D41" i="29"/>
  <c r="D42" i="29" s="1"/>
  <c r="B64" i="29"/>
  <c r="B67" i="29" s="1"/>
  <c r="B68" i="29" s="1"/>
  <c r="B16" i="29"/>
  <c r="F66" i="29"/>
  <c r="H66" i="29" s="1"/>
  <c r="D67" i="29"/>
  <c r="D68" i="29" s="1"/>
  <c r="F15" i="29"/>
  <c r="F14" i="29"/>
  <c r="E46" i="29"/>
  <c r="G46" i="29" s="1"/>
  <c r="F65" i="29"/>
  <c r="H65" i="29" s="1"/>
  <c r="F16" i="29" l="1"/>
  <c r="F41" i="29"/>
  <c r="F42" i="29" s="1"/>
  <c r="F64" i="29"/>
  <c r="F67" i="29" l="1"/>
  <c r="F68" i="29" s="1"/>
  <c r="H64" i="29"/>
  <c r="H67" i="29" s="1"/>
  <c r="C15" i="28" l="1"/>
  <c r="C16" i="28" l="1"/>
  <c r="C17" i="28"/>
  <c r="C18" i="28"/>
  <c r="C19" i="28"/>
  <c r="C20" i="28"/>
  <c r="C21" i="28"/>
  <c r="C22" i="28"/>
  <c r="C23" i="28"/>
  <c r="C24" i="28"/>
  <c r="C25" i="28"/>
  <c r="C26" i="28"/>
  <c r="C27" i="28"/>
  <c r="C28" i="28"/>
  <c r="B15" i="28"/>
  <c r="O1415" i="19"/>
  <c r="O1383" i="19"/>
  <c r="O1351" i="19"/>
  <c r="O1255" i="19"/>
  <c r="O1159" i="19"/>
  <c r="O1127" i="19"/>
  <c r="O1063" i="19"/>
  <c r="O1031" i="19"/>
  <c r="O807" i="19"/>
  <c r="O775" i="19"/>
  <c r="O743" i="19"/>
  <c r="O711" i="19"/>
  <c r="O1319" i="19"/>
  <c r="O1287" i="19"/>
  <c r="O903" i="19"/>
  <c r="O871" i="19"/>
  <c r="O839" i="19"/>
  <c r="M892" i="19" l="1"/>
  <c r="M860" i="19"/>
  <c r="H43" i="11" l="1"/>
  <c r="J35" i="11"/>
  <c r="I42" i="11" l="1"/>
  <c r="K51" i="11"/>
  <c r="B28" i="28" l="1"/>
  <c r="B24" i="28"/>
  <c r="B20" i="28"/>
  <c r="B19" i="28"/>
  <c r="B17" i="28"/>
  <c r="B16" i="28"/>
  <c r="B18" i="28" l="1"/>
  <c r="B21" i="28"/>
  <c r="B23" i="28"/>
  <c r="B25" i="28"/>
  <c r="B27" i="28"/>
  <c r="B22" i="28"/>
  <c r="B26" i="28"/>
  <c r="M1340" i="19" l="1"/>
  <c r="M1308" i="19"/>
  <c r="M1244" i="19"/>
  <c r="M1212" i="19"/>
  <c r="M1180" i="19"/>
  <c r="M1148" i="19"/>
  <c r="M1116" i="19"/>
  <c r="M1052" i="19"/>
  <c r="M1020" i="19"/>
  <c r="M988" i="19"/>
  <c r="M956" i="19"/>
  <c r="M924" i="19"/>
  <c r="M796" i="19"/>
  <c r="M764" i="19"/>
  <c r="M700" i="19"/>
  <c r="M636" i="19"/>
  <c r="M604" i="19"/>
  <c r="M572" i="19"/>
  <c r="M540" i="19"/>
  <c r="M508" i="19"/>
  <c r="M476" i="19"/>
  <c r="M444" i="19"/>
  <c r="M412" i="19"/>
  <c r="M380" i="19"/>
  <c r="M252" i="19"/>
  <c r="M220" i="19"/>
  <c r="M188" i="19"/>
  <c r="M124" i="19"/>
  <c r="M92" i="19"/>
  <c r="M60" i="19"/>
  <c r="M28" i="19"/>
  <c r="K34" i="11" l="1"/>
  <c r="AC62" i="11" l="1"/>
  <c r="AC60" i="11"/>
  <c r="AC63" i="11" l="1"/>
  <c r="AC64" i="11"/>
  <c r="AC65" i="11"/>
  <c r="AC66" i="11"/>
  <c r="AB4" i="19" l="1"/>
  <c r="AE4" i="19" s="1"/>
  <c r="AE5" i="19" s="1"/>
  <c r="E10" i="28" l="1"/>
  <c r="Q1774" i="19"/>
  <c r="O1767" i="19"/>
  <c r="Q1742" i="19"/>
  <c r="O1735" i="19"/>
  <c r="Q1710" i="19"/>
  <c r="O1703" i="19"/>
  <c r="Q1678" i="19"/>
  <c r="O1671" i="19"/>
  <c r="Q1646" i="19"/>
  <c r="O1639" i="19"/>
  <c r="Q1614" i="19"/>
  <c r="O1607" i="19"/>
  <c r="Q1582" i="19"/>
  <c r="O1575" i="19"/>
  <c r="Q1550" i="19"/>
  <c r="O1543" i="19"/>
  <c r="Q1518" i="19"/>
  <c r="O1511" i="19"/>
  <c r="Q1486" i="19"/>
  <c r="O1479" i="19"/>
  <c r="O1447" i="19"/>
  <c r="Q1422" i="19"/>
  <c r="Q1389" i="19"/>
  <c r="Q1357" i="19"/>
  <c r="O1350" i="19"/>
  <c r="Q1325" i="19"/>
  <c r="O1318" i="19"/>
  <c r="O1288" i="19"/>
  <c r="Q1223" i="19"/>
  <c r="Q1198" i="19"/>
  <c r="O1191" i="19"/>
  <c r="Q1166" i="19"/>
  <c r="Q1134" i="19"/>
  <c r="Q1102" i="19"/>
  <c r="O1095" i="19"/>
  <c r="Q1070" i="19"/>
  <c r="Q1038" i="19"/>
  <c r="Q1006" i="19"/>
  <c r="O999" i="19"/>
  <c r="Q974" i="19"/>
  <c r="O967" i="19"/>
  <c r="Q942" i="19"/>
  <c r="O935" i="19"/>
  <c r="Q910" i="19"/>
  <c r="Q814" i="19"/>
  <c r="Q782" i="19"/>
  <c r="Q750" i="19"/>
  <c r="Q718" i="19"/>
  <c r="Q686" i="19"/>
  <c r="O679" i="19"/>
  <c r="Q654" i="19"/>
  <c r="O647" i="19"/>
  <c r="Q622" i="19"/>
  <c r="O615" i="19"/>
  <c r="Q590" i="19"/>
  <c r="O583" i="19"/>
  <c r="Q558" i="19"/>
  <c r="O551" i="19"/>
  <c r="Q526" i="19"/>
  <c r="O519" i="19"/>
  <c r="Q494" i="19"/>
  <c r="O487" i="19"/>
  <c r="Q462" i="19"/>
  <c r="O455" i="19"/>
  <c r="Q430" i="19"/>
  <c r="O423" i="19"/>
  <c r="Q398" i="19"/>
  <c r="O391" i="19"/>
  <c r="Q366" i="19"/>
  <c r="O359" i="19"/>
  <c r="Q334" i="19"/>
  <c r="O327" i="19"/>
  <c r="Q302" i="19"/>
  <c r="O295" i="19"/>
  <c r="Q270" i="19"/>
  <c r="O263" i="19"/>
  <c r="Q238" i="19"/>
  <c r="O231" i="19"/>
  <c r="Q206" i="19"/>
  <c r="O199" i="19"/>
  <c r="Q174" i="19"/>
  <c r="O167" i="19"/>
  <c r="Q142" i="19"/>
  <c r="O135" i="19"/>
  <c r="Q111" i="19"/>
  <c r="O103" i="19"/>
  <c r="Q79" i="19"/>
  <c r="O71" i="19"/>
  <c r="Q47" i="19"/>
  <c r="O39" i="19"/>
  <c r="Q14" i="19"/>
  <c r="O7" i="19"/>
  <c r="AG52" i="20" l="1"/>
  <c r="U51" i="20"/>
  <c r="T51" i="20"/>
  <c r="P51" i="20"/>
  <c r="AF51" i="20" s="1"/>
  <c r="AF52" i="20" s="1"/>
  <c r="U49" i="20"/>
  <c r="T49" i="20"/>
  <c r="P49" i="20"/>
  <c r="AE49" i="20" s="1"/>
  <c r="AE50" i="20" s="1"/>
  <c r="AG48" i="20"/>
  <c r="AG49" i="20" s="1"/>
  <c r="AG50" i="20" s="1"/>
  <c r="U47" i="20"/>
  <c r="T47" i="20"/>
  <c r="P47" i="20"/>
  <c r="R48" i="20" s="1"/>
  <c r="U45" i="20"/>
  <c r="T45" i="20"/>
  <c r="P45" i="20"/>
  <c r="R46" i="20" s="1"/>
  <c r="U43" i="20"/>
  <c r="T43" i="20"/>
  <c r="P43" i="20"/>
  <c r="AG43" i="20" s="1"/>
  <c r="AG42" i="20"/>
  <c r="U41" i="20"/>
  <c r="T41" i="20"/>
  <c r="P41" i="20"/>
  <c r="R42" i="20" s="1"/>
  <c r="U39" i="20"/>
  <c r="T39" i="20"/>
  <c r="P39" i="20"/>
  <c r="R40" i="20" s="1"/>
  <c r="AG38" i="20"/>
  <c r="AG39" i="20" s="1"/>
  <c r="AG40" i="20" s="1"/>
  <c r="U37" i="20"/>
  <c r="T37" i="20"/>
  <c r="P37" i="20"/>
  <c r="AF37" i="20" s="1"/>
  <c r="AF38" i="20" s="1"/>
  <c r="U35" i="20"/>
  <c r="T35" i="20"/>
  <c r="P35" i="20"/>
  <c r="AE35" i="20" s="1"/>
  <c r="AE36" i="20" s="1"/>
  <c r="U33" i="20"/>
  <c r="T33" i="20"/>
  <c r="P33" i="20"/>
  <c r="R34" i="20" s="1"/>
  <c r="AG32" i="20"/>
  <c r="U31" i="20"/>
  <c r="T31" i="20"/>
  <c r="P31" i="20"/>
  <c r="AF33" i="20" s="1"/>
  <c r="AF34" i="20" s="1"/>
  <c r="U29" i="20"/>
  <c r="T29" i="20"/>
  <c r="P29" i="20"/>
  <c r="AE29" i="20" s="1"/>
  <c r="AE30" i="20" s="1"/>
  <c r="AG28" i="20"/>
  <c r="AG29" i="20" s="1"/>
  <c r="AG30" i="20" s="1"/>
  <c r="U27" i="20"/>
  <c r="T27" i="20"/>
  <c r="P27" i="20"/>
  <c r="R28" i="20" s="1"/>
  <c r="U25" i="20"/>
  <c r="T25" i="20"/>
  <c r="P25" i="20"/>
  <c r="R26" i="20" s="1"/>
  <c r="U23" i="20"/>
  <c r="T23" i="20"/>
  <c r="P23" i="20"/>
  <c r="AG23" i="20" s="1"/>
  <c r="AG22" i="20"/>
  <c r="U21" i="20"/>
  <c r="T21" i="20"/>
  <c r="P21" i="20"/>
  <c r="R22" i="20" s="1"/>
  <c r="U19" i="20"/>
  <c r="T19" i="20"/>
  <c r="P19" i="20"/>
  <c r="R20" i="20" s="1"/>
  <c r="AG18" i="20"/>
  <c r="AG19" i="20" s="1"/>
  <c r="AG20" i="20" s="1"/>
  <c r="U17" i="20"/>
  <c r="T17" i="20"/>
  <c r="S17" i="20"/>
  <c r="P17" i="20"/>
  <c r="AF17" i="20" s="1"/>
  <c r="AF18" i="20" s="1"/>
  <c r="U15" i="20"/>
  <c r="T15" i="20"/>
  <c r="P15" i="20"/>
  <c r="U13" i="20"/>
  <c r="T13" i="20"/>
  <c r="P13" i="20"/>
  <c r="R14" i="20" s="1"/>
  <c r="AG12" i="20"/>
  <c r="U11" i="20"/>
  <c r="T11" i="20"/>
  <c r="P11" i="20"/>
  <c r="R12" i="20" s="1"/>
  <c r="U9" i="20"/>
  <c r="T9" i="20"/>
  <c r="P9" i="20"/>
  <c r="R10" i="20" s="1"/>
  <c r="AG8" i="20"/>
  <c r="AG9" i="20" s="1"/>
  <c r="AG10" i="20" s="1"/>
  <c r="U7" i="20"/>
  <c r="T7" i="20"/>
  <c r="P7" i="20"/>
  <c r="AF7" i="20" s="1"/>
  <c r="AF8" i="20" s="1"/>
  <c r="U5" i="20"/>
  <c r="T5" i="20"/>
  <c r="P5" i="20"/>
  <c r="AE5" i="20" s="1"/>
  <c r="AE6" i="20" s="1"/>
  <c r="U3" i="20"/>
  <c r="T3" i="20"/>
  <c r="P3" i="20"/>
  <c r="R4" i="20" s="1"/>
  <c r="J1235" i="20"/>
  <c r="J1204" i="20"/>
  <c r="J1173" i="20"/>
  <c r="J1142" i="20"/>
  <c r="J1111" i="20"/>
  <c r="J1080" i="20"/>
  <c r="J1049" i="20"/>
  <c r="J1018" i="20"/>
  <c r="J987" i="20"/>
  <c r="J956" i="20"/>
  <c r="J925" i="20"/>
  <c r="J894" i="20"/>
  <c r="J863" i="20"/>
  <c r="J832" i="20"/>
  <c r="J801" i="20"/>
  <c r="J770" i="20"/>
  <c r="J739" i="20"/>
  <c r="E729" i="20"/>
  <c r="C729" i="20"/>
  <c r="K728" i="20"/>
  <c r="I728" i="20"/>
  <c r="G728" i="20"/>
  <c r="E728" i="20"/>
  <c r="C728" i="20"/>
  <c r="K727" i="20"/>
  <c r="I727" i="20"/>
  <c r="G727" i="20"/>
  <c r="E727" i="20"/>
  <c r="C727" i="20"/>
  <c r="K725" i="20"/>
  <c r="I725" i="20"/>
  <c r="G725" i="20"/>
  <c r="E725" i="20"/>
  <c r="K724" i="20"/>
  <c r="I724" i="20"/>
  <c r="G724" i="20"/>
  <c r="E724" i="20"/>
  <c r="C724" i="20"/>
  <c r="K723" i="20"/>
  <c r="I723" i="20"/>
  <c r="G723" i="20"/>
  <c r="E723" i="20"/>
  <c r="C723" i="20"/>
  <c r="K722" i="20"/>
  <c r="I722" i="20"/>
  <c r="G722" i="20"/>
  <c r="E722" i="20"/>
  <c r="C722" i="20"/>
  <c r="N719" i="20"/>
  <c r="I719" i="20"/>
  <c r="N688" i="20"/>
  <c r="N657" i="20"/>
  <c r="N626" i="20"/>
  <c r="N595" i="20"/>
  <c r="N564" i="20"/>
  <c r="N533" i="20"/>
  <c r="J524" i="20"/>
  <c r="N502" i="20"/>
  <c r="J493" i="20"/>
  <c r="N471" i="20"/>
  <c r="J462" i="20"/>
  <c r="N440" i="20"/>
  <c r="J431" i="20"/>
  <c r="N409" i="20"/>
  <c r="J400" i="20"/>
  <c r="N378" i="20"/>
  <c r="J369" i="20"/>
  <c r="N347" i="20"/>
  <c r="J338" i="20"/>
  <c r="N316" i="20"/>
  <c r="J307" i="20"/>
  <c r="N285" i="20"/>
  <c r="J276" i="20"/>
  <c r="N254" i="20"/>
  <c r="J245" i="20"/>
  <c r="N223" i="20"/>
  <c r="J214" i="20"/>
  <c r="N192" i="20"/>
  <c r="J183" i="20"/>
  <c r="N161" i="20"/>
  <c r="J152" i="20"/>
  <c r="N130" i="20"/>
  <c r="J121" i="20"/>
  <c r="N99" i="20"/>
  <c r="J90" i="20"/>
  <c r="N68" i="20"/>
  <c r="J59" i="20"/>
  <c r="N39" i="20"/>
  <c r="J28" i="20"/>
  <c r="E18" i="20"/>
  <c r="C18" i="20"/>
  <c r="K17" i="20"/>
  <c r="I17" i="20"/>
  <c r="G17" i="20"/>
  <c r="E17" i="20"/>
  <c r="C17" i="20"/>
  <c r="K16" i="20"/>
  <c r="I16" i="20"/>
  <c r="G16" i="20"/>
  <c r="E16" i="20"/>
  <c r="C16" i="20"/>
  <c r="K14" i="20"/>
  <c r="I14" i="20"/>
  <c r="G14" i="20"/>
  <c r="E14" i="20"/>
  <c r="K13" i="20"/>
  <c r="I13" i="20"/>
  <c r="G13" i="20"/>
  <c r="E13" i="20"/>
  <c r="C13" i="20"/>
  <c r="K12" i="20"/>
  <c r="I12" i="20"/>
  <c r="G12" i="20"/>
  <c r="E12" i="20"/>
  <c r="C12" i="20"/>
  <c r="K11" i="20"/>
  <c r="I11" i="20"/>
  <c r="G11" i="20"/>
  <c r="E11" i="20"/>
  <c r="C11" i="20"/>
  <c r="I8" i="20"/>
  <c r="N6" i="20"/>
  <c r="AB122" i="19"/>
  <c r="AB120" i="19"/>
  <c r="AB118" i="19"/>
  <c r="AB116" i="19"/>
  <c r="AB114" i="19"/>
  <c r="AB112" i="19"/>
  <c r="AB110" i="19"/>
  <c r="AB108" i="19"/>
  <c r="AB106" i="19"/>
  <c r="AB104" i="19"/>
  <c r="AB102" i="19"/>
  <c r="AB100" i="19"/>
  <c r="AB98" i="19"/>
  <c r="AB96" i="19"/>
  <c r="AB94" i="19"/>
  <c r="AB92" i="19"/>
  <c r="AB90" i="19"/>
  <c r="AB88" i="19"/>
  <c r="AB86" i="19"/>
  <c r="AB84" i="19"/>
  <c r="AB82" i="19"/>
  <c r="AB80" i="19"/>
  <c r="AB78" i="19"/>
  <c r="AB76" i="19"/>
  <c r="AB74" i="19"/>
  <c r="AB72" i="19"/>
  <c r="AB70" i="19"/>
  <c r="AB68" i="19"/>
  <c r="AB66" i="19"/>
  <c r="AB64" i="19"/>
  <c r="AB62" i="19"/>
  <c r="AB60" i="19"/>
  <c r="AB58" i="19"/>
  <c r="AB56" i="19"/>
  <c r="AB54" i="19"/>
  <c r="AB52" i="19"/>
  <c r="AB50" i="19"/>
  <c r="AB48" i="19"/>
  <c r="AB46" i="19"/>
  <c r="AB44" i="19"/>
  <c r="AB42" i="19"/>
  <c r="AB40" i="19"/>
  <c r="AB38" i="19"/>
  <c r="AB36" i="19"/>
  <c r="AB34" i="19"/>
  <c r="AB32" i="19"/>
  <c r="AB30" i="19"/>
  <c r="AB28" i="19"/>
  <c r="AB26" i="19"/>
  <c r="AB24" i="19"/>
  <c r="AB22" i="19"/>
  <c r="AB20" i="19"/>
  <c r="AB18" i="19"/>
  <c r="AB16" i="19"/>
  <c r="AB14" i="19"/>
  <c r="AB12" i="19"/>
  <c r="AB10" i="19"/>
  <c r="AB8" i="19"/>
  <c r="AB6" i="19"/>
  <c r="AO4" i="19"/>
  <c r="AO5" i="19" s="1"/>
  <c r="AC45" i="20" l="1"/>
  <c r="AC46" i="20" s="1"/>
  <c r="S45" i="20"/>
  <c r="AC17" i="20"/>
  <c r="AC18" i="20" s="1"/>
  <c r="S33" i="20"/>
  <c r="AC33" i="20"/>
  <c r="AC34" i="20" s="1"/>
  <c r="S39" i="20"/>
  <c r="AC39" i="20"/>
  <c r="AC40" i="20" s="1"/>
  <c r="Y45" i="20"/>
  <c r="Y46" i="20" s="1"/>
  <c r="S51" i="20"/>
  <c r="AC51" i="20"/>
  <c r="AC52" i="20" s="1"/>
  <c r="S5" i="20"/>
  <c r="Y17" i="20"/>
  <c r="Y18" i="20" s="1"/>
  <c r="R18" i="20"/>
  <c r="Y33" i="20"/>
  <c r="Y34" i="20" s="1"/>
  <c r="AG33" i="20"/>
  <c r="AG35" i="20" s="1"/>
  <c r="AG36" i="20" s="1"/>
  <c r="Y39" i="20"/>
  <c r="Y40" i="20" s="1"/>
  <c r="Y51" i="20"/>
  <c r="Y52" i="20" s="1"/>
  <c r="R52" i="20"/>
  <c r="W13" i="20"/>
  <c r="W14" i="20" s="1"/>
  <c r="AA13" i="20"/>
  <c r="AA14" i="20" s="1"/>
  <c r="AE13" i="20"/>
  <c r="AE14" i="20" s="1"/>
  <c r="W19" i="20"/>
  <c r="W20" i="20" s="1"/>
  <c r="AA19" i="20"/>
  <c r="AA20" i="20" s="1"/>
  <c r="AE19" i="20"/>
  <c r="AE20" i="20" s="1"/>
  <c r="W25" i="20"/>
  <c r="W26" i="20" s="1"/>
  <c r="AA25" i="20"/>
  <c r="AA26" i="20" s="1"/>
  <c r="AE25" i="20"/>
  <c r="AE26" i="20" s="1"/>
  <c r="W31" i="20"/>
  <c r="W32" i="20" s="1"/>
  <c r="AA31" i="20"/>
  <c r="AA32" i="20" s="1"/>
  <c r="AE31" i="20"/>
  <c r="AE32" i="20" s="1"/>
  <c r="W37" i="20"/>
  <c r="W38" i="20" s="1"/>
  <c r="AA37" i="20"/>
  <c r="AA38" i="20" s="1"/>
  <c r="AE37" i="20"/>
  <c r="AE38" i="20" s="1"/>
  <c r="S13" i="20"/>
  <c r="Y13" i="20"/>
  <c r="Y14" i="20" s="1"/>
  <c r="AC13" i="20"/>
  <c r="AC14" i="20" s="1"/>
  <c r="AG13" i="20"/>
  <c r="AG15" i="20" s="1"/>
  <c r="AG16" i="20" s="1"/>
  <c r="W17" i="20"/>
  <c r="W18" i="20" s="1"/>
  <c r="AA17" i="20"/>
  <c r="AA18" i="20" s="1"/>
  <c r="AE17" i="20"/>
  <c r="AE18" i="20" s="1"/>
  <c r="S19" i="20"/>
  <c r="Y19" i="20"/>
  <c r="Y20" i="20" s="1"/>
  <c r="AC19" i="20"/>
  <c r="AC20" i="20" s="1"/>
  <c r="S25" i="20"/>
  <c r="Y25" i="20"/>
  <c r="Y26" i="20" s="1"/>
  <c r="AC25" i="20"/>
  <c r="AC26" i="20" s="1"/>
  <c r="S31" i="20"/>
  <c r="Y31" i="20"/>
  <c r="Y32" i="20" s="1"/>
  <c r="AC31" i="20"/>
  <c r="AC32" i="20" s="1"/>
  <c r="R32" i="20"/>
  <c r="W33" i="20"/>
  <c r="W34" i="20" s="1"/>
  <c r="AA33" i="20"/>
  <c r="AA34" i="20" s="1"/>
  <c r="AE33" i="20"/>
  <c r="AE34" i="20" s="1"/>
  <c r="S37" i="20"/>
  <c r="Y37" i="20"/>
  <c r="Y38" i="20" s="1"/>
  <c r="AC37" i="20"/>
  <c r="AC38" i="20" s="1"/>
  <c r="R38" i="20"/>
  <c r="W39" i="20"/>
  <c r="W40" i="20" s="1"/>
  <c r="AA39" i="20"/>
  <c r="AA40" i="20" s="1"/>
  <c r="AE39" i="20"/>
  <c r="AE40" i="20" s="1"/>
  <c r="W45" i="20"/>
  <c r="W46" i="20" s="1"/>
  <c r="AA45" i="20"/>
  <c r="AA46" i="20" s="1"/>
  <c r="AE45" i="20"/>
  <c r="AE46" i="20" s="1"/>
  <c r="W51" i="20"/>
  <c r="W52" i="20" s="1"/>
  <c r="AA51" i="20"/>
  <c r="AA52" i="20" s="1"/>
  <c r="AE51" i="20"/>
  <c r="AE52" i="20" s="1"/>
  <c r="AC7" i="19"/>
  <c r="AE6" i="19"/>
  <c r="AE7" i="19" s="1"/>
  <c r="AO14" i="19"/>
  <c r="AO15" i="19" s="1"/>
  <c r="AE14" i="19"/>
  <c r="AE15" i="19" s="1"/>
  <c r="AO22" i="19"/>
  <c r="AO23" i="19" s="1"/>
  <c r="AE22" i="19"/>
  <c r="AE23" i="19" s="1"/>
  <c r="AC31" i="19"/>
  <c r="AE30" i="19"/>
  <c r="AE31" i="19" s="1"/>
  <c r="AN38" i="19"/>
  <c r="AN39" i="19" s="1"/>
  <c r="AE38" i="19"/>
  <c r="AE39" i="19" s="1"/>
  <c r="AC47" i="19"/>
  <c r="AE46" i="19"/>
  <c r="AE47" i="19" s="1"/>
  <c r="AO50" i="19"/>
  <c r="AO51" i="19" s="1"/>
  <c r="AE50" i="19"/>
  <c r="AE51" i="19" s="1"/>
  <c r="AC59" i="19"/>
  <c r="AE58" i="19"/>
  <c r="AE59" i="19" s="1"/>
  <c r="AO66" i="19"/>
  <c r="AO67" i="19" s="1"/>
  <c r="AE66" i="19"/>
  <c r="AE67" i="19" s="1"/>
  <c r="AO74" i="19"/>
  <c r="AO75" i="19" s="1"/>
  <c r="AE74" i="19"/>
  <c r="AE75" i="19" s="1"/>
  <c r="AC79" i="19"/>
  <c r="AE78" i="19"/>
  <c r="AE79" i="19" s="1"/>
  <c r="AI86" i="19"/>
  <c r="AI87" i="19" s="1"/>
  <c r="AE86" i="19"/>
  <c r="AE87" i="19" s="1"/>
  <c r="AM90" i="19"/>
  <c r="AM91" i="19" s="1"/>
  <c r="AE90" i="19"/>
  <c r="AE91" i="19" s="1"/>
  <c r="AO94" i="19"/>
  <c r="AO95" i="19" s="1"/>
  <c r="AE94" i="19"/>
  <c r="AE95" i="19" s="1"/>
  <c r="AC103" i="19"/>
  <c r="AE102" i="19"/>
  <c r="AE103" i="19" s="1"/>
  <c r="AC107" i="19"/>
  <c r="AE106" i="19"/>
  <c r="AE107" i="19" s="1"/>
  <c r="AN110" i="19"/>
  <c r="AN111" i="19" s="1"/>
  <c r="AE110" i="19"/>
  <c r="AE111" i="19" s="1"/>
  <c r="AO114" i="19"/>
  <c r="AO115" i="19" s="1"/>
  <c r="AE114" i="19"/>
  <c r="AE115" i="19" s="1"/>
  <c r="AO118" i="19"/>
  <c r="AO119" i="19" s="1"/>
  <c r="AE118" i="19"/>
  <c r="AE119" i="19" s="1"/>
  <c r="AC9" i="19"/>
  <c r="AE8" i="19"/>
  <c r="AE9" i="19" s="1"/>
  <c r="AC13" i="19"/>
  <c r="AE12" i="19"/>
  <c r="AE13" i="19" s="1"/>
  <c r="AO16" i="19"/>
  <c r="AO17" i="19" s="1"/>
  <c r="AE16" i="19"/>
  <c r="AE17" i="19" s="1"/>
  <c r="AO20" i="19"/>
  <c r="AO21" i="19" s="1"/>
  <c r="AE20" i="19"/>
  <c r="AE21" i="19" s="1"/>
  <c r="AO24" i="19"/>
  <c r="AO25" i="19" s="1"/>
  <c r="AE24" i="19"/>
  <c r="AE25" i="19" s="1"/>
  <c r="AC29" i="19"/>
  <c r="AE28" i="19"/>
  <c r="AE29" i="19" s="1"/>
  <c r="AC33" i="19"/>
  <c r="AE32" i="19"/>
  <c r="AE33" i="19" s="1"/>
  <c r="AC37" i="19"/>
  <c r="AE36" i="19"/>
  <c r="AE37" i="19" s="1"/>
  <c r="AO40" i="19"/>
  <c r="AO41" i="19" s="1"/>
  <c r="AE40" i="19"/>
  <c r="AE41" i="19" s="1"/>
  <c r="AO44" i="19"/>
  <c r="AO45" i="19" s="1"/>
  <c r="AE44" i="19"/>
  <c r="AE45" i="19" s="1"/>
  <c r="AO48" i="19"/>
  <c r="AO49" i="19" s="1"/>
  <c r="AE48" i="19"/>
  <c r="AE49" i="19" s="1"/>
  <c r="AO52" i="19"/>
  <c r="AO53" i="19" s="1"/>
  <c r="AE52" i="19"/>
  <c r="AE53" i="19" s="1"/>
  <c r="AC57" i="19"/>
  <c r="AE56" i="19"/>
  <c r="AE57" i="19" s="1"/>
  <c r="AO60" i="19"/>
  <c r="AO61" i="19" s="1"/>
  <c r="AE60" i="19"/>
  <c r="AE61" i="19" s="1"/>
  <c r="AO64" i="19"/>
  <c r="AO65" i="19" s="1"/>
  <c r="AE64" i="19"/>
  <c r="AE65" i="19" s="1"/>
  <c r="AO68" i="19"/>
  <c r="AO69" i="19" s="1"/>
  <c r="AE68" i="19"/>
  <c r="AE69" i="19" s="1"/>
  <c r="AO72" i="19"/>
  <c r="AO73" i="19" s="1"/>
  <c r="AE72" i="19"/>
  <c r="AE73" i="19" s="1"/>
  <c r="AO76" i="19"/>
  <c r="AO77" i="19" s="1"/>
  <c r="AE76" i="19"/>
  <c r="AE77" i="19" s="1"/>
  <c r="AO80" i="19"/>
  <c r="AO81" i="19" s="1"/>
  <c r="AE80" i="19"/>
  <c r="AE81" i="19" s="1"/>
  <c r="AM84" i="19"/>
  <c r="AM85" i="19" s="1"/>
  <c r="AE84" i="19"/>
  <c r="AE85" i="19" s="1"/>
  <c r="AM88" i="19"/>
  <c r="AM89" i="19" s="1"/>
  <c r="AE88" i="19"/>
  <c r="AE89" i="19" s="1"/>
  <c r="AO92" i="19"/>
  <c r="AO93" i="19" s="1"/>
  <c r="AE92" i="19"/>
  <c r="AE93" i="19" s="1"/>
  <c r="AO96" i="19"/>
  <c r="AO97" i="19" s="1"/>
  <c r="AE96" i="19"/>
  <c r="AE97" i="19" s="1"/>
  <c r="AO100" i="19"/>
  <c r="AO101" i="19" s="1"/>
  <c r="AE100" i="19"/>
  <c r="AE101" i="19" s="1"/>
  <c r="AC105" i="19"/>
  <c r="AE104" i="19"/>
  <c r="AE105" i="19" s="1"/>
  <c r="AC109" i="19"/>
  <c r="AE108" i="19"/>
  <c r="AE109" i="19" s="1"/>
  <c r="AO112" i="19"/>
  <c r="AO113" i="19" s="1"/>
  <c r="AE112" i="19"/>
  <c r="AE113" i="19" s="1"/>
  <c r="AO116" i="19"/>
  <c r="AO117" i="19" s="1"/>
  <c r="AE116" i="19"/>
  <c r="AE117" i="19" s="1"/>
  <c r="AO120" i="19"/>
  <c r="AO121" i="19" s="1"/>
  <c r="AE120" i="19"/>
  <c r="AE121" i="19" s="1"/>
  <c r="AC11" i="19"/>
  <c r="AE10" i="19"/>
  <c r="AE11" i="19" s="1"/>
  <c r="AO18" i="19"/>
  <c r="AO19" i="19" s="1"/>
  <c r="AE18" i="19"/>
  <c r="AE19" i="19" s="1"/>
  <c r="AO26" i="19"/>
  <c r="AO27" i="19" s="1"/>
  <c r="AE26" i="19"/>
  <c r="AE27" i="19" s="1"/>
  <c r="AC35" i="19"/>
  <c r="AE34" i="19"/>
  <c r="AE35" i="19" s="1"/>
  <c r="AO42" i="19"/>
  <c r="AO43" i="19" s="1"/>
  <c r="AE42" i="19"/>
  <c r="AE43" i="19" s="1"/>
  <c r="AO54" i="19"/>
  <c r="AO55" i="19" s="1"/>
  <c r="AE54" i="19"/>
  <c r="AE55" i="19" s="1"/>
  <c r="AO62" i="19"/>
  <c r="AO63" i="19" s="1"/>
  <c r="AE62" i="19"/>
  <c r="AE63" i="19" s="1"/>
  <c r="AC71" i="19"/>
  <c r="AE70" i="19"/>
  <c r="AE71" i="19" s="1"/>
  <c r="AO82" i="19"/>
  <c r="AO83" i="19" s="1"/>
  <c r="AE82" i="19"/>
  <c r="AE83" i="19" s="1"/>
  <c r="AO98" i="19"/>
  <c r="AO99" i="19" s="1"/>
  <c r="AE98" i="19"/>
  <c r="AE99" i="19" s="1"/>
  <c r="AO122" i="19"/>
  <c r="AO123" i="19" s="1"/>
  <c r="AE122" i="19"/>
  <c r="AE123" i="19" s="1"/>
  <c r="AD94" i="19"/>
  <c r="AD95" i="19" s="1"/>
  <c r="AD98" i="19"/>
  <c r="AD99" i="19" s="1"/>
  <c r="AL94" i="19"/>
  <c r="AL95" i="19" s="1"/>
  <c r="AL98" i="19"/>
  <c r="AL99" i="19" s="1"/>
  <c r="AF78" i="19"/>
  <c r="AF79" i="19" s="1"/>
  <c r="AD92" i="19"/>
  <c r="AD93" i="19" s="1"/>
  <c r="AL92" i="19"/>
  <c r="AL93" i="19" s="1"/>
  <c r="AH94" i="19"/>
  <c r="AH95" i="19" s="1"/>
  <c r="AC95" i="19"/>
  <c r="AD96" i="19"/>
  <c r="AD97" i="19" s="1"/>
  <c r="AL96" i="19"/>
  <c r="AL97" i="19" s="1"/>
  <c r="AH98" i="19"/>
  <c r="AH99" i="19" s="1"/>
  <c r="AC99" i="19"/>
  <c r="AD100" i="19"/>
  <c r="AD101" i="19" s="1"/>
  <c r="AL100" i="19"/>
  <c r="AL101" i="19" s="1"/>
  <c r="AM86" i="19"/>
  <c r="AM87" i="19" s="1"/>
  <c r="AH92" i="19"/>
  <c r="AH93" i="19" s="1"/>
  <c r="AC93" i="19"/>
  <c r="AH96" i="19"/>
  <c r="AH97" i="19" s="1"/>
  <c r="AC97" i="19"/>
  <c r="AH100" i="19"/>
  <c r="AH101" i="19" s="1"/>
  <c r="AC101" i="19"/>
  <c r="AD102" i="19"/>
  <c r="AD103" i="19" s="1"/>
  <c r="AJ4" i="19"/>
  <c r="AJ5" i="19" s="1"/>
  <c r="AJ6" i="19"/>
  <c r="AJ7" i="19" s="1"/>
  <c r="AN6" i="19"/>
  <c r="AN7" i="19" s="1"/>
  <c r="AF40" i="19"/>
  <c r="AF41" i="19" s="1"/>
  <c r="AJ40" i="19"/>
  <c r="AJ41" i="19" s="1"/>
  <c r="AN40" i="19"/>
  <c r="AN41" i="19" s="1"/>
  <c r="AJ44" i="19"/>
  <c r="AJ45" i="19" s="1"/>
  <c r="AN44" i="19"/>
  <c r="AN45" i="19" s="1"/>
  <c r="AF46" i="19"/>
  <c r="AF47" i="19" s="1"/>
  <c r="AJ46" i="19"/>
  <c r="AJ47" i="19" s="1"/>
  <c r="AN46" i="19"/>
  <c r="AN47" i="19" s="1"/>
  <c r="AF72" i="19"/>
  <c r="AF73" i="19" s="1"/>
  <c r="AJ72" i="19"/>
  <c r="AJ73" i="19" s="1"/>
  <c r="AN72" i="19"/>
  <c r="AN73" i="19" s="1"/>
  <c r="AF76" i="19"/>
  <c r="AF77" i="19" s="1"/>
  <c r="AJ76" i="19"/>
  <c r="AJ77" i="19" s="1"/>
  <c r="AN76" i="19"/>
  <c r="AN77" i="19" s="1"/>
  <c r="AJ78" i="19"/>
  <c r="AJ79" i="19" s="1"/>
  <c r="AN78" i="19"/>
  <c r="AN79" i="19" s="1"/>
  <c r="AI90" i="19"/>
  <c r="AI91" i="19" s="1"/>
  <c r="AH102" i="19"/>
  <c r="AH103" i="19" s="1"/>
  <c r="AL102" i="19"/>
  <c r="AL103" i="19" s="1"/>
  <c r="AF4" i="19"/>
  <c r="AF5" i="19" s="1"/>
  <c r="AN4" i="19"/>
  <c r="AN5" i="19" s="1"/>
  <c r="AF6" i="19"/>
  <c r="AF7" i="19" s="1"/>
  <c r="AF42" i="19"/>
  <c r="AF43" i="19" s="1"/>
  <c r="AJ42" i="19"/>
  <c r="AJ43" i="19" s="1"/>
  <c r="AN42" i="19"/>
  <c r="AN43" i="19" s="1"/>
  <c r="AF44" i="19"/>
  <c r="AF45" i="19" s="1"/>
  <c r="AF74" i="19"/>
  <c r="AF75" i="19" s="1"/>
  <c r="AJ74" i="19"/>
  <c r="AJ75" i="19" s="1"/>
  <c r="AN74" i="19"/>
  <c r="AN75" i="19" s="1"/>
  <c r="AD4" i="19"/>
  <c r="AD5" i="19" s="1"/>
  <c r="AH4" i="19"/>
  <c r="AH5" i="19" s="1"/>
  <c r="AL4" i="19"/>
  <c r="AL5" i="19" s="1"/>
  <c r="AC5" i="19"/>
  <c r="AD6" i="19"/>
  <c r="AD7" i="19" s="1"/>
  <c r="AH6" i="19"/>
  <c r="AH7" i="19" s="1"/>
  <c r="AL6" i="19"/>
  <c r="AL7" i="19" s="1"/>
  <c r="AD22" i="19"/>
  <c r="AD23" i="19" s="1"/>
  <c r="AD40" i="19"/>
  <c r="AD41" i="19" s="1"/>
  <c r="AH40" i="19"/>
  <c r="AH41" i="19" s="1"/>
  <c r="AL40" i="19"/>
  <c r="AL41" i="19" s="1"/>
  <c r="AC41" i="19"/>
  <c r="AD42" i="19"/>
  <c r="AD43" i="19" s="1"/>
  <c r="AH42" i="19"/>
  <c r="AH43" i="19" s="1"/>
  <c r="AL42" i="19"/>
  <c r="AL43" i="19" s="1"/>
  <c r="AC43" i="19"/>
  <c r="AD44" i="19"/>
  <c r="AD45" i="19" s="1"/>
  <c r="AH44" i="19"/>
  <c r="AH45" i="19" s="1"/>
  <c r="AL44" i="19"/>
  <c r="AL45" i="19" s="1"/>
  <c r="AC45" i="19"/>
  <c r="AD46" i="19"/>
  <c r="AD47" i="19" s="1"/>
  <c r="AH46" i="19"/>
  <c r="AH47" i="19" s="1"/>
  <c r="AL46" i="19"/>
  <c r="AL47" i="19" s="1"/>
  <c r="AD72" i="19"/>
  <c r="AD73" i="19" s="1"/>
  <c r="AH72" i="19"/>
  <c r="AH73" i="19" s="1"/>
  <c r="AL72" i="19"/>
  <c r="AL73" i="19" s="1"/>
  <c r="AC73" i="19"/>
  <c r="AD74" i="19"/>
  <c r="AD75" i="19" s="1"/>
  <c r="AH74" i="19"/>
  <c r="AH75" i="19" s="1"/>
  <c r="AL74" i="19"/>
  <c r="AL75" i="19" s="1"/>
  <c r="AC75" i="19"/>
  <c r="AD76" i="19"/>
  <c r="AD77" i="19" s="1"/>
  <c r="AH76" i="19"/>
  <c r="AH77" i="19" s="1"/>
  <c r="AL76" i="19"/>
  <c r="AL77" i="19" s="1"/>
  <c r="AC77" i="19"/>
  <c r="AD78" i="19"/>
  <c r="AD79" i="19" s="1"/>
  <c r="AH78" i="19"/>
  <c r="AH79" i="19" s="1"/>
  <c r="AL78" i="19"/>
  <c r="AL79" i="19" s="1"/>
  <c r="AF92" i="19"/>
  <c r="AF93" i="19" s="1"/>
  <c r="AJ92" i="19"/>
  <c r="AJ93" i="19" s="1"/>
  <c r="AN92" i="19"/>
  <c r="AN93" i="19" s="1"/>
  <c r="AF94" i="19"/>
  <c r="AF95" i="19" s="1"/>
  <c r="AJ94" i="19"/>
  <c r="AJ95" i="19" s="1"/>
  <c r="AN94" i="19"/>
  <c r="AN95" i="19" s="1"/>
  <c r="AF96" i="19"/>
  <c r="AF97" i="19" s="1"/>
  <c r="AJ96" i="19"/>
  <c r="AJ97" i="19" s="1"/>
  <c r="AN96" i="19"/>
  <c r="AN97" i="19" s="1"/>
  <c r="AF98" i="19"/>
  <c r="AF99" i="19" s="1"/>
  <c r="AJ98" i="19"/>
  <c r="AJ99" i="19" s="1"/>
  <c r="AN98" i="19"/>
  <c r="AN99" i="19" s="1"/>
  <c r="AF100" i="19"/>
  <c r="AF101" i="19" s="1"/>
  <c r="AJ100" i="19"/>
  <c r="AJ101" i="19" s="1"/>
  <c r="AN100" i="19"/>
  <c r="AN101" i="19" s="1"/>
  <c r="AF102" i="19"/>
  <c r="AF103" i="19" s="1"/>
  <c r="AJ102" i="19"/>
  <c r="AJ103" i="19" s="1"/>
  <c r="AN102" i="19"/>
  <c r="AN103" i="19" s="1"/>
  <c r="AE15" i="20"/>
  <c r="AE16" i="20" s="1"/>
  <c r="AC15" i="20"/>
  <c r="AC16" i="20" s="1"/>
  <c r="AA15" i="20"/>
  <c r="AA16" i="20" s="1"/>
  <c r="Y15" i="20"/>
  <c r="Y16" i="20" s="1"/>
  <c r="W15" i="20"/>
  <c r="W16" i="20" s="1"/>
  <c r="S15" i="20"/>
  <c r="AG25" i="20"/>
  <c r="AG26" i="20" s="1"/>
  <c r="AG24" i="20"/>
  <c r="S3" i="20"/>
  <c r="W3" i="20"/>
  <c r="W4" i="20" s="1"/>
  <c r="Y3" i="20"/>
  <c r="Y4" i="20" s="1"/>
  <c r="AA3" i="20"/>
  <c r="AA4" i="20" s="1"/>
  <c r="AC3" i="20"/>
  <c r="AC4" i="20" s="1"/>
  <c r="AE3" i="20"/>
  <c r="AE4" i="20" s="1"/>
  <c r="AG3" i="20"/>
  <c r="V5" i="20"/>
  <c r="V6" i="20" s="1"/>
  <c r="X5" i="20"/>
  <c r="X6" i="20" s="1"/>
  <c r="Z5" i="20"/>
  <c r="Z6" i="20" s="1"/>
  <c r="AB5" i="20"/>
  <c r="AB6" i="20" s="1"/>
  <c r="AD5" i="20"/>
  <c r="AD6" i="20" s="1"/>
  <c r="AF5" i="20"/>
  <c r="AF6" i="20" s="1"/>
  <c r="R6" i="20"/>
  <c r="S7" i="20"/>
  <c r="W7" i="20"/>
  <c r="W8" i="20" s="1"/>
  <c r="Y7" i="20"/>
  <c r="Y8" i="20" s="1"/>
  <c r="AA7" i="20"/>
  <c r="AA8" i="20" s="1"/>
  <c r="AC7" i="20"/>
  <c r="AC8" i="20" s="1"/>
  <c r="AE7" i="20"/>
  <c r="AE8" i="20" s="1"/>
  <c r="R8" i="20"/>
  <c r="S9" i="20"/>
  <c r="W9" i="20"/>
  <c r="W10" i="20" s="1"/>
  <c r="Y9" i="20"/>
  <c r="Y10" i="20" s="1"/>
  <c r="AA9" i="20"/>
  <c r="AA10" i="20" s="1"/>
  <c r="AC9" i="20"/>
  <c r="AC10" i="20" s="1"/>
  <c r="AE9" i="20"/>
  <c r="AE10" i="20" s="1"/>
  <c r="V11" i="20"/>
  <c r="V12" i="20" s="1"/>
  <c r="X11" i="20"/>
  <c r="X12" i="20" s="1"/>
  <c r="Z11" i="20"/>
  <c r="Z12" i="20" s="1"/>
  <c r="AB11" i="20"/>
  <c r="AB12" i="20" s="1"/>
  <c r="AD11" i="20"/>
  <c r="AD12" i="20" s="1"/>
  <c r="AF11" i="20"/>
  <c r="AF12" i="20" s="1"/>
  <c r="X15" i="20"/>
  <c r="X16" i="20" s="1"/>
  <c r="AB15" i="20"/>
  <c r="AB16" i="20" s="1"/>
  <c r="AF15" i="20"/>
  <c r="AF16" i="20" s="1"/>
  <c r="AG14" i="20"/>
  <c r="AG45" i="20"/>
  <c r="AG46" i="20" s="1"/>
  <c r="AG44" i="20"/>
  <c r="V3" i="20"/>
  <c r="V4" i="20" s="1"/>
  <c r="X3" i="20"/>
  <c r="X4" i="20" s="1"/>
  <c r="Z3" i="20"/>
  <c r="Z4" i="20" s="1"/>
  <c r="AB3" i="20"/>
  <c r="AB4" i="20" s="1"/>
  <c r="AD3" i="20"/>
  <c r="AD4" i="20" s="1"/>
  <c r="AF3" i="20"/>
  <c r="AF4" i="20" s="1"/>
  <c r="W5" i="20"/>
  <c r="W6" i="20" s="1"/>
  <c r="Y5" i="20"/>
  <c r="Y6" i="20" s="1"/>
  <c r="AA5" i="20"/>
  <c r="AA6" i="20" s="1"/>
  <c r="AC5" i="20"/>
  <c r="AC6" i="20" s="1"/>
  <c r="V7" i="20"/>
  <c r="V8" i="20" s="1"/>
  <c r="X7" i="20"/>
  <c r="X8" i="20" s="1"/>
  <c r="Z7" i="20"/>
  <c r="Z8" i="20" s="1"/>
  <c r="AB7" i="20"/>
  <c r="AB8" i="20" s="1"/>
  <c r="AD7" i="20"/>
  <c r="AD8" i="20" s="1"/>
  <c r="V9" i="20"/>
  <c r="V10" i="20" s="1"/>
  <c r="X9" i="20"/>
  <c r="X10" i="20" s="1"/>
  <c r="Z9" i="20"/>
  <c r="Z10" i="20" s="1"/>
  <c r="AB9" i="20"/>
  <c r="AB10" i="20" s="1"/>
  <c r="AD9" i="20"/>
  <c r="AD10" i="20" s="1"/>
  <c r="AF9" i="20"/>
  <c r="AF10" i="20" s="1"/>
  <c r="S11" i="20"/>
  <c r="W11" i="20"/>
  <c r="W12" i="20" s="1"/>
  <c r="Y11" i="20"/>
  <c r="Y12" i="20" s="1"/>
  <c r="AA11" i="20"/>
  <c r="AA12" i="20" s="1"/>
  <c r="AC11" i="20"/>
  <c r="AC12" i="20" s="1"/>
  <c r="AE11" i="20"/>
  <c r="AE12" i="20" s="1"/>
  <c r="V15" i="20"/>
  <c r="V16" i="20" s="1"/>
  <c r="Z15" i="20"/>
  <c r="Z16" i="20" s="1"/>
  <c r="AD15" i="20"/>
  <c r="AD16" i="20" s="1"/>
  <c r="R16" i="20"/>
  <c r="V21" i="20"/>
  <c r="V22" i="20" s="1"/>
  <c r="X21" i="20"/>
  <c r="X22" i="20" s="1"/>
  <c r="Z21" i="20"/>
  <c r="Z22" i="20" s="1"/>
  <c r="AB21" i="20"/>
  <c r="AB22" i="20" s="1"/>
  <c r="AD21" i="20"/>
  <c r="AD22" i="20" s="1"/>
  <c r="AF21" i="20"/>
  <c r="AF22" i="20" s="1"/>
  <c r="V23" i="20"/>
  <c r="V24" i="20" s="1"/>
  <c r="X23" i="20"/>
  <c r="X24" i="20" s="1"/>
  <c r="Z23" i="20"/>
  <c r="Z24" i="20" s="1"/>
  <c r="AB23" i="20"/>
  <c r="AB24" i="20" s="1"/>
  <c r="AD23" i="20"/>
  <c r="AD24" i="20" s="1"/>
  <c r="AF23" i="20"/>
  <c r="AF24" i="20" s="1"/>
  <c r="R24" i="20"/>
  <c r="V27" i="20"/>
  <c r="V28" i="20" s="1"/>
  <c r="X27" i="20"/>
  <c r="X28" i="20" s="1"/>
  <c r="Z27" i="20"/>
  <c r="Z28" i="20" s="1"/>
  <c r="AB27" i="20"/>
  <c r="AB28" i="20" s="1"/>
  <c r="AD27" i="20"/>
  <c r="AD28" i="20" s="1"/>
  <c r="AF27" i="20"/>
  <c r="AF28" i="20" s="1"/>
  <c r="V29" i="20"/>
  <c r="V30" i="20" s="1"/>
  <c r="X29" i="20"/>
  <c r="X30" i="20" s="1"/>
  <c r="Z29" i="20"/>
  <c r="Z30" i="20" s="1"/>
  <c r="AB29" i="20"/>
  <c r="AB30" i="20" s="1"/>
  <c r="AD29" i="20"/>
  <c r="AD30" i="20" s="1"/>
  <c r="AF29" i="20"/>
  <c r="AF30" i="20" s="1"/>
  <c r="R30" i="20"/>
  <c r="V35" i="20"/>
  <c r="V36" i="20" s="1"/>
  <c r="X35" i="20"/>
  <c r="X36" i="20" s="1"/>
  <c r="Z35" i="20"/>
  <c r="Z36" i="20" s="1"/>
  <c r="AB35" i="20"/>
  <c r="AB36" i="20" s="1"/>
  <c r="AD35" i="20"/>
  <c r="AD36" i="20" s="1"/>
  <c r="AF35" i="20"/>
  <c r="AF36" i="20" s="1"/>
  <c r="R36" i="20"/>
  <c r="V41" i="20"/>
  <c r="V42" i="20" s="1"/>
  <c r="X41" i="20"/>
  <c r="X42" i="20" s="1"/>
  <c r="Z41" i="20"/>
  <c r="Z42" i="20" s="1"/>
  <c r="AB41" i="20"/>
  <c r="AB42" i="20" s="1"/>
  <c r="AD41" i="20"/>
  <c r="AD42" i="20" s="1"/>
  <c r="AF41" i="20"/>
  <c r="AF42" i="20" s="1"/>
  <c r="V43" i="20"/>
  <c r="V44" i="20" s="1"/>
  <c r="X43" i="20"/>
  <c r="X44" i="20" s="1"/>
  <c r="Z43" i="20"/>
  <c r="Z44" i="20" s="1"/>
  <c r="AB43" i="20"/>
  <c r="AB44" i="20" s="1"/>
  <c r="AD43" i="20"/>
  <c r="AD44" i="20" s="1"/>
  <c r="AF43" i="20"/>
  <c r="AF44" i="20" s="1"/>
  <c r="R44" i="20"/>
  <c r="V47" i="20"/>
  <c r="V48" i="20" s="1"/>
  <c r="X47" i="20"/>
  <c r="X48" i="20" s="1"/>
  <c r="Z47" i="20"/>
  <c r="Z48" i="20" s="1"/>
  <c r="AB47" i="20"/>
  <c r="AB48" i="20" s="1"/>
  <c r="AD47" i="20"/>
  <c r="AD48" i="20" s="1"/>
  <c r="AF47" i="20"/>
  <c r="AF48" i="20" s="1"/>
  <c r="V49" i="20"/>
  <c r="V50" i="20" s="1"/>
  <c r="X49" i="20"/>
  <c r="X50" i="20" s="1"/>
  <c r="Z49" i="20"/>
  <c r="Z50" i="20" s="1"/>
  <c r="AB49" i="20"/>
  <c r="AB50" i="20" s="1"/>
  <c r="AD49" i="20"/>
  <c r="AD50" i="20" s="1"/>
  <c r="AF49" i="20"/>
  <c r="AF50" i="20" s="1"/>
  <c r="R50" i="20"/>
  <c r="V13" i="20"/>
  <c r="V14" i="20" s="1"/>
  <c r="X13" i="20"/>
  <c r="X14" i="20" s="1"/>
  <c r="Z13" i="20"/>
  <c r="Z14" i="20" s="1"/>
  <c r="AB13" i="20"/>
  <c r="AB14" i="20" s="1"/>
  <c r="AD13" i="20"/>
  <c r="AD14" i="20" s="1"/>
  <c r="AF13" i="20"/>
  <c r="AF14" i="20" s="1"/>
  <c r="V17" i="20"/>
  <c r="V18" i="20" s="1"/>
  <c r="X17" i="20"/>
  <c r="X18" i="20" s="1"/>
  <c r="Z17" i="20"/>
  <c r="Z18" i="20" s="1"/>
  <c r="AB17" i="20"/>
  <c r="AB18" i="20" s="1"/>
  <c r="AD17" i="20"/>
  <c r="AD18" i="20" s="1"/>
  <c r="V19" i="20"/>
  <c r="V20" i="20" s="1"/>
  <c r="X19" i="20"/>
  <c r="X20" i="20" s="1"/>
  <c r="Z19" i="20"/>
  <c r="Z20" i="20" s="1"/>
  <c r="AB19" i="20"/>
  <c r="AB20" i="20" s="1"/>
  <c r="AD19" i="20"/>
  <c r="AD20" i="20" s="1"/>
  <c r="AF19" i="20"/>
  <c r="AF20" i="20" s="1"/>
  <c r="S21" i="20"/>
  <c r="W21" i="20"/>
  <c r="W22" i="20" s="1"/>
  <c r="Y21" i="20"/>
  <c r="Y22" i="20" s="1"/>
  <c r="AA21" i="20"/>
  <c r="AA22" i="20" s="1"/>
  <c r="AC21" i="20"/>
  <c r="AC22" i="20" s="1"/>
  <c r="AE21" i="20"/>
  <c r="AE22" i="20" s="1"/>
  <c r="S23" i="20"/>
  <c r="W23" i="20"/>
  <c r="W24" i="20" s="1"/>
  <c r="Y23" i="20"/>
  <c r="Y24" i="20" s="1"/>
  <c r="AA23" i="20"/>
  <c r="AA24" i="20" s="1"/>
  <c r="AC23" i="20"/>
  <c r="AC24" i="20" s="1"/>
  <c r="AE23" i="20"/>
  <c r="AE24" i="20" s="1"/>
  <c r="V25" i="20"/>
  <c r="V26" i="20" s="1"/>
  <c r="X25" i="20"/>
  <c r="X26" i="20" s="1"/>
  <c r="Z25" i="20"/>
  <c r="Z26" i="20" s="1"/>
  <c r="AB25" i="20"/>
  <c r="AB26" i="20" s="1"/>
  <c r="AD25" i="20"/>
  <c r="AD26" i="20" s="1"/>
  <c r="AF25" i="20"/>
  <c r="AF26" i="20" s="1"/>
  <c r="S27" i="20"/>
  <c r="W27" i="20"/>
  <c r="W28" i="20" s="1"/>
  <c r="Y27" i="20"/>
  <c r="Y28" i="20" s="1"/>
  <c r="AA27" i="20"/>
  <c r="AA28" i="20" s="1"/>
  <c r="AC27" i="20"/>
  <c r="AC28" i="20" s="1"/>
  <c r="AE27" i="20"/>
  <c r="AE28" i="20" s="1"/>
  <c r="S29" i="20"/>
  <c r="W29" i="20"/>
  <c r="W30" i="20" s="1"/>
  <c r="Y29" i="20"/>
  <c r="Y30" i="20" s="1"/>
  <c r="AA29" i="20"/>
  <c r="AA30" i="20" s="1"/>
  <c r="AC29" i="20"/>
  <c r="AC30" i="20" s="1"/>
  <c r="V31" i="20"/>
  <c r="V32" i="20" s="1"/>
  <c r="X31" i="20"/>
  <c r="X32" i="20" s="1"/>
  <c r="Z31" i="20"/>
  <c r="Z32" i="20" s="1"/>
  <c r="AB31" i="20"/>
  <c r="AB32" i="20" s="1"/>
  <c r="AD31" i="20"/>
  <c r="AD32" i="20" s="1"/>
  <c r="AF31" i="20"/>
  <c r="AF32" i="20" s="1"/>
  <c r="V33" i="20"/>
  <c r="V34" i="20" s="1"/>
  <c r="X33" i="20"/>
  <c r="X34" i="20" s="1"/>
  <c r="Z33" i="20"/>
  <c r="Z34" i="20" s="1"/>
  <c r="AB33" i="20"/>
  <c r="AB34" i="20" s="1"/>
  <c r="AD33" i="20"/>
  <c r="AD34" i="20" s="1"/>
  <c r="AG34" i="20"/>
  <c r="S35" i="20"/>
  <c r="W35" i="20"/>
  <c r="W36" i="20" s="1"/>
  <c r="Y35" i="20"/>
  <c r="Y36" i="20" s="1"/>
  <c r="AA35" i="20"/>
  <c r="AA36" i="20" s="1"/>
  <c r="AC35" i="20"/>
  <c r="AC36" i="20" s="1"/>
  <c r="V37" i="20"/>
  <c r="V38" i="20" s="1"/>
  <c r="X37" i="20"/>
  <c r="X38" i="20" s="1"/>
  <c r="Z37" i="20"/>
  <c r="Z38" i="20" s="1"/>
  <c r="AB37" i="20"/>
  <c r="AB38" i="20" s="1"/>
  <c r="AD37" i="20"/>
  <c r="AD38" i="20" s="1"/>
  <c r="V39" i="20"/>
  <c r="V40" i="20" s="1"/>
  <c r="X39" i="20"/>
  <c r="X40" i="20" s="1"/>
  <c r="Z39" i="20"/>
  <c r="Z40" i="20" s="1"/>
  <c r="AB39" i="20"/>
  <c r="AB40" i="20" s="1"/>
  <c r="AD39" i="20"/>
  <c r="AD40" i="20" s="1"/>
  <c r="AF39" i="20"/>
  <c r="AF40" i="20" s="1"/>
  <c r="S41" i="20"/>
  <c r="W41" i="20"/>
  <c r="W42" i="20" s="1"/>
  <c r="Y41" i="20"/>
  <c r="Y42" i="20" s="1"/>
  <c r="AA41" i="20"/>
  <c r="AA42" i="20" s="1"/>
  <c r="AC41" i="20"/>
  <c r="AC42" i="20" s="1"/>
  <c r="AE41" i="20"/>
  <c r="AE42" i="20" s="1"/>
  <c r="S43" i="20"/>
  <c r="W43" i="20"/>
  <c r="W44" i="20" s="1"/>
  <c r="Y43" i="20"/>
  <c r="Y44" i="20" s="1"/>
  <c r="AA43" i="20"/>
  <c r="AA44" i="20" s="1"/>
  <c r="AC43" i="20"/>
  <c r="AC44" i="20" s="1"/>
  <c r="AE43" i="20"/>
  <c r="AE44" i="20" s="1"/>
  <c r="V45" i="20"/>
  <c r="V46" i="20" s="1"/>
  <c r="X45" i="20"/>
  <c r="X46" i="20" s="1"/>
  <c r="Z45" i="20"/>
  <c r="Z46" i="20" s="1"/>
  <c r="AB45" i="20"/>
  <c r="AB46" i="20" s="1"/>
  <c r="AD45" i="20"/>
  <c r="AD46" i="20" s="1"/>
  <c r="AF45" i="20"/>
  <c r="AF46" i="20" s="1"/>
  <c r="S47" i="20"/>
  <c r="W47" i="20"/>
  <c r="W48" i="20" s="1"/>
  <c r="Y47" i="20"/>
  <c r="Y48" i="20" s="1"/>
  <c r="AA47" i="20"/>
  <c r="AA48" i="20" s="1"/>
  <c r="AC47" i="20"/>
  <c r="AC48" i="20" s="1"/>
  <c r="AE47" i="20"/>
  <c r="AE48" i="20" s="1"/>
  <c r="S49" i="20"/>
  <c r="W49" i="20"/>
  <c r="W50" i="20" s="1"/>
  <c r="Y49" i="20"/>
  <c r="Y50" i="20" s="1"/>
  <c r="AA49" i="20"/>
  <c r="AA50" i="20" s="1"/>
  <c r="AC49" i="20"/>
  <c r="AC50" i="20" s="1"/>
  <c r="V51" i="20"/>
  <c r="V52" i="20" s="1"/>
  <c r="X51" i="20"/>
  <c r="X52" i="20" s="1"/>
  <c r="Z51" i="20"/>
  <c r="Z52" i="20" s="1"/>
  <c r="AB51" i="20"/>
  <c r="AB52" i="20" s="1"/>
  <c r="AD51" i="20"/>
  <c r="AD52" i="20" s="1"/>
  <c r="AG8" i="19"/>
  <c r="AG9" i="19" s="1"/>
  <c r="AI8" i="19"/>
  <c r="AI9" i="19" s="1"/>
  <c r="AK8" i="19"/>
  <c r="AK9" i="19" s="1"/>
  <c r="AM8" i="19"/>
  <c r="AM9" i="19" s="1"/>
  <c r="AO8" i="19"/>
  <c r="AO9" i="19" s="1"/>
  <c r="AG10" i="19"/>
  <c r="AG11" i="19" s="1"/>
  <c r="AI10" i="19"/>
  <c r="AI11" i="19" s="1"/>
  <c r="AK10" i="19"/>
  <c r="AK11" i="19" s="1"/>
  <c r="AM10" i="19"/>
  <c r="AM11" i="19" s="1"/>
  <c r="AO10" i="19"/>
  <c r="AO11" i="19" s="1"/>
  <c r="AG12" i="19"/>
  <c r="AG13" i="19" s="1"/>
  <c r="AI12" i="19"/>
  <c r="AI13" i="19" s="1"/>
  <c r="AK12" i="19"/>
  <c r="AK13" i="19" s="1"/>
  <c r="AM12" i="19"/>
  <c r="AM13" i="19" s="1"/>
  <c r="AO12" i="19"/>
  <c r="AO13" i="19" s="1"/>
  <c r="AD14" i="19"/>
  <c r="AD15" i="19" s="1"/>
  <c r="AF14" i="19"/>
  <c r="AF15" i="19" s="1"/>
  <c r="AH14" i="19"/>
  <c r="AH15" i="19" s="1"/>
  <c r="AJ14" i="19"/>
  <c r="AJ15" i="19" s="1"/>
  <c r="AL14" i="19"/>
  <c r="AL15" i="19" s="1"/>
  <c r="AN14" i="19"/>
  <c r="AN15" i="19" s="1"/>
  <c r="AC15" i="19"/>
  <c r="AD16" i="19"/>
  <c r="AD17" i="19" s="1"/>
  <c r="AF16" i="19"/>
  <c r="AF17" i="19" s="1"/>
  <c r="AH16" i="19"/>
  <c r="AH17" i="19" s="1"/>
  <c r="AJ16" i="19"/>
  <c r="AJ17" i="19" s="1"/>
  <c r="AL16" i="19"/>
  <c r="AL17" i="19" s="1"/>
  <c r="AN16" i="19"/>
  <c r="AN17" i="19" s="1"/>
  <c r="AC17" i="19"/>
  <c r="AD18" i="19"/>
  <c r="AD19" i="19" s="1"/>
  <c r="AF18" i="19"/>
  <c r="AF19" i="19" s="1"/>
  <c r="AH18" i="19"/>
  <c r="AH19" i="19" s="1"/>
  <c r="AJ18" i="19"/>
  <c r="AJ19" i="19" s="1"/>
  <c r="AL18" i="19"/>
  <c r="AL19" i="19" s="1"/>
  <c r="AN18" i="19"/>
  <c r="AN19" i="19" s="1"/>
  <c r="AC19" i="19"/>
  <c r="AD20" i="19"/>
  <c r="AD21" i="19" s="1"/>
  <c r="AF20" i="19"/>
  <c r="AF21" i="19" s="1"/>
  <c r="AH20" i="19"/>
  <c r="AH21" i="19" s="1"/>
  <c r="AJ20" i="19"/>
  <c r="AJ21" i="19" s="1"/>
  <c r="AL20" i="19"/>
  <c r="AL21" i="19" s="1"/>
  <c r="AN20" i="19"/>
  <c r="AN21" i="19" s="1"/>
  <c r="AC21" i="19"/>
  <c r="AF22" i="19"/>
  <c r="AF23" i="19" s="1"/>
  <c r="AH22" i="19"/>
  <c r="AH23" i="19" s="1"/>
  <c r="AJ22" i="19"/>
  <c r="AJ23" i="19" s="1"/>
  <c r="AL22" i="19"/>
  <c r="AL23" i="19" s="1"/>
  <c r="AN22" i="19"/>
  <c r="AN23" i="19" s="1"/>
  <c r="AC23" i="19"/>
  <c r="AD24" i="19"/>
  <c r="AD25" i="19" s="1"/>
  <c r="AF24" i="19"/>
  <c r="AF25" i="19" s="1"/>
  <c r="AH24" i="19"/>
  <c r="AH25" i="19" s="1"/>
  <c r="AJ24" i="19"/>
  <c r="AJ25" i="19" s="1"/>
  <c r="AL24" i="19"/>
  <c r="AL25" i="19" s="1"/>
  <c r="AN24" i="19"/>
  <c r="AN25" i="19" s="1"/>
  <c r="AC25" i="19"/>
  <c r="AD26" i="19"/>
  <c r="AD27" i="19" s="1"/>
  <c r="AF26" i="19"/>
  <c r="AF27" i="19" s="1"/>
  <c r="AH26" i="19"/>
  <c r="AH27" i="19" s="1"/>
  <c r="AJ26" i="19"/>
  <c r="AJ27" i="19" s="1"/>
  <c r="AL26" i="19"/>
  <c r="AL27" i="19" s="1"/>
  <c r="AN26" i="19"/>
  <c r="AN27" i="19" s="1"/>
  <c r="AC27" i="19"/>
  <c r="AG28" i="19"/>
  <c r="AG29" i="19" s="1"/>
  <c r="AI28" i="19"/>
  <c r="AI29" i="19" s="1"/>
  <c r="AK28" i="19"/>
  <c r="AK29" i="19" s="1"/>
  <c r="AM28" i="19"/>
  <c r="AM29" i="19" s="1"/>
  <c r="AO28" i="19"/>
  <c r="AO29" i="19" s="1"/>
  <c r="AG30" i="19"/>
  <c r="AG31" i="19" s="1"/>
  <c r="AI30" i="19"/>
  <c r="AI31" i="19" s="1"/>
  <c r="AK30" i="19"/>
  <c r="AK31" i="19" s="1"/>
  <c r="AM30" i="19"/>
  <c r="AM31" i="19" s="1"/>
  <c r="AO30" i="19"/>
  <c r="AO31" i="19" s="1"/>
  <c r="AG32" i="19"/>
  <c r="AG33" i="19" s="1"/>
  <c r="AI32" i="19"/>
  <c r="AI33" i="19" s="1"/>
  <c r="AK32" i="19"/>
  <c r="AK33" i="19" s="1"/>
  <c r="AM32" i="19"/>
  <c r="AM33" i="19" s="1"/>
  <c r="AO32" i="19"/>
  <c r="AO33" i="19" s="1"/>
  <c r="AG34" i="19"/>
  <c r="AG35" i="19" s="1"/>
  <c r="AI34" i="19"/>
  <c r="AI35" i="19" s="1"/>
  <c r="AK34" i="19"/>
  <c r="AK35" i="19" s="1"/>
  <c r="AM34" i="19"/>
  <c r="AM35" i="19" s="1"/>
  <c r="AO34" i="19"/>
  <c r="AO35" i="19" s="1"/>
  <c r="AG36" i="19"/>
  <c r="AG37" i="19" s="1"/>
  <c r="AI36" i="19"/>
  <c r="AI37" i="19" s="1"/>
  <c r="AK36" i="19"/>
  <c r="AK37" i="19" s="1"/>
  <c r="AM36" i="19"/>
  <c r="AM37" i="19" s="1"/>
  <c r="AO36" i="19"/>
  <c r="AO37" i="19" s="1"/>
  <c r="AG38" i="19"/>
  <c r="AG39" i="19" s="1"/>
  <c r="AI38" i="19"/>
  <c r="AI39" i="19" s="1"/>
  <c r="AK38" i="19"/>
  <c r="AK39" i="19" s="1"/>
  <c r="AM38" i="19"/>
  <c r="AM39" i="19" s="1"/>
  <c r="AO38" i="19"/>
  <c r="AO39" i="19" s="1"/>
  <c r="AC39" i="19"/>
  <c r="AG4" i="19"/>
  <c r="AG5" i="19" s="1"/>
  <c r="AI4" i="19"/>
  <c r="AI5" i="19" s="1"/>
  <c r="AK4" i="19"/>
  <c r="AK5" i="19" s="1"/>
  <c r="AM4" i="19"/>
  <c r="AM5" i="19" s="1"/>
  <c r="AG6" i="19"/>
  <c r="AG7" i="19" s="1"/>
  <c r="AI6" i="19"/>
  <c r="AI7" i="19" s="1"/>
  <c r="AK6" i="19"/>
  <c r="AK7" i="19" s="1"/>
  <c r="AM6" i="19"/>
  <c r="AM7" i="19" s="1"/>
  <c r="AO6" i="19"/>
  <c r="AO7" i="19" s="1"/>
  <c r="AD8" i="19"/>
  <c r="AD9" i="19" s="1"/>
  <c r="AF8" i="19"/>
  <c r="AF9" i="19" s="1"/>
  <c r="AH8" i="19"/>
  <c r="AH9" i="19" s="1"/>
  <c r="AJ8" i="19"/>
  <c r="AJ9" i="19" s="1"/>
  <c r="AL8" i="19"/>
  <c r="AL9" i="19" s="1"/>
  <c r="AN8" i="19"/>
  <c r="AN9" i="19" s="1"/>
  <c r="AD10" i="19"/>
  <c r="AD11" i="19" s="1"/>
  <c r="AF10" i="19"/>
  <c r="AF11" i="19" s="1"/>
  <c r="AH10" i="19"/>
  <c r="AH11" i="19" s="1"/>
  <c r="AJ10" i="19"/>
  <c r="AJ11" i="19" s="1"/>
  <c r="AL10" i="19"/>
  <c r="AL11" i="19" s="1"/>
  <c r="AN10" i="19"/>
  <c r="AN11" i="19" s="1"/>
  <c r="AD12" i="19"/>
  <c r="AD13" i="19" s="1"/>
  <c r="AF12" i="19"/>
  <c r="AF13" i="19" s="1"/>
  <c r="AH12" i="19"/>
  <c r="AH13" i="19" s="1"/>
  <c r="AJ12" i="19"/>
  <c r="AJ13" i="19" s="1"/>
  <c r="AL12" i="19"/>
  <c r="AL13" i="19" s="1"/>
  <c r="AN12" i="19"/>
  <c r="AN13" i="19" s="1"/>
  <c r="AG14" i="19"/>
  <c r="AG15" i="19" s="1"/>
  <c r="AI14" i="19"/>
  <c r="AI15" i="19" s="1"/>
  <c r="AK14" i="19"/>
  <c r="AK15" i="19" s="1"/>
  <c r="AM14" i="19"/>
  <c r="AM15" i="19" s="1"/>
  <c r="AG16" i="19"/>
  <c r="AG17" i="19" s="1"/>
  <c r="AI16" i="19"/>
  <c r="AI17" i="19" s="1"/>
  <c r="AK16" i="19"/>
  <c r="AK17" i="19" s="1"/>
  <c r="AM16" i="19"/>
  <c r="AM17" i="19" s="1"/>
  <c r="AG18" i="19"/>
  <c r="AG19" i="19" s="1"/>
  <c r="AI18" i="19"/>
  <c r="AI19" i="19" s="1"/>
  <c r="AK18" i="19"/>
  <c r="AK19" i="19" s="1"/>
  <c r="AM18" i="19"/>
  <c r="AM19" i="19" s="1"/>
  <c r="AG20" i="19"/>
  <c r="AG21" i="19" s="1"/>
  <c r="AI20" i="19"/>
  <c r="AI21" i="19" s="1"/>
  <c r="AK20" i="19"/>
  <c r="AK21" i="19" s="1"/>
  <c r="AM20" i="19"/>
  <c r="AM21" i="19" s="1"/>
  <c r="AG22" i="19"/>
  <c r="AG23" i="19" s="1"/>
  <c r="AI22" i="19"/>
  <c r="AI23" i="19" s="1"/>
  <c r="AK22" i="19"/>
  <c r="AK23" i="19" s="1"/>
  <c r="AM22" i="19"/>
  <c r="AM23" i="19" s="1"/>
  <c r="AG24" i="19"/>
  <c r="AG25" i="19" s="1"/>
  <c r="AI24" i="19"/>
  <c r="AI25" i="19" s="1"/>
  <c r="AK24" i="19"/>
  <c r="AK25" i="19" s="1"/>
  <c r="AM24" i="19"/>
  <c r="AM25" i="19" s="1"/>
  <c r="AG26" i="19"/>
  <c r="AG27" i="19" s="1"/>
  <c r="AI26" i="19"/>
  <c r="AI27" i="19" s="1"/>
  <c r="AK26" i="19"/>
  <c r="AK27" i="19" s="1"/>
  <c r="AM26" i="19"/>
  <c r="AM27" i="19" s="1"/>
  <c r="AD28" i="19"/>
  <c r="AD29" i="19" s="1"/>
  <c r="AF28" i="19"/>
  <c r="AF29" i="19" s="1"/>
  <c r="AH28" i="19"/>
  <c r="AH29" i="19" s="1"/>
  <c r="AJ28" i="19"/>
  <c r="AJ29" i="19" s="1"/>
  <c r="AL28" i="19"/>
  <c r="AL29" i="19" s="1"/>
  <c r="AN28" i="19"/>
  <c r="AN29" i="19" s="1"/>
  <c r="AD30" i="19"/>
  <c r="AD31" i="19" s="1"/>
  <c r="AF30" i="19"/>
  <c r="AF31" i="19" s="1"/>
  <c r="AH30" i="19"/>
  <c r="AH31" i="19" s="1"/>
  <c r="AJ30" i="19"/>
  <c r="AJ31" i="19" s="1"/>
  <c r="AL30" i="19"/>
  <c r="AL31" i="19" s="1"/>
  <c r="AN30" i="19"/>
  <c r="AN31" i="19" s="1"/>
  <c r="AD32" i="19"/>
  <c r="AD33" i="19" s="1"/>
  <c r="AF32" i="19"/>
  <c r="AF33" i="19" s="1"/>
  <c r="AH32" i="19"/>
  <c r="AH33" i="19" s="1"/>
  <c r="AJ32" i="19"/>
  <c r="AJ33" i="19" s="1"/>
  <c r="AL32" i="19"/>
  <c r="AL33" i="19" s="1"/>
  <c r="AN32" i="19"/>
  <c r="AN33" i="19" s="1"/>
  <c r="AD34" i="19"/>
  <c r="AD35" i="19" s="1"/>
  <c r="AF34" i="19"/>
  <c r="AF35" i="19" s="1"/>
  <c r="AH34" i="19"/>
  <c r="AH35" i="19" s="1"/>
  <c r="AJ34" i="19"/>
  <c r="AJ35" i="19" s="1"/>
  <c r="AL34" i="19"/>
  <c r="AL35" i="19" s="1"/>
  <c r="AN34" i="19"/>
  <c r="AN35" i="19" s="1"/>
  <c r="AD36" i="19"/>
  <c r="AD37" i="19" s="1"/>
  <c r="AF36" i="19"/>
  <c r="AF37" i="19" s="1"/>
  <c r="AH36" i="19"/>
  <c r="AH37" i="19" s="1"/>
  <c r="AJ36" i="19"/>
  <c r="AJ37" i="19" s="1"/>
  <c r="AL36" i="19"/>
  <c r="AL37" i="19" s="1"/>
  <c r="AN36" i="19"/>
  <c r="AN37" i="19" s="1"/>
  <c r="AD38" i="19"/>
  <c r="AD39" i="19" s="1"/>
  <c r="AF38" i="19"/>
  <c r="AF39" i="19" s="1"/>
  <c r="AH38" i="19"/>
  <c r="AH39" i="19" s="1"/>
  <c r="AJ38" i="19"/>
  <c r="AJ39" i="19" s="1"/>
  <c r="AL38" i="19"/>
  <c r="AL39" i="19" s="1"/>
  <c r="AG40" i="19"/>
  <c r="AG41" i="19" s="1"/>
  <c r="AI40" i="19"/>
  <c r="AI41" i="19" s="1"/>
  <c r="AK40" i="19"/>
  <c r="AK41" i="19" s="1"/>
  <c r="AM40" i="19"/>
  <c r="AM41" i="19" s="1"/>
  <c r="AG42" i="19"/>
  <c r="AG43" i="19" s="1"/>
  <c r="AI42" i="19"/>
  <c r="AI43" i="19" s="1"/>
  <c r="AK42" i="19"/>
  <c r="AK43" i="19" s="1"/>
  <c r="AM42" i="19"/>
  <c r="AM43" i="19" s="1"/>
  <c r="AG44" i="19"/>
  <c r="AG45" i="19" s="1"/>
  <c r="AI44" i="19"/>
  <c r="AI45" i="19" s="1"/>
  <c r="AK44" i="19"/>
  <c r="AK45" i="19" s="1"/>
  <c r="AM44" i="19"/>
  <c r="AM45" i="19" s="1"/>
  <c r="AG46" i="19"/>
  <c r="AG47" i="19" s="1"/>
  <c r="AI46" i="19"/>
  <c r="AI47" i="19" s="1"/>
  <c r="AK46" i="19"/>
  <c r="AK47" i="19" s="1"/>
  <c r="AM46" i="19"/>
  <c r="AM47" i="19" s="1"/>
  <c r="AO46" i="19"/>
  <c r="AO47" i="19" s="1"/>
  <c r="AC87" i="19"/>
  <c r="AN86" i="19"/>
  <c r="AN87" i="19" s="1"/>
  <c r="AL86" i="19"/>
  <c r="AL87" i="19" s="1"/>
  <c r="AJ86" i="19"/>
  <c r="AJ87" i="19" s="1"/>
  <c r="AH86" i="19"/>
  <c r="AH87" i="19" s="1"/>
  <c r="AF86" i="19"/>
  <c r="AF87" i="19" s="1"/>
  <c r="AD86" i="19"/>
  <c r="AD87" i="19" s="1"/>
  <c r="AC91" i="19"/>
  <c r="AN90" i="19"/>
  <c r="AN91" i="19" s="1"/>
  <c r="AL90" i="19"/>
  <c r="AL91" i="19" s="1"/>
  <c r="AJ90" i="19"/>
  <c r="AJ91" i="19" s="1"/>
  <c r="AH90" i="19"/>
  <c r="AH91" i="19" s="1"/>
  <c r="AF90" i="19"/>
  <c r="AF91" i="19" s="1"/>
  <c r="AD90" i="19"/>
  <c r="AD91" i="19" s="1"/>
  <c r="AD48" i="19"/>
  <c r="AD49" i="19" s="1"/>
  <c r="AF48" i="19"/>
  <c r="AF49" i="19" s="1"/>
  <c r="AH48" i="19"/>
  <c r="AH49" i="19" s="1"/>
  <c r="AJ48" i="19"/>
  <c r="AJ49" i="19" s="1"/>
  <c r="AL48" i="19"/>
  <c r="AL49" i="19" s="1"/>
  <c r="AN48" i="19"/>
  <c r="AN49" i="19" s="1"/>
  <c r="AC49" i="19"/>
  <c r="AD50" i="19"/>
  <c r="AD51" i="19" s="1"/>
  <c r="AF50" i="19"/>
  <c r="AF51" i="19" s="1"/>
  <c r="AH50" i="19"/>
  <c r="AH51" i="19" s="1"/>
  <c r="AJ50" i="19"/>
  <c r="AJ51" i="19" s="1"/>
  <c r="AL50" i="19"/>
  <c r="AL51" i="19" s="1"/>
  <c r="AN50" i="19"/>
  <c r="AN51" i="19" s="1"/>
  <c r="AC51" i="19"/>
  <c r="AD52" i="19"/>
  <c r="AD53" i="19" s="1"/>
  <c r="AF52" i="19"/>
  <c r="AF53" i="19" s="1"/>
  <c r="AH52" i="19"/>
  <c r="AH53" i="19" s="1"/>
  <c r="AJ52" i="19"/>
  <c r="AJ53" i="19" s="1"/>
  <c r="AL52" i="19"/>
  <c r="AL53" i="19" s="1"/>
  <c r="AN52" i="19"/>
  <c r="AN53" i="19" s="1"/>
  <c r="AC53" i="19"/>
  <c r="AD54" i="19"/>
  <c r="AD55" i="19" s="1"/>
  <c r="AF54" i="19"/>
  <c r="AF55" i="19" s="1"/>
  <c r="AH54" i="19"/>
  <c r="AH55" i="19" s="1"/>
  <c r="AJ54" i="19"/>
  <c r="AJ55" i="19" s="1"/>
  <c r="AL54" i="19"/>
  <c r="AL55" i="19" s="1"/>
  <c r="AN54" i="19"/>
  <c r="AN55" i="19" s="1"/>
  <c r="AG56" i="19"/>
  <c r="AG57" i="19" s="1"/>
  <c r="AI56" i="19"/>
  <c r="AI57" i="19" s="1"/>
  <c r="AK56" i="19"/>
  <c r="AK57" i="19" s="1"/>
  <c r="AM56" i="19"/>
  <c r="AM57" i="19" s="1"/>
  <c r="AO56" i="19"/>
  <c r="AO57" i="19" s="1"/>
  <c r="AG58" i="19"/>
  <c r="AG59" i="19" s="1"/>
  <c r="AI58" i="19"/>
  <c r="AI59" i="19" s="1"/>
  <c r="AK58" i="19"/>
  <c r="AK59" i="19" s="1"/>
  <c r="AM58" i="19"/>
  <c r="AM59" i="19" s="1"/>
  <c r="AO58" i="19"/>
  <c r="AO59" i="19" s="1"/>
  <c r="AD60" i="19"/>
  <c r="AD61" i="19" s="1"/>
  <c r="AF60" i="19"/>
  <c r="AF61" i="19" s="1"/>
  <c r="AH60" i="19"/>
  <c r="AH61" i="19" s="1"/>
  <c r="AJ60" i="19"/>
  <c r="AJ61" i="19" s="1"/>
  <c r="AL60" i="19"/>
  <c r="AL61" i="19" s="1"/>
  <c r="AN60" i="19"/>
  <c r="AN61" i="19" s="1"/>
  <c r="AC61" i="19"/>
  <c r="AD62" i="19"/>
  <c r="AD63" i="19" s="1"/>
  <c r="AF62" i="19"/>
  <c r="AF63" i="19" s="1"/>
  <c r="AH62" i="19"/>
  <c r="AH63" i="19" s="1"/>
  <c r="AJ62" i="19"/>
  <c r="AJ63" i="19" s="1"/>
  <c r="AL62" i="19"/>
  <c r="AL63" i="19" s="1"/>
  <c r="AN62" i="19"/>
  <c r="AN63" i="19" s="1"/>
  <c r="AC63" i="19"/>
  <c r="AD64" i="19"/>
  <c r="AD65" i="19" s="1"/>
  <c r="AF64" i="19"/>
  <c r="AF65" i="19" s="1"/>
  <c r="AH64" i="19"/>
  <c r="AH65" i="19" s="1"/>
  <c r="AJ64" i="19"/>
  <c r="AJ65" i="19" s="1"/>
  <c r="AL64" i="19"/>
  <c r="AL65" i="19" s="1"/>
  <c r="AN64" i="19"/>
  <c r="AN65" i="19" s="1"/>
  <c r="AC65" i="19"/>
  <c r="AD66" i="19"/>
  <c r="AD67" i="19" s="1"/>
  <c r="AF66" i="19"/>
  <c r="AF67" i="19" s="1"/>
  <c r="AH66" i="19"/>
  <c r="AH67" i="19" s="1"/>
  <c r="AJ66" i="19"/>
  <c r="AJ67" i="19" s="1"/>
  <c r="AL66" i="19"/>
  <c r="AL67" i="19" s="1"/>
  <c r="AN66" i="19"/>
  <c r="AN67" i="19" s="1"/>
  <c r="AC67" i="19"/>
  <c r="AD68" i="19"/>
  <c r="AD69" i="19" s="1"/>
  <c r="AF68" i="19"/>
  <c r="AF69" i="19" s="1"/>
  <c r="AH68" i="19"/>
  <c r="AH69" i="19" s="1"/>
  <c r="AJ68" i="19"/>
  <c r="AJ69" i="19" s="1"/>
  <c r="AL68" i="19"/>
  <c r="AL69" i="19" s="1"/>
  <c r="AN68" i="19"/>
  <c r="AN69" i="19" s="1"/>
  <c r="AC69" i="19"/>
  <c r="AD70" i="19"/>
  <c r="AD71" i="19" s="1"/>
  <c r="AF70" i="19"/>
  <c r="AF71" i="19" s="1"/>
  <c r="AH70" i="19"/>
  <c r="AH71" i="19" s="1"/>
  <c r="AJ70" i="19"/>
  <c r="AJ71" i="19" s="1"/>
  <c r="AL70" i="19"/>
  <c r="AL71" i="19" s="1"/>
  <c r="AN70" i="19"/>
  <c r="AN71" i="19" s="1"/>
  <c r="AG72" i="19"/>
  <c r="AG73" i="19" s="1"/>
  <c r="AI72" i="19"/>
  <c r="AI73" i="19" s="1"/>
  <c r="AK72" i="19"/>
  <c r="AK73" i="19" s="1"/>
  <c r="AM72" i="19"/>
  <c r="AM73" i="19" s="1"/>
  <c r="AG74" i="19"/>
  <c r="AG75" i="19" s="1"/>
  <c r="AI74" i="19"/>
  <c r="AI75" i="19" s="1"/>
  <c r="AK74" i="19"/>
  <c r="AK75" i="19" s="1"/>
  <c r="AM74" i="19"/>
  <c r="AM75" i="19" s="1"/>
  <c r="AG76" i="19"/>
  <c r="AG77" i="19" s="1"/>
  <c r="AI76" i="19"/>
  <c r="AI77" i="19" s="1"/>
  <c r="AK76" i="19"/>
  <c r="AK77" i="19" s="1"/>
  <c r="AM76" i="19"/>
  <c r="AM77" i="19" s="1"/>
  <c r="AG78" i="19"/>
  <c r="AG79" i="19" s="1"/>
  <c r="AI78" i="19"/>
  <c r="AI79" i="19" s="1"/>
  <c r="AK78" i="19"/>
  <c r="AK79" i="19" s="1"/>
  <c r="AM78" i="19"/>
  <c r="AM79" i="19" s="1"/>
  <c r="AO78" i="19"/>
  <c r="AO79" i="19" s="1"/>
  <c r="AD80" i="19"/>
  <c r="AD81" i="19" s="1"/>
  <c r="AF80" i="19"/>
  <c r="AF81" i="19" s="1"/>
  <c r="AH80" i="19"/>
  <c r="AH81" i="19" s="1"/>
  <c r="AJ80" i="19"/>
  <c r="AJ81" i="19" s="1"/>
  <c r="AL80" i="19"/>
  <c r="AL81" i="19" s="1"/>
  <c r="AN80" i="19"/>
  <c r="AN81" i="19" s="1"/>
  <c r="AC81" i="19"/>
  <c r="AD82" i="19"/>
  <c r="AD83" i="19" s="1"/>
  <c r="AF82" i="19"/>
  <c r="AF83" i="19" s="1"/>
  <c r="AH82" i="19"/>
  <c r="AH83" i="19" s="1"/>
  <c r="AJ82" i="19"/>
  <c r="AJ83" i="19" s="1"/>
  <c r="AL82" i="19"/>
  <c r="AL83" i="19" s="1"/>
  <c r="AI84" i="19"/>
  <c r="AI85" i="19" s="1"/>
  <c r="AG86" i="19"/>
  <c r="AG87" i="19" s="1"/>
  <c r="AK86" i="19"/>
  <c r="AK87" i="19" s="1"/>
  <c r="AO86" i="19"/>
  <c r="AO87" i="19" s="1"/>
  <c r="AI88" i="19"/>
  <c r="AI89" i="19" s="1"/>
  <c r="AG90" i="19"/>
  <c r="AG91" i="19" s="1"/>
  <c r="AK90" i="19"/>
  <c r="AK91" i="19" s="1"/>
  <c r="AO90" i="19"/>
  <c r="AO91" i="19" s="1"/>
  <c r="AC83" i="19"/>
  <c r="AN82" i="19"/>
  <c r="AN83" i="19" s="1"/>
  <c r="AC85" i="19"/>
  <c r="AN84" i="19"/>
  <c r="AN85" i="19" s="1"/>
  <c r="AL84" i="19"/>
  <c r="AL85" i="19" s="1"/>
  <c r="AJ84" i="19"/>
  <c r="AJ85" i="19" s="1"/>
  <c r="AH84" i="19"/>
  <c r="AH85" i="19" s="1"/>
  <c r="AF84" i="19"/>
  <c r="AF85" i="19" s="1"/>
  <c r="AD84" i="19"/>
  <c r="AD85" i="19" s="1"/>
  <c r="AC89" i="19"/>
  <c r="AN88" i="19"/>
  <c r="AN89" i="19" s="1"/>
  <c r="AL88" i="19"/>
  <c r="AL89" i="19" s="1"/>
  <c r="AJ88" i="19"/>
  <c r="AJ89" i="19" s="1"/>
  <c r="AH88" i="19"/>
  <c r="AH89" i="19" s="1"/>
  <c r="AF88" i="19"/>
  <c r="AF89" i="19" s="1"/>
  <c r="AD88" i="19"/>
  <c r="AD89" i="19" s="1"/>
  <c r="AG48" i="19"/>
  <c r="AG49" i="19" s="1"/>
  <c r="AI48" i="19"/>
  <c r="AI49" i="19" s="1"/>
  <c r="AK48" i="19"/>
  <c r="AK49" i="19" s="1"/>
  <c r="AM48" i="19"/>
  <c r="AM49" i="19" s="1"/>
  <c r="AG50" i="19"/>
  <c r="AG51" i="19" s="1"/>
  <c r="AI50" i="19"/>
  <c r="AI51" i="19" s="1"/>
  <c r="AK50" i="19"/>
  <c r="AK51" i="19" s="1"/>
  <c r="AM50" i="19"/>
  <c r="AM51" i="19" s="1"/>
  <c r="AG52" i="19"/>
  <c r="AG53" i="19" s="1"/>
  <c r="AI52" i="19"/>
  <c r="AI53" i="19" s="1"/>
  <c r="AK52" i="19"/>
  <c r="AK53" i="19" s="1"/>
  <c r="AM52" i="19"/>
  <c r="AM53" i="19" s="1"/>
  <c r="AG54" i="19"/>
  <c r="AG55" i="19" s="1"/>
  <c r="AI54" i="19"/>
  <c r="AI55" i="19" s="1"/>
  <c r="AK54" i="19"/>
  <c r="AK55" i="19" s="1"/>
  <c r="AM54" i="19"/>
  <c r="AM55" i="19" s="1"/>
  <c r="AD56" i="19"/>
  <c r="AD57" i="19" s="1"/>
  <c r="AF56" i="19"/>
  <c r="AF57" i="19" s="1"/>
  <c r="AH56" i="19"/>
  <c r="AH57" i="19" s="1"/>
  <c r="AJ56" i="19"/>
  <c r="AJ57" i="19" s="1"/>
  <c r="AL56" i="19"/>
  <c r="AL57" i="19" s="1"/>
  <c r="AN56" i="19"/>
  <c r="AN57" i="19" s="1"/>
  <c r="AD58" i="19"/>
  <c r="AD59" i="19" s="1"/>
  <c r="AF58" i="19"/>
  <c r="AF59" i="19" s="1"/>
  <c r="AH58" i="19"/>
  <c r="AH59" i="19" s="1"/>
  <c r="AJ58" i="19"/>
  <c r="AJ59" i="19" s="1"/>
  <c r="AL58" i="19"/>
  <c r="AL59" i="19" s="1"/>
  <c r="AN58" i="19"/>
  <c r="AN59" i="19" s="1"/>
  <c r="AG60" i="19"/>
  <c r="AG61" i="19" s="1"/>
  <c r="AI60" i="19"/>
  <c r="AI61" i="19" s="1"/>
  <c r="AK60" i="19"/>
  <c r="AK61" i="19" s="1"/>
  <c r="AM60" i="19"/>
  <c r="AM61" i="19" s="1"/>
  <c r="AG62" i="19"/>
  <c r="AG63" i="19" s="1"/>
  <c r="AI62" i="19"/>
  <c r="AI63" i="19" s="1"/>
  <c r="AK62" i="19"/>
  <c r="AK63" i="19" s="1"/>
  <c r="AM62" i="19"/>
  <c r="AM63" i="19" s="1"/>
  <c r="AG64" i="19"/>
  <c r="AG65" i="19" s="1"/>
  <c r="AI64" i="19"/>
  <c r="AI65" i="19" s="1"/>
  <c r="AK64" i="19"/>
  <c r="AK65" i="19" s="1"/>
  <c r="AM64" i="19"/>
  <c r="AM65" i="19" s="1"/>
  <c r="AG66" i="19"/>
  <c r="AG67" i="19" s="1"/>
  <c r="AI66" i="19"/>
  <c r="AI67" i="19" s="1"/>
  <c r="AK66" i="19"/>
  <c r="AK67" i="19" s="1"/>
  <c r="AM66" i="19"/>
  <c r="AM67" i="19" s="1"/>
  <c r="AG68" i="19"/>
  <c r="AG69" i="19" s="1"/>
  <c r="AI68" i="19"/>
  <c r="AI69" i="19" s="1"/>
  <c r="AK68" i="19"/>
  <c r="AK69" i="19" s="1"/>
  <c r="AM68" i="19"/>
  <c r="AM69" i="19" s="1"/>
  <c r="AG70" i="19"/>
  <c r="AG71" i="19" s="1"/>
  <c r="AI70" i="19"/>
  <c r="AI71" i="19" s="1"/>
  <c r="AK70" i="19"/>
  <c r="AK71" i="19" s="1"/>
  <c r="AM70" i="19"/>
  <c r="AM71" i="19" s="1"/>
  <c r="AO70" i="19"/>
  <c r="AO71" i="19" s="1"/>
  <c r="AG80" i="19"/>
  <c r="AG81" i="19" s="1"/>
  <c r="AI80" i="19"/>
  <c r="AI81" i="19" s="1"/>
  <c r="AK80" i="19"/>
  <c r="AK81" i="19" s="1"/>
  <c r="AM80" i="19"/>
  <c r="AM81" i="19" s="1"/>
  <c r="AG82" i="19"/>
  <c r="AG83" i="19" s="1"/>
  <c r="AI82" i="19"/>
  <c r="AI83" i="19" s="1"/>
  <c r="AK82" i="19"/>
  <c r="AK83" i="19" s="1"/>
  <c r="AM82" i="19"/>
  <c r="AM83" i="19" s="1"/>
  <c r="AG84" i="19"/>
  <c r="AG85" i="19" s="1"/>
  <c r="AK84" i="19"/>
  <c r="AK85" i="19" s="1"/>
  <c r="AO84" i="19"/>
  <c r="AO85" i="19" s="1"/>
  <c r="AG88" i="19"/>
  <c r="AG89" i="19" s="1"/>
  <c r="AK88" i="19"/>
  <c r="AK89" i="19" s="1"/>
  <c r="AO88" i="19"/>
  <c r="AO89" i="19" s="1"/>
  <c r="AG104" i="19"/>
  <c r="AG105" i="19" s="1"/>
  <c r="AI104" i="19"/>
  <c r="AI105" i="19" s="1"/>
  <c r="AK104" i="19"/>
  <c r="AK105" i="19" s="1"/>
  <c r="AM104" i="19"/>
  <c r="AM105" i="19" s="1"/>
  <c r="AO104" i="19"/>
  <c r="AO105" i="19" s="1"/>
  <c r="AG106" i="19"/>
  <c r="AG107" i="19" s="1"/>
  <c r="AI106" i="19"/>
  <c r="AI107" i="19" s="1"/>
  <c r="AK106" i="19"/>
  <c r="AK107" i="19" s="1"/>
  <c r="AM106" i="19"/>
  <c r="AM107" i="19" s="1"/>
  <c r="AO106" i="19"/>
  <c r="AO107" i="19" s="1"/>
  <c r="AG108" i="19"/>
  <c r="AG109" i="19" s="1"/>
  <c r="AI108" i="19"/>
  <c r="AI109" i="19" s="1"/>
  <c r="AK108" i="19"/>
  <c r="AK109" i="19" s="1"/>
  <c r="AM108" i="19"/>
  <c r="AM109" i="19" s="1"/>
  <c r="AO108" i="19"/>
  <c r="AO109" i="19" s="1"/>
  <c r="AG110" i="19"/>
  <c r="AG111" i="19" s="1"/>
  <c r="AI110" i="19"/>
  <c r="AI111" i="19" s="1"/>
  <c r="AK110" i="19"/>
  <c r="AK111" i="19" s="1"/>
  <c r="AM110" i="19"/>
  <c r="AM111" i="19" s="1"/>
  <c r="AO110" i="19"/>
  <c r="AO111" i="19" s="1"/>
  <c r="AC111" i="19"/>
  <c r="AD112" i="19"/>
  <c r="AD113" i="19" s="1"/>
  <c r="AF112" i="19"/>
  <c r="AF113" i="19" s="1"/>
  <c r="AH112" i="19"/>
  <c r="AH113" i="19" s="1"/>
  <c r="AJ112" i="19"/>
  <c r="AJ113" i="19" s="1"/>
  <c r="AL112" i="19"/>
  <c r="AL113" i="19" s="1"/>
  <c r="AN112" i="19"/>
  <c r="AN113" i="19" s="1"/>
  <c r="AC113" i="19"/>
  <c r="AD114" i="19"/>
  <c r="AD115" i="19" s="1"/>
  <c r="AF114" i="19"/>
  <c r="AF115" i="19" s="1"/>
  <c r="AH114" i="19"/>
  <c r="AH115" i="19" s="1"/>
  <c r="AJ114" i="19"/>
  <c r="AJ115" i="19" s="1"/>
  <c r="AL114" i="19"/>
  <c r="AL115" i="19" s="1"/>
  <c r="AN114" i="19"/>
  <c r="AN115" i="19" s="1"/>
  <c r="AC115" i="19"/>
  <c r="AD116" i="19"/>
  <c r="AD117" i="19" s="1"/>
  <c r="AF116" i="19"/>
  <c r="AF117" i="19" s="1"/>
  <c r="AH116" i="19"/>
  <c r="AH117" i="19" s="1"/>
  <c r="AJ116" i="19"/>
  <c r="AJ117" i="19" s="1"/>
  <c r="AL116" i="19"/>
  <c r="AL117" i="19" s="1"/>
  <c r="AN116" i="19"/>
  <c r="AN117" i="19" s="1"/>
  <c r="AC117" i="19"/>
  <c r="AD118" i="19"/>
  <c r="AD119" i="19" s="1"/>
  <c r="AF118" i="19"/>
  <c r="AF119" i="19" s="1"/>
  <c r="AH118" i="19"/>
  <c r="AH119" i="19" s="1"/>
  <c r="AJ118" i="19"/>
  <c r="AJ119" i="19" s="1"/>
  <c r="AL118" i="19"/>
  <c r="AL119" i="19" s="1"/>
  <c r="AN118" i="19"/>
  <c r="AN119" i="19" s="1"/>
  <c r="AC119" i="19"/>
  <c r="AD120" i="19"/>
  <c r="AD121" i="19" s="1"/>
  <c r="AF120" i="19"/>
  <c r="AF121" i="19" s="1"/>
  <c r="AH120" i="19"/>
  <c r="AH121" i="19" s="1"/>
  <c r="AJ120" i="19"/>
  <c r="AJ121" i="19" s="1"/>
  <c r="AL120" i="19"/>
  <c r="AL121" i="19" s="1"/>
  <c r="AN120" i="19"/>
  <c r="AN121" i="19" s="1"/>
  <c r="AC121" i="19"/>
  <c r="AD122" i="19"/>
  <c r="AD123" i="19" s="1"/>
  <c r="AF122" i="19"/>
  <c r="AF123" i="19" s="1"/>
  <c r="AH122" i="19"/>
  <c r="AH123" i="19" s="1"/>
  <c r="AJ122" i="19"/>
  <c r="AJ123" i="19" s="1"/>
  <c r="AL122" i="19"/>
  <c r="AL123" i="19" s="1"/>
  <c r="AN122" i="19"/>
  <c r="AN123" i="19" s="1"/>
  <c r="AC123" i="19"/>
  <c r="AG92" i="19"/>
  <c r="AG93" i="19" s="1"/>
  <c r="AI92" i="19"/>
  <c r="AI93" i="19" s="1"/>
  <c r="AK92" i="19"/>
  <c r="AK93" i="19" s="1"/>
  <c r="AM92" i="19"/>
  <c r="AM93" i="19" s="1"/>
  <c r="AG94" i="19"/>
  <c r="AG95" i="19" s="1"/>
  <c r="AI94" i="19"/>
  <c r="AI95" i="19" s="1"/>
  <c r="AK94" i="19"/>
  <c r="AK95" i="19" s="1"/>
  <c r="AM94" i="19"/>
  <c r="AM95" i="19" s="1"/>
  <c r="AG96" i="19"/>
  <c r="AG97" i="19" s="1"/>
  <c r="AI96" i="19"/>
  <c r="AI97" i="19" s="1"/>
  <c r="AK96" i="19"/>
  <c r="AK97" i="19" s="1"/>
  <c r="AM96" i="19"/>
  <c r="AM97" i="19" s="1"/>
  <c r="AG98" i="19"/>
  <c r="AG99" i="19" s="1"/>
  <c r="AI98" i="19"/>
  <c r="AI99" i="19" s="1"/>
  <c r="AK98" i="19"/>
  <c r="AK99" i="19" s="1"/>
  <c r="AM98" i="19"/>
  <c r="AM99" i="19" s="1"/>
  <c r="AG100" i="19"/>
  <c r="AG101" i="19" s="1"/>
  <c r="AI100" i="19"/>
  <c r="AI101" i="19" s="1"/>
  <c r="AK100" i="19"/>
  <c r="AK101" i="19" s="1"/>
  <c r="AM100" i="19"/>
  <c r="AM101" i="19" s="1"/>
  <c r="AG102" i="19"/>
  <c r="AG103" i="19" s="1"/>
  <c r="AI102" i="19"/>
  <c r="AI103" i="19" s="1"/>
  <c r="AK102" i="19"/>
  <c r="AK103" i="19" s="1"/>
  <c r="AM102" i="19"/>
  <c r="AM103" i="19" s="1"/>
  <c r="AO102" i="19"/>
  <c r="AO103" i="19" s="1"/>
  <c r="AD104" i="19"/>
  <c r="AD105" i="19" s="1"/>
  <c r="AF104" i="19"/>
  <c r="AF105" i="19" s="1"/>
  <c r="AH104" i="19"/>
  <c r="AH105" i="19" s="1"/>
  <c r="AJ104" i="19"/>
  <c r="AJ105" i="19" s="1"/>
  <c r="AL104" i="19"/>
  <c r="AL105" i="19" s="1"/>
  <c r="AN104" i="19"/>
  <c r="AN105" i="19" s="1"/>
  <c r="AD106" i="19"/>
  <c r="AD107" i="19" s="1"/>
  <c r="AF106" i="19"/>
  <c r="AF107" i="19" s="1"/>
  <c r="AH106" i="19"/>
  <c r="AH107" i="19" s="1"/>
  <c r="AJ106" i="19"/>
  <c r="AJ107" i="19" s="1"/>
  <c r="AL106" i="19"/>
  <c r="AL107" i="19" s="1"/>
  <c r="AN106" i="19"/>
  <c r="AN107" i="19" s="1"/>
  <c r="AD108" i="19"/>
  <c r="AD109" i="19" s="1"/>
  <c r="AF108" i="19"/>
  <c r="AF109" i="19" s="1"/>
  <c r="AH108" i="19"/>
  <c r="AH109" i="19" s="1"/>
  <c r="AJ108" i="19"/>
  <c r="AJ109" i="19" s="1"/>
  <c r="AL108" i="19"/>
  <c r="AL109" i="19" s="1"/>
  <c r="AN108" i="19"/>
  <c r="AN109" i="19" s="1"/>
  <c r="AD110" i="19"/>
  <c r="AD111" i="19" s="1"/>
  <c r="AF110" i="19"/>
  <c r="AF111" i="19" s="1"/>
  <c r="AH110" i="19"/>
  <c r="AH111" i="19" s="1"/>
  <c r="AJ110" i="19"/>
  <c r="AJ111" i="19" s="1"/>
  <c r="AL110" i="19"/>
  <c r="AL111" i="19" s="1"/>
  <c r="AG112" i="19"/>
  <c r="AG113" i="19" s="1"/>
  <c r="AI112" i="19"/>
  <c r="AI113" i="19" s="1"/>
  <c r="AK112" i="19"/>
  <c r="AK113" i="19" s="1"/>
  <c r="AM112" i="19"/>
  <c r="AM113" i="19" s="1"/>
  <c r="AG114" i="19"/>
  <c r="AG115" i="19" s="1"/>
  <c r="AI114" i="19"/>
  <c r="AI115" i="19" s="1"/>
  <c r="AK114" i="19"/>
  <c r="AK115" i="19" s="1"/>
  <c r="AM114" i="19"/>
  <c r="AM115" i="19" s="1"/>
  <c r="AG116" i="19"/>
  <c r="AG117" i="19" s="1"/>
  <c r="AI116" i="19"/>
  <c r="AI117" i="19" s="1"/>
  <c r="AK116" i="19"/>
  <c r="AK117" i="19" s="1"/>
  <c r="AM116" i="19"/>
  <c r="AM117" i="19" s="1"/>
  <c r="AG118" i="19"/>
  <c r="AG119" i="19" s="1"/>
  <c r="AI118" i="19"/>
  <c r="AI119" i="19" s="1"/>
  <c r="AK118" i="19"/>
  <c r="AK119" i="19" s="1"/>
  <c r="AM118" i="19"/>
  <c r="AM119" i="19" s="1"/>
  <c r="AG120" i="19"/>
  <c r="AG121" i="19" s="1"/>
  <c r="AI120" i="19"/>
  <c r="AI121" i="19" s="1"/>
  <c r="AK120" i="19"/>
  <c r="AK121" i="19" s="1"/>
  <c r="AM120" i="19"/>
  <c r="AM121" i="19" s="1"/>
  <c r="AG122" i="19"/>
  <c r="AG123" i="19" s="1"/>
  <c r="AI122" i="19"/>
  <c r="AI123" i="19" s="1"/>
  <c r="AK122" i="19"/>
  <c r="AK123" i="19" s="1"/>
  <c r="AM122" i="19"/>
  <c r="AM123" i="19" s="1"/>
  <c r="AG5" i="20" l="1"/>
  <c r="AG6" i="20" s="1"/>
  <c r="AG4" i="20"/>
</calcChain>
</file>

<file path=xl/sharedStrings.xml><?xml version="1.0" encoding="utf-8"?>
<sst xmlns="http://schemas.openxmlformats.org/spreadsheetml/2006/main" count="26352" uniqueCount="3893">
  <si>
    <t>3ع ت1</t>
  </si>
  <si>
    <t>3ع ت2</t>
  </si>
  <si>
    <t>2ع ت1</t>
  </si>
  <si>
    <t>2ع ت2</t>
  </si>
  <si>
    <t>2ل أ</t>
  </si>
  <si>
    <t>القسم</t>
  </si>
  <si>
    <t>2ت ر</t>
  </si>
  <si>
    <t>الصفة</t>
  </si>
  <si>
    <t>1ج م ع3</t>
  </si>
  <si>
    <t>3ل أ</t>
  </si>
  <si>
    <t>1ج م ع1</t>
  </si>
  <si>
    <t>1ج م ع2</t>
  </si>
  <si>
    <t>3ريا</t>
  </si>
  <si>
    <t>2آ ف</t>
  </si>
  <si>
    <t>طيبي</t>
  </si>
  <si>
    <t>أحلام</t>
  </si>
  <si>
    <t>بلفكرون</t>
  </si>
  <si>
    <t>حميدة</t>
  </si>
  <si>
    <t>كرناف</t>
  </si>
  <si>
    <t>3ت واق</t>
  </si>
  <si>
    <t>عربوز</t>
  </si>
  <si>
    <t>خيرة</t>
  </si>
  <si>
    <t>3آ ف</t>
  </si>
  <si>
    <t>سهام</t>
  </si>
  <si>
    <t>مدوني</t>
  </si>
  <si>
    <t>بشرى</t>
  </si>
  <si>
    <t>حكيمة</t>
  </si>
  <si>
    <t>شيماء</t>
  </si>
  <si>
    <t>أسماء</t>
  </si>
  <si>
    <t>بوشريط</t>
  </si>
  <si>
    <t>يمينة</t>
  </si>
  <si>
    <t>بسباسي</t>
  </si>
  <si>
    <t>حليمة</t>
  </si>
  <si>
    <t>عائشة</t>
  </si>
  <si>
    <t>فادية</t>
  </si>
  <si>
    <t>1ج م آ1</t>
  </si>
  <si>
    <t>خولة</t>
  </si>
  <si>
    <t>خلود</t>
  </si>
  <si>
    <t>خديجة</t>
  </si>
  <si>
    <t>1ج م آ2</t>
  </si>
  <si>
    <t>البحري</t>
  </si>
  <si>
    <t xml:space="preserve">دار سبع </t>
  </si>
  <si>
    <t>سعدوني</t>
  </si>
  <si>
    <t>إيمان</t>
  </si>
  <si>
    <t>عصام</t>
  </si>
  <si>
    <t>بن بارك</t>
  </si>
  <si>
    <t>مكيكة</t>
  </si>
  <si>
    <t>نعيمة</t>
  </si>
  <si>
    <t>فاطمة الزهرة</t>
  </si>
  <si>
    <t>دار نموس</t>
  </si>
  <si>
    <t>2ت واق</t>
  </si>
  <si>
    <t xml:space="preserve">البحري </t>
  </si>
  <si>
    <t>بن يوسف</t>
  </si>
  <si>
    <t>مريم</t>
  </si>
  <si>
    <t>بوشتة</t>
  </si>
  <si>
    <t>دوكالي</t>
  </si>
  <si>
    <t>عدوني</t>
  </si>
  <si>
    <t>بوهند</t>
  </si>
  <si>
    <t>مطموس</t>
  </si>
  <si>
    <t>زعقوق</t>
  </si>
  <si>
    <t>لدمك</t>
  </si>
  <si>
    <t>أمينة</t>
  </si>
  <si>
    <t>قندوسي</t>
  </si>
  <si>
    <t>لكحل</t>
  </si>
  <si>
    <t>رقية</t>
  </si>
  <si>
    <t>بلبركاني</t>
  </si>
  <si>
    <t>بحيري</t>
  </si>
  <si>
    <t>فريال</t>
  </si>
  <si>
    <t>الميلودي</t>
  </si>
  <si>
    <t>نسرين</t>
  </si>
  <si>
    <t>لعسل</t>
  </si>
  <si>
    <t>فاطمة</t>
  </si>
  <si>
    <t>رمدوم</t>
  </si>
  <si>
    <t xml:space="preserve">حملات </t>
  </si>
  <si>
    <t>عمر</t>
  </si>
  <si>
    <t>مناد</t>
  </si>
  <si>
    <t>خالد</t>
  </si>
  <si>
    <t>يونس</t>
  </si>
  <si>
    <t>الجمهورية الجزائرية الديمقراطية الشعبية</t>
  </si>
  <si>
    <t>وزارة التربية الوطنية</t>
  </si>
  <si>
    <t xml:space="preserve"> مـديـريـة  الـتـربـية  لـولايــة سـيدي  بـلـعـباس</t>
  </si>
  <si>
    <t>قـائـمـة  الـتـلامـيذ  الحاضرين إلى غاية أول أكتوبر</t>
  </si>
  <si>
    <t>ر ت</t>
  </si>
  <si>
    <t>اللقـــــب</t>
  </si>
  <si>
    <t>الإســـم</t>
  </si>
  <si>
    <t>إسم الولي</t>
  </si>
  <si>
    <t>مـهنـته</t>
  </si>
  <si>
    <t>الـعنـــــــــوان</t>
  </si>
  <si>
    <t>إسم الوكيل</t>
  </si>
  <si>
    <t>عنوان الوكيل</t>
  </si>
  <si>
    <t>سفيزف</t>
  </si>
  <si>
    <t>خارجية</t>
  </si>
  <si>
    <t>ممرض</t>
  </si>
  <si>
    <t>بوجلال</t>
  </si>
  <si>
    <t>يحي</t>
  </si>
  <si>
    <t>العسري</t>
  </si>
  <si>
    <t>خارجي</t>
  </si>
  <si>
    <t>عامل</t>
  </si>
  <si>
    <t>محمد الأمين</t>
  </si>
  <si>
    <t>حي السوريكور سفيزف</t>
  </si>
  <si>
    <t>عمرون</t>
  </si>
  <si>
    <t>محمد</t>
  </si>
  <si>
    <t>تاجر</t>
  </si>
  <si>
    <t>موظف</t>
  </si>
  <si>
    <t>س بلعباس</t>
  </si>
  <si>
    <t>علي</t>
  </si>
  <si>
    <t>بلعباس</t>
  </si>
  <si>
    <t>أحمد</t>
  </si>
  <si>
    <t>عين آدن</t>
  </si>
  <si>
    <t>سيق</t>
  </si>
  <si>
    <t>بوحنيفية</t>
  </si>
  <si>
    <t>متقاعد</t>
  </si>
  <si>
    <t>قادة</t>
  </si>
  <si>
    <t>بناء</t>
  </si>
  <si>
    <t>العرباوي</t>
  </si>
  <si>
    <t>كنزة</t>
  </si>
  <si>
    <t>بوقبرين</t>
  </si>
  <si>
    <t>نور الهدى</t>
  </si>
  <si>
    <t>جيلالي</t>
  </si>
  <si>
    <t>متوفي</t>
  </si>
  <si>
    <t>فاطمة الزهراء</t>
  </si>
  <si>
    <t>سائق</t>
  </si>
  <si>
    <t>زمالي</t>
  </si>
  <si>
    <t>فلاح</t>
  </si>
  <si>
    <t xml:space="preserve">عمرون </t>
  </si>
  <si>
    <t>فليو</t>
  </si>
  <si>
    <t>كريم</t>
  </si>
  <si>
    <t>كشار</t>
  </si>
  <si>
    <t>لا شئ</t>
  </si>
  <si>
    <t>حي كشار صحراوي سفيزف</t>
  </si>
  <si>
    <t>حفاظ</t>
  </si>
  <si>
    <t>ياسين</t>
  </si>
  <si>
    <t>مختار</t>
  </si>
  <si>
    <t>وهران</t>
  </si>
  <si>
    <t>مصطفى</t>
  </si>
  <si>
    <t>أستاذ</t>
  </si>
  <si>
    <t>معسكر</t>
  </si>
  <si>
    <t>بن حويدقة</t>
  </si>
  <si>
    <t>منال</t>
  </si>
  <si>
    <t>هاجر</t>
  </si>
  <si>
    <t>زعتر</t>
  </si>
  <si>
    <t>لخضر</t>
  </si>
  <si>
    <t>حنان</t>
  </si>
  <si>
    <t>بوعود</t>
  </si>
  <si>
    <t>الحبيب</t>
  </si>
  <si>
    <t>محال</t>
  </si>
  <si>
    <t>محمد أمين</t>
  </si>
  <si>
    <t>منصور</t>
  </si>
  <si>
    <t>ثانوية بوخلدة عبد القادر سفيزف</t>
  </si>
  <si>
    <t>احمد</t>
  </si>
  <si>
    <t>بن حميميدي</t>
  </si>
  <si>
    <t>جلول</t>
  </si>
  <si>
    <t>سلام</t>
  </si>
  <si>
    <t>مهاجي</t>
  </si>
  <si>
    <t>مبسوط</t>
  </si>
  <si>
    <t>موحوش</t>
  </si>
  <si>
    <t>هلال</t>
  </si>
  <si>
    <t>سعاد</t>
  </si>
  <si>
    <t>وسواس</t>
  </si>
  <si>
    <t>حارس</t>
  </si>
  <si>
    <t>شرطي</t>
  </si>
  <si>
    <t xml:space="preserve">حمادن </t>
  </si>
  <si>
    <t>رحموني</t>
  </si>
  <si>
    <t>سمية</t>
  </si>
  <si>
    <t>بنابي</t>
  </si>
  <si>
    <t>صحراوي</t>
  </si>
  <si>
    <t>معلم</t>
  </si>
  <si>
    <t>طالبي</t>
  </si>
  <si>
    <t>بوخالفة</t>
  </si>
  <si>
    <t>ميلود</t>
  </si>
  <si>
    <t>تيرس</t>
  </si>
  <si>
    <t>جلال</t>
  </si>
  <si>
    <t>بولعرج</t>
  </si>
  <si>
    <t>ديداوي</t>
  </si>
  <si>
    <t>كوثر</t>
  </si>
  <si>
    <t>صارة</t>
  </si>
  <si>
    <t>حي هواري بومدين سفيزف</t>
  </si>
  <si>
    <t>عربوش</t>
  </si>
  <si>
    <t>سعيدة</t>
  </si>
  <si>
    <t>غالي</t>
  </si>
  <si>
    <t>مالك</t>
  </si>
  <si>
    <t>براوي</t>
  </si>
  <si>
    <t>بن شيخ</t>
  </si>
  <si>
    <t>حي141سكن سفيزف</t>
  </si>
  <si>
    <t>منصورة</t>
  </si>
  <si>
    <t>نوالة</t>
  </si>
  <si>
    <t>بكار</t>
  </si>
  <si>
    <t>إسلام</t>
  </si>
  <si>
    <t xml:space="preserve">طيبي </t>
  </si>
  <si>
    <t>علاء الدين</t>
  </si>
  <si>
    <t>معرف</t>
  </si>
  <si>
    <t>ابراهيم</t>
  </si>
  <si>
    <t>عبوني</t>
  </si>
  <si>
    <t>باحة</t>
  </si>
  <si>
    <t>الشلف</t>
  </si>
  <si>
    <t>حي بوخنفوس مختار سفيزف</t>
  </si>
  <si>
    <t>وليد</t>
  </si>
  <si>
    <t>ريغي</t>
  </si>
  <si>
    <t>الحسين</t>
  </si>
  <si>
    <t>حميدي</t>
  </si>
  <si>
    <t xml:space="preserve">زنازل </t>
  </si>
  <si>
    <t>يوسف</t>
  </si>
  <si>
    <t>تلاغ</t>
  </si>
  <si>
    <t>مديرية التربيةاولاية سيدي بلعباس</t>
  </si>
  <si>
    <t>يؤسفني أن أخبركم بأن ابنكم-ابنتكم</t>
  </si>
  <si>
    <t>في غياب غير شرعي، دون تقديم أي مبرر مقبول لذلك.</t>
  </si>
  <si>
    <t xml:space="preserve">                               </t>
  </si>
  <si>
    <t>الحمهورية الجزائرية الديمقراطية الشعبية</t>
  </si>
  <si>
    <t>و عملا بالمادة 21 منه.</t>
  </si>
  <si>
    <t xml:space="preserve">  طبقا للقرار الوزاري رقم833 المؤرخ في 13/11/1991 </t>
  </si>
  <si>
    <t>مستشار التربية</t>
  </si>
  <si>
    <t xml:space="preserve"> فور استلام هذاالاشعار مصحوب ببطاقة التعريف الوطنية.</t>
  </si>
  <si>
    <t xml:space="preserve">الرجاء الاتصال بمصلحة الاستشارة التربوية لتبرير هذا الغياب </t>
  </si>
  <si>
    <t>................................................</t>
  </si>
  <si>
    <t>سبب الغياب :.....................................</t>
  </si>
  <si>
    <t xml:space="preserve">                  وزارة التربية الوطنية</t>
  </si>
  <si>
    <t xml:space="preserve">الى السيد(ة):        </t>
  </si>
  <si>
    <t xml:space="preserve">الأسم و اللقب:                  </t>
  </si>
  <si>
    <t xml:space="preserve">القسم: </t>
  </si>
  <si>
    <r>
      <t xml:space="preserve">  </t>
    </r>
    <r>
      <rPr>
        <b/>
        <sz val="14"/>
        <color theme="1"/>
        <rFont val="Arabic Transparent"/>
        <charset val="178"/>
      </rPr>
      <t>سفيزف في:</t>
    </r>
  </si>
  <si>
    <t>مديرية التربية لولاية سيدي بلعباس</t>
  </si>
  <si>
    <t xml:space="preserve">ثانوية بوخلدة عبد القادر سفيزف     </t>
  </si>
  <si>
    <t>الموضوع/: اعــذار</t>
  </si>
  <si>
    <t>نحيطكم علما بأن ابنكم/ابنتكم</t>
  </si>
  <si>
    <t xml:space="preserve"> قد تمادى في الغياب دون مبرر و اذا لم يلتحق بالمؤسسة سيشطب عليه    </t>
  </si>
  <si>
    <t xml:space="preserve">من القوائم الرسمية فور انقضاء المهلة القانونية. </t>
  </si>
  <si>
    <t xml:space="preserve">الرجاء اصطحاب هذا الاعذار مع بطاقة التعريف الوطنية </t>
  </si>
  <si>
    <t>فور استلامه الى مصلحة الاستشارة التربوية</t>
  </si>
  <si>
    <t xml:space="preserve"> حرر بسفيزف في: </t>
  </si>
  <si>
    <r>
      <t xml:space="preserve"> </t>
    </r>
    <r>
      <rPr>
        <b/>
        <sz val="14"/>
        <color theme="1"/>
        <rFont val="Arabic Transparent"/>
        <charset val="178"/>
      </rPr>
      <t>المديـــر</t>
    </r>
  </si>
  <si>
    <t>وعملا بالمادة21 منه.</t>
  </si>
  <si>
    <t xml:space="preserve"> قد تمادى في الغياب دون مبرر و اذا لم يلتحق بالمؤسسة سيشطب    </t>
  </si>
  <si>
    <t xml:space="preserve">عليه الرجاء اصطحاب هذا الاعذار مع بطاقة التعريف الوطنية </t>
  </si>
  <si>
    <t xml:space="preserve">مديرية التربية لولاية سيدي بلعباس        </t>
  </si>
  <si>
    <t>استـدعـاء</t>
  </si>
  <si>
    <t>يرجى منكم الحضور إلى المؤسسة: مكتب :</t>
  </si>
  <si>
    <t>المــدير – الناظــــر – مستشار التربية .</t>
  </si>
  <si>
    <t>القســــم:</t>
  </si>
  <si>
    <t xml:space="preserve"> الى السيد:</t>
  </si>
  <si>
    <t xml:space="preserve">ثانوية بوخلدة عبد القادر سفيزف </t>
  </si>
  <si>
    <t>الموضوع:شطب ابنكم-ابنتكم من قوائم المؤسسة</t>
  </si>
  <si>
    <t>من قوائم الرسمية بعد المراسلات التالية التي لم تحضى بجواب منكم:</t>
  </si>
  <si>
    <t xml:space="preserve">الـمـد يــر           </t>
  </si>
  <si>
    <t>طبقا للقرار الوزاري رقم 833 المؤرخ في 13/11/1991</t>
  </si>
  <si>
    <t>و عملا بالمادة 21 منه</t>
  </si>
  <si>
    <t>لأمر يهم إبنكم – إبنتكم التلميذ(ة):</t>
  </si>
  <si>
    <t xml:space="preserve">اللقب الاسم: </t>
  </si>
  <si>
    <t>القسم:</t>
  </si>
  <si>
    <t>سفيزف في:</t>
  </si>
  <si>
    <t xml:space="preserve">      الجمهورية الجزائرية الديمقراطية الشعبية </t>
  </si>
  <si>
    <t>الاول</t>
  </si>
  <si>
    <t xml:space="preserve">الموضوع/: اشعار بالغياب </t>
  </si>
  <si>
    <t>الثاني</t>
  </si>
  <si>
    <t xml:space="preserve">الجمهورية الجزائرية الديمقراطية الشعبية </t>
  </si>
  <si>
    <t>وزارة التربية الوطنبة</t>
  </si>
  <si>
    <t>مديرية التربية سيدي بلعباس</t>
  </si>
  <si>
    <t>ثانوية بوخلدة عبدالقادر-سفيزف</t>
  </si>
  <si>
    <t>التاريخ :</t>
  </si>
  <si>
    <t>الرقم</t>
  </si>
  <si>
    <t>المادة</t>
  </si>
  <si>
    <t>ملاحظات</t>
  </si>
  <si>
    <t>غيابات الأساتذة :</t>
  </si>
  <si>
    <t>رياضيات</t>
  </si>
  <si>
    <t>3ت ا ق</t>
  </si>
  <si>
    <t>1ج م ا2</t>
  </si>
  <si>
    <t>3ا ف</t>
  </si>
  <si>
    <t>مقدم حورية</t>
  </si>
  <si>
    <t>عصماني هاجر</t>
  </si>
  <si>
    <t>3ل ا</t>
  </si>
  <si>
    <t>المراحي بلحول</t>
  </si>
  <si>
    <t>فيزياء</t>
  </si>
  <si>
    <t>بلوحي لخضر</t>
  </si>
  <si>
    <t>فارحي مامة</t>
  </si>
  <si>
    <t>مبسوط رزقي</t>
  </si>
  <si>
    <t>خشعي فتيحة</t>
  </si>
  <si>
    <t>نوالة معزوزة</t>
  </si>
  <si>
    <t>عتو فاطمة</t>
  </si>
  <si>
    <t>مغربي محمد</t>
  </si>
  <si>
    <t>فليو احمد</t>
  </si>
  <si>
    <t>فلسفة</t>
  </si>
  <si>
    <t>تونسي محمد</t>
  </si>
  <si>
    <t>بوراس نعيمة</t>
  </si>
  <si>
    <t>مدلس سمير</t>
  </si>
  <si>
    <t>رماصي محمد</t>
  </si>
  <si>
    <t>بوعلي حنيفي مريم</t>
  </si>
  <si>
    <t>زيان حياة</t>
  </si>
  <si>
    <t>بوترعة سحنونية</t>
  </si>
  <si>
    <t>جرموني زرقة</t>
  </si>
  <si>
    <t>رمضاني حبيب</t>
  </si>
  <si>
    <t>قراب يحي</t>
  </si>
  <si>
    <t>فرنسية</t>
  </si>
  <si>
    <t>بدراني الحاج</t>
  </si>
  <si>
    <t>عصام فاطمة</t>
  </si>
  <si>
    <t>نجادي صليحة</t>
  </si>
  <si>
    <t>مواظبة التلاميذ :</t>
  </si>
  <si>
    <t>قايد كريمة</t>
  </si>
  <si>
    <t>العرباوي مليكة</t>
  </si>
  <si>
    <t>لوافي عائشة</t>
  </si>
  <si>
    <t>المستوى</t>
  </si>
  <si>
    <t>الستة الثالثة</t>
  </si>
  <si>
    <t>السنة الثانية</t>
  </si>
  <si>
    <t>السنة الأولى</t>
  </si>
  <si>
    <t>المجموع</t>
  </si>
  <si>
    <t>الإسم اللقب</t>
  </si>
  <si>
    <t>الفترة</t>
  </si>
  <si>
    <t>قايد سعاد</t>
  </si>
  <si>
    <t>سليلي حسنية</t>
  </si>
  <si>
    <t>التعداد ع</t>
  </si>
  <si>
    <t>تكنولوجيا</t>
  </si>
  <si>
    <t>بوطالب محمد</t>
  </si>
  <si>
    <t>الجنس</t>
  </si>
  <si>
    <t>ذكور</t>
  </si>
  <si>
    <t>اتاث</t>
  </si>
  <si>
    <t>حمداد محمد</t>
  </si>
  <si>
    <t>بنابي الغوثي</t>
  </si>
  <si>
    <t xml:space="preserve">التعداد </t>
  </si>
  <si>
    <t>الحضور</t>
  </si>
  <si>
    <t>ع-الغيابات</t>
  </si>
  <si>
    <t>ع-غ ن د</t>
  </si>
  <si>
    <t>ع-غ خ</t>
  </si>
  <si>
    <t>نسبة غ</t>
  </si>
  <si>
    <t>الغياب</t>
  </si>
  <si>
    <t>نسبة غ ع</t>
  </si>
  <si>
    <t>ن/الغياب</t>
  </si>
  <si>
    <t>الأقسام</t>
  </si>
  <si>
    <t>عدد غ</t>
  </si>
  <si>
    <t>1ع1</t>
  </si>
  <si>
    <t>1ع2</t>
  </si>
  <si>
    <t>1ع3</t>
  </si>
  <si>
    <t>1أ د1</t>
  </si>
  <si>
    <t>1أ د2</t>
  </si>
  <si>
    <t>ملاحظات م التربية</t>
  </si>
  <si>
    <t>ملاحطات  الناظــــر</t>
  </si>
  <si>
    <t>ملاحظات  المــديــــر</t>
  </si>
  <si>
    <t>الختم والتوقيع</t>
  </si>
  <si>
    <t>غيابات التلاميذ ليــــــوم:</t>
  </si>
  <si>
    <t>الإسم واللقب</t>
  </si>
  <si>
    <t>إعذار</t>
  </si>
  <si>
    <t>شطب</t>
  </si>
  <si>
    <t>الملاحظات</t>
  </si>
  <si>
    <t>خ</t>
  </si>
  <si>
    <t>ن/د</t>
  </si>
  <si>
    <t>ش ط</t>
  </si>
  <si>
    <t>الساعة</t>
  </si>
  <si>
    <t>الإثنين</t>
  </si>
  <si>
    <t>الأحد</t>
  </si>
  <si>
    <t>الثلاثاء</t>
  </si>
  <si>
    <t>وفـــــــاة</t>
  </si>
  <si>
    <t>الأربعاء</t>
  </si>
  <si>
    <t>الخميس</t>
  </si>
  <si>
    <t>معفاة من ت,ب,ر</t>
  </si>
  <si>
    <t>قرازيب</t>
  </si>
  <si>
    <t>المعلوماتية</t>
  </si>
  <si>
    <t xml:space="preserve">ندوة </t>
  </si>
  <si>
    <t>اجتماع</t>
  </si>
  <si>
    <t>مضرب</t>
  </si>
  <si>
    <t>عدد الأيام</t>
  </si>
  <si>
    <t>1</t>
  </si>
  <si>
    <t>تلمسان</t>
  </si>
  <si>
    <t>2</t>
  </si>
  <si>
    <t>الأحــــــــد</t>
  </si>
  <si>
    <t>ثانوية بوخلدة عبد لقادر سفيزف</t>
  </si>
  <si>
    <t>التـــــوقيت الأسبــــوعي للقســـم :</t>
  </si>
  <si>
    <t>الأستاذ الرئيسي :</t>
  </si>
  <si>
    <t>مندوب القسم :</t>
  </si>
  <si>
    <t>الحجــــــــــرة     :</t>
  </si>
  <si>
    <t>عدد التلاميـــذ :</t>
  </si>
  <si>
    <t>الساعات</t>
  </si>
  <si>
    <t>الإثنيـــــــــن</t>
  </si>
  <si>
    <t>الثلاثـــــــــــاء</t>
  </si>
  <si>
    <t>الأربعـــــــاء</t>
  </si>
  <si>
    <t>الخميــــــــــس</t>
  </si>
  <si>
    <t>09    -    08</t>
  </si>
  <si>
    <t>10    -    09</t>
  </si>
  <si>
    <t>11     -    10</t>
  </si>
  <si>
    <t>12    -    11</t>
  </si>
  <si>
    <t>15    -    14</t>
  </si>
  <si>
    <t>16    -    15</t>
  </si>
  <si>
    <t>17    -    16</t>
  </si>
  <si>
    <t>18    -    17</t>
  </si>
  <si>
    <t/>
  </si>
  <si>
    <t>المواد</t>
  </si>
  <si>
    <t>ع.طبيعية</t>
  </si>
  <si>
    <t>ع إسلامية</t>
  </si>
  <si>
    <t>ل عربية</t>
  </si>
  <si>
    <t>ت وج</t>
  </si>
  <si>
    <t>إنجليزية</t>
  </si>
  <si>
    <t>ت بدنية</t>
  </si>
  <si>
    <t>ح ساعي</t>
  </si>
  <si>
    <t>7</t>
  </si>
  <si>
    <t>3+2</t>
  </si>
  <si>
    <t>1+1</t>
  </si>
  <si>
    <t>5</t>
  </si>
  <si>
    <t>3</t>
  </si>
  <si>
    <t>أساتذة</t>
  </si>
  <si>
    <t>عقاب يحي</t>
  </si>
  <si>
    <t>بن ترات آمال</t>
  </si>
  <si>
    <t>ي استقبال</t>
  </si>
  <si>
    <t>الاربعاء</t>
  </si>
  <si>
    <t>الفصل1</t>
  </si>
  <si>
    <t>الفصل2</t>
  </si>
  <si>
    <t>بـــــــــ :</t>
  </si>
  <si>
    <t>سفيـــزف</t>
  </si>
  <si>
    <t>فـــــي</t>
  </si>
  <si>
    <t>الفصل3</t>
  </si>
  <si>
    <t>المــــدير</t>
  </si>
  <si>
    <t>ن . خليفــــــة</t>
  </si>
  <si>
    <t>تطبيق ع ط</t>
  </si>
  <si>
    <t>ع طبيعية</t>
  </si>
  <si>
    <t>تطبيق ع ف</t>
  </si>
  <si>
    <t>2+2</t>
  </si>
  <si>
    <t>بغاديد بوطالب</t>
  </si>
  <si>
    <t>فليواحمد</t>
  </si>
  <si>
    <t>علوم اسلامية</t>
  </si>
  <si>
    <t>المحاسبة</t>
  </si>
  <si>
    <t>إقتصادومناجمنت</t>
  </si>
  <si>
    <t>القانون</t>
  </si>
  <si>
    <t>ت م م</t>
  </si>
  <si>
    <t>إقتصاد</t>
  </si>
  <si>
    <t>4</t>
  </si>
  <si>
    <t>6</t>
  </si>
  <si>
    <t>عمرون فاطمة الزهرة</t>
  </si>
  <si>
    <t>إسبانية</t>
  </si>
  <si>
    <t xml:space="preserve">إسبانية </t>
  </si>
  <si>
    <t>إسبانية دعم</t>
  </si>
  <si>
    <t>هندسة كهربائية</t>
  </si>
  <si>
    <t>مسعد هوارية</t>
  </si>
  <si>
    <t>ضليمي محمد</t>
  </si>
  <si>
    <t>قرازيب نادية</t>
  </si>
  <si>
    <t>قانون</t>
  </si>
  <si>
    <t xml:space="preserve">المحاسبة </t>
  </si>
  <si>
    <t>عسيلة</t>
  </si>
  <si>
    <t>صلاة عبد القادر</t>
  </si>
  <si>
    <t>تطبيق تكنو</t>
  </si>
  <si>
    <t>تطبيق إعلام آلي</t>
  </si>
  <si>
    <t>إعلام آلي</t>
  </si>
  <si>
    <t>2+4</t>
  </si>
  <si>
    <t>يوطالب محمد</t>
  </si>
  <si>
    <t>تطبيق ل عربية</t>
  </si>
  <si>
    <t>1+5</t>
  </si>
  <si>
    <t>فارغ</t>
  </si>
  <si>
    <t>31</t>
  </si>
  <si>
    <t>إسم الأستاذ</t>
  </si>
  <si>
    <t>الأقســــــــــــــــــــــــــــــــــــــام المسنــــــــــــــــــــــــــــــــــــــــــــــــدة</t>
  </si>
  <si>
    <t>ثانوية بوخلدة عبد القادر  سفيــــــزف</t>
  </si>
  <si>
    <t>رياضيــــــــــــــات</t>
  </si>
  <si>
    <t>التـــــوقيت الأسبــــوعي للأستــــــاذ</t>
  </si>
  <si>
    <t>الحجم الساعي للأستاذ</t>
  </si>
  <si>
    <t>إسم الأستـــــاذ</t>
  </si>
  <si>
    <t>المــــادة :</t>
  </si>
  <si>
    <t>أستاذ رئيسي :</t>
  </si>
  <si>
    <t>مسؤول مادة</t>
  </si>
  <si>
    <t>أستاذ مسؤول القسم :</t>
  </si>
  <si>
    <t>الأقســــام</t>
  </si>
  <si>
    <t>ح الساعي</t>
  </si>
  <si>
    <t>عدد التلاميذ</t>
  </si>
  <si>
    <t>الحجرات</t>
  </si>
  <si>
    <t>س الواجبة</t>
  </si>
  <si>
    <t>فوق36</t>
  </si>
  <si>
    <t>فوق40</t>
  </si>
  <si>
    <t>س المعمولة</t>
  </si>
  <si>
    <t>س الفائضة</t>
  </si>
  <si>
    <t>الكرسي الأول</t>
  </si>
  <si>
    <t>20 -</t>
  </si>
  <si>
    <t>س الإضافية</t>
  </si>
  <si>
    <t>المواقيت</t>
  </si>
  <si>
    <t>فيزيـــــــــــــــــــــــــاء</t>
  </si>
  <si>
    <t>الفصل 1</t>
  </si>
  <si>
    <t>بــــــــ</t>
  </si>
  <si>
    <t>الفصل 2</t>
  </si>
  <si>
    <t>الفصل 3</t>
  </si>
  <si>
    <t>المــــديــــــر</t>
  </si>
  <si>
    <t>ع طبيعيـــــــــــــــــــة هـندسة الطرائق</t>
  </si>
  <si>
    <t>ع إسلاميــــــــــــــة</t>
  </si>
  <si>
    <t>فلسفــــــــــــــــــة</t>
  </si>
  <si>
    <t>ل عربيـــــــــة</t>
  </si>
  <si>
    <t>ع إجتماعيـــــــــــة</t>
  </si>
  <si>
    <t>فرنسيـــــــــــــــــة</t>
  </si>
  <si>
    <t>إنجليزيـــــــــة</t>
  </si>
  <si>
    <t>إسبانيـــــة</t>
  </si>
  <si>
    <t>إقتصــــــــــــــاد</t>
  </si>
  <si>
    <t>هندسة مينانيكيـــــة</t>
  </si>
  <si>
    <t>هندسة مدنيـــــــــة</t>
  </si>
  <si>
    <t>ت بدنيــــــة</t>
  </si>
  <si>
    <t>ت فنية</t>
  </si>
  <si>
    <t>3ل أ- 2ل أ</t>
  </si>
  <si>
    <t>5+1</t>
  </si>
  <si>
    <t>3ت م م</t>
  </si>
  <si>
    <t>3إقتصاد</t>
  </si>
  <si>
    <t>2ت م م</t>
  </si>
  <si>
    <t>حمداد سيد أحمد</t>
  </si>
  <si>
    <t>عسيلة إكرام</t>
  </si>
  <si>
    <t>ت و اقتصاد</t>
  </si>
  <si>
    <t>2ت اق</t>
  </si>
  <si>
    <t xml:space="preserve"> </t>
  </si>
  <si>
    <t>المعامل</t>
  </si>
  <si>
    <t>الرجوع!A1</t>
  </si>
  <si>
    <t>.</t>
  </si>
  <si>
    <t>معلم قرآن</t>
  </si>
  <si>
    <t>تاريخ و مكان الميلاد</t>
  </si>
  <si>
    <t>3ت ر</t>
  </si>
  <si>
    <t>اد3</t>
  </si>
  <si>
    <t>ان/د3</t>
  </si>
  <si>
    <t>اخ3</t>
  </si>
  <si>
    <t>ذخ3</t>
  </si>
  <si>
    <t>حي نواري بن عبدالله سفيزف</t>
  </si>
  <si>
    <t>ان/د2</t>
  </si>
  <si>
    <t>اخ2</t>
  </si>
  <si>
    <t>قضات</t>
  </si>
  <si>
    <t>لحمر</t>
  </si>
  <si>
    <t>مزرعة أوهيبة محي الدين سفيزف</t>
  </si>
  <si>
    <t>اخ1</t>
  </si>
  <si>
    <t>ذخ1</t>
  </si>
  <si>
    <t>خوجة</t>
  </si>
  <si>
    <t>براهمي</t>
  </si>
  <si>
    <t>وسام</t>
  </si>
  <si>
    <t xml:space="preserve">بوهند </t>
  </si>
  <si>
    <t>بورحلة</t>
  </si>
  <si>
    <t xml:space="preserve">ترزي </t>
  </si>
  <si>
    <t xml:space="preserve">ملاتي </t>
  </si>
  <si>
    <t>ندى</t>
  </si>
  <si>
    <t xml:space="preserve">نحال </t>
  </si>
  <si>
    <t>عبد المجيد</t>
  </si>
  <si>
    <t>عبدالنور</t>
  </si>
  <si>
    <t>تازيني</t>
  </si>
  <si>
    <t>1ج م ع4</t>
  </si>
  <si>
    <t>زنازل</t>
  </si>
  <si>
    <t>حي طيبي عبدالقادر سفيزف</t>
  </si>
  <si>
    <t>نواري</t>
  </si>
  <si>
    <t xml:space="preserve">جلال </t>
  </si>
  <si>
    <t xml:space="preserve">لعسل </t>
  </si>
  <si>
    <t>دار سبع</t>
  </si>
  <si>
    <t>لومي</t>
  </si>
  <si>
    <t>بن تخيسي</t>
  </si>
  <si>
    <t>مزوني</t>
  </si>
  <si>
    <t>مدوناري</t>
  </si>
  <si>
    <t xml:space="preserve">بومسجد </t>
  </si>
  <si>
    <t>وفاء</t>
  </si>
  <si>
    <t xml:space="preserve">شادلي </t>
  </si>
  <si>
    <t>عقاب</t>
  </si>
  <si>
    <t>غنيم</t>
  </si>
  <si>
    <t>الملاحطات</t>
  </si>
  <si>
    <t>لم تلتحق</t>
  </si>
  <si>
    <t>3ري</t>
  </si>
  <si>
    <t>السنة الثالثة ثانوي رياضيات</t>
  </si>
  <si>
    <t>السنة الثالثة ثانوي تقني رياضي</t>
  </si>
  <si>
    <t>3ع ت</t>
  </si>
  <si>
    <t>السنة الثالثة ثانوي علوم تجريبية</t>
  </si>
  <si>
    <t>3ع ت3</t>
  </si>
  <si>
    <t>3ع ت4</t>
  </si>
  <si>
    <t>السنة الثالثة ثانوي تسيير واقتصاد</t>
  </si>
  <si>
    <t>3ت إق1</t>
  </si>
  <si>
    <t>3ت إق2</t>
  </si>
  <si>
    <t>السنة الثالثة ثانوي آداب وفلسفة</t>
  </si>
  <si>
    <t>3آ ف1</t>
  </si>
  <si>
    <t>3آ ف2</t>
  </si>
  <si>
    <t>3آ ف3</t>
  </si>
  <si>
    <t>السنة الثالثة ثانوي لغات أجنبية</t>
  </si>
  <si>
    <t>3ل ا1</t>
  </si>
  <si>
    <t>السنة الثانية ثانوي تقني رياضي</t>
  </si>
  <si>
    <t>2ت ر1</t>
  </si>
  <si>
    <t>2ع ت</t>
  </si>
  <si>
    <t>السنة الثانية ثانوي علوم تجريبية</t>
  </si>
  <si>
    <t>2ع ت3</t>
  </si>
  <si>
    <t>2ع ت4</t>
  </si>
  <si>
    <t>السنة الثانية ثانوي تسيير واقتصاد</t>
  </si>
  <si>
    <t>2ت واق1</t>
  </si>
  <si>
    <t>2ت واق2</t>
  </si>
  <si>
    <t>السنة الثانية ثانوي آداب وفلسفة</t>
  </si>
  <si>
    <t>2آ ف1</t>
  </si>
  <si>
    <t>2آ ف2</t>
  </si>
  <si>
    <t>2آ ف3</t>
  </si>
  <si>
    <t>2آف4</t>
  </si>
  <si>
    <t>السنة الثانية ثانوي لغات أجنبية</t>
  </si>
  <si>
    <t>2ل أ1</t>
  </si>
  <si>
    <t>السنة الأولى ثانوي جذع مشترك علوم</t>
  </si>
  <si>
    <t>1ج م ع5</t>
  </si>
  <si>
    <t>1ج م ع6</t>
  </si>
  <si>
    <t>السنة الأولى ثانوي جذع مشترك آداب</t>
  </si>
  <si>
    <t>1ج م آ3</t>
  </si>
  <si>
    <t>1ج م آ4</t>
  </si>
  <si>
    <t>1ج م آ5</t>
  </si>
  <si>
    <t>1ج م آ6</t>
  </si>
  <si>
    <t>يشهد مدير المؤسسة أن التلميذ(ة) :</t>
  </si>
  <si>
    <t>الإســـــم :</t>
  </si>
  <si>
    <t>اللقـــب :</t>
  </si>
  <si>
    <t>3ت ر1</t>
  </si>
  <si>
    <t>تاريخ و مكان الميلاد :</t>
  </si>
  <si>
    <t>دروســــــه (ها) بـــ :</t>
  </si>
  <si>
    <t>القســــم :</t>
  </si>
  <si>
    <t>السنــــــة الدراسيــة :</t>
  </si>
  <si>
    <t>رقــــــــم التسجيــــل :</t>
  </si>
  <si>
    <t>تاريخ الخروج :</t>
  </si>
  <si>
    <t>حرر من طرف السيد (ة) :</t>
  </si>
  <si>
    <t>حرر بـــ :</t>
  </si>
  <si>
    <t>فــي :</t>
  </si>
  <si>
    <t>المديــــر</t>
  </si>
  <si>
    <t>محمد الحبيب</t>
  </si>
  <si>
    <t>تــابــع (ت) :</t>
  </si>
  <si>
    <t>قشيح</t>
  </si>
  <si>
    <t>بالسيني</t>
  </si>
  <si>
    <t>3f</t>
  </si>
  <si>
    <t>3g</t>
  </si>
  <si>
    <t>2f</t>
  </si>
  <si>
    <t>2g</t>
  </si>
  <si>
    <t>1f</t>
  </si>
  <si>
    <t>1g</t>
  </si>
  <si>
    <t xml:space="preserve"> الاساتذة</t>
  </si>
  <si>
    <t>اسم الاستاذ</t>
  </si>
  <si>
    <t>الأحــد</t>
  </si>
  <si>
    <t>الإثنيـــن</t>
  </si>
  <si>
    <t>الثلاثــاء</t>
  </si>
  <si>
    <t>الأربـعاء</t>
  </si>
  <si>
    <t>الخميـس</t>
  </si>
  <si>
    <t>ص</t>
  </si>
  <si>
    <t>ص/م</t>
  </si>
  <si>
    <t>رخصة</t>
  </si>
  <si>
    <t>مرض</t>
  </si>
  <si>
    <t>ع.أمومة</t>
  </si>
  <si>
    <t>ع.أبوية</t>
  </si>
  <si>
    <t>منصب شاغر</t>
  </si>
  <si>
    <t>بلغياشي زواوي</t>
  </si>
  <si>
    <t>بن يوسف سيد احمد</t>
  </si>
  <si>
    <t>مكيكة مولاي</t>
  </si>
  <si>
    <t>معطى الله عبد القادر</t>
  </si>
  <si>
    <t>رزوق نسيمة</t>
  </si>
  <si>
    <t>بن داحة صليحة</t>
  </si>
  <si>
    <t>عراب مهاجية</t>
  </si>
  <si>
    <t>م</t>
  </si>
  <si>
    <t>شهــــــادة مدرســـة</t>
  </si>
  <si>
    <t>ذخ2</t>
  </si>
  <si>
    <t>اد2</t>
  </si>
  <si>
    <t>ذن/د2</t>
  </si>
  <si>
    <t>اد1</t>
  </si>
  <si>
    <t>غباب منذ</t>
  </si>
  <si>
    <t>إشعار1</t>
  </si>
  <si>
    <t>إشعار2</t>
  </si>
  <si>
    <t>1ح م ع1</t>
  </si>
  <si>
    <t>1ج م ا1</t>
  </si>
  <si>
    <t>2ا ف</t>
  </si>
  <si>
    <t>بار بن عمر حسيبة</t>
  </si>
  <si>
    <t>الرجوع</t>
  </si>
  <si>
    <t>التعداد</t>
  </si>
  <si>
    <t>ذخ ش</t>
  </si>
  <si>
    <t>ان/د3ع2</t>
  </si>
  <si>
    <t>اخ3ع2</t>
  </si>
  <si>
    <t>اخ ش</t>
  </si>
  <si>
    <t>ان/د2ت</t>
  </si>
  <si>
    <t>اخ2ت</t>
  </si>
  <si>
    <t>ذخ2ت</t>
  </si>
  <si>
    <t>ان/د ش</t>
  </si>
  <si>
    <t>اد ش</t>
  </si>
  <si>
    <t>ذن/د2ف</t>
  </si>
  <si>
    <t>ذد ش</t>
  </si>
  <si>
    <t>ذن/د ش</t>
  </si>
  <si>
    <t>دخول</t>
  </si>
  <si>
    <t xml:space="preserve"> المد يــــر      </t>
  </si>
  <si>
    <t xml:space="preserve">الناظــــــر </t>
  </si>
  <si>
    <t xml:space="preserve">  سفيزف :</t>
  </si>
  <si>
    <t>تاريخ الاطلاع</t>
  </si>
  <si>
    <t>الامضاء</t>
  </si>
  <si>
    <t>المـادة</t>
  </si>
  <si>
    <t>اللقب و الاسم</t>
  </si>
  <si>
    <t xml:space="preserve">                                      تاريــــــخ الغــــــــــــياب : </t>
  </si>
  <si>
    <t xml:space="preserve">                                      المولــــــــود بتاريــــــخ : </t>
  </si>
  <si>
    <t xml:space="preserve">                                      انه تم شطب التلميذ (ة) :</t>
  </si>
  <si>
    <t>التلميذ (ة)</t>
  </si>
  <si>
    <t xml:space="preserve">                                      ليكن في علم جميع أساتذة قسم :  </t>
  </si>
  <si>
    <t>عقوبة</t>
  </si>
  <si>
    <t>طرد</t>
  </si>
  <si>
    <t>مستغانم</t>
  </si>
  <si>
    <t>الرقم : ............/</t>
  </si>
  <si>
    <t xml:space="preserve">حميدة </t>
  </si>
  <si>
    <t>عبد الرحمان</t>
  </si>
  <si>
    <t>حنفي</t>
  </si>
  <si>
    <t>روان</t>
  </si>
  <si>
    <t>اسماء</t>
  </si>
  <si>
    <t>ملاتي</t>
  </si>
  <si>
    <t xml:space="preserve">دباب </t>
  </si>
  <si>
    <t xml:space="preserve">لكحل </t>
  </si>
  <si>
    <t xml:space="preserve">دعاء </t>
  </si>
  <si>
    <t>بونعجة</t>
  </si>
  <si>
    <t>عشي</t>
  </si>
  <si>
    <t>هالة</t>
  </si>
  <si>
    <t>حمداد</t>
  </si>
  <si>
    <t xml:space="preserve">ديدة </t>
  </si>
  <si>
    <t>قادة ياسر</t>
  </si>
  <si>
    <t>سليلي</t>
  </si>
  <si>
    <t>بن حميد</t>
  </si>
  <si>
    <t>مختارية</t>
  </si>
  <si>
    <t>فردوس</t>
  </si>
  <si>
    <t>قرني</t>
  </si>
  <si>
    <t>مقسم</t>
  </si>
  <si>
    <t>بوجرف</t>
  </si>
  <si>
    <t xml:space="preserve">طالبي </t>
  </si>
  <si>
    <t xml:space="preserve">سعدوني </t>
  </si>
  <si>
    <t>رضوان</t>
  </si>
  <si>
    <t>عبد الحق</t>
  </si>
  <si>
    <t>مروى</t>
  </si>
  <si>
    <t xml:space="preserve">مولقعدة </t>
  </si>
  <si>
    <t>محمد عبد الرحمان</t>
  </si>
  <si>
    <t xml:space="preserve">لصلح </t>
  </si>
  <si>
    <t>سفيان عبد الاله</t>
  </si>
  <si>
    <t>مروش</t>
  </si>
  <si>
    <t>محمد فيصل</t>
  </si>
  <si>
    <t>نهاري</t>
  </si>
  <si>
    <t>عبد القادر</t>
  </si>
  <si>
    <t xml:space="preserve"> محمد</t>
  </si>
  <si>
    <t>نصف داخلي</t>
  </si>
  <si>
    <t xml:space="preserve">د </t>
  </si>
  <si>
    <t>داخلي</t>
  </si>
  <si>
    <t>اناث داخلي السنة 3</t>
  </si>
  <si>
    <t>اناث داخلي السنة 2</t>
  </si>
  <si>
    <t>اناث داخلي السنة 1</t>
  </si>
  <si>
    <t>اناث نصف داخلي السنة 2</t>
  </si>
  <si>
    <t>اناث نصف داخلي السنة 3</t>
  </si>
  <si>
    <t>اناث خارجي السنة 1</t>
  </si>
  <si>
    <t>اناث خارجي السنة 2</t>
  </si>
  <si>
    <t>اناث خارجي السنة 3</t>
  </si>
  <si>
    <t>دكور خارجي السنة 1</t>
  </si>
  <si>
    <t>دكور خارجي السنة 3</t>
  </si>
  <si>
    <t>دكور خارجي السنة 2</t>
  </si>
  <si>
    <t>1em feuil</t>
  </si>
  <si>
    <t>2em feuil</t>
  </si>
  <si>
    <t>3em feuil</t>
  </si>
  <si>
    <t>1em garçon</t>
  </si>
  <si>
    <t>2em garçon</t>
  </si>
  <si>
    <t>3em garçon</t>
  </si>
  <si>
    <t>التفصيـــــــــــــــــــــــــــــــــــــــــــــــــــل</t>
  </si>
  <si>
    <t>القســـــم</t>
  </si>
  <si>
    <t>نصف داخليين</t>
  </si>
  <si>
    <t>الخارجيون</t>
  </si>
  <si>
    <t>المجمـــــوع</t>
  </si>
  <si>
    <t>مجموع</t>
  </si>
  <si>
    <t>إناث</t>
  </si>
  <si>
    <t>القســـم</t>
  </si>
  <si>
    <t>المجموع العام</t>
  </si>
  <si>
    <t>ملاحظة</t>
  </si>
  <si>
    <t>الغير الممـوحـين</t>
  </si>
  <si>
    <t xml:space="preserve">انصاف الداخلية </t>
  </si>
  <si>
    <t>الناظر</t>
  </si>
  <si>
    <t>المدير</t>
  </si>
  <si>
    <t>كشف التلاميذ التلاميذ الحاضرين إلى غاية :</t>
  </si>
  <si>
    <t>الخلاصــــــــــــــــــــــــة</t>
  </si>
  <si>
    <t>الصفــــة</t>
  </si>
  <si>
    <t>المستوى    /   الجنس</t>
  </si>
  <si>
    <t>الأولى جذع مشترك</t>
  </si>
  <si>
    <t>الثانية ثانوي</t>
  </si>
  <si>
    <t>الثالثة ثانوي</t>
  </si>
  <si>
    <t>حركــــة التلاميــــــــذ</t>
  </si>
  <si>
    <t>الصفــــــة</t>
  </si>
  <si>
    <t>الجنــــــس</t>
  </si>
  <si>
    <t>الحــــــاصل</t>
  </si>
  <si>
    <t>سفيــــزف في :</t>
  </si>
  <si>
    <t>ماي</t>
  </si>
  <si>
    <t>جوان</t>
  </si>
  <si>
    <t>ذخ ش5</t>
  </si>
  <si>
    <t>ذخ ش6</t>
  </si>
  <si>
    <t>اخ ش5</t>
  </si>
  <si>
    <t>اخ ش6</t>
  </si>
  <si>
    <t>ذد ش5</t>
  </si>
  <si>
    <t>ذد ش6</t>
  </si>
  <si>
    <t>اد ش5</t>
  </si>
  <si>
    <t>اد ش6</t>
  </si>
  <si>
    <t>ذن/د ش5</t>
  </si>
  <si>
    <t>ذن/د ش6</t>
  </si>
  <si>
    <t>ان/د ش5</t>
  </si>
  <si>
    <t>ان/د ش6</t>
  </si>
  <si>
    <t xml:space="preserve"> ذخ ج5</t>
  </si>
  <si>
    <t xml:space="preserve"> ذخ ج6</t>
  </si>
  <si>
    <t>اخ ج5</t>
  </si>
  <si>
    <t>اخ ج6</t>
  </si>
  <si>
    <t>ذد ج5</t>
  </si>
  <si>
    <t>ذد ج6</t>
  </si>
  <si>
    <t>اد ج5</t>
  </si>
  <si>
    <t>اد ج6</t>
  </si>
  <si>
    <t>ذن/د ج5</t>
  </si>
  <si>
    <t>ذن/د ج6</t>
  </si>
  <si>
    <t>ان/د ج5</t>
  </si>
  <si>
    <t>ان/د ج6</t>
  </si>
  <si>
    <t>المنحة</t>
  </si>
  <si>
    <t>نعداد!A1</t>
  </si>
  <si>
    <t>2019/2018</t>
  </si>
  <si>
    <t>بغاديد</t>
  </si>
  <si>
    <t>قداوي</t>
  </si>
  <si>
    <t>عباس</t>
  </si>
  <si>
    <t>طيب</t>
  </si>
  <si>
    <t>ناصر</t>
  </si>
  <si>
    <t>شعيب</t>
  </si>
  <si>
    <t>لحسن</t>
  </si>
  <si>
    <t>عبدالله</t>
  </si>
  <si>
    <t>بلقاسم</t>
  </si>
  <si>
    <t>بخدة</t>
  </si>
  <si>
    <t>بومدين</t>
  </si>
  <si>
    <t>جفال</t>
  </si>
  <si>
    <t>عين تموشنت</t>
  </si>
  <si>
    <t>ملاك شهيناز زهرة</t>
  </si>
  <si>
    <t>تيارت</t>
  </si>
  <si>
    <t xml:space="preserve">عدة </t>
  </si>
  <si>
    <t>حي100سكن سفيزف</t>
  </si>
  <si>
    <t>قرية بلبوش</t>
  </si>
  <si>
    <t>حي214سكن سفيزف</t>
  </si>
  <si>
    <t>شارع عمرون أحمد سفيزف</t>
  </si>
  <si>
    <t>حي27سكن سفيزف</t>
  </si>
  <si>
    <t>شارع أوهيبة ميلود سفيزف</t>
  </si>
  <si>
    <t>لاشئ</t>
  </si>
  <si>
    <t>حي506 سكن سفيزف</t>
  </si>
  <si>
    <t>3ت اق</t>
  </si>
  <si>
    <t>بن ويس مختارية</t>
  </si>
  <si>
    <t>2ع ت 1</t>
  </si>
  <si>
    <t>2ع ت 2</t>
  </si>
  <si>
    <t>مغربي عمر</t>
  </si>
  <si>
    <t>بن شيخ زهرة</t>
  </si>
  <si>
    <t>3لغات</t>
  </si>
  <si>
    <t>2لغات</t>
  </si>
  <si>
    <t>جرموني رزقة</t>
  </si>
  <si>
    <t>بن ترات امال</t>
  </si>
  <si>
    <t>بنابي غوثي</t>
  </si>
  <si>
    <t>3ت ر/2ت ر</t>
  </si>
  <si>
    <t>3ع2</t>
  </si>
  <si>
    <t>3ع1</t>
  </si>
  <si>
    <t>2ع1</t>
  </si>
  <si>
    <t>1ا2</t>
  </si>
  <si>
    <t>1ا1</t>
  </si>
  <si>
    <t>2ع2</t>
  </si>
  <si>
    <t>مشرف-ت</t>
  </si>
  <si>
    <t>أمال</t>
  </si>
  <si>
    <t>الغيابات</t>
  </si>
  <si>
    <t>2ل ا</t>
  </si>
  <si>
    <t>إلى يومنا هذا</t>
  </si>
  <si>
    <t>يوم :</t>
  </si>
  <si>
    <t xml:space="preserve">على الساعة: </t>
  </si>
  <si>
    <t xml:space="preserve"> مستشار التربية   </t>
  </si>
  <si>
    <t>مشرف (ة)تربوي رئيسي</t>
  </si>
  <si>
    <t>الدخول</t>
  </si>
  <si>
    <t>عويمر</t>
  </si>
  <si>
    <t>عاجلا</t>
  </si>
  <si>
    <t>ش.م.بالمستشفى</t>
  </si>
  <si>
    <t xml:space="preserve">  أن يتخــــذ عقوبــــة مــــن الدرجــة الاولــــى دون الاستشـــــارة المسبقة لمجلــــس التأديب،</t>
  </si>
  <si>
    <t xml:space="preserve">         01-  محاولة تكسير الكراسي</t>
  </si>
  <si>
    <t xml:space="preserve">   لذلك قد قــــرر مجلــــس الادارة توجيه عقوبــــة من الدرجـــــة الاولــــى ( إنــذار – توبيــــخ )</t>
  </si>
  <si>
    <t xml:space="preserve">    يحفظ في ملف التلميذ المدرسي كما نشعركم بضرورة إعادة ابنكم – ابنتكم الى جادة الصواب وإن </t>
  </si>
  <si>
    <t xml:space="preserve">   لم يكن الأمر كذلـــك سنضطر الى تقديمه أمــــام المجلس التأديبي .</t>
  </si>
  <si>
    <t xml:space="preserve">  </t>
  </si>
  <si>
    <t xml:space="preserve">    يؤسفنـــــي أن أخبركـــــم بـــــأن ابنكم – ابنتكــــم :  ميموني يوسف</t>
  </si>
  <si>
    <t xml:space="preserve">    المسجــل (ة) بمؤسستنا فـي قســم :1ج م ع2     قد سجلنا عليه(ها) المخالفات التالية </t>
  </si>
  <si>
    <r>
      <t xml:space="preserve">   الموضـــوع : </t>
    </r>
    <r>
      <rPr>
        <b/>
        <u/>
        <sz val="22"/>
        <color theme="1"/>
        <rFont val="Times New Roman"/>
        <family val="1"/>
      </rPr>
      <t>انــذار – توبيــــخ</t>
    </r>
  </si>
  <si>
    <t>وفـاة الام</t>
  </si>
  <si>
    <t>ش,م, بالمستشفى</t>
  </si>
  <si>
    <t>ع,مرضية</t>
  </si>
  <si>
    <t>وفاة</t>
  </si>
  <si>
    <t xml:space="preserve">دلاني </t>
  </si>
  <si>
    <t>القبة</t>
  </si>
  <si>
    <t>وردة</t>
  </si>
  <si>
    <t>بوخلدة</t>
  </si>
  <si>
    <t>آية خديجة</t>
  </si>
  <si>
    <t xml:space="preserve">ريدال </t>
  </si>
  <si>
    <t>جعفر عبدالودود</t>
  </si>
  <si>
    <t xml:space="preserve">بن كلخة </t>
  </si>
  <si>
    <t>م,ب,ب</t>
  </si>
  <si>
    <t>بومعراف</t>
  </si>
  <si>
    <t>نور الهدى شروق</t>
  </si>
  <si>
    <t>ششار -خنشلة-</t>
  </si>
  <si>
    <t>أنس مروان</t>
  </si>
  <si>
    <t xml:space="preserve">حمداد        </t>
  </si>
  <si>
    <t>عادل فاروق</t>
  </si>
  <si>
    <t xml:space="preserve">زوقاغ </t>
  </si>
  <si>
    <t xml:space="preserve">سوقمي </t>
  </si>
  <si>
    <t>رفيدة</t>
  </si>
  <si>
    <t xml:space="preserve">بشرى </t>
  </si>
  <si>
    <t>جهيدة</t>
  </si>
  <si>
    <t>محمد المنذر</t>
  </si>
  <si>
    <t xml:space="preserve">بلفكرون </t>
  </si>
  <si>
    <t>صافية</t>
  </si>
  <si>
    <t>لامية</t>
  </si>
  <si>
    <t xml:space="preserve">مدوناري </t>
  </si>
  <si>
    <t>المهدي</t>
  </si>
  <si>
    <t>تيزي</t>
  </si>
  <si>
    <t>محمد الحسين</t>
  </si>
  <si>
    <t>بسباس</t>
  </si>
  <si>
    <t>عبد الكريم</t>
  </si>
  <si>
    <t xml:space="preserve">جافي </t>
  </si>
  <si>
    <t>حديم</t>
  </si>
  <si>
    <t>خمال</t>
  </si>
  <si>
    <t>رميساء</t>
  </si>
  <si>
    <t>فاطنة زهرة</t>
  </si>
  <si>
    <t>ديدة</t>
  </si>
  <si>
    <t>فدوى هيفاء حليمة</t>
  </si>
  <si>
    <t>جيهان</t>
  </si>
  <si>
    <t xml:space="preserve">موحوش </t>
  </si>
  <si>
    <t>صافي</t>
  </si>
  <si>
    <t>س لحسن</t>
  </si>
  <si>
    <t xml:space="preserve">لومي </t>
  </si>
  <si>
    <t>بلحسيني</t>
  </si>
  <si>
    <t>أيمن عبد القادر</t>
  </si>
  <si>
    <t xml:space="preserve">بلعالم </t>
  </si>
  <si>
    <t>قديدي</t>
  </si>
  <si>
    <t>ورقلة</t>
  </si>
  <si>
    <t xml:space="preserve">قليل </t>
  </si>
  <si>
    <t>دعاء جيهان</t>
  </si>
  <si>
    <t>بوديسة</t>
  </si>
  <si>
    <t>عبد الهادي</t>
  </si>
  <si>
    <t>حاسي مسعود</t>
  </si>
  <si>
    <t xml:space="preserve">صحوري </t>
  </si>
  <si>
    <t>رحيل</t>
  </si>
  <si>
    <t xml:space="preserve">قشاش </t>
  </si>
  <si>
    <t xml:space="preserve">قلاليز </t>
  </si>
  <si>
    <t>بسملة</t>
  </si>
  <si>
    <t>نسرين بوشرى</t>
  </si>
  <si>
    <t xml:space="preserve">تواتي </t>
  </si>
  <si>
    <t>شنافي</t>
  </si>
  <si>
    <t>محمد ابو القاسم</t>
  </si>
  <si>
    <t>أحمد عبد المجيد</t>
  </si>
  <si>
    <t>محمد رفيق</t>
  </si>
  <si>
    <t>حبيب</t>
  </si>
  <si>
    <t>حي214 سكن سفيزف</t>
  </si>
  <si>
    <t>حي24فبراير سفيزف</t>
  </si>
  <si>
    <t>حي118سكن عين آدن</t>
  </si>
  <si>
    <t xml:space="preserve">حسان دواجي  </t>
  </si>
  <si>
    <t>بلكبيش</t>
  </si>
  <si>
    <t>اكرام</t>
  </si>
  <si>
    <t>13س30-14س30</t>
  </si>
  <si>
    <t>14س30-15س30</t>
  </si>
  <si>
    <t>15س30-16س30</t>
  </si>
  <si>
    <t>16س30-17س30</t>
  </si>
  <si>
    <t xml:space="preserve"> ه.طرائق ف2. 1ع1</t>
  </si>
  <si>
    <t xml:space="preserve"> ه.طرائق ف3. 1ع2</t>
  </si>
  <si>
    <t xml:space="preserve"> ه.طرائق ف1. 1ع3</t>
  </si>
  <si>
    <t>2ت ق</t>
  </si>
  <si>
    <t>تيفوري بديعة</t>
  </si>
  <si>
    <t xml:space="preserve">3ت اق </t>
  </si>
  <si>
    <t>2اقتصاد</t>
  </si>
  <si>
    <t>2قانون</t>
  </si>
  <si>
    <t>1ع2معلو</t>
  </si>
  <si>
    <t>3ت ر+ 2ت ر</t>
  </si>
  <si>
    <t>كعبي</t>
  </si>
  <si>
    <t>حي72 سكن سفيزف</t>
  </si>
  <si>
    <t>كرير</t>
  </si>
  <si>
    <t>محمد عبدالجليل</t>
  </si>
  <si>
    <t>عماد</t>
  </si>
  <si>
    <t>تيرس جميلة</t>
  </si>
  <si>
    <t>منصورة عائشة</t>
  </si>
  <si>
    <t>ملالي سميرة</t>
  </si>
  <si>
    <t>رمدوم حسنة</t>
  </si>
  <si>
    <t>مرابطين خيرة</t>
  </si>
  <si>
    <t>تكنزلوجيا</t>
  </si>
  <si>
    <t>مولقعدة سميرة</t>
  </si>
  <si>
    <t xml:space="preserve">2ت اق </t>
  </si>
  <si>
    <t xml:space="preserve">غالي </t>
  </si>
  <si>
    <t xml:space="preserve">عبوني </t>
  </si>
  <si>
    <t>طبقا للقرار الوزاري رقم833 المؤرخ في 1991/11/13</t>
  </si>
  <si>
    <t>خلوفي</t>
  </si>
  <si>
    <t xml:space="preserve"> 4-3-1حصيلة الغيابات   </t>
  </si>
  <si>
    <t>ش ط 15ي</t>
  </si>
  <si>
    <t xml:space="preserve">3 : غيابات مشرف التربية :  </t>
  </si>
  <si>
    <t>مهرى جويدة</t>
  </si>
  <si>
    <t>آية منال</t>
  </si>
  <si>
    <t xml:space="preserve">عبدلي         </t>
  </si>
  <si>
    <t>منصورية</t>
  </si>
  <si>
    <t xml:space="preserve">بلوحي </t>
  </si>
  <si>
    <t>احلام</t>
  </si>
  <si>
    <t>بركاني</t>
  </si>
  <si>
    <t>بصافي</t>
  </si>
  <si>
    <t>الحاج انس عبد القادر</t>
  </si>
  <si>
    <t>يحي خير الدين</t>
  </si>
  <si>
    <t>بولنوار</t>
  </si>
  <si>
    <t>الهام مريم</t>
  </si>
  <si>
    <t>زهير</t>
  </si>
  <si>
    <t>حمام</t>
  </si>
  <si>
    <t>عبد المنعم علي</t>
  </si>
  <si>
    <t>اخلاص</t>
  </si>
  <si>
    <t>زكرياء</t>
  </si>
  <si>
    <t>صالح</t>
  </si>
  <si>
    <t>محمد عدنان</t>
  </si>
  <si>
    <t>سحمادية عبير</t>
  </si>
  <si>
    <t>عزري</t>
  </si>
  <si>
    <t>سهيلة حنان</t>
  </si>
  <si>
    <t>فتوحي</t>
  </si>
  <si>
    <t>فولاني</t>
  </si>
  <si>
    <t>علي عبد الجليل</t>
  </si>
  <si>
    <t xml:space="preserve">دعاء  </t>
  </si>
  <si>
    <t>ساندرا نورهان</t>
  </si>
  <si>
    <t>وفاء احلام</t>
  </si>
  <si>
    <t>نموس</t>
  </si>
  <si>
    <t xml:space="preserve">هبري </t>
  </si>
  <si>
    <t>لعبان أسامة</t>
  </si>
  <si>
    <t>دعاء رميساء</t>
  </si>
  <si>
    <t>يملول</t>
  </si>
  <si>
    <t xml:space="preserve">العرباوي </t>
  </si>
  <si>
    <t>اية الرحمان</t>
  </si>
  <si>
    <t xml:space="preserve">بن تخيسي </t>
  </si>
  <si>
    <t>ياسر</t>
  </si>
  <si>
    <t>بن داحة</t>
  </si>
  <si>
    <t>عبد الرزاق نجيب</t>
  </si>
  <si>
    <t>جواد عبد الله</t>
  </si>
  <si>
    <t>بوصحرة</t>
  </si>
  <si>
    <t>بوقلمونة</t>
  </si>
  <si>
    <t>اسامة بدر الدين</t>
  </si>
  <si>
    <t>اشراق بشرى</t>
  </si>
  <si>
    <t>إسراء</t>
  </si>
  <si>
    <t>خنتر</t>
  </si>
  <si>
    <t>بسمة سارة</t>
  </si>
  <si>
    <t>احمد ياسين</t>
  </si>
  <si>
    <t>محمد رضا</t>
  </si>
  <si>
    <t>شادلي</t>
  </si>
  <si>
    <t>غيطاوي</t>
  </si>
  <si>
    <t>عبد النور</t>
  </si>
  <si>
    <t>محمد عبد الاله</t>
  </si>
  <si>
    <t>قلاليز</t>
  </si>
  <si>
    <t>لعبدوني</t>
  </si>
  <si>
    <t xml:space="preserve">مروش </t>
  </si>
  <si>
    <t>مسطاري</t>
  </si>
  <si>
    <t>وصال</t>
  </si>
  <si>
    <t>معطى الله</t>
  </si>
  <si>
    <t>ملاك زهرة</t>
  </si>
  <si>
    <t>ملال</t>
  </si>
  <si>
    <t xml:space="preserve">نجار </t>
  </si>
  <si>
    <t>ايمان نور الهدى</t>
  </si>
  <si>
    <t>امال</t>
  </si>
  <si>
    <t>بشرى ايمان</t>
  </si>
  <si>
    <t>زهراء</t>
  </si>
  <si>
    <t>محمد الامين</t>
  </si>
  <si>
    <t>محمد اسلام</t>
  </si>
  <si>
    <t>برباح</t>
  </si>
  <si>
    <t>بغدادي</t>
  </si>
  <si>
    <t>بلحوسيني</t>
  </si>
  <si>
    <t>شيماء العومرية</t>
  </si>
  <si>
    <t>بلخيري</t>
  </si>
  <si>
    <t>بلعريبي</t>
  </si>
  <si>
    <t>بودربالة</t>
  </si>
  <si>
    <t>اكرام سلاف</t>
  </si>
  <si>
    <t>دنيا فراح</t>
  </si>
  <si>
    <t>خشعي</t>
  </si>
  <si>
    <t>فاطنة ايمان</t>
  </si>
  <si>
    <t>سلسبيل</t>
  </si>
  <si>
    <t>امال فاطمة الزهراء</t>
  </si>
  <si>
    <t>فاطمة الزهراء شيماء</t>
  </si>
  <si>
    <t>كوثر فاطمة الزهراء</t>
  </si>
  <si>
    <t>يامنة جيهان</t>
  </si>
  <si>
    <t>احمد ياسر</t>
  </si>
  <si>
    <t>مسمود</t>
  </si>
  <si>
    <t>اسيا</t>
  </si>
  <si>
    <t>ميسر غيني</t>
  </si>
  <si>
    <t>سارة</t>
  </si>
  <si>
    <t>محمد اسامة</t>
  </si>
  <si>
    <t>مختار عبد النور</t>
  </si>
  <si>
    <t xml:space="preserve">يملول </t>
  </si>
  <si>
    <t>عبد الاله</t>
  </si>
  <si>
    <t>اية عربية</t>
  </si>
  <si>
    <t>عيادة</t>
  </si>
  <si>
    <t>تواتي</t>
  </si>
  <si>
    <t>الياس</t>
  </si>
  <si>
    <t>جلولي</t>
  </si>
  <si>
    <t>ميساء</t>
  </si>
  <si>
    <t>احمد زكرياء</t>
  </si>
  <si>
    <t>ديدان</t>
  </si>
  <si>
    <t>محمد سبيل</t>
  </si>
  <si>
    <t>اشرف</t>
  </si>
  <si>
    <t>توفيق</t>
  </si>
  <si>
    <t>صلاح</t>
  </si>
  <si>
    <t>هدى</t>
  </si>
  <si>
    <t>محمد معتز بالله</t>
  </si>
  <si>
    <t>ايمن</t>
  </si>
  <si>
    <t>كرمة</t>
  </si>
  <si>
    <t>ياسمين رقية</t>
  </si>
  <si>
    <t>لوت</t>
  </si>
  <si>
    <t>ام كلثوم</t>
  </si>
  <si>
    <t>صفية نريمان</t>
  </si>
  <si>
    <t>ماضي</t>
  </si>
  <si>
    <t>شمس الدين</t>
  </si>
  <si>
    <t xml:space="preserve">مغدير </t>
  </si>
  <si>
    <t>اسمهان</t>
  </si>
  <si>
    <t>هشام عبد الرحمان</t>
  </si>
  <si>
    <t>الحاج محمد</t>
  </si>
  <si>
    <t>شميسة</t>
  </si>
  <si>
    <t>خيرة هديل</t>
  </si>
  <si>
    <t>إدير</t>
  </si>
  <si>
    <t>بن قانة</t>
  </si>
  <si>
    <t>بوتشيش</t>
  </si>
  <si>
    <t>ندى الصباح</t>
  </si>
  <si>
    <t>عبد الرزاق</t>
  </si>
  <si>
    <t>محمد ابراهيم</t>
  </si>
  <si>
    <t>تاوسر</t>
  </si>
  <si>
    <t>زينب اية</t>
  </si>
  <si>
    <t>تجين</t>
  </si>
  <si>
    <t>شهيناز</t>
  </si>
  <si>
    <t>حبيب عتو</t>
  </si>
  <si>
    <t>رويبي</t>
  </si>
  <si>
    <t>سيف الدين</t>
  </si>
  <si>
    <t>صوافي</t>
  </si>
  <si>
    <t>الأمير ياسر حسام</t>
  </si>
  <si>
    <t xml:space="preserve">لونيسي </t>
  </si>
  <si>
    <t>ايمان اكرام</t>
  </si>
  <si>
    <t>خيرة نجاة</t>
  </si>
  <si>
    <t>لينة</t>
  </si>
  <si>
    <t>عبد اللطيف</t>
  </si>
  <si>
    <t>فاطمة مروة</t>
  </si>
  <si>
    <t xml:space="preserve">بكار </t>
  </si>
  <si>
    <t>بن حمو</t>
  </si>
  <si>
    <t>دعاء فاطنة</t>
  </si>
  <si>
    <t>صليحة</t>
  </si>
  <si>
    <t>بن رمضان</t>
  </si>
  <si>
    <t>عماد الدين</t>
  </si>
  <si>
    <t>ابراهيم الخليل</t>
  </si>
  <si>
    <t>بوعزلة</t>
  </si>
  <si>
    <t>عائشة اكرام</t>
  </si>
  <si>
    <t>خيرة وصال الامان</t>
  </si>
  <si>
    <t>خليل</t>
  </si>
  <si>
    <t>رزيوي</t>
  </si>
  <si>
    <t xml:space="preserve">امال  </t>
  </si>
  <si>
    <t>شجعي</t>
  </si>
  <si>
    <t>صياد</t>
  </si>
  <si>
    <t>هارون</t>
  </si>
  <si>
    <t>سحنون عبد الرحمان</t>
  </si>
  <si>
    <t>مخفي</t>
  </si>
  <si>
    <t>راضية شهيناز</t>
  </si>
  <si>
    <t>ملاس</t>
  </si>
  <si>
    <t xml:space="preserve">الياس لحسن </t>
  </si>
  <si>
    <t>عربوشية</t>
  </si>
  <si>
    <t>ولد الواد</t>
  </si>
  <si>
    <t>سيد علي سيداحمد</t>
  </si>
  <si>
    <t>حسني</t>
  </si>
  <si>
    <t>بلحيطش</t>
  </si>
  <si>
    <t>بلق</t>
  </si>
  <si>
    <t>محمد بلحاج</t>
  </si>
  <si>
    <t xml:space="preserve">بوبندير </t>
  </si>
  <si>
    <t>بوقلال</t>
  </si>
  <si>
    <t xml:space="preserve">فاطمة </t>
  </si>
  <si>
    <t>عبد الهادي مصطفى</t>
  </si>
  <si>
    <t>جيلي</t>
  </si>
  <si>
    <t>اشرف سليمان</t>
  </si>
  <si>
    <t>رياض عبد القادر</t>
  </si>
  <si>
    <t>عبد الغني</t>
  </si>
  <si>
    <t>خديم</t>
  </si>
  <si>
    <t>الحسن</t>
  </si>
  <si>
    <t>مهدان</t>
  </si>
  <si>
    <t>عبد الجليل صهيب</t>
  </si>
  <si>
    <t>بلقناديل</t>
  </si>
  <si>
    <t>بن زرقة</t>
  </si>
  <si>
    <t>رغد شروق</t>
  </si>
  <si>
    <t>بن عبد الله</t>
  </si>
  <si>
    <t>بن عيجة</t>
  </si>
  <si>
    <t>سارة شيماء</t>
  </si>
  <si>
    <t>بوحريز رياشي</t>
  </si>
  <si>
    <t>انس عبد النور</t>
  </si>
  <si>
    <t>ايوب محمد</t>
  </si>
  <si>
    <t>حمدان</t>
  </si>
  <si>
    <t>عيسى محمد</t>
  </si>
  <si>
    <t>حمزات</t>
  </si>
  <si>
    <t>عيشوش صابرين</t>
  </si>
  <si>
    <t>سيني</t>
  </si>
  <si>
    <t xml:space="preserve">عبد القادر  </t>
  </si>
  <si>
    <t>شابني</t>
  </si>
  <si>
    <t>شلال</t>
  </si>
  <si>
    <t>سيراج منير</t>
  </si>
  <si>
    <t>عبد العزيز</t>
  </si>
  <si>
    <t>كرميش</t>
  </si>
  <si>
    <t>مرين</t>
  </si>
  <si>
    <t>مزواري</t>
  </si>
  <si>
    <t>انس عماد الدين</t>
  </si>
  <si>
    <t>الخليفة امين</t>
  </si>
  <si>
    <t xml:space="preserve">ايمان  </t>
  </si>
  <si>
    <t xml:space="preserve">اسامة  </t>
  </si>
  <si>
    <t>بن وارد</t>
  </si>
  <si>
    <t xml:space="preserve">فاطمة الزهراء  </t>
  </si>
  <si>
    <t>عبد الغاني</t>
  </si>
  <si>
    <t>سعدية</t>
  </si>
  <si>
    <t>رحاب</t>
  </si>
  <si>
    <t>محمد وائل</t>
  </si>
  <si>
    <t>محمد زين العابدين</t>
  </si>
  <si>
    <t>عبد الرحيم</t>
  </si>
  <si>
    <t>2ت ا ق1</t>
  </si>
  <si>
    <t>2ت ا ق2</t>
  </si>
  <si>
    <t>2ت اق1</t>
  </si>
  <si>
    <t>2ت اق2</t>
  </si>
  <si>
    <t>1ع4</t>
  </si>
  <si>
    <t>1ع5</t>
  </si>
  <si>
    <t>بدراني</t>
  </si>
  <si>
    <t>محمد عبدالاله</t>
  </si>
  <si>
    <t>بئر الجير</t>
  </si>
  <si>
    <t>المشرية</t>
  </si>
  <si>
    <t>ألاء اية الرحمان</t>
  </si>
  <si>
    <t>بوعلي حنيفي</t>
  </si>
  <si>
    <t>عبدالقادر زكرياء</t>
  </si>
  <si>
    <t>بوجبهة</t>
  </si>
  <si>
    <t>بوعنداس</t>
  </si>
  <si>
    <t>غليزان</t>
  </si>
  <si>
    <t>الطارف</t>
  </si>
  <si>
    <t>تغنيف</t>
  </si>
  <si>
    <t>بن قريع</t>
  </si>
  <si>
    <t>راس الماء</t>
  </si>
  <si>
    <t>مديونة</t>
  </si>
  <si>
    <t>متوفى</t>
  </si>
  <si>
    <t>بني تالة</t>
  </si>
  <si>
    <t>دركي</t>
  </si>
  <si>
    <t>محامي</t>
  </si>
  <si>
    <t>حي72سكن سفيزف</t>
  </si>
  <si>
    <t xml:space="preserve">لقب و اسم </t>
  </si>
  <si>
    <t>التوقيت</t>
  </si>
  <si>
    <t>08 سا</t>
  </si>
  <si>
    <t>13و30د</t>
  </si>
  <si>
    <t>الأستاذ</t>
  </si>
  <si>
    <t>أدب عربي</t>
  </si>
  <si>
    <t>ثانوية بوخلدة عبدالقادر- سفيزف -</t>
  </si>
  <si>
    <t>توقيت الأساتذة :</t>
  </si>
  <si>
    <t>عمرون فاطمة</t>
  </si>
  <si>
    <t>انجليزية</t>
  </si>
  <si>
    <t>ع اسلامية</t>
  </si>
  <si>
    <t>ت محاسبي</t>
  </si>
  <si>
    <t>هـ كهربائية</t>
  </si>
  <si>
    <t>1ا د2</t>
  </si>
  <si>
    <t>بطام</t>
  </si>
  <si>
    <t>أدم</t>
  </si>
  <si>
    <t>لحيرش</t>
  </si>
  <si>
    <t>أحمد عبد الرحيم</t>
  </si>
  <si>
    <t>ايقاش</t>
  </si>
  <si>
    <t>أحمد عبدالحكيم</t>
  </si>
  <si>
    <t>خروب</t>
  </si>
  <si>
    <t>بونية كلثوم</t>
  </si>
  <si>
    <t>مدينة فاطمة الزهراء</t>
  </si>
  <si>
    <t>مدين سيف الدين</t>
  </si>
  <si>
    <t>توات الطيب</t>
  </si>
  <si>
    <t>عتو  فاطمة</t>
  </si>
  <si>
    <t>بن تخيسي الزهرة</t>
  </si>
  <si>
    <t>1ا د1</t>
  </si>
  <si>
    <t>1ا د3</t>
  </si>
  <si>
    <t>1ا د4</t>
  </si>
  <si>
    <t>g</t>
  </si>
  <si>
    <t>اوهيبة هجيرة</t>
  </si>
  <si>
    <t>ت/ج</t>
  </si>
  <si>
    <t>اوهيبة يمينة</t>
  </si>
  <si>
    <t>حاجي نصيرة</t>
  </si>
  <si>
    <t>ساكت عبدالقادر</t>
  </si>
  <si>
    <t>فناني قمر</t>
  </si>
  <si>
    <t>عسيلة اكرام</t>
  </si>
  <si>
    <t>يحياوي احمد</t>
  </si>
  <si>
    <t>صلاة عبدالقادر</t>
  </si>
  <si>
    <t>سعدوني عبدالقادر</t>
  </si>
  <si>
    <t>معلوماتية</t>
  </si>
  <si>
    <t>حمداد سيداحمد</t>
  </si>
  <si>
    <t>بوهند حمزة</t>
  </si>
  <si>
    <t>مدينة فاطمة الزهرة</t>
  </si>
  <si>
    <t>ح,غ</t>
  </si>
  <si>
    <t>خليل فاطمة الزهرة</t>
  </si>
  <si>
    <t>بن شيخ وهرة</t>
  </si>
  <si>
    <t>سعدوني احمد</t>
  </si>
  <si>
    <t>أوهيبة يمينة</t>
  </si>
  <si>
    <t>الاساتذة</t>
  </si>
  <si>
    <t>1اد1</t>
  </si>
  <si>
    <t>مناقشة</t>
  </si>
  <si>
    <t>خليل فاطمة الزهراء</t>
  </si>
  <si>
    <t>يؤسفني أن أخبركم بأنه تم التشطيب على ابنكم</t>
  </si>
  <si>
    <t>مروى سلمى</t>
  </si>
  <si>
    <t>أنس محمد عبد الإله</t>
  </si>
  <si>
    <t>محمد ريان</t>
  </si>
  <si>
    <t>أنفال دعاء</t>
  </si>
  <si>
    <t>حليمة دعاء</t>
  </si>
  <si>
    <t>سويدي</t>
  </si>
  <si>
    <t>مصعب ياسر فيصل</t>
  </si>
  <si>
    <t>عبدلي تيجيني</t>
  </si>
  <si>
    <t xml:space="preserve">بوقلتة </t>
  </si>
  <si>
    <t xml:space="preserve">حمزات </t>
  </si>
  <si>
    <t xml:space="preserve"> شيماء</t>
  </si>
  <si>
    <t xml:space="preserve">قسوم </t>
  </si>
  <si>
    <t>امنة</t>
  </si>
  <si>
    <t xml:space="preserve"> دنيا رانيا</t>
  </si>
  <si>
    <t xml:space="preserve">بلعباس </t>
  </si>
  <si>
    <t xml:space="preserve"> رجاء</t>
  </si>
  <si>
    <t>بني سليمان-المدية-</t>
  </si>
  <si>
    <t xml:space="preserve"> محمد الميلود</t>
  </si>
  <si>
    <t xml:space="preserve">بن عيسى </t>
  </si>
  <si>
    <t xml:space="preserve"> ايناس</t>
  </si>
  <si>
    <t>بن هادي</t>
  </si>
  <si>
    <t xml:space="preserve"> نسرين</t>
  </si>
  <si>
    <t>بوخريز</t>
  </si>
  <si>
    <t xml:space="preserve"> خولة</t>
  </si>
  <si>
    <t xml:space="preserve">بوشفرة </t>
  </si>
  <si>
    <t xml:space="preserve"> محمد نذير</t>
  </si>
  <si>
    <t xml:space="preserve"> انس</t>
  </si>
  <si>
    <t>حدادي</t>
  </si>
  <si>
    <t xml:space="preserve"> نور الهدى</t>
  </si>
  <si>
    <t xml:space="preserve"> مريم</t>
  </si>
  <si>
    <t xml:space="preserve">حمداد </t>
  </si>
  <si>
    <t xml:space="preserve"> عبد المجيد</t>
  </si>
  <si>
    <t xml:space="preserve">سنوسي عنتر </t>
  </si>
  <si>
    <t xml:space="preserve"> عبد القادر معاذ</t>
  </si>
  <si>
    <t xml:space="preserve">طعيوش </t>
  </si>
  <si>
    <t xml:space="preserve"> وسيلة</t>
  </si>
  <si>
    <t xml:space="preserve">معطى الله </t>
  </si>
  <si>
    <t xml:space="preserve"> أية نور الإيمان</t>
  </si>
  <si>
    <t xml:space="preserve">مقدم </t>
  </si>
  <si>
    <t xml:space="preserve"> مريم الباتول</t>
  </si>
  <si>
    <t xml:space="preserve">مناد </t>
  </si>
  <si>
    <t xml:space="preserve"> سارة</t>
  </si>
  <si>
    <t xml:space="preserve"> ابراهيم</t>
  </si>
  <si>
    <t>قراحي</t>
  </si>
  <si>
    <t xml:space="preserve"> اية</t>
  </si>
  <si>
    <t>لحرش</t>
  </si>
  <si>
    <t xml:space="preserve"> وئام</t>
  </si>
  <si>
    <t>الغلوسي</t>
  </si>
  <si>
    <t xml:space="preserve"> فيروز</t>
  </si>
  <si>
    <t xml:space="preserve">بركاني </t>
  </si>
  <si>
    <t xml:space="preserve"> سليمة</t>
  </si>
  <si>
    <t xml:space="preserve"> خديجة</t>
  </si>
  <si>
    <t xml:space="preserve">بن بوحة </t>
  </si>
  <si>
    <t xml:space="preserve"> سفيان شرف الدين</t>
  </si>
  <si>
    <t xml:space="preserve">بوتنزار </t>
  </si>
  <si>
    <t xml:space="preserve"> هند سعدية</t>
  </si>
  <si>
    <t>بوسيف</t>
  </si>
  <si>
    <t xml:space="preserve">صانا </t>
  </si>
  <si>
    <t xml:space="preserve"> خيرة انصاف</t>
  </si>
  <si>
    <t xml:space="preserve">عراب </t>
  </si>
  <si>
    <t xml:space="preserve"> وهيبة</t>
  </si>
  <si>
    <t xml:space="preserve"> صبرينة منال</t>
  </si>
  <si>
    <t xml:space="preserve"> خالد</t>
  </si>
  <si>
    <t xml:space="preserve">لعبدلي </t>
  </si>
  <si>
    <t xml:space="preserve"> عبد الرحمان</t>
  </si>
  <si>
    <t xml:space="preserve">لوطي </t>
  </si>
  <si>
    <t xml:space="preserve">لوهاب </t>
  </si>
  <si>
    <t xml:space="preserve"> أسماء</t>
  </si>
  <si>
    <t xml:space="preserve"> نوال</t>
  </si>
  <si>
    <t xml:space="preserve"> بسملة</t>
  </si>
  <si>
    <t>غالوني</t>
  </si>
  <si>
    <t xml:space="preserve"> يمينة</t>
  </si>
  <si>
    <t xml:space="preserve"> حليمة ايناس</t>
  </si>
  <si>
    <t xml:space="preserve">العسري </t>
  </si>
  <si>
    <t xml:space="preserve"> شروق خديجة</t>
  </si>
  <si>
    <t xml:space="preserve">الميلغ </t>
  </si>
  <si>
    <t>عبد الباسط</t>
  </si>
  <si>
    <t xml:space="preserve"> أية</t>
  </si>
  <si>
    <t xml:space="preserve"> هناء هدايات</t>
  </si>
  <si>
    <t xml:space="preserve"> محمد علاء الدين</t>
  </si>
  <si>
    <t xml:space="preserve">بوداليل </t>
  </si>
  <si>
    <t xml:space="preserve"> ابراهيم الخليل</t>
  </si>
  <si>
    <t xml:space="preserve"> سلمى خلود</t>
  </si>
  <si>
    <t xml:space="preserve"> لعبان عبد الرحمان</t>
  </si>
  <si>
    <t xml:space="preserve">خليل </t>
  </si>
  <si>
    <t xml:space="preserve"> بشرى</t>
  </si>
  <si>
    <t xml:space="preserve"> زينب</t>
  </si>
  <si>
    <t xml:space="preserve">فرحي </t>
  </si>
  <si>
    <t xml:space="preserve"> كوثر</t>
  </si>
  <si>
    <t xml:space="preserve">مسرغيني </t>
  </si>
  <si>
    <t xml:space="preserve"> إيمان</t>
  </si>
  <si>
    <t xml:space="preserve">مكيكة </t>
  </si>
  <si>
    <t xml:space="preserve"> خولة هاجر</t>
  </si>
  <si>
    <t xml:space="preserve"> نور الشمس</t>
  </si>
  <si>
    <t xml:space="preserve">يخو </t>
  </si>
  <si>
    <t xml:space="preserve">إيقاش </t>
  </si>
  <si>
    <t>عمر عبد الرحمان</t>
  </si>
  <si>
    <t>بايو</t>
  </si>
  <si>
    <t xml:space="preserve"> أميمة</t>
  </si>
  <si>
    <t xml:space="preserve">بغاديد </t>
  </si>
  <si>
    <t xml:space="preserve"> ياسر مختار</t>
  </si>
  <si>
    <t>بن صابر</t>
  </si>
  <si>
    <t xml:space="preserve"> مريم عبير</t>
  </si>
  <si>
    <t xml:space="preserve"> مريم اشراق</t>
  </si>
  <si>
    <t xml:space="preserve">بوخالفة </t>
  </si>
  <si>
    <t xml:space="preserve"> محمد عبد الجليل</t>
  </si>
  <si>
    <t xml:space="preserve">بوطريشة </t>
  </si>
  <si>
    <t xml:space="preserve"> أمينة</t>
  </si>
  <si>
    <t>داودي</t>
  </si>
  <si>
    <t xml:space="preserve"> منال بشرى براءة</t>
  </si>
  <si>
    <t xml:space="preserve">دوكالي </t>
  </si>
  <si>
    <t xml:space="preserve">دين </t>
  </si>
  <si>
    <t xml:space="preserve"> حليمة صبح</t>
  </si>
  <si>
    <t xml:space="preserve"> دعاء</t>
  </si>
  <si>
    <t xml:space="preserve">  آية</t>
  </si>
  <si>
    <t>شوقرون</t>
  </si>
  <si>
    <t xml:space="preserve"> وسيم</t>
  </si>
  <si>
    <t xml:space="preserve">غليس </t>
  </si>
  <si>
    <t xml:space="preserve"> محمد ياسر</t>
  </si>
  <si>
    <t xml:space="preserve">قديد </t>
  </si>
  <si>
    <t xml:space="preserve"> بختة امينة</t>
  </si>
  <si>
    <t xml:space="preserve"> عبد المالك</t>
  </si>
  <si>
    <t xml:space="preserve">مدوني </t>
  </si>
  <si>
    <t xml:space="preserve"> اسراء</t>
  </si>
  <si>
    <t xml:space="preserve">مراح </t>
  </si>
  <si>
    <t xml:space="preserve"> ريم هاجر</t>
  </si>
  <si>
    <t>مهادن</t>
  </si>
  <si>
    <t xml:space="preserve"> خيرة</t>
  </si>
  <si>
    <t xml:space="preserve"> حسام</t>
  </si>
  <si>
    <t xml:space="preserve">بن حميد </t>
  </si>
  <si>
    <t xml:space="preserve"> عيسى عبد الحق</t>
  </si>
  <si>
    <t xml:space="preserve"> فاطمة الزهراء</t>
  </si>
  <si>
    <t xml:space="preserve">بن يوسف </t>
  </si>
  <si>
    <t>حمام بوحجر</t>
  </si>
  <si>
    <t xml:space="preserve">بنابي </t>
  </si>
  <si>
    <t xml:space="preserve"> حفصة عائشة</t>
  </si>
  <si>
    <t xml:space="preserve">بوشنافي </t>
  </si>
  <si>
    <t xml:space="preserve"> عبد الرحمن</t>
  </si>
  <si>
    <t xml:space="preserve">بومزراق </t>
  </si>
  <si>
    <t xml:space="preserve"> أحمد</t>
  </si>
  <si>
    <t>يوسف أمين</t>
  </si>
  <si>
    <t xml:space="preserve">قرازيب </t>
  </si>
  <si>
    <t xml:space="preserve"> سندس</t>
  </si>
  <si>
    <t xml:space="preserve"> محمد الأمين</t>
  </si>
  <si>
    <t xml:space="preserve">مالكي </t>
  </si>
  <si>
    <t xml:space="preserve"> محمد عبد الرحيم</t>
  </si>
  <si>
    <t xml:space="preserve"> عمر</t>
  </si>
  <si>
    <t xml:space="preserve"> إنصاف خيرة</t>
  </si>
  <si>
    <t xml:space="preserve"> سيرين</t>
  </si>
  <si>
    <t xml:space="preserve"> رقية</t>
  </si>
  <si>
    <t xml:space="preserve">يحياوي </t>
  </si>
  <si>
    <t xml:space="preserve"> محمد عبد الهادي</t>
  </si>
  <si>
    <t xml:space="preserve">أوهيبة </t>
  </si>
  <si>
    <t xml:space="preserve"> محمد اسلام</t>
  </si>
  <si>
    <t xml:space="preserve">بن بغداد </t>
  </si>
  <si>
    <t xml:space="preserve"> عبد القادر</t>
  </si>
  <si>
    <t xml:space="preserve">بن سجاد </t>
  </si>
  <si>
    <t xml:space="preserve"> ياسمين سميرة</t>
  </si>
  <si>
    <t xml:space="preserve">بوشنتوف </t>
  </si>
  <si>
    <t xml:space="preserve"> امال</t>
  </si>
  <si>
    <t xml:space="preserve">بوعصابة </t>
  </si>
  <si>
    <t xml:space="preserve">حجاج </t>
  </si>
  <si>
    <t xml:space="preserve">خديم </t>
  </si>
  <si>
    <t>العربي محمد</t>
  </si>
  <si>
    <t xml:space="preserve">شعيب </t>
  </si>
  <si>
    <t xml:space="preserve">شلالي </t>
  </si>
  <si>
    <t xml:space="preserve"> شريفة</t>
  </si>
  <si>
    <t xml:space="preserve">عروش </t>
  </si>
  <si>
    <t xml:space="preserve"> رانية</t>
  </si>
  <si>
    <t xml:space="preserve">عمريو </t>
  </si>
  <si>
    <t xml:space="preserve"> ياسر عبد المومن</t>
  </si>
  <si>
    <t xml:space="preserve">نطاح </t>
  </si>
  <si>
    <t xml:space="preserve"> إكرام نور الهدى</t>
  </si>
  <si>
    <t>عبير ياسمين</t>
  </si>
  <si>
    <t>الوادي</t>
  </si>
  <si>
    <t xml:space="preserve">ناصري </t>
  </si>
  <si>
    <t xml:space="preserve"> إنصاف فدوى</t>
  </si>
  <si>
    <t xml:space="preserve">بن يحي </t>
  </si>
  <si>
    <t xml:space="preserve"> فريال</t>
  </si>
  <si>
    <t xml:space="preserve"> أحلام</t>
  </si>
  <si>
    <t xml:space="preserve"> شيماء انصاف</t>
  </si>
  <si>
    <t xml:space="preserve"> توفيق</t>
  </si>
  <si>
    <t xml:space="preserve"> هبة الرحمان</t>
  </si>
  <si>
    <t xml:space="preserve">زعتر </t>
  </si>
  <si>
    <t xml:space="preserve"> خلود</t>
  </si>
  <si>
    <t xml:space="preserve"> ملوكة</t>
  </si>
  <si>
    <t xml:space="preserve">كريم </t>
  </si>
  <si>
    <t xml:space="preserve">ميموني </t>
  </si>
  <si>
    <t xml:space="preserve"> جلول ولي الدين</t>
  </si>
  <si>
    <t xml:space="preserve">وذان </t>
  </si>
  <si>
    <t xml:space="preserve"> يحي زكرياء</t>
  </si>
  <si>
    <t xml:space="preserve"> مهى</t>
  </si>
  <si>
    <t xml:space="preserve">برواين </t>
  </si>
  <si>
    <t xml:space="preserve"> عماد الدين</t>
  </si>
  <si>
    <t xml:space="preserve">بوداود </t>
  </si>
  <si>
    <t xml:space="preserve">بيدي </t>
  </si>
  <si>
    <t xml:space="preserve"> عبد المؤمن</t>
  </si>
  <si>
    <t xml:space="preserve"> عبد الاله</t>
  </si>
  <si>
    <t xml:space="preserve"> سلسبيل</t>
  </si>
  <si>
    <t xml:space="preserve">طلاح </t>
  </si>
  <si>
    <t xml:space="preserve">كرناف </t>
  </si>
  <si>
    <t xml:space="preserve"> رضا</t>
  </si>
  <si>
    <t>3ت ا ق1</t>
  </si>
  <si>
    <t>3ت ا ق2</t>
  </si>
  <si>
    <t>2أ ف1</t>
  </si>
  <si>
    <t>2أ ف2</t>
  </si>
  <si>
    <t>ن/داخلية</t>
  </si>
  <si>
    <t>ن/داخلي</t>
  </si>
  <si>
    <t>رصاص</t>
  </si>
  <si>
    <t>شارع بلعيني عبدالقادر سفيزف</t>
  </si>
  <si>
    <t>اسماعيل</t>
  </si>
  <si>
    <t>شارع أحمد زبانة سفيزف</t>
  </si>
  <si>
    <t>06حي بوخنفوس مختار سفيزف</t>
  </si>
  <si>
    <t>14و30د</t>
  </si>
  <si>
    <t>15و30د</t>
  </si>
  <si>
    <t>مارية</t>
  </si>
  <si>
    <t>بني صاف</t>
  </si>
  <si>
    <t>فادن</t>
  </si>
  <si>
    <t>عائشة منال</t>
  </si>
  <si>
    <t>عين تدلس</t>
  </si>
  <si>
    <t>يوب</t>
  </si>
  <si>
    <t>01حي100سكن سفيزف</t>
  </si>
  <si>
    <t>9سا</t>
  </si>
  <si>
    <t>10سا</t>
  </si>
  <si>
    <t>11سا</t>
  </si>
  <si>
    <t>12سا</t>
  </si>
  <si>
    <t xml:space="preserve">حسان  </t>
  </si>
  <si>
    <t>البيض</t>
  </si>
  <si>
    <t>مريم باتول</t>
  </si>
  <si>
    <t>بن قريرة</t>
  </si>
  <si>
    <t>أحمد عبد الرحمان</t>
  </si>
  <si>
    <t>سميلي</t>
  </si>
  <si>
    <t>صافة باهي عمر</t>
  </si>
  <si>
    <t xml:space="preserve">  أمين</t>
  </si>
  <si>
    <t>اشعار بعدم الالتحاق</t>
  </si>
  <si>
    <t xml:space="preserve">  لم يجري اجراءات التسجيل الى يومنا هذا .</t>
  </si>
  <si>
    <t xml:space="preserve">  المطلوب منكم القيام بتسجيله (ها) فور استلامكم هذا الاشعار .</t>
  </si>
  <si>
    <t xml:space="preserve">   نكون مضطرين لشطبه (ها) من القوائم نهائيا .</t>
  </si>
  <si>
    <r>
      <t xml:space="preserve"> </t>
    </r>
    <r>
      <rPr>
        <b/>
        <sz val="16"/>
        <color theme="1"/>
        <rFont val="Arabic Transparent"/>
        <charset val="178"/>
      </rPr>
      <t xml:space="preserve">المـديـر  </t>
    </r>
  </si>
  <si>
    <t>قسم :</t>
  </si>
  <si>
    <t xml:space="preserve">  في حالة عدم التسجيل قبل تاريخ </t>
  </si>
  <si>
    <t xml:space="preserve">  نعلمكم أن ابنكم – ابنتكم : </t>
  </si>
  <si>
    <t>خضرة أسماء</t>
  </si>
  <si>
    <t>16و30د</t>
  </si>
  <si>
    <t>17و30د</t>
  </si>
  <si>
    <t>3ت ا 2</t>
  </si>
  <si>
    <t>2ا ف1</t>
  </si>
  <si>
    <t>2ا ف2</t>
  </si>
  <si>
    <t>زقاي</t>
  </si>
  <si>
    <t>إليزي</t>
  </si>
  <si>
    <t>سليلي حسنة</t>
  </si>
  <si>
    <t>لا شئ يذكر</t>
  </si>
  <si>
    <t>3ت ا1</t>
  </si>
  <si>
    <t>3ت ا2</t>
  </si>
  <si>
    <t>2ع3</t>
  </si>
  <si>
    <t>2ت ا2</t>
  </si>
  <si>
    <t>بولحية</t>
  </si>
  <si>
    <t>حريرنبيل</t>
  </si>
  <si>
    <t>بويعقوب زينة</t>
  </si>
  <si>
    <t>درار سهام</t>
  </si>
  <si>
    <t xml:space="preserve">رويس </t>
  </si>
  <si>
    <t>مزيان</t>
  </si>
  <si>
    <t>احلام مروى</t>
  </si>
  <si>
    <t>سبدو</t>
  </si>
  <si>
    <t>إبتسام</t>
  </si>
  <si>
    <t>حافظ</t>
  </si>
  <si>
    <t>2ت ا1</t>
  </si>
  <si>
    <t>3ت ا 1</t>
  </si>
  <si>
    <t>2ع 1</t>
  </si>
  <si>
    <t>2ع 2</t>
  </si>
  <si>
    <t>2ع 3</t>
  </si>
  <si>
    <t>أيوب</t>
  </si>
  <si>
    <t>رحماني</t>
  </si>
  <si>
    <t>آية  فاطيمة</t>
  </si>
  <si>
    <t>إيخو</t>
  </si>
  <si>
    <t xml:space="preserve">بوشتة </t>
  </si>
  <si>
    <t>إسبانيا</t>
  </si>
  <si>
    <t>1اد2</t>
  </si>
  <si>
    <t>1اد3</t>
  </si>
  <si>
    <t>منتصر عبدالصبور</t>
  </si>
  <si>
    <t>2اف2</t>
  </si>
  <si>
    <t xml:space="preserve"> رانيا</t>
  </si>
  <si>
    <t>ش ط 21ي</t>
  </si>
  <si>
    <t>ن ش ط 11/10</t>
  </si>
  <si>
    <t>المغراوي نسرين</t>
  </si>
  <si>
    <t>مريجة أسماء</t>
  </si>
  <si>
    <t>08سا00د</t>
  </si>
  <si>
    <t>09سا00د</t>
  </si>
  <si>
    <t>10سا00د</t>
  </si>
  <si>
    <t>11سا00د</t>
  </si>
  <si>
    <t>12سا00د</t>
  </si>
  <si>
    <t>13سا30د</t>
  </si>
  <si>
    <t>14سا30د</t>
  </si>
  <si>
    <t>مشرف -ت</t>
  </si>
  <si>
    <t>مشرف رئيسئ</t>
  </si>
  <si>
    <t>مدوني عبدالرحمان</t>
  </si>
  <si>
    <t>الحاج  احمد نذير</t>
  </si>
  <si>
    <t xml:space="preserve">حميدة  </t>
  </si>
  <si>
    <t>ق:04</t>
  </si>
  <si>
    <t>ق:03</t>
  </si>
  <si>
    <t>ق:07</t>
  </si>
  <si>
    <t>عدة نسرين</t>
  </si>
  <si>
    <t>ش ط 22ي</t>
  </si>
  <si>
    <t>عدد الشهادات المنجزة : 06</t>
  </si>
  <si>
    <t>عدد التلاميذ: 03</t>
  </si>
  <si>
    <t>مسلم</t>
  </si>
  <si>
    <t>مرض الزكام</t>
  </si>
  <si>
    <t xml:space="preserve">ش ط </t>
  </si>
  <si>
    <t xml:space="preserve">                                      تاريــــــخ الشـــــــــــطب : </t>
  </si>
  <si>
    <t>15سا30د</t>
  </si>
  <si>
    <t>1-22-1التقرير اليومي لمستشار التربية رقم 063</t>
  </si>
  <si>
    <t>آخر رقم:  203</t>
  </si>
  <si>
    <t>غيابات التلاميذ</t>
  </si>
  <si>
    <t>2أ ف3</t>
  </si>
  <si>
    <t xml:space="preserve"> نادية فاطمة الزهراء</t>
  </si>
  <si>
    <t xml:space="preserve">  لامية</t>
  </si>
  <si>
    <t xml:space="preserve"> سارة حنين</t>
  </si>
  <si>
    <t xml:space="preserve"> عائشة</t>
  </si>
  <si>
    <t xml:space="preserve">اوهيبة </t>
  </si>
  <si>
    <t xml:space="preserve"> عبير</t>
  </si>
  <si>
    <t xml:space="preserve"> محمد االحبيب</t>
  </si>
  <si>
    <t xml:space="preserve">براوي </t>
  </si>
  <si>
    <t xml:space="preserve"> سلسبيل أمينة</t>
  </si>
  <si>
    <t xml:space="preserve">برفاس </t>
  </si>
  <si>
    <t xml:space="preserve">بلخير </t>
  </si>
  <si>
    <t xml:space="preserve">بلعياشي </t>
  </si>
  <si>
    <t xml:space="preserve"> نرجس رميساء</t>
  </si>
  <si>
    <t xml:space="preserve">بلكبيش </t>
  </si>
  <si>
    <t xml:space="preserve"> إلياس عبد النور</t>
  </si>
  <si>
    <t xml:space="preserve">بودور </t>
  </si>
  <si>
    <t xml:space="preserve"> ايناس مريم</t>
  </si>
  <si>
    <t xml:space="preserve">تيرس </t>
  </si>
  <si>
    <t xml:space="preserve"> أحمد شاكر</t>
  </si>
  <si>
    <t xml:space="preserve"> هيبة فريال</t>
  </si>
  <si>
    <t xml:space="preserve"> هبة أشواق</t>
  </si>
  <si>
    <t xml:space="preserve">خلوفي </t>
  </si>
  <si>
    <t xml:space="preserve"> انس عبد الحفيظ</t>
  </si>
  <si>
    <t xml:space="preserve">رمدوم </t>
  </si>
  <si>
    <t xml:space="preserve"> الاء ريم</t>
  </si>
  <si>
    <t xml:space="preserve">سلام </t>
  </si>
  <si>
    <t xml:space="preserve"> هناء الزهرة</t>
  </si>
  <si>
    <t xml:space="preserve">صلات </t>
  </si>
  <si>
    <t xml:space="preserve"> أيمن عبد الحق</t>
  </si>
  <si>
    <t xml:space="preserve"> ملك فراح</t>
  </si>
  <si>
    <t xml:space="preserve">عبدلي </t>
  </si>
  <si>
    <t xml:space="preserve"> خديجة عائشة</t>
  </si>
  <si>
    <t xml:space="preserve">عشي </t>
  </si>
  <si>
    <t xml:space="preserve">عماري </t>
  </si>
  <si>
    <t xml:space="preserve"> عزام</t>
  </si>
  <si>
    <t>كاملي</t>
  </si>
  <si>
    <t xml:space="preserve"> وداد</t>
  </si>
  <si>
    <t xml:space="preserve"> إحسان</t>
  </si>
  <si>
    <t xml:space="preserve"> كمال قادة</t>
  </si>
  <si>
    <t xml:space="preserve"> زهير تقي الدين</t>
  </si>
  <si>
    <t xml:space="preserve">مسعد </t>
  </si>
  <si>
    <t xml:space="preserve"> أحمد توفيق عبد المجيد</t>
  </si>
  <si>
    <t xml:space="preserve"> فراح</t>
  </si>
  <si>
    <t xml:space="preserve"> فتحي</t>
  </si>
  <si>
    <t xml:space="preserve">نواري </t>
  </si>
  <si>
    <t xml:space="preserve"> ياسر عبد الله</t>
  </si>
  <si>
    <t xml:space="preserve">هدار </t>
  </si>
  <si>
    <t xml:space="preserve"> محمد عبد المجيد</t>
  </si>
  <si>
    <t xml:space="preserve">حميدي </t>
  </si>
  <si>
    <t xml:space="preserve"> نريمان سلسبيل</t>
  </si>
  <si>
    <t xml:space="preserve"> فرح</t>
  </si>
  <si>
    <t xml:space="preserve"> مختارية</t>
  </si>
  <si>
    <t xml:space="preserve"> ياسر</t>
  </si>
  <si>
    <t xml:space="preserve">الغلوسي </t>
  </si>
  <si>
    <t xml:space="preserve"> هاجر</t>
  </si>
  <si>
    <t xml:space="preserve"> الحبيب</t>
  </si>
  <si>
    <t xml:space="preserve"> سمية</t>
  </si>
  <si>
    <t xml:space="preserve"> سماح</t>
  </si>
  <si>
    <t xml:space="preserve">بن حميميدي </t>
  </si>
  <si>
    <t xml:space="preserve"> رميساء حليمة</t>
  </si>
  <si>
    <t xml:space="preserve">بوزيان </t>
  </si>
  <si>
    <t xml:space="preserve"> امينة عبير</t>
  </si>
  <si>
    <t xml:space="preserve">بوعسرية </t>
  </si>
  <si>
    <t xml:space="preserve"> سفيان</t>
  </si>
  <si>
    <t xml:space="preserve">تامرت </t>
  </si>
  <si>
    <t xml:space="preserve"> أميمة إبتهال</t>
  </si>
  <si>
    <t xml:space="preserve">توسر </t>
  </si>
  <si>
    <t xml:space="preserve"> رانيا فاطمة الزهراء</t>
  </si>
  <si>
    <t xml:space="preserve">حديم </t>
  </si>
  <si>
    <t xml:space="preserve"> فاطمة الزهراء دعاء</t>
  </si>
  <si>
    <t xml:space="preserve"> محمد مروان</t>
  </si>
  <si>
    <t xml:space="preserve"> ادم عبد المجيد بومدين</t>
  </si>
  <si>
    <t xml:space="preserve">خلافي </t>
  </si>
  <si>
    <t xml:space="preserve"> فريال فاطيمة</t>
  </si>
  <si>
    <t xml:space="preserve"> إدريس أسامة</t>
  </si>
  <si>
    <t xml:space="preserve">خوجة </t>
  </si>
  <si>
    <t xml:space="preserve"> هبة</t>
  </si>
  <si>
    <t xml:space="preserve"> اسية</t>
  </si>
  <si>
    <t xml:space="preserve"> هيثم</t>
  </si>
  <si>
    <t xml:space="preserve"> بوزيان عبد الرحمان</t>
  </si>
  <si>
    <t xml:space="preserve"> عفاف</t>
  </si>
  <si>
    <t xml:space="preserve">عثماني </t>
  </si>
  <si>
    <t xml:space="preserve"> اريج</t>
  </si>
  <si>
    <t xml:space="preserve"> إسراء</t>
  </si>
  <si>
    <t xml:space="preserve"> أنس شرف الدين</t>
  </si>
  <si>
    <t xml:space="preserve">فداق </t>
  </si>
  <si>
    <t xml:space="preserve"> محمد امين</t>
  </si>
  <si>
    <t xml:space="preserve"> انس طارق الدين</t>
  </si>
  <si>
    <t xml:space="preserve"> كرمل عباسية</t>
  </si>
  <si>
    <t>الكبير</t>
  </si>
  <si>
    <t xml:space="preserve">امزيان </t>
  </si>
  <si>
    <t xml:space="preserve"> رفيدة تسنيم</t>
  </si>
  <si>
    <t xml:space="preserve"> ياسمين</t>
  </si>
  <si>
    <t xml:space="preserve"> صارة</t>
  </si>
  <si>
    <t xml:space="preserve">شريفي </t>
  </si>
  <si>
    <t xml:space="preserve">غاليوي </t>
  </si>
  <si>
    <t xml:space="preserve"> زكرياء</t>
  </si>
  <si>
    <t xml:space="preserve"> علاء زين الدين</t>
  </si>
  <si>
    <t xml:space="preserve">بالسيني </t>
  </si>
  <si>
    <t xml:space="preserve"> بهاء الدين</t>
  </si>
  <si>
    <t xml:space="preserve"> علاء الدين</t>
  </si>
  <si>
    <t xml:space="preserve">بخدة  </t>
  </si>
  <si>
    <t xml:space="preserve"> وفاء خيرة</t>
  </si>
  <si>
    <t xml:space="preserve">بدرابني </t>
  </si>
  <si>
    <t xml:space="preserve"> كنزة</t>
  </si>
  <si>
    <t xml:space="preserve">بسباس </t>
  </si>
  <si>
    <t xml:space="preserve"> ايمن عبد الرحمان</t>
  </si>
  <si>
    <t xml:space="preserve">بطام </t>
  </si>
  <si>
    <t xml:space="preserve"> منال</t>
  </si>
  <si>
    <t xml:space="preserve">بوحجر </t>
  </si>
  <si>
    <t xml:space="preserve"> زينب رميلة</t>
  </si>
  <si>
    <t xml:space="preserve">بوخريز </t>
  </si>
  <si>
    <t xml:space="preserve">بوكراع </t>
  </si>
  <si>
    <t xml:space="preserve">تجين  </t>
  </si>
  <si>
    <t xml:space="preserve"> نور الإمان طامو</t>
  </si>
  <si>
    <t xml:space="preserve"> سيراج الدين</t>
  </si>
  <si>
    <t xml:space="preserve"> محمد حمزة عبد الجليل</t>
  </si>
  <si>
    <t xml:space="preserve">رمضاني </t>
  </si>
  <si>
    <t xml:space="preserve"> فيصل</t>
  </si>
  <si>
    <t xml:space="preserve"> ياسمين كلثوم</t>
  </si>
  <si>
    <t xml:space="preserve">شقرون </t>
  </si>
  <si>
    <t xml:space="preserve"> فارس محمد الحبيب</t>
  </si>
  <si>
    <t xml:space="preserve">صالحي </t>
  </si>
  <si>
    <t xml:space="preserve"> فردوس</t>
  </si>
  <si>
    <t xml:space="preserve">صوافي </t>
  </si>
  <si>
    <t xml:space="preserve"> هناء</t>
  </si>
  <si>
    <t xml:space="preserve"> أميمة عائشة</t>
  </si>
  <si>
    <t xml:space="preserve"> فاطيمة الزهرة</t>
  </si>
  <si>
    <t xml:space="preserve">عربوش </t>
  </si>
  <si>
    <t xml:space="preserve"> محمد الحبيب</t>
  </si>
  <si>
    <t xml:space="preserve">عويمر </t>
  </si>
  <si>
    <t xml:space="preserve"> عبد الكريم</t>
  </si>
  <si>
    <t xml:space="preserve">فليو </t>
  </si>
  <si>
    <t xml:space="preserve">قديح </t>
  </si>
  <si>
    <t xml:space="preserve"> محمد علي</t>
  </si>
  <si>
    <t xml:space="preserve"> عصام الدين ميلود</t>
  </si>
  <si>
    <t xml:space="preserve"> غنية</t>
  </si>
  <si>
    <t xml:space="preserve">هازل </t>
  </si>
  <si>
    <t xml:space="preserve"> محمد حمزة</t>
  </si>
  <si>
    <t xml:space="preserve">حاكم </t>
  </si>
  <si>
    <t xml:space="preserve"> نرجس</t>
  </si>
  <si>
    <t xml:space="preserve">خيدي </t>
  </si>
  <si>
    <t xml:space="preserve"> مروة صفاء</t>
  </si>
  <si>
    <t xml:space="preserve"> اسيا رميساء</t>
  </si>
  <si>
    <t xml:space="preserve"> فاطمة زهرة</t>
  </si>
  <si>
    <t xml:space="preserve"> فافة</t>
  </si>
  <si>
    <t xml:space="preserve"> ابتسام</t>
  </si>
  <si>
    <t xml:space="preserve">بن بارك </t>
  </si>
  <si>
    <t xml:space="preserve"> يسرى</t>
  </si>
  <si>
    <t xml:space="preserve">بن زازوة </t>
  </si>
  <si>
    <t xml:space="preserve">  أحلام</t>
  </si>
  <si>
    <t xml:space="preserve">بن شيخ </t>
  </si>
  <si>
    <t xml:space="preserve"> ندير اسلام</t>
  </si>
  <si>
    <t xml:space="preserve">بوخاري </t>
  </si>
  <si>
    <t xml:space="preserve"> آمنة</t>
  </si>
  <si>
    <t xml:space="preserve">بودلال </t>
  </si>
  <si>
    <t>فاتح</t>
  </si>
  <si>
    <t xml:space="preserve">بورويس </t>
  </si>
  <si>
    <t xml:space="preserve">بولنجة </t>
  </si>
  <si>
    <t>تجيني</t>
  </si>
  <si>
    <t xml:space="preserve"> رميساء</t>
  </si>
  <si>
    <t xml:space="preserve">جليد   </t>
  </si>
  <si>
    <t xml:space="preserve"> محمد عبد الإله</t>
  </si>
  <si>
    <t xml:space="preserve"> أيوب عبد الرحمان</t>
  </si>
  <si>
    <t xml:space="preserve"> عبد الوهاب</t>
  </si>
  <si>
    <t xml:space="preserve">راولي </t>
  </si>
  <si>
    <t xml:space="preserve"> إخلاص</t>
  </si>
  <si>
    <t xml:space="preserve">رحواج </t>
  </si>
  <si>
    <t>زكوم</t>
  </si>
  <si>
    <t xml:space="preserve">سرور </t>
  </si>
  <si>
    <t xml:space="preserve"> عبد الرحمان محمد جواد</t>
  </si>
  <si>
    <t xml:space="preserve"> قادة عبد الرحمان</t>
  </si>
  <si>
    <t xml:space="preserve">صابري </t>
  </si>
  <si>
    <t xml:space="preserve"> ايمان عباسية</t>
  </si>
  <si>
    <t xml:space="preserve"> فاطمة الزهرة</t>
  </si>
  <si>
    <t xml:space="preserve">فليح </t>
  </si>
  <si>
    <t xml:space="preserve"> مروى</t>
  </si>
  <si>
    <t xml:space="preserve">فوغالي </t>
  </si>
  <si>
    <t xml:space="preserve"> إيمان حليمة</t>
  </si>
  <si>
    <t xml:space="preserve">قضات </t>
  </si>
  <si>
    <t xml:space="preserve"> يحيى عماد الدين</t>
  </si>
  <si>
    <t xml:space="preserve"> سهيلة فريال</t>
  </si>
  <si>
    <t xml:space="preserve">لوت </t>
  </si>
  <si>
    <t xml:space="preserve">مريس </t>
  </si>
  <si>
    <t xml:space="preserve"> محمد امين اشرف</t>
  </si>
  <si>
    <t xml:space="preserve"> محمد رفيق عبد القادر</t>
  </si>
  <si>
    <t xml:space="preserve">مهدان </t>
  </si>
  <si>
    <t xml:space="preserve"> خيرة أسماء</t>
  </si>
  <si>
    <t xml:space="preserve"> نشوى</t>
  </si>
  <si>
    <t xml:space="preserve"> كوثر مباركة</t>
  </si>
  <si>
    <t xml:space="preserve">وسواس </t>
  </si>
  <si>
    <t xml:space="preserve"> شمس</t>
  </si>
  <si>
    <t xml:space="preserve">أوهيبة  </t>
  </si>
  <si>
    <t xml:space="preserve"> غفران سلسبيل</t>
  </si>
  <si>
    <t xml:space="preserve">برباح  </t>
  </si>
  <si>
    <t xml:space="preserve"> فافة شيماء</t>
  </si>
  <si>
    <t xml:space="preserve"> آدم</t>
  </si>
  <si>
    <t xml:space="preserve">بلعوينات </t>
  </si>
  <si>
    <t xml:space="preserve"> محمد كمال</t>
  </si>
  <si>
    <t xml:space="preserve"> نعيمة</t>
  </si>
  <si>
    <t>اسحاق</t>
  </si>
  <si>
    <t xml:space="preserve">بوزكري </t>
  </si>
  <si>
    <t xml:space="preserve"> هاجر ريحان</t>
  </si>
  <si>
    <t xml:space="preserve">بوسهلة </t>
  </si>
  <si>
    <t xml:space="preserve">بوطبل </t>
  </si>
  <si>
    <t xml:space="preserve"> رحمة</t>
  </si>
  <si>
    <t xml:space="preserve">بوعلي قدور  </t>
  </si>
  <si>
    <t xml:space="preserve">  عبد الرحمان</t>
  </si>
  <si>
    <t xml:space="preserve">بومنتل    </t>
  </si>
  <si>
    <t xml:space="preserve"> بن أمحمد بدر الدين</t>
  </si>
  <si>
    <t>فيصل</t>
  </si>
  <si>
    <t xml:space="preserve">جرموني </t>
  </si>
  <si>
    <t xml:space="preserve"> مونية نوال</t>
  </si>
  <si>
    <t xml:space="preserve">حداد   </t>
  </si>
  <si>
    <t xml:space="preserve"> امينة نور الهدى</t>
  </si>
  <si>
    <t xml:space="preserve">حلفاوي </t>
  </si>
  <si>
    <t xml:space="preserve"> عصام</t>
  </si>
  <si>
    <t xml:space="preserve"> نذير</t>
  </si>
  <si>
    <t xml:space="preserve"> ذكرى</t>
  </si>
  <si>
    <t>فتح الله</t>
  </si>
  <si>
    <t xml:space="preserve">زياني </t>
  </si>
  <si>
    <t xml:space="preserve"> آية</t>
  </si>
  <si>
    <t xml:space="preserve">سويكت </t>
  </si>
  <si>
    <t xml:space="preserve">شباني </t>
  </si>
  <si>
    <t xml:space="preserve">صحوري  </t>
  </si>
  <si>
    <t xml:space="preserve"> بشرى آية</t>
  </si>
  <si>
    <t xml:space="preserve"> معاذ عبد الودود</t>
  </si>
  <si>
    <t xml:space="preserve"> لميس خديجة</t>
  </si>
  <si>
    <t xml:space="preserve">  مريم</t>
  </si>
  <si>
    <t xml:space="preserve"> مروى ملاك</t>
  </si>
  <si>
    <t xml:space="preserve">نموس </t>
  </si>
  <si>
    <t xml:space="preserve"> نريمان</t>
  </si>
  <si>
    <t xml:space="preserve">هلال </t>
  </si>
  <si>
    <t xml:space="preserve"> أيوب</t>
  </si>
  <si>
    <t xml:space="preserve"> صبرين</t>
  </si>
  <si>
    <t xml:space="preserve">طيبي  </t>
  </si>
  <si>
    <t xml:space="preserve"> خلود فاطمة الزهراء</t>
  </si>
  <si>
    <t xml:space="preserve">لوازن </t>
  </si>
  <si>
    <t xml:space="preserve"> صبرينة</t>
  </si>
  <si>
    <t xml:space="preserve">مسلم </t>
  </si>
  <si>
    <t xml:space="preserve"> راشا</t>
  </si>
  <si>
    <t xml:space="preserve">العكرمي   </t>
  </si>
  <si>
    <t xml:space="preserve"> عبد القادر صفوان</t>
  </si>
  <si>
    <t xml:space="preserve">باحة </t>
  </si>
  <si>
    <t xml:space="preserve"> أمينة شراز</t>
  </si>
  <si>
    <t xml:space="preserve">بطول </t>
  </si>
  <si>
    <t xml:space="preserve"> مامة</t>
  </si>
  <si>
    <t xml:space="preserve">بلخروبي </t>
  </si>
  <si>
    <t xml:space="preserve"> محمد وحيد</t>
  </si>
  <si>
    <t xml:space="preserve">بلعيد </t>
  </si>
  <si>
    <t xml:space="preserve">بلكبيش   </t>
  </si>
  <si>
    <t xml:space="preserve"> لعيد محمد عدنان</t>
  </si>
  <si>
    <t xml:space="preserve">بونية </t>
  </si>
  <si>
    <t xml:space="preserve"> زهرة</t>
  </si>
  <si>
    <t xml:space="preserve">تاوسر </t>
  </si>
  <si>
    <t xml:space="preserve"> امينة</t>
  </si>
  <si>
    <t xml:space="preserve">حداد    </t>
  </si>
  <si>
    <t xml:space="preserve"> اشرف محمد عبد العالي</t>
  </si>
  <si>
    <t xml:space="preserve"> سيف الدين</t>
  </si>
  <si>
    <t xml:space="preserve">دلال </t>
  </si>
  <si>
    <t xml:space="preserve">ديداوي </t>
  </si>
  <si>
    <t xml:space="preserve">ريغي  </t>
  </si>
  <si>
    <t xml:space="preserve"> ندى الريحان</t>
  </si>
  <si>
    <t xml:space="preserve">زمعلاش </t>
  </si>
  <si>
    <t xml:space="preserve"> جيهان</t>
  </si>
  <si>
    <t xml:space="preserve">سالمي </t>
  </si>
  <si>
    <t xml:space="preserve">سعيداني  </t>
  </si>
  <si>
    <t xml:space="preserve"> فراح نهى</t>
  </si>
  <si>
    <t xml:space="preserve"> زينب الزهراء</t>
  </si>
  <si>
    <t>محمد عماد الدين</t>
  </si>
  <si>
    <t xml:space="preserve">قضات  </t>
  </si>
  <si>
    <t xml:space="preserve"> هاني ربيع</t>
  </si>
  <si>
    <t xml:space="preserve">كرزازي   </t>
  </si>
  <si>
    <t xml:space="preserve"> علال علاء الدين</t>
  </si>
  <si>
    <t xml:space="preserve">لمدار </t>
  </si>
  <si>
    <t xml:space="preserve">مقداد </t>
  </si>
  <si>
    <t xml:space="preserve"> إبتهال</t>
  </si>
  <si>
    <t xml:space="preserve">نحال  </t>
  </si>
  <si>
    <t xml:space="preserve"> محمد إسلام</t>
  </si>
  <si>
    <t xml:space="preserve">نسناس </t>
  </si>
  <si>
    <t xml:space="preserve"> عبد الإله</t>
  </si>
  <si>
    <t>واجد</t>
  </si>
  <si>
    <t>عماد عبد القادر</t>
  </si>
  <si>
    <t xml:space="preserve">يخو  </t>
  </si>
  <si>
    <t>3ع3</t>
  </si>
  <si>
    <t>3ا ف1</t>
  </si>
  <si>
    <t>3ا ف2</t>
  </si>
  <si>
    <t>مجموع القســـم</t>
  </si>
  <si>
    <t xml:space="preserve"> الممـوحـين</t>
  </si>
  <si>
    <t>المصدر!A1</t>
  </si>
  <si>
    <t>مجموع اولى علوم و تكنولوجيا</t>
  </si>
  <si>
    <t>مجموع اولى آداب</t>
  </si>
  <si>
    <t>مجموع الأوليات</t>
  </si>
  <si>
    <t>2ا ف3</t>
  </si>
  <si>
    <t>مجموع الثواني</t>
  </si>
  <si>
    <t>3ت واق1</t>
  </si>
  <si>
    <t>3ت واق2</t>
  </si>
  <si>
    <t>13آ ف1</t>
  </si>
  <si>
    <t>13آ ف2</t>
  </si>
  <si>
    <t>مجموع الثوالث</t>
  </si>
  <si>
    <t>المجموع العام للمؤسسة</t>
  </si>
  <si>
    <t>مستشار التربية                                 النــاظــر                              المدير</t>
  </si>
  <si>
    <t>تعداد خلال الشهر الماضي</t>
  </si>
  <si>
    <t>دخول خلال الشهر الحاضر</t>
  </si>
  <si>
    <t>خروج خلال الشهر الحاضر</t>
  </si>
  <si>
    <t>ثانويى بوخلدة عبدالقادر سفيزف</t>
  </si>
  <si>
    <t>رقم</t>
  </si>
  <si>
    <t>م1</t>
  </si>
  <si>
    <t>معيدة</t>
  </si>
  <si>
    <t>معيد</t>
  </si>
  <si>
    <t>3أ ف1</t>
  </si>
  <si>
    <t>إلياس</t>
  </si>
  <si>
    <t>قسنطينة</t>
  </si>
  <si>
    <t>ملوكة</t>
  </si>
  <si>
    <t>04حي بوخنفوس مختار سفيزف</t>
  </si>
  <si>
    <t>موال</t>
  </si>
  <si>
    <t>شارع بوخنفوس مختار سفيزف</t>
  </si>
  <si>
    <t>م.تربوي</t>
  </si>
  <si>
    <t>نصر الدين</t>
  </si>
  <si>
    <t>منور</t>
  </si>
  <si>
    <t>ميكانيكي</t>
  </si>
  <si>
    <t>61حي بوخنفوس مختار سفيزف</t>
  </si>
  <si>
    <t>شارع صحراوي بن علي سفيزف</t>
  </si>
  <si>
    <t>03حي72سكن سفيزف</t>
  </si>
  <si>
    <t>متفاعد</t>
  </si>
  <si>
    <t>03حي141سكن سفيزف</t>
  </si>
  <si>
    <t>م.تربية</t>
  </si>
  <si>
    <t>موظفة</t>
  </si>
  <si>
    <t>ذخ3ت</t>
  </si>
  <si>
    <t>اخ3ت</t>
  </si>
  <si>
    <t>ان/د3ا1</t>
  </si>
  <si>
    <t>ذخ3ا1</t>
  </si>
  <si>
    <t>اخ3ا1</t>
  </si>
  <si>
    <t>ان/د3ا2</t>
  </si>
  <si>
    <t>ذن/د3ا2</t>
  </si>
  <si>
    <t>اخ3ا2</t>
  </si>
  <si>
    <t>ذخ3ا2</t>
  </si>
  <si>
    <t>ان/د3ع1</t>
  </si>
  <si>
    <t>اخ3ع1</t>
  </si>
  <si>
    <t>ذخ3ع1</t>
  </si>
  <si>
    <t>ذن/د3ع2</t>
  </si>
  <si>
    <t>ذخ3ع2</t>
  </si>
  <si>
    <t>ان/د3ع3</t>
  </si>
  <si>
    <t>اخ3ع3</t>
  </si>
  <si>
    <t>ذخ3ع3</t>
  </si>
  <si>
    <t>ذن/د3ف1</t>
  </si>
  <si>
    <t>ان/د3ف1</t>
  </si>
  <si>
    <t>اخ3ف1</t>
  </si>
  <si>
    <t>اخ3ف2</t>
  </si>
  <si>
    <t>ان/د3ف2</t>
  </si>
  <si>
    <t>ذن/د3ل</t>
  </si>
  <si>
    <t>ان/د3ل</t>
  </si>
  <si>
    <t>اخ3ل</t>
  </si>
  <si>
    <t>ذخ3ل</t>
  </si>
  <si>
    <t>ان/د2ا1</t>
  </si>
  <si>
    <t>اخ2ا1</t>
  </si>
  <si>
    <t>ذخ2ا1</t>
  </si>
  <si>
    <t>ان/د2ا2</t>
  </si>
  <si>
    <t>اخ2ا2</t>
  </si>
  <si>
    <t>ذن/د2ا2</t>
  </si>
  <si>
    <t>ذخ2ا2</t>
  </si>
  <si>
    <t>ان/د2ع1</t>
  </si>
  <si>
    <t>ان/د2ع3</t>
  </si>
  <si>
    <t>اخ2ع1</t>
  </si>
  <si>
    <t>ذخ2ع1</t>
  </si>
  <si>
    <t>ان/د2ع2</t>
  </si>
  <si>
    <t>اخ2ع2</t>
  </si>
  <si>
    <t>ذخ2ع2</t>
  </si>
  <si>
    <t>ذخ2ع3</t>
  </si>
  <si>
    <t>اخ2ع3</t>
  </si>
  <si>
    <t>ذن/د2ف1</t>
  </si>
  <si>
    <t>اخ2ف1</t>
  </si>
  <si>
    <t>ذخ2ف1</t>
  </si>
  <si>
    <t>ان/د2ف2</t>
  </si>
  <si>
    <t>ذخ2ف2</t>
  </si>
  <si>
    <t>اخ2ف2</t>
  </si>
  <si>
    <t>ذخ2ف3</t>
  </si>
  <si>
    <t>العرباوي هبة</t>
  </si>
  <si>
    <t>بن شنوف آسية</t>
  </si>
  <si>
    <t>رمضاني الحبيب</t>
  </si>
  <si>
    <t>بوجلال ريمة</t>
  </si>
  <si>
    <t>حمداد سيرين</t>
  </si>
  <si>
    <t>ع.اسلامية</t>
  </si>
  <si>
    <t>ت.ج</t>
  </si>
  <si>
    <t>محاسبة</t>
  </si>
  <si>
    <t>اسبانيا</t>
  </si>
  <si>
    <t>ت.بدنية</t>
  </si>
  <si>
    <t>مرداس عبدالقادر</t>
  </si>
  <si>
    <t>نسيمة</t>
  </si>
  <si>
    <t xml:space="preserve">بوجرار </t>
  </si>
  <si>
    <t>عزالدين</t>
  </si>
  <si>
    <t>مع التعويض</t>
  </si>
  <si>
    <t>مرزوقي هاجر</t>
  </si>
  <si>
    <t>ت.محاسبي</t>
  </si>
  <si>
    <t>اسبانية</t>
  </si>
  <si>
    <t>تكنواوجيا</t>
  </si>
  <si>
    <t>3اف2</t>
  </si>
  <si>
    <t>3اف1</t>
  </si>
  <si>
    <t>دلاوي هاجر</t>
  </si>
  <si>
    <t>بوقبرين نعيمة</t>
  </si>
  <si>
    <t xml:space="preserve">  الرقم: ........../</t>
  </si>
  <si>
    <t>حي05جويلية سفيزف</t>
  </si>
  <si>
    <t xml:space="preserve">هروب </t>
  </si>
  <si>
    <t>تأخر</t>
  </si>
  <si>
    <r>
      <t xml:space="preserve">الموضوع:شطب </t>
    </r>
    <r>
      <rPr>
        <b/>
        <sz val="18"/>
        <rFont val="Arabic Transparent"/>
        <charset val="178"/>
      </rPr>
      <t xml:space="preserve">ابنكم-ابنتكم </t>
    </r>
    <r>
      <rPr>
        <b/>
        <sz val="18"/>
        <color theme="1"/>
        <rFont val="Arabic Transparent"/>
        <charset val="178"/>
      </rPr>
      <t>من قوائم المؤسسة</t>
    </r>
  </si>
  <si>
    <t xml:space="preserve">               وزارة التربية الوطنية                        </t>
  </si>
  <si>
    <t>إشعار بالشطب</t>
  </si>
  <si>
    <t>خلال الاختبارات للفصل الثالث</t>
  </si>
  <si>
    <t>الاسم و اللقب</t>
  </si>
  <si>
    <t>تاريخ الغياب</t>
  </si>
  <si>
    <t>المادة المتغيب فيها</t>
  </si>
  <si>
    <t>استاذ(ة) المادة</t>
  </si>
  <si>
    <t>مبرر الغياب</t>
  </si>
  <si>
    <t>أدب</t>
  </si>
  <si>
    <t>أدب – ع إسلامية</t>
  </si>
  <si>
    <t>رياضيات - انجليزية</t>
  </si>
  <si>
    <t>رياضيات – ع.اسلامية</t>
  </si>
  <si>
    <t>بوعلي - رماصي</t>
  </si>
  <si>
    <t>مكيكة - حرير</t>
  </si>
  <si>
    <t>ضليمي – العرباوي مليكة</t>
  </si>
  <si>
    <t>العرباوي هبة - مريجة</t>
  </si>
  <si>
    <t>فرحي – بار بن عمر</t>
  </si>
  <si>
    <t>مدين - حرير</t>
  </si>
  <si>
    <t>رمضاني</t>
  </si>
  <si>
    <t xml:space="preserve">بن عمر </t>
  </si>
  <si>
    <t xml:space="preserve">بوراس </t>
  </si>
  <si>
    <t>رياض</t>
  </si>
  <si>
    <t xml:space="preserve">دلاوي </t>
  </si>
  <si>
    <t>قصي</t>
  </si>
  <si>
    <t xml:space="preserve">ريغي </t>
  </si>
  <si>
    <t xml:space="preserve">فهيم </t>
  </si>
  <si>
    <t>يعقوب</t>
  </si>
  <si>
    <t xml:space="preserve">قشيح </t>
  </si>
  <si>
    <t xml:space="preserve">قنانجة </t>
  </si>
  <si>
    <t>اية</t>
  </si>
  <si>
    <t xml:space="preserve">دحو </t>
  </si>
  <si>
    <t>عبد الناصر</t>
  </si>
  <si>
    <t xml:space="preserve">بلجريوات </t>
  </si>
  <si>
    <t>عبد الرحيم وسيم</t>
  </si>
  <si>
    <t xml:space="preserve">صحراوي </t>
  </si>
  <si>
    <t>فاطيمة الزهراء</t>
  </si>
  <si>
    <t>اشرف محمد امين</t>
  </si>
  <si>
    <t xml:space="preserve">عفان </t>
  </si>
  <si>
    <t xml:space="preserve">قايدي </t>
  </si>
  <si>
    <t xml:space="preserve">نوالة </t>
  </si>
  <si>
    <t>داود عبد الرحمان</t>
  </si>
  <si>
    <t xml:space="preserve">بوشريط </t>
  </si>
  <si>
    <t xml:space="preserve">ايخو </t>
  </si>
  <si>
    <t>صالح منصور</t>
  </si>
  <si>
    <t xml:space="preserve">بولنوار </t>
  </si>
  <si>
    <t>عبير</t>
  </si>
  <si>
    <t>ملاك</t>
  </si>
  <si>
    <t xml:space="preserve">زعقوق </t>
  </si>
  <si>
    <t>المعتصم بالله يحي</t>
  </si>
  <si>
    <t xml:space="preserve">عميري </t>
  </si>
  <si>
    <t>محمد امين</t>
  </si>
  <si>
    <t>ياسر عبد الاله</t>
  </si>
  <si>
    <t xml:space="preserve">مالك </t>
  </si>
  <si>
    <t>قدور أيمن</t>
  </si>
  <si>
    <t xml:space="preserve">محفوظي </t>
  </si>
  <si>
    <t>حياة</t>
  </si>
  <si>
    <t xml:space="preserve">بلعبدلي </t>
  </si>
  <si>
    <t>عبد الصمد</t>
  </si>
  <si>
    <t>مريم نور الهدى</t>
  </si>
  <si>
    <t>دعاء</t>
  </si>
  <si>
    <t>امينة</t>
  </si>
  <si>
    <t>يسرى</t>
  </si>
  <si>
    <t>عبد الحميد</t>
  </si>
  <si>
    <t xml:space="preserve">بن عيجة </t>
  </si>
  <si>
    <t>محمد عبد الجليل</t>
  </si>
  <si>
    <t>فارس</t>
  </si>
  <si>
    <t>منار</t>
  </si>
  <si>
    <t>محمد عبد القادر</t>
  </si>
  <si>
    <t xml:space="preserve">بن وارد </t>
  </si>
  <si>
    <t>عادل</t>
  </si>
  <si>
    <t xml:space="preserve">جيلي </t>
  </si>
  <si>
    <t>رياض الدين</t>
  </si>
  <si>
    <t>هديل</t>
  </si>
  <si>
    <t>عبد الجليل</t>
  </si>
  <si>
    <t xml:space="preserve">العكرمي </t>
  </si>
  <si>
    <t>محمد العربي</t>
  </si>
  <si>
    <t xml:space="preserve">بوهنت </t>
  </si>
  <si>
    <t>أنس</t>
  </si>
  <si>
    <t xml:space="preserve">رقادة </t>
  </si>
  <si>
    <t>زكرياء أحمد</t>
  </si>
  <si>
    <t xml:space="preserve">لدمك </t>
  </si>
  <si>
    <t>اسامة فارس</t>
  </si>
  <si>
    <t>نور</t>
  </si>
  <si>
    <t xml:space="preserve">منصوري </t>
  </si>
  <si>
    <t>آية</t>
  </si>
  <si>
    <t>العالم  بن عبد القادر</t>
  </si>
  <si>
    <t xml:space="preserve"> ايمن</t>
  </si>
  <si>
    <t>مهندس</t>
  </si>
  <si>
    <t>64حي100سكن سفيزف</t>
  </si>
  <si>
    <t>47حي بوخنفوس مختار سفيزف</t>
  </si>
  <si>
    <t>04شارع بلاحي يحي سفيزف</t>
  </si>
  <si>
    <t>36حي هواري بومدين سفيزف</t>
  </si>
  <si>
    <t>حي صحراوي بن علي سفيزف</t>
  </si>
  <si>
    <t>52حي كشارصحراوي سفيزف</t>
  </si>
  <si>
    <t>03حي214سكن سفيزف</t>
  </si>
  <si>
    <t>06شارع بوسطلة مختار سفيزف</t>
  </si>
  <si>
    <t>امام</t>
  </si>
  <si>
    <t>08حي100سكن سفيزف</t>
  </si>
  <si>
    <t>85شارع أوهيبة ميلود سفيزف</t>
  </si>
  <si>
    <t>حي عربوز عبدالقادر سفيزف</t>
  </si>
  <si>
    <t>موثق</t>
  </si>
  <si>
    <t>02شارع أوهيبة ميلود سفيزف</t>
  </si>
  <si>
    <t>28حي بوخنفوس مختار سفيزف</t>
  </si>
  <si>
    <t>05حي هواري بومدين سفيزف</t>
  </si>
  <si>
    <t>08حي كشار صحراوي سفيزف</t>
  </si>
  <si>
    <t>06شارع غوبالي الطيب سفيزف</t>
  </si>
  <si>
    <t>استاذ</t>
  </si>
  <si>
    <t>63شارع جرموني محمد سفيزف</t>
  </si>
  <si>
    <t xml:space="preserve">سحنون </t>
  </si>
  <si>
    <t>قرل</t>
  </si>
  <si>
    <t>زكرياء شمس الدين</t>
  </si>
  <si>
    <t>عبدالرحمن</t>
  </si>
  <si>
    <t>مدير متوسطة</t>
  </si>
  <si>
    <t>متوسطة بولنوار محمد سفيزف</t>
  </si>
  <si>
    <t>26شارع مروك ميلود سفيزف</t>
  </si>
  <si>
    <t>طباخ</t>
  </si>
  <si>
    <t>محمد أكرم</t>
  </si>
  <si>
    <t>بن سجاد</t>
  </si>
  <si>
    <t>لم يلتحق</t>
  </si>
  <si>
    <t>مولقعدة</t>
  </si>
  <si>
    <t>خيدي</t>
  </si>
  <si>
    <t>مختار عبدالمالك</t>
  </si>
  <si>
    <t>ل=NB.SI.ENS($G$112:$G$993;"2ع ت3";$H$112:$H$993;"خارجية")</t>
  </si>
  <si>
    <t>بوفريوة حياة</t>
  </si>
  <si>
    <t>بن حمودة</t>
  </si>
  <si>
    <t>محمد إسلام</t>
  </si>
  <si>
    <t>هلال مختار</t>
  </si>
  <si>
    <t>تلميذ</t>
  </si>
  <si>
    <t>موعد مع الطبيب</t>
  </si>
  <si>
    <t>بوفريوة يمينة</t>
  </si>
  <si>
    <t xml:space="preserve">أحمد </t>
  </si>
  <si>
    <t>ش ط 60ي</t>
  </si>
  <si>
    <t>محمد أمين  فريح</t>
  </si>
  <si>
    <t>بن قريع نورة</t>
  </si>
  <si>
    <t>الغائب(ة) منذ:</t>
  </si>
  <si>
    <t xml:space="preserve">                 وزارة التربية الوطنية                      </t>
  </si>
  <si>
    <t xml:space="preserve">لأمر يهم إبنكم – إبنتكم التلميذ(ة): </t>
  </si>
  <si>
    <t xml:space="preserve">   مستشار التربية          الناظر             المدير</t>
  </si>
  <si>
    <t>16سا30د</t>
  </si>
  <si>
    <t xml:space="preserve">الغائب(ة) منذ: </t>
  </si>
  <si>
    <t>حرير نبيل</t>
  </si>
  <si>
    <t>ش ط 30ي</t>
  </si>
  <si>
    <t>بطلب</t>
  </si>
  <si>
    <t>تعويض.أ.مغربي</t>
  </si>
  <si>
    <t>ملتقى</t>
  </si>
  <si>
    <t>بكالوريا ت.ب.ر</t>
  </si>
  <si>
    <t xml:space="preserve"> يحي</t>
  </si>
  <si>
    <t xml:space="preserve">بن داحة </t>
  </si>
  <si>
    <t xml:space="preserve">بوعود </t>
  </si>
  <si>
    <t xml:space="preserve"> محمد رياض</t>
  </si>
  <si>
    <t xml:space="preserve">زكوم </t>
  </si>
  <si>
    <t xml:space="preserve"> بغداد عبد الإله</t>
  </si>
  <si>
    <t xml:space="preserve"> محمد أمين</t>
  </si>
  <si>
    <t xml:space="preserve"> عبد الحق</t>
  </si>
  <si>
    <t xml:space="preserve"> عبد الرحيم</t>
  </si>
  <si>
    <t xml:space="preserve">بودغن سطنبولي </t>
  </si>
  <si>
    <t xml:space="preserve"> عبد الرزاق</t>
  </si>
  <si>
    <t xml:space="preserve"> عبد الجليل</t>
  </si>
  <si>
    <t xml:space="preserve">لونيس </t>
  </si>
  <si>
    <t xml:space="preserve"> محمد عبد القدوس</t>
  </si>
  <si>
    <t xml:space="preserve">بن حادة </t>
  </si>
  <si>
    <t xml:space="preserve"> فاروق</t>
  </si>
  <si>
    <t xml:space="preserve">بن حفصة </t>
  </si>
  <si>
    <t xml:space="preserve"> معتز بالله</t>
  </si>
  <si>
    <t xml:space="preserve">حنفي </t>
  </si>
  <si>
    <t xml:space="preserve"> ياسين</t>
  </si>
  <si>
    <t xml:space="preserve">شويقار </t>
  </si>
  <si>
    <t xml:space="preserve"> أبوبكر الصديق</t>
  </si>
  <si>
    <t xml:space="preserve"> زكرياء عبد الإله</t>
  </si>
  <si>
    <t xml:space="preserve">بنوتي </t>
  </si>
  <si>
    <t xml:space="preserve"> عبد القادر عبد النور</t>
  </si>
  <si>
    <t xml:space="preserve">شنافي </t>
  </si>
  <si>
    <t xml:space="preserve"> عبد النور</t>
  </si>
  <si>
    <t xml:space="preserve">لواري </t>
  </si>
  <si>
    <t xml:space="preserve"> احمد انيس</t>
  </si>
  <si>
    <t xml:space="preserve"> سحنون</t>
  </si>
  <si>
    <t xml:space="preserve">بغدادي </t>
  </si>
  <si>
    <t xml:space="preserve"> عثمان</t>
  </si>
  <si>
    <t xml:space="preserve"> عبد المومن</t>
  </si>
  <si>
    <t xml:space="preserve"> عبد العزيز</t>
  </si>
  <si>
    <t xml:space="preserve"> عبد القادر ياسر</t>
  </si>
  <si>
    <t xml:space="preserve">لعبان </t>
  </si>
  <si>
    <t>2أ ف</t>
  </si>
  <si>
    <t>1أ د3</t>
  </si>
  <si>
    <t xml:space="preserve">  هواري عبد الصمد</t>
  </si>
  <si>
    <t>شارع أمزيان بن عبدالله سفيزف</t>
  </si>
  <si>
    <t>دوار الكصير سفيزف</t>
  </si>
  <si>
    <t>شارع برباح الحبيب سفيزف</t>
  </si>
  <si>
    <t>حي145سكن سفيزف</t>
  </si>
  <si>
    <t>33شارع أوهيبة ميلود سفيزف</t>
  </si>
  <si>
    <t>لحام</t>
  </si>
  <si>
    <t>جزار</t>
  </si>
  <si>
    <t>مفتش ت.ا</t>
  </si>
  <si>
    <t>104حي هواري بومدين سفيزف</t>
  </si>
  <si>
    <t>02حي المشتلة سفيزف</t>
  </si>
  <si>
    <t>01حي بوخنفوس مختار سفيرف</t>
  </si>
  <si>
    <t>01حي صلات محمد سفيزف</t>
  </si>
  <si>
    <t>صيدلي</t>
  </si>
  <si>
    <t>03شارع بولحية لعبان سفيزف</t>
  </si>
  <si>
    <t>ناظر</t>
  </si>
  <si>
    <t xml:space="preserve">بن عتو </t>
  </si>
  <si>
    <t>17شارع حري يحي سفيزف</t>
  </si>
  <si>
    <t xml:space="preserve">قادة </t>
  </si>
  <si>
    <t>حلاق</t>
  </si>
  <si>
    <t xml:space="preserve">بوعلام </t>
  </si>
  <si>
    <t>12شارع بنابي عبدالقادر سفيزف</t>
  </si>
  <si>
    <t>شارع طيبي عبدالقادر سفيزف</t>
  </si>
  <si>
    <t>عاطل</t>
  </si>
  <si>
    <t xml:space="preserve">جلول </t>
  </si>
  <si>
    <t xml:space="preserve">بقدور </t>
  </si>
  <si>
    <t>حي 506سكن سفيزف</t>
  </si>
  <si>
    <t>21حي100سكن سفيزف</t>
  </si>
  <si>
    <t>96شارع طيبي عبدالقادر سفيزف</t>
  </si>
  <si>
    <t xml:space="preserve">مهاجي </t>
  </si>
  <si>
    <t>39حي115سكن سفيزف</t>
  </si>
  <si>
    <t>68شارع طيبي عبدالقادر سفيزف</t>
  </si>
  <si>
    <t>59حي سي بومدين سفيزف</t>
  </si>
  <si>
    <t>شارع مهيدي عبدالقادر سفيزف</t>
  </si>
  <si>
    <t>شارع كحل سن علي سفيزف</t>
  </si>
  <si>
    <t>11شارع أحمد زبانة سفيزف</t>
  </si>
  <si>
    <t>04شارع الإخوة أوهيبة سفيزف</t>
  </si>
  <si>
    <t xml:space="preserve">الطاهر </t>
  </si>
  <si>
    <t>67حي كشار صحراوي سفيزف</t>
  </si>
  <si>
    <t>05حي72سكن سفيزف</t>
  </si>
  <si>
    <t xml:space="preserve">رضوان </t>
  </si>
  <si>
    <t>بن يحي</t>
  </si>
  <si>
    <t>حنيفي</t>
  </si>
  <si>
    <t>ذن/د3</t>
  </si>
  <si>
    <t>35شارع طيبي عبدالقادر سفيزف</t>
  </si>
  <si>
    <t>بن يوسف سيداحمد</t>
  </si>
  <si>
    <t>حي اليوسفي سفيزف</t>
  </si>
  <si>
    <t>رانيا</t>
  </si>
  <si>
    <t xml:space="preserve">أيمن    </t>
  </si>
  <si>
    <t>مراح</t>
  </si>
  <si>
    <t>محمد نذير</t>
  </si>
  <si>
    <t>ريان عبدالسلام</t>
  </si>
  <si>
    <t>أنس طارق الدين</t>
  </si>
  <si>
    <t>مقطع دار سبع عين آدن</t>
  </si>
  <si>
    <t>مسجد الصحوة سفيزف</t>
  </si>
  <si>
    <t>47شارع برباح مهاجي سفيزف</t>
  </si>
  <si>
    <t>س,غ</t>
  </si>
  <si>
    <t>2اف</t>
  </si>
  <si>
    <t>ا</t>
  </si>
  <si>
    <t>ستعوض</t>
  </si>
  <si>
    <t>3آف1</t>
  </si>
  <si>
    <t>مكفس محمد</t>
  </si>
  <si>
    <t>رافة مروى</t>
  </si>
  <si>
    <t>بن حمودة خالد</t>
  </si>
  <si>
    <t>بوسطلة توفيق</t>
  </si>
  <si>
    <t>2ت ر/2ل ا</t>
  </si>
  <si>
    <t>فرحات</t>
  </si>
  <si>
    <t>تندوف</t>
  </si>
  <si>
    <t>مسير اعمال</t>
  </si>
  <si>
    <t>حي 72+12 مسكن عمارة 5 سفيزف</t>
  </si>
  <si>
    <t>الاثنين</t>
  </si>
  <si>
    <t>3ت اق2</t>
  </si>
  <si>
    <t>3ت اق1</t>
  </si>
  <si>
    <t>3آف2</t>
  </si>
  <si>
    <t>الاحد</t>
  </si>
  <si>
    <t>3ت ر/3ع3</t>
  </si>
  <si>
    <t>2آف</t>
  </si>
  <si>
    <t xml:space="preserve">2ت ر </t>
  </si>
  <si>
    <t>ولد خدة نبيلة</t>
  </si>
  <si>
    <t>ق:20</t>
  </si>
  <si>
    <t xml:space="preserve">2اف </t>
  </si>
  <si>
    <t>1ع ت2</t>
  </si>
  <si>
    <t>لبنى</t>
  </si>
  <si>
    <t>حارس ليلي</t>
  </si>
  <si>
    <t>مرابطين مختارية</t>
  </si>
  <si>
    <t>وفاة الاب</t>
  </si>
  <si>
    <t>بطال</t>
  </si>
  <si>
    <t>اناث</t>
  </si>
  <si>
    <t>عضو لجنة الانتخابات</t>
  </si>
  <si>
    <t>الرقم:......./2025</t>
  </si>
  <si>
    <t>الرقم:,,,,,,,/2025</t>
  </si>
  <si>
    <t>الرقم:........./2025</t>
  </si>
  <si>
    <t>برنو عبدالقادر</t>
  </si>
  <si>
    <t>الرقم:......../2025</t>
  </si>
  <si>
    <t>اللقب</t>
  </si>
  <si>
    <t>الاسم</t>
  </si>
  <si>
    <t>تاريخ الميلاد</t>
  </si>
  <si>
    <t>مكان الميلاد</t>
  </si>
  <si>
    <t>العنوان الشخصي</t>
  </si>
  <si>
    <t>قائمة التلاميذ الذكور المولودين سنة 2008</t>
  </si>
  <si>
    <t>و المتمدرسين على حسب المؤسسة</t>
  </si>
  <si>
    <t>1آد3</t>
  </si>
  <si>
    <t>1أد3</t>
  </si>
  <si>
    <t>2 ل ا</t>
  </si>
  <si>
    <t>2024/2025</t>
  </si>
  <si>
    <t>ق17</t>
  </si>
  <si>
    <t>ق16</t>
  </si>
  <si>
    <t>................................................................</t>
  </si>
  <si>
    <t>بن يوسف فاطمة</t>
  </si>
  <si>
    <t>04-09</t>
  </si>
  <si>
    <t>04-13</t>
  </si>
  <si>
    <t>04-15</t>
  </si>
  <si>
    <t>04-16</t>
  </si>
  <si>
    <t>04-17</t>
  </si>
  <si>
    <t>04-20</t>
  </si>
  <si>
    <t>الاشعار الاول   : 2025/03/05            تحت الرقم :  598</t>
  </si>
  <si>
    <t xml:space="preserve">الاشعار الثاني  : 2025/03/12             تحت الرقم:   789        </t>
  </si>
  <si>
    <t>الإعــــذار : 2025/04/06             تحت الرقم:   1107</t>
  </si>
  <si>
    <t>04-22</t>
  </si>
  <si>
    <t>رافة مروة</t>
  </si>
  <si>
    <t>04-23</t>
  </si>
  <si>
    <t>وفاة العمة</t>
  </si>
  <si>
    <t>لجنة تثبيت</t>
  </si>
  <si>
    <t>04-24</t>
  </si>
  <si>
    <t>رياضة مدرسية</t>
  </si>
  <si>
    <t>04-27</t>
  </si>
  <si>
    <t>04-29</t>
  </si>
  <si>
    <t>04-30</t>
  </si>
  <si>
    <t>05-04</t>
  </si>
  <si>
    <t>1-22-1التقرير اليومي لمستشار التربية رقم 138</t>
  </si>
  <si>
    <t>05-06</t>
  </si>
  <si>
    <t>1-22-1التقرير اليومي لمستشار التربية رقم 139</t>
  </si>
  <si>
    <t>05-07</t>
  </si>
  <si>
    <t>8</t>
  </si>
  <si>
    <t>1-22-1التقرير اليومي لمستشار التربية رقم 140</t>
  </si>
  <si>
    <t>9</t>
  </si>
  <si>
    <t>05-08</t>
  </si>
  <si>
    <t>1-22-1التقرير اليومي لمستشار التربية رقم 141</t>
  </si>
  <si>
    <t xml:space="preserve">المدير  </t>
  </si>
  <si>
    <t>2أف1</t>
  </si>
  <si>
    <t>2أف2</t>
  </si>
  <si>
    <t>مراطين مختارية</t>
  </si>
  <si>
    <t>مولقعدة سميرة توفيق</t>
  </si>
  <si>
    <t>1أ د4</t>
  </si>
  <si>
    <t>1ع6</t>
  </si>
  <si>
    <t>تسنيم</t>
  </si>
  <si>
    <t>عبدالصمد</t>
  </si>
  <si>
    <t>شهرزاد</t>
  </si>
  <si>
    <t>ياسمين</t>
  </si>
  <si>
    <t>ايمان</t>
  </si>
  <si>
    <t xml:space="preserve">لحسن </t>
  </si>
  <si>
    <t xml:space="preserve">معاشو </t>
  </si>
  <si>
    <t>ايناس</t>
  </si>
  <si>
    <t>سلاف</t>
  </si>
  <si>
    <t xml:space="preserve">بخدة </t>
  </si>
  <si>
    <t>عبد الرحمن</t>
  </si>
  <si>
    <t>معاذ</t>
  </si>
  <si>
    <t xml:space="preserve">مكي </t>
  </si>
  <si>
    <t>منصوري</t>
  </si>
  <si>
    <t>حامق</t>
  </si>
  <si>
    <t>حفصة</t>
  </si>
  <si>
    <t xml:space="preserve">قدور </t>
  </si>
  <si>
    <t>3أ ف2</t>
  </si>
  <si>
    <t>ان/د1</t>
  </si>
  <si>
    <t>خباز</t>
  </si>
  <si>
    <t xml:space="preserve">عمر </t>
  </si>
  <si>
    <t>طبيب</t>
  </si>
  <si>
    <t>هشام</t>
  </si>
  <si>
    <t>نجار</t>
  </si>
  <si>
    <t>فتحي</t>
  </si>
  <si>
    <t xml:space="preserve">محمد </t>
  </si>
  <si>
    <t>عكاشة</t>
  </si>
  <si>
    <t>بدر الدين</t>
  </si>
  <si>
    <t>مقاول</t>
  </si>
  <si>
    <t xml:space="preserve">احمد </t>
  </si>
  <si>
    <t xml:space="preserve">يحي </t>
  </si>
  <si>
    <t xml:space="preserve">مصطفى </t>
  </si>
  <si>
    <t xml:space="preserve">عبد القادر </t>
  </si>
  <si>
    <t xml:space="preserve">عباس </t>
  </si>
  <si>
    <t xml:space="preserve">جيلالي </t>
  </si>
  <si>
    <t xml:space="preserve">سعيد </t>
  </si>
  <si>
    <t xml:space="preserve">عبد الله </t>
  </si>
  <si>
    <t>بوجمعة</t>
  </si>
  <si>
    <t>بن يمينة</t>
  </si>
  <si>
    <t>لوهاب</t>
  </si>
  <si>
    <t>فادية ملك</t>
  </si>
  <si>
    <t>بلعربي</t>
  </si>
  <si>
    <t>بوتمة</t>
  </si>
  <si>
    <t>بوساهل</t>
  </si>
  <si>
    <t>سعد عبد الرحمن</t>
  </si>
  <si>
    <t>بوسبع</t>
  </si>
  <si>
    <t>مروة</t>
  </si>
  <si>
    <t>بوكراع</t>
  </si>
  <si>
    <t>عبد العالي</t>
  </si>
  <si>
    <t>قادري</t>
  </si>
  <si>
    <t>هشام جيلالي</t>
  </si>
  <si>
    <t>مرابطين</t>
  </si>
  <si>
    <t>ريحاب</t>
  </si>
  <si>
    <t>معراج</t>
  </si>
  <si>
    <t>مهاجي مختار</t>
  </si>
  <si>
    <t>عبد الرحمان مصعب</t>
  </si>
  <si>
    <t>بومسجد</t>
  </si>
  <si>
    <t>محمد سراج الدين</t>
  </si>
  <si>
    <t>حداد</t>
  </si>
  <si>
    <t>خليج</t>
  </si>
  <si>
    <t>مزوزي</t>
  </si>
  <si>
    <t>يحياوي</t>
  </si>
  <si>
    <t>عبد الإله</t>
  </si>
  <si>
    <t>حسيني</t>
  </si>
  <si>
    <t>بنور</t>
  </si>
  <si>
    <t>روبة</t>
  </si>
  <si>
    <t>شيماء فاطمة الزهراء</t>
  </si>
  <si>
    <t>رحال</t>
  </si>
  <si>
    <t>التاج</t>
  </si>
  <si>
    <t>مراجي</t>
  </si>
  <si>
    <t>مستوي</t>
  </si>
  <si>
    <t>أبري</t>
  </si>
  <si>
    <t>ترزي</t>
  </si>
  <si>
    <t>بثينة</t>
  </si>
  <si>
    <t>سعداوي</t>
  </si>
  <si>
    <t>مرام هبة الرحمان</t>
  </si>
  <si>
    <t>بديار</t>
  </si>
  <si>
    <t>قادة وليد</t>
  </si>
  <si>
    <t>بلعيد</t>
  </si>
  <si>
    <t>بوهدة</t>
  </si>
  <si>
    <t>زكرياء عبد الكريم</t>
  </si>
  <si>
    <t>صافي ياسين</t>
  </si>
  <si>
    <t>تونسي</t>
  </si>
  <si>
    <t>جابري</t>
  </si>
  <si>
    <t>حجري</t>
  </si>
  <si>
    <t>محمد عبد الإله</t>
  </si>
  <si>
    <t>سماسري</t>
  </si>
  <si>
    <t>مختار نوفل</t>
  </si>
  <si>
    <t>عسال</t>
  </si>
  <si>
    <t>ميلود صلاح الدين</t>
  </si>
  <si>
    <t>وئام مختارية</t>
  </si>
  <si>
    <t>مالطي</t>
  </si>
  <si>
    <t>إسماعيل</t>
  </si>
  <si>
    <t>هامل</t>
  </si>
  <si>
    <t>مباركة</t>
  </si>
  <si>
    <t>بعيرة</t>
  </si>
  <si>
    <t>بن مايسة</t>
  </si>
  <si>
    <t>بوداود</t>
  </si>
  <si>
    <t>انصاف</t>
  </si>
  <si>
    <t>بوطيبة</t>
  </si>
  <si>
    <t>مصطفى أمين</t>
  </si>
  <si>
    <t>محمد عبد الله</t>
  </si>
  <si>
    <t>شوطي</t>
  </si>
  <si>
    <t>مريم فيروز</t>
  </si>
  <si>
    <t>عبدالي</t>
  </si>
  <si>
    <t>عبد المالك بلعرج</t>
  </si>
  <si>
    <t>مرابط</t>
  </si>
  <si>
    <t>محمد معاذ</t>
  </si>
  <si>
    <t>حسام نورالدين</t>
  </si>
  <si>
    <t>مجدوب</t>
  </si>
  <si>
    <t>نهاد</t>
  </si>
  <si>
    <t>مريحة</t>
  </si>
  <si>
    <t>عبد الواحد</t>
  </si>
  <si>
    <t>ملاك هوارية</t>
  </si>
  <si>
    <t>منقور</t>
  </si>
  <si>
    <t>موسن منصور سايح</t>
  </si>
  <si>
    <t>برحال</t>
  </si>
  <si>
    <t>فاطمة وصال</t>
  </si>
  <si>
    <t>سعيدوني</t>
  </si>
  <si>
    <t>بشرى اكرام</t>
  </si>
  <si>
    <t>مقدم</t>
  </si>
  <si>
    <t>شروق خيرة</t>
  </si>
  <si>
    <t>نريمان</t>
  </si>
  <si>
    <t>وافي</t>
  </si>
  <si>
    <t>بسمة</t>
  </si>
  <si>
    <t>قمر الدين سليمان</t>
  </si>
  <si>
    <t>بوقناية</t>
  </si>
  <si>
    <t>لقمان عبد البارئ</t>
  </si>
  <si>
    <t>بونخالة</t>
  </si>
  <si>
    <t>حسنة اسماء</t>
  </si>
  <si>
    <t>جلاب</t>
  </si>
  <si>
    <t>جلغوم</t>
  </si>
  <si>
    <t>حافظي</t>
  </si>
  <si>
    <t>حجاجي</t>
  </si>
  <si>
    <t>شيماء أية</t>
  </si>
  <si>
    <t>إبراهيم</t>
  </si>
  <si>
    <t>داعي</t>
  </si>
  <si>
    <t>محمد أيوب</t>
  </si>
  <si>
    <t>رايس</t>
  </si>
  <si>
    <t>هاجر إيمان</t>
  </si>
  <si>
    <t>سايج</t>
  </si>
  <si>
    <t>محمد علاء الدين</t>
  </si>
  <si>
    <t>سماحي</t>
  </si>
  <si>
    <t>عائشة إيناس</t>
  </si>
  <si>
    <t>صديق</t>
  </si>
  <si>
    <t>مارية سميرة</t>
  </si>
  <si>
    <t>قدوري</t>
  </si>
  <si>
    <t>حبيب الرحمن</t>
  </si>
  <si>
    <t>أشرف عبد الودود</t>
  </si>
  <si>
    <t>مرضي</t>
  </si>
  <si>
    <t>مكي</t>
  </si>
  <si>
    <t>بوزينو</t>
  </si>
  <si>
    <t>العشبي</t>
  </si>
  <si>
    <t>ملاك نور</t>
  </si>
  <si>
    <t>بليل</t>
  </si>
  <si>
    <t>بلال عبد الصمد</t>
  </si>
  <si>
    <t>زينب هدى</t>
  </si>
  <si>
    <t>بوعمامة</t>
  </si>
  <si>
    <t>عائشة نور الهدى</t>
  </si>
  <si>
    <t>فاتنة</t>
  </si>
  <si>
    <t>توامي</t>
  </si>
  <si>
    <t>جبار</t>
  </si>
  <si>
    <t>زلماط</t>
  </si>
  <si>
    <t>نبية هبة الرحمن</t>
  </si>
  <si>
    <t>اية خيرة</t>
  </si>
  <si>
    <t>عراب</t>
  </si>
  <si>
    <t>انفال اخلاص</t>
  </si>
  <si>
    <t>قويدري</t>
  </si>
  <si>
    <t>عبد القادر عبد النور</t>
  </si>
  <si>
    <t>معزوز</t>
  </si>
  <si>
    <t>أنفال</t>
  </si>
  <si>
    <t>علي أيوب</t>
  </si>
  <si>
    <t>محمد عبد السلام</t>
  </si>
  <si>
    <t>أمنة</t>
  </si>
  <si>
    <t>وسام أسماء</t>
  </si>
  <si>
    <t>آسيا</t>
  </si>
  <si>
    <t>حلام</t>
  </si>
  <si>
    <t>إكرام</t>
  </si>
  <si>
    <t>ميلودي</t>
  </si>
  <si>
    <t>عبير بشرى</t>
  </si>
  <si>
    <t>آدم</t>
  </si>
  <si>
    <t>أحمدي</t>
  </si>
  <si>
    <t>مختار عبد الرحيم</t>
  </si>
  <si>
    <t>أوهيبة</t>
  </si>
  <si>
    <t>نور الخلود</t>
  </si>
  <si>
    <t>العقوني</t>
  </si>
  <si>
    <t>سهيلة صبرين</t>
  </si>
  <si>
    <t>النميش</t>
  </si>
  <si>
    <t>الوافي</t>
  </si>
  <si>
    <t>بلاحي</t>
  </si>
  <si>
    <t>كنزة فاطمة الزهراء</t>
  </si>
  <si>
    <t>بلحيارة</t>
  </si>
  <si>
    <t>بن حدو</t>
  </si>
  <si>
    <t>معاذ رائد</t>
  </si>
  <si>
    <t>بوخاتمي</t>
  </si>
  <si>
    <t>منير عبد الفتاح</t>
  </si>
  <si>
    <t>خمسي</t>
  </si>
  <si>
    <t>أبوحفص عادل عمر الفاروق</t>
  </si>
  <si>
    <t>دريسي</t>
  </si>
  <si>
    <t>علاء الدين بوعزة</t>
  </si>
  <si>
    <t>سلطاني</t>
  </si>
  <si>
    <t>عبدون</t>
  </si>
  <si>
    <t>نادية ايمان</t>
  </si>
  <si>
    <t>عثماني</t>
  </si>
  <si>
    <t>فيلالي</t>
  </si>
  <si>
    <t>آدم إسماعيل</t>
  </si>
  <si>
    <t>هيبر</t>
  </si>
  <si>
    <t>بزوجي</t>
  </si>
  <si>
    <t>خضرة</t>
  </si>
  <si>
    <t>بوازدي</t>
  </si>
  <si>
    <t>شريف يونس عبد الإله</t>
  </si>
  <si>
    <t>بولالي</t>
  </si>
  <si>
    <t>عامري</t>
  </si>
  <si>
    <t>عامرة رميساء</t>
  </si>
  <si>
    <t>غلامي</t>
  </si>
  <si>
    <t>الحنحانة</t>
  </si>
  <si>
    <t>برينيس</t>
  </si>
  <si>
    <t>رشيدة</t>
  </si>
  <si>
    <t>أحمد عبد الإله</t>
  </si>
  <si>
    <t>صبرينة</t>
  </si>
  <si>
    <t>شاهد</t>
  </si>
  <si>
    <t>عبد الباكور</t>
  </si>
  <si>
    <t>فهيم</t>
  </si>
  <si>
    <t>قديري</t>
  </si>
  <si>
    <t>مريم نسرين</t>
  </si>
  <si>
    <t>نوار</t>
  </si>
  <si>
    <t>هاشمي</t>
  </si>
  <si>
    <t>هريوي</t>
  </si>
  <si>
    <t>ليندة</t>
  </si>
  <si>
    <t>مهدي لقمان</t>
  </si>
  <si>
    <t>خرخاش</t>
  </si>
  <si>
    <t>لميس</t>
  </si>
  <si>
    <t>ضيافي</t>
  </si>
  <si>
    <t>إخلاص</t>
  </si>
  <si>
    <t>مغراوي</t>
  </si>
  <si>
    <t>ملاك إسراء</t>
  </si>
  <si>
    <t>مامة نور الهدى</t>
  </si>
  <si>
    <t>بلال</t>
  </si>
  <si>
    <t>ريان</t>
  </si>
  <si>
    <t>بن بكريتي</t>
  </si>
  <si>
    <t>ريهام</t>
  </si>
  <si>
    <t>يمينة هند</t>
  </si>
  <si>
    <t>العربي ريان</t>
  </si>
  <si>
    <t>عصام ريان</t>
  </si>
  <si>
    <t>خومسي</t>
  </si>
  <si>
    <t>صلات</t>
  </si>
  <si>
    <t>عبد المنعم عبد اللازم</t>
  </si>
  <si>
    <t>حكمت</t>
  </si>
  <si>
    <t>كبيش</t>
  </si>
  <si>
    <t>دموش</t>
  </si>
  <si>
    <t>مارية هاجر</t>
  </si>
  <si>
    <t>أريج نهى</t>
  </si>
  <si>
    <t>محمد ميلود</t>
  </si>
  <si>
    <t>عبد الرحمن شمس الدين</t>
  </si>
  <si>
    <t>ظريف</t>
  </si>
  <si>
    <t>منيب</t>
  </si>
  <si>
    <t>أنس عبد الكافي</t>
  </si>
  <si>
    <t>خليل وليد</t>
  </si>
  <si>
    <t>بوطريشة</t>
  </si>
  <si>
    <t>مروان يحي</t>
  </si>
  <si>
    <t>حمزة</t>
  </si>
  <si>
    <t>قديد</t>
  </si>
  <si>
    <t>حسام الدين أيوب</t>
  </si>
  <si>
    <t>ليديا لينا</t>
  </si>
  <si>
    <t>بوعلالة</t>
  </si>
  <si>
    <t>هديل سماح</t>
  </si>
  <si>
    <t>تواب</t>
  </si>
  <si>
    <t>حرير</t>
  </si>
  <si>
    <t>نسرين سعدية</t>
  </si>
  <si>
    <t>شاعة</t>
  </si>
  <si>
    <t>انفال هديل</t>
  </si>
  <si>
    <t>صابر</t>
  </si>
  <si>
    <t>لمدار</t>
  </si>
  <si>
    <t>هنون</t>
  </si>
  <si>
    <t>مختارية هديل</t>
  </si>
  <si>
    <t>جواد</t>
  </si>
  <si>
    <t>أفصيل</t>
  </si>
  <si>
    <t>بن دويدة</t>
  </si>
  <si>
    <t>بن عياد</t>
  </si>
  <si>
    <t>أيمن عبد الصمد</t>
  </si>
  <si>
    <t>كنوي</t>
  </si>
  <si>
    <t>برياح</t>
  </si>
  <si>
    <t>حبيبة</t>
  </si>
  <si>
    <t>منصف</t>
  </si>
  <si>
    <t>بلمختار</t>
  </si>
  <si>
    <t>عبد السلام</t>
  </si>
  <si>
    <t>حمزة عبد الإله</t>
  </si>
  <si>
    <t>بومعزة</t>
  </si>
  <si>
    <t>إسحاق فاروق</t>
  </si>
  <si>
    <t>تقار</t>
  </si>
  <si>
    <t>محمد حسام الدين</t>
  </si>
  <si>
    <t>حرحيرة</t>
  </si>
  <si>
    <t>سليمان عبدالرحمان</t>
  </si>
  <si>
    <t>خريس</t>
  </si>
  <si>
    <t>محمد أمجد</t>
  </si>
  <si>
    <t>خليفة</t>
  </si>
  <si>
    <t>رياض عبد الرحمان</t>
  </si>
  <si>
    <t>زيادي</t>
  </si>
  <si>
    <t>كوثر قطر الندى</t>
  </si>
  <si>
    <t>اسراء</t>
  </si>
  <si>
    <t>قادة امين</t>
  </si>
  <si>
    <t>فليح</t>
  </si>
  <si>
    <t>ندير بلحاج</t>
  </si>
  <si>
    <t>فناني</t>
  </si>
  <si>
    <t>صبرين</t>
  </si>
  <si>
    <t>فاروق عبد المنعم</t>
  </si>
  <si>
    <t>مصري</t>
  </si>
  <si>
    <t>أية الرحمان</t>
  </si>
  <si>
    <t>محمد بدر الدين</t>
  </si>
  <si>
    <t>نسرين كوثر</t>
  </si>
  <si>
    <t>محمد الياس</t>
  </si>
  <si>
    <t>يحيى</t>
  </si>
  <si>
    <t>عمر الفاروق</t>
  </si>
  <si>
    <t>مير</t>
  </si>
  <si>
    <t>نحال</t>
  </si>
  <si>
    <t>هند</t>
  </si>
  <si>
    <t>بلجريوات</t>
  </si>
  <si>
    <t>بوشنتوف</t>
  </si>
  <si>
    <t>شهيناز خيرة الحاجة</t>
  </si>
  <si>
    <t>وصال خديجة</t>
  </si>
  <si>
    <t>مريم ملاك</t>
  </si>
  <si>
    <t>بوزوينة</t>
  </si>
  <si>
    <t>بسملة ساجدة</t>
  </si>
  <si>
    <t>حمياني</t>
  </si>
  <si>
    <t>سسان</t>
  </si>
  <si>
    <t>زهرة</t>
  </si>
  <si>
    <t>نوح عبد الرحمان</t>
  </si>
  <si>
    <t>أسامة</t>
  </si>
  <si>
    <t>موساوي</t>
  </si>
  <si>
    <t>محمد أشرف</t>
  </si>
  <si>
    <t>ناصري</t>
  </si>
  <si>
    <t>ألاء نور الهدى</t>
  </si>
  <si>
    <t>كوثر خيرة</t>
  </si>
  <si>
    <t>نجاة أمة الرحمان</t>
  </si>
  <si>
    <t>بادي</t>
  </si>
  <si>
    <t>بلعابد</t>
  </si>
  <si>
    <t>بلحاطش</t>
  </si>
  <si>
    <t>ملاك فاطمة الزهراء</t>
  </si>
  <si>
    <t>شفاء عائشة</t>
  </si>
  <si>
    <t>أمجد</t>
  </si>
  <si>
    <t>ساكت</t>
  </si>
  <si>
    <t>ملاك هبة الرحمان</t>
  </si>
  <si>
    <t>شويرفي</t>
  </si>
  <si>
    <t>عاشور</t>
  </si>
  <si>
    <t>عبد الوهاب خليفة</t>
  </si>
  <si>
    <t>حسين يونس</t>
  </si>
  <si>
    <t>ياسمين دلال</t>
  </si>
  <si>
    <t>نجاعي</t>
  </si>
  <si>
    <t>رابح</t>
  </si>
  <si>
    <t>رجاء خويرة</t>
  </si>
  <si>
    <t>غزة</t>
  </si>
  <si>
    <t>إيمان فايزة</t>
  </si>
  <si>
    <t>كريوع</t>
  </si>
  <si>
    <t>أنيسة لميس</t>
  </si>
  <si>
    <t>حنان مريم</t>
  </si>
  <si>
    <t>سندس</t>
  </si>
  <si>
    <t xml:space="preserve">بزوجي </t>
  </si>
  <si>
    <t>اشرف عبد الحق</t>
  </si>
  <si>
    <t>بلعزوز</t>
  </si>
  <si>
    <t>سمير</t>
  </si>
  <si>
    <t>اسماعيل عبدالكريم</t>
  </si>
  <si>
    <t>بوشريح</t>
  </si>
  <si>
    <t>أيمن علاء الدين</t>
  </si>
  <si>
    <t>بوعزة اسلام</t>
  </si>
  <si>
    <t>حمداوي</t>
  </si>
  <si>
    <t>دباب</t>
  </si>
  <si>
    <t>محمد عبدالله</t>
  </si>
  <si>
    <t>إيناس</t>
  </si>
  <si>
    <t>مجاهدي</t>
  </si>
  <si>
    <t>عيسى عبد الاله</t>
  </si>
  <si>
    <t>احمد منذر</t>
  </si>
  <si>
    <t>مومين</t>
  </si>
  <si>
    <t>يوسف عبد القادر</t>
  </si>
  <si>
    <t>حكيم</t>
  </si>
  <si>
    <t>عبد الغاني صلاح الدين</t>
  </si>
  <si>
    <t>اية الاء</t>
  </si>
  <si>
    <t>ملك إبتسام</t>
  </si>
  <si>
    <t>مغدير</t>
  </si>
  <si>
    <t>برينة</t>
  </si>
  <si>
    <t>نورهان</t>
  </si>
  <si>
    <t>بن شهرة</t>
  </si>
  <si>
    <t>اشواق</t>
  </si>
  <si>
    <t>عبد الرؤوف حبيب الله</t>
  </si>
  <si>
    <t>فارحي</t>
  </si>
  <si>
    <t>مريم إكرام</t>
  </si>
  <si>
    <t>نور الهدى مولات</t>
  </si>
  <si>
    <t>قرع</t>
  </si>
  <si>
    <t>تركي</t>
  </si>
  <si>
    <t>آية الرحمان</t>
  </si>
  <si>
    <t>مهالول</t>
  </si>
  <si>
    <t>نداتي</t>
  </si>
  <si>
    <t>عبد الرحمن رفيق</t>
  </si>
  <si>
    <t>ألاء أماني</t>
  </si>
  <si>
    <t>يوسفي</t>
  </si>
  <si>
    <t>تلي</t>
  </si>
  <si>
    <t>غضبان</t>
  </si>
  <si>
    <t>بن حادة</t>
  </si>
  <si>
    <t>بودلال</t>
  </si>
  <si>
    <t>مهاجر مختار</t>
  </si>
  <si>
    <t>بوطالب</t>
  </si>
  <si>
    <t>مليسة</t>
  </si>
  <si>
    <t>حري</t>
  </si>
  <si>
    <t>أكرم عبد المنعم</t>
  </si>
  <si>
    <t>دين</t>
  </si>
  <si>
    <t>رجاء هاجر</t>
  </si>
  <si>
    <t>زحاف</t>
  </si>
  <si>
    <t>نعيمة فاطمة الزهراء</t>
  </si>
  <si>
    <t>سبايبي</t>
  </si>
  <si>
    <t>محمد نصرالدين</t>
  </si>
  <si>
    <t>سمر</t>
  </si>
  <si>
    <t>رضا</t>
  </si>
  <si>
    <t>ياسر عبد الوهاب</t>
  </si>
  <si>
    <t>كتاب</t>
  </si>
  <si>
    <t>مدوري</t>
  </si>
  <si>
    <t>ريحان</t>
  </si>
  <si>
    <t>أية</t>
  </si>
  <si>
    <t>مزوار</t>
  </si>
  <si>
    <t>غزلان سيلين</t>
  </si>
  <si>
    <t>مشرفي</t>
  </si>
  <si>
    <t>مصطفى خير الدين</t>
  </si>
  <si>
    <t>نعمان</t>
  </si>
  <si>
    <t>هازل</t>
  </si>
  <si>
    <t>نداء</t>
  </si>
  <si>
    <t>يوبي</t>
  </si>
  <si>
    <t>رندا مرام</t>
  </si>
  <si>
    <t>بن عامر</t>
  </si>
  <si>
    <t>اسامة العربي</t>
  </si>
  <si>
    <t>آلاء رحاب</t>
  </si>
  <si>
    <t>شهد مريم</t>
  </si>
  <si>
    <t>بوتخيل</t>
  </si>
  <si>
    <t>عبد الله</t>
  </si>
  <si>
    <t>بودواية</t>
  </si>
  <si>
    <t>أحمد مروان</t>
  </si>
  <si>
    <t>رنيم</t>
  </si>
  <si>
    <t>جوامع</t>
  </si>
  <si>
    <t>أكرم</t>
  </si>
  <si>
    <t>أميمة</t>
  </si>
  <si>
    <t>أشواق طاوس</t>
  </si>
  <si>
    <t>يوسف الصديق</t>
  </si>
  <si>
    <t>سماحات</t>
  </si>
  <si>
    <t>ريان خليفة</t>
  </si>
  <si>
    <t>ذهبية هديل</t>
  </si>
  <si>
    <t>لوهاج</t>
  </si>
  <si>
    <t>رانية</t>
  </si>
  <si>
    <t>معروف</t>
  </si>
  <si>
    <t>ضحى</t>
  </si>
  <si>
    <t>غالم</t>
  </si>
  <si>
    <t>معزوزي</t>
  </si>
  <si>
    <t>محمد سراج</t>
  </si>
  <si>
    <t>حسام</t>
  </si>
  <si>
    <t>شيني</t>
  </si>
  <si>
    <t>يونس الشيخ</t>
  </si>
  <si>
    <t>أمداح</t>
  </si>
  <si>
    <t>عبد النور رزقي</t>
  </si>
  <si>
    <t>بهيف</t>
  </si>
  <si>
    <t>محمد إسحاق</t>
  </si>
  <si>
    <t>عبد الرحمان فاروق</t>
  </si>
  <si>
    <t>عبد الباسط محمد الصغير</t>
  </si>
  <si>
    <t>وليد خير الدين</t>
  </si>
  <si>
    <t>آية نور اليقين</t>
  </si>
  <si>
    <t>هاجر مريم</t>
  </si>
  <si>
    <t>إسحاق</t>
  </si>
  <si>
    <t>عبير أماني</t>
  </si>
  <si>
    <t>أحمد عبد العزيز</t>
  </si>
  <si>
    <t>عفان</t>
  </si>
  <si>
    <t>غاليوي</t>
  </si>
  <si>
    <t>ليلى خيرة</t>
  </si>
  <si>
    <t>محمد هيثم</t>
  </si>
  <si>
    <t>معاشو</t>
  </si>
  <si>
    <t>دنيا</t>
  </si>
  <si>
    <t>لخضر إسلام</t>
  </si>
  <si>
    <t>هبة تسنيم</t>
  </si>
  <si>
    <t>ميموني</t>
  </si>
  <si>
    <t>أسرار</t>
  </si>
  <si>
    <t>هبيتة</t>
  </si>
  <si>
    <t>العيد</t>
  </si>
  <si>
    <t>دعاء زواوية</t>
  </si>
  <si>
    <t>عبد الباري ميلود</t>
  </si>
  <si>
    <t>عبد النبي</t>
  </si>
  <si>
    <t>ألاء ريتاج</t>
  </si>
  <si>
    <t>باقي</t>
  </si>
  <si>
    <t>محمد بهاء الدين</t>
  </si>
  <si>
    <t>خولة فاطمة الزهراء</t>
  </si>
  <si>
    <t>بركان</t>
  </si>
  <si>
    <t>صفاء</t>
  </si>
  <si>
    <t>ملك</t>
  </si>
  <si>
    <t>رتاج</t>
  </si>
  <si>
    <t>بن صالح</t>
  </si>
  <si>
    <t>محمد عبد الحميد</t>
  </si>
  <si>
    <t>بولعراف</t>
  </si>
  <si>
    <t>محمد حبيب الله</t>
  </si>
  <si>
    <t>علاء عز الدين</t>
  </si>
  <si>
    <t>يوسف علاء الدين</t>
  </si>
  <si>
    <t>مشتت</t>
  </si>
  <si>
    <t>مرزوق</t>
  </si>
  <si>
    <t>فرح نسيمة</t>
  </si>
  <si>
    <t>مونى</t>
  </si>
  <si>
    <t>كوثر ميساء</t>
  </si>
  <si>
    <t>لبنى أشواق</t>
  </si>
  <si>
    <t>عبد الكريم عباس</t>
  </si>
  <si>
    <t>عليوان</t>
  </si>
  <si>
    <t>ملاك ربى هند</t>
  </si>
  <si>
    <t>ياسين حكيم</t>
  </si>
  <si>
    <t>بستون شيباني</t>
  </si>
  <si>
    <t>بلحاجي</t>
  </si>
  <si>
    <t>أسامة جيلالي</t>
  </si>
  <si>
    <t>بلقادي</t>
  </si>
  <si>
    <t>حفيظة</t>
  </si>
  <si>
    <t>معتصم يوسف</t>
  </si>
  <si>
    <t>إيمان صالحة</t>
  </si>
  <si>
    <t>إيمان سميرة</t>
  </si>
  <si>
    <t>آنس</t>
  </si>
  <si>
    <t>جدي</t>
  </si>
  <si>
    <t>دومة</t>
  </si>
  <si>
    <t>نهاد نصيرة</t>
  </si>
  <si>
    <t>ملك سلسبيل</t>
  </si>
  <si>
    <t>عبد الودود خليل</t>
  </si>
  <si>
    <t>شيحاني</t>
  </si>
  <si>
    <t>سيرين سمية</t>
  </si>
  <si>
    <t>عقادي</t>
  </si>
  <si>
    <t>نور الهدى بشرى</t>
  </si>
  <si>
    <t>ألاء رميساء</t>
  </si>
  <si>
    <t>قاتر قرد</t>
  </si>
  <si>
    <t>ميمونة رشا</t>
  </si>
  <si>
    <t>قاسم</t>
  </si>
  <si>
    <t>أنور مروان</t>
  </si>
  <si>
    <t>مسعودي</t>
  </si>
  <si>
    <t>مسلك</t>
  </si>
  <si>
    <t>سميرة خيرة فرح</t>
  </si>
  <si>
    <t>علي يونس</t>
  </si>
  <si>
    <t>عبد الوهاب</t>
  </si>
  <si>
    <t xml:space="preserve">رحو </t>
  </si>
  <si>
    <t>بنياني</t>
  </si>
  <si>
    <t>محمد شاكر</t>
  </si>
  <si>
    <t>فارس الأمين</t>
  </si>
  <si>
    <t>بوزيان</t>
  </si>
  <si>
    <t>فوزية</t>
  </si>
  <si>
    <t>بعلوج</t>
  </si>
  <si>
    <t>نوفل</t>
  </si>
  <si>
    <t>صفاء مروة</t>
  </si>
  <si>
    <t>بوجرار</t>
  </si>
  <si>
    <t>نصيرة</t>
  </si>
  <si>
    <t>بوحسون</t>
  </si>
  <si>
    <t>تيجيني</t>
  </si>
  <si>
    <t>تامرت</t>
  </si>
  <si>
    <t>محمد أنيس</t>
  </si>
  <si>
    <t>عبد المعز</t>
  </si>
  <si>
    <t>آية أريج</t>
  </si>
  <si>
    <t>سجود عفاف</t>
  </si>
  <si>
    <t>خيرة شهيناز</t>
  </si>
  <si>
    <t>محسن</t>
  </si>
  <si>
    <t>نصر الدين ياسين</t>
  </si>
  <si>
    <t>زوهري</t>
  </si>
  <si>
    <t>إيناس فاطمة الزهراء</t>
  </si>
  <si>
    <t>ضياف</t>
  </si>
  <si>
    <t>مروى فاطمة زهراء</t>
  </si>
  <si>
    <t>فريكش</t>
  </si>
  <si>
    <t>دعاء فاطمة الزهراء</t>
  </si>
  <si>
    <t>محمودي</t>
  </si>
  <si>
    <t>أريج</t>
  </si>
  <si>
    <t>رحمونة دعاء</t>
  </si>
  <si>
    <t>صابرين</t>
  </si>
  <si>
    <t>نعيمي عبد الرحيم</t>
  </si>
  <si>
    <t>وئام منصورة</t>
  </si>
  <si>
    <t>هنية</t>
  </si>
  <si>
    <t>خيرة فايزة</t>
  </si>
  <si>
    <t>عائشة نسرين</t>
  </si>
  <si>
    <t>زناسلي</t>
  </si>
  <si>
    <t>محمد روي</t>
  </si>
  <si>
    <t>2009-03-07</t>
  </si>
  <si>
    <t>2008-01-05</t>
  </si>
  <si>
    <t>2008-04-24</t>
  </si>
  <si>
    <t>2007-10-19</t>
  </si>
  <si>
    <t>2008-07-08</t>
  </si>
  <si>
    <t>2008-09-17</t>
  </si>
  <si>
    <t>2007-06-19</t>
  </si>
  <si>
    <t>2008-10-09</t>
  </si>
  <si>
    <t>2008-05-04</t>
  </si>
  <si>
    <t>2008-06-29</t>
  </si>
  <si>
    <t>2008-10-19</t>
  </si>
  <si>
    <t>2009-01-04</t>
  </si>
  <si>
    <t>2009-01-05</t>
  </si>
  <si>
    <t>2008-12-31</t>
  </si>
  <si>
    <t>2008-04-03</t>
  </si>
  <si>
    <t>2008-12-22</t>
  </si>
  <si>
    <t>2008-08-04</t>
  </si>
  <si>
    <t>2007-01-24</t>
  </si>
  <si>
    <t>2008-06-25</t>
  </si>
  <si>
    <t>2007-08-18</t>
  </si>
  <si>
    <t>2007-10-29</t>
  </si>
  <si>
    <t>2007-02-20</t>
  </si>
  <si>
    <t>2007-05-24</t>
  </si>
  <si>
    <t>2007-05-04</t>
  </si>
  <si>
    <t>2007-08-05</t>
  </si>
  <si>
    <t>2009-01-11</t>
  </si>
  <si>
    <t>2006-08-05</t>
  </si>
  <si>
    <t>2007-09-17</t>
  </si>
  <si>
    <t>2008-09-18</t>
  </si>
  <si>
    <t>2006-04-08</t>
  </si>
  <si>
    <t>2007-06-03</t>
  </si>
  <si>
    <t>2008-04-13</t>
  </si>
  <si>
    <t>2006-08-17</t>
  </si>
  <si>
    <t>2008-08-14</t>
  </si>
  <si>
    <t>2007-01-20</t>
  </si>
  <si>
    <t>2007-10-09</t>
  </si>
  <si>
    <t>2006-03-14</t>
  </si>
  <si>
    <t>2007-08-03</t>
  </si>
  <si>
    <t>2007-03-31</t>
  </si>
  <si>
    <t>2009-01-07</t>
  </si>
  <si>
    <t>2008-03-29</t>
  </si>
  <si>
    <t>2006-11-29</t>
  </si>
  <si>
    <t>2007-08-20</t>
  </si>
  <si>
    <t>2009-01-23</t>
  </si>
  <si>
    <t>2008-09-02</t>
  </si>
  <si>
    <t>2007-09-14</t>
  </si>
  <si>
    <t>2007-09-21</t>
  </si>
  <si>
    <t>2005-09-10</t>
  </si>
  <si>
    <t>2008-11-10</t>
  </si>
  <si>
    <t>2009-03-15</t>
  </si>
  <si>
    <t>2008-05-28</t>
  </si>
  <si>
    <t>2007-03-14</t>
  </si>
  <si>
    <t>2007-04-03</t>
  </si>
  <si>
    <t>2008-04-22</t>
  </si>
  <si>
    <t>2007-04-25</t>
  </si>
  <si>
    <t>2009-05-15</t>
  </si>
  <si>
    <t>2008-10-24</t>
  </si>
  <si>
    <t>2007-09-29</t>
  </si>
  <si>
    <t>2006-05-20</t>
  </si>
  <si>
    <t>2006-06-12</t>
  </si>
  <si>
    <t>2009-01-10</t>
  </si>
  <si>
    <t>2009-04-17</t>
  </si>
  <si>
    <t>2007-04-15</t>
  </si>
  <si>
    <t>2008-05-08</t>
  </si>
  <si>
    <t>2009-03-11</t>
  </si>
  <si>
    <t>2006-01-08</t>
  </si>
  <si>
    <t>2008-11-03</t>
  </si>
  <si>
    <t>2007-07-09</t>
  </si>
  <si>
    <t>2008-01-24</t>
  </si>
  <si>
    <t>2008-07-15</t>
  </si>
  <si>
    <t>2009-03-01</t>
  </si>
  <si>
    <t>2008-11-26</t>
  </si>
  <si>
    <t>2007-10-05</t>
  </si>
  <si>
    <t>2008-09-10</t>
  </si>
  <si>
    <t>2007-05-30</t>
  </si>
  <si>
    <t>2009-01-26</t>
  </si>
  <si>
    <t>2009-03-05</t>
  </si>
  <si>
    <t>2008-10-12</t>
  </si>
  <si>
    <t>2009-07-30</t>
  </si>
  <si>
    <t>2008-12-07</t>
  </si>
  <si>
    <t>2008-09-24</t>
  </si>
  <si>
    <t>2008-10-04</t>
  </si>
  <si>
    <t>2008-03-19</t>
  </si>
  <si>
    <t>2009-01-27</t>
  </si>
  <si>
    <t>2009-01-03</t>
  </si>
  <si>
    <t>2007-07-10</t>
  </si>
  <si>
    <t>2008-06-19</t>
  </si>
  <si>
    <t>2008-04-07</t>
  </si>
  <si>
    <t>2008-02-26</t>
  </si>
  <si>
    <t>2009-01-29</t>
  </si>
  <si>
    <t>2008-05-20</t>
  </si>
  <si>
    <t>2009-01-30</t>
  </si>
  <si>
    <t>2009-01-14</t>
  </si>
  <si>
    <t>2009-05-07</t>
  </si>
  <si>
    <t>2007-04-29</t>
  </si>
  <si>
    <t>2008-08-27</t>
  </si>
  <si>
    <t>2008-03-25</t>
  </si>
  <si>
    <t>2008-10-01</t>
  </si>
  <si>
    <t>2008-10-07</t>
  </si>
  <si>
    <t>2009-03-04</t>
  </si>
  <si>
    <t>2008-07-26</t>
  </si>
  <si>
    <t>2008-09-19</t>
  </si>
  <si>
    <t>2008-10-11</t>
  </si>
  <si>
    <t>2007-06-10</t>
  </si>
  <si>
    <t>2007-06-26</t>
  </si>
  <si>
    <t>2009-04-08</t>
  </si>
  <si>
    <t>2008-12-11</t>
  </si>
  <si>
    <t>2008-11-29</t>
  </si>
  <si>
    <t>2008-05-27</t>
  </si>
  <si>
    <t>2008-05-06</t>
  </si>
  <si>
    <t>2008-10-29</t>
  </si>
  <si>
    <t>2006-08-04</t>
  </si>
  <si>
    <t>2006-03-04</t>
  </si>
  <si>
    <t>2007-09-03</t>
  </si>
  <si>
    <t>2007-12-10</t>
  </si>
  <si>
    <t>2007-08-04</t>
  </si>
  <si>
    <t>2007-08-23</t>
  </si>
  <si>
    <t>2005-12-08</t>
  </si>
  <si>
    <t>2007-08-09</t>
  </si>
  <si>
    <t>2008-02-24</t>
  </si>
  <si>
    <t>2008-10-27</t>
  </si>
  <si>
    <t>2007-07-20</t>
  </si>
  <si>
    <t>2006-08-06</t>
  </si>
  <si>
    <t>2006-01-24</t>
  </si>
  <si>
    <t>2009-09-04</t>
  </si>
  <si>
    <t>2009-05-16</t>
  </si>
  <si>
    <t>2007-04-18</t>
  </si>
  <si>
    <t>2007-10-25</t>
  </si>
  <si>
    <t>2008-08-15</t>
  </si>
  <si>
    <t>2008-04-16</t>
  </si>
  <si>
    <t>2007-11-03</t>
  </si>
  <si>
    <t>2007-05-25</t>
  </si>
  <si>
    <t>2006-06-22</t>
  </si>
  <si>
    <t>2007-09-20</t>
  </si>
  <si>
    <t>2009-05-23</t>
  </si>
  <si>
    <t>2008-07-06</t>
  </si>
  <si>
    <t>2006-07-09</t>
  </si>
  <si>
    <t>2007-05-22</t>
  </si>
  <si>
    <t>2008-07-20</t>
  </si>
  <si>
    <t>2007-09-06</t>
  </si>
  <si>
    <t>2008-07-17</t>
  </si>
  <si>
    <t>2007-03-15</t>
  </si>
  <si>
    <t>2007-09-30</t>
  </si>
  <si>
    <t>2006-02-18</t>
  </si>
  <si>
    <t>2007-04-24</t>
  </si>
  <si>
    <t>2007-12-02</t>
  </si>
  <si>
    <t>2007-12-24</t>
  </si>
  <si>
    <t>2008-10-28</t>
  </si>
  <si>
    <t>2007-10-13</t>
  </si>
  <si>
    <t>2008-04-19</t>
  </si>
  <si>
    <t>2006-10-16</t>
  </si>
  <si>
    <t>2008-03-10</t>
  </si>
  <si>
    <t>2007-05-06</t>
  </si>
  <si>
    <t>2007-07-03</t>
  </si>
  <si>
    <t>2006-12-21</t>
  </si>
  <si>
    <t>2005-10-23</t>
  </si>
  <si>
    <t>2005-12-15</t>
  </si>
  <si>
    <t>2007-11-17</t>
  </si>
  <si>
    <t>2008-04-10</t>
  </si>
  <si>
    <t>2007-08-15</t>
  </si>
  <si>
    <t>2008-08-09</t>
  </si>
  <si>
    <t>2007-12-12</t>
  </si>
  <si>
    <t>2008-01-11</t>
  </si>
  <si>
    <t>2007-07-19</t>
  </si>
  <si>
    <t>2008-10-14</t>
  </si>
  <si>
    <t>2009-02-07</t>
  </si>
  <si>
    <t>2008-03-24</t>
  </si>
  <si>
    <t>2008-09-09</t>
  </si>
  <si>
    <t>2006-09-05</t>
  </si>
  <si>
    <t>2008-05-11</t>
  </si>
  <si>
    <t>2008-03-09</t>
  </si>
  <si>
    <t>2007-12-20</t>
  </si>
  <si>
    <t>2007-10-20</t>
  </si>
  <si>
    <t>2006-10-27</t>
  </si>
  <si>
    <t>2007-06-22</t>
  </si>
  <si>
    <t>2008-12-09</t>
  </si>
  <si>
    <t>2006-07-15</t>
  </si>
  <si>
    <t>2007-12-14</t>
  </si>
  <si>
    <t>2009-04-14</t>
  </si>
  <si>
    <t>2008-03-11</t>
  </si>
  <si>
    <t>2009-10-12</t>
  </si>
  <si>
    <t>2010-03-23</t>
  </si>
  <si>
    <t>2009-05-12</t>
  </si>
  <si>
    <t>2009-08-16</t>
  </si>
  <si>
    <t>2008-11-11</t>
  </si>
  <si>
    <t>2009-06-15</t>
  </si>
  <si>
    <t>2009-08-24</t>
  </si>
  <si>
    <t>2008-08-07</t>
  </si>
  <si>
    <t>2009-11-05</t>
  </si>
  <si>
    <t>2009-05-29</t>
  </si>
  <si>
    <t>2009-09-09</t>
  </si>
  <si>
    <t>2009-09-10</t>
  </si>
  <si>
    <t>2009-09-28</t>
  </si>
  <si>
    <t>2009-09-07</t>
  </si>
  <si>
    <t>2009-12-23</t>
  </si>
  <si>
    <t>2010-04-11</t>
  </si>
  <si>
    <t>2009-10-02</t>
  </si>
  <si>
    <t>2009-06-26</t>
  </si>
  <si>
    <t>2009-11-24</t>
  </si>
  <si>
    <t>2009-05-03</t>
  </si>
  <si>
    <t>2008-04-11</t>
  </si>
  <si>
    <t>2009-12-05</t>
  </si>
  <si>
    <t>2009-06-11</t>
  </si>
  <si>
    <t>2008-08-31</t>
  </si>
  <si>
    <t>2009-10-28</t>
  </si>
  <si>
    <t>2006-12-20</t>
  </si>
  <si>
    <t>2009-04-25</t>
  </si>
  <si>
    <t>2007-10-01</t>
  </si>
  <si>
    <t>2006-08-07</t>
  </si>
  <si>
    <t>2009-05-28</t>
  </si>
  <si>
    <t>2007-07-24</t>
  </si>
  <si>
    <t>2009-12-29</t>
  </si>
  <si>
    <t>2008-12-30</t>
  </si>
  <si>
    <t>2009-12-03</t>
  </si>
  <si>
    <t>2008-01-31</t>
  </si>
  <si>
    <t>2007-04-17</t>
  </si>
  <si>
    <t>2009-12-07</t>
  </si>
  <si>
    <t>2008-07-11</t>
  </si>
  <si>
    <t>2010-02-27</t>
  </si>
  <si>
    <t>2009-11-29</t>
  </si>
  <si>
    <t>2009-12-01</t>
  </si>
  <si>
    <t>2009-02-17</t>
  </si>
  <si>
    <t>2009-11-26</t>
  </si>
  <si>
    <t>2008-12-28</t>
  </si>
  <si>
    <t>2007-08-29</t>
  </si>
  <si>
    <t>2008-10-26</t>
  </si>
  <si>
    <t>2009-10-19</t>
  </si>
  <si>
    <t>2007-04-21</t>
  </si>
  <si>
    <t>2010-03-30</t>
  </si>
  <si>
    <t>2008-12-05</t>
  </si>
  <si>
    <t>2009-09-22</t>
  </si>
  <si>
    <t>2009-06-13</t>
  </si>
  <si>
    <t>2009-08-15</t>
  </si>
  <si>
    <t>2010-03-27</t>
  </si>
  <si>
    <t>2009-05-02</t>
  </si>
  <si>
    <t>2010-01-19</t>
  </si>
  <si>
    <t>2009-08-06</t>
  </si>
  <si>
    <t>2009-12-18</t>
  </si>
  <si>
    <t>2010-06-30</t>
  </si>
  <si>
    <t>2009-07-21</t>
  </si>
  <si>
    <t>2010-02-23</t>
  </si>
  <si>
    <t>2009-05-31</t>
  </si>
  <si>
    <t>2008-07-10</t>
  </si>
  <si>
    <t>2008-05-31</t>
  </si>
  <si>
    <t>2009-11-25</t>
  </si>
  <si>
    <t>2009-07-22</t>
  </si>
  <si>
    <t>2009-09-02</t>
  </si>
  <si>
    <t>2009-04-27</t>
  </si>
  <si>
    <t>2009-08-01</t>
  </si>
  <si>
    <t>2009-05-13</t>
  </si>
  <si>
    <t>2009-09-23</t>
  </si>
  <si>
    <t>2009-04-02</t>
  </si>
  <si>
    <t>2009-08-04</t>
  </si>
  <si>
    <t>2008-10-02</t>
  </si>
  <si>
    <t>2009-03-19</t>
  </si>
  <si>
    <t>2010-02-01</t>
  </si>
  <si>
    <t>2009-08-13</t>
  </si>
  <si>
    <t>2009-07-19</t>
  </si>
  <si>
    <t>2009-02-11</t>
  </si>
  <si>
    <t>2009-07-01</t>
  </si>
  <si>
    <t>2009-09-25</t>
  </si>
  <si>
    <t>2010-03-14</t>
  </si>
  <si>
    <t>2009-03-10</t>
  </si>
  <si>
    <t>2008-04-12</t>
  </si>
  <si>
    <t>2010-01-10</t>
  </si>
  <si>
    <t>2008-06-11</t>
  </si>
  <si>
    <t>2009-06-17</t>
  </si>
  <si>
    <t>2008-10-25</t>
  </si>
  <si>
    <t>2009-07-02</t>
  </si>
  <si>
    <t>2009-06-25</t>
  </si>
  <si>
    <t>2008-12-16</t>
  </si>
  <si>
    <t>2007-07-12</t>
  </si>
  <si>
    <t>2007-07-16</t>
  </si>
  <si>
    <t>2008-08-26</t>
  </si>
  <si>
    <t>2007-10-12</t>
  </si>
  <si>
    <t>2007-06-06</t>
  </si>
  <si>
    <t>2008-09-15</t>
  </si>
  <si>
    <t>2008-03-26</t>
  </si>
  <si>
    <t>2008-05-30</t>
  </si>
  <si>
    <t>2010-02-09</t>
  </si>
  <si>
    <t>2007-05-18</t>
  </si>
  <si>
    <t>2007-05-26</t>
  </si>
  <si>
    <t>2009-04-15</t>
  </si>
  <si>
    <t>2007-08-22</t>
  </si>
  <si>
    <t>2009-11-27</t>
  </si>
  <si>
    <t>2009-07-15</t>
  </si>
  <si>
    <t>2009-02-18</t>
  </si>
  <si>
    <t>2008-07-23</t>
  </si>
  <si>
    <t>2009-11-04</t>
  </si>
  <si>
    <t>2009-08-09</t>
  </si>
  <si>
    <t>2009-11-16</t>
  </si>
  <si>
    <t>2009-10-21</t>
  </si>
  <si>
    <t>2009-06-28</t>
  </si>
  <si>
    <t>2009-02-23</t>
  </si>
  <si>
    <t>2009-02-01</t>
  </si>
  <si>
    <t>2009-07-08</t>
  </si>
  <si>
    <t>2008-01-28</t>
  </si>
  <si>
    <t>2009-07-20</t>
  </si>
  <si>
    <t>2009-05-08</t>
  </si>
  <si>
    <t>2009-07-04</t>
  </si>
  <si>
    <t>2007-04-06</t>
  </si>
  <si>
    <t>2007-11-13</t>
  </si>
  <si>
    <t>2008-07-25</t>
  </si>
  <si>
    <t>2007-09-09</t>
  </si>
  <si>
    <t>2008-08-03</t>
  </si>
  <si>
    <t>2010-04-16</t>
  </si>
  <si>
    <t>2009-05-19</t>
  </si>
  <si>
    <t>2009-12-21</t>
  </si>
  <si>
    <t>2007-07-02</t>
  </si>
  <si>
    <t>2007-09-05</t>
  </si>
  <si>
    <t>2009-03-26</t>
  </si>
  <si>
    <t>2008-04-14</t>
  </si>
  <si>
    <t>2011-01-05</t>
  </si>
  <si>
    <t>2011-10-27</t>
  </si>
  <si>
    <t>2010-09-27</t>
  </si>
  <si>
    <t>2010-07-29</t>
  </si>
  <si>
    <t>2010-09-24</t>
  </si>
  <si>
    <t>2010-10-06</t>
  </si>
  <si>
    <t>2010-10-24</t>
  </si>
  <si>
    <t>2010-08-19</t>
  </si>
  <si>
    <t>2010-10-18</t>
  </si>
  <si>
    <t>2011-01-01</t>
  </si>
  <si>
    <t>2010-11-01</t>
  </si>
  <si>
    <t>2009-08-18</t>
  </si>
  <si>
    <t>2010-08-02</t>
  </si>
  <si>
    <t>2010-06-06</t>
  </si>
  <si>
    <t>2010-06-24</t>
  </si>
  <si>
    <t>2010-10-20</t>
  </si>
  <si>
    <t>2010-09-10</t>
  </si>
  <si>
    <t>2011-02-10</t>
  </si>
  <si>
    <t>2009-06-14</t>
  </si>
  <si>
    <t>2010-09-19</t>
  </si>
  <si>
    <t>2008-06-07</t>
  </si>
  <si>
    <t>2010-06-01</t>
  </si>
  <si>
    <t>2008-09-06</t>
  </si>
  <si>
    <t>2010-05-21</t>
  </si>
  <si>
    <t>2009-09-26</t>
  </si>
  <si>
    <t>2010-06-10</t>
  </si>
  <si>
    <t>2010-12-23</t>
  </si>
  <si>
    <t>2009-01-01</t>
  </si>
  <si>
    <t>2010-12-26</t>
  </si>
  <si>
    <t>2010-05-15</t>
  </si>
  <si>
    <t>2010-10-17</t>
  </si>
  <si>
    <t>2010-07-21</t>
  </si>
  <si>
    <t>2007-10-31</t>
  </si>
  <si>
    <t>2010-07-07</t>
  </si>
  <si>
    <t>2010-06-25</t>
  </si>
  <si>
    <t>2011-03-06</t>
  </si>
  <si>
    <t>2009-06-10</t>
  </si>
  <si>
    <t>2010-05-08</t>
  </si>
  <si>
    <t>2010-05-29</t>
  </si>
  <si>
    <t>2010-08-14</t>
  </si>
  <si>
    <t>2011-02-15</t>
  </si>
  <si>
    <t>2010-10-12</t>
  </si>
  <si>
    <t>2011-01-27</t>
  </si>
  <si>
    <t>2011-03-12</t>
  </si>
  <si>
    <t>2010-09-23</t>
  </si>
  <si>
    <t>2008-09-05</t>
  </si>
  <si>
    <t>2010-09-18</t>
  </si>
  <si>
    <t>2010-05-19</t>
  </si>
  <si>
    <t>2008-09-03</t>
  </si>
  <si>
    <t>2010-03-24</t>
  </si>
  <si>
    <t>2009-02-27</t>
  </si>
  <si>
    <t>2010-10-28</t>
  </si>
  <si>
    <t>2010-01-05</t>
  </si>
  <si>
    <t>2010-08-28</t>
  </si>
  <si>
    <t>2010-09-20</t>
  </si>
  <si>
    <t>2010-11-20</t>
  </si>
  <si>
    <t>2010-08-04</t>
  </si>
  <si>
    <t>2010-08-10</t>
  </si>
  <si>
    <t>2010-05-03</t>
  </si>
  <si>
    <t>2010-04-10</t>
  </si>
  <si>
    <t>2011-01-14</t>
  </si>
  <si>
    <t>2010-08-05</t>
  </si>
  <si>
    <t>2007-08-06</t>
  </si>
  <si>
    <t>2011-01-10</t>
  </si>
  <si>
    <t>2010-12-20</t>
  </si>
  <si>
    <t>2010-02-25</t>
  </si>
  <si>
    <t>2010-02-12</t>
  </si>
  <si>
    <t>2010-08-15</t>
  </si>
  <si>
    <t>2010-01-22</t>
  </si>
  <si>
    <t>2009-11-10</t>
  </si>
  <si>
    <t>2010-07-16</t>
  </si>
  <si>
    <t>2008-12-26</t>
  </si>
  <si>
    <t>2010-06-07</t>
  </si>
  <si>
    <t>2008-05-13</t>
  </si>
  <si>
    <t>2011-02-28</t>
  </si>
  <si>
    <t>2011-03-16</t>
  </si>
  <si>
    <t>2010-03-22</t>
  </si>
  <si>
    <t>2010-08-30</t>
  </si>
  <si>
    <t>2009-09-12</t>
  </si>
  <si>
    <t>2010-10-04</t>
  </si>
  <si>
    <t>2011-01-08</t>
  </si>
  <si>
    <t>2010-11-21</t>
  </si>
  <si>
    <t>2010-10-10</t>
  </si>
  <si>
    <t>2009-12-27</t>
  </si>
  <si>
    <t>2010-10-25</t>
  </si>
  <si>
    <t>2010-09-02</t>
  </si>
  <si>
    <t>2010-05-24</t>
  </si>
  <si>
    <t>2009-06-02</t>
  </si>
  <si>
    <t>2010-05-10</t>
  </si>
  <si>
    <t>2011-01-13</t>
  </si>
  <si>
    <t>2010-05-17</t>
  </si>
  <si>
    <t>2010-03-18</t>
  </si>
  <si>
    <t>2010-07-19</t>
  </si>
  <si>
    <t>2010-01-30</t>
  </si>
  <si>
    <t>2009-07-29</t>
  </si>
  <si>
    <t>2007-01-09</t>
  </si>
  <si>
    <t>2011-01-26</t>
  </si>
  <si>
    <t>2008-07-12</t>
  </si>
  <si>
    <t>2010-07-02</t>
  </si>
  <si>
    <t>2010-07-05</t>
  </si>
  <si>
    <t>2007-04-26</t>
  </si>
  <si>
    <t>2010-06-09</t>
  </si>
  <si>
    <t>2010-01-16</t>
  </si>
  <si>
    <t>2009-11-02</t>
  </si>
  <si>
    <t>2008-12-24</t>
  </si>
  <si>
    <t>2011-02-02</t>
  </si>
  <si>
    <t>2007-09-01</t>
  </si>
  <si>
    <t>2010-10-05</t>
  </si>
  <si>
    <t>2009-11-01</t>
  </si>
  <si>
    <t>2009-04-21</t>
  </si>
  <si>
    <t>2010-03-06</t>
  </si>
  <si>
    <t>2010-06-14</t>
  </si>
  <si>
    <t>2011-02-12</t>
  </si>
  <si>
    <t>2010-11-03</t>
  </si>
  <si>
    <t>2008-09-20</t>
  </si>
  <si>
    <t>2009-03-23</t>
  </si>
  <si>
    <t>2010-06-16</t>
  </si>
  <si>
    <t>2010-11-28</t>
  </si>
  <si>
    <t>2009-06-16</t>
  </si>
  <si>
    <t>2009-04-28</t>
  </si>
  <si>
    <t>2005-11-24</t>
  </si>
  <si>
    <t>2010-07-25</t>
  </si>
  <si>
    <t>2009-03-31</t>
  </si>
  <si>
    <t>2007-04-22</t>
  </si>
  <si>
    <t>2009-05-01</t>
  </si>
  <si>
    <t>2011-03-09</t>
  </si>
  <si>
    <t>2010-05-04</t>
  </si>
  <si>
    <t>2010-05-30</t>
  </si>
  <si>
    <t>2008-11-16</t>
  </si>
  <si>
    <t>2009-09-16</t>
  </si>
  <si>
    <t>2009-09-01</t>
  </si>
  <si>
    <t>2008-04-21</t>
  </si>
  <si>
    <t>2008-01-03</t>
  </si>
  <si>
    <t>2008-01-08</t>
  </si>
  <si>
    <t>2009-03-16</t>
  </si>
  <si>
    <t>2010-04-13</t>
  </si>
  <si>
    <t>2010-09-22</t>
  </si>
  <si>
    <t>2010-03-05</t>
  </si>
  <si>
    <t>2010-06-20</t>
  </si>
  <si>
    <t>2010-05-18</t>
  </si>
  <si>
    <t>2011-02-01</t>
  </si>
  <si>
    <t>2008-07-21</t>
  </si>
  <si>
    <t>2010-04-02</t>
  </si>
  <si>
    <t>2010-11-04</t>
  </si>
  <si>
    <t>2007-05-16</t>
  </si>
  <si>
    <t>2010-12-22</t>
  </si>
  <si>
    <t>2009-04-13</t>
  </si>
  <si>
    <t>2010-04-20</t>
  </si>
  <si>
    <t>2010-01-02</t>
  </si>
  <si>
    <t>2009-12-16</t>
  </si>
  <si>
    <t>2009-11-23</t>
  </si>
  <si>
    <t>2007-04-07</t>
  </si>
  <si>
    <t>2008-06-01</t>
  </si>
  <si>
    <t>2010-04-17</t>
  </si>
  <si>
    <t>2009-03-08</t>
  </si>
  <si>
    <t>2010-03-26</t>
  </si>
  <si>
    <t>2010-07-26</t>
  </si>
  <si>
    <t>مصطفى بن ابراهيم</t>
  </si>
  <si>
    <t>سيدي بلعباس</t>
  </si>
  <si>
    <t>عين ازال</t>
  </si>
  <si>
    <t>سيفزف</t>
  </si>
  <si>
    <t>الاحمر</t>
  </si>
  <si>
    <t>سيدي بلعباي</t>
  </si>
  <si>
    <t>العيون</t>
  </si>
  <si>
    <t>الجلفة</t>
  </si>
  <si>
    <t>سيدي بلعياس</t>
  </si>
  <si>
    <t>مصطفى بن براهيم</t>
  </si>
  <si>
    <t>سيدي لحسن</t>
  </si>
  <si>
    <t>بن باديس</t>
  </si>
  <si>
    <t>الحروش</t>
  </si>
  <si>
    <t>مصطفى بن إبراهيم</t>
  </si>
  <si>
    <t>ميلة</t>
  </si>
  <si>
    <t>رأس الماء</t>
  </si>
  <si>
    <t>واد تليلات</t>
  </si>
  <si>
    <t xml:space="preserve">سيدي بلعباس </t>
  </si>
  <si>
    <t>سيذي بلعباس</t>
  </si>
  <si>
    <t>مازونة</t>
  </si>
  <si>
    <t>مصطفىبن براهيم</t>
  </si>
  <si>
    <t>تيسمسيلت</t>
  </si>
  <si>
    <t>برج الامير عبد القادر</t>
  </si>
  <si>
    <t>تلاع</t>
  </si>
  <si>
    <t>ثنية الاحد</t>
  </si>
  <si>
    <t>سدي بلعباس</t>
  </si>
  <si>
    <t>زرالدة</t>
  </si>
  <si>
    <t>تيزي وزو</t>
  </si>
  <si>
    <t>عنابة</t>
  </si>
  <si>
    <t>مهدية</t>
  </si>
  <si>
    <t>البوني</t>
  </si>
  <si>
    <t>الصبحة</t>
  </si>
  <si>
    <t>بوزيق</t>
  </si>
  <si>
    <t xml:space="preserve">علي </t>
  </si>
  <si>
    <t xml:space="preserve">لخضر </t>
  </si>
  <si>
    <t xml:space="preserve">عبد الرزاق </t>
  </si>
  <si>
    <t xml:space="preserve">مختار </t>
  </si>
  <si>
    <t xml:space="preserve">سيد أحمد </t>
  </si>
  <si>
    <t xml:space="preserve">يوسف </t>
  </si>
  <si>
    <t xml:space="preserve">زين </t>
  </si>
  <si>
    <t xml:space="preserve">رمضان </t>
  </si>
  <si>
    <t xml:space="preserve">الطيب </t>
  </si>
  <si>
    <t xml:space="preserve">قويدر </t>
  </si>
  <si>
    <t xml:space="preserve">محي الدين </t>
  </si>
  <si>
    <t xml:space="preserve">بن ويس </t>
  </si>
  <si>
    <t xml:space="preserve">بومدين </t>
  </si>
  <si>
    <t xml:space="preserve">بغداد </t>
  </si>
  <si>
    <t xml:space="preserve">بشير </t>
  </si>
  <si>
    <t xml:space="preserve">عبد الكريم </t>
  </si>
  <si>
    <t xml:space="preserve">ميلود </t>
  </si>
  <si>
    <t xml:space="preserve">قاسم </t>
  </si>
  <si>
    <t xml:space="preserve">مقيدر </t>
  </si>
  <si>
    <t xml:space="preserve">حبيب </t>
  </si>
  <si>
    <t xml:space="preserve">طيب </t>
  </si>
  <si>
    <t xml:space="preserve">يحيى </t>
  </si>
  <si>
    <t xml:space="preserve">العربي </t>
  </si>
  <si>
    <t xml:space="preserve">حنيفي </t>
  </si>
  <si>
    <t xml:space="preserve">بلقاسم </t>
  </si>
  <si>
    <t xml:space="preserve">سليمان </t>
  </si>
  <si>
    <t xml:space="preserve">رشيد </t>
  </si>
  <si>
    <t xml:space="preserve">مراد </t>
  </si>
  <si>
    <t xml:space="preserve">بوشاقور </t>
  </si>
  <si>
    <t xml:space="preserve">مداني </t>
  </si>
  <si>
    <t xml:space="preserve">خليفة </t>
  </si>
  <si>
    <t xml:space="preserve">منصور </t>
  </si>
  <si>
    <t xml:space="preserve">الهواري </t>
  </si>
  <si>
    <t xml:space="preserve">فاتح </t>
  </si>
  <si>
    <t xml:space="preserve">عيسى </t>
  </si>
  <si>
    <t xml:space="preserve">زواوي </t>
  </si>
  <si>
    <t xml:space="preserve">يوب </t>
  </si>
  <si>
    <t xml:space="preserve">هاشمي </t>
  </si>
  <si>
    <t xml:space="preserve">إبراهيم </t>
  </si>
  <si>
    <t xml:space="preserve">حمة </t>
  </si>
  <si>
    <t xml:space="preserve">كمال </t>
  </si>
  <si>
    <t xml:space="preserve">نورالدين </t>
  </si>
  <si>
    <t xml:space="preserve">بوبكر </t>
  </si>
  <si>
    <t xml:space="preserve">ناصر </t>
  </si>
  <si>
    <t xml:space="preserve">سيدأحمد </t>
  </si>
  <si>
    <t xml:space="preserve">امين </t>
  </si>
  <si>
    <t xml:space="preserve">بن سعيد </t>
  </si>
  <si>
    <t xml:space="preserve">بن علي </t>
  </si>
  <si>
    <t xml:space="preserve">منور </t>
  </si>
  <si>
    <t xml:space="preserve">مرتضى </t>
  </si>
  <si>
    <t xml:space="preserve">بوعزة </t>
  </si>
  <si>
    <t xml:space="preserve">بوجمعة </t>
  </si>
  <si>
    <t xml:space="preserve">حفيظ </t>
  </si>
  <si>
    <t xml:space="preserve">حسين </t>
  </si>
  <si>
    <t xml:space="preserve">بلوفة </t>
  </si>
  <si>
    <t xml:space="preserve">عبد المنعم عبد اللازم </t>
  </si>
  <si>
    <t xml:space="preserve">شيخ </t>
  </si>
  <si>
    <t xml:space="preserve">مكال </t>
  </si>
  <si>
    <t xml:space="preserve">محمد امين </t>
  </si>
  <si>
    <t xml:space="preserve">عبد القادر أحمد </t>
  </si>
  <si>
    <t xml:space="preserve">عبد العظيم </t>
  </si>
  <si>
    <t xml:space="preserve">نور الدين </t>
  </si>
  <si>
    <t xml:space="preserve">فريد </t>
  </si>
  <si>
    <t xml:space="preserve">معمر </t>
  </si>
  <si>
    <t xml:space="preserve">عمار </t>
  </si>
  <si>
    <t xml:space="preserve">برحال </t>
  </si>
  <si>
    <t xml:space="preserve">نوار </t>
  </si>
  <si>
    <t xml:space="preserve">عبد السلام </t>
  </si>
  <si>
    <t xml:space="preserve">مخفي </t>
  </si>
  <si>
    <t xml:space="preserve">براهيم </t>
  </si>
  <si>
    <t xml:space="preserve">عثمان </t>
  </si>
  <si>
    <t xml:space="preserve">صديق </t>
  </si>
  <si>
    <t xml:space="preserve">حاج </t>
  </si>
  <si>
    <t xml:space="preserve">بن قدور </t>
  </si>
  <si>
    <t xml:space="preserve">عتو </t>
  </si>
  <si>
    <t xml:space="preserve">نوري </t>
  </si>
  <si>
    <t xml:space="preserve">بلاحة </t>
  </si>
  <si>
    <t xml:space="preserve">بوطالب </t>
  </si>
  <si>
    <t xml:space="preserve">الحاج </t>
  </si>
  <si>
    <t xml:space="preserve">لؤي </t>
  </si>
  <si>
    <t xml:space="preserve">لعرج </t>
  </si>
  <si>
    <t xml:space="preserve">مراجي </t>
  </si>
  <si>
    <t xml:space="preserve">طاهر </t>
  </si>
  <si>
    <t xml:space="preserve">مولاي أحمد </t>
  </si>
  <si>
    <t xml:space="preserve">عامر </t>
  </si>
  <si>
    <t xml:space="preserve">بخلف </t>
  </si>
  <si>
    <t xml:space="preserve">زين الدين </t>
  </si>
  <si>
    <t xml:space="preserve">ميمون </t>
  </si>
  <si>
    <t xml:space="preserve">بن حميدة </t>
  </si>
  <si>
    <t xml:space="preserve">بن صواق </t>
  </si>
  <si>
    <t xml:space="preserve">الحبيب </t>
  </si>
  <si>
    <t xml:space="preserve">بهلول </t>
  </si>
  <si>
    <t xml:space="preserve">سايح </t>
  </si>
  <si>
    <t xml:space="preserve">عبد النور </t>
  </si>
  <si>
    <t xml:space="preserve">صالح </t>
  </si>
  <si>
    <t xml:space="preserve">سفيان بن سليمان </t>
  </si>
  <si>
    <t xml:space="preserve">مبارك </t>
  </si>
  <si>
    <t xml:space="preserve">عبد الاله </t>
  </si>
  <si>
    <t xml:space="preserve">هشام </t>
  </si>
  <si>
    <t xml:space="preserve">بوعمامة </t>
  </si>
  <si>
    <t xml:space="preserve">بن عودة </t>
  </si>
  <si>
    <t xml:space="preserve">فؤاد </t>
  </si>
  <si>
    <t xml:space="preserve">رشدي </t>
  </si>
  <si>
    <t xml:space="preserve">عبد الحليم بن الحسناوي </t>
  </si>
  <si>
    <t xml:space="preserve">سليم </t>
  </si>
  <si>
    <t xml:space="preserve">موسى </t>
  </si>
  <si>
    <t xml:space="preserve">توفيق </t>
  </si>
  <si>
    <t xml:space="preserve">محفوظ </t>
  </si>
  <si>
    <t xml:space="preserve">ياسين </t>
  </si>
  <si>
    <t xml:space="preserve">زيتوني </t>
  </si>
  <si>
    <t xml:space="preserve">رابح </t>
  </si>
  <si>
    <t xml:space="preserve">نور العرب </t>
  </si>
  <si>
    <t xml:space="preserve">خالد </t>
  </si>
  <si>
    <t>موضف</t>
  </si>
  <si>
    <t>مفتش</t>
  </si>
  <si>
    <t xml:space="preserve">حي 40 مسكن  مصطفى بن ابراهيم </t>
  </si>
  <si>
    <t xml:space="preserve">رقم 13 حي 60 مسكن مصطفى بن براهيم </t>
  </si>
  <si>
    <t xml:space="preserve">رقم02 معاشو بوحريز -مصطفى بن ابراهيم- </t>
  </si>
  <si>
    <t xml:space="preserve">20مسكن عمارة رقم 2 مصطفى بن براهيم </t>
  </si>
  <si>
    <t xml:space="preserve">18/شارع فرش يوب </t>
  </si>
  <si>
    <t xml:space="preserve">حي 50 مسكن عين ازال سطيف </t>
  </si>
  <si>
    <t xml:space="preserve">شارع مراح عبد القادر ـ عين فكان ـ </t>
  </si>
  <si>
    <t xml:space="preserve">حي بوطمة يوب رقم 10  </t>
  </si>
  <si>
    <t xml:space="preserve">23 شارع طيبي احمد </t>
  </si>
  <si>
    <t xml:space="preserve">رقم 14 شارع تواب محمد مصطفى بن ابراهيم  </t>
  </si>
  <si>
    <t xml:space="preserve">حي 64 مسكن عمارةA رقم4 سفيزف </t>
  </si>
  <si>
    <t xml:space="preserve">1/شارع بلدي عبد القادر </t>
  </si>
  <si>
    <t xml:space="preserve">نهج الامير عبد القادر </t>
  </si>
  <si>
    <t xml:space="preserve">شارع يوب القوتئ-03 </t>
  </si>
  <si>
    <t xml:space="preserve">حي 122 مسكن مصطفى بن ابراهيم  </t>
  </si>
  <si>
    <t xml:space="preserve">يوب بوتمة رقم 05 مصطفى بن ابراهيم  </t>
  </si>
  <si>
    <t xml:space="preserve">حي 122 مسكن مصطفى بن ابراهيم رقم الباب 01  </t>
  </si>
  <si>
    <t xml:space="preserve">رقم 43 حي 19 جوان مصطفى بن براهيم </t>
  </si>
  <si>
    <t xml:space="preserve">حي 515 مسكن سفيزف سيدي بلعباس </t>
  </si>
  <si>
    <t xml:space="preserve">24شارع اول نوفمبر تيغاليمات </t>
  </si>
  <si>
    <t xml:space="preserve">رقم 54 شارع طيبي ويس </t>
  </si>
  <si>
    <t xml:space="preserve">120 حي 122 مسكن  </t>
  </si>
  <si>
    <t xml:space="preserve">شارع تواب محمد مصطفى بن ابراهيم </t>
  </si>
  <si>
    <t xml:space="preserve">شارع الاخوة معطى الله - </t>
  </si>
  <si>
    <t xml:space="preserve">رقم 05 حي 100 مسكن إجتماعي = تلموني = </t>
  </si>
  <si>
    <t xml:space="preserve">شارع تواب محمد  مصطفى بن ابراهيم  </t>
  </si>
  <si>
    <t xml:space="preserve">شارع معاشو بوحريز رقم 18  </t>
  </si>
  <si>
    <t xml:space="preserve">حي سيدي بوزيان </t>
  </si>
  <si>
    <t xml:space="preserve">حي هواري بومدين مصطفى بن ابراهيم </t>
  </si>
  <si>
    <t xml:space="preserve">89 شارع لبقع عبد القادر  </t>
  </si>
  <si>
    <t xml:space="preserve">89 شارع لبقع عبد القادر </t>
  </si>
  <si>
    <t xml:space="preserve">شارع بوطيبة محمد </t>
  </si>
  <si>
    <t xml:space="preserve">شارع تواب محمد رقم 13 مصطفى بن ابراهيم  </t>
  </si>
  <si>
    <t xml:space="preserve">رقم 17 حي مسكن تساهمي مصطفى بن براهيم </t>
  </si>
  <si>
    <t xml:space="preserve">حي 50 مسكن رقم 04 مصطفى بن ابراهيم </t>
  </si>
  <si>
    <t xml:space="preserve">15,حي الصوناكوم </t>
  </si>
  <si>
    <t xml:space="preserve">حي 50مسكن رقم 23 مصطفى بن براهيم </t>
  </si>
  <si>
    <t xml:space="preserve">شارع بوطالب الجيلالي رقم 40  </t>
  </si>
  <si>
    <t xml:space="preserve">حي 19 جوان رقم 183 مصطفى بن ابراهيم  </t>
  </si>
  <si>
    <t xml:space="preserve">دوار ولاد العربي اولاد المبياني تلموني س ب ع </t>
  </si>
  <si>
    <t xml:space="preserve">04 شارع مصري عبد الله-مصطفى بن ابراهيم- </t>
  </si>
  <si>
    <t xml:space="preserve">شارع دكار محمد </t>
  </si>
  <si>
    <t xml:space="preserve">55 طريق سيدي يحيى المطول . سفيزف </t>
  </si>
  <si>
    <t xml:space="preserve">حي 50مسكن مصطفى بن براهيم  </t>
  </si>
  <si>
    <t xml:space="preserve">بن بطمة يوب رقم 23  </t>
  </si>
  <si>
    <t xml:space="preserve">حي 30 مسكن - مصطفى بن براهيم </t>
  </si>
  <si>
    <t xml:space="preserve">حي ديار الهناء سيد الجيلالي س ب ع </t>
  </si>
  <si>
    <t xml:space="preserve">حي120مسكن وادي تليلات وهران </t>
  </si>
  <si>
    <t xml:space="preserve">رقم 37 حي 19 جوان مصطفى بن براهيم </t>
  </si>
  <si>
    <t xml:space="preserve">رقم 03 شارع طيبي ويس  </t>
  </si>
  <si>
    <t xml:space="preserve">رقم5 شارع سقاي احمد مصطفى بن براهيم </t>
  </si>
  <si>
    <t xml:space="preserve">رقم 03 شارع جلال عبد القادر مصطفى بن براهيم </t>
  </si>
  <si>
    <t xml:space="preserve">حي 50 مسكن مصطفى بن ابراهيم </t>
  </si>
  <si>
    <t xml:space="preserve">حي 110 سكن اللوز سفيزف </t>
  </si>
  <si>
    <t xml:space="preserve">رقم 02 شارع بن مايسة البشير - مصطفى بن براهيم </t>
  </si>
  <si>
    <t xml:space="preserve">رقم 01 شارع ثالوتي عثمان مصطفى بن براهيم </t>
  </si>
  <si>
    <t xml:space="preserve">حي محمد الخامس </t>
  </si>
  <si>
    <t xml:space="preserve">26 حي 200 سكن. سفيزف </t>
  </si>
  <si>
    <t xml:space="preserve">حي 122 مسكن  </t>
  </si>
  <si>
    <t xml:space="preserve">مزرعة حمودة محمد بمصطفى بن ابراهيم </t>
  </si>
  <si>
    <t xml:space="preserve">حي 50مسكن مصطفى بن براهيم سيدي بلعباس </t>
  </si>
  <si>
    <t xml:space="preserve">حي تسالة رقم 221 سيدي بلعباس  </t>
  </si>
  <si>
    <t xml:space="preserve">33 شارع العقيد عمروش مصطفى بن ابراهيم  </t>
  </si>
  <si>
    <t xml:space="preserve">شارع عقوني حمزة  </t>
  </si>
  <si>
    <t xml:space="preserve">07 شارع محمد الخامس - بوبرناس  </t>
  </si>
  <si>
    <t xml:space="preserve">شارع ظريف بن ديدة </t>
  </si>
  <si>
    <t xml:space="preserve">رقم 162 حي 19 جوان  مصطفى بن براهيم </t>
  </si>
  <si>
    <t xml:space="preserve">حي هواري بومدين مصطفى بن براهيم  </t>
  </si>
  <si>
    <t xml:space="preserve">حي 125 مسكن رقم 06 سيدي الجيلالي س ب ع </t>
  </si>
  <si>
    <t xml:space="preserve">حي 50 مسكن تلاغ </t>
  </si>
  <si>
    <t xml:space="preserve">ثانوية نهاري عبد القادر </t>
  </si>
  <si>
    <t xml:space="preserve">حي هواري بومدين سفيزف سيدي بلعباس </t>
  </si>
  <si>
    <t xml:space="preserve">شارع معاشو بلحاج رقم 02 مصطفى بن ابراهيم  </t>
  </si>
  <si>
    <t xml:space="preserve">رقم 20 حي ضيافي يوب مصطفى بن براهيم </t>
  </si>
  <si>
    <t xml:space="preserve">شارع فتحي محمد </t>
  </si>
  <si>
    <t xml:space="preserve">رقم 13 حي 113 مسكن مرين </t>
  </si>
  <si>
    <t xml:space="preserve">07 شارع معاشو بوحريز مصطفى بن ابراهيم  </t>
  </si>
  <si>
    <t xml:space="preserve">حي 40 مسكن LCP مصطفى بن ابراهيم  </t>
  </si>
  <si>
    <t xml:space="preserve">58 شارع العقيد عميروش </t>
  </si>
  <si>
    <t xml:space="preserve">26 شارع بوطالب الجيلالي مصطفى بن ابراهيم  </t>
  </si>
  <si>
    <t xml:space="preserve">اولاد الصافي تلموني </t>
  </si>
  <si>
    <t xml:space="preserve">فليح الطيب 140 مصطفى بن براهيم </t>
  </si>
  <si>
    <t xml:space="preserve">24 شارع لبقع عبد القادر -مصطفى بن ابراهيم- </t>
  </si>
  <si>
    <t xml:space="preserve">رقم 69 شارع بسباس لخضر -مصطفى بن ابراهيم-  </t>
  </si>
  <si>
    <t xml:space="preserve">60 شارع لبقع عبد القادر مصطفى بن ابراهيم  </t>
  </si>
  <si>
    <t xml:space="preserve">02,شارع الشهيد رحموني ميلود </t>
  </si>
  <si>
    <t xml:space="preserve">رقم 14 حي جلال عبد القادر مصطفى بن براهيم  </t>
  </si>
  <si>
    <t xml:space="preserve">قرية بويطاس وادي سفيون </t>
  </si>
  <si>
    <t xml:space="preserve">حي 50 مسكن رقم 10 مصطفى بن براهيم </t>
  </si>
  <si>
    <t xml:space="preserve">رقم 34 حي 19 جوان مصطفى بن براهيم </t>
  </si>
  <si>
    <t xml:space="preserve">24 شارع ظريف بن ديدة -مصطفى بن ابراهيم - </t>
  </si>
  <si>
    <t xml:space="preserve">05 شارع بسباس عبد القادر مصطفى بن ابراهيم  </t>
  </si>
  <si>
    <t xml:space="preserve">حي 40 مسكن مصطفى بن ابراهيم رقم 16  </t>
  </si>
  <si>
    <t xml:space="preserve">حي 30 مسكن مصطفى بن براهيم </t>
  </si>
  <si>
    <t xml:space="preserve">رقم 01 نهج معاشو بلحاج مصطفى بن ابراهيم  </t>
  </si>
  <si>
    <t xml:space="preserve">05,نهج فريش يوب مصطفى بن براهيم </t>
  </si>
  <si>
    <t xml:space="preserve">رقم21  شارع موساوي عبد القادر = تلموني =ا </t>
  </si>
  <si>
    <t xml:space="preserve"> شارع ثابت عبد القادر مصطفى بن ابراهيم  </t>
  </si>
  <si>
    <t xml:space="preserve">حي 50 مسكن الطابق الأول رقم 36 مصطفى بن ابراهيم  </t>
  </si>
  <si>
    <t xml:space="preserve">حي 19 جوان مصطفى بن براهيم </t>
  </si>
  <si>
    <t xml:space="preserve">54 شارع ظريف بن ديدة مصطفى بن ابراهيم  </t>
  </si>
  <si>
    <t xml:space="preserve">خي 48 سكن - سفيزف </t>
  </si>
  <si>
    <t xml:space="preserve">رقم 19 شارع ضيافي يوب  مصطفى بن براهيم </t>
  </si>
  <si>
    <t xml:space="preserve">14/شارع لبقع عبد القادر </t>
  </si>
  <si>
    <t xml:space="preserve">51 شارع الاخوة معطى الله -مصطفى بن ابراهيم- </t>
  </si>
  <si>
    <t xml:space="preserve">29 شارع الاخوة معطى الله -مصطفى بن ابراهيم - </t>
  </si>
  <si>
    <t xml:space="preserve">حي214 سكن سفيزف </t>
  </si>
  <si>
    <t xml:space="preserve">04-شارع مصري عبد الله </t>
  </si>
  <si>
    <t xml:space="preserve">60/شارع لبقع عبد القادر </t>
  </si>
  <si>
    <t xml:space="preserve">رقم16عمارة حي 32 مسكن مصطفى بن براهيم </t>
  </si>
  <si>
    <t xml:space="preserve">رقم 07 حي 19 جوان - مصطفى بن براهيم </t>
  </si>
  <si>
    <t xml:space="preserve">عبد الحميد الحبيب مصطفى بن براهيم </t>
  </si>
  <si>
    <t xml:space="preserve">رقم 11 حي 50 مسكن مصطفى بن براهيم </t>
  </si>
  <si>
    <t xml:space="preserve">05/عمارة P حي بزوجي محمد  </t>
  </si>
  <si>
    <t xml:space="preserve">06/شارع فرش يوب </t>
  </si>
  <si>
    <t xml:space="preserve">حي الجزيرة عمارة س4 رقم 04 سيدي بلعباس  </t>
  </si>
  <si>
    <t xml:space="preserve">رقم 49 حي 19 جوان مصطفى بن براهيم </t>
  </si>
  <si>
    <t xml:space="preserve">27 اخوة معطى الله مصطفى بن ابراهيم  </t>
  </si>
  <si>
    <t xml:space="preserve">رقم 26  حي 30 مسكن - مصطفى بن براهيم </t>
  </si>
  <si>
    <t xml:space="preserve">04-نهج صحيح عبد القدر </t>
  </si>
  <si>
    <t xml:space="preserve">05 شارع الاخوة معطى الله -مصطفى بن ابراهيم- </t>
  </si>
  <si>
    <t xml:space="preserve">عمارة 30 مسكن مصطفى بن براهيم </t>
  </si>
  <si>
    <t xml:space="preserve">رقم 54 شارع جلال عبد القادر مصطفى بن براهيم </t>
  </si>
  <si>
    <t xml:space="preserve">شارع بوطالب الجيلالي رقم 37  </t>
  </si>
  <si>
    <t xml:space="preserve">20 شارع معاشو بوحريز  </t>
  </si>
  <si>
    <t xml:space="preserve">رقم 75 حي 19 جوان مصطفى بن براهيم </t>
  </si>
  <si>
    <t xml:space="preserve">سلاك ميلود رقم الباب 15  </t>
  </si>
  <si>
    <t xml:space="preserve">حي طيبي الطيب  </t>
  </si>
  <si>
    <t xml:space="preserve">شارع تونسي عبد القادر  </t>
  </si>
  <si>
    <t xml:space="preserve">دوار بن سليمان بلدية المسيد </t>
  </si>
  <si>
    <t xml:space="preserve">رقم 24 حي سيدي بوزيان -مصطفى بن ابراهيم- </t>
  </si>
  <si>
    <t xml:space="preserve">رقم 195 حي 19 جوان - مصطفى بن براهيم </t>
  </si>
  <si>
    <t xml:space="preserve">حي عبد الحميد الحبيب مصطفى بن براهيم </t>
  </si>
  <si>
    <t xml:space="preserve">رقم 32 حي 50 مسكن مصطفى بن براهيم </t>
  </si>
  <si>
    <t xml:space="preserve">رقم 27 شارع العربي بومعزة  مصطفى بن براهيم </t>
  </si>
  <si>
    <t xml:space="preserve">رقم 22 حي الصوناكوم مصطفى بن براهيم </t>
  </si>
  <si>
    <t xml:space="preserve">حي 600 مسكن عمارة G2 رقم 531 </t>
  </si>
  <si>
    <t xml:space="preserve">رأس الماء  </t>
  </si>
  <si>
    <t xml:space="preserve">رقم 144 حي 19 جوان مصطفى بن براهيم </t>
  </si>
  <si>
    <t xml:space="preserve">حي 20مسكن مصطفى بن براهيم </t>
  </si>
  <si>
    <t xml:space="preserve">رقم 09 حي 50 مسكن - مصطفى بن براهيم </t>
  </si>
  <si>
    <t xml:space="preserve">رقم 51 حي 19 جوان - مصطفى بن براهيم </t>
  </si>
  <si>
    <t xml:space="preserve">حي 62 مسكن مصطفى بن براهيم </t>
  </si>
  <si>
    <t xml:space="preserve">20,الحي الجديد،سيدي بوزيان ،مصطفى بن براهيم </t>
  </si>
  <si>
    <t xml:space="preserve">رقم 10 شارع بوطلب الجيلالي -مصطفى بن ابراهيم- </t>
  </si>
  <si>
    <t xml:space="preserve">حي 20 مسكن مصطفى بن براهيم </t>
  </si>
  <si>
    <t xml:space="preserve">شارع مروك ميلود سفيزف </t>
  </si>
  <si>
    <t xml:space="preserve">حي مويسات عبد القادر = تلموني = </t>
  </si>
  <si>
    <t xml:space="preserve">رقم 15 حي ضيافي يوب 50 مسكن - مصطفى بن براهيم </t>
  </si>
  <si>
    <t xml:space="preserve">رقم 25 حي 19 جوان  </t>
  </si>
  <si>
    <t xml:space="preserve">حي سيدي بوزيان - مصطفى بن براهيم </t>
  </si>
  <si>
    <t xml:space="preserve">رقم 6 حي 50 مسكن مصطفى بن براهيم </t>
  </si>
  <si>
    <t xml:space="preserve">رقم 179 حي 19 جوانمصطفى بن براهيم </t>
  </si>
  <si>
    <t xml:space="preserve">حي 20 مسكن مصطفى بن ابراهيم </t>
  </si>
  <si>
    <t xml:space="preserve">09 شارع بوطالب الجيلالي -مصطفى بن ابراهيم- </t>
  </si>
  <si>
    <t xml:space="preserve">عمارة العتاد الفلاحي مصطفى بن براهيم </t>
  </si>
  <si>
    <t xml:space="preserve">مصطفى بن ابراهيم </t>
  </si>
  <si>
    <t xml:space="preserve">رقم 116 حي 19 جوان مصطفى بن براهيم </t>
  </si>
  <si>
    <t xml:space="preserve">حي 50 مسكن مصطفى بن اراهيم </t>
  </si>
  <si>
    <t xml:space="preserve">حي 62 مسكن رقم 39 مصطفى بن ابراهيم  </t>
  </si>
  <si>
    <t xml:space="preserve">حي 40 مسكن </t>
  </si>
  <si>
    <t xml:space="preserve">حي 40 مسكن رقم الباب 20 مصطفى بن ابراهيم  </t>
  </si>
  <si>
    <t xml:space="preserve">الحي العسكري /عين بوشقيف / </t>
  </si>
  <si>
    <t xml:space="preserve">04-شارع لبقع عبد القادر </t>
  </si>
  <si>
    <t xml:space="preserve">رقم 19 حي صحيح عبد القادر مصطفى بن ابراهيم </t>
  </si>
  <si>
    <t xml:space="preserve">رقم 101 حي 19 جوان مصطفى بن براهيم </t>
  </si>
  <si>
    <t xml:space="preserve">06 شارع دكار محمد -مصطفى بن ابراهيم- </t>
  </si>
  <si>
    <t xml:space="preserve">حي سيدي أحمد /تلاغ </t>
  </si>
  <si>
    <t xml:space="preserve">حي 40 مسكن رقم الباب 03 مصطفى بن ابراهيم  </t>
  </si>
  <si>
    <t xml:space="preserve">حي السوريكور عمارة C سفيزف </t>
  </si>
  <si>
    <t xml:space="preserve">حي مربوح عبد القادر تلموني </t>
  </si>
  <si>
    <t xml:space="preserve">مرزعة بن حمودة محمد مصطفى بن ابراهيم </t>
  </si>
  <si>
    <t xml:space="preserve">7 شارع جلال عبد القادر مصطفى بن ابراهيم </t>
  </si>
  <si>
    <t xml:space="preserve">حي 50 مسكن مصطفى بن براهيم  </t>
  </si>
  <si>
    <t xml:space="preserve">حي جلال عبد القادر مصطفى بن ابراهيم </t>
  </si>
  <si>
    <t xml:space="preserve">حي رايس الطيب مصطفى بن ابراهيم  </t>
  </si>
  <si>
    <t xml:space="preserve">29 حي ظريف بن ديدة -مصطفى بن ابراهيم- </t>
  </si>
  <si>
    <t xml:space="preserve">رقم 27 شارع الاخوة معطى الله -مصطفى بن ابراهيم- </t>
  </si>
  <si>
    <t xml:space="preserve">حي هواري بومدين </t>
  </si>
  <si>
    <t xml:space="preserve">شارع لوهاج بن سعيد  </t>
  </si>
  <si>
    <t xml:space="preserve">شارع مدنكس البشير </t>
  </si>
  <si>
    <t xml:space="preserve">11/نهج ضيافي الحبيب </t>
  </si>
  <si>
    <t xml:space="preserve">رقم 18 شارع ثابت بلقاسم مصطفى بن ابراهيم  </t>
  </si>
  <si>
    <t xml:space="preserve">شارع عقبة بن نافع سيدي ابراهيم </t>
  </si>
  <si>
    <t xml:space="preserve">حي 45 مسكن رقم 50  </t>
  </si>
  <si>
    <t xml:space="preserve">رقم 83 حي 19 جوان مصطفى بن براهيم </t>
  </si>
  <si>
    <t xml:space="preserve">رقم34 ط 3 162 سكن بوعزة الغربي سيدي بلعباس  </t>
  </si>
  <si>
    <t xml:space="preserve">رقم 104 حي 19 جوان مصطفى بن براهيم </t>
  </si>
  <si>
    <t xml:space="preserve">سقاي احمد مصطفى بن ابراهيم </t>
  </si>
  <si>
    <t xml:space="preserve">سقاي احمد </t>
  </si>
  <si>
    <t xml:space="preserve">22 شارع بادي عبد القادر  </t>
  </si>
  <si>
    <t xml:space="preserve">03/معاشو بوحرير </t>
  </si>
  <si>
    <t xml:space="preserve">رقم 9 شارع بن مايسة البشير مصطفى بن براهيم </t>
  </si>
  <si>
    <t xml:space="preserve">شارع عبد الحميد حبيب مصطفى بن براهيم </t>
  </si>
  <si>
    <t xml:space="preserve">صحيح عبد القادر مصطفى بن براهيم </t>
  </si>
  <si>
    <t xml:space="preserve">08,شارع صحيح عبد القادر </t>
  </si>
  <si>
    <t xml:space="preserve">26 حي 200 سكن </t>
  </si>
  <si>
    <t xml:space="preserve">رقم 50 حي جلال عبد القادر مصطفى بن براهيم </t>
  </si>
  <si>
    <t xml:space="preserve">رقم 40 حي مدنكس البشير مصطفى بن براهيم </t>
  </si>
  <si>
    <t xml:space="preserve">رقم 07 حي الصوناكوم  </t>
  </si>
  <si>
    <t xml:space="preserve">مزرعة اوهيبة محي الدين_بلبوش_سفيزف </t>
  </si>
  <si>
    <t xml:space="preserve">23-حيرش لخضر </t>
  </si>
  <si>
    <t xml:space="preserve">شارع هواري بومدين </t>
  </si>
  <si>
    <t xml:space="preserve">28-ظريف بن ديدة </t>
  </si>
  <si>
    <t xml:space="preserve">رقم 73 شارع بن مايسة البشير مصطفى بن براهيم </t>
  </si>
  <si>
    <t xml:space="preserve">حي24 فبراير سفيزف </t>
  </si>
  <si>
    <t xml:space="preserve">46  شارع جلال عبد القادر </t>
  </si>
  <si>
    <t xml:space="preserve">08 شارع ثابت بلقاسم  </t>
  </si>
  <si>
    <t xml:space="preserve">رقم 59 حي 62 مسكن مصطفى بن براهيم </t>
  </si>
  <si>
    <t xml:space="preserve">رقم 25 حي حي الصومام مصطفى بن براهيم </t>
  </si>
  <si>
    <t xml:space="preserve">رقم 10 شارع بن مايسة البشير  </t>
  </si>
  <si>
    <t xml:space="preserve">حي هواري أحمد </t>
  </si>
  <si>
    <t xml:space="preserve">52-شارع لبقع عبد القادر </t>
  </si>
  <si>
    <t xml:space="preserve">رقم 159حي 19 جوان مصطفى بن براهيم </t>
  </si>
  <si>
    <t xml:space="preserve">رقم 40 حي 50 مسكن مصطفى بن براهيم </t>
  </si>
  <si>
    <t xml:space="preserve">رقم 20 نهج معلم صديق-وادي سفيون </t>
  </si>
  <si>
    <t xml:space="preserve">شارع زواوي قدور سيدي بلعباس  </t>
  </si>
  <si>
    <t xml:space="preserve">رقم 02 شارع معاشو بلحاج </t>
  </si>
  <si>
    <t xml:space="preserve">سيدي لحسن </t>
  </si>
  <si>
    <t xml:space="preserve">17 حي 19 جوان مصطفى بن ابراهيم </t>
  </si>
  <si>
    <t xml:space="preserve">قرية بلبوش سفيزف </t>
  </si>
  <si>
    <t xml:space="preserve">حي 122 مسكن رايس الطيب مصطفى بن براهيم </t>
  </si>
  <si>
    <t xml:space="preserve">شارع هواري أحمد  </t>
  </si>
  <si>
    <t xml:space="preserve">حي بزوجي محمد رقم 10 مصطفى بن ابراهيم </t>
  </si>
  <si>
    <t xml:space="preserve">15 شارع معاشو بوحريز </t>
  </si>
  <si>
    <t xml:space="preserve">47,شارع الإخوة معطى الله </t>
  </si>
  <si>
    <t xml:space="preserve">رقم 20 حي 62 مسكن مصطفى بن براهيم </t>
  </si>
  <si>
    <t xml:space="preserve">رقم 05 عمارةضيافي الحبيب مصطفى بن براهيم </t>
  </si>
  <si>
    <t xml:space="preserve">شارع تابت بلقاسم -04 </t>
  </si>
  <si>
    <t xml:space="preserve">05 شارع ظريف بن ديدة -مصطفى بن ابراهيم- </t>
  </si>
  <si>
    <t xml:space="preserve">رقم 17 حي 62 مسكن مصطفى بن براهيم </t>
  </si>
  <si>
    <t xml:space="preserve">10/بلعسل عبدالقادر </t>
  </si>
  <si>
    <t xml:space="preserve">رقم 99 حي 19 جوان مصطفى بن براهيم </t>
  </si>
  <si>
    <t xml:space="preserve">رقم 11حي 40 مسكن مصطفى بن براهيم </t>
  </si>
  <si>
    <t xml:space="preserve">رقم 151 حي 19 جوان مصطفى بن براهيم </t>
  </si>
  <si>
    <t xml:space="preserve">رقم 13 حي 40 مسكن مصطفى بن براهيم </t>
  </si>
  <si>
    <t xml:space="preserve">حي 19 جوان مصطفى بن ابراهيم  </t>
  </si>
  <si>
    <t xml:space="preserve">رقم 21 حي 62 مسكن مصطفى بن براهيم </t>
  </si>
  <si>
    <t xml:space="preserve">بوطمة يوب رقم الباب 24  </t>
  </si>
  <si>
    <t xml:space="preserve">حي 32مسكن عمارة ب رقم 14 مصطفى بن براهيم </t>
  </si>
  <si>
    <t xml:space="preserve">حي 82 سكن سيدي بوزيان </t>
  </si>
  <si>
    <t xml:space="preserve">رقم 25 حي الصومام  </t>
  </si>
  <si>
    <t xml:space="preserve">عمارة العتاد الفلاحي رقم 02 مصطفى بن ابراهيم </t>
  </si>
  <si>
    <t xml:space="preserve">رقم 35 حي 50 مسكن مصطفى بن براهيم </t>
  </si>
  <si>
    <t xml:space="preserve">رقم 121 حي 19 جوان مصطفى بن براهيم </t>
  </si>
  <si>
    <t xml:space="preserve">رقم 18 حي بزوجي محمد مصطفى بن ابراهيم </t>
  </si>
  <si>
    <t xml:space="preserve">رقم 51 حي 19 جوان مصطفى بن براهيم </t>
  </si>
  <si>
    <t xml:space="preserve">حي 141 مسكن سفيزف </t>
  </si>
  <si>
    <t xml:space="preserve">شارع زيروت يوسف </t>
  </si>
  <si>
    <t xml:space="preserve">رقم 20 شارع تواب محمد مصطفى بن ابراهيم  </t>
  </si>
  <si>
    <t xml:space="preserve">شارع زحاف محمد </t>
  </si>
  <si>
    <t xml:space="preserve">رقم 55 شارع بن مايسة البشير مصطفى بن براهيم </t>
  </si>
  <si>
    <t xml:space="preserve">رقم 174حي 19 جوان مصطفى بن براهيم </t>
  </si>
  <si>
    <t xml:space="preserve">رقم 41 شارع معاشو بوحريز مصطفى بن ابراهيم </t>
  </si>
  <si>
    <t xml:space="preserve">حي 145 مسكن  CNEP </t>
  </si>
  <si>
    <t xml:space="preserve">حي الطيبي العربي بلعربي </t>
  </si>
  <si>
    <t xml:space="preserve">شارع برباح الحبيب رقم 26 - سفيزف </t>
  </si>
  <si>
    <t xml:space="preserve">حي سيدي بوزيان-مصطفى بن ابراهيم- </t>
  </si>
  <si>
    <t xml:space="preserve">رقم 175 حي 19 جوان مصطفى بن براهيم </t>
  </si>
  <si>
    <t xml:space="preserve">12 شارع قندوز الشيخ مزاورو </t>
  </si>
  <si>
    <t xml:space="preserve">33سقاي أحمد مصطفى بن براهيم </t>
  </si>
  <si>
    <t xml:space="preserve">شارع عساس بخدة  </t>
  </si>
  <si>
    <t xml:space="preserve">حي 50 مسكن م.ب.ب </t>
  </si>
  <si>
    <t xml:space="preserve">رقم 46 حي جاون - مصطفى بن براهيم </t>
  </si>
  <si>
    <t xml:space="preserve">شارع بوخلخال الحبيب رقم 88 - سفيزف </t>
  </si>
  <si>
    <t xml:space="preserve">رقم 19 حي 62 مسكن مصطفى بن ابراهيم </t>
  </si>
  <si>
    <t xml:space="preserve">شارع تونسي عبد القادر رقم الباب 13 </t>
  </si>
  <si>
    <t xml:space="preserve">رقم 09 شارع معاشو بوحريز-مصطفى بن ابراهيم- </t>
  </si>
  <si>
    <t xml:space="preserve">رقم 16 حي 62 مسكن مصطفى بن ابراهيم  </t>
  </si>
  <si>
    <t xml:space="preserve">حي 40 مسكن رقم 39  </t>
  </si>
  <si>
    <t xml:space="preserve">حي جرموني محمد رقم 09 سفيزف </t>
  </si>
  <si>
    <t xml:space="preserve">حي 117 سكن سفيزف </t>
  </si>
  <si>
    <t xml:space="preserve">حي 32 مسكن عمارة ا رقم 05 مصطفى بن ابراهيم </t>
  </si>
  <si>
    <t xml:space="preserve">27 رايس بغداد مصطفى بن ابراهيم  </t>
  </si>
  <si>
    <t xml:space="preserve">01 شارع مندنكس  البشير-مصطفى بن ابراهيم- </t>
  </si>
  <si>
    <t xml:space="preserve">تالوتي عبد القادر رقم 104  </t>
  </si>
  <si>
    <t xml:space="preserve">شارع الشهيد عرقوب بومدين بلعربي </t>
  </si>
  <si>
    <t xml:space="preserve">حي سيدي بوزيان مصطفى بن ابراهيم </t>
  </si>
  <si>
    <t xml:space="preserve">14 شارع لبقع عبد القادر -مصطفى بن ابراهيم- </t>
  </si>
  <si>
    <t xml:space="preserve">شارع مصطفى بن إبراهيم بلدية بوجبهة البرج </t>
  </si>
  <si>
    <t xml:space="preserve">رقم01-شارع ظريف بن ديدة </t>
  </si>
  <si>
    <t xml:space="preserve">حي 82 مسكن حي سيدي بوزيان دائرة مصطفى بن ابراهيم </t>
  </si>
  <si>
    <t xml:space="preserve">13 تالوتي الطيب مصطفى بن ابراهيم </t>
  </si>
  <si>
    <t xml:space="preserve">رقم 34 حي 40مسكن مصطفى بن براهيم </t>
  </si>
  <si>
    <t xml:space="preserve">11 ثابت بلقاسم  </t>
  </si>
  <si>
    <t xml:space="preserve">رقم 18 شارع جلال عبد القادر </t>
  </si>
  <si>
    <t xml:space="preserve">شارع 40 مسكن - مصطفى بن براهيم </t>
  </si>
  <si>
    <t xml:space="preserve">16 بادي عبد القادر -مصطفى بن ابراهيم - </t>
  </si>
  <si>
    <t xml:space="preserve">رقم 06 حي 50 مسكن هواري بومدبن مصطفى بن ابراهيم </t>
  </si>
  <si>
    <t xml:space="preserve">07 شارع الشهيد مصري بن عبد الله  </t>
  </si>
  <si>
    <t xml:space="preserve">رقم 21 نهج ثابت بلقاسم مصطفى بن ابراهيم  </t>
  </si>
  <si>
    <t xml:space="preserve">03 شارع بادي عبد القادر </t>
  </si>
  <si>
    <t xml:space="preserve">حي 19 جوان مصطفى بن ابراهيم </t>
  </si>
  <si>
    <t xml:space="preserve">02 شارع ظريف بن ديدة مصطفى بن ابراهيم  </t>
  </si>
  <si>
    <t xml:space="preserve">حي 50 مسكن مصطفى بن إبراهيم </t>
  </si>
  <si>
    <t xml:space="preserve">بوشريح عبد القادر رقم 07  </t>
  </si>
  <si>
    <t xml:space="preserve">حي 50 مسكن رقم 32 مصطفى بن ابراهيم </t>
  </si>
  <si>
    <t xml:space="preserve">حي 62 مسكن مصطفى بن ابراهيم  </t>
  </si>
  <si>
    <t xml:space="preserve">رقم 134 حي 19 جوان مصطفى بن براهيم </t>
  </si>
  <si>
    <t xml:space="preserve">بودومة لخضر </t>
  </si>
  <si>
    <t xml:space="preserve">عمارة تعاونية الحبوب والخضر الجافة مصطفى بن براهيم </t>
  </si>
  <si>
    <t xml:space="preserve">12,شارع ظريف بن ديدة </t>
  </si>
  <si>
    <t xml:space="preserve">رقم 44 عمارة ج حي 50 مسكن </t>
  </si>
  <si>
    <t xml:space="preserve">عمارة 30 مسكن - مصطفى بن براهيم </t>
  </si>
  <si>
    <t xml:space="preserve">مكمن بن عمار </t>
  </si>
  <si>
    <t xml:space="preserve">28 شارع ظريف بن ديدة -مصطفى بن ابراهيم- </t>
  </si>
  <si>
    <t xml:space="preserve">شارع الشهيد بوطيبة محمد -مصطفى بن ابراهيم- </t>
  </si>
  <si>
    <t xml:space="preserve">رقم 05 حي 19 جوان مصطفى بن ابراهيم </t>
  </si>
  <si>
    <t xml:space="preserve">رقم 50 شارع ضيافي يوب - مصطفى بن براهيم </t>
  </si>
  <si>
    <t xml:space="preserve">رقم 13 حي 40 مسكن - مصطفى بن براهيم </t>
  </si>
  <si>
    <t xml:space="preserve">مصري مختار م.ب.ب </t>
  </si>
  <si>
    <t xml:space="preserve">حي 50مسكن شارع هواري بومدين رقم الباب 19 </t>
  </si>
  <si>
    <t xml:space="preserve">حي 40 مسكن رقم 03 مصطفى بن براهيم </t>
  </si>
  <si>
    <t xml:space="preserve">شارع تواب محمد رقم 09 مصطفى بن براهيم </t>
  </si>
  <si>
    <t xml:space="preserve">قرية بويطاس بلدية واد سفيون </t>
  </si>
  <si>
    <t xml:space="preserve">مولاي سليسن </t>
  </si>
  <si>
    <t xml:space="preserve">رقم 118 حي 19 جوان مصطفى بن ابراهيم </t>
  </si>
  <si>
    <t xml:space="preserve">حي 40 مسكن - مصطفى بن براهيم </t>
  </si>
  <si>
    <t xml:space="preserve">حي غماري عبد المجيد         راس الماء </t>
  </si>
  <si>
    <t xml:space="preserve">حي الصومام   </t>
  </si>
  <si>
    <t xml:space="preserve">رقم 102 حي 19 جوان - مصطفى بن براهيم </t>
  </si>
  <si>
    <t xml:space="preserve">رأس الماء </t>
  </si>
  <si>
    <t xml:space="preserve">صحيح عبد القادر مصطفى بن ابراهيم </t>
  </si>
  <si>
    <t xml:space="preserve">12,شارع كعبي عبد القادر </t>
  </si>
  <si>
    <t xml:space="preserve">حي بوشريح قدور - مصطفى بن براهيم </t>
  </si>
  <si>
    <t xml:space="preserve">الحي الجديد = تلموني = </t>
  </si>
  <si>
    <t xml:space="preserve">شارع تواب محمد رقم 18 مصطفى بن براهيم </t>
  </si>
  <si>
    <t xml:space="preserve">03 نهج فرش يوب-مصطفى بن ابراهيم- </t>
  </si>
  <si>
    <t xml:space="preserve">03-شارع صحيح عبد القادر </t>
  </si>
  <si>
    <t xml:space="preserve">شارع ظريف بن ديدة رقم 29 -مصطفى بن ابراهيم- </t>
  </si>
  <si>
    <t xml:space="preserve">رقم 28 حي الصوناكم - مصطفى بن براهيم </t>
  </si>
  <si>
    <t xml:space="preserve">حي الحرية شارع ميموني عبد القادر  </t>
  </si>
  <si>
    <t xml:space="preserve">حي 50 مسكن مصطفى بن براهيم </t>
  </si>
  <si>
    <t xml:space="preserve">رقم 09 شارع الشهيد لوهاج بن سعيد مصطفى بن ابراهيم  </t>
  </si>
  <si>
    <t xml:space="preserve">زروالة </t>
  </si>
  <si>
    <t xml:space="preserve">حي 58 مسكن مصطفى بن ابراهيم </t>
  </si>
  <si>
    <t xml:space="preserve">شارع بادي عبد القادر-مصطفى بن ابراهيم- </t>
  </si>
  <si>
    <t xml:space="preserve">شارع بوطالب الجيلالي مصطفى بن ابراهيم  </t>
  </si>
  <si>
    <t xml:space="preserve">حي هواري بومدين م.ب.ب </t>
  </si>
  <si>
    <t xml:space="preserve">456سكن سيدي جيلالي/سيدي بلعباس </t>
  </si>
  <si>
    <t xml:space="preserve">رقم 14 حي 50 مسكن - مصطفى بن براهيم </t>
  </si>
  <si>
    <t xml:space="preserve">شارع بوخاتمي أحمد </t>
  </si>
  <si>
    <t xml:space="preserve">نهج الاخوة بلفكرون </t>
  </si>
  <si>
    <t xml:space="preserve">34-شارع لبقع عبد القادر </t>
  </si>
  <si>
    <t xml:space="preserve">حي 122 مسكن مصطفى بن ابراهيم </t>
  </si>
  <si>
    <t xml:space="preserve">رقم 14 شارع تواب محمد  </t>
  </si>
  <si>
    <t xml:space="preserve">شارع الشهيد بوطيبة محمد-مصطفى بن ابراهيم- </t>
  </si>
  <si>
    <t xml:space="preserve">شارع بادي عبد القادر رقم 14 مصطفى بن براهيم </t>
  </si>
  <si>
    <t xml:space="preserve">رقم 17 شارع بن مايسة البشير - مصطفى بن براهيم </t>
  </si>
  <si>
    <t xml:space="preserve">مصري بن عبد الله </t>
  </si>
  <si>
    <t xml:space="preserve">حي السوناكوم مصطفى بن براهيم </t>
  </si>
  <si>
    <t xml:space="preserve">رقم 39 حي 40 مسكن مصطفى بن براهيم </t>
  </si>
  <si>
    <t xml:space="preserve">رقم 12 عمارة تعاونية الحبوب والخضر الجافة - مصطفى بن براهيم </t>
  </si>
  <si>
    <t xml:space="preserve">28 شارع ظريف بن ديدة  </t>
  </si>
  <si>
    <t xml:space="preserve">مصطفى بن براهيم </t>
  </si>
  <si>
    <t xml:space="preserve">03 شارع بلعمري محمد قمبيطة </t>
  </si>
  <si>
    <t xml:space="preserve">47 حي 56 مسكن بلولادي </t>
  </si>
  <si>
    <t xml:space="preserve">رقم287عمارة8حي 120مسكن </t>
  </si>
  <si>
    <t xml:space="preserve">شارع اول نوفمبر رقم 24 تغاليمت </t>
  </si>
  <si>
    <t xml:space="preserve">04 شارع فرش يوب-مصطفى بن ابراهيم- </t>
  </si>
  <si>
    <t xml:space="preserve">رقم 46 حي بوتيبة يوب  </t>
  </si>
  <si>
    <t xml:space="preserve">شارع الإخوة طالبي </t>
  </si>
  <si>
    <t xml:space="preserve">11 شارع معاشو بوحريز مصطفى بن ابراهيم  </t>
  </si>
  <si>
    <t xml:space="preserve">10،شارع مصري بن عبد الله </t>
  </si>
  <si>
    <t xml:space="preserve">رقم16 شارع جلال عبد القادر مصطفى بن ابراهيم </t>
  </si>
  <si>
    <t xml:space="preserve">37 شارع سي بومدين سفيزف  </t>
  </si>
  <si>
    <t xml:space="preserve">شارع نعيمي منور مصطفى بن ابراهيم </t>
  </si>
  <si>
    <t xml:space="preserve">رقم 08 عمارة العتاد الفلاح مصطفى بن ابراهيم </t>
  </si>
  <si>
    <t xml:space="preserve">حي 32 مسكن عمارة ب 143 مصطفى بن براهيم  </t>
  </si>
  <si>
    <t xml:space="preserve">09 منقور النعيمي -مصطفى بن ابراهيم- </t>
  </si>
  <si>
    <t xml:space="preserve">رقم 06 حي 30 مسكن مصطفى بن براهيم </t>
  </si>
  <si>
    <t xml:space="preserve">حي 50 مسكن جديد عمارة ب رقم 24  </t>
  </si>
  <si>
    <t xml:space="preserve">شارع لبقع عبد القادر  </t>
  </si>
  <si>
    <t xml:space="preserve">رقم 31 حي 62 مسكن مصطفى بن براهيم </t>
  </si>
  <si>
    <t xml:space="preserve">شارع تواب محمد رقم الباب 14 </t>
  </si>
  <si>
    <t xml:space="preserve">03-شارع ثابت بلقاسم  </t>
  </si>
  <si>
    <t xml:space="preserve">رقم 99 شارع بن مايسة البشير - مصطفى بن براهيم </t>
  </si>
  <si>
    <t xml:space="preserve">نهج بولحية لعبان سفيزف </t>
  </si>
  <si>
    <t xml:space="preserve">حي 19 جوان - مصطفى بن براهيم </t>
  </si>
  <si>
    <t xml:space="preserve">حي الوهاج بن سعيد مصطفى بن براهيم </t>
  </si>
  <si>
    <t xml:space="preserve">حي السوريكور سفيزف </t>
  </si>
  <si>
    <t xml:space="preserve">حس 50 مسكن مصطفى بن براهيم </t>
  </si>
  <si>
    <t xml:space="preserve">120 الحي العسكري عمارة رقم 18 رقم الباب 4782 </t>
  </si>
  <si>
    <t xml:space="preserve">شارع غاندي -  سفيزف </t>
  </si>
  <si>
    <t xml:space="preserve">رقم 32 حي 19 جوان مصطفى بن براهيم </t>
  </si>
  <si>
    <t xml:space="preserve">رقم 17 حي 50 مسكن مصطفى بن براهيم </t>
  </si>
  <si>
    <t xml:space="preserve">رقم 155 حي 19 جوان مصطفى بن ابراهيم </t>
  </si>
  <si>
    <t xml:space="preserve">20 شارع الشهيد بوطالب الجيلالي -مصطفى بن ابراهيم- </t>
  </si>
  <si>
    <t xml:space="preserve">رقم 78 حي 19 جوان - مصطفى بن براهيم </t>
  </si>
  <si>
    <t xml:space="preserve">27 شارع ثابت بلقاسم  </t>
  </si>
  <si>
    <t xml:space="preserve">حي600مسكن رقم 531 </t>
  </si>
  <si>
    <t xml:space="preserve">رقم 71 شارع بن مايسة البشير مصطفى بن براهيم </t>
  </si>
  <si>
    <t xml:space="preserve">حي الصوناكوم - مصطفى بن براهيم </t>
  </si>
  <si>
    <t xml:space="preserve">رقم 24 حي بزوجي محمد مصطفى بن ابراهيم </t>
  </si>
  <si>
    <t xml:space="preserve">ثانوية تالوتي عبد المالك *مصطفى بن براهيم*                    </t>
  </si>
  <si>
    <t xml:space="preserve"> حرر بمصطفى بن براهيم في: </t>
  </si>
  <si>
    <t xml:space="preserve">ثانوية بتالوتي عبد المالك *مصطفى بن براهيم*                   </t>
  </si>
  <si>
    <t xml:space="preserve"> 3ت ر كه </t>
  </si>
  <si>
    <t xml:space="preserve"> 3ت ر مك </t>
  </si>
  <si>
    <t xml:space="preserve"> 3ت ر طرا </t>
  </si>
  <si>
    <t>2ت ر كه</t>
  </si>
  <si>
    <t>2ت ر طرا</t>
  </si>
  <si>
    <t>2ت ر مك</t>
  </si>
  <si>
    <t>1ج م أ1</t>
  </si>
  <si>
    <t>1ج م أ2</t>
  </si>
  <si>
    <t>ثانوية تالوتي عبد المالك *مصطفى بن براهيم*</t>
  </si>
  <si>
    <t>السنة الدراسية : 2025/2026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</si>
</sst>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[$-1010000]yyyy/mm/dd;@"/>
    <numFmt numFmtId="165" formatCode="h:mm;@"/>
    <numFmt numFmtId="166" formatCode="yyyy"/>
    <numFmt numFmtId="167" formatCode="m\-dd"/>
    <numFmt numFmtId="168" formatCode="[$-1010000]d/m/yyyy;@"/>
  </numFmts>
  <fonts count="110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Arial"/>
      <family val="2"/>
    </font>
    <font>
      <sz val="10"/>
      <name val="Arial"/>
      <family val="2"/>
    </font>
    <font>
      <b/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00B050"/>
      <name val="Arial"/>
      <family val="2"/>
    </font>
    <font>
      <b/>
      <sz val="14"/>
      <name val="Arial"/>
      <family val="2"/>
    </font>
    <font>
      <b/>
      <sz val="12"/>
      <color indexed="10"/>
      <name val="Arial"/>
      <family val="2"/>
    </font>
    <font>
      <b/>
      <sz val="11"/>
      <color theme="1"/>
      <name val="Arial"/>
      <family val="2"/>
    </font>
    <font>
      <b/>
      <sz val="11"/>
      <color indexed="14"/>
      <name val="Arial"/>
      <family val="2"/>
    </font>
    <font>
      <b/>
      <sz val="11"/>
      <color indexed="12"/>
      <name val="Arial"/>
      <family val="2"/>
    </font>
    <font>
      <b/>
      <sz val="14"/>
      <color theme="1"/>
      <name val="Arabic Transparent"/>
      <charset val="178"/>
    </font>
    <font>
      <sz val="14"/>
      <color theme="1"/>
      <name val="Arabic Transparent"/>
      <charset val="178"/>
    </font>
    <font>
      <b/>
      <sz val="13"/>
      <color theme="1"/>
      <name val="Arabic Transparent"/>
      <charset val="178"/>
    </font>
    <font>
      <sz val="16"/>
      <color theme="1"/>
      <name val="Arabic Transparent"/>
      <charset val="178"/>
    </font>
    <font>
      <b/>
      <sz val="18"/>
      <color theme="1"/>
      <name val="Arabic Transparent"/>
      <charset val="178"/>
    </font>
    <font>
      <b/>
      <sz val="16"/>
      <color theme="1"/>
      <name val="Arabic Transparent"/>
      <charset val="178"/>
    </font>
    <font>
      <b/>
      <sz val="26"/>
      <color theme="1"/>
      <name val="Arabic Transparent"/>
      <charset val="178"/>
    </font>
    <font>
      <b/>
      <i/>
      <sz val="16"/>
      <color theme="1"/>
      <name val="Arabic Transparent"/>
      <charset val="178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name val="Arial"/>
      <family val="2"/>
    </font>
    <font>
      <b/>
      <sz val="18"/>
      <name val="Arial"/>
      <family val="2"/>
    </font>
    <font>
      <b/>
      <sz val="10"/>
      <name val="Arabic Transparent"/>
      <charset val="178"/>
    </font>
    <font>
      <b/>
      <sz val="14"/>
      <color indexed="10"/>
      <name val="Arial"/>
      <family val="2"/>
    </font>
    <font>
      <b/>
      <sz val="9"/>
      <name val="Arabic Transparent"/>
      <charset val="178"/>
    </font>
    <font>
      <b/>
      <sz val="11"/>
      <name val="Arabic Transparent"/>
      <charset val="178"/>
    </font>
    <font>
      <sz val="11"/>
      <color rgb="FFFF0000"/>
      <name val="Calibri"/>
      <family val="2"/>
      <charset val="178"/>
      <scheme val="minor"/>
    </font>
    <font>
      <b/>
      <sz val="16"/>
      <name val="Arial"/>
      <family val="2"/>
    </font>
    <font>
      <b/>
      <sz val="14"/>
      <name val="Arabic Transparent"/>
      <charset val="178"/>
    </font>
    <font>
      <b/>
      <sz val="14"/>
      <color rgb="FFFF0000"/>
      <name val="Arial"/>
      <family val="2"/>
    </font>
    <font>
      <b/>
      <sz val="12"/>
      <color rgb="FFFF0000"/>
      <name val="Arial"/>
      <family val="2"/>
    </font>
    <font>
      <sz val="14"/>
      <name val="Arial"/>
      <family val="2"/>
    </font>
    <font>
      <b/>
      <sz val="12"/>
      <color rgb="FFFF0000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4" tint="-0.249977111117893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u/>
      <sz val="11"/>
      <color theme="10"/>
      <name val="Calibri"/>
      <family val="2"/>
    </font>
    <font>
      <b/>
      <sz val="12"/>
      <color theme="1"/>
      <name val="Arial"/>
      <family val="2"/>
    </font>
    <font>
      <b/>
      <sz val="1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u/>
      <sz val="14"/>
      <color theme="10"/>
      <name val="Calibri"/>
      <family val="2"/>
    </font>
    <font>
      <sz val="16"/>
      <name val="Arial"/>
      <family val="2"/>
    </font>
    <font>
      <b/>
      <sz val="16"/>
      <color theme="1"/>
      <name val="Times New Roman"/>
      <family val="1"/>
    </font>
    <font>
      <b/>
      <sz val="14"/>
      <color theme="1"/>
      <name val="Times New Roman"/>
      <family val="1"/>
    </font>
    <font>
      <b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b/>
      <sz val="18"/>
      <name val="Arabic Transparent"/>
      <charset val="178"/>
    </font>
    <font>
      <b/>
      <sz val="10"/>
      <name val="Arial"/>
      <family val="2"/>
    </font>
    <font>
      <sz val="10"/>
      <color rgb="FFFF0000"/>
      <name val="Arial"/>
      <family val="2"/>
    </font>
    <font>
      <b/>
      <u/>
      <sz val="22"/>
      <color theme="1"/>
      <name val="Times New Roman"/>
      <family val="1"/>
    </font>
    <font>
      <b/>
      <sz val="10"/>
      <color rgb="FFFF0000"/>
      <name val="Arial"/>
      <family val="2"/>
    </font>
    <font>
      <b/>
      <sz val="12"/>
      <name val="Arabic Transparent"/>
      <charset val="178"/>
    </font>
    <font>
      <b/>
      <sz val="10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6"/>
      <name val="Times New Roman"/>
      <family val="1"/>
    </font>
    <font>
      <b/>
      <sz val="16"/>
      <color theme="0"/>
      <name val="Times New Roman"/>
      <family val="1"/>
    </font>
    <font>
      <sz val="12"/>
      <name val="Calibri"/>
      <family val="2"/>
      <scheme val="minor"/>
    </font>
    <font>
      <sz val="13"/>
      <color theme="1"/>
      <name val="Calibri"/>
      <family val="2"/>
      <scheme val="minor"/>
    </font>
    <font>
      <sz val="13"/>
      <name val="Calibri"/>
      <family val="2"/>
      <scheme val="minor"/>
    </font>
    <font>
      <u/>
      <sz val="14"/>
      <color theme="10"/>
      <name val="Calibri"/>
      <family val="2"/>
    </font>
    <font>
      <b/>
      <sz val="12"/>
      <name val="Times New Roman"/>
      <family val="1"/>
    </font>
    <font>
      <b/>
      <sz val="12"/>
      <color theme="0"/>
      <name val="Arial"/>
      <family val="2"/>
    </font>
    <font>
      <b/>
      <sz val="20"/>
      <color theme="1"/>
      <name val="Arabic Transparent"/>
      <charset val="178"/>
    </font>
    <font>
      <b/>
      <sz val="16"/>
      <name val="Arabic Transparent"/>
      <charset val="178"/>
    </font>
    <font>
      <b/>
      <sz val="14"/>
      <color theme="0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theme="1"/>
      <name val="Times New Roman"/>
      <family val="1"/>
    </font>
    <font>
      <u/>
      <sz val="10"/>
      <color indexed="12"/>
      <name val="Arial"/>
      <family val="2"/>
    </font>
    <font>
      <sz val="12"/>
      <name val="Arial"/>
      <family val="2"/>
    </font>
    <font>
      <b/>
      <sz val="11"/>
      <name val="Times New Roman"/>
      <family val="1"/>
    </font>
    <font>
      <b/>
      <sz val="13"/>
      <name val="Calibri"/>
      <family val="2"/>
      <scheme val="minor"/>
    </font>
    <font>
      <b/>
      <sz val="11"/>
      <color indexed="10"/>
      <name val="Arial"/>
      <family val="2"/>
    </font>
    <font>
      <sz val="11"/>
      <color rgb="FFFF0000"/>
      <name val="Arial"/>
      <family val="2"/>
    </font>
    <font>
      <b/>
      <sz val="13"/>
      <name val="Arial"/>
      <family val="2"/>
    </font>
    <font>
      <b/>
      <sz val="11"/>
      <color theme="0"/>
      <name val="Calibri"/>
      <family val="2"/>
      <scheme val="minor"/>
    </font>
    <font>
      <b/>
      <sz val="28"/>
      <color rgb="FF000000"/>
      <name val="Arial"/>
      <family val="2"/>
    </font>
    <font>
      <b/>
      <sz val="20"/>
      <color theme="1"/>
      <name val="Arial"/>
      <family val="2"/>
    </font>
    <font>
      <b/>
      <sz val="13"/>
      <name val="Times New Roman"/>
      <family val="1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3"/>
      <color theme="0"/>
      <name val="Calibri"/>
      <family val="2"/>
      <scheme val="minor"/>
    </font>
    <font>
      <sz val="11"/>
      <name val="Arial"/>
      <family val="2"/>
    </font>
    <font>
      <b/>
      <sz val="14"/>
      <color theme="0"/>
      <name val="Times New Roman"/>
      <family val="1"/>
    </font>
    <font>
      <b/>
      <sz val="10"/>
      <color theme="0"/>
      <name val="Calibri"/>
      <family val="2"/>
      <scheme val="minor"/>
    </font>
    <font>
      <b/>
      <sz val="9"/>
      <name val="Calibri"/>
      <family val="2"/>
      <scheme val="minor"/>
    </font>
    <font>
      <b/>
      <sz val="14"/>
      <name val="Times New Roman"/>
      <family val="1"/>
    </font>
    <font>
      <b/>
      <sz val="11"/>
      <color theme="1"/>
      <name val="Times New Roman"/>
      <family val="1"/>
    </font>
    <font>
      <b/>
      <sz val="10"/>
      <color rgb="FF00B050"/>
      <name val="Arial"/>
      <family val="2"/>
    </font>
    <font>
      <b/>
      <sz val="10"/>
      <color indexed="14"/>
      <name val="Arial"/>
      <family val="2"/>
    </font>
    <font>
      <b/>
      <sz val="12"/>
      <color rgb="FF000000"/>
      <name val="Arial"/>
      <family val="2"/>
    </font>
    <font>
      <b/>
      <sz val="11"/>
      <color rgb="FF000000"/>
      <name val="Arial"/>
      <family val="2"/>
    </font>
    <font>
      <b/>
      <sz val="10"/>
      <color rgb="FF000000"/>
      <name val="DejaVu Serif"/>
    </font>
    <font>
      <b/>
      <sz val="14"/>
      <color theme="1"/>
      <name val="Arial"/>
      <family val="2"/>
    </font>
    <font>
      <b/>
      <sz val="14"/>
      <color rgb="FF00B050"/>
      <name val="Arial"/>
      <family val="2"/>
    </font>
    <font>
      <b/>
      <sz val="14"/>
      <color indexed="14"/>
      <name val="Arial"/>
      <family val="2"/>
    </font>
    <font>
      <sz val="14"/>
      <color indexed="14"/>
      <name val="Arial"/>
      <family val="2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1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double">
        <color auto="1"/>
      </left>
      <right style="medium">
        <color auto="1"/>
      </right>
      <top style="double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 style="medium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 style="double">
        <color auto="1"/>
      </bottom>
      <diagonal/>
    </border>
    <border>
      <left style="medium">
        <color auto="1"/>
      </left>
      <right/>
      <top style="medium">
        <color auto="1"/>
      </top>
      <bottom style="double">
        <color auto="1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medium">
        <color auto="1"/>
      </bottom>
      <diagonal/>
    </border>
    <border>
      <left style="double">
        <color auto="1"/>
      </left>
      <right/>
      <top style="medium">
        <color auto="1"/>
      </top>
      <bottom style="medium">
        <color indexed="64"/>
      </bottom>
      <diagonal/>
    </border>
    <border>
      <left style="double">
        <color auto="1"/>
      </left>
      <right/>
      <top style="medium">
        <color auto="1"/>
      </top>
      <bottom style="double">
        <color auto="1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theme="3" tint="0.39994506668294322"/>
      </left>
      <right/>
      <top style="thick">
        <color theme="3" tint="0.39994506668294322"/>
      </top>
      <bottom/>
      <diagonal/>
    </border>
    <border>
      <left/>
      <right/>
      <top style="thick">
        <color theme="3" tint="0.39994506668294322"/>
      </top>
      <bottom/>
      <diagonal/>
    </border>
    <border>
      <left/>
      <right style="thick">
        <color theme="3" tint="0.39994506668294322"/>
      </right>
      <top style="thick">
        <color theme="3" tint="0.39994506668294322"/>
      </top>
      <bottom/>
      <diagonal/>
    </border>
    <border>
      <left style="thick">
        <color theme="3" tint="0.39994506668294322"/>
      </left>
      <right/>
      <top/>
      <bottom/>
      <diagonal/>
    </border>
    <border>
      <left/>
      <right style="thick">
        <color theme="3" tint="0.39994506668294322"/>
      </right>
      <top/>
      <bottom/>
      <diagonal/>
    </border>
    <border>
      <left style="thick">
        <color theme="3" tint="0.39994506668294322"/>
      </left>
      <right/>
      <top/>
      <bottom style="thick">
        <color theme="3" tint="0.39994506668294322"/>
      </bottom>
      <diagonal/>
    </border>
    <border>
      <left/>
      <right/>
      <top/>
      <bottom style="thick">
        <color theme="3" tint="0.39994506668294322"/>
      </bottom>
      <diagonal/>
    </border>
    <border>
      <left/>
      <right style="thick">
        <color theme="3" tint="0.39994506668294322"/>
      </right>
      <top/>
      <bottom style="thick">
        <color theme="3" tint="0.399945066682943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medium">
        <color auto="1"/>
      </right>
      <top style="thick">
        <color indexed="64"/>
      </top>
      <bottom/>
      <diagonal/>
    </border>
    <border>
      <left style="medium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thick">
        <color indexed="64"/>
      </top>
      <bottom style="medium">
        <color indexed="64"/>
      </bottom>
      <diagonal/>
    </border>
    <border>
      <left/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auto="1"/>
      </right>
      <top/>
      <bottom style="thin">
        <color indexed="64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/>
      <top style="medium">
        <color auto="1"/>
      </top>
      <bottom style="thin">
        <color indexed="64"/>
      </bottom>
      <diagonal/>
    </border>
    <border>
      <left/>
      <right style="medium">
        <color auto="1"/>
      </right>
      <top style="medium">
        <color auto="1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51">
    <xf numFmtId="0" fontId="0" fillId="0" borderId="0"/>
    <xf numFmtId="0" fontId="5" fillId="0" borderId="0"/>
    <xf numFmtId="0" fontId="5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46" fillId="0" borderId="0" applyNumberFormat="0" applyFill="0" applyBorder="0" applyAlignment="0" applyProtection="0">
      <alignment vertical="top"/>
      <protection locked="0"/>
    </xf>
    <xf numFmtId="0" fontId="5" fillId="0" borderId="0"/>
    <xf numFmtId="44" fontId="3" fillId="0" borderId="0" applyFont="0" applyFill="0" applyBorder="0" applyAlignment="0" applyProtection="0"/>
    <xf numFmtId="0" fontId="109" fillId="0" borderId="0"/>
    <xf numFmtId="43" fontId="10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</cellStyleXfs>
  <cellXfs count="1639">
    <xf numFmtId="0" fontId="0" fillId="0" borderId="0" xfId="0"/>
    <xf numFmtId="0" fontId="0" fillId="0" borderId="0" xfId="0" applyBorder="1"/>
    <xf numFmtId="0" fontId="0" fillId="0" borderId="0" xfId="0" applyAlignment="1">
      <alignment horizontal="center" vertical="center"/>
    </xf>
    <xf numFmtId="0" fontId="14" fillId="0" borderId="0" xfId="0" applyFont="1" applyBorder="1" applyAlignment="1">
      <alignment horizontal="right"/>
    </xf>
    <xf numFmtId="0" fontId="15" fillId="0" borderId="0" xfId="0" applyFont="1" applyBorder="1"/>
    <xf numFmtId="0" fontId="19" fillId="0" borderId="0" xfId="0" applyFont="1" applyBorder="1" applyAlignment="1">
      <alignment horizontal="right"/>
    </xf>
    <xf numFmtId="0" fontId="1" fillId="0" borderId="0" xfId="0" applyFont="1"/>
    <xf numFmtId="0" fontId="1" fillId="0" borderId="0" xfId="0" applyFont="1" applyAlignment="1" applyProtection="1">
      <alignment horizontal="left"/>
      <protection locked="0"/>
    </xf>
    <xf numFmtId="0" fontId="1" fillId="0" borderId="0" xfId="0" applyFont="1" applyProtection="1">
      <protection locked="0"/>
    </xf>
    <xf numFmtId="0" fontId="1" fillId="0" borderId="0" xfId="0" applyFont="1" applyAlignment="1" applyProtection="1">
      <protection locked="0"/>
    </xf>
    <xf numFmtId="0" fontId="23" fillId="0" borderId="0" xfId="0" applyFont="1" applyAlignment="1" applyProtection="1">
      <alignment vertical="top"/>
      <protection locked="0"/>
    </xf>
    <xf numFmtId="0" fontId="23" fillId="0" borderId="0" xfId="0" applyFont="1" applyProtection="1">
      <protection locked="0"/>
    </xf>
    <xf numFmtId="0" fontId="23" fillId="0" borderId="0" xfId="0" applyFont="1"/>
    <xf numFmtId="0" fontId="25" fillId="0" borderId="0" xfId="0" applyFont="1"/>
    <xf numFmtId="0" fontId="22" fillId="0" borderId="0" xfId="0" applyFont="1"/>
    <xf numFmtId="0" fontId="23" fillId="0" borderId="0" xfId="0" applyFont="1" applyAlignment="1">
      <alignment horizontal="right"/>
    </xf>
    <xf numFmtId="1" fontId="1" fillId="0" borderId="9" xfId="0" applyNumberFormat="1" applyFont="1" applyBorder="1" applyAlignment="1">
      <alignment horizontal="center" vertical="center"/>
    </xf>
    <xf numFmtId="1" fontId="1" fillId="0" borderId="4" xfId="0" applyNumberFormat="1" applyFont="1" applyBorder="1" applyAlignment="1">
      <alignment horizontal="center" vertical="center"/>
    </xf>
    <xf numFmtId="0" fontId="1" fillId="0" borderId="1" xfId="0" applyFont="1" applyBorder="1"/>
    <xf numFmtId="1" fontId="28" fillId="0" borderId="1" xfId="0" applyNumberFormat="1" applyFont="1" applyBorder="1" applyAlignment="1">
      <alignment horizontal="left" vertical="center"/>
    </xf>
    <xf numFmtId="0" fontId="2" fillId="0" borderId="0" xfId="0" applyFont="1" applyFill="1" applyProtection="1">
      <protection locked="0"/>
    </xf>
    <xf numFmtId="0" fontId="1" fillId="0" borderId="0" xfId="0" applyFont="1" applyFill="1" applyProtection="1">
      <protection locked="0"/>
    </xf>
    <xf numFmtId="0" fontId="0" fillId="0" borderId="0" xfId="0" applyFill="1"/>
    <xf numFmtId="0" fontId="0" fillId="0" borderId="0" xfId="0" applyFill="1" applyBorder="1"/>
    <xf numFmtId="0" fontId="23" fillId="0" borderId="2" xfId="0" applyFont="1" applyBorder="1" applyAlignment="1" applyProtection="1">
      <alignment horizontal="center"/>
      <protection locked="0"/>
    </xf>
    <xf numFmtId="0" fontId="26" fillId="0" borderId="0" xfId="0" applyFont="1"/>
    <xf numFmtId="0" fontId="23" fillId="0" borderId="0" xfId="0" applyFont="1" applyBorder="1" applyAlignment="1" applyProtection="1">
      <alignment horizontal="center"/>
      <protection locked="0"/>
    </xf>
    <xf numFmtId="0" fontId="25" fillId="0" borderId="0" xfId="0" applyFont="1" applyProtection="1">
      <protection locked="0"/>
    </xf>
    <xf numFmtId="0" fontId="0" fillId="0" borderId="0" xfId="0" applyAlignment="1">
      <alignment horizontal="right"/>
    </xf>
    <xf numFmtId="0" fontId="23" fillId="4" borderId="0" xfId="0" applyFont="1" applyFill="1" applyBorder="1" applyProtection="1">
      <protection locked="0"/>
    </xf>
    <xf numFmtId="0" fontId="9" fillId="0" borderId="0" xfId="0" applyFont="1" applyAlignment="1" applyProtection="1">
      <alignment horizontal="right" vertical="center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0" fontId="29" fillId="0" borderId="0" xfId="0" applyFont="1" applyAlignment="1">
      <alignment horizontal="center" vertical="center"/>
    </xf>
    <xf numFmtId="0" fontId="29" fillId="0" borderId="0" xfId="0" applyFont="1" applyAlignment="1">
      <alignment vertical="center"/>
    </xf>
    <xf numFmtId="0" fontId="29" fillId="15" borderId="47" xfId="0" applyFont="1" applyFill="1" applyBorder="1" applyAlignment="1" applyProtection="1">
      <alignment horizontal="center" vertical="center"/>
      <protection hidden="1"/>
    </xf>
    <xf numFmtId="0" fontId="29" fillId="15" borderId="48" xfId="0" applyFont="1" applyFill="1" applyBorder="1" applyAlignment="1" applyProtection="1">
      <alignment horizontal="center" vertical="center"/>
      <protection hidden="1"/>
    </xf>
    <xf numFmtId="0" fontId="29" fillId="15" borderId="49" xfId="0" applyFont="1" applyFill="1" applyBorder="1" applyAlignment="1" applyProtection="1">
      <alignment horizontal="center" vertical="center"/>
      <protection hidden="1"/>
    </xf>
    <xf numFmtId="0" fontId="29" fillId="0" borderId="1" xfId="0" applyFont="1" applyBorder="1" applyAlignment="1" applyProtection="1">
      <alignment horizontal="center" vertical="center"/>
      <protection hidden="1"/>
    </xf>
    <xf numFmtId="0" fontId="31" fillId="0" borderId="1" xfId="0" applyFont="1" applyBorder="1" applyAlignment="1" applyProtection="1">
      <alignment horizontal="right" vertical="center"/>
      <protection hidden="1"/>
    </xf>
    <xf numFmtId="0" fontId="29" fillId="0" borderId="1" xfId="0" applyFont="1" applyBorder="1" applyAlignment="1" applyProtection="1">
      <alignment horizontal="right" vertical="center"/>
      <protection hidden="1"/>
    </xf>
    <xf numFmtId="0" fontId="4" fillId="0" borderId="1" xfId="0" applyFont="1" applyBorder="1" applyAlignment="1" applyProtection="1">
      <alignment horizontal="center" vertical="center"/>
      <protection hidden="1"/>
    </xf>
    <xf numFmtId="0" fontId="29" fillId="15" borderId="45" xfId="0" applyFont="1" applyFill="1" applyBorder="1" applyAlignment="1" applyProtection="1">
      <alignment horizontal="center" vertical="center"/>
      <protection hidden="1"/>
    </xf>
    <xf numFmtId="165" fontId="4" fillId="0" borderId="1" xfId="0" applyNumberFormat="1" applyFont="1" applyBorder="1" applyAlignment="1" applyProtection="1">
      <alignment horizontal="center" vertical="center"/>
      <protection locked="0"/>
    </xf>
    <xf numFmtId="0" fontId="32" fillId="0" borderId="0" xfId="0" applyFont="1" applyAlignment="1" applyProtection="1">
      <alignment horizontal="center" vertical="center"/>
      <protection hidden="1"/>
    </xf>
    <xf numFmtId="0" fontId="29" fillId="0" borderId="0" xfId="0" applyFont="1" applyAlignment="1" applyProtection="1">
      <alignment vertical="center"/>
      <protection hidden="1"/>
    </xf>
    <xf numFmtId="0" fontId="33" fillId="0" borderId="1" xfId="0" applyFont="1" applyBorder="1" applyAlignment="1" applyProtection="1">
      <alignment horizontal="right" vertical="center"/>
      <protection hidden="1"/>
    </xf>
    <xf numFmtId="0" fontId="34" fillId="0" borderId="1" xfId="0" applyFont="1" applyBorder="1" applyAlignment="1" applyProtection="1">
      <alignment horizontal="right" vertical="center"/>
      <protection hidden="1"/>
    </xf>
    <xf numFmtId="0" fontId="30" fillId="16" borderId="7" xfId="0" applyFont="1" applyFill="1" applyBorder="1" applyAlignment="1" applyProtection="1">
      <alignment horizontal="center" vertical="center"/>
      <protection hidden="1"/>
    </xf>
    <xf numFmtId="0" fontId="30" fillId="16" borderId="9" xfId="0" applyFont="1" applyFill="1" applyBorder="1" applyAlignment="1" applyProtection="1">
      <alignment horizontal="center" vertical="center"/>
      <protection hidden="1"/>
    </xf>
    <xf numFmtId="0" fontId="29" fillId="15" borderId="38" xfId="0" applyFont="1" applyFill="1" applyBorder="1" applyAlignment="1" applyProtection="1">
      <alignment horizontal="center" vertical="center"/>
      <protection hidden="1"/>
    </xf>
    <xf numFmtId="0" fontId="29" fillId="15" borderId="39" xfId="0" applyFont="1" applyFill="1" applyBorder="1" applyAlignment="1" applyProtection="1">
      <alignment horizontal="center" vertical="center"/>
      <protection hidden="1"/>
    </xf>
    <xf numFmtId="0" fontId="29" fillId="15" borderId="40" xfId="0" applyFont="1" applyFill="1" applyBorder="1" applyAlignment="1" applyProtection="1">
      <alignment horizontal="center" vertical="center"/>
      <protection hidden="1"/>
    </xf>
    <xf numFmtId="0" fontId="29" fillId="15" borderId="41" xfId="0" applyFont="1" applyFill="1" applyBorder="1" applyAlignment="1" applyProtection="1">
      <alignment horizontal="center" vertical="center"/>
      <protection hidden="1"/>
    </xf>
    <xf numFmtId="49" fontId="29" fillId="13" borderId="38" xfId="0" applyNumberFormat="1" applyFont="1" applyFill="1" applyBorder="1" applyAlignment="1" applyProtection="1">
      <alignment horizontal="center" vertical="center"/>
      <protection hidden="1"/>
    </xf>
    <xf numFmtId="49" fontId="29" fillId="13" borderId="39" xfId="0" applyNumberFormat="1" applyFont="1" applyFill="1" applyBorder="1" applyAlignment="1" applyProtection="1">
      <alignment horizontal="center" vertical="center"/>
      <protection hidden="1"/>
    </xf>
    <xf numFmtId="49" fontId="29" fillId="13" borderId="42" xfId="0" applyNumberFormat="1" applyFont="1" applyFill="1" applyBorder="1" applyAlignment="1" applyProtection="1">
      <alignment horizontal="center" vertical="center"/>
      <protection hidden="1"/>
    </xf>
    <xf numFmtId="49" fontId="29" fillId="13" borderId="32" xfId="0" applyNumberFormat="1" applyFont="1" applyFill="1" applyBorder="1" applyAlignment="1" applyProtection="1">
      <alignment horizontal="center" vertical="center"/>
      <protection hidden="1"/>
    </xf>
    <xf numFmtId="49" fontId="29" fillId="13" borderId="45" xfId="0" applyNumberFormat="1" applyFont="1" applyFill="1" applyBorder="1" applyAlignment="1" applyProtection="1">
      <alignment horizontal="center" vertical="center"/>
      <protection hidden="1"/>
    </xf>
    <xf numFmtId="49" fontId="29" fillId="13" borderId="46" xfId="0" applyNumberFormat="1" applyFont="1" applyFill="1" applyBorder="1" applyAlignment="1" applyProtection="1">
      <alignment horizontal="center" vertical="center"/>
      <protection hidden="1"/>
    </xf>
    <xf numFmtId="0" fontId="29" fillId="0" borderId="36" xfId="0" applyFont="1" applyBorder="1" applyAlignment="1" applyProtection="1">
      <alignment horizontal="center" vertical="center"/>
      <protection hidden="1"/>
    </xf>
    <xf numFmtId="0" fontId="29" fillId="0" borderId="37" xfId="0" applyFont="1" applyBorder="1" applyAlignment="1" applyProtection="1">
      <alignment horizontal="center" vertical="center"/>
      <protection hidden="1"/>
    </xf>
    <xf numFmtId="0" fontId="29" fillId="0" borderId="50" xfId="0" applyFont="1" applyBorder="1" applyAlignment="1" applyProtection="1">
      <alignment horizontal="center" vertical="center"/>
      <protection hidden="1"/>
    </xf>
    <xf numFmtId="0" fontId="29" fillId="0" borderId="51" xfId="0" applyFont="1" applyBorder="1" applyAlignment="1" applyProtection="1">
      <alignment horizontal="center" vertical="center"/>
      <protection hidden="1"/>
    </xf>
    <xf numFmtId="0" fontId="29" fillId="0" borderId="52" xfId="0" applyFont="1" applyBorder="1" applyAlignment="1" applyProtection="1">
      <alignment horizontal="center" vertical="center"/>
      <protection hidden="1"/>
    </xf>
    <xf numFmtId="0" fontId="29" fillId="0" borderId="53" xfId="0" applyFont="1" applyBorder="1" applyAlignment="1" applyProtection="1">
      <alignment horizontal="center" vertical="center"/>
      <protection hidden="1"/>
    </xf>
    <xf numFmtId="0" fontId="29" fillId="0" borderId="54" xfId="0" applyFont="1" applyBorder="1" applyAlignment="1" applyProtection="1">
      <alignment horizontal="center" vertical="center"/>
      <protection hidden="1"/>
    </xf>
    <xf numFmtId="0" fontId="29" fillId="0" borderId="55" xfId="0" applyFont="1" applyBorder="1" applyAlignment="1" applyProtection="1">
      <alignment horizontal="center" vertical="center"/>
      <protection hidden="1"/>
    </xf>
    <xf numFmtId="14" fontId="9" fillId="0" borderId="0" xfId="0" applyNumberFormat="1" applyFont="1" applyAlignment="1" applyProtection="1">
      <alignment horizontal="center" vertical="center"/>
      <protection hidden="1"/>
    </xf>
    <xf numFmtId="0" fontId="29" fillId="0" borderId="56" xfId="0" applyFont="1" applyBorder="1" applyAlignment="1" applyProtection="1">
      <alignment horizontal="center" vertical="center"/>
      <protection hidden="1"/>
    </xf>
    <xf numFmtId="0" fontId="29" fillId="0" borderId="57" xfId="0" applyFont="1" applyBorder="1" applyAlignment="1" applyProtection="1">
      <alignment horizontal="center" vertical="center"/>
      <protection hidden="1"/>
    </xf>
    <xf numFmtId="0" fontId="29" fillId="0" borderId="58" xfId="0" applyFont="1" applyBorder="1" applyAlignment="1" applyProtection="1">
      <alignment horizontal="center" vertical="center"/>
      <protection hidden="1"/>
    </xf>
    <xf numFmtId="0" fontId="30" fillId="13" borderId="7" xfId="0" applyFont="1" applyFill="1" applyBorder="1" applyAlignment="1" applyProtection="1">
      <alignment horizontal="center" vertical="center"/>
      <protection hidden="1"/>
    </xf>
    <xf numFmtId="0" fontId="30" fillId="13" borderId="8" xfId="0" applyFont="1" applyFill="1" applyBorder="1" applyAlignment="1" applyProtection="1">
      <alignment horizontal="center" vertical="center"/>
      <protection hidden="1"/>
    </xf>
    <xf numFmtId="0" fontId="30" fillId="13" borderId="9" xfId="0" applyFont="1" applyFill="1" applyBorder="1" applyAlignment="1" applyProtection="1">
      <alignment horizontal="center" vertical="center"/>
      <protection hidden="1"/>
    </xf>
    <xf numFmtId="49" fontId="29" fillId="13" borderId="43" xfId="0" applyNumberFormat="1" applyFont="1" applyFill="1" applyBorder="1" applyAlignment="1" applyProtection="1">
      <alignment horizontal="center" vertical="center"/>
      <protection hidden="1"/>
    </xf>
    <xf numFmtId="49" fontId="29" fillId="13" borderId="44" xfId="0" applyNumberFormat="1" applyFont="1" applyFill="1" applyBorder="1" applyAlignment="1" applyProtection="1">
      <alignment horizontal="center" vertical="center"/>
      <protection hidden="1"/>
    </xf>
    <xf numFmtId="0" fontId="35" fillId="0" borderId="0" xfId="0" applyFont="1"/>
    <xf numFmtId="0" fontId="35" fillId="0" borderId="0" xfId="0" applyFont="1" applyAlignment="1">
      <alignment horizontal="center"/>
    </xf>
    <xf numFmtId="0" fontId="1" fillId="0" borderId="0" xfId="0" applyFont="1" applyAlignment="1">
      <alignment horizontal="center" vertical="center" textRotation="90"/>
    </xf>
    <xf numFmtId="0" fontId="4" fillId="0" borderId="0" xfId="0" applyFont="1"/>
    <xf numFmtId="0" fontId="1" fillId="0" borderId="26" xfId="0" applyFont="1" applyBorder="1" applyAlignment="1">
      <alignment horizontal="center" vertical="center" textRotation="90"/>
    </xf>
    <xf numFmtId="0" fontId="9" fillId="0" borderId="27" xfId="0" applyFont="1" applyBorder="1"/>
    <xf numFmtId="0" fontId="9" fillId="0" borderId="27" xfId="0" applyFont="1" applyBorder="1" applyAlignment="1">
      <alignment vertical="center"/>
    </xf>
    <xf numFmtId="0" fontId="29" fillId="14" borderId="1" xfId="0" applyFont="1" applyFill="1" applyBorder="1" applyAlignment="1">
      <alignment horizontal="center" vertical="center"/>
    </xf>
    <xf numFmtId="0" fontId="23" fillId="14" borderId="1" xfId="0" applyFont="1" applyFill="1" applyBorder="1" applyAlignment="1">
      <alignment horizontal="center"/>
    </xf>
    <xf numFmtId="0" fontId="35" fillId="0" borderId="0" xfId="0" applyFont="1" applyAlignment="1">
      <alignment vertical="center"/>
    </xf>
    <xf numFmtId="0" fontId="30" fillId="0" borderId="0" xfId="0" applyFont="1" applyBorder="1" applyAlignment="1" applyProtection="1">
      <alignment horizontal="center" vertical="center"/>
    </xf>
    <xf numFmtId="0" fontId="29" fillId="0" borderId="47" xfId="0" applyFont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29" fillId="0" borderId="59" xfId="0" applyFont="1" applyBorder="1" applyAlignment="1">
      <alignment horizontal="center" vertical="center"/>
    </xf>
    <xf numFmtId="0" fontId="29" fillId="0" borderId="49" xfId="0" applyFont="1" applyBorder="1" applyAlignment="1">
      <alignment horizontal="center" vertical="center"/>
    </xf>
    <xf numFmtId="0" fontId="29" fillId="0" borderId="69" xfId="0" applyFont="1" applyBorder="1" applyAlignment="1">
      <alignment horizontal="center" vertical="center"/>
    </xf>
    <xf numFmtId="0" fontId="29" fillId="0" borderId="45" xfId="0" applyFont="1" applyBorder="1" applyAlignment="1">
      <alignment horizontal="center" vertical="center"/>
    </xf>
    <xf numFmtId="0" fontId="29" fillId="0" borderId="46" xfId="0" applyFont="1" applyBorder="1" applyAlignment="1">
      <alignment horizontal="center" vertical="center"/>
    </xf>
    <xf numFmtId="0" fontId="29" fillId="0" borderId="72" xfId="0" applyFont="1" applyBorder="1" applyAlignment="1">
      <alignment horizontal="center" vertical="center"/>
    </xf>
    <xf numFmtId="0" fontId="29" fillId="0" borderId="0" xfId="0" applyFont="1"/>
    <xf numFmtId="0" fontId="36" fillId="0" borderId="48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29" fillId="15" borderId="1" xfId="0" applyFont="1" applyFill="1" applyBorder="1" applyAlignment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9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29" fillId="16" borderId="1" xfId="0" applyFont="1" applyFill="1" applyBorder="1" applyAlignment="1">
      <alignment horizontal="center" vertical="center"/>
    </xf>
    <xf numFmtId="0" fontId="29" fillId="17" borderId="1" xfId="0" applyFont="1" applyFill="1" applyBorder="1" applyAlignment="1">
      <alignment horizontal="center" vertical="center"/>
    </xf>
    <xf numFmtId="0" fontId="29" fillId="18" borderId="1" xfId="0" applyFont="1" applyFill="1" applyBorder="1" applyAlignment="1">
      <alignment horizontal="center" vertical="center"/>
    </xf>
    <xf numFmtId="0" fontId="29" fillId="10" borderId="1" xfId="0" applyFont="1" applyFill="1" applyBorder="1" applyAlignment="1">
      <alignment horizontal="center" vertical="center"/>
    </xf>
    <xf numFmtId="0" fontId="29" fillId="19" borderId="1" xfId="0" applyFont="1" applyFill="1" applyBorder="1" applyAlignment="1">
      <alignment horizontal="center" vertical="center"/>
    </xf>
    <xf numFmtId="0" fontId="29" fillId="20" borderId="1" xfId="0" applyFont="1" applyFill="1" applyBorder="1" applyAlignment="1">
      <alignment horizontal="center" vertical="center"/>
    </xf>
    <xf numFmtId="0" fontId="29" fillId="7" borderId="1" xfId="0" applyFont="1" applyFill="1" applyBorder="1" applyAlignment="1">
      <alignment horizontal="center" vertical="center"/>
    </xf>
    <xf numFmtId="0" fontId="29" fillId="12" borderId="1" xfId="0" applyFont="1" applyFill="1" applyBorder="1" applyAlignment="1">
      <alignment horizontal="center" vertical="center"/>
    </xf>
    <xf numFmtId="0" fontId="29" fillId="13" borderId="1" xfId="0" applyFont="1" applyFill="1" applyBorder="1" applyAlignment="1">
      <alignment horizontal="center" vertical="center"/>
    </xf>
    <xf numFmtId="0" fontId="29" fillId="8" borderId="1" xfId="0" applyFont="1" applyFill="1" applyBorder="1" applyAlignment="1">
      <alignment horizontal="center" vertical="center"/>
    </xf>
    <xf numFmtId="0" fontId="29" fillId="9" borderId="1" xfId="0" applyFont="1" applyFill="1" applyBorder="1" applyAlignment="1">
      <alignment horizontal="center" vertical="center"/>
    </xf>
    <xf numFmtId="0" fontId="29" fillId="13" borderId="77" xfId="0" applyFont="1" applyFill="1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9" fillId="0" borderId="0" xfId="0" applyFont="1"/>
    <xf numFmtId="0" fontId="39" fillId="0" borderId="0" xfId="0" applyFont="1" applyAlignment="1">
      <alignment vertical="center"/>
    </xf>
    <xf numFmtId="0" fontId="39" fillId="0" borderId="0" xfId="0" applyFont="1" applyAlignment="1">
      <alignment horizontal="center" vertical="center"/>
    </xf>
    <xf numFmtId="0" fontId="29" fillId="0" borderId="47" xfId="0" applyFont="1" applyBorder="1" applyAlignment="1">
      <alignment horizontal="right" vertical="center"/>
    </xf>
    <xf numFmtId="0" fontId="29" fillId="0" borderId="48" xfId="0" applyFont="1" applyBorder="1" applyAlignment="1">
      <alignment horizontal="right" vertical="center"/>
    </xf>
    <xf numFmtId="0" fontId="29" fillId="0" borderId="59" xfId="0" applyFont="1" applyBorder="1" applyAlignment="1">
      <alignment horizontal="right" vertical="center"/>
    </xf>
    <xf numFmtId="0" fontId="40" fillId="0" borderId="0" xfId="0" applyFont="1" applyProtection="1">
      <protection hidden="1"/>
    </xf>
    <xf numFmtId="0" fontId="0" fillId="0" borderId="0" xfId="0" applyProtection="1">
      <protection hidden="1"/>
    </xf>
    <xf numFmtId="0" fontId="7" fillId="0" borderId="0" xfId="0" applyFont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 applyProtection="1">
      <alignment horizontal="right"/>
      <protection hidden="1"/>
    </xf>
    <xf numFmtId="0" fontId="41" fillId="0" borderId="1" xfId="0" applyFont="1" applyBorder="1" applyAlignment="1" applyProtection="1">
      <alignment horizontal="center" vertical="center"/>
      <protection hidden="1"/>
    </xf>
    <xf numFmtId="0" fontId="4" fillId="21" borderId="1" xfId="0" applyFont="1" applyFill="1" applyBorder="1" applyAlignment="1">
      <alignment horizontal="center"/>
    </xf>
    <xf numFmtId="0" fontId="42" fillId="0" borderId="1" xfId="0" applyFont="1" applyBorder="1" applyAlignment="1" applyProtection="1">
      <alignment horizontal="center" vertical="center"/>
      <protection hidden="1"/>
    </xf>
    <xf numFmtId="0" fontId="4" fillId="21" borderId="1" xfId="0" applyFont="1" applyFill="1" applyBorder="1"/>
    <xf numFmtId="0" fontId="43" fillId="0" borderId="1" xfId="0" applyFont="1" applyBorder="1" applyAlignment="1" applyProtection="1">
      <alignment horizontal="center" vertical="center"/>
      <protection hidden="1"/>
    </xf>
    <xf numFmtId="0" fontId="23" fillId="0" borderId="1" xfId="0" applyFont="1" applyBorder="1" applyAlignment="1" applyProtection="1">
      <alignment horizontal="center" vertical="center"/>
      <protection hidden="1"/>
    </xf>
    <xf numFmtId="0" fontId="44" fillId="0" borderId="1" xfId="0" applyFont="1" applyBorder="1" applyAlignment="1" applyProtection="1">
      <alignment horizontal="center" vertical="center"/>
      <protection hidden="1"/>
    </xf>
    <xf numFmtId="0" fontId="45" fillId="0" borderId="1" xfId="0" applyFont="1" applyBorder="1" applyAlignment="1" applyProtection="1">
      <alignment horizontal="center" vertical="center"/>
      <protection hidden="1"/>
    </xf>
    <xf numFmtId="0" fontId="23" fillId="0" borderId="0" xfId="0" applyFont="1" applyAlignment="1" applyProtection="1">
      <alignment horizontal="center"/>
      <protection hidden="1"/>
    </xf>
    <xf numFmtId="0" fontId="23" fillId="0" borderId="0" xfId="0" applyFont="1" applyAlignment="1" applyProtection="1">
      <alignment horizontal="center" vertical="center"/>
      <protection hidden="1"/>
    </xf>
    <xf numFmtId="0" fontId="41" fillId="0" borderId="89" xfId="0" applyFont="1" applyBorder="1" applyAlignment="1" applyProtection="1">
      <alignment horizontal="center" vertical="center"/>
      <protection hidden="1"/>
    </xf>
    <xf numFmtId="0" fontId="4" fillId="4" borderId="1" xfId="0" applyFont="1" applyFill="1" applyBorder="1" applyAlignment="1">
      <alignment horizontal="center" vertical="center"/>
    </xf>
    <xf numFmtId="0" fontId="4" fillId="4" borderId="1" xfId="1" applyFont="1" applyFill="1" applyBorder="1" applyAlignment="1">
      <alignment horizontal="right" vertical="center"/>
    </xf>
    <xf numFmtId="0" fontId="23" fillId="0" borderId="0" xfId="0" applyFont="1" applyFill="1" applyBorder="1" applyAlignment="1" applyProtection="1">
      <alignment horizontal="center"/>
      <protection locked="0"/>
    </xf>
    <xf numFmtId="0" fontId="23" fillId="0" borderId="18" xfId="0" applyFont="1" applyBorder="1" applyAlignment="1" applyProtection="1">
      <alignment horizontal="center"/>
      <protection locked="0"/>
    </xf>
    <xf numFmtId="0" fontId="4" fillId="4" borderId="1" xfId="1" applyFont="1" applyFill="1" applyBorder="1" applyAlignment="1">
      <alignment horizontal="center" vertical="center"/>
    </xf>
    <xf numFmtId="0" fontId="4" fillId="4" borderId="1" xfId="2" applyFont="1" applyFill="1" applyBorder="1" applyAlignment="1">
      <alignment horizontal="right" vertical="center"/>
    </xf>
    <xf numFmtId="164" fontId="4" fillId="4" borderId="0" xfId="4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2" fontId="23" fillId="0" borderId="0" xfId="0" applyNumberFormat="1" applyFont="1" applyFill="1" applyBorder="1" applyAlignment="1" applyProtection="1">
      <alignment vertical="top"/>
      <protection locked="0"/>
    </xf>
    <xf numFmtId="0" fontId="2" fillId="0" borderId="0" xfId="0" applyFont="1" applyFill="1" applyBorder="1" applyAlignment="1">
      <alignment horizontal="right"/>
    </xf>
    <xf numFmtId="0" fontId="23" fillId="0" borderId="32" xfId="0" applyFont="1" applyBorder="1" applyAlignment="1" applyProtection="1">
      <alignment horizontal="center"/>
      <protection locked="0"/>
    </xf>
    <xf numFmtId="0" fontId="9" fillId="0" borderId="0" xfId="0" applyFont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23" fillId="4" borderId="2" xfId="0" applyFont="1" applyFill="1" applyBorder="1" applyAlignment="1" applyProtection="1">
      <alignment horizontal="center"/>
      <protection locked="0"/>
    </xf>
    <xf numFmtId="0" fontId="0" fillId="2" borderId="1" xfId="0" applyFill="1" applyBorder="1"/>
    <xf numFmtId="0" fontId="29" fillId="0" borderId="1" xfId="0" applyFont="1" applyBorder="1" applyAlignment="1">
      <alignment vertical="center"/>
    </xf>
    <xf numFmtId="0" fontId="52" fillId="0" borderId="0" xfId="0" applyFont="1" applyAlignment="1">
      <alignment horizontal="right" readingOrder="2"/>
    </xf>
    <xf numFmtId="0" fontId="53" fillId="0" borderId="0" xfId="0" applyFont="1" applyAlignment="1">
      <alignment horizontal="right" readingOrder="2"/>
    </xf>
    <xf numFmtId="0" fontId="52" fillId="0" borderId="0" xfId="0" applyFont="1" applyAlignment="1">
      <alignment horizontal="center" readingOrder="2"/>
    </xf>
    <xf numFmtId="0" fontId="52" fillId="0" borderId="21" xfId="0" applyFont="1" applyBorder="1" applyAlignment="1">
      <alignment horizontal="center" vertical="top" wrapText="1" readingOrder="2"/>
    </xf>
    <xf numFmtId="0" fontId="52" fillId="0" borderId="90" xfId="0" applyFont="1" applyBorder="1" applyAlignment="1">
      <alignment horizontal="center" vertical="top" wrapText="1" readingOrder="2"/>
    </xf>
    <xf numFmtId="0" fontId="52" fillId="0" borderId="94" xfId="0" applyFont="1" applyBorder="1" applyAlignment="1">
      <alignment horizontal="center" vertical="top" wrapText="1" readingOrder="2"/>
    </xf>
    <xf numFmtId="0" fontId="23" fillId="3" borderId="1" xfId="0" applyFont="1" applyFill="1" applyBorder="1" applyAlignment="1" applyProtection="1">
      <alignment vertical="top"/>
      <protection locked="0"/>
    </xf>
    <xf numFmtId="0" fontId="52" fillId="0" borderId="17" xfId="0" applyFont="1" applyBorder="1" applyAlignment="1">
      <alignment horizontal="center" vertical="top" wrapText="1" readingOrder="2"/>
    </xf>
    <xf numFmtId="164" fontId="52" fillId="0" borderId="0" xfId="0" applyNumberFormat="1" applyFont="1" applyBorder="1" applyAlignment="1">
      <alignment horizontal="center" vertical="top" wrapText="1" readingOrder="2"/>
    </xf>
    <xf numFmtId="0" fontId="57" fillId="0" borderId="0" xfId="0" applyFont="1"/>
    <xf numFmtId="0" fontId="14" fillId="0" borderId="0" xfId="0" applyFont="1" applyBorder="1" applyAlignment="1"/>
    <xf numFmtId="0" fontId="9" fillId="0" borderId="0" xfId="0" applyFont="1" applyAlignment="1">
      <alignment horizontal="right" vertical="center"/>
    </xf>
    <xf numFmtId="0" fontId="4" fillId="4" borderId="0" xfId="1" applyFont="1" applyFill="1" applyBorder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5" fillId="4" borderId="0" xfId="1" applyFont="1" applyFill="1" applyAlignment="1">
      <alignment horizontal="center" vertical="center"/>
    </xf>
    <xf numFmtId="0" fontId="0" fillId="4" borderId="0" xfId="0" applyFill="1"/>
    <xf numFmtId="0" fontId="10" fillId="4" borderId="12" xfId="1" applyFont="1" applyFill="1" applyBorder="1" applyAlignment="1">
      <alignment horizontal="center" vertical="center"/>
    </xf>
    <xf numFmtId="0" fontId="4" fillId="4" borderId="0" xfId="1" applyFont="1" applyFill="1" applyBorder="1" applyAlignment="1">
      <alignment horizontal="right" vertical="center" readingOrder="2"/>
    </xf>
    <xf numFmtId="0" fontId="29" fillId="0" borderId="0" xfId="8" applyFont="1" applyBorder="1" applyAlignment="1" applyProtection="1">
      <alignment horizontal="center" vertical="center"/>
      <protection hidden="1"/>
    </xf>
    <xf numFmtId="0" fontId="29" fillId="0" borderId="1" xfId="8" applyFont="1" applyBorder="1" applyAlignment="1" applyProtection="1">
      <alignment horizontal="center" vertical="center"/>
      <protection hidden="1"/>
    </xf>
    <xf numFmtId="0" fontId="29" fillId="0" borderId="0" xfId="8" applyFont="1" applyAlignment="1" applyProtection="1">
      <alignment horizontal="center" vertical="center"/>
      <protection hidden="1"/>
    </xf>
    <xf numFmtId="0" fontId="29" fillId="0" borderId="74" xfId="8" applyFont="1" applyBorder="1" applyAlignment="1" applyProtection="1">
      <alignment horizontal="center" vertical="center"/>
      <protection hidden="1"/>
    </xf>
    <xf numFmtId="0" fontId="29" fillId="0" borderId="29" xfId="8" applyFont="1" applyBorder="1" applyAlignment="1" applyProtection="1">
      <alignment horizontal="center" vertical="center"/>
      <protection hidden="1"/>
    </xf>
    <xf numFmtId="0" fontId="10" fillId="4" borderId="97" xfId="8" applyFont="1" applyFill="1" applyBorder="1" applyAlignment="1" applyProtection="1">
      <alignment horizontal="center" vertical="center"/>
      <protection hidden="1"/>
    </xf>
    <xf numFmtId="0" fontId="5" fillId="0" borderId="0" xfId="1" applyFont="1" applyBorder="1" applyAlignment="1">
      <alignment vertical="center"/>
    </xf>
    <xf numFmtId="0" fontId="29" fillId="0" borderId="24" xfId="0" applyFont="1" applyBorder="1" applyAlignment="1">
      <alignment vertical="center"/>
    </xf>
    <xf numFmtId="0" fontId="0" fillId="16" borderId="0" xfId="0" applyFill="1"/>
    <xf numFmtId="0" fontId="46" fillId="16" borderId="1" xfId="7" applyFill="1" applyBorder="1" applyAlignment="1" applyProtection="1"/>
    <xf numFmtId="0" fontId="46" fillId="16" borderId="1" xfId="7" applyFill="1" applyBorder="1" applyAlignment="1" applyProtection="1">
      <alignment horizontal="center"/>
    </xf>
    <xf numFmtId="0" fontId="46" fillId="16" borderId="0" xfId="7" applyFill="1" applyAlignment="1" applyProtection="1"/>
    <xf numFmtId="0" fontId="46" fillId="16" borderId="1" xfId="7" applyFill="1" applyBorder="1" applyAlignment="1" applyProtection="1">
      <alignment horizontal="center" vertical="center"/>
      <protection hidden="1"/>
    </xf>
    <xf numFmtId="0" fontId="46" fillId="16" borderId="0" xfId="7" quotePrefix="1" applyFill="1" applyAlignment="1" applyProtection="1"/>
    <xf numFmtId="0" fontId="50" fillId="16" borderId="0" xfId="7" applyFont="1" applyFill="1" applyAlignment="1" applyProtection="1"/>
    <xf numFmtId="0" fontId="0" fillId="6" borderId="100" xfId="0" applyFill="1" applyBorder="1"/>
    <xf numFmtId="0" fontId="46" fillId="6" borderId="101" xfId="7" applyFill="1" applyBorder="1" applyAlignment="1" applyProtection="1"/>
    <xf numFmtId="0" fontId="0" fillId="6" borderId="101" xfId="0" applyFill="1" applyBorder="1"/>
    <xf numFmtId="0" fontId="0" fillId="6" borderId="102" xfId="0" applyFill="1" applyBorder="1"/>
    <xf numFmtId="0" fontId="0" fillId="6" borderId="103" xfId="0" applyFill="1" applyBorder="1"/>
    <xf numFmtId="0" fontId="0" fillId="6" borderId="0" xfId="0" applyFill="1" applyBorder="1"/>
    <xf numFmtId="0" fontId="0" fillId="6" borderId="104" xfId="0" applyFill="1" applyBorder="1"/>
    <xf numFmtId="0" fontId="46" fillId="6" borderId="0" xfId="7" applyFill="1" applyBorder="1" applyAlignment="1" applyProtection="1"/>
    <xf numFmtId="0" fontId="46" fillId="6" borderId="0" xfId="7" quotePrefix="1" applyFill="1" applyBorder="1" applyAlignment="1" applyProtection="1"/>
    <xf numFmtId="0" fontId="0" fillId="6" borderId="105" xfId="0" applyFill="1" applyBorder="1"/>
    <xf numFmtId="0" fontId="0" fillId="6" borderId="106" xfId="0" applyFill="1" applyBorder="1"/>
    <xf numFmtId="0" fontId="0" fillId="6" borderId="107" xfId="0" applyFill="1" applyBorder="1"/>
    <xf numFmtId="0" fontId="29" fillId="14" borderId="1" xfId="0" applyFont="1" applyFill="1" applyBorder="1" applyAlignment="1">
      <alignment horizontal="center" vertical="center"/>
    </xf>
    <xf numFmtId="0" fontId="4" fillId="0" borderId="1" xfId="2" applyFont="1" applyFill="1" applyBorder="1" applyAlignment="1">
      <alignment horizontal="right" vertical="center"/>
    </xf>
    <xf numFmtId="0" fontId="29" fillId="4" borderId="49" xfId="0" applyFont="1" applyFill="1" applyBorder="1" applyAlignment="1">
      <alignment horizontal="center" vertical="center"/>
    </xf>
    <xf numFmtId="0" fontId="29" fillId="4" borderId="1" xfId="0" applyFont="1" applyFill="1" applyBorder="1" applyAlignment="1">
      <alignment horizontal="center" vertical="center"/>
    </xf>
    <xf numFmtId="0" fontId="29" fillId="4" borderId="45" xfId="0" applyFont="1" applyFill="1" applyBorder="1" applyAlignment="1">
      <alignment horizontal="center" vertical="center"/>
    </xf>
    <xf numFmtId="0" fontId="29" fillId="4" borderId="46" xfId="0" applyFont="1" applyFill="1" applyBorder="1" applyAlignment="1">
      <alignment horizontal="center" vertical="center"/>
    </xf>
    <xf numFmtId="0" fontId="29" fillId="4" borderId="47" xfId="0" applyFont="1" applyFill="1" applyBorder="1" applyAlignment="1">
      <alignment horizontal="center" vertical="center"/>
    </xf>
    <xf numFmtId="0" fontId="29" fillId="4" borderId="48" xfId="0" applyFont="1" applyFill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9" fillId="0" borderId="0" xfId="1" applyFont="1" applyFill="1" applyAlignment="1">
      <alignment horizontal="right" vertical="center"/>
    </xf>
    <xf numFmtId="0" fontId="5" fillId="0" borderId="0" xfId="1" applyFont="1" applyFill="1" applyAlignment="1">
      <alignment horizontal="right" vertical="center"/>
    </xf>
    <xf numFmtId="0" fontId="29" fillId="0" borderId="1" xfId="0" applyFont="1" applyFill="1" applyBorder="1" applyAlignment="1">
      <alignment horizontal="right"/>
    </xf>
    <xf numFmtId="0" fontId="29" fillId="0" borderId="1" xfId="1" applyFont="1" applyFill="1" applyBorder="1" applyAlignment="1">
      <alignment horizontal="right" vertical="center"/>
    </xf>
    <xf numFmtId="164" fontId="11" fillId="4" borderId="1" xfId="0" applyNumberFormat="1" applyFont="1" applyFill="1" applyBorder="1" applyAlignment="1">
      <alignment horizontal="center" vertical="center"/>
    </xf>
    <xf numFmtId="0" fontId="47" fillId="4" borderId="1" xfId="0" applyFont="1" applyFill="1" applyBorder="1" applyAlignment="1">
      <alignment horizontal="center" vertical="center"/>
    </xf>
    <xf numFmtId="0" fontId="0" fillId="0" borderId="0" xfId="0" applyFill="1" applyAlignment="1">
      <alignment horizontal="right"/>
    </xf>
    <xf numFmtId="0" fontId="0" fillId="0" borderId="0" xfId="0" applyFill="1" applyAlignment="1">
      <alignment horizontal="right" vertical="center"/>
    </xf>
    <xf numFmtId="0" fontId="46" fillId="0" borderId="0" xfId="7" applyFill="1" applyAlignment="1" applyProtection="1">
      <alignment horizontal="right" vertical="center"/>
    </xf>
    <xf numFmtId="0" fontId="46" fillId="0" borderId="1" xfId="7" applyFill="1" applyBorder="1" applyAlignment="1" applyProtection="1">
      <alignment horizontal="right"/>
      <protection locked="0"/>
    </xf>
    <xf numFmtId="0" fontId="46" fillId="0" borderId="1" xfId="7" applyFill="1" applyBorder="1" applyAlignment="1" applyProtection="1">
      <alignment horizontal="right"/>
    </xf>
    <xf numFmtId="0" fontId="9" fillId="0" borderId="7" xfId="1" applyFont="1" applyFill="1" applyBorder="1" applyAlignment="1">
      <alignment horizontal="right" vertical="center"/>
    </xf>
    <xf numFmtId="0" fontId="0" fillId="0" borderId="8" xfId="0" applyFill="1" applyBorder="1" applyAlignment="1">
      <alignment horizontal="right"/>
    </xf>
    <xf numFmtId="0" fontId="0" fillId="0" borderId="9" xfId="0" applyFill="1" applyBorder="1" applyAlignment="1">
      <alignment horizontal="right"/>
    </xf>
    <xf numFmtId="0" fontId="10" fillId="0" borderId="34" xfId="1" applyFont="1" applyFill="1" applyBorder="1" applyAlignment="1">
      <alignment horizontal="right" vertical="center"/>
    </xf>
    <xf numFmtId="0" fontId="10" fillId="0" borderId="13" xfId="1" applyFont="1" applyFill="1" applyBorder="1" applyAlignment="1">
      <alignment horizontal="right" vertical="center"/>
    </xf>
    <xf numFmtId="0" fontId="10" fillId="0" borderId="14" xfId="1" applyFont="1" applyFill="1" applyBorder="1" applyAlignment="1">
      <alignment horizontal="right" vertical="center"/>
    </xf>
    <xf numFmtId="0" fontId="10" fillId="0" borderId="0" xfId="1" applyFont="1" applyFill="1" applyBorder="1" applyAlignment="1">
      <alignment horizontal="right" vertical="center"/>
    </xf>
    <xf numFmtId="0" fontId="39" fillId="0" borderId="16" xfId="1" applyFont="1" applyFill="1" applyBorder="1" applyAlignment="1">
      <alignment horizontal="right" vertical="center" textRotation="90"/>
    </xf>
    <xf numFmtId="0" fontId="0" fillId="4" borderId="1" xfId="0" applyFill="1" applyBorder="1" applyAlignment="1">
      <alignment horizontal="right"/>
    </xf>
    <xf numFmtId="164" fontId="4" fillId="4" borderId="1" xfId="4" applyNumberFormat="1" applyFont="1" applyFill="1" applyBorder="1" applyAlignment="1">
      <alignment horizontal="right" vertical="center"/>
    </xf>
    <xf numFmtId="0" fontId="0" fillId="4" borderId="0" xfId="0" applyFill="1" applyBorder="1" applyAlignment="1">
      <alignment horizontal="right"/>
    </xf>
    <xf numFmtId="164" fontId="4" fillId="4" borderId="0" xfId="4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right"/>
    </xf>
    <xf numFmtId="0" fontId="4" fillId="4" borderId="1" xfId="1" applyFont="1" applyFill="1" applyBorder="1" applyAlignment="1">
      <alignment horizontal="center" vertical="center" readingOrder="2"/>
    </xf>
    <xf numFmtId="0" fontId="4" fillId="4" borderId="1" xfId="1" applyFont="1" applyFill="1" applyBorder="1" applyAlignment="1">
      <alignment horizontal="right" vertical="center" readingOrder="2"/>
    </xf>
    <xf numFmtId="0" fontId="4" fillId="4" borderId="1" xfId="2" applyFont="1" applyFill="1" applyBorder="1" applyAlignment="1">
      <alignment horizontal="center" vertical="center"/>
    </xf>
    <xf numFmtId="0" fontId="29" fillId="4" borderId="1" xfId="0" applyFont="1" applyFill="1" applyBorder="1" applyAlignment="1">
      <alignment horizontal="right"/>
    </xf>
    <xf numFmtId="0" fontId="4" fillId="4" borderId="1" xfId="2" applyFont="1" applyFill="1" applyBorder="1" applyAlignment="1" applyProtection="1">
      <alignment horizontal="center" vertical="center"/>
      <protection locked="0"/>
    </xf>
    <xf numFmtId="0" fontId="8" fillId="4" borderId="1" xfId="0" applyFont="1" applyFill="1" applyBorder="1" applyAlignment="1">
      <alignment horizontal="center" vertical="center"/>
    </xf>
    <xf numFmtId="0" fontId="13" fillId="4" borderId="1" xfId="1" applyFont="1" applyFill="1" applyBorder="1" applyAlignment="1">
      <alignment horizontal="center" vertical="center"/>
    </xf>
    <xf numFmtId="0" fontId="12" fillId="4" borderId="1" xfId="2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right"/>
    </xf>
    <xf numFmtId="0" fontId="0" fillId="0" borderId="0" xfId="0" applyFont="1"/>
    <xf numFmtId="0" fontId="54" fillId="0" borderId="0" xfId="0" applyFont="1"/>
    <xf numFmtId="0" fontId="23" fillId="0" borderId="0" xfId="0" applyFont="1" applyAlignment="1" applyProtection="1">
      <protection locked="0"/>
    </xf>
    <xf numFmtId="164" fontId="4" fillId="4" borderId="1" xfId="0" applyNumberFormat="1" applyFont="1" applyFill="1" applyBorder="1" applyAlignment="1">
      <alignment horizontal="center"/>
    </xf>
    <xf numFmtId="0" fontId="22" fillId="4" borderId="1" xfId="0" applyFont="1" applyFill="1" applyBorder="1" applyAlignment="1">
      <alignment horizontal="center"/>
    </xf>
    <xf numFmtId="0" fontId="30" fillId="0" borderId="0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9" fillId="4" borderId="0" xfId="0" applyFont="1" applyFill="1" applyAlignment="1">
      <alignment horizontal="center" vertical="center"/>
    </xf>
    <xf numFmtId="0" fontId="29" fillId="4" borderId="0" xfId="0" applyFont="1" applyFill="1" applyAlignment="1">
      <alignment vertical="center"/>
    </xf>
    <xf numFmtId="0" fontId="29" fillId="23" borderId="48" xfId="0" applyFont="1" applyFill="1" applyBorder="1" applyAlignment="1">
      <alignment horizontal="center" vertical="center"/>
    </xf>
    <xf numFmtId="0" fontId="29" fillId="23" borderId="1" xfId="0" applyFont="1" applyFill="1" applyBorder="1" applyAlignment="1">
      <alignment horizontal="center" vertical="center"/>
    </xf>
    <xf numFmtId="0" fontId="10" fillId="0" borderId="13" xfId="1" applyFont="1" applyFill="1" applyBorder="1" applyAlignment="1">
      <alignment horizontal="center" vertical="center"/>
    </xf>
    <xf numFmtId="1" fontId="1" fillId="0" borderId="10" xfId="0" applyNumberFormat="1" applyFont="1" applyFill="1" applyBorder="1" applyAlignment="1">
      <alignment horizontal="center" vertical="center"/>
    </xf>
    <xf numFmtId="0" fontId="29" fillId="4" borderId="36" xfId="0" applyFont="1" applyFill="1" applyBorder="1" applyAlignment="1">
      <alignment vertical="center"/>
    </xf>
    <xf numFmtId="2" fontId="47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4" fillId="4" borderId="19" xfId="1" applyFont="1" applyFill="1" applyBorder="1" applyAlignment="1">
      <alignment horizontal="right" vertical="center"/>
    </xf>
    <xf numFmtId="0" fontId="29" fillId="4" borderId="1" xfId="0" applyFont="1" applyFill="1" applyBorder="1" applyAlignment="1">
      <alignment horizontal="right" vertical="center"/>
    </xf>
    <xf numFmtId="0" fontId="11" fillId="4" borderId="1" xfId="0" applyFont="1" applyFill="1" applyBorder="1" applyAlignment="1">
      <alignment horizontal="center"/>
    </xf>
    <xf numFmtId="0" fontId="29" fillId="4" borderId="1" xfId="0" applyFont="1" applyFill="1" applyBorder="1" applyAlignment="1">
      <alignment horizontal="center"/>
    </xf>
    <xf numFmtId="0" fontId="4" fillId="4" borderId="0" xfId="2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/>
    </xf>
    <xf numFmtId="0" fontId="47" fillId="4" borderId="1" xfId="0" applyFont="1" applyFill="1" applyBorder="1" applyAlignment="1">
      <alignment horizontal="center"/>
    </xf>
    <xf numFmtId="0" fontId="47" fillId="4" borderId="1" xfId="2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right"/>
    </xf>
    <xf numFmtId="0" fontId="11" fillId="4" borderId="1" xfId="0" applyFont="1" applyFill="1" applyBorder="1" applyAlignment="1">
      <alignment horizontal="right"/>
    </xf>
    <xf numFmtId="0" fontId="4" fillId="4" borderId="1" xfId="0" applyNumberFormat="1" applyFont="1" applyFill="1" applyBorder="1" applyAlignment="1">
      <alignment horizontal="center"/>
    </xf>
    <xf numFmtId="0" fontId="14" fillId="2" borderId="32" xfId="0" applyFont="1" applyFill="1" applyBorder="1" applyAlignment="1">
      <alignment horizontal="right"/>
    </xf>
    <xf numFmtId="0" fontId="53" fillId="0" borderId="0" xfId="0" applyFont="1" applyAlignment="1">
      <alignment horizontal="left" readingOrder="2"/>
    </xf>
    <xf numFmtId="0" fontId="52" fillId="0" borderId="0" xfId="0" applyFont="1" applyBorder="1" applyAlignment="1">
      <alignment horizontal="center" vertical="top" wrapText="1" readingOrder="2"/>
    </xf>
    <xf numFmtId="0" fontId="23" fillId="4" borderId="2" xfId="0" applyFont="1" applyFill="1" applyBorder="1" applyAlignment="1" applyProtection="1">
      <alignment horizontal="center" vertical="top"/>
      <protection locked="0"/>
    </xf>
    <xf numFmtId="0" fontId="4" fillId="4" borderId="31" xfId="1" applyFont="1" applyFill="1" applyBorder="1" applyAlignment="1">
      <alignment horizontal="center" vertical="center"/>
    </xf>
    <xf numFmtId="0" fontId="4" fillId="4" borderId="31" xfId="2" applyFont="1" applyFill="1" applyBorder="1" applyAlignment="1" applyProtection="1">
      <alignment horizontal="center" vertical="center"/>
      <protection locked="0"/>
    </xf>
    <xf numFmtId="0" fontId="4" fillId="4" borderId="108" xfId="2" applyFont="1" applyFill="1" applyBorder="1" applyAlignment="1" applyProtection="1">
      <alignment horizontal="center" vertical="center"/>
      <protection locked="0"/>
    </xf>
    <xf numFmtId="164" fontId="4" fillId="4" borderId="1" xfId="0" applyNumberFormat="1" applyFont="1" applyFill="1" applyBorder="1" applyAlignment="1">
      <alignment horizontal="right"/>
    </xf>
    <xf numFmtId="0" fontId="22" fillId="4" borderId="1" xfId="0" applyFont="1" applyFill="1" applyBorder="1" applyAlignment="1">
      <alignment horizontal="right"/>
    </xf>
    <xf numFmtId="0" fontId="24" fillId="4" borderId="9" xfId="0" applyFont="1" applyFill="1" applyBorder="1" applyAlignment="1" applyProtection="1">
      <alignment vertical="center"/>
      <protection locked="0"/>
    </xf>
    <xf numFmtId="0" fontId="23" fillId="0" borderId="1" xfId="0" applyFont="1" applyFill="1" applyBorder="1"/>
    <xf numFmtId="0" fontId="23" fillId="4" borderId="2" xfId="0" applyFont="1" applyFill="1" applyBorder="1" applyAlignment="1" applyProtection="1">
      <alignment horizontal="center" vertical="center"/>
      <protection locked="0"/>
    </xf>
    <xf numFmtId="0" fontId="23" fillId="4" borderId="22" xfId="0" applyFont="1" applyFill="1" applyBorder="1" applyAlignment="1" applyProtection="1">
      <alignment horizontal="right" vertical="center"/>
      <protection locked="0"/>
    </xf>
    <xf numFmtId="0" fontId="23" fillId="4" borderId="7" xfId="0" applyFont="1" applyFill="1" applyBorder="1" applyAlignment="1" applyProtection="1">
      <alignment vertical="top"/>
      <protection locked="0"/>
    </xf>
    <xf numFmtId="0" fontId="23" fillId="4" borderId="9" xfId="0" applyFont="1" applyFill="1" applyBorder="1" applyAlignment="1" applyProtection="1">
      <alignment vertical="top"/>
      <protection locked="0"/>
    </xf>
    <xf numFmtId="0" fontId="23" fillId="4" borderId="7" xfId="0" applyFont="1" applyFill="1" applyBorder="1" applyAlignment="1" applyProtection="1">
      <alignment vertical="center"/>
      <protection locked="0"/>
    </xf>
    <xf numFmtId="0" fontId="23" fillId="4" borderId="9" xfId="0" applyFont="1" applyFill="1" applyBorder="1" applyAlignment="1" applyProtection="1">
      <alignment vertical="center"/>
      <protection locked="0"/>
    </xf>
    <xf numFmtId="0" fontId="9" fillId="0" borderId="0" xfId="0" applyFont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30" fillId="0" borderId="0" xfId="0" applyFont="1" applyBorder="1" applyAlignment="1">
      <alignment vertical="center"/>
    </xf>
    <xf numFmtId="0" fontId="66" fillId="0" borderId="94" xfId="0" applyFont="1" applyBorder="1" applyAlignment="1">
      <alignment horizontal="center" vertical="top" wrapText="1" readingOrder="2"/>
    </xf>
    <xf numFmtId="0" fontId="67" fillId="0" borderId="94" xfId="0" applyFont="1" applyBorder="1" applyAlignment="1">
      <alignment horizontal="center" vertical="top" wrapText="1" readingOrder="2"/>
    </xf>
    <xf numFmtId="0" fontId="23" fillId="0" borderId="0" xfId="0" applyFont="1" applyFill="1" applyProtection="1">
      <protection locked="0"/>
    </xf>
    <xf numFmtId="0" fontId="23" fillId="0" borderId="0" xfId="0" applyFont="1" applyFill="1" applyBorder="1" applyProtection="1">
      <protection locked="0"/>
    </xf>
    <xf numFmtId="0" fontId="68" fillId="0" borderId="0" xfId="0" applyFont="1"/>
    <xf numFmtId="0" fontId="23" fillId="5" borderId="24" xfId="0" applyFont="1" applyFill="1" applyBorder="1" applyAlignment="1" applyProtection="1">
      <alignment vertical="top"/>
      <protection locked="0"/>
    </xf>
    <xf numFmtId="0" fontId="23" fillId="5" borderId="1" xfId="0" applyFont="1" applyFill="1" applyBorder="1" applyAlignment="1">
      <alignment horizontal="right"/>
    </xf>
    <xf numFmtId="0" fontId="54" fillId="0" borderId="0" xfId="0" applyFont="1" applyBorder="1" applyAlignment="1" applyProtection="1">
      <protection locked="0"/>
    </xf>
    <xf numFmtId="0" fontId="23" fillId="0" borderId="0" xfId="0" applyFont="1" applyFill="1" applyBorder="1" applyAlignment="1" applyProtection="1">
      <alignment horizontal="right"/>
      <protection locked="0"/>
    </xf>
    <xf numFmtId="0" fontId="54" fillId="0" borderId="0" xfId="0" applyFont="1" applyBorder="1" applyProtection="1">
      <protection locked="0"/>
    </xf>
    <xf numFmtId="0" fontId="26" fillId="0" borderId="1" xfId="0" applyFont="1" applyBorder="1"/>
    <xf numFmtId="0" fontId="69" fillId="0" borderId="0" xfId="0" applyFont="1"/>
    <xf numFmtId="0" fontId="70" fillId="0" borderId="0" xfId="0" applyFont="1"/>
    <xf numFmtId="0" fontId="26" fillId="4" borderId="0" xfId="0" applyFont="1" applyFill="1"/>
    <xf numFmtId="0" fontId="26" fillId="0" borderId="0" xfId="0" applyFont="1" applyAlignment="1">
      <alignment vertical="center"/>
    </xf>
    <xf numFmtId="0" fontId="23" fillId="0" borderId="75" xfId="0" applyFont="1" applyFill="1" applyBorder="1"/>
    <xf numFmtId="0" fontId="1" fillId="0" borderId="0" xfId="0" applyFont="1" applyFill="1" applyBorder="1"/>
    <xf numFmtId="0" fontId="1" fillId="0" borderId="0" xfId="0" applyFont="1" applyAlignment="1" applyProtection="1">
      <alignment vertical="center"/>
      <protection locked="0"/>
    </xf>
    <xf numFmtId="0" fontId="71" fillId="16" borderId="1" xfId="7" applyFont="1" applyFill="1" applyBorder="1" applyAlignment="1" applyProtection="1">
      <protection locked="0"/>
    </xf>
    <xf numFmtId="0" fontId="71" fillId="0" borderId="0" xfId="7" applyFont="1" applyFill="1" applyAlignment="1" applyProtection="1">
      <protection locked="0"/>
    </xf>
    <xf numFmtId="0" fontId="1" fillId="0" borderId="0" xfId="0" applyFont="1" applyFill="1" applyBorder="1" applyAlignment="1" applyProtection="1">
      <alignment horizontal="center"/>
      <protection locked="0"/>
    </xf>
    <xf numFmtId="16" fontId="1" fillId="4" borderId="110" xfId="0" applyNumberFormat="1" applyFont="1" applyFill="1" applyBorder="1" applyAlignment="1" applyProtection="1">
      <alignment horizontal="center" vertical="center"/>
      <protection locked="0"/>
    </xf>
    <xf numFmtId="2" fontId="1" fillId="23" borderId="16" xfId="0" applyNumberFormat="1" applyFont="1" applyFill="1" applyBorder="1" applyAlignment="1" applyProtection="1">
      <alignment horizontal="center" vertical="center" readingOrder="2"/>
      <protection locked="0"/>
    </xf>
    <xf numFmtId="2" fontId="1" fillId="23" borderId="33" xfId="0" applyNumberFormat="1" applyFont="1" applyFill="1" applyBorder="1" applyAlignment="1" applyProtection="1">
      <alignment horizontal="center" vertical="center" readingOrder="2"/>
      <protection locked="0"/>
    </xf>
    <xf numFmtId="0" fontId="25" fillId="0" borderId="0" xfId="0" applyFont="1" applyFill="1" applyProtection="1">
      <protection locked="0"/>
    </xf>
    <xf numFmtId="0" fontId="1" fillId="0" borderId="2" xfId="0" applyFont="1" applyBorder="1" applyAlignment="1" applyProtection="1">
      <alignment horizontal="center"/>
      <protection locked="0"/>
    </xf>
    <xf numFmtId="0" fontId="1" fillId="0" borderId="1" xfId="0" applyFont="1" applyFill="1" applyBorder="1"/>
    <xf numFmtId="0" fontId="1" fillId="4" borderId="2" xfId="0" applyFont="1" applyFill="1" applyBorder="1" applyAlignment="1" applyProtection="1">
      <alignment horizontal="center" vertical="top"/>
      <protection locked="0"/>
    </xf>
    <xf numFmtId="0" fontId="1" fillId="4" borderId="2" xfId="0" applyFont="1" applyFill="1" applyBorder="1" applyAlignment="1" applyProtection="1">
      <alignment horizontal="center"/>
      <protection locked="0"/>
    </xf>
    <xf numFmtId="0" fontId="27" fillId="0" borderId="0" xfId="0" applyFont="1" applyBorder="1" applyProtection="1">
      <protection locked="0"/>
    </xf>
    <xf numFmtId="0" fontId="22" fillId="0" borderId="1" xfId="0" applyFont="1" applyFill="1" applyBorder="1"/>
    <xf numFmtId="0" fontId="22" fillId="4" borderId="117" xfId="0" applyFont="1" applyFill="1" applyBorder="1" applyAlignment="1">
      <alignment horizontal="center"/>
    </xf>
    <xf numFmtId="0" fontId="15" fillId="0" borderId="10" xfId="0" applyFont="1" applyFill="1" applyBorder="1"/>
    <xf numFmtId="0" fontId="15" fillId="0" borderId="0" xfId="0" applyFont="1" applyFill="1" applyBorder="1"/>
    <xf numFmtId="0" fontId="14" fillId="0" borderId="0" xfId="0" applyFont="1" applyFill="1" applyBorder="1" applyAlignment="1"/>
    <xf numFmtId="0" fontId="14" fillId="0" borderId="15" xfId="0" applyFont="1" applyFill="1" applyBorder="1" applyAlignment="1">
      <alignment horizontal="right"/>
    </xf>
    <xf numFmtId="0" fontId="46" fillId="0" borderId="1" xfId="7" applyFill="1" applyBorder="1" applyAlignment="1" applyProtection="1"/>
    <xf numFmtId="0" fontId="14" fillId="0" borderId="0" xfId="0" applyFont="1" applyFill="1" applyBorder="1" applyAlignment="1">
      <alignment horizontal="right"/>
    </xf>
    <xf numFmtId="0" fontId="15" fillId="0" borderId="15" xfId="0" applyFont="1" applyFill="1" applyBorder="1"/>
    <xf numFmtId="168" fontId="0" fillId="0" borderId="0" xfId="0" applyNumberFormat="1" applyFill="1"/>
    <xf numFmtId="0" fontId="21" fillId="0" borderId="0" xfId="0" applyFont="1" applyFill="1" applyBorder="1" applyAlignment="1">
      <alignment horizontal="right"/>
    </xf>
    <xf numFmtId="0" fontId="19" fillId="0" borderId="0" xfId="0" applyFont="1" applyFill="1" applyBorder="1" applyAlignment="1">
      <alignment horizontal="right"/>
    </xf>
    <xf numFmtId="0" fontId="2" fillId="0" borderId="1" xfId="0" applyFont="1" applyFill="1" applyBorder="1"/>
    <xf numFmtId="164" fontId="14" fillId="0" borderId="0" xfId="0" applyNumberFormat="1" applyFont="1" applyFill="1" applyBorder="1" applyAlignment="1">
      <alignment horizontal="right"/>
    </xf>
    <xf numFmtId="164" fontId="14" fillId="0" borderId="15" xfId="0" applyNumberFormat="1" applyFont="1" applyFill="1" applyBorder="1" applyAlignment="1">
      <alignment horizontal="right"/>
    </xf>
    <xf numFmtId="0" fontId="15" fillId="0" borderId="0" xfId="0" applyFont="1" applyFill="1" applyBorder="1" applyAlignment="1">
      <alignment horizontal="left"/>
    </xf>
    <xf numFmtId="0" fontId="15" fillId="0" borderId="15" xfId="0" applyFont="1" applyFill="1" applyBorder="1" applyAlignment="1">
      <alignment horizontal="right"/>
    </xf>
    <xf numFmtId="0" fontId="0" fillId="0" borderId="10" xfId="0" applyFill="1" applyBorder="1"/>
    <xf numFmtId="0" fontId="0" fillId="0" borderId="15" xfId="0" applyFill="1" applyBorder="1"/>
    <xf numFmtId="0" fontId="14" fillId="0" borderId="0" xfId="0" applyFont="1" applyFill="1" applyBorder="1"/>
    <xf numFmtId="0" fontId="14" fillId="0" borderId="10" xfId="0" applyFont="1" applyFill="1" applyBorder="1" applyAlignment="1">
      <alignment horizontal="right"/>
    </xf>
    <xf numFmtId="0" fontId="14" fillId="0" borderId="15" xfId="0" applyFont="1" applyFill="1" applyBorder="1"/>
    <xf numFmtId="0" fontId="14" fillId="0" borderId="10" xfId="0" applyFont="1" applyFill="1" applyBorder="1" applyAlignment="1">
      <alignment horizontal="center"/>
    </xf>
    <xf numFmtId="164" fontId="0" fillId="0" borderId="0" xfId="0" applyNumberFormat="1" applyFill="1" applyBorder="1"/>
    <xf numFmtId="0" fontId="16" fillId="0" borderId="15" xfId="0" applyFont="1" applyFill="1" applyBorder="1" applyAlignment="1">
      <alignment horizontal="right"/>
    </xf>
    <xf numFmtId="0" fontId="14" fillId="0" borderId="0" xfId="0" applyFont="1" applyFill="1" applyBorder="1" applyAlignment="1">
      <alignment horizontal="left"/>
    </xf>
    <xf numFmtId="14" fontId="1" fillId="0" borderId="10" xfId="0" applyNumberFormat="1" applyFont="1" applyFill="1" applyBorder="1" applyAlignment="1">
      <alignment horizontal="right"/>
    </xf>
    <xf numFmtId="14" fontId="1" fillId="0" borderId="0" xfId="0" applyNumberFormat="1" applyFont="1" applyFill="1" applyBorder="1" applyAlignment="1">
      <alignment horizontal="right"/>
    </xf>
    <xf numFmtId="0" fontId="17" fillId="0" borderId="15" xfId="0" applyFont="1" applyFill="1" applyBorder="1" applyAlignment="1">
      <alignment horizontal="right"/>
    </xf>
    <xf numFmtId="0" fontId="17" fillId="0" borderId="0" xfId="0" applyFont="1" applyFill="1" applyBorder="1" applyAlignment="1">
      <alignment horizontal="center"/>
    </xf>
    <xf numFmtId="0" fontId="19" fillId="0" borderId="0" xfId="0" applyFont="1" applyFill="1" applyBorder="1"/>
    <xf numFmtId="0" fontId="19" fillId="0" borderId="15" xfId="0" applyFont="1" applyFill="1" applyBorder="1" applyAlignment="1">
      <alignment horizontal="right"/>
    </xf>
    <xf numFmtId="2" fontId="23" fillId="0" borderId="16" xfId="0" applyNumberFormat="1" applyFont="1" applyFill="1" applyBorder="1" applyAlignment="1" applyProtection="1">
      <alignment horizontal="center" vertical="center" readingOrder="2"/>
      <protection locked="0"/>
    </xf>
    <xf numFmtId="0" fontId="2" fillId="0" borderId="1" xfId="0" applyFont="1" applyFill="1" applyBorder="1" applyAlignment="1">
      <alignment horizontal="right"/>
    </xf>
    <xf numFmtId="0" fontId="37" fillId="0" borderId="0" xfId="0" applyFont="1" applyFill="1" applyBorder="1" applyAlignment="1">
      <alignment horizontal="right"/>
    </xf>
    <xf numFmtId="0" fontId="14" fillId="0" borderId="0" xfId="0" applyFont="1" applyFill="1" applyBorder="1" applyAlignment="1">
      <alignment readingOrder="2"/>
    </xf>
    <xf numFmtId="0" fontId="20" fillId="0" borderId="0" xfId="0" applyFont="1" applyFill="1" applyBorder="1" applyAlignment="1">
      <alignment horizontal="center"/>
    </xf>
    <xf numFmtId="0" fontId="1" fillId="0" borderId="1" xfId="0" applyFont="1" applyFill="1" applyBorder="1" applyAlignment="1" applyProtection="1">
      <alignment horizontal="right" vertical="top"/>
      <protection locked="0"/>
    </xf>
    <xf numFmtId="0" fontId="1" fillId="0" borderId="0" xfId="0" applyFont="1" applyFill="1" applyBorder="1" applyAlignment="1">
      <alignment horizontal="right"/>
    </xf>
    <xf numFmtId="0" fontId="1" fillId="0" borderId="0" xfId="0" applyFont="1" applyFill="1" applyBorder="1" applyAlignment="1"/>
    <xf numFmtId="2" fontId="23" fillId="0" borderId="33" xfId="0" applyNumberFormat="1" applyFont="1" applyFill="1" applyBorder="1" applyAlignment="1" applyProtection="1">
      <alignment horizontal="center" vertical="center" readingOrder="2"/>
      <protection locked="0"/>
    </xf>
    <xf numFmtId="0" fontId="23" fillId="0" borderId="2" xfId="0" applyFont="1" applyFill="1" applyBorder="1" applyAlignment="1" applyProtection="1">
      <alignment horizontal="center" vertical="center"/>
      <protection locked="0"/>
    </xf>
    <xf numFmtId="0" fontId="23" fillId="0" borderId="7" xfId="0" applyFont="1" applyFill="1" applyBorder="1" applyAlignment="1" applyProtection="1">
      <alignment vertical="center"/>
      <protection locked="0"/>
    </xf>
    <xf numFmtId="0" fontId="2" fillId="0" borderId="0" xfId="0" applyFont="1" applyFill="1" applyBorder="1"/>
    <xf numFmtId="0" fontId="23" fillId="0" borderId="7" xfId="0" applyFont="1" applyFill="1" applyBorder="1" applyAlignment="1" applyProtection="1">
      <alignment horizontal="right" vertical="center"/>
      <protection locked="0"/>
    </xf>
    <xf numFmtId="0" fontId="18" fillId="0" borderId="15" xfId="0" applyFont="1" applyFill="1" applyBorder="1" applyAlignment="1">
      <alignment horizontal="right"/>
    </xf>
    <xf numFmtId="0" fontId="1" fillId="0" borderId="0" xfId="0" applyFont="1" applyFill="1"/>
    <xf numFmtId="0" fontId="2" fillId="0" borderId="0" xfId="0" applyFont="1" applyFill="1"/>
    <xf numFmtId="0" fontId="2" fillId="0" borderId="10" xfId="0" applyFont="1" applyFill="1" applyBorder="1"/>
    <xf numFmtId="0" fontId="2" fillId="0" borderId="15" xfId="0" applyFont="1" applyFill="1" applyBorder="1"/>
    <xf numFmtId="0" fontId="49" fillId="0" borderId="0" xfId="0" applyFont="1" applyFill="1" applyBorder="1" applyAlignment="1">
      <alignment vertical="center"/>
    </xf>
    <xf numFmtId="0" fontId="2" fillId="0" borderId="17" xfId="0" applyFont="1" applyFill="1" applyBorder="1" applyAlignment="1">
      <alignment horizontal="center"/>
    </xf>
    <xf numFmtId="0" fontId="2" fillId="0" borderId="17" xfId="0" applyFont="1" applyFill="1" applyBorder="1"/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vertical="center"/>
    </xf>
    <xf numFmtId="0" fontId="2" fillId="0" borderId="15" xfId="0" applyFont="1" applyFill="1" applyBorder="1" applyAlignment="1"/>
    <xf numFmtId="0" fontId="2" fillId="0" borderId="0" xfId="0" applyFont="1" applyFill="1" applyBorder="1" applyAlignment="1"/>
    <xf numFmtId="164" fontId="19" fillId="0" borderId="10" xfId="0" applyNumberFormat="1" applyFont="1" applyFill="1" applyBorder="1" applyAlignment="1">
      <alignment horizontal="center"/>
    </xf>
    <xf numFmtId="164" fontId="19" fillId="0" borderId="0" xfId="0" applyNumberFormat="1" applyFont="1" applyFill="1" applyBorder="1" applyAlignment="1">
      <alignment horizontal="right"/>
    </xf>
    <xf numFmtId="0" fontId="2" fillId="0" borderId="10" xfId="0" applyFont="1" applyFill="1" applyBorder="1" applyAlignment="1">
      <alignment horizontal="right"/>
    </xf>
    <xf numFmtId="0" fontId="52" fillId="0" borderId="0" xfId="0" applyFont="1" applyFill="1" applyBorder="1" applyAlignment="1">
      <alignment horizontal="right" readingOrder="2"/>
    </xf>
    <xf numFmtId="0" fontId="19" fillId="0" borderId="0" xfId="0" applyFont="1" applyFill="1" applyBorder="1" applyAlignment="1"/>
    <xf numFmtId="0" fontId="74" fillId="0" borderId="0" xfId="0" applyFont="1" applyBorder="1" applyAlignment="1">
      <alignment horizontal="center"/>
    </xf>
    <xf numFmtId="0" fontId="17" fillId="0" borderId="0" xfId="0" applyFont="1" applyBorder="1"/>
    <xf numFmtId="0" fontId="75" fillId="0" borderId="0" xfId="0" applyFont="1" applyFill="1" applyBorder="1" applyAlignment="1">
      <alignment horizontal="right"/>
    </xf>
    <xf numFmtId="164" fontId="54" fillId="4" borderId="1" xfId="0" applyNumberFormat="1" applyFont="1" applyFill="1" applyBorder="1" applyAlignment="1"/>
    <xf numFmtId="0" fontId="54" fillId="5" borderId="1" xfId="0" applyFont="1" applyFill="1" applyBorder="1" applyAlignment="1">
      <alignment horizontal="right"/>
    </xf>
    <xf numFmtId="0" fontId="54" fillId="0" borderId="0" xfId="0" applyFont="1" applyFill="1" applyProtection="1">
      <protection locked="0"/>
    </xf>
    <xf numFmtId="2" fontId="23" fillId="23" borderId="2" xfId="0" applyNumberFormat="1" applyFont="1" applyFill="1" applyBorder="1" applyAlignment="1" applyProtection="1">
      <alignment horizontal="center" vertical="center" readingOrder="2"/>
      <protection locked="0"/>
    </xf>
    <xf numFmtId="2" fontId="23" fillId="3" borderId="2" xfId="0" applyNumberFormat="1" applyFont="1" applyFill="1" applyBorder="1" applyAlignment="1" applyProtection="1">
      <alignment horizontal="center" vertical="center" readingOrder="2"/>
      <protection locked="0"/>
    </xf>
    <xf numFmtId="0" fontId="23" fillId="0" borderId="31" xfId="0" applyFont="1" applyBorder="1" applyAlignment="1">
      <alignment horizontal="center"/>
    </xf>
    <xf numFmtId="0" fontId="1" fillId="4" borderId="112" xfId="0" applyFont="1" applyFill="1" applyBorder="1" applyAlignment="1" applyProtection="1">
      <alignment vertical="center"/>
      <protection locked="0"/>
    </xf>
    <xf numFmtId="0" fontId="1" fillId="4" borderId="113" xfId="0" applyFont="1" applyFill="1" applyBorder="1" applyAlignment="1" applyProtection="1">
      <alignment vertical="center"/>
      <protection locked="0"/>
    </xf>
    <xf numFmtId="0" fontId="1" fillId="4" borderId="115" xfId="0" applyFont="1" applyFill="1" applyBorder="1" applyAlignment="1" applyProtection="1">
      <alignment vertical="center"/>
      <protection locked="0"/>
    </xf>
    <xf numFmtId="0" fontId="1" fillId="4" borderId="116" xfId="0" applyFont="1" applyFill="1" applyBorder="1" applyAlignment="1" applyProtection="1">
      <alignment vertical="center"/>
      <protection locked="0"/>
    </xf>
    <xf numFmtId="0" fontId="14" fillId="0" borderId="0" xfId="0" applyFont="1" applyFill="1" applyBorder="1" applyAlignment="1">
      <alignment horizontal="center"/>
    </xf>
    <xf numFmtId="0" fontId="0" fillId="0" borderId="0" xfId="0"/>
    <xf numFmtId="164" fontId="19" fillId="0" borderId="0" xfId="0" applyNumberFormat="1" applyFont="1" applyFill="1" applyBorder="1" applyAlignment="1"/>
    <xf numFmtId="164" fontId="14" fillId="0" borderId="0" xfId="0" applyNumberFormat="1" applyFont="1" applyFill="1" applyBorder="1" applyAlignment="1"/>
    <xf numFmtId="0" fontId="19" fillId="0" borderId="0" xfId="0" applyFont="1" applyBorder="1"/>
    <xf numFmtId="0" fontId="0" fillId="0" borderId="0" xfId="0"/>
    <xf numFmtId="0" fontId="11" fillId="4" borderId="1" xfId="0" applyFont="1" applyFill="1" applyBorder="1" applyAlignment="1">
      <alignment horizontal="center" vertical="center"/>
    </xf>
    <xf numFmtId="0" fontId="11" fillId="4" borderId="24" xfId="0" applyFont="1" applyFill="1" applyBorder="1" applyAlignment="1">
      <alignment horizontal="center"/>
    </xf>
    <xf numFmtId="0" fontId="4" fillId="4" borderId="32" xfId="2" applyFont="1" applyFill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/>
    </xf>
    <xf numFmtId="164" fontId="4" fillId="4" borderId="1" xfId="0" applyNumberFormat="1" applyFont="1" applyFill="1" applyBorder="1" applyAlignment="1">
      <alignment horizontal="center" vertical="center"/>
    </xf>
    <xf numFmtId="164" fontId="4" fillId="4" borderId="0" xfId="0" applyNumberFormat="1" applyFont="1" applyFill="1" applyBorder="1" applyAlignment="1">
      <alignment horizontal="center"/>
    </xf>
    <xf numFmtId="0" fontId="11" fillId="4" borderId="32" xfId="0" applyFont="1" applyFill="1" applyBorder="1" applyAlignment="1">
      <alignment horizontal="center"/>
    </xf>
    <xf numFmtId="0" fontId="4" fillId="4" borderId="1" xfId="2" applyFont="1" applyFill="1" applyBorder="1" applyAlignment="1">
      <alignment horizontal="center"/>
    </xf>
    <xf numFmtId="0" fontId="22" fillId="4" borderId="1" xfId="3" applyFont="1" applyFill="1" applyBorder="1" applyAlignment="1">
      <alignment horizontal="center" vertical="center"/>
    </xf>
    <xf numFmtId="0" fontId="22" fillId="4" borderId="32" xfId="3" applyFont="1" applyFill="1" applyBorder="1" applyAlignment="1">
      <alignment horizontal="center" vertical="center"/>
    </xf>
    <xf numFmtId="0" fontId="11" fillId="4" borderId="117" xfId="0" applyFont="1" applyFill="1" applyBorder="1" applyAlignment="1">
      <alignment horizontal="center"/>
    </xf>
    <xf numFmtId="14" fontId="22" fillId="4" borderId="117" xfId="0" applyNumberFormat="1" applyFont="1" applyFill="1" applyBorder="1" applyAlignment="1">
      <alignment horizontal="center"/>
    </xf>
    <xf numFmtId="0" fontId="4" fillId="4" borderId="117" xfId="0" applyFont="1" applyFill="1" applyBorder="1" applyAlignment="1">
      <alignment horizontal="center"/>
    </xf>
    <xf numFmtId="164" fontId="4" fillId="4" borderId="117" xfId="0" applyNumberFormat="1" applyFont="1" applyFill="1" applyBorder="1" applyAlignment="1">
      <alignment horizontal="center"/>
    </xf>
    <xf numFmtId="0" fontId="22" fillId="4" borderId="117" xfId="3" applyFont="1" applyFill="1" applyBorder="1" applyAlignment="1">
      <alignment horizontal="center" vertical="center"/>
    </xf>
    <xf numFmtId="0" fontId="22" fillId="4" borderId="32" xfId="0" applyFont="1" applyFill="1" applyBorder="1" applyAlignment="1">
      <alignment horizontal="center"/>
    </xf>
    <xf numFmtId="0" fontId="4" fillId="4" borderId="117" xfId="2" applyFont="1" applyFill="1" applyBorder="1" applyAlignment="1">
      <alignment horizontal="center" vertical="center"/>
    </xf>
    <xf numFmtId="0" fontId="72" fillId="4" borderId="1" xfId="0" applyFont="1" applyFill="1" applyBorder="1" applyAlignment="1">
      <alignment horizontal="center" wrapText="1"/>
    </xf>
    <xf numFmtId="0" fontId="26" fillId="24" borderId="0" xfId="0" applyFont="1" applyFill="1"/>
    <xf numFmtId="0" fontId="0" fillId="0" borderId="0" xfId="0"/>
    <xf numFmtId="0" fontId="0" fillId="0" borderId="0" xfId="0"/>
    <xf numFmtId="0" fontId="1" fillId="4" borderId="2" xfId="0" applyFont="1" applyFill="1" applyBorder="1" applyAlignment="1" applyProtection="1">
      <alignment horizontal="center" vertical="top" readingOrder="2"/>
      <protection locked="0"/>
    </xf>
    <xf numFmtId="0" fontId="1" fillId="4" borderId="22" xfId="0" applyFont="1" applyFill="1" applyBorder="1" applyAlignment="1" applyProtection="1">
      <alignment horizontal="right" vertical="center"/>
      <protection locked="0"/>
    </xf>
    <xf numFmtId="0" fontId="1" fillId="0" borderId="18" xfId="0" applyFont="1" applyBorder="1" applyAlignment="1" applyProtection="1">
      <alignment horizontal="center"/>
      <protection locked="0"/>
    </xf>
    <xf numFmtId="0" fontId="0" fillId="0" borderId="10" xfId="0" applyFill="1" applyBorder="1"/>
    <xf numFmtId="0" fontId="19" fillId="0" borderId="0" xfId="0" applyFont="1" applyFill="1" applyBorder="1" applyAlignment="1">
      <alignment horizontal="left"/>
    </xf>
    <xf numFmtId="0" fontId="0" fillId="0" borderId="30" xfId="0" applyFill="1" applyBorder="1"/>
    <xf numFmtId="0" fontId="0" fillId="0" borderId="119" xfId="0" applyFill="1" applyBorder="1"/>
    <xf numFmtId="0" fontId="0" fillId="0" borderId="120" xfId="0" applyFill="1" applyBorder="1"/>
    <xf numFmtId="0" fontId="2" fillId="0" borderId="120" xfId="0" applyFont="1" applyFill="1" applyBorder="1"/>
    <xf numFmtId="0" fontId="75" fillId="0" borderId="120" xfId="0" applyFont="1" applyFill="1" applyBorder="1" applyAlignment="1">
      <alignment horizontal="right"/>
    </xf>
    <xf numFmtId="0" fontId="2" fillId="0" borderId="120" xfId="0" applyFont="1" applyFill="1" applyBorder="1" applyAlignment="1">
      <alignment horizontal="right"/>
    </xf>
    <xf numFmtId="0" fontId="0" fillId="0" borderId="121" xfId="0" applyFill="1" applyBorder="1"/>
    <xf numFmtId="164" fontId="54" fillId="0" borderId="1" xfId="0" applyNumberFormat="1" applyFont="1" applyFill="1" applyBorder="1" applyAlignment="1">
      <alignment horizontal="center"/>
    </xf>
    <xf numFmtId="1" fontId="54" fillId="0" borderId="1" xfId="0" applyNumberFormat="1" applyFont="1" applyFill="1" applyBorder="1" applyAlignment="1">
      <alignment horizontal="center" vertical="center"/>
    </xf>
    <xf numFmtId="49" fontId="23" fillId="0" borderId="1" xfId="0" applyNumberFormat="1" applyFont="1" applyFill="1" applyBorder="1" applyAlignment="1" applyProtection="1">
      <alignment horizontal="center"/>
      <protection locked="0"/>
    </xf>
    <xf numFmtId="0" fontId="0" fillId="0" borderId="0" xfId="0"/>
    <xf numFmtId="0" fontId="55" fillId="0" borderId="1" xfId="0" applyFont="1" applyFill="1" applyBorder="1" applyAlignment="1" applyProtection="1">
      <alignment horizontal="center" vertical="center"/>
      <protection locked="0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7" fillId="0" borderId="0" xfId="0" applyFont="1" applyFill="1" applyProtection="1">
      <protection locked="0"/>
    </xf>
    <xf numFmtId="0" fontId="1" fillId="0" borderId="0" xfId="0" applyFont="1" applyFill="1" applyAlignment="1" applyProtection="1">
      <alignment vertical="center"/>
      <protection locked="0"/>
    </xf>
    <xf numFmtId="0" fontId="27" fillId="0" borderId="0" xfId="0" applyFont="1" applyFill="1" applyAlignment="1" applyProtection="1">
      <alignment horizontal="right"/>
      <protection locked="0"/>
    </xf>
    <xf numFmtId="168" fontId="1" fillId="0" borderId="0" xfId="0" applyNumberFormat="1" applyFont="1" applyFill="1" applyProtection="1">
      <protection locked="0"/>
    </xf>
    <xf numFmtId="0" fontId="27" fillId="0" borderId="0" xfId="0" applyFont="1" applyFill="1" applyAlignment="1" applyProtection="1">
      <alignment horizontal="left"/>
      <protection locked="0"/>
    </xf>
    <xf numFmtId="0" fontId="25" fillId="0" borderId="0" xfId="0" applyFont="1" applyFill="1"/>
    <xf numFmtId="0" fontId="23" fillId="0" borderId="0" xfId="0" applyFont="1" applyFill="1" applyAlignment="1" applyProtection="1">
      <alignment horizontal="left"/>
      <protection locked="0"/>
    </xf>
    <xf numFmtId="0" fontId="68" fillId="0" borderId="0" xfId="0" applyFont="1" applyFill="1"/>
    <xf numFmtId="0" fontId="0" fillId="0" borderId="0" xfId="0"/>
    <xf numFmtId="0" fontId="54" fillId="0" borderId="1" xfId="0" applyFont="1" applyFill="1" applyBorder="1" applyAlignment="1" applyProtection="1">
      <alignment vertical="top"/>
      <protection locked="0"/>
    </xf>
    <xf numFmtId="0" fontId="29" fillId="0" borderId="1" xfId="0" applyFont="1" applyFill="1" applyBorder="1" applyAlignment="1">
      <alignment horizontal="center" vertical="center"/>
    </xf>
    <xf numFmtId="0" fontId="73" fillId="0" borderId="1" xfId="0" applyFont="1" applyFill="1" applyBorder="1" applyAlignment="1">
      <alignment horizontal="center" vertical="center"/>
    </xf>
    <xf numFmtId="0" fontId="54" fillId="0" borderId="0" xfId="0" applyFont="1" applyFill="1"/>
    <xf numFmtId="0" fontId="23" fillId="0" borderId="0" xfId="0" applyFont="1" applyFill="1"/>
    <xf numFmtId="0" fontId="27" fillId="0" borderId="0" xfId="0" applyFont="1" applyFill="1" applyAlignment="1"/>
    <xf numFmtId="0" fontId="56" fillId="0" borderId="0" xfId="0" applyFont="1" applyFill="1"/>
    <xf numFmtId="0" fontId="27" fillId="0" borderId="0" xfId="0" applyFont="1" applyFill="1"/>
    <xf numFmtId="0" fontId="27" fillId="0" borderId="0" xfId="0" applyFont="1" applyFill="1" applyAlignment="1" applyProtection="1">
      <alignment vertical="top"/>
      <protection locked="0"/>
    </xf>
    <xf numFmtId="0" fontId="1" fillId="0" borderId="0" xfId="0" applyFont="1" applyFill="1" applyAlignment="1" applyProtection="1">
      <alignment vertical="top"/>
      <protection locked="0"/>
    </xf>
    <xf numFmtId="0" fontId="23" fillId="0" borderId="0" xfId="0" applyFont="1" applyFill="1" applyBorder="1" applyAlignment="1" applyProtection="1">
      <alignment horizontal="center" vertical="top"/>
      <protection locked="0"/>
    </xf>
    <xf numFmtId="0" fontId="1" fillId="0" borderId="32" xfId="0" applyFont="1" applyFill="1" applyBorder="1" applyAlignment="1">
      <alignment horizontal="right"/>
    </xf>
    <xf numFmtId="0" fontId="22" fillId="0" borderId="2" xfId="0" applyFont="1" applyFill="1" applyBorder="1"/>
    <xf numFmtId="1" fontId="22" fillId="0" borderId="9" xfId="0" applyNumberFormat="1" applyFont="1" applyFill="1" applyBorder="1" applyAlignment="1">
      <alignment horizontal="center" vertical="center"/>
    </xf>
    <xf numFmtId="0" fontId="23" fillId="0" borderId="2" xfId="0" applyFont="1" applyFill="1" applyBorder="1"/>
    <xf numFmtId="1" fontId="1" fillId="0" borderId="9" xfId="0" applyNumberFormat="1" applyFont="1" applyFill="1" applyBorder="1" applyAlignment="1">
      <alignment horizontal="center" vertical="center"/>
    </xf>
    <xf numFmtId="1" fontId="64" fillId="0" borderId="4" xfId="0" applyNumberFormat="1" applyFont="1" applyFill="1" applyBorder="1" applyAlignment="1">
      <alignment horizontal="right" vertical="center"/>
    </xf>
    <xf numFmtId="0" fontId="1" fillId="0" borderId="32" xfId="0" applyFont="1" applyFill="1" applyBorder="1" applyAlignment="1" applyProtection="1">
      <alignment horizontal="right" vertical="top"/>
      <protection locked="0"/>
    </xf>
    <xf numFmtId="1" fontId="22" fillId="0" borderId="4" xfId="0" applyNumberFormat="1" applyFont="1" applyFill="1" applyBorder="1" applyAlignment="1">
      <alignment horizontal="center" vertical="center"/>
    </xf>
    <xf numFmtId="0" fontId="1" fillId="0" borderId="93" xfId="0" applyFont="1" applyFill="1" applyBorder="1" applyAlignment="1" applyProtection="1">
      <alignment horizontal="right" vertical="top"/>
      <protection locked="0"/>
    </xf>
    <xf numFmtId="0" fontId="22" fillId="0" borderId="32" xfId="0" applyFont="1" applyFill="1" applyBorder="1" applyAlignment="1" applyProtection="1">
      <alignment horizontal="center"/>
      <protection locked="0"/>
    </xf>
    <xf numFmtId="0" fontId="23" fillId="0" borderId="32" xfId="0" applyFont="1" applyFill="1" applyBorder="1" applyAlignment="1" applyProtection="1">
      <alignment horizontal="center"/>
      <protection locked="0"/>
    </xf>
    <xf numFmtId="0" fontId="22" fillId="0" borderId="9" xfId="0" applyFont="1" applyFill="1" applyBorder="1"/>
    <xf numFmtId="0" fontId="23" fillId="0" borderId="2" xfId="0" applyFont="1" applyFill="1" applyBorder="1" applyAlignment="1">
      <alignment horizontal="center"/>
    </xf>
    <xf numFmtId="0" fontId="22" fillId="0" borderId="1" xfId="0" applyFont="1" applyFill="1" applyBorder="1" applyAlignment="1">
      <alignment horizontal="center"/>
    </xf>
    <xf numFmtId="1" fontId="22" fillId="0" borderId="2" xfId="0" applyNumberFormat="1" applyFont="1" applyFill="1" applyBorder="1" applyAlignment="1">
      <alignment horizontal="center" vertical="center"/>
    </xf>
    <xf numFmtId="49" fontId="22" fillId="0" borderId="18" xfId="0" applyNumberFormat="1" applyFont="1" applyFill="1" applyBorder="1" applyAlignment="1" applyProtection="1">
      <alignment horizontal="center"/>
      <protection locked="0"/>
    </xf>
    <xf numFmtId="0" fontId="2" fillId="0" borderId="0" xfId="0" applyFont="1" applyFill="1" applyAlignment="1">
      <alignment horizontal="right"/>
    </xf>
    <xf numFmtId="1" fontId="22" fillId="0" borderId="9" xfId="0" applyNumberFormat="1" applyFont="1" applyFill="1" applyBorder="1" applyAlignment="1" applyProtection="1">
      <alignment horizontal="center" vertical="center"/>
      <protection locked="0"/>
    </xf>
    <xf numFmtId="0" fontId="24" fillId="0" borderId="0" xfId="0" applyFont="1" applyFill="1" applyBorder="1" applyAlignment="1" applyProtection="1">
      <alignment horizontal="center" vertical="top"/>
      <protection locked="0"/>
    </xf>
    <xf numFmtId="0" fontId="27" fillId="0" borderId="0" xfId="0" applyFont="1" applyFill="1" applyAlignment="1" applyProtection="1">
      <alignment horizontal="center" vertical="top"/>
      <protection locked="0"/>
    </xf>
    <xf numFmtId="0" fontId="27" fillId="0" borderId="0" xfId="0" applyFont="1" applyFill="1" applyAlignment="1">
      <alignment horizontal="center" vertical="center"/>
    </xf>
    <xf numFmtId="0" fontId="27" fillId="0" borderId="0" xfId="0" applyFont="1" applyFill="1" applyAlignment="1">
      <alignment vertical="center"/>
    </xf>
    <xf numFmtId="0" fontId="1" fillId="4" borderId="7" xfId="0" applyFont="1" applyFill="1" applyBorder="1" applyAlignment="1" applyProtection="1">
      <alignment horizontal="right" vertical="center"/>
      <protection locked="0"/>
    </xf>
    <xf numFmtId="0" fontId="1" fillId="0" borderId="1" xfId="0" applyFont="1" applyFill="1" applyBorder="1" applyAlignment="1">
      <alignment horizontal="center"/>
    </xf>
    <xf numFmtId="0" fontId="24" fillId="0" borderId="2" xfId="0" applyFont="1" applyBorder="1" applyAlignment="1" applyProtection="1">
      <alignment horizontal="center"/>
      <protection locked="0"/>
    </xf>
    <xf numFmtId="0" fontId="23" fillId="4" borderId="9" xfId="0" applyFont="1" applyFill="1" applyBorder="1" applyAlignment="1" applyProtection="1">
      <alignment horizontal="center" vertical="center"/>
      <protection locked="0"/>
    </xf>
    <xf numFmtId="0" fontId="23" fillId="4" borderId="9" xfId="0" applyFont="1" applyFill="1" applyBorder="1" applyAlignment="1" applyProtection="1">
      <alignment horizontal="right" vertical="top"/>
      <protection locked="0"/>
    </xf>
    <xf numFmtId="0" fontId="23" fillId="4" borderId="9" xfId="0" applyFont="1" applyFill="1" applyBorder="1" applyAlignment="1" applyProtection="1">
      <alignment horizontal="right" vertical="center"/>
      <protection locked="0"/>
    </xf>
    <xf numFmtId="0" fontId="23" fillId="4" borderId="4" xfId="0" applyFont="1" applyFill="1" applyBorder="1" applyAlignment="1" applyProtection="1">
      <alignment horizontal="right" vertical="top"/>
      <protection locked="0"/>
    </xf>
    <xf numFmtId="0" fontId="67" fillId="0" borderId="90" xfId="0" applyFont="1" applyBorder="1" applyAlignment="1">
      <alignment horizontal="center" vertical="top" wrapText="1" readingOrder="2"/>
    </xf>
    <xf numFmtId="0" fontId="67" fillId="0" borderId="21" xfId="0" applyFont="1" applyBorder="1" applyAlignment="1">
      <alignment horizontal="center" vertical="top" wrapText="1" readingOrder="2"/>
    </xf>
    <xf numFmtId="164" fontId="48" fillId="0" borderId="1" xfId="0" applyNumberFormat="1" applyFont="1" applyFill="1" applyBorder="1" applyAlignment="1">
      <alignment horizontal="right" vertical="center"/>
    </xf>
    <xf numFmtId="2" fontId="77" fillId="2" borderId="1" xfId="0" applyNumberFormat="1" applyFont="1" applyFill="1" applyBorder="1" applyAlignment="1" applyProtection="1">
      <alignment horizontal="center"/>
      <protection hidden="1"/>
    </xf>
    <xf numFmtId="0" fontId="0" fillId="0" borderId="0" xfId="0"/>
    <xf numFmtId="0" fontId="54" fillId="0" borderId="25" xfId="0" applyFont="1" applyFill="1" applyBorder="1" applyAlignment="1" applyProtection="1">
      <alignment horizontal="center" vertical="center"/>
      <protection locked="0"/>
    </xf>
    <xf numFmtId="0" fontId="2" fillId="0" borderId="0" xfId="0" applyFont="1" applyFill="1" applyAlignment="1" applyProtection="1">
      <alignment horizontal="center"/>
      <protection locked="0"/>
    </xf>
    <xf numFmtId="0" fontId="55" fillId="0" borderId="31" xfId="0" applyFont="1" applyFill="1" applyBorder="1" applyAlignment="1" applyProtection="1">
      <alignment horizontal="center" vertical="center"/>
      <protection locked="0"/>
    </xf>
    <xf numFmtId="0" fontId="23" fillId="0" borderId="0" xfId="0" applyFont="1" applyFill="1" applyBorder="1" applyAlignment="1" applyProtection="1">
      <alignment horizontal="center" vertical="top"/>
      <protection locked="0"/>
    </xf>
    <xf numFmtId="0" fontId="54" fillId="0" borderId="1" xfId="0" applyFont="1" applyFill="1" applyBorder="1" applyAlignment="1" applyProtection="1">
      <alignment horizontal="center"/>
      <protection locked="0"/>
    </xf>
    <xf numFmtId="0" fontId="54" fillId="0" borderId="0" xfId="0" applyFont="1" applyFill="1" applyBorder="1" applyAlignment="1" applyProtection="1">
      <alignment horizontal="center"/>
      <protection locked="0"/>
    </xf>
    <xf numFmtId="0" fontId="2" fillId="0" borderId="0" xfId="0" applyFont="1" applyAlignment="1" applyProtection="1">
      <alignment horizontal="center"/>
      <protection locked="0"/>
    </xf>
    <xf numFmtId="0" fontId="2" fillId="0" borderId="0" xfId="0" applyFont="1" applyAlignment="1" applyProtection="1">
      <alignment horizontal="right"/>
      <protection locked="0"/>
    </xf>
    <xf numFmtId="0" fontId="1" fillId="4" borderId="111" xfId="0" applyFont="1" applyFill="1" applyBorder="1" applyAlignment="1" applyProtection="1">
      <alignment horizontal="center" vertical="center"/>
      <protection locked="0"/>
    </xf>
    <xf numFmtId="0" fontId="1" fillId="4" borderId="114" xfId="0" applyFont="1" applyFill="1" applyBorder="1" applyAlignment="1" applyProtection="1">
      <alignment horizontal="center" vertical="center"/>
      <protection locked="0"/>
    </xf>
    <xf numFmtId="0" fontId="23" fillId="4" borderId="7" xfId="0" applyFont="1" applyFill="1" applyBorder="1" applyAlignment="1" applyProtection="1">
      <alignment horizontal="center" vertical="center"/>
      <protection locked="0"/>
    </xf>
    <xf numFmtId="0" fontId="23" fillId="4" borderId="9" xfId="0" applyFont="1" applyFill="1" applyBorder="1" applyAlignment="1" applyProtection="1">
      <alignment horizontal="center" vertical="center"/>
      <protection locked="0"/>
    </xf>
    <xf numFmtId="0" fontId="23" fillId="4" borderId="7" xfId="0" applyFont="1" applyFill="1" applyBorder="1" applyAlignment="1" applyProtection="1">
      <alignment horizontal="right" vertical="top"/>
      <protection locked="0"/>
    </xf>
    <xf numFmtId="0" fontId="23" fillId="4" borderId="9" xfId="0" applyFont="1" applyFill="1" applyBorder="1" applyAlignment="1" applyProtection="1">
      <alignment horizontal="right" vertical="top"/>
      <protection locked="0"/>
    </xf>
    <xf numFmtId="0" fontId="23" fillId="4" borderId="7" xfId="0" applyFont="1" applyFill="1" applyBorder="1" applyAlignment="1" applyProtection="1">
      <alignment horizontal="right" vertical="center"/>
      <protection locked="0"/>
    </xf>
    <xf numFmtId="0" fontId="23" fillId="4" borderId="9" xfId="0" applyFont="1" applyFill="1" applyBorder="1" applyAlignment="1" applyProtection="1">
      <alignment horizontal="right" vertical="center"/>
      <protection locked="0"/>
    </xf>
    <xf numFmtId="2" fontId="54" fillId="2" borderId="1" xfId="0" applyNumberFormat="1" applyFont="1" applyFill="1" applyBorder="1" applyAlignment="1" applyProtection="1">
      <alignment horizontal="center"/>
      <protection hidden="1"/>
    </xf>
    <xf numFmtId="0" fontId="1" fillId="0" borderId="0" xfId="0" applyFont="1" applyAlignment="1" applyProtection="1">
      <alignment horizontal="right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164" fontId="48" fillId="0" borderId="24" xfId="0" applyNumberFormat="1" applyFont="1" applyFill="1" applyBorder="1" applyAlignment="1">
      <alignment horizontal="right" vertical="center"/>
    </xf>
    <xf numFmtId="0" fontId="1" fillId="26" borderId="1" xfId="0" applyFont="1" applyFill="1" applyBorder="1" applyAlignment="1" applyProtection="1">
      <alignment horizontal="center"/>
      <protection locked="0"/>
    </xf>
    <xf numFmtId="0" fontId="23" fillId="26" borderId="1" xfId="0" applyFont="1" applyFill="1" applyBorder="1" applyAlignment="1" applyProtection="1">
      <alignment horizontal="center" vertical="top"/>
      <protection locked="0"/>
    </xf>
    <xf numFmtId="0" fontId="23" fillId="26" borderId="1" xfId="0" applyFont="1" applyFill="1" applyBorder="1" applyAlignment="1">
      <alignment horizontal="center"/>
    </xf>
    <xf numFmtId="0" fontId="54" fillId="26" borderId="3" xfId="0" applyFont="1" applyFill="1" applyBorder="1" applyAlignment="1" applyProtection="1">
      <alignment horizontal="center" vertical="top"/>
      <protection locked="0"/>
    </xf>
    <xf numFmtId="0" fontId="54" fillId="0" borderId="7" xfId="0" applyFont="1" applyBorder="1" applyAlignment="1" applyProtection="1">
      <alignment horizontal="left"/>
      <protection locked="0"/>
    </xf>
    <xf numFmtId="0" fontId="54" fillId="0" borderId="8" xfId="0" applyFont="1" applyBorder="1" applyProtection="1">
      <protection locked="0"/>
    </xf>
    <xf numFmtId="0" fontId="54" fillId="0" borderId="122" xfId="0" applyFont="1" applyBorder="1"/>
    <xf numFmtId="0" fontId="54" fillId="0" borderId="122" xfId="0" applyFont="1" applyBorder="1" applyProtection="1">
      <protection locked="0"/>
    </xf>
    <xf numFmtId="0" fontId="54" fillId="0" borderId="122" xfId="0" applyFont="1" applyBorder="1" applyAlignment="1" applyProtection="1">
      <protection locked="0"/>
    </xf>
    <xf numFmtId="0" fontId="55" fillId="0" borderId="24" xfId="0" applyFont="1" applyFill="1" applyBorder="1" applyAlignment="1" applyProtection="1">
      <alignment horizontal="center" vertical="center"/>
      <protection locked="0"/>
    </xf>
    <xf numFmtId="0" fontId="54" fillId="0" borderId="24" xfId="0" applyFont="1" applyFill="1" applyBorder="1" applyAlignment="1" applyProtection="1">
      <alignment horizontal="center" vertical="center"/>
      <protection locked="0"/>
    </xf>
    <xf numFmtId="0" fontId="27" fillId="23" borderId="22" xfId="0" applyFont="1" applyFill="1" applyBorder="1" applyAlignment="1" applyProtection="1">
      <alignment vertical="top"/>
      <protection locked="0"/>
    </xf>
    <xf numFmtId="0" fontId="27" fillId="23" borderId="1" xfId="0" applyFont="1" applyFill="1" applyBorder="1" applyAlignment="1" applyProtection="1">
      <alignment vertical="top"/>
      <protection locked="0"/>
    </xf>
    <xf numFmtId="0" fontId="23" fillId="23" borderId="24" xfId="0" applyFont="1" applyFill="1" applyBorder="1" applyAlignment="1" applyProtection="1">
      <alignment horizontal="center"/>
      <protection locked="0"/>
    </xf>
    <xf numFmtId="0" fontId="23" fillId="23" borderId="1" xfId="0" applyFont="1" applyFill="1" applyBorder="1" applyAlignment="1" applyProtection="1">
      <alignment horizontal="center"/>
      <protection locked="0"/>
    </xf>
    <xf numFmtId="0" fontId="54" fillId="23" borderId="1" xfId="0" applyFont="1" applyFill="1" applyBorder="1" applyAlignment="1" applyProtection="1">
      <alignment horizontal="center"/>
      <protection locked="0"/>
    </xf>
    <xf numFmtId="0" fontId="54" fillId="23" borderId="75" xfId="0" applyFont="1" applyFill="1" applyBorder="1" applyAlignment="1" applyProtection="1">
      <alignment horizontal="center"/>
      <protection locked="0"/>
    </xf>
    <xf numFmtId="0" fontId="54" fillId="23" borderId="1" xfId="0" applyFont="1" applyFill="1" applyBorder="1" applyAlignment="1" applyProtection="1">
      <protection locked="0"/>
    </xf>
    <xf numFmtId="0" fontId="27" fillId="23" borderId="15" xfId="0" applyFont="1" applyFill="1" applyBorder="1" applyAlignment="1" applyProtection="1">
      <alignment horizontal="center" vertical="top"/>
      <protection locked="0"/>
    </xf>
    <xf numFmtId="0" fontId="29" fillId="2" borderId="1" xfId="0" applyFont="1" applyFill="1" applyBorder="1" applyAlignment="1">
      <alignment horizontal="center" vertical="center"/>
    </xf>
    <xf numFmtId="0" fontId="27" fillId="25" borderId="1" xfId="0" applyFont="1" applyFill="1" applyBorder="1" applyAlignment="1" applyProtection="1">
      <alignment horizontal="center" vertical="top"/>
      <protection locked="0"/>
    </xf>
    <xf numFmtId="0" fontId="54" fillId="25" borderId="1" xfId="0" applyFont="1" applyFill="1" applyBorder="1" applyAlignment="1" applyProtection="1">
      <alignment horizontal="center" vertical="top"/>
      <protection hidden="1"/>
    </xf>
    <xf numFmtId="0" fontId="27" fillId="2" borderId="11" xfId="0" applyFont="1" applyFill="1" applyBorder="1" applyAlignment="1" applyProtection="1">
      <alignment horizontal="center" vertical="top"/>
      <protection locked="0"/>
    </xf>
    <xf numFmtId="0" fontId="27" fillId="2" borderId="1" xfId="0" applyFont="1" applyFill="1" applyBorder="1" applyAlignment="1" applyProtection="1">
      <alignment vertical="top"/>
      <protection locked="0"/>
    </xf>
    <xf numFmtId="164" fontId="1" fillId="0" borderId="0" xfId="0" applyNumberFormat="1" applyFont="1" applyBorder="1" applyAlignment="1" applyProtection="1"/>
    <xf numFmtId="0" fontId="23" fillId="0" borderId="25" xfId="0" applyFont="1" applyBorder="1" applyAlignment="1">
      <alignment horizontal="center"/>
    </xf>
    <xf numFmtId="164" fontId="54" fillId="4" borderId="24" xfId="0" applyNumberFormat="1" applyFont="1" applyFill="1" applyBorder="1" applyAlignment="1"/>
    <xf numFmtId="164" fontId="54" fillId="0" borderId="24" xfId="0" applyNumberFormat="1" applyFont="1" applyFill="1" applyBorder="1" applyAlignment="1">
      <alignment horizontal="center"/>
    </xf>
    <xf numFmtId="1" fontId="54" fillId="0" borderId="24" xfId="0" applyNumberFormat="1" applyFont="1" applyFill="1" applyBorder="1" applyAlignment="1">
      <alignment horizontal="center" vertical="center"/>
    </xf>
    <xf numFmtId="0" fontId="54" fillId="0" borderId="24" xfId="0" applyFont="1" applyFill="1" applyBorder="1" applyAlignment="1" applyProtection="1">
      <alignment vertical="top"/>
      <protection locked="0"/>
    </xf>
    <xf numFmtId="0" fontId="54" fillId="0" borderId="23" xfId="0" applyFont="1" applyFill="1" applyBorder="1" applyAlignment="1" applyProtection="1">
      <alignment vertical="top"/>
      <protection locked="0"/>
    </xf>
    <xf numFmtId="167" fontId="54" fillId="0" borderId="25" xfId="0" applyNumberFormat="1" applyFont="1" applyFill="1" applyBorder="1" applyAlignment="1">
      <alignment horizontal="center" vertical="center" readingOrder="2"/>
    </xf>
    <xf numFmtId="2" fontId="54" fillId="2" borderId="1" xfId="0" applyNumberFormat="1" applyFont="1" applyFill="1" applyBorder="1" applyAlignment="1" applyProtection="1">
      <alignment horizontal="center" vertical="top"/>
      <protection locked="0"/>
    </xf>
    <xf numFmtId="0" fontId="27" fillId="0" borderId="123" xfId="0" applyFont="1" applyFill="1" applyBorder="1" applyProtection="1">
      <protection locked="0"/>
    </xf>
    <xf numFmtId="0" fontId="27" fillId="23" borderId="24" xfId="0" applyFont="1" applyFill="1" applyBorder="1" applyAlignment="1" applyProtection="1">
      <alignment vertical="top"/>
      <protection locked="0"/>
    </xf>
    <xf numFmtId="0" fontId="27" fillId="0" borderId="123" xfId="0" applyFont="1" applyFill="1" applyBorder="1" applyAlignment="1" applyProtection="1">
      <alignment horizontal="left"/>
      <protection locked="0"/>
    </xf>
    <xf numFmtId="0" fontId="27" fillId="0" borderId="123" xfId="0" applyFont="1" applyFill="1" applyBorder="1"/>
    <xf numFmtId="0" fontId="54" fillId="23" borderId="1" xfId="0" applyFont="1" applyFill="1" applyBorder="1" applyAlignment="1" applyProtection="1">
      <alignment vertical="top"/>
      <protection locked="0"/>
    </xf>
    <xf numFmtId="0" fontId="54" fillId="23" borderId="32" xfId="0" applyFont="1" applyFill="1" applyBorder="1" applyAlignment="1" applyProtection="1">
      <alignment vertical="top"/>
      <protection locked="0"/>
    </xf>
    <xf numFmtId="0" fontId="2" fillId="0" borderId="0" xfId="0" applyFont="1" applyBorder="1" applyAlignment="1" applyProtection="1">
      <alignment vertical="center"/>
      <protection locked="0"/>
    </xf>
    <xf numFmtId="0" fontId="25" fillId="0" borderId="0" xfId="0" applyFont="1" applyAlignment="1">
      <alignment vertical="center"/>
    </xf>
    <xf numFmtId="0" fontId="54" fillId="2" borderId="1" xfId="0" applyFont="1" applyFill="1" applyBorder="1" applyAlignment="1" applyProtection="1">
      <alignment vertical="top"/>
      <protection locked="0"/>
    </xf>
    <xf numFmtId="0" fontId="27" fillId="0" borderId="15" xfId="0" applyFont="1" applyFill="1" applyBorder="1" applyAlignment="1" applyProtection="1">
      <alignment horizontal="right"/>
      <protection locked="0"/>
    </xf>
    <xf numFmtId="0" fontId="25" fillId="0" borderId="89" xfId="0" applyFont="1" applyBorder="1"/>
    <xf numFmtId="0" fontId="27" fillId="0" borderId="30" xfId="0" applyFont="1" applyFill="1" applyBorder="1" applyProtection="1">
      <protection locked="0"/>
    </xf>
    <xf numFmtId="0" fontId="54" fillId="25" borderId="31" xfId="0" applyFont="1" applyFill="1" applyBorder="1" applyAlignment="1" applyProtection="1">
      <alignment horizontal="center" vertical="top"/>
      <protection hidden="1"/>
    </xf>
    <xf numFmtId="0" fontId="54" fillId="0" borderId="32" xfId="0" applyFont="1" applyFill="1" applyBorder="1" applyAlignment="1">
      <alignment horizontal="center"/>
    </xf>
    <xf numFmtId="0" fontId="54" fillId="0" borderId="122" xfId="0" applyFont="1" applyBorder="1" applyAlignment="1" applyProtection="1">
      <alignment readingOrder="2"/>
      <protection locked="0"/>
    </xf>
    <xf numFmtId="0" fontId="24" fillId="11" borderId="75" xfId="0" applyFont="1" applyFill="1" applyBorder="1" applyAlignment="1">
      <alignment vertical="center"/>
    </xf>
    <xf numFmtId="0" fontId="24" fillId="11" borderId="24" xfId="0" applyFont="1" applyFill="1" applyBorder="1" applyAlignment="1">
      <alignment vertical="center"/>
    </xf>
    <xf numFmtId="0" fontId="1" fillId="0" borderId="0" xfId="0" applyFont="1" applyBorder="1" applyAlignment="1" applyProtection="1">
      <alignment vertical="center"/>
      <protection locked="0"/>
    </xf>
    <xf numFmtId="164" fontId="1" fillId="0" borderId="30" xfId="0" applyNumberFormat="1" applyFont="1" applyBorder="1" applyAlignment="1" applyProtection="1">
      <alignment vertical="center"/>
    </xf>
    <xf numFmtId="0" fontId="23" fillId="0" borderId="0" xfId="0" applyFont="1" applyAlignment="1">
      <alignment vertical="center"/>
    </xf>
    <xf numFmtId="0" fontId="46" fillId="26" borderId="1" xfId="7" applyFill="1" applyBorder="1" applyAlignment="1" applyProtection="1">
      <protection locked="0"/>
    </xf>
    <xf numFmtId="0" fontId="2" fillId="0" borderId="15" xfId="0" applyFont="1" applyFill="1" applyBorder="1" applyAlignment="1">
      <alignment horizontal="right"/>
    </xf>
    <xf numFmtId="0" fontId="54" fillId="0" borderId="31" xfId="0" applyFont="1" applyFill="1" applyBorder="1" applyAlignment="1" applyProtection="1">
      <alignment vertical="center"/>
      <protection locked="0"/>
    </xf>
    <xf numFmtId="0" fontId="23" fillId="0" borderId="0" xfId="0" applyFont="1" applyFill="1" applyBorder="1" applyAlignment="1">
      <alignment horizontal="center"/>
    </xf>
    <xf numFmtId="164" fontId="54" fillId="0" borderId="0" xfId="0" applyNumberFormat="1" applyFont="1" applyFill="1" applyBorder="1" applyAlignment="1"/>
    <xf numFmtId="164" fontId="54" fillId="0" borderId="0" xfId="0" applyNumberFormat="1" applyFont="1" applyFill="1" applyBorder="1" applyAlignment="1">
      <alignment horizontal="center"/>
    </xf>
    <xf numFmtId="167" fontId="54" fillId="0" borderId="0" xfId="0" applyNumberFormat="1" applyFont="1" applyFill="1" applyBorder="1" applyAlignment="1">
      <alignment horizontal="center" vertical="center" readingOrder="2"/>
    </xf>
    <xf numFmtId="49" fontId="23" fillId="0" borderId="0" xfId="0" applyNumberFormat="1" applyFont="1" applyFill="1" applyBorder="1" applyAlignment="1" applyProtection="1">
      <alignment horizontal="center"/>
      <protection locked="0"/>
    </xf>
    <xf numFmtId="49" fontId="23" fillId="0" borderId="0" xfId="0" applyNumberFormat="1" applyFont="1" applyFill="1" applyBorder="1" applyProtection="1">
      <protection locked="0"/>
    </xf>
    <xf numFmtId="0" fontId="10" fillId="0" borderId="13" xfId="1" applyFont="1" applyFill="1" applyBorder="1" applyAlignment="1">
      <alignment horizontal="right" vertical="center"/>
    </xf>
    <xf numFmtId="0" fontId="13" fillId="4" borderId="32" xfId="1" applyFont="1" applyFill="1" applyBorder="1" applyAlignment="1">
      <alignment horizontal="center" vertical="center"/>
    </xf>
    <xf numFmtId="0" fontId="0" fillId="0" borderId="0" xfId="0"/>
    <xf numFmtId="0" fontId="0" fillId="0" borderId="0" xfId="0" applyBorder="1"/>
    <xf numFmtId="0" fontId="9" fillId="0" borderId="0" xfId="0" applyFont="1" applyBorder="1" applyAlignment="1">
      <alignment horizontal="center" vertical="center"/>
    </xf>
    <xf numFmtId="164" fontId="29" fillId="0" borderId="0" xfId="8" applyNumberFormat="1" applyFont="1" applyAlignment="1" applyProtection="1">
      <alignment horizontal="center" vertical="center"/>
      <protection hidden="1"/>
    </xf>
    <xf numFmtId="0" fontId="72" fillId="4" borderId="117" xfId="0" applyFont="1" applyFill="1" applyBorder="1" applyAlignment="1">
      <alignment wrapText="1"/>
    </xf>
    <xf numFmtId="0" fontId="47" fillId="4" borderId="32" xfId="0" applyFont="1" applyFill="1" applyBorder="1" applyAlignment="1">
      <alignment horizontal="center"/>
    </xf>
    <xf numFmtId="0" fontId="47" fillId="4" borderId="32" xfId="2" applyFont="1" applyFill="1" applyBorder="1" applyAlignment="1">
      <alignment horizontal="center" vertical="center"/>
    </xf>
    <xf numFmtId="0" fontId="72" fillId="4" borderId="117" xfId="0" applyFont="1" applyFill="1" applyBorder="1" applyAlignment="1">
      <alignment horizontal="center" wrapText="1"/>
    </xf>
    <xf numFmtId="14" fontId="72" fillId="4" borderId="117" xfId="0" applyNumberFormat="1" applyFont="1" applyFill="1" applyBorder="1" applyAlignment="1">
      <alignment horizontal="center" wrapText="1"/>
    </xf>
    <xf numFmtId="14" fontId="78" fillId="4" borderId="117" xfId="0" applyNumberFormat="1" applyFont="1" applyFill="1" applyBorder="1" applyAlignment="1">
      <alignment horizontal="center" wrapText="1"/>
    </xf>
    <xf numFmtId="14" fontId="72" fillId="4" borderId="1" xfId="0" applyNumberFormat="1" applyFont="1" applyFill="1" applyBorder="1" applyAlignment="1">
      <alignment horizontal="center" wrapText="1"/>
    </xf>
    <xf numFmtId="0" fontId="47" fillId="4" borderId="117" xfId="0" applyFont="1" applyFill="1" applyBorder="1" applyAlignment="1">
      <alignment horizontal="center"/>
    </xf>
    <xf numFmtId="0" fontId="4" fillId="4" borderId="117" xfId="0" applyFont="1" applyFill="1" applyBorder="1" applyAlignment="1">
      <alignment horizontal="center" vertical="center"/>
    </xf>
    <xf numFmtId="14" fontId="78" fillId="4" borderId="1" xfId="0" applyNumberFormat="1" applyFont="1" applyFill="1" applyBorder="1" applyAlignment="1">
      <alignment horizontal="center" wrapText="1"/>
    </xf>
    <xf numFmtId="0" fontId="4" fillId="4" borderId="117" xfId="0" applyNumberFormat="1" applyFont="1" applyFill="1" applyBorder="1" applyAlignment="1">
      <alignment horizontal="center"/>
    </xf>
    <xf numFmtId="14" fontId="72" fillId="4" borderId="32" xfId="0" applyNumberFormat="1" applyFont="1" applyFill="1" applyBorder="1" applyAlignment="1">
      <alignment horizontal="center" wrapText="1"/>
    </xf>
    <xf numFmtId="0" fontId="29" fillId="4" borderId="117" xfId="0" applyFont="1" applyFill="1" applyBorder="1" applyAlignment="1">
      <alignment horizontal="center"/>
    </xf>
    <xf numFmtId="2" fontId="47" fillId="4" borderId="117" xfId="0" applyNumberFormat="1" applyFont="1" applyFill="1" applyBorder="1" applyAlignment="1">
      <alignment horizontal="center" vertical="center"/>
    </xf>
    <xf numFmtId="0" fontId="72" fillId="4" borderId="32" xfId="0" applyFont="1" applyFill="1" applyBorder="1" applyAlignment="1">
      <alignment horizontal="center" wrapText="1"/>
    </xf>
    <xf numFmtId="14" fontId="22" fillId="4" borderId="118" xfId="0" applyNumberFormat="1" applyFont="1" applyFill="1" applyBorder="1" applyAlignment="1">
      <alignment horizontal="center"/>
    </xf>
    <xf numFmtId="164" fontId="4" fillId="4" borderId="0" xfId="0" applyNumberFormat="1" applyFont="1" applyFill="1" applyAlignment="1">
      <alignment horizontal="right"/>
    </xf>
    <xf numFmtId="0" fontId="22" fillId="4" borderId="0" xfId="3" applyFont="1" applyFill="1" applyBorder="1" applyAlignment="1">
      <alignment horizontal="center" vertical="center"/>
    </xf>
    <xf numFmtId="0" fontId="10" fillId="4" borderId="1" xfId="1" applyFont="1" applyFill="1" applyBorder="1" applyAlignment="1">
      <alignment horizontal="center" vertical="center"/>
    </xf>
    <xf numFmtId="0" fontId="0" fillId="4" borderId="0" xfId="0" applyFill="1" applyAlignment="1">
      <alignment horizontal="right" vertical="center"/>
    </xf>
    <xf numFmtId="0" fontId="23" fillId="0" borderId="1" xfId="0" applyFont="1" applyBorder="1" applyAlignment="1">
      <alignment horizontal="center"/>
    </xf>
    <xf numFmtId="0" fontId="0" fillId="0" borderId="0" xfId="0"/>
    <xf numFmtId="0" fontId="54" fillId="23" borderId="31" xfId="0" applyFont="1" applyFill="1" applyBorder="1" applyAlignment="1" applyProtection="1">
      <alignment horizontal="center" vertical="top"/>
      <protection locked="0"/>
    </xf>
    <xf numFmtId="0" fontId="79" fillId="0" borderId="0" xfId="7" applyFont="1" applyBorder="1" applyAlignment="1" applyProtection="1"/>
    <xf numFmtId="0" fontId="29" fillId="28" borderId="74" xfId="8" applyFont="1" applyFill="1" applyBorder="1" applyAlignment="1" applyProtection="1">
      <alignment horizontal="center" vertical="center"/>
      <protection hidden="1"/>
    </xf>
    <xf numFmtId="0" fontId="80" fillId="0" borderId="0" xfId="0" applyFont="1"/>
    <xf numFmtId="0" fontId="79" fillId="0" borderId="0" xfId="7" applyFont="1" applyAlignment="1" applyProtection="1"/>
    <xf numFmtId="0" fontId="29" fillId="31" borderId="1" xfId="8" applyFont="1" applyFill="1" applyBorder="1" applyAlignment="1" applyProtection="1">
      <alignment horizontal="center" vertical="center"/>
      <protection hidden="1"/>
    </xf>
    <xf numFmtId="0" fontId="29" fillId="31" borderId="1" xfId="8" applyNumberFormat="1" applyFont="1" applyFill="1" applyBorder="1" applyAlignment="1" applyProtection="1">
      <alignment horizontal="center" vertical="center"/>
      <protection hidden="1"/>
    </xf>
    <xf numFmtId="0" fontId="29" fillId="28" borderId="29" xfId="8" applyFont="1" applyFill="1" applyBorder="1" applyAlignment="1" applyProtection="1">
      <alignment horizontal="center" vertical="center"/>
      <protection locked="0"/>
    </xf>
    <xf numFmtId="0" fontId="10" fillId="23" borderId="97" xfId="8" applyFont="1" applyFill="1" applyBorder="1" applyAlignment="1" applyProtection="1">
      <alignment horizontal="center" vertical="center"/>
      <protection hidden="1"/>
    </xf>
    <xf numFmtId="0" fontId="10" fillId="23" borderId="1" xfId="8" applyFont="1" applyFill="1" applyBorder="1" applyAlignment="1" applyProtection="1">
      <alignment horizontal="center" vertical="center"/>
      <protection hidden="1"/>
    </xf>
    <xf numFmtId="0" fontId="81" fillId="2" borderId="31" xfId="0" applyFont="1" applyFill="1" applyBorder="1" applyAlignment="1" applyProtection="1">
      <alignment horizontal="right" vertical="center"/>
    </xf>
    <xf numFmtId="0" fontId="29" fillId="2" borderId="1" xfId="5" applyFont="1" applyFill="1" applyBorder="1" applyAlignment="1" applyProtection="1">
      <alignment horizontal="center" vertical="center"/>
      <protection locked="0"/>
    </xf>
    <xf numFmtId="0" fontId="29" fillId="9" borderId="124" xfId="5" applyFont="1" applyFill="1" applyBorder="1" applyAlignment="1" applyProtection="1">
      <alignment horizontal="center" vertical="center"/>
      <protection locked="0"/>
    </xf>
    <xf numFmtId="0" fontId="29" fillId="9" borderId="31" xfId="5" applyFont="1" applyFill="1" applyBorder="1" applyAlignment="1" applyProtection="1">
      <alignment vertical="center"/>
      <protection locked="0"/>
    </xf>
    <xf numFmtId="0" fontId="29" fillId="9" borderId="32" xfId="5" applyFont="1" applyFill="1" applyBorder="1" applyAlignment="1" applyProtection="1">
      <alignment vertical="center"/>
      <protection locked="0"/>
    </xf>
    <xf numFmtId="0" fontId="72" fillId="2" borderId="31" xfId="0" applyFont="1" applyFill="1" applyBorder="1" applyAlignment="1" applyProtection="1">
      <alignment horizontal="center" vertical="center"/>
    </xf>
    <xf numFmtId="0" fontId="29" fillId="0" borderId="1" xfId="5" applyFont="1" applyBorder="1" applyAlignment="1" applyProtection="1">
      <alignment horizontal="center" vertical="center"/>
      <protection locked="0"/>
    </xf>
    <xf numFmtId="0" fontId="29" fillId="28" borderId="29" xfId="5" applyFont="1" applyFill="1" applyBorder="1" applyAlignment="1" applyProtection="1">
      <alignment horizontal="center" vertical="center"/>
      <protection locked="0"/>
    </xf>
    <xf numFmtId="0" fontId="29" fillId="2" borderId="29" xfId="8" applyFont="1" applyFill="1" applyBorder="1" applyAlignment="1" applyProtection="1">
      <alignment horizontal="center" vertical="center"/>
      <protection hidden="1"/>
    </xf>
    <xf numFmtId="0" fontId="29" fillId="9" borderId="127" xfId="5" applyFont="1" applyFill="1" applyBorder="1" applyAlignment="1" applyProtection="1">
      <alignment horizontal="center" vertical="center"/>
      <protection locked="0"/>
    </xf>
    <xf numFmtId="0" fontId="29" fillId="0" borderId="0" xfId="8" applyFont="1" applyBorder="1" applyAlignment="1" applyProtection="1">
      <alignment horizontal="center" vertical="center"/>
      <protection locked="0"/>
    </xf>
    <xf numFmtId="0" fontId="29" fillId="0" borderId="19" xfId="8" applyFont="1" applyBorder="1" applyAlignment="1" applyProtection="1">
      <alignment horizontal="center" vertical="center"/>
      <protection locked="0"/>
    </xf>
    <xf numFmtId="0" fontId="80" fillId="0" borderId="0" xfId="5" applyFont="1" applyProtection="1">
      <protection hidden="1"/>
    </xf>
    <xf numFmtId="0" fontId="29" fillId="0" borderId="0" xfId="5" applyFont="1" applyBorder="1" applyAlignment="1" applyProtection="1">
      <alignment horizontal="center"/>
      <protection hidden="1"/>
    </xf>
    <xf numFmtId="0" fontId="80" fillId="0" borderId="0" xfId="0" applyFont="1" applyBorder="1"/>
    <xf numFmtId="0" fontId="29" fillId="0" borderId="0" xfId="5" applyFont="1" applyProtection="1">
      <protection hidden="1"/>
    </xf>
    <xf numFmtId="164" fontId="29" fillId="0" borderId="0" xfId="8" applyNumberFormat="1" applyFont="1" applyAlignment="1" applyProtection="1">
      <alignment vertical="center"/>
      <protection hidden="1"/>
    </xf>
    <xf numFmtId="0" fontId="9" fillId="0" borderId="0" xfId="8" applyFont="1" applyAlignment="1" applyProtection="1">
      <alignment horizontal="right" vertical="center"/>
      <protection hidden="1"/>
    </xf>
    <xf numFmtId="0" fontId="9" fillId="0" borderId="0" xfId="8" applyFont="1" applyAlignment="1" applyProtection="1">
      <alignment horizontal="center" vertical="center"/>
      <protection hidden="1"/>
    </xf>
    <xf numFmtId="164" fontId="9" fillId="0" borderId="0" xfId="8" applyNumberFormat="1" applyFont="1" applyAlignment="1" applyProtection="1">
      <alignment horizontal="center" vertical="center"/>
      <protection hidden="1"/>
    </xf>
    <xf numFmtId="0" fontId="63" fillId="0" borderId="0" xfId="8" applyFont="1" applyAlignment="1" applyProtection="1">
      <alignment horizontal="center"/>
      <protection hidden="1"/>
    </xf>
    <xf numFmtId="0" fontId="29" fillId="0" borderId="0" xfId="8" applyFont="1" applyProtection="1">
      <protection hidden="1"/>
    </xf>
    <xf numFmtId="0" fontId="29" fillId="0" borderId="0" xfId="8" applyNumberFormat="1" applyFont="1" applyAlignment="1" applyProtection="1">
      <alignment horizontal="center"/>
      <protection hidden="1"/>
    </xf>
    <xf numFmtId="164" fontId="29" fillId="0" borderId="0" xfId="8" applyNumberFormat="1" applyFont="1" applyProtection="1">
      <protection hidden="1"/>
    </xf>
    <xf numFmtId="0" fontId="80" fillId="0" borderId="0" xfId="8" applyFont="1" applyProtection="1">
      <protection hidden="1"/>
    </xf>
    <xf numFmtId="164" fontId="80" fillId="0" borderId="0" xfId="8" applyNumberFormat="1" applyFont="1" applyProtection="1">
      <protection hidden="1"/>
    </xf>
    <xf numFmtId="0" fontId="29" fillId="0" borderId="1" xfId="8" applyNumberFormat="1" applyFont="1" applyBorder="1" applyAlignment="1" applyProtection="1">
      <alignment horizontal="center" vertical="center"/>
      <protection hidden="1"/>
    </xf>
    <xf numFmtId="0" fontId="29" fillId="9" borderId="132" xfId="5" applyFont="1" applyFill="1" applyBorder="1" applyAlignment="1" applyProtection="1">
      <alignment horizontal="center" vertical="center"/>
      <protection locked="0"/>
    </xf>
    <xf numFmtId="0" fontId="29" fillId="2" borderId="1" xfId="5" applyFont="1" applyFill="1" applyBorder="1" applyAlignment="1" applyProtection="1">
      <alignment vertical="center" wrapText="1"/>
      <protection locked="0"/>
    </xf>
    <xf numFmtId="0" fontId="80" fillId="0" borderId="0" xfId="8" applyFont="1" applyAlignment="1" applyProtection="1">
      <alignment horizontal="center" vertical="center"/>
      <protection hidden="1"/>
    </xf>
    <xf numFmtId="0" fontId="80" fillId="0" borderId="0" xfId="8" applyNumberFormat="1" applyFont="1" applyAlignment="1" applyProtection="1">
      <alignment horizontal="center" vertical="center"/>
      <protection hidden="1"/>
    </xf>
    <xf numFmtId="0" fontId="29" fillId="28" borderId="26" xfId="8" applyFont="1" applyFill="1" applyBorder="1" applyAlignment="1" applyProtection="1">
      <alignment horizontal="center"/>
      <protection hidden="1"/>
    </xf>
    <xf numFmtId="0" fontId="29" fillId="0" borderId="29" xfId="8" applyFont="1" applyBorder="1" applyAlignment="1" applyProtection="1">
      <alignment horizontal="center"/>
      <protection hidden="1"/>
    </xf>
    <xf numFmtId="0" fontId="39" fillId="4" borderId="1" xfId="8" applyFont="1" applyFill="1" applyBorder="1" applyAlignment="1" applyProtection="1">
      <alignment horizontal="center" vertical="center"/>
      <protection hidden="1"/>
    </xf>
    <xf numFmtId="0" fontId="29" fillId="0" borderId="1" xfId="0" applyNumberFormat="1" applyFont="1" applyBorder="1" applyAlignment="1">
      <alignment horizontal="center" vertical="center"/>
    </xf>
    <xf numFmtId="164" fontId="80" fillId="0" borderId="0" xfId="8" applyNumberFormat="1" applyFont="1" applyAlignment="1" applyProtection="1">
      <alignment horizontal="center" vertical="center"/>
      <protection hidden="1"/>
    </xf>
    <xf numFmtId="164" fontId="80" fillId="0" borderId="0" xfId="0" applyNumberFormat="1" applyFont="1"/>
    <xf numFmtId="0" fontId="29" fillId="0" borderId="0" xfId="1" applyFont="1" applyAlignment="1">
      <alignment horizontal="center" vertical="center"/>
    </xf>
    <xf numFmtId="0" fontId="80" fillId="0" borderId="0" xfId="1" applyFont="1" applyAlignment="1">
      <alignment horizontal="center" vertical="center"/>
    </xf>
    <xf numFmtId="0" fontId="9" fillId="0" borderId="0" xfId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29" fillId="0" borderId="0" xfId="0" applyFont="1" applyAlignment="1">
      <alignment horizontal="right" vertical="center"/>
    </xf>
    <xf numFmtId="0" fontId="80" fillId="0" borderId="0" xfId="1" applyFont="1" applyAlignment="1">
      <alignment vertical="center"/>
    </xf>
    <xf numFmtId="0" fontId="80" fillId="0" borderId="0" xfId="1" applyFont="1" applyAlignment="1">
      <alignment horizontal="right" vertical="center"/>
    </xf>
    <xf numFmtId="0" fontId="29" fillId="0" borderId="133" xfId="1" applyFont="1" applyBorder="1" applyAlignment="1">
      <alignment horizontal="center" vertical="center"/>
    </xf>
    <xf numFmtId="0" fontId="80" fillId="0" borderId="0" xfId="1" applyFont="1" applyBorder="1" applyAlignment="1">
      <alignment vertical="center"/>
    </xf>
    <xf numFmtId="0" fontId="29" fillId="0" borderId="0" xfId="1" applyFont="1" applyBorder="1" applyAlignment="1">
      <alignment horizontal="center" vertical="center"/>
    </xf>
    <xf numFmtId="0" fontId="5" fillId="0" borderId="0" xfId="1" applyFont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29" fillId="0" borderId="0" xfId="0" applyFont="1" applyBorder="1" applyAlignment="1">
      <alignment vertical="center"/>
    </xf>
    <xf numFmtId="0" fontId="10" fillId="0" borderId="1" xfId="1" applyFont="1" applyBorder="1" applyAlignment="1">
      <alignment horizontal="center" vertical="center"/>
    </xf>
    <xf numFmtId="0" fontId="10" fillId="0" borderId="0" xfId="1" applyFont="1" applyFill="1" applyBorder="1" applyAlignment="1">
      <alignment horizontal="center" vertical="center"/>
    </xf>
    <xf numFmtId="0" fontId="51" fillId="0" borderId="0" xfId="0" applyFont="1" applyBorder="1" applyAlignment="1">
      <alignment horizontal="center"/>
    </xf>
    <xf numFmtId="0" fontId="6" fillId="4" borderId="32" xfId="0" applyFont="1" applyFill="1" applyBorder="1" applyAlignment="1">
      <alignment horizontal="center" vertical="center"/>
    </xf>
    <xf numFmtId="0" fontId="4" fillId="0" borderId="31" xfId="2" applyFont="1" applyFill="1" applyBorder="1" applyAlignment="1">
      <alignment horizontal="right" vertical="center"/>
    </xf>
    <xf numFmtId="0" fontId="6" fillId="4" borderId="93" xfId="0" applyFont="1" applyFill="1" applyBorder="1" applyAlignment="1">
      <alignment horizontal="center" vertical="center"/>
    </xf>
    <xf numFmtId="0" fontId="22" fillId="4" borderId="23" xfId="0" applyFont="1" applyFill="1" applyBorder="1" applyAlignment="1">
      <alignment horizontal="center"/>
    </xf>
    <xf numFmtId="0" fontId="4" fillId="4" borderId="93" xfId="2" applyFont="1" applyFill="1" applyBorder="1" applyAlignment="1">
      <alignment horizontal="center" vertical="center"/>
    </xf>
    <xf numFmtId="0" fontId="22" fillId="4" borderId="93" xfId="0" applyFont="1" applyFill="1" applyBorder="1" applyAlignment="1">
      <alignment horizontal="center"/>
    </xf>
    <xf numFmtId="0" fontId="62" fillId="4" borderId="32" xfId="0" applyFont="1" applyFill="1" applyBorder="1" applyAlignment="1">
      <alignment horizontal="center" vertical="center"/>
    </xf>
    <xf numFmtId="0" fontId="47" fillId="0" borderId="1" xfId="0" applyFont="1" applyFill="1" applyBorder="1" applyAlignment="1">
      <alignment horizontal="right" vertical="center"/>
    </xf>
    <xf numFmtId="0" fontId="47" fillId="0" borderId="31" xfId="0" applyFont="1" applyFill="1" applyBorder="1" applyAlignment="1">
      <alignment horizontal="right" vertical="center"/>
    </xf>
    <xf numFmtId="0" fontId="4" fillId="4" borderId="32" xfId="1" applyFont="1" applyFill="1" applyBorder="1" applyAlignment="1">
      <alignment horizontal="center" vertical="center" readingOrder="2"/>
    </xf>
    <xf numFmtId="0" fontId="47" fillId="0" borderId="1" xfId="0" applyFont="1" applyFill="1" applyBorder="1" applyAlignment="1">
      <alignment horizontal="center" vertical="center"/>
    </xf>
    <xf numFmtId="0" fontId="47" fillId="0" borderId="31" xfId="0" applyFont="1" applyFill="1" applyBorder="1" applyAlignment="1">
      <alignment horizontal="center" vertical="center"/>
    </xf>
    <xf numFmtId="0" fontId="4" fillId="4" borderId="23" xfId="2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right" vertical="center"/>
    </xf>
    <xf numFmtId="0" fontId="4" fillId="0" borderId="31" xfId="0" applyFont="1" applyFill="1" applyBorder="1" applyAlignment="1">
      <alignment horizontal="right" vertical="center"/>
    </xf>
    <xf numFmtId="0" fontId="29" fillId="0" borderId="1" xfId="0" applyFont="1" applyFill="1" applyBorder="1" applyAlignment="1">
      <alignment horizontal="center"/>
    </xf>
    <xf numFmtId="0" fontId="29" fillId="0" borderId="31" xfId="0" applyFont="1" applyFill="1" applyBorder="1" applyAlignment="1">
      <alignment horizontal="center"/>
    </xf>
    <xf numFmtId="0" fontId="6" fillId="4" borderId="23" xfId="0" applyFont="1" applyFill="1" applyBorder="1" applyAlignment="1">
      <alignment horizontal="center" vertical="center"/>
    </xf>
    <xf numFmtId="0" fontId="60" fillId="4" borderId="32" xfId="0" applyFont="1" applyFill="1" applyBorder="1" applyAlignment="1">
      <alignment horizontal="center" vertical="center"/>
    </xf>
    <xf numFmtId="0" fontId="9" fillId="0" borderId="0" xfId="2" applyFont="1" applyBorder="1" applyAlignment="1">
      <alignment horizontal="center" vertical="center"/>
    </xf>
    <xf numFmtId="0" fontId="29" fillId="0" borderId="31" xfId="0" applyFont="1" applyFill="1" applyBorder="1" applyAlignment="1">
      <alignment horizontal="right"/>
    </xf>
    <xf numFmtId="0" fontId="29" fillId="0" borderId="0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/>
    </xf>
    <xf numFmtId="0" fontId="36" fillId="0" borderId="0" xfId="0" applyFont="1" applyBorder="1" applyAlignment="1"/>
    <xf numFmtId="164" fontId="4" fillId="4" borderId="31" xfId="4" applyNumberFormat="1" applyFont="1" applyFill="1" applyBorder="1" applyAlignment="1">
      <alignment horizontal="right" vertical="center"/>
    </xf>
    <xf numFmtId="0" fontId="60" fillId="4" borderId="1" xfId="0" applyFont="1" applyFill="1" applyBorder="1" applyAlignment="1">
      <alignment horizontal="center" vertical="center"/>
    </xf>
    <xf numFmtId="0" fontId="0" fillId="0" borderId="0" xfId="0" applyAlignment="1"/>
    <xf numFmtId="0" fontId="0" fillId="0" borderId="0" xfId="0" applyBorder="1" applyAlignment="1"/>
    <xf numFmtId="0" fontId="22" fillId="4" borderId="32" xfId="0" applyFont="1" applyFill="1" applyBorder="1" applyAlignment="1"/>
    <xf numFmtId="0" fontId="11" fillId="0" borderId="1" xfId="0" applyFont="1" applyFill="1" applyBorder="1" applyAlignment="1"/>
    <xf numFmtId="0" fontId="11" fillId="0" borderId="31" xfId="0" applyFont="1" applyFill="1" applyBorder="1" applyAlignment="1"/>
    <xf numFmtId="0" fontId="4" fillId="0" borderId="1" xfId="0" applyFont="1" applyFill="1" applyBorder="1" applyAlignment="1"/>
    <xf numFmtId="0" fontId="4" fillId="0" borderId="31" xfId="0" applyFont="1" applyFill="1" applyBorder="1" applyAlignment="1"/>
    <xf numFmtId="0" fontId="29" fillId="0" borderId="1" xfId="0" applyFont="1" applyFill="1" applyBorder="1" applyAlignment="1"/>
    <xf numFmtId="0" fontId="29" fillId="0" borderId="31" xfId="0" applyFont="1" applyFill="1" applyBorder="1" applyAlignment="1"/>
    <xf numFmtId="0" fontId="29" fillId="0" borderId="75" xfId="0" applyFont="1" applyFill="1" applyBorder="1" applyAlignment="1"/>
    <xf numFmtId="0" fontId="29" fillId="0" borderId="108" xfId="0" applyFont="1" applyFill="1" applyBorder="1" applyAlignment="1"/>
    <xf numFmtId="0" fontId="0" fillId="4" borderId="0" xfId="0" applyFill="1" applyAlignment="1"/>
    <xf numFmtId="0" fontId="0" fillId="0" borderId="1" xfId="0" applyFill="1" applyBorder="1" applyAlignment="1"/>
    <xf numFmtId="0" fontId="0" fillId="0" borderId="31" xfId="0" applyFill="1" applyBorder="1" applyAlignment="1"/>
    <xf numFmtId="0" fontId="80" fillId="0" borderId="0" xfId="0" applyFont="1" applyAlignment="1"/>
    <xf numFmtId="164" fontId="80" fillId="0" borderId="0" xfId="0" applyNumberFormat="1" applyFont="1" applyAlignment="1"/>
    <xf numFmtId="0" fontId="54" fillId="0" borderId="28" xfId="0" applyFont="1" applyFill="1" applyBorder="1" applyAlignment="1" applyProtection="1">
      <alignment horizontal="center" vertical="center"/>
      <protection locked="0"/>
    </xf>
    <xf numFmtId="0" fontId="54" fillId="0" borderId="97" xfId="0" applyFont="1" applyFill="1" applyBorder="1" applyAlignment="1" applyProtection="1">
      <alignment horizontal="center" vertical="center"/>
      <protection locked="0"/>
    </xf>
    <xf numFmtId="0" fontId="76" fillId="4" borderId="99" xfId="0" applyFont="1" applyFill="1" applyBorder="1" applyAlignment="1" applyProtection="1">
      <alignment horizontal="center" vertical="center"/>
      <protection locked="0"/>
    </xf>
    <xf numFmtId="2" fontId="23" fillId="23" borderId="2" xfId="0" applyNumberFormat="1" applyFont="1" applyFill="1" applyBorder="1" applyAlignment="1" applyProtection="1">
      <alignment vertical="center" readingOrder="2"/>
      <protection locked="0"/>
    </xf>
    <xf numFmtId="0" fontId="47" fillId="4" borderId="24" xfId="0" applyFont="1" applyFill="1" applyBorder="1" applyAlignment="1">
      <alignment horizontal="center"/>
    </xf>
    <xf numFmtId="0" fontId="47" fillId="4" borderId="24" xfId="0" applyFont="1" applyFill="1" applyBorder="1" applyAlignment="1">
      <alignment horizontal="center" vertical="center"/>
    </xf>
    <xf numFmtId="0" fontId="47" fillId="4" borderId="1" xfId="0" applyFont="1" applyFill="1" applyBorder="1" applyAlignment="1">
      <alignment horizontal="right" vertical="center"/>
    </xf>
    <xf numFmtId="0" fontId="29" fillId="4" borderId="1" xfId="2" applyFont="1" applyFill="1" applyBorder="1" applyAlignment="1">
      <alignment horizontal="right" vertical="center"/>
    </xf>
    <xf numFmtId="0" fontId="11" fillId="4" borderId="1" xfId="0" applyFont="1" applyFill="1" applyBorder="1" applyAlignment="1">
      <alignment horizontal="right" vertical="center"/>
    </xf>
    <xf numFmtId="0" fontId="23" fillId="4" borderId="1" xfId="0" applyFont="1" applyFill="1" applyBorder="1" applyAlignment="1">
      <alignment horizontal="right" vertical="center"/>
    </xf>
    <xf numFmtId="0" fontId="54" fillId="0" borderId="1" xfId="0" applyFont="1" applyFill="1" applyBorder="1" applyAlignment="1" applyProtection="1">
      <alignment vertical="center"/>
      <protection locked="0"/>
    </xf>
    <xf numFmtId="0" fontId="27" fillId="23" borderId="134" xfId="0" applyFont="1" applyFill="1" applyBorder="1" applyAlignment="1" applyProtection="1">
      <alignment horizontal="center"/>
      <protection locked="0"/>
    </xf>
    <xf numFmtId="0" fontId="54" fillId="23" borderId="134" xfId="0" applyFont="1" applyFill="1" applyBorder="1" applyAlignment="1" applyProtection="1">
      <alignment horizontal="center"/>
      <protection locked="0"/>
    </xf>
    <xf numFmtId="0" fontId="0" fillId="0" borderId="0" xfId="0"/>
    <xf numFmtId="0" fontId="24" fillId="11" borderId="75" xfId="0" applyFont="1" applyFill="1" applyBorder="1" applyAlignment="1">
      <alignment horizontal="center" vertical="center"/>
    </xf>
    <xf numFmtId="0" fontId="24" fillId="11" borderId="24" xfId="0" applyFont="1" applyFill="1" applyBorder="1" applyAlignment="1">
      <alignment horizontal="center" vertical="center"/>
    </xf>
    <xf numFmtId="0" fontId="1" fillId="0" borderId="0" xfId="0" applyFont="1" applyFill="1" applyBorder="1" applyAlignment="1" applyProtection="1">
      <alignment horizontal="center" vertical="top"/>
      <protection locked="0"/>
    </xf>
    <xf numFmtId="0" fontId="54" fillId="2" borderId="1" xfId="0" applyFont="1" applyFill="1" applyBorder="1" applyAlignment="1" applyProtection="1">
      <alignment horizontal="center" vertical="top"/>
      <protection locked="0"/>
    </xf>
    <xf numFmtId="0" fontId="54" fillId="2" borderId="31" xfId="0" applyFont="1" applyFill="1" applyBorder="1" applyAlignment="1" applyProtection="1">
      <alignment horizontal="center" vertical="top"/>
      <protection locked="0"/>
    </xf>
    <xf numFmtId="0" fontId="54" fillId="23" borderId="1" xfId="0" applyFont="1" applyFill="1" applyBorder="1" applyAlignment="1" applyProtection="1">
      <alignment horizontal="center" vertical="top"/>
      <protection locked="0"/>
    </xf>
    <xf numFmtId="0" fontId="54" fillId="0" borderId="1" xfId="0" applyFont="1" applyFill="1" applyBorder="1" applyAlignment="1" applyProtection="1">
      <alignment horizontal="center" vertical="top"/>
      <protection locked="0"/>
    </xf>
    <xf numFmtId="0" fontId="54" fillId="0" borderId="31" xfId="0" applyFont="1" applyFill="1" applyBorder="1" applyAlignment="1" applyProtection="1">
      <alignment horizontal="center" vertical="center"/>
      <protection locked="0"/>
    </xf>
    <xf numFmtId="0" fontId="54" fillId="0" borderId="1" xfId="0" applyFont="1" applyFill="1" applyBorder="1" applyAlignment="1" applyProtection="1">
      <alignment horizontal="center" vertical="center"/>
      <protection locked="0"/>
    </xf>
    <xf numFmtId="0" fontId="27" fillId="23" borderId="1" xfId="0" applyFont="1" applyFill="1" applyBorder="1" applyAlignment="1" applyProtection="1">
      <alignment horizontal="center" vertical="top"/>
      <protection locked="0"/>
    </xf>
    <xf numFmtId="0" fontId="27" fillId="23" borderId="1" xfId="0" applyFont="1" applyFill="1" applyBorder="1" applyAlignment="1" applyProtection="1">
      <alignment horizontal="center"/>
      <protection locked="0"/>
    </xf>
    <xf numFmtId="0" fontId="27" fillId="23" borderId="4" xfId="0" applyFont="1" applyFill="1" applyBorder="1" applyAlignment="1" applyProtection="1">
      <alignment horizontal="center"/>
      <protection locked="0"/>
    </xf>
    <xf numFmtId="0" fontId="27" fillId="23" borderId="22" xfId="0" applyFont="1" applyFill="1" applyBorder="1" applyAlignment="1" applyProtection="1">
      <alignment horizontal="center"/>
      <protection locked="0"/>
    </xf>
    <xf numFmtId="0" fontId="27" fillId="23" borderId="3" xfId="0" applyFont="1" applyFill="1" applyBorder="1" applyAlignment="1" applyProtection="1">
      <alignment horizontal="center"/>
      <protection locked="0"/>
    </xf>
    <xf numFmtId="0" fontId="27" fillId="0" borderId="0" xfId="0" applyFont="1" applyFill="1" applyBorder="1" applyAlignment="1" applyProtection="1">
      <alignment horizontal="center"/>
      <protection locked="0"/>
    </xf>
    <xf numFmtId="164" fontId="4" fillId="4" borderId="32" xfId="0" applyNumberFormat="1" applyFont="1" applyFill="1" applyBorder="1" applyAlignment="1">
      <alignment horizontal="center"/>
    </xf>
    <xf numFmtId="0" fontId="47" fillId="4" borderId="24" xfId="2" applyFont="1" applyFill="1" applyBorder="1" applyAlignment="1">
      <alignment horizontal="center" vertical="center"/>
    </xf>
    <xf numFmtId="0" fontId="47" fillId="4" borderId="0" xfId="0" applyFont="1" applyFill="1" applyBorder="1" applyAlignment="1">
      <alignment horizontal="center"/>
    </xf>
    <xf numFmtId="0" fontId="4" fillId="4" borderId="32" xfId="0" applyNumberFormat="1" applyFont="1" applyFill="1" applyBorder="1" applyAlignment="1">
      <alignment horizontal="center"/>
    </xf>
    <xf numFmtId="0" fontId="72" fillId="4" borderId="0" xfId="0" applyFont="1" applyFill="1" applyAlignment="1">
      <alignment wrapText="1"/>
    </xf>
    <xf numFmtId="0" fontId="47" fillId="4" borderId="0" xfId="0" applyFont="1" applyFill="1" applyBorder="1" applyAlignment="1">
      <alignment horizontal="right" vertical="center"/>
    </xf>
    <xf numFmtId="0" fontId="47" fillId="4" borderId="1" xfId="0" applyFont="1" applyFill="1" applyBorder="1" applyAlignment="1">
      <alignment horizontal="right"/>
    </xf>
    <xf numFmtId="2" fontId="47" fillId="4" borderId="1" xfId="0" applyNumberFormat="1" applyFont="1" applyFill="1" applyBorder="1" applyAlignment="1">
      <alignment horizontal="right" vertical="center"/>
    </xf>
    <xf numFmtId="0" fontId="29" fillId="4" borderId="32" xfId="0" applyFont="1" applyFill="1" applyBorder="1" applyAlignment="1">
      <alignment horizontal="center"/>
    </xf>
    <xf numFmtId="0" fontId="29" fillId="4" borderId="0" xfId="0" applyFont="1" applyFill="1" applyAlignment="1">
      <alignment horizontal="right"/>
    </xf>
    <xf numFmtId="0" fontId="54" fillId="4" borderId="1" xfId="0" applyFont="1" applyFill="1" applyBorder="1" applyAlignment="1">
      <alignment horizontal="right" vertical="center"/>
    </xf>
    <xf numFmtId="0" fontId="4" fillId="4" borderId="1" xfId="0" applyFont="1" applyFill="1" applyBorder="1" applyAlignment="1">
      <alignment horizontal="right"/>
    </xf>
    <xf numFmtId="0" fontId="0" fillId="4" borderId="0" xfId="0" applyFont="1" applyFill="1" applyAlignment="1">
      <alignment horizontal="right"/>
    </xf>
    <xf numFmtId="164" fontId="54" fillId="4" borderId="1" xfId="0" applyNumberFormat="1" applyFont="1" applyFill="1" applyBorder="1" applyAlignment="1">
      <alignment horizontal="right" vertical="center"/>
    </xf>
    <xf numFmtId="0" fontId="27" fillId="0" borderId="1" xfId="0" applyFont="1" applyFill="1" applyBorder="1" applyAlignment="1" applyProtection="1">
      <alignment vertical="top"/>
      <protection locked="0"/>
    </xf>
    <xf numFmtId="0" fontId="81" fillId="4" borderId="135" xfId="0" applyFont="1" applyFill="1" applyBorder="1" applyAlignment="1">
      <alignment wrapText="1"/>
    </xf>
    <xf numFmtId="0" fontId="83" fillId="4" borderId="92" xfId="1" applyFont="1" applyFill="1" applyBorder="1" applyAlignment="1">
      <alignment horizontal="center" vertical="center"/>
    </xf>
    <xf numFmtId="0" fontId="83" fillId="4" borderId="1" xfId="1" applyFont="1" applyFill="1" applyBorder="1" applyAlignment="1">
      <alignment horizontal="center" vertical="center"/>
    </xf>
    <xf numFmtId="0" fontId="4" fillId="4" borderId="0" xfId="2" applyFont="1" applyFill="1" applyBorder="1" applyAlignment="1" applyProtection="1">
      <alignment horizontal="center" vertical="center"/>
      <protection locked="0"/>
    </xf>
    <xf numFmtId="0" fontId="83" fillId="4" borderId="31" xfId="1" applyFont="1" applyFill="1" applyBorder="1" applyAlignment="1">
      <alignment horizontal="center" vertical="center"/>
    </xf>
    <xf numFmtId="0" fontId="22" fillId="4" borderId="32" xfId="0" applyFont="1" applyFill="1" applyBorder="1"/>
    <xf numFmtId="0" fontId="84" fillId="4" borderId="32" xfId="0" applyFont="1" applyFill="1" applyBorder="1" applyAlignment="1">
      <alignment horizontal="center" vertical="center"/>
    </xf>
    <xf numFmtId="0" fontId="84" fillId="4" borderId="1" xfId="0" applyFont="1" applyFill="1" applyBorder="1" applyAlignment="1">
      <alignment horizontal="center" vertical="center"/>
    </xf>
    <xf numFmtId="0" fontId="0" fillId="0" borderId="0" xfId="0"/>
    <xf numFmtId="0" fontId="54" fillId="0" borderId="23" xfId="0" applyFont="1" applyFill="1" applyBorder="1" applyAlignment="1" applyProtection="1">
      <alignment horizontal="center" vertical="top"/>
      <protection locked="0"/>
    </xf>
    <xf numFmtId="2" fontId="48" fillId="2" borderId="1" xfId="0" applyNumberFormat="1" applyFont="1" applyFill="1" applyBorder="1" applyAlignment="1" applyProtection="1">
      <alignment horizontal="center"/>
      <protection hidden="1"/>
    </xf>
    <xf numFmtId="0" fontId="23" fillId="0" borderId="1" xfId="0" applyFont="1" applyFill="1" applyBorder="1" applyAlignment="1">
      <alignment horizontal="center" vertical="center"/>
    </xf>
    <xf numFmtId="0" fontId="23" fillId="2" borderId="2" xfId="0" applyFont="1" applyFill="1" applyBorder="1" applyAlignment="1" applyProtection="1">
      <alignment horizontal="center" vertical="center"/>
      <protection locked="0"/>
    </xf>
    <xf numFmtId="0" fontId="1" fillId="2" borderId="2" xfId="0" applyFont="1" applyFill="1" applyBorder="1" applyAlignment="1" applyProtection="1">
      <alignment horizontal="center"/>
      <protection locked="0"/>
    </xf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 applyProtection="1">
      <alignment horizontal="center" vertical="center"/>
      <protection locked="0"/>
    </xf>
    <xf numFmtId="0" fontId="0" fillId="0" borderId="0" xfId="0"/>
    <xf numFmtId="0" fontId="55" fillId="0" borderId="32" xfId="0" applyFont="1" applyFill="1" applyBorder="1" applyAlignment="1">
      <alignment horizontal="center"/>
    </xf>
    <xf numFmtId="0" fontId="55" fillId="0" borderId="1" xfId="0" applyFont="1" applyFill="1" applyBorder="1" applyAlignment="1" applyProtection="1">
      <alignment vertical="top"/>
      <protection locked="0"/>
    </xf>
    <xf numFmtId="2" fontId="23" fillId="2" borderId="2" xfId="0" applyNumberFormat="1" applyFont="1" applyFill="1" applyBorder="1" applyAlignment="1" applyProtection="1">
      <alignment horizontal="center" vertical="center" readingOrder="2"/>
      <protection locked="0"/>
    </xf>
    <xf numFmtId="0" fontId="26" fillId="2" borderId="31" xfId="0" applyFont="1" applyFill="1" applyBorder="1" applyAlignment="1" applyProtection="1">
      <protection locked="0"/>
    </xf>
    <xf numFmtId="0" fontId="26" fillId="2" borderId="32" xfId="0" applyFont="1" applyFill="1" applyBorder="1" applyAlignment="1" applyProtection="1">
      <protection locked="0"/>
    </xf>
    <xf numFmtId="0" fontId="53" fillId="0" borderId="0" xfId="0" applyFont="1" applyAlignment="1">
      <alignment readingOrder="2"/>
    </xf>
    <xf numFmtId="0" fontId="87" fillId="0" borderId="0" xfId="0" applyFont="1" applyAlignment="1">
      <alignment horizontal="left" readingOrder="2"/>
    </xf>
    <xf numFmtId="0" fontId="81" fillId="4" borderId="117" xfId="0" applyFont="1" applyFill="1" applyBorder="1" applyAlignment="1">
      <alignment horizontal="right" wrapText="1"/>
    </xf>
    <xf numFmtId="0" fontId="81" fillId="4" borderId="135" xfId="0" applyFont="1" applyFill="1" applyBorder="1" applyAlignment="1">
      <alignment horizontal="right" wrapText="1"/>
    </xf>
    <xf numFmtId="0" fontId="55" fillId="4" borderId="2" xfId="0" applyFont="1" applyFill="1" applyBorder="1" applyAlignment="1" applyProtection="1">
      <alignment horizontal="center" vertical="center"/>
      <protection locked="0"/>
    </xf>
    <xf numFmtId="49" fontId="54" fillId="4" borderId="31" xfId="0" applyNumberFormat="1" applyFont="1" applyFill="1" applyBorder="1" applyAlignment="1">
      <alignment horizontal="center" vertical="center" readingOrder="2"/>
    </xf>
    <xf numFmtId="0" fontId="23" fillId="2" borderId="1" xfId="0" applyFont="1" applyFill="1" applyBorder="1" applyAlignment="1">
      <alignment horizontal="center" vertical="center"/>
    </xf>
    <xf numFmtId="0" fontId="23" fillId="2" borderId="2" xfId="0" applyFont="1" applyFill="1" applyBorder="1" applyAlignment="1" applyProtection="1">
      <alignment horizontal="center" vertical="center" readingOrder="2"/>
      <protection locked="0"/>
    </xf>
    <xf numFmtId="0" fontId="55" fillId="0" borderId="1" xfId="0" applyFont="1" applyFill="1" applyBorder="1" applyAlignment="1">
      <alignment horizontal="center" vertical="center"/>
    </xf>
    <xf numFmtId="0" fontId="55" fillId="2" borderId="1" xfId="0" applyFont="1" applyFill="1" applyBorder="1" applyAlignment="1">
      <alignment horizontal="center" vertical="center"/>
    </xf>
    <xf numFmtId="0" fontId="54" fillId="4" borderId="2" xfId="0" applyFont="1" applyFill="1" applyBorder="1" applyAlignment="1" applyProtection="1">
      <alignment horizontal="center" vertical="center"/>
      <protection locked="0"/>
    </xf>
    <xf numFmtId="0" fontId="55" fillId="2" borderId="2" xfId="0" applyFont="1" applyFill="1" applyBorder="1" applyAlignment="1" applyProtection="1">
      <alignment horizontal="center" vertical="center"/>
      <protection locked="0"/>
    </xf>
    <xf numFmtId="1" fontId="54" fillId="4" borderId="1" xfId="0" applyNumberFormat="1" applyFont="1" applyFill="1" applyBorder="1" applyAlignment="1">
      <alignment horizontal="center" vertical="center"/>
    </xf>
    <xf numFmtId="0" fontId="54" fillId="0" borderId="1" xfId="0" applyFont="1" applyFill="1" applyBorder="1" applyAlignment="1">
      <alignment horizontal="center" vertical="center"/>
    </xf>
    <xf numFmtId="0" fontId="82" fillId="0" borderId="24" xfId="0" applyFont="1" applyFill="1" applyBorder="1" applyAlignment="1" applyProtection="1">
      <alignment horizontal="center" vertical="top"/>
      <protection locked="0"/>
    </xf>
    <xf numFmtId="0" fontId="0" fillId="0" borderId="0" xfId="0" applyFill="1" applyBorder="1" applyAlignment="1"/>
    <xf numFmtId="0" fontId="20" fillId="0" borderId="0" xfId="0" applyFont="1" applyFill="1" applyBorder="1" applyAlignment="1"/>
    <xf numFmtId="0" fontId="21" fillId="0" borderId="0" xfId="0" applyFont="1" applyFill="1" applyBorder="1" applyAlignment="1"/>
    <xf numFmtId="164" fontId="54" fillId="4" borderId="1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27" fillId="0" borderId="0" xfId="0" applyFont="1" applyFill="1" applyAlignment="1" applyProtection="1">
      <protection locked="0"/>
    </xf>
    <xf numFmtId="0" fontId="88" fillId="0" borderId="0" xfId="0" applyFont="1" applyAlignment="1">
      <alignment horizontal="center" readingOrder="2"/>
    </xf>
    <xf numFmtId="0" fontId="88" fillId="0" borderId="0" xfId="0" applyFont="1" applyAlignment="1"/>
    <xf numFmtId="0" fontId="0" fillId="0" borderId="1" xfId="0" applyBorder="1"/>
    <xf numFmtId="0" fontId="23" fillId="0" borderId="1" xfId="0" applyFont="1" applyBorder="1"/>
    <xf numFmtId="0" fontId="78" fillId="0" borderId="138" xfId="0" applyFont="1" applyBorder="1" applyAlignment="1">
      <alignment horizontal="justify" vertical="top" wrapText="1" readingOrder="2"/>
    </xf>
    <xf numFmtId="0" fontId="78" fillId="0" borderId="139" xfId="0" applyFont="1" applyBorder="1" applyAlignment="1">
      <alignment horizontal="justify" vertical="top" wrapText="1" readingOrder="2"/>
    </xf>
    <xf numFmtId="0" fontId="78" fillId="22" borderId="139" xfId="0" applyFont="1" applyFill="1" applyBorder="1" applyAlignment="1">
      <alignment horizontal="justify" vertical="top" wrapText="1" readingOrder="2"/>
    </xf>
    <xf numFmtId="0" fontId="78" fillId="0" borderId="138" xfId="0" applyFont="1" applyBorder="1" applyAlignment="1">
      <alignment horizontal="right" vertical="top" wrapText="1" readingOrder="2"/>
    </xf>
    <xf numFmtId="0" fontId="78" fillId="0" borderId="139" xfId="0" applyFont="1" applyBorder="1" applyAlignment="1">
      <alignment horizontal="right" vertical="top" wrapText="1" readingOrder="2"/>
    </xf>
    <xf numFmtId="0" fontId="78" fillId="22" borderId="139" xfId="0" applyFont="1" applyFill="1" applyBorder="1" applyAlignment="1">
      <alignment horizontal="right" vertical="top" wrapText="1" readingOrder="2"/>
    </xf>
    <xf numFmtId="0" fontId="23" fillId="15" borderId="32" xfId="0" applyFont="1" applyFill="1" applyBorder="1" applyAlignment="1"/>
    <xf numFmtId="0" fontId="89" fillId="4" borderId="135" xfId="0" applyFont="1" applyFill="1" applyBorder="1" applyAlignment="1">
      <alignment wrapText="1"/>
    </xf>
    <xf numFmtId="0" fontId="89" fillId="4" borderId="117" xfId="0" applyFont="1" applyFill="1" applyBorder="1" applyAlignment="1">
      <alignment wrapText="1"/>
    </xf>
    <xf numFmtId="0" fontId="0" fillId="0" borderId="0" xfId="0"/>
    <xf numFmtId="164" fontId="85" fillId="4" borderId="1" xfId="0" applyNumberFormat="1" applyFont="1" applyFill="1" applyBorder="1" applyAlignment="1">
      <alignment horizontal="righ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1" fillId="4" borderId="117" xfId="0" applyFont="1" applyFill="1" applyBorder="1" applyAlignment="1">
      <alignment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81" fillId="4" borderId="117" xfId="0" applyNumberFormat="1" applyFont="1" applyFill="1" applyBorder="1" applyAlignment="1">
      <alignment horizont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2" fillId="4" borderId="32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23" fillId="0" borderId="0" xfId="0" applyFont="1" applyAlignment="1">
      <alignment horizontal="right" vertical="center"/>
    </xf>
    <xf numFmtId="0" fontId="0" fillId="0" borderId="0" xfId="0" applyAlignment="1">
      <alignment vertical="center"/>
    </xf>
    <xf numFmtId="0" fontId="0" fillId="0" borderId="0" xfId="0"/>
    <xf numFmtId="0" fontId="0" fillId="0" borderId="0" xfId="0"/>
    <xf numFmtId="164" fontId="54" fillId="4" borderId="1" xfId="0" applyNumberFormat="1" applyFont="1" applyFill="1" applyBorder="1" applyAlignment="1">
      <alignment horizontal="right"/>
    </xf>
    <xf numFmtId="167" fontId="54" fillId="4" borderId="25" xfId="0" applyNumberFormat="1" applyFont="1" applyFill="1" applyBorder="1" applyAlignment="1">
      <alignment horizontal="center" vertical="center" readingOrder="2"/>
    </xf>
    <xf numFmtId="0" fontId="1" fillId="4" borderId="2" xfId="0" applyFont="1" applyFill="1" applyBorder="1" applyAlignment="1" applyProtection="1">
      <alignment horizontal="center" vertical="center"/>
      <protection locked="0"/>
    </xf>
    <xf numFmtId="164" fontId="1" fillId="0" borderId="0" xfId="0" applyNumberFormat="1" applyFont="1" applyFill="1" applyBorder="1" applyAlignment="1"/>
    <xf numFmtId="0" fontId="19" fillId="0" borderId="0" xfId="0" applyFont="1" applyFill="1" applyBorder="1" applyAlignment="1">
      <alignment vertical="center"/>
    </xf>
    <xf numFmtId="0" fontId="15" fillId="0" borderId="0" xfId="0" applyFont="1" applyFill="1" applyBorder="1" applyAlignment="1"/>
    <xf numFmtId="0" fontId="16" fillId="0" borderId="0" xfId="0" applyFont="1" applyFill="1" applyBorder="1" applyAlignment="1"/>
    <xf numFmtId="0" fontId="17" fillId="0" borderId="0" xfId="0" applyFont="1" applyFill="1" applyBorder="1" applyAlignment="1"/>
    <xf numFmtId="0" fontId="0" fillId="0" borderId="0" xfId="0" applyFill="1" applyAlignment="1"/>
    <xf numFmtId="0" fontId="54" fillId="23" borderId="32" xfId="0" applyFont="1" applyFill="1" applyBorder="1" applyAlignment="1" applyProtection="1">
      <alignment horizontal="center" vertical="top"/>
      <protection locked="0"/>
    </xf>
    <xf numFmtId="0" fontId="90" fillId="0" borderId="32" xfId="0" applyFont="1" applyFill="1" applyBorder="1" applyAlignment="1" applyProtection="1">
      <alignment horizontal="center"/>
      <protection locked="0"/>
    </xf>
    <xf numFmtId="0" fontId="23" fillId="4" borderId="31" xfId="0" applyFont="1" applyFill="1" applyBorder="1" applyAlignment="1">
      <alignment horizontal="right"/>
    </xf>
    <xf numFmtId="0" fontId="55" fillId="4" borderId="75" xfId="0" applyFont="1" applyFill="1" applyBorder="1" applyAlignment="1" applyProtection="1">
      <alignment horizontal="center" vertical="center"/>
      <protection locked="0"/>
    </xf>
    <xf numFmtId="0" fontId="1" fillId="4" borderId="31" xfId="0" applyFont="1" applyFill="1" applyBorder="1" applyAlignment="1">
      <alignment horizontal="right"/>
    </xf>
    <xf numFmtId="0" fontId="24" fillId="4" borderId="2" xfId="0" applyFont="1" applyFill="1" applyBorder="1" applyAlignment="1" applyProtection="1">
      <alignment horizontal="center" vertical="center"/>
      <protection locked="0"/>
    </xf>
    <xf numFmtId="0" fontId="24" fillId="4" borderId="0" xfId="0" applyFont="1" applyFill="1" applyBorder="1" applyAlignment="1" applyProtection="1">
      <alignment vertical="top"/>
      <protection locked="0"/>
    </xf>
    <xf numFmtId="0" fontId="55" fillId="4" borderId="1" xfId="0" applyFont="1" applyFill="1" applyBorder="1" applyAlignment="1" applyProtection="1">
      <alignment horizontal="center" vertical="center"/>
      <protection locked="0"/>
    </xf>
    <xf numFmtId="0" fontId="0" fillId="2" borderId="32" xfId="0" applyFont="1" applyFill="1" applyBorder="1" applyAlignment="1" applyProtection="1">
      <protection locked="0"/>
    </xf>
    <xf numFmtId="164" fontId="48" fillId="4" borderId="1" xfId="0" applyNumberFormat="1" applyFont="1" applyFill="1" applyBorder="1" applyAlignment="1">
      <alignment horizontal="right"/>
    </xf>
    <xf numFmtId="164" fontId="48" fillId="4" borderId="1" xfId="0" applyNumberFormat="1" applyFont="1" applyFill="1" applyBorder="1" applyAlignment="1">
      <alignment horizontal="center"/>
    </xf>
    <xf numFmtId="164" fontId="48" fillId="4" borderId="1" xfId="0" applyNumberFormat="1" applyFont="1" applyFill="1" applyBorder="1" applyAlignment="1">
      <alignment horizontal="right" vertical="center"/>
    </xf>
    <xf numFmtId="1" fontId="48" fillId="4" borderId="1" xfId="0" applyNumberFormat="1" applyFont="1" applyFill="1" applyBorder="1" applyAlignment="1">
      <alignment horizontal="center" vertical="center"/>
    </xf>
    <xf numFmtId="49" fontId="48" fillId="4" borderId="31" xfId="0" applyNumberFormat="1" applyFont="1" applyFill="1" applyBorder="1" applyAlignment="1">
      <alignment horizontal="center" vertical="center" readingOrder="2"/>
    </xf>
    <xf numFmtId="0" fontId="1" fillId="0" borderId="0" xfId="0" applyFont="1" applyFill="1" applyBorder="1" applyAlignment="1"/>
    <xf numFmtId="164" fontId="1" fillId="0" borderId="0" xfId="0" applyNumberFormat="1" applyFont="1" applyFill="1" applyBorder="1" applyAlignment="1"/>
    <xf numFmtId="0" fontId="14" fillId="0" borderId="0" xfId="0" applyFont="1" applyFill="1" applyBorder="1" applyAlignment="1">
      <alignment horizontal="center"/>
    </xf>
    <xf numFmtId="0" fontId="0" fillId="0" borderId="10" xfId="0" applyFill="1" applyBorder="1"/>
    <xf numFmtId="0" fontId="19" fillId="0" borderId="92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19" fillId="0" borderId="109" xfId="0" applyFont="1" applyFill="1" applyBorder="1" applyAlignment="1">
      <alignment horizontal="center" vertical="center"/>
    </xf>
    <xf numFmtId="0" fontId="0" fillId="0" borderId="10" xfId="0" applyFill="1" applyBorder="1"/>
    <xf numFmtId="0" fontId="19" fillId="0" borderId="0" xfId="0" applyFont="1" applyFill="1" applyBorder="1" applyAlignment="1">
      <alignment horizontal="center" vertical="top"/>
    </xf>
    <xf numFmtId="0" fontId="14" fillId="0" borderId="0" xfId="0" applyFont="1" applyFill="1" applyBorder="1" applyAlignment="1">
      <alignment horizontal="center"/>
    </xf>
    <xf numFmtId="164" fontId="1" fillId="0" borderId="10" xfId="0" applyNumberFormat="1" applyFont="1" applyFill="1" applyBorder="1" applyAlignment="1">
      <alignment horizontal="right"/>
    </xf>
    <xf numFmtId="0" fontId="19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66" fontId="2" fillId="0" borderId="0" xfId="0" applyNumberFormat="1" applyFont="1" applyFill="1" applyBorder="1" applyAlignment="1">
      <alignment horizontal="right"/>
    </xf>
    <xf numFmtId="0" fontId="15" fillId="0" borderId="0" xfId="0" applyFont="1" applyFill="1" applyBorder="1" applyAlignment="1">
      <alignment horizontal="right"/>
    </xf>
    <xf numFmtId="164" fontId="14" fillId="0" borderId="0" xfId="0" applyNumberFormat="1" applyFont="1" applyFill="1" applyBorder="1" applyAlignment="1">
      <alignment horizontal="left"/>
    </xf>
    <xf numFmtId="164" fontId="15" fillId="0" borderId="0" xfId="0" applyNumberFormat="1" applyFont="1" applyFill="1" applyBorder="1" applyAlignment="1"/>
    <xf numFmtId="164" fontId="1" fillId="0" borderId="0" xfId="0" applyNumberFormat="1" applyFont="1" applyFill="1" applyBorder="1" applyAlignment="1"/>
    <xf numFmtId="0" fontId="19" fillId="0" borderId="15" xfId="0" applyFont="1" applyFill="1" applyBorder="1" applyAlignment="1">
      <alignment horizontal="right" vertical="top"/>
    </xf>
    <xf numFmtId="0" fontId="19" fillId="0" borderId="15" xfId="0" applyFont="1" applyFill="1" applyBorder="1" applyAlignment="1"/>
    <xf numFmtId="0" fontId="0" fillId="0" borderId="10" xfId="0" applyFill="1" applyBorder="1" applyAlignment="1"/>
    <xf numFmtId="0" fontId="0" fillId="0" borderId="15" xfId="0" applyFill="1" applyBorder="1" applyAlignment="1"/>
    <xf numFmtId="0" fontId="1" fillId="0" borderId="10" xfId="0" applyFont="1" applyFill="1" applyBorder="1" applyAlignment="1"/>
    <xf numFmtId="0" fontId="18" fillId="0" borderId="0" xfId="0" applyFont="1" applyFill="1" applyBorder="1" applyAlignment="1">
      <alignment horizontal="right"/>
    </xf>
    <xf numFmtId="0" fontId="52" fillId="0" borderId="0" xfId="0" applyFont="1" applyFill="1" applyBorder="1"/>
    <xf numFmtId="0" fontId="0" fillId="0" borderId="1" xfId="0" applyFill="1" applyBorder="1"/>
    <xf numFmtId="0" fontId="14" fillId="0" borderId="10" xfId="0" applyFont="1" applyFill="1" applyBorder="1" applyAlignment="1">
      <alignment readingOrder="2"/>
    </xf>
    <xf numFmtId="0" fontId="1" fillId="2" borderId="1" xfId="0" applyFont="1" applyFill="1" applyBorder="1"/>
    <xf numFmtId="0" fontId="1" fillId="0" borderId="0" xfId="0" applyFont="1" applyBorder="1" applyAlignment="1">
      <alignment horizontal="center" vertical="center"/>
    </xf>
    <xf numFmtId="0" fontId="0" fillId="0" borderId="0" xfId="0" applyFill="1" applyBorder="1"/>
    <xf numFmtId="0" fontId="14" fillId="0" borderId="0" xfId="0" applyFont="1" applyFill="1" applyBorder="1" applyAlignment="1">
      <alignment horizontal="right"/>
    </xf>
    <xf numFmtId="0" fontId="48" fillId="23" borderId="1" xfId="0" applyFont="1" applyFill="1" applyBorder="1" applyAlignment="1" applyProtection="1">
      <alignment vertical="top"/>
      <protection locked="0"/>
    </xf>
    <xf numFmtId="0" fontId="86" fillId="4" borderId="75" xfId="0" applyFont="1" applyFill="1" applyBorder="1" applyAlignment="1" applyProtection="1">
      <alignment horizontal="center" vertical="center"/>
      <protection locked="0"/>
    </xf>
    <xf numFmtId="0" fontId="86" fillId="4" borderId="98" xfId="0" applyFont="1" applyFill="1" applyBorder="1" applyAlignment="1" applyProtection="1">
      <alignment horizontal="center" vertical="center"/>
      <protection locked="0"/>
    </xf>
    <xf numFmtId="167" fontId="48" fillId="4" borderId="25" xfId="0" applyNumberFormat="1" applyFont="1" applyFill="1" applyBorder="1" applyAlignment="1">
      <alignment horizontal="center" vertical="center" readingOrder="2"/>
    </xf>
    <xf numFmtId="164" fontId="82" fillId="4" borderId="1" xfId="0" applyNumberFormat="1" applyFont="1" applyFill="1" applyBorder="1" applyAlignment="1">
      <alignment horizontal="center" vertical="center"/>
    </xf>
    <xf numFmtId="0" fontId="92" fillId="2" borderId="32" xfId="0" applyFont="1" applyFill="1" applyBorder="1" applyAlignment="1" applyProtection="1">
      <protection locked="0"/>
    </xf>
    <xf numFmtId="0" fontId="55" fillId="4" borderId="25" xfId="0" applyFont="1" applyFill="1" applyBorder="1" applyAlignment="1" applyProtection="1">
      <alignment horizontal="center" vertical="center"/>
      <protection locked="0"/>
    </xf>
    <xf numFmtId="0" fontId="55" fillId="4" borderId="31" xfId="0" applyFont="1" applyFill="1" applyBorder="1" applyAlignment="1" applyProtection="1">
      <alignment horizontal="center" vertical="center"/>
      <protection locked="0"/>
    </xf>
    <xf numFmtId="2" fontId="23" fillId="0" borderId="77" xfId="0" applyNumberFormat="1" applyFont="1" applyFill="1" applyBorder="1" applyAlignment="1" applyProtection="1">
      <alignment horizontal="center" vertical="center" readingOrder="2"/>
      <protection locked="0"/>
    </xf>
    <xf numFmtId="0" fontId="24" fillId="0" borderId="0" xfId="0" applyFont="1" applyBorder="1" applyAlignment="1" applyProtection="1">
      <alignment horizontal="center"/>
      <protection locked="0"/>
    </xf>
    <xf numFmtId="0" fontId="1" fillId="0" borderId="0" xfId="0" applyFont="1" applyBorder="1" applyAlignment="1" applyProtection="1">
      <alignment horizontal="center"/>
      <protection locked="0"/>
    </xf>
    <xf numFmtId="0" fontId="1" fillId="2" borderId="0" xfId="0" applyFont="1" applyFill="1" applyBorder="1" applyAlignment="1" applyProtection="1">
      <alignment horizontal="center"/>
      <protection locked="0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Fill="1" applyBorder="1"/>
    <xf numFmtId="0" fontId="0" fillId="0" borderId="0" xfId="0"/>
    <xf numFmtId="0" fontId="27" fillId="2" borderId="11" xfId="0" applyFont="1" applyFill="1" applyBorder="1" applyAlignment="1" applyProtection="1">
      <alignment horizontal="center" vertical="top"/>
      <protection locked="0"/>
    </xf>
    <xf numFmtId="0" fontId="0" fillId="0" borderId="0" xfId="0"/>
    <xf numFmtId="0" fontId="23" fillId="15" borderId="31" xfId="0" applyFont="1" applyFill="1" applyBorder="1" applyAlignment="1">
      <alignment horizontal="center"/>
    </xf>
    <xf numFmtId="0" fontId="23" fillId="15" borderId="32" xfId="0" applyFont="1" applyFill="1" applyBorder="1" applyAlignment="1">
      <alignment horizontal="center"/>
    </xf>
    <xf numFmtId="0" fontId="55" fillId="4" borderId="24" xfId="0" applyFont="1" applyFill="1" applyBorder="1" applyAlignment="1" applyProtection="1">
      <alignment horizontal="center" vertical="center"/>
      <protection locked="0"/>
    </xf>
    <xf numFmtId="0" fontId="0" fillId="0" borderId="0" xfId="0"/>
    <xf numFmtId="0" fontId="0" fillId="0" borderId="0" xfId="0"/>
    <xf numFmtId="164" fontId="54" fillId="4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54" fillId="0" borderId="24" xfId="0" applyFont="1" applyFill="1" applyBorder="1" applyAlignment="1" applyProtection="1">
      <alignment horizontal="center" vertical="top"/>
      <protection locked="0"/>
    </xf>
    <xf numFmtId="0" fontId="55" fillId="0" borderId="24" xfId="0" applyFont="1" applyFill="1" applyBorder="1" applyAlignment="1" applyProtection="1">
      <alignment horizontal="center" vertical="top"/>
      <protection locked="0"/>
    </xf>
    <xf numFmtId="0" fontId="66" fillId="22" borderId="90" xfId="0" applyFont="1" applyFill="1" applyBorder="1" applyAlignment="1">
      <alignment horizontal="center" vertical="top" wrapText="1" readingOrder="2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 applyBorder="1"/>
    <xf numFmtId="0" fontId="0" fillId="0" borderId="0" xfId="0"/>
    <xf numFmtId="0" fontId="0" fillId="0" borderId="0" xfId="0"/>
    <xf numFmtId="49" fontId="77" fillId="4" borderId="31" xfId="0" applyNumberFormat="1" applyFont="1" applyFill="1" applyBorder="1" applyAlignment="1">
      <alignment horizontal="center" vertical="center" readingOrder="2"/>
    </xf>
    <xf numFmtId="167" fontId="77" fillId="4" borderId="25" xfId="0" applyNumberFormat="1" applyFont="1" applyFill="1" applyBorder="1" applyAlignment="1">
      <alignment horizontal="center" vertical="center" readingOrder="2"/>
    </xf>
    <xf numFmtId="0" fontId="0" fillId="0" borderId="0" xfId="0"/>
    <xf numFmtId="0" fontId="0" fillId="0" borderId="0" xfId="0"/>
    <xf numFmtId="0" fontId="0" fillId="0" borderId="0" xfId="0" applyFill="1" applyBorder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Fill="1" applyBorder="1"/>
    <xf numFmtId="0" fontId="0" fillId="0" borderId="0" xfId="0"/>
    <xf numFmtId="0" fontId="0" fillId="0" borderId="0" xfId="0"/>
    <xf numFmtId="164" fontId="27" fillId="4" borderId="1" xfId="0" applyNumberFormat="1" applyFont="1" applyFill="1" applyBorder="1" applyAlignment="1">
      <alignment horizontal="center"/>
    </xf>
    <xf numFmtId="49" fontId="27" fillId="4" borderId="31" xfId="0" applyNumberFormat="1" applyFont="1" applyFill="1" applyBorder="1" applyAlignment="1">
      <alignment horizontal="center" vertical="center" readingOrder="2"/>
    </xf>
    <xf numFmtId="167" fontId="27" fillId="4" borderId="25" xfId="0" applyNumberFormat="1" applyFont="1" applyFill="1" applyBorder="1" applyAlignment="1">
      <alignment horizontal="center" vertical="center" readingOrder="2"/>
    </xf>
    <xf numFmtId="0" fontId="4" fillId="2" borderId="32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" fillId="4" borderId="7" xfId="0" applyFont="1" applyFill="1" applyBorder="1" applyAlignment="1" applyProtection="1">
      <alignment vertical="top"/>
      <protection locked="0"/>
    </xf>
    <xf numFmtId="0" fontId="0" fillId="0" borderId="0" xfId="0"/>
    <xf numFmtId="0" fontId="0" fillId="0" borderId="0" xfId="0"/>
    <xf numFmtId="0" fontId="93" fillId="0" borderId="24" xfId="0" applyFont="1" applyFill="1" applyBorder="1" applyAlignment="1" applyProtection="1">
      <alignment horizontal="center" vertical="top"/>
      <protection locked="0"/>
    </xf>
    <xf numFmtId="0" fontId="0" fillId="0" borderId="0" xfId="0"/>
    <xf numFmtId="0" fontId="54" fillId="4" borderId="24" xfId="0" applyFont="1" applyFill="1" applyBorder="1" applyAlignment="1" applyProtection="1">
      <alignment horizontal="center" vertical="top"/>
      <protection locked="0"/>
    </xf>
    <xf numFmtId="0" fontId="0" fillId="0" borderId="0" xfId="0"/>
    <xf numFmtId="0" fontId="0" fillId="0" borderId="0" xfId="0"/>
    <xf numFmtId="0" fontId="25" fillId="2" borderId="31" xfId="0" applyFont="1" applyFill="1" applyBorder="1" applyAlignment="1" applyProtection="1">
      <protection locked="0"/>
    </xf>
    <xf numFmtId="0" fontId="0" fillId="0" borderId="0" xfId="0"/>
    <xf numFmtId="0" fontId="72" fillId="4" borderId="1" xfId="0" applyFont="1" applyFill="1" applyBorder="1" applyAlignment="1">
      <alignment wrapText="1"/>
    </xf>
    <xf numFmtId="0" fontId="0" fillId="0" borderId="0" xfId="0"/>
    <xf numFmtId="164" fontId="1" fillId="0" borderId="0" xfId="0" applyNumberFormat="1" applyFont="1" applyFill="1" applyBorder="1" applyAlignment="1"/>
    <xf numFmtId="0" fontId="55" fillId="4" borderId="24" xfId="0" applyFont="1" applyFill="1" applyBorder="1" applyAlignment="1" applyProtection="1">
      <alignment horizontal="center" vertical="top"/>
      <protection locked="0"/>
    </xf>
    <xf numFmtId="0" fontId="23" fillId="12" borderId="1" xfId="0" applyFont="1" applyFill="1" applyBorder="1" applyAlignment="1" applyProtection="1">
      <alignment horizontal="center"/>
      <protection locked="0"/>
    </xf>
    <xf numFmtId="0" fontId="0" fillId="0" borderId="0" xfId="0"/>
    <xf numFmtId="0" fontId="0" fillId="0" borderId="0" xfId="0" applyFill="1" applyBorder="1"/>
    <xf numFmtId="0" fontId="54" fillId="2" borderId="31" xfId="0" applyFont="1" applyFill="1" applyBorder="1" applyAlignment="1" applyProtection="1">
      <alignment horizontal="center" vertical="top"/>
      <protection locked="0"/>
    </xf>
    <xf numFmtId="0" fontId="54" fillId="2" borderId="1" xfId="0" applyFont="1" applyFill="1" applyBorder="1" applyAlignment="1" applyProtection="1">
      <alignment horizontal="center" vertical="top"/>
      <protection locked="0"/>
    </xf>
    <xf numFmtId="0" fontId="1" fillId="0" borderId="0" xfId="0" applyFont="1" applyFill="1" applyBorder="1" applyAlignment="1" applyProtection="1">
      <alignment horizontal="center" vertical="top"/>
      <protection locked="0"/>
    </xf>
    <xf numFmtId="0" fontId="54" fillId="23" borderId="1" xfId="0" applyFont="1" applyFill="1" applyBorder="1" applyAlignment="1" applyProtection="1">
      <alignment horizontal="center" vertical="top"/>
      <protection locked="0"/>
    </xf>
    <xf numFmtId="0" fontId="54" fillId="0" borderId="1" xfId="0" applyFont="1" applyFill="1" applyBorder="1" applyAlignment="1" applyProtection="1">
      <alignment horizontal="center" vertical="top"/>
      <protection locked="0"/>
    </xf>
    <xf numFmtId="0" fontId="0" fillId="0" borderId="0" xfId="0"/>
    <xf numFmtId="0" fontId="0" fillId="0" borderId="0" xfId="0"/>
    <xf numFmtId="0" fontId="14" fillId="0" borderId="10" xfId="0" applyFont="1" applyFill="1" applyBorder="1" applyAlignment="1">
      <alignment horizontal="center"/>
    </xf>
    <xf numFmtId="0" fontId="94" fillId="4" borderId="32" xfId="0" applyFont="1" applyFill="1" applyBorder="1" applyAlignment="1">
      <alignment horizontal="right" vertical="center"/>
    </xf>
    <xf numFmtId="0" fontId="0" fillId="4" borderId="19" xfId="0" applyFont="1" applyFill="1" applyBorder="1" applyAlignment="1">
      <alignment horizontal="right"/>
    </xf>
    <xf numFmtId="0" fontId="0" fillId="4" borderId="1" xfId="0" applyFont="1" applyFill="1" applyBorder="1" applyAlignment="1">
      <alignment horizontal="right"/>
    </xf>
    <xf numFmtId="0" fontId="0" fillId="4" borderId="0" xfId="0" applyFont="1" applyFill="1" applyBorder="1" applyAlignment="1">
      <alignment horizontal="right"/>
    </xf>
    <xf numFmtId="0" fontId="4" fillId="4" borderId="1" xfId="0" applyFont="1" applyFill="1" applyBorder="1" applyAlignment="1">
      <alignment horizontal="right" vertical="center"/>
    </xf>
    <xf numFmtId="0" fontId="0" fillId="0" borderId="0" xfId="0"/>
    <xf numFmtId="0" fontId="0" fillId="0" borderId="0" xfId="0"/>
    <xf numFmtId="0" fontId="23" fillId="2" borderId="7" xfId="0" applyFont="1" applyFill="1" applyBorder="1" applyAlignment="1" applyProtection="1">
      <alignment vertical="center"/>
      <protection locked="0"/>
    </xf>
    <xf numFmtId="0" fontId="23" fillId="2" borderId="7" xfId="0" applyFont="1" applyFill="1" applyBorder="1" applyAlignment="1" applyProtection="1">
      <alignment horizontal="right" vertical="center"/>
      <protection locked="0"/>
    </xf>
    <xf numFmtId="0" fontId="23" fillId="2" borderId="7" xfId="0" applyFont="1" applyFill="1" applyBorder="1" applyAlignment="1" applyProtection="1">
      <alignment vertical="top"/>
      <protection locked="0"/>
    </xf>
    <xf numFmtId="0" fontId="23" fillId="2" borderId="7" xfId="0" applyFont="1" applyFill="1" applyBorder="1" applyAlignment="1" applyProtection="1">
      <alignment horizontal="right" vertical="top"/>
      <protection locked="0"/>
    </xf>
    <xf numFmtId="0" fontId="23" fillId="2" borderId="9" xfId="0" applyFont="1" applyFill="1" applyBorder="1" applyAlignment="1" applyProtection="1">
      <alignment horizontal="center" vertical="center"/>
      <protection locked="0"/>
    </xf>
    <xf numFmtId="0" fontId="23" fillId="2" borderId="9" xfId="0" applyFont="1" applyFill="1" applyBorder="1" applyAlignment="1" applyProtection="1">
      <alignment horizontal="right" vertical="center"/>
      <protection locked="0"/>
    </xf>
    <xf numFmtId="0" fontId="23" fillId="2" borderId="7" xfId="0" applyFont="1" applyFill="1" applyBorder="1" applyAlignment="1" applyProtection="1">
      <alignment horizontal="center" vertical="center"/>
      <protection locked="0"/>
    </xf>
    <xf numFmtId="0" fontId="23" fillId="2" borderId="9" xfId="0" applyFont="1" applyFill="1" applyBorder="1" applyAlignment="1" applyProtection="1">
      <alignment vertical="center"/>
      <protection locked="0"/>
    </xf>
    <xf numFmtId="0" fontId="1" fillId="2" borderId="7" xfId="0" applyFont="1" applyFill="1" applyBorder="1" applyAlignment="1" applyProtection="1">
      <alignment vertical="center"/>
      <protection locked="0"/>
    </xf>
    <xf numFmtId="0" fontId="1" fillId="2" borderId="7" xfId="0" applyFont="1" applyFill="1" applyBorder="1" applyAlignment="1" applyProtection="1">
      <alignment vertical="top"/>
      <protection locked="0"/>
    </xf>
    <xf numFmtId="0" fontId="0" fillId="0" borderId="0" xfId="0"/>
    <xf numFmtId="0" fontId="0" fillId="0" borderId="0" xfId="0" applyFill="1" applyBorder="1"/>
    <xf numFmtId="0" fontId="54" fillId="23" borderId="1" xfId="0" applyFont="1" applyFill="1" applyBorder="1" applyAlignment="1" applyProtection="1">
      <alignment horizontal="center" vertical="top"/>
      <protection locked="0"/>
    </xf>
    <xf numFmtId="0" fontId="54" fillId="2" borderId="1" xfId="0" applyFont="1" applyFill="1" applyBorder="1" applyAlignment="1" applyProtection="1">
      <alignment horizontal="center" vertical="top"/>
      <protection locked="0"/>
    </xf>
    <xf numFmtId="0" fontId="54" fillId="2" borderId="31" xfId="0" applyFont="1" applyFill="1" applyBorder="1" applyAlignment="1" applyProtection="1">
      <alignment horizontal="center" vertical="top"/>
      <protection locked="0"/>
    </xf>
    <xf numFmtId="0" fontId="1" fillId="0" borderId="0" xfId="0" applyFont="1" applyFill="1" applyBorder="1" applyAlignment="1" applyProtection="1">
      <alignment horizontal="center" vertical="top"/>
      <protection locked="0"/>
    </xf>
    <xf numFmtId="0" fontId="54" fillId="0" borderId="1" xfId="0" applyFont="1" applyFill="1" applyBorder="1" applyAlignment="1" applyProtection="1">
      <alignment horizontal="center" vertical="top"/>
      <protection locked="0"/>
    </xf>
    <xf numFmtId="0" fontId="1" fillId="11" borderId="1" xfId="0" applyFont="1" applyFill="1" applyBorder="1" applyAlignment="1">
      <alignment horizontal="center" vertical="center"/>
    </xf>
    <xf numFmtId="0" fontId="23" fillId="11" borderId="1" xfId="0" applyFont="1" applyFill="1" applyBorder="1" applyAlignment="1">
      <alignment horizontal="center" vertical="center"/>
    </xf>
    <xf numFmtId="0" fontId="54" fillId="4" borderId="24" xfId="0" applyFont="1" applyFill="1" applyBorder="1" applyAlignment="1" applyProtection="1">
      <alignment horizontal="center" vertical="center"/>
      <protection locked="0"/>
    </xf>
    <xf numFmtId="0" fontId="54" fillId="4" borderId="1" xfId="0" applyFont="1" applyFill="1" applyBorder="1" applyAlignment="1" applyProtection="1">
      <alignment horizontal="center" vertical="center"/>
      <protection locked="0"/>
    </xf>
    <xf numFmtId="0" fontId="23" fillId="2" borderId="2" xfId="0" applyFont="1" applyFill="1" applyBorder="1" applyAlignment="1" applyProtection="1">
      <alignment horizontal="center"/>
      <protection locked="0"/>
    </xf>
    <xf numFmtId="0" fontId="55" fillId="4" borderId="99" xfId="0" applyFont="1" applyFill="1" applyBorder="1" applyAlignment="1" applyProtection="1">
      <alignment horizontal="center" vertical="center"/>
      <protection locked="0"/>
    </xf>
    <xf numFmtId="0" fontId="1" fillId="11" borderId="1" xfId="0" applyFont="1" applyFill="1" applyBorder="1" applyAlignment="1">
      <alignment horizontal="center" vertical="center"/>
    </xf>
    <xf numFmtId="0" fontId="37" fillId="0" borderId="10" xfId="0" applyFont="1" applyFill="1" applyBorder="1" applyAlignment="1"/>
    <xf numFmtId="0" fontId="1" fillId="11" borderId="1" xfId="0" applyFont="1" applyFill="1" applyBorder="1" applyAlignment="1">
      <alignment horizontal="center" vertical="center"/>
    </xf>
    <xf numFmtId="0" fontId="23" fillId="4" borderId="3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 vertical="center"/>
    </xf>
    <xf numFmtId="0" fontId="93" fillId="4" borderId="24" xfId="0" applyFont="1" applyFill="1" applyBorder="1" applyAlignment="1" applyProtection="1">
      <alignment horizontal="center" vertical="top"/>
      <protection locked="0"/>
    </xf>
    <xf numFmtId="0" fontId="54" fillId="2" borderId="2" xfId="0" applyFont="1" applyFill="1" applyBorder="1" applyAlignment="1" applyProtection="1">
      <alignment horizontal="center" vertical="center"/>
      <protection locked="0"/>
    </xf>
    <xf numFmtId="0" fontId="54" fillId="4" borderId="2" xfId="0" applyFont="1" applyFill="1" applyBorder="1" applyAlignment="1" applyProtection="1">
      <alignment horizontal="center" vertical="top"/>
      <protection locked="0"/>
    </xf>
    <xf numFmtId="0" fontId="54" fillId="2" borderId="1" xfId="0" applyFont="1" applyFill="1" applyBorder="1" applyAlignment="1">
      <alignment horizontal="center" vertical="center"/>
    </xf>
    <xf numFmtId="0" fontId="86" fillId="4" borderId="1" xfId="0" applyFont="1" applyFill="1" applyBorder="1" applyAlignment="1" applyProtection="1">
      <alignment horizontal="center" vertical="center"/>
      <protection locked="0"/>
    </xf>
    <xf numFmtId="0" fontId="86" fillId="4" borderId="31" xfId="0" applyFont="1" applyFill="1" applyBorder="1" applyAlignment="1" applyProtection="1">
      <alignment horizontal="center" vertical="center"/>
      <protection locked="0"/>
    </xf>
    <xf numFmtId="0" fontId="54" fillId="0" borderId="0" xfId="0" applyFont="1" applyFill="1" applyAlignment="1"/>
    <xf numFmtId="0" fontId="1" fillId="11" borderId="1" xfId="0" applyFont="1" applyFill="1" applyBorder="1" applyAlignment="1">
      <alignment horizontal="center" vertical="center"/>
    </xf>
    <xf numFmtId="0" fontId="91" fillId="4" borderId="31" xfId="0" applyFont="1" applyFill="1" applyBorder="1" applyAlignment="1" applyProtection="1">
      <alignment horizontal="center" vertical="center"/>
      <protection locked="0"/>
    </xf>
    <xf numFmtId="1" fontId="23" fillId="0" borderId="9" xfId="0" applyNumberFormat="1" applyFont="1" applyFill="1" applyBorder="1" applyAlignment="1">
      <alignment horizontal="center" vertical="center"/>
    </xf>
    <xf numFmtId="0" fontId="54" fillId="23" borderId="1" xfId="0" applyFont="1" applyFill="1" applyBorder="1" applyAlignment="1" applyProtection="1">
      <alignment horizontal="center" vertical="top"/>
      <protection locked="0"/>
    </xf>
    <xf numFmtId="0" fontId="14" fillId="0" borderId="0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0" fontId="0" fillId="0" borderId="0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29" fillId="4" borderId="1" xfId="2" applyFont="1" applyFill="1" applyBorder="1" applyAlignment="1">
      <alignment horizontal="center" vertical="center"/>
    </xf>
    <xf numFmtId="0" fontId="55" fillId="4" borderId="97" xfId="0" applyFont="1" applyFill="1" applyBorder="1" applyAlignment="1" applyProtection="1">
      <alignment horizontal="center" vertical="center"/>
      <protection locked="0"/>
    </xf>
    <xf numFmtId="0" fontId="1" fillId="0" borderId="0" xfId="0" applyFont="1" applyFill="1" applyBorder="1" applyAlignment="1"/>
    <xf numFmtId="0" fontId="1" fillId="4" borderId="30" xfId="0" applyFont="1" applyFill="1" applyBorder="1" applyAlignment="1" applyProtection="1">
      <alignment horizontal="center" vertical="center"/>
      <protection locked="0"/>
    </xf>
    <xf numFmtId="164" fontId="1" fillId="4" borderId="0" xfId="0" applyNumberFormat="1" applyFont="1" applyFill="1" applyBorder="1" applyAlignment="1" applyProtection="1">
      <alignment horizontal="right"/>
    </xf>
    <xf numFmtId="164" fontId="1" fillId="4" borderId="30" xfId="0" applyNumberFormat="1" applyFont="1" applyFill="1" applyBorder="1" applyAlignment="1" applyProtection="1">
      <alignment vertical="center"/>
    </xf>
    <xf numFmtId="0" fontId="23" fillId="4" borderId="0" xfId="0" applyFont="1" applyFill="1" applyAlignment="1">
      <alignment vertical="center"/>
    </xf>
    <xf numFmtId="0" fontId="24" fillId="4" borderId="75" xfId="0" applyFont="1" applyFill="1" applyBorder="1" applyAlignment="1">
      <alignment vertical="center"/>
    </xf>
    <xf numFmtId="0" fontId="24" fillId="4" borderId="24" xfId="0" applyFont="1" applyFill="1" applyBorder="1" applyAlignment="1">
      <alignment vertical="center"/>
    </xf>
    <xf numFmtId="0" fontId="0" fillId="0" borderId="0" xfId="0"/>
    <xf numFmtId="0" fontId="9" fillId="0" borderId="0" xfId="0" applyFont="1" applyAlignment="1">
      <alignment horizontal="center" vertical="center"/>
    </xf>
    <xf numFmtId="0" fontId="9" fillId="0" borderId="0" xfId="0" applyFont="1" applyAlignment="1"/>
    <xf numFmtId="164" fontId="29" fillId="4" borderId="1" xfId="0" applyNumberFormat="1" applyFont="1" applyFill="1" applyBorder="1" applyAlignment="1">
      <alignment horizontal="right"/>
    </xf>
    <xf numFmtId="164" fontId="29" fillId="4" borderId="1" xfId="0" applyNumberFormat="1" applyFont="1" applyFill="1" applyBorder="1" applyAlignment="1">
      <alignment horizontal="center"/>
    </xf>
    <xf numFmtId="14" fontId="23" fillId="4" borderId="1" xfId="0" applyNumberFormat="1" applyFont="1" applyFill="1" applyBorder="1" applyAlignment="1">
      <alignment horizontal="center"/>
    </xf>
    <xf numFmtId="0" fontId="23" fillId="4" borderId="1" xfId="0" applyFont="1" applyFill="1" applyBorder="1" applyAlignment="1">
      <alignment horizontal="center"/>
    </xf>
    <xf numFmtId="0" fontId="23" fillId="4" borderId="1" xfId="3" applyFont="1" applyFill="1" applyBorder="1" applyAlignment="1">
      <alignment horizontal="center" vertical="center"/>
    </xf>
    <xf numFmtId="0" fontId="1" fillId="4" borderId="0" xfId="0" applyFont="1" applyFill="1" applyBorder="1" applyAlignment="1" applyProtection="1">
      <alignment vertical="center"/>
      <protection locked="0"/>
    </xf>
    <xf numFmtId="0" fontId="2" fillId="4" borderId="0" xfId="0" applyFont="1" applyFill="1" applyBorder="1" applyAlignment="1" applyProtection="1">
      <alignment vertical="center"/>
      <protection locked="0"/>
    </xf>
    <xf numFmtId="164" fontId="23" fillId="4" borderId="0" xfId="0" applyNumberFormat="1" applyFont="1" applyFill="1" applyBorder="1" applyAlignment="1" applyProtection="1">
      <alignment horizontal="right"/>
    </xf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26" fillId="0" borderId="1" xfId="0" applyFont="1" applyBorder="1" applyAlignment="1">
      <alignment horizontal="right"/>
    </xf>
    <xf numFmtId="0" fontId="29" fillId="4" borderId="31" xfId="2" applyFont="1" applyFill="1" applyBorder="1" applyAlignment="1">
      <alignment horizontal="right" vertical="center"/>
    </xf>
    <xf numFmtId="0" fontId="29" fillId="4" borderId="32" xfId="2" applyFont="1" applyFill="1" applyBorder="1" applyAlignment="1">
      <alignment horizontal="right" vertical="center"/>
    </xf>
    <xf numFmtId="0" fontId="55" fillId="0" borderId="97" xfId="0" applyFont="1" applyFill="1" applyBorder="1" applyAlignment="1" applyProtection="1">
      <alignment horizontal="center" vertical="center"/>
      <protection locked="0"/>
    </xf>
    <xf numFmtId="0" fontId="86" fillId="0" borderId="97" xfId="0" applyFont="1" applyFill="1" applyBorder="1" applyAlignment="1" applyProtection="1">
      <alignment horizontal="center" vertical="center"/>
      <protection locked="0"/>
    </xf>
    <xf numFmtId="0" fontId="26" fillId="0" borderId="0" xfId="0" applyFont="1" applyBorder="1"/>
    <xf numFmtId="0" fontId="48" fillId="4" borderId="97" xfId="0" applyFont="1" applyFill="1" applyBorder="1" applyAlignment="1" applyProtection="1">
      <alignment horizontal="center" vertical="center"/>
      <protection locked="0"/>
    </xf>
    <xf numFmtId="49" fontId="54" fillId="4" borderId="95" xfId="0" applyNumberFormat="1" applyFont="1" applyFill="1" applyBorder="1" applyAlignment="1" applyProtection="1">
      <alignment vertical="center"/>
      <protection locked="0"/>
    </xf>
    <xf numFmtId="49" fontId="54" fillId="4" borderId="91" xfId="0" applyNumberFormat="1" applyFont="1" applyFill="1" applyBorder="1" applyAlignment="1" applyProtection="1">
      <alignment vertical="center"/>
      <protection locked="0"/>
    </xf>
    <xf numFmtId="49" fontId="54" fillId="4" borderId="31" xfId="0" applyNumberFormat="1" applyFont="1" applyFill="1" applyBorder="1" applyAlignment="1" applyProtection="1">
      <alignment vertical="center"/>
      <protection locked="0"/>
    </xf>
    <xf numFmtId="49" fontId="54" fillId="4" borderId="32" xfId="0" applyNumberFormat="1" applyFont="1" applyFill="1" applyBorder="1" applyAlignment="1" applyProtection="1">
      <alignment vertical="center"/>
      <protection locked="0"/>
    </xf>
    <xf numFmtId="0" fontId="1" fillId="4" borderId="30" xfId="0" applyFont="1" applyFill="1" applyBorder="1" applyAlignment="1" applyProtection="1">
      <alignment horizontal="center" vertical="center"/>
      <protection locked="0"/>
    </xf>
    <xf numFmtId="0" fontId="0" fillId="0" borderId="0" xfId="0"/>
    <xf numFmtId="0" fontId="0" fillId="0" borderId="0" xfId="0" applyFill="1" applyBorder="1"/>
    <xf numFmtId="0" fontId="23" fillId="0" borderId="0" xfId="0" applyFont="1" applyFill="1" applyBorder="1" applyAlignment="1"/>
    <xf numFmtId="0" fontId="22" fillId="0" borderId="0" xfId="0" applyFont="1" applyFill="1" applyBorder="1" applyAlignment="1"/>
    <xf numFmtId="0" fontId="22" fillId="12" borderId="1" xfId="0" applyFont="1" applyFill="1" applyBorder="1" applyAlignment="1" applyProtection="1">
      <alignment horizontal="center"/>
      <protection locked="0"/>
    </xf>
    <xf numFmtId="0" fontId="1" fillId="4" borderId="7" xfId="0" applyFont="1" applyFill="1" applyBorder="1" applyAlignment="1" applyProtection="1">
      <alignment vertical="center"/>
      <protection locked="0"/>
    </xf>
    <xf numFmtId="0" fontId="48" fillId="4" borderId="24" xfId="0" applyFont="1" applyFill="1" applyBorder="1" applyAlignment="1" applyProtection="1">
      <alignment horizontal="center" vertical="center"/>
      <protection locked="0"/>
    </xf>
    <xf numFmtId="0" fontId="48" fillId="0" borderId="24" xfId="0" applyFont="1" applyFill="1" applyBorder="1" applyAlignment="1" applyProtection="1">
      <alignment horizontal="center" vertical="center"/>
      <protection locked="0"/>
    </xf>
    <xf numFmtId="0" fontId="86" fillId="4" borderId="97" xfId="0" applyFont="1" applyFill="1" applyBorder="1" applyAlignment="1" applyProtection="1">
      <alignment horizontal="center" vertical="center"/>
      <protection locked="0"/>
    </xf>
    <xf numFmtId="0" fontId="82" fillId="4" borderId="24" xfId="0" applyFont="1" applyFill="1" applyBorder="1" applyAlignment="1" applyProtection="1">
      <alignment horizontal="center" vertical="top"/>
      <protection locked="0"/>
    </xf>
    <xf numFmtId="0" fontId="0" fillId="0" borderId="0" xfId="0" applyFill="1" applyBorder="1"/>
    <xf numFmtId="0" fontId="0" fillId="0" borderId="0" xfId="0"/>
    <xf numFmtId="0" fontId="1" fillId="4" borderId="30" xfId="0" applyFont="1" applyFill="1" applyBorder="1" applyAlignment="1" applyProtection="1">
      <alignment horizontal="center" vertical="center"/>
      <protection locked="0"/>
    </xf>
    <xf numFmtId="0" fontId="48" fillId="23" borderId="136" xfId="0" applyFont="1" applyFill="1" applyBorder="1" applyAlignment="1" applyProtection="1">
      <protection locked="0"/>
    </xf>
    <xf numFmtId="0" fontId="48" fillId="23" borderId="4" xfId="0" applyFont="1" applyFill="1" applyBorder="1" applyAlignment="1" applyProtection="1">
      <alignment horizontal="center"/>
      <protection locked="0"/>
    </xf>
    <xf numFmtId="0" fontId="48" fillId="23" borderId="134" xfId="0" applyFont="1" applyFill="1" applyBorder="1" applyAlignment="1" applyProtection="1">
      <alignment horizontal="center"/>
      <protection locked="0"/>
    </xf>
    <xf numFmtId="0" fontId="54" fillId="23" borderId="4" xfId="0" applyFont="1" applyFill="1" applyBorder="1" applyAlignment="1" applyProtection="1">
      <alignment horizontal="center"/>
      <protection locked="0"/>
    </xf>
    <xf numFmtId="0" fontId="54" fillId="23" borderId="136" xfId="0" applyFont="1" applyFill="1" applyBorder="1" applyAlignment="1" applyProtection="1">
      <protection locked="0"/>
    </xf>
    <xf numFmtId="0" fontId="0" fillId="0" borderId="0" xfId="0" applyFill="1" applyBorder="1"/>
    <xf numFmtId="164" fontId="67" fillId="4" borderId="0" xfId="0" applyNumberFormat="1" applyFont="1" applyFill="1" applyBorder="1" applyAlignment="1">
      <alignment horizontal="center" vertical="top" wrapText="1" readingOrder="2"/>
    </xf>
    <xf numFmtId="0" fontId="0" fillId="0" borderId="0" xfId="0" applyFill="1" applyBorder="1"/>
    <xf numFmtId="0" fontId="0" fillId="0" borderId="0" xfId="0"/>
    <xf numFmtId="0" fontId="27" fillId="0" borderId="0" xfId="0" applyFont="1" applyFill="1" applyBorder="1" applyAlignment="1"/>
    <xf numFmtId="0" fontId="27" fillId="23" borderId="136" xfId="0" applyFont="1" applyFill="1" applyBorder="1" applyAlignment="1" applyProtection="1">
      <protection locked="0"/>
    </xf>
    <xf numFmtId="0" fontId="0" fillId="0" borderId="0" xfId="0"/>
    <xf numFmtId="0" fontId="0" fillId="0" borderId="0" xfId="0"/>
    <xf numFmtId="0" fontId="0" fillId="0" borderId="0" xfId="0" applyFill="1" applyBorder="1"/>
    <xf numFmtId="0" fontId="0" fillId="0" borderId="0" xfId="0" applyFill="1" applyBorder="1"/>
    <xf numFmtId="0" fontId="48" fillId="4" borderId="1" xfId="0" applyFont="1" applyFill="1" applyBorder="1" applyAlignment="1" applyProtection="1">
      <alignment horizontal="center" vertical="center"/>
      <protection locked="0"/>
    </xf>
    <xf numFmtId="0" fontId="48" fillId="0" borderId="1" xfId="0" applyFont="1" applyFill="1" applyBorder="1" applyAlignment="1" applyProtection="1">
      <alignment horizontal="center" vertical="center"/>
      <protection locked="0"/>
    </xf>
    <xf numFmtId="0" fontId="14" fillId="0" borderId="0" xfId="0" applyFont="1" applyFill="1" applyBorder="1" applyAlignment="1">
      <alignment horizontal="right"/>
    </xf>
    <xf numFmtId="0" fontId="24" fillId="11" borderId="75" xfId="0" applyFont="1" applyFill="1" applyBorder="1" applyAlignment="1">
      <alignment horizontal="center" vertical="center"/>
    </xf>
    <xf numFmtId="0" fontId="24" fillId="11" borderId="24" xfId="0" applyFont="1" applyFill="1" applyBorder="1" applyAlignment="1">
      <alignment horizontal="center" vertical="center"/>
    </xf>
    <xf numFmtId="0" fontId="1" fillId="4" borderId="30" xfId="0" applyFont="1" applyFill="1" applyBorder="1" applyAlignment="1" applyProtection="1">
      <alignment horizontal="center" vertical="center"/>
      <protection locked="0"/>
    </xf>
    <xf numFmtId="164" fontId="1" fillId="4" borderId="0" xfId="0" applyNumberFormat="1" applyFont="1" applyFill="1" applyBorder="1" applyAlignment="1" applyProtection="1">
      <alignment horizontal="right"/>
    </xf>
    <xf numFmtId="164" fontId="23" fillId="4" borderId="0" xfId="0" applyNumberFormat="1" applyFont="1" applyFill="1" applyBorder="1" applyAlignment="1" applyProtection="1">
      <alignment horizontal="center" vertical="center" wrapText="1"/>
    </xf>
    <xf numFmtId="164" fontId="23" fillId="4" borderId="0" xfId="0" applyNumberFormat="1" applyFont="1" applyFill="1" applyBorder="1" applyAlignment="1" applyProtection="1">
      <alignment horizontal="right" wrapText="1"/>
    </xf>
    <xf numFmtId="0" fontId="0" fillId="0" borderId="0" xfId="0"/>
    <xf numFmtId="0" fontId="0" fillId="0" borderId="0" xfId="0"/>
    <xf numFmtId="0" fontId="0" fillId="0" borderId="0" xfId="0"/>
    <xf numFmtId="49" fontId="55" fillId="4" borderId="31" xfId="0" applyNumberFormat="1" applyFont="1" applyFill="1" applyBorder="1" applyAlignment="1">
      <alignment horizontal="center" vertical="center" readingOrder="2"/>
    </xf>
    <xf numFmtId="0" fontId="0" fillId="0" borderId="0" xfId="0"/>
    <xf numFmtId="0" fontId="0" fillId="0" borderId="0" xfId="0" applyFill="1" applyBorder="1"/>
    <xf numFmtId="0" fontId="48" fillId="4" borderId="31" xfId="0" applyFont="1" applyFill="1" applyBorder="1" applyAlignment="1" applyProtection="1">
      <alignment horizontal="center" vertical="center"/>
      <protection locked="0"/>
    </xf>
    <xf numFmtId="0" fontId="55" fillId="4" borderId="25" xfId="0" applyFont="1" applyFill="1" applyBorder="1" applyAlignment="1" applyProtection="1">
      <alignment horizontal="center" vertical="top"/>
      <protection locked="0"/>
    </xf>
    <xf numFmtId="167" fontId="54" fillId="4" borderId="24" xfId="0" applyNumberFormat="1" applyFont="1" applyFill="1" applyBorder="1" applyAlignment="1">
      <alignment horizontal="center" vertical="center" readingOrder="2"/>
    </xf>
    <xf numFmtId="0" fontId="55" fillId="4" borderId="31" xfId="0" applyFont="1" applyFill="1" applyBorder="1" applyAlignment="1" applyProtection="1">
      <alignment horizontal="center" vertical="top"/>
      <protection locked="0"/>
    </xf>
    <xf numFmtId="49" fontId="54" fillId="4" borderId="24" xfId="0" applyNumberFormat="1" applyFont="1" applyFill="1" applyBorder="1" applyAlignment="1">
      <alignment horizontal="center" vertical="center" readingOrder="2"/>
    </xf>
    <xf numFmtId="0" fontId="48" fillId="0" borderId="31" xfId="0" applyFont="1" applyFill="1" applyBorder="1" applyAlignment="1" applyProtection="1">
      <alignment horizontal="center" vertical="center"/>
      <protection locked="0"/>
    </xf>
    <xf numFmtId="164" fontId="54" fillId="4" borderId="31" xfId="0" applyNumberFormat="1" applyFont="1" applyFill="1" applyBorder="1" applyAlignment="1">
      <alignment horizontal="right"/>
    </xf>
    <xf numFmtId="0" fontId="0" fillId="0" borderId="0" xfId="0"/>
    <xf numFmtId="0" fontId="54" fillId="4" borderId="31" xfId="0" applyFont="1" applyFill="1" applyBorder="1" applyAlignment="1" applyProtection="1">
      <alignment horizontal="center" vertical="center"/>
      <protection locked="0"/>
    </xf>
    <xf numFmtId="0" fontId="55" fillId="4" borderId="98" xfId="0" applyFont="1" applyFill="1" applyBorder="1" applyAlignment="1" applyProtection="1">
      <alignment horizontal="center" vertical="center"/>
      <protection locked="0"/>
    </xf>
    <xf numFmtId="1" fontId="54" fillId="4" borderId="31" xfId="0" applyNumberFormat="1" applyFont="1" applyFill="1" applyBorder="1" applyAlignment="1">
      <alignment horizontal="center" vertical="center"/>
    </xf>
    <xf numFmtId="0" fontId="48" fillId="4" borderId="25" xfId="0" applyFont="1" applyFill="1" applyBorder="1" applyAlignment="1" applyProtection="1">
      <alignment horizontal="center" vertical="center"/>
      <protection locked="0"/>
    </xf>
    <xf numFmtId="0" fontId="0" fillId="0" borderId="0" xfId="0" applyFill="1" applyBorder="1"/>
    <xf numFmtId="0" fontId="0" fillId="0" borderId="0" xfId="0"/>
    <xf numFmtId="49" fontId="54" fillId="4" borderId="1" xfId="0" applyNumberFormat="1" applyFont="1" applyFill="1" applyBorder="1" applyAlignment="1">
      <alignment horizontal="center" vertical="center" readingOrder="2"/>
    </xf>
    <xf numFmtId="0" fontId="86" fillId="4" borderId="24" xfId="0" applyFont="1" applyFill="1" applyBorder="1" applyAlignment="1" applyProtection="1">
      <alignment horizontal="center" vertical="center"/>
      <protection locked="0"/>
    </xf>
    <xf numFmtId="0" fontId="86" fillId="0" borderId="1" xfId="0" applyFont="1" applyFill="1" applyBorder="1" applyAlignment="1" applyProtection="1">
      <alignment horizontal="center" vertical="center"/>
      <protection locked="0"/>
    </xf>
    <xf numFmtId="0" fontId="24" fillId="11" borderId="75" xfId="0" applyFont="1" applyFill="1" applyBorder="1" applyAlignment="1">
      <alignment horizontal="center" vertical="center"/>
    </xf>
    <xf numFmtId="0" fontId="24" fillId="11" borderId="24" xfId="0" applyFont="1" applyFill="1" applyBorder="1" applyAlignment="1">
      <alignment horizontal="center" vertical="center"/>
    </xf>
    <xf numFmtId="167" fontId="54" fillId="4" borderId="31" xfId="0" applyNumberFormat="1" applyFont="1" applyFill="1" applyBorder="1" applyAlignment="1">
      <alignment horizontal="center" vertical="center" readingOrder="2"/>
    </xf>
    <xf numFmtId="0" fontId="86" fillId="0" borderId="24" xfId="0" applyFont="1" applyFill="1" applyBorder="1" applyAlignment="1" applyProtection="1">
      <alignment horizontal="center" vertical="center"/>
      <protection locked="0"/>
    </xf>
    <xf numFmtId="0" fontId="86" fillId="4" borderId="25" xfId="0" applyFont="1" applyFill="1" applyBorder="1" applyAlignment="1" applyProtection="1">
      <alignment horizontal="center" vertical="center"/>
      <protection locked="0"/>
    </xf>
    <xf numFmtId="0" fontId="86" fillId="0" borderId="31" xfId="0" applyFont="1" applyFill="1" applyBorder="1" applyAlignment="1" applyProtection="1">
      <alignment horizontal="center" vertical="center"/>
      <protection locked="0"/>
    </xf>
    <xf numFmtId="0" fontId="24" fillId="11" borderId="1" xfId="0" applyFont="1" applyFill="1" applyBorder="1" applyAlignment="1">
      <alignment horizontal="center" vertical="center"/>
    </xf>
    <xf numFmtId="0" fontId="54" fillId="11" borderId="24" xfId="0" applyFont="1" applyFill="1" applyBorder="1" applyAlignment="1" applyProtection="1">
      <alignment horizontal="center" vertical="top"/>
      <protection locked="0"/>
    </xf>
    <xf numFmtId="0" fontId="0" fillId="0" borderId="0" xfId="0" applyFill="1" applyBorder="1"/>
    <xf numFmtId="0" fontId="96" fillId="4" borderId="1" xfId="0" applyFont="1" applyFill="1" applyBorder="1" applyAlignment="1" applyProtection="1">
      <alignment horizontal="center" vertical="center"/>
      <protection locked="0"/>
    </xf>
    <xf numFmtId="0" fontId="54" fillId="23" borderId="1" xfId="0" applyFont="1" applyFill="1" applyBorder="1" applyAlignment="1" applyProtection="1">
      <alignment horizontal="center" vertical="top"/>
      <protection locked="0"/>
    </xf>
    <xf numFmtId="0" fontId="29" fillId="0" borderId="1" xfId="1" applyFont="1" applyFill="1" applyBorder="1" applyAlignment="1">
      <alignment horizontal="center" vertical="center"/>
    </xf>
    <xf numFmtId="0" fontId="23" fillId="0" borderId="22" xfId="0" applyFont="1" applyFill="1" applyBorder="1" applyAlignment="1" applyProtection="1">
      <alignment horizontal="center" vertical="center"/>
      <protection locked="0"/>
    </xf>
    <xf numFmtId="0" fontId="0" fillId="4" borderId="0" xfId="0" applyFill="1" applyBorder="1"/>
    <xf numFmtId="2" fontId="97" fillId="2" borderId="1" xfId="0" applyNumberFormat="1" applyFont="1" applyFill="1" applyBorder="1" applyAlignment="1" applyProtection="1">
      <alignment horizontal="center"/>
      <protection hidden="1"/>
    </xf>
    <xf numFmtId="0" fontId="98" fillId="4" borderId="1" xfId="0" applyFont="1" applyFill="1" applyBorder="1" applyAlignment="1">
      <alignment wrapText="1"/>
    </xf>
    <xf numFmtId="0" fontId="9" fillId="4" borderId="1" xfId="2" applyFont="1" applyFill="1" applyBorder="1" applyAlignment="1" applyProtection="1">
      <alignment horizontal="center" vertical="center"/>
      <protection locked="0"/>
    </xf>
    <xf numFmtId="0" fontId="9" fillId="4" borderId="1" xfId="2" applyFont="1" applyFill="1" applyBorder="1" applyAlignment="1">
      <alignment horizontal="right" vertical="center"/>
    </xf>
    <xf numFmtId="0" fontId="0" fillId="0" borderId="0" xfId="0"/>
    <xf numFmtId="0" fontId="81" fillId="4" borderId="1" xfId="0" applyFont="1" applyFill="1" applyBorder="1" applyAlignment="1">
      <alignment wrapText="1"/>
    </xf>
    <xf numFmtId="0" fontId="81" fillId="4" borderId="1" xfId="0" applyFont="1" applyFill="1" applyBorder="1" applyAlignment="1">
      <alignment horizontal="center" wrapText="1"/>
    </xf>
    <xf numFmtId="0" fontId="11" fillId="4" borderId="1" xfId="2" applyFont="1" applyFill="1" applyBorder="1" applyAlignment="1">
      <alignment horizontal="center" vertical="center"/>
    </xf>
    <xf numFmtId="14" fontId="99" fillId="4" borderId="1" xfId="0" applyNumberFormat="1" applyFont="1" applyFill="1" applyBorder="1" applyAlignment="1">
      <alignment horizontal="center" wrapText="1"/>
    </xf>
    <xf numFmtId="0" fontId="9" fillId="4" borderId="0" xfId="2" applyFont="1" applyFill="1" applyBorder="1" applyAlignment="1">
      <alignment horizontal="right" vertical="center"/>
    </xf>
    <xf numFmtId="0" fontId="40" fillId="4" borderId="1" xfId="0" applyFont="1" applyFill="1" applyBorder="1" applyAlignment="1">
      <alignment vertical="center"/>
    </xf>
    <xf numFmtId="0" fontId="0" fillId="0" borderId="0" xfId="0"/>
    <xf numFmtId="0" fontId="59" fillId="4" borderId="1" xfId="2" applyFont="1" applyFill="1" applyBorder="1" applyAlignment="1" applyProtection="1">
      <alignment horizontal="center" vertical="center"/>
      <protection locked="0"/>
    </xf>
    <xf numFmtId="0" fontId="100" fillId="4" borderId="1" xfId="0" applyFont="1" applyFill="1" applyBorder="1" applyAlignment="1">
      <alignment horizontal="center" vertical="center"/>
    </xf>
    <xf numFmtId="0" fontId="101" fillId="4" borderId="1" xfId="2" applyFont="1" applyFill="1" applyBorder="1" applyAlignment="1">
      <alignment horizontal="center" vertical="center"/>
    </xf>
    <xf numFmtId="0" fontId="59" fillId="4" borderId="31" xfId="2" applyFont="1" applyFill="1" applyBorder="1" applyAlignment="1" applyProtection="1">
      <alignment horizontal="center" vertical="center"/>
      <protection locked="0"/>
    </xf>
    <xf numFmtId="0" fontId="59" fillId="4" borderId="1" xfId="1" applyFont="1" applyFill="1" applyBorder="1" applyAlignment="1">
      <alignment horizontal="right" vertical="center"/>
    </xf>
    <xf numFmtId="0" fontId="26" fillId="4" borderId="0" xfId="0" applyFont="1" applyFill="1" applyAlignment="1">
      <alignment vertical="center"/>
    </xf>
    <xf numFmtId="0" fontId="14" fillId="0" borderId="0" xfId="0" applyFont="1" applyFill="1" applyBorder="1" applyAlignment="1">
      <alignment horizontal="right"/>
    </xf>
    <xf numFmtId="0" fontId="104" fillId="2" borderId="1" xfId="0" applyFont="1" applyFill="1" applyBorder="1"/>
    <xf numFmtId="0" fontId="14" fillId="0" borderId="15" xfId="0" applyFont="1" applyFill="1" applyBorder="1" applyAlignment="1"/>
    <xf numFmtId="0" fontId="9" fillId="4" borderId="1" xfId="2" applyFont="1" applyFill="1" applyBorder="1" applyAlignment="1">
      <alignment horizontal="center" vertical="center"/>
    </xf>
    <xf numFmtId="0" fontId="104" fillId="2" borderId="32" xfId="0" applyFont="1" applyFill="1" applyBorder="1" applyAlignment="1"/>
    <xf numFmtId="0" fontId="104" fillId="0" borderId="32" xfId="0" applyFont="1" applyBorder="1" applyAlignment="1"/>
    <xf numFmtId="0" fontId="104" fillId="4" borderId="32" xfId="0" applyFont="1" applyFill="1" applyBorder="1" applyAlignment="1"/>
    <xf numFmtId="0" fontId="9" fillId="2" borderId="32" xfId="2" applyFont="1" applyFill="1" applyBorder="1" applyAlignment="1">
      <alignment vertical="center"/>
    </xf>
    <xf numFmtId="0" fontId="9" fillId="4" borderId="1" xfId="2" applyFont="1" applyFill="1" applyBorder="1" applyAlignment="1">
      <alignment vertical="center"/>
    </xf>
    <xf numFmtId="0" fontId="9" fillId="4" borderId="1" xfId="2" applyFont="1" applyFill="1" applyBorder="1" applyAlignment="1">
      <alignment horizontal="right" vertical="center"/>
    </xf>
    <xf numFmtId="164" fontId="9" fillId="4" borderId="1" xfId="10" applyNumberFormat="1" applyFont="1" applyFill="1" applyBorder="1" applyAlignment="1">
      <alignment horizontal="right"/>
    </xf>
    <xf numFmtId="0" fontId="1" fillId="4" borderId="1" xfId="10" applyFont="1" applyFill="1" applyBorder="1" applyAlignment="1">
      <alignment horizontal="center"/>
    </xf>
    <xf numFmtId="0" fontId="9" fillId="4" borderId="1" xfId="2" applyFont="1" applyFill="1" applyBorder="1" applyAlignment="1">
      <alignment horizontal="center" vertical="center"/>
    </xf>
    <xf numFmtId="0" fontId="105" fillId="4" borderId="1" xfId="10" applyFont="1" applyFill="1" applyBorder="1" applyAlignment="1">
      <alignment horizontal="center"/>
    </xf>
    <xf numFmtId="0" fontId="1" fillId="4" borderId="1" xfId="3" applyFont="1" applyFill="1" applyBorder="1" applyAlignment="1">
      <alignment horizontal="center" vertical="center"/>
    </xf>
    <xf numFmtId="0" fontId="98" fillId="4" borderId="1" xfId="10" applyFont="1" applyFill="1" applyBorder="1" applyAlignment="1">
      <alignment wrapText="1"/>
    </xf>
    <xf numFmtId="14" fontId="98" fillId="4" borderId="1" xfId="10" applyNumberFormat="1" applyFont="1" applyFill="1" applyBorder="1" applyAlignment="1">
      <alignment horizontal="center" wrapText="1"/>
    </xf>
    <xf numFmtId="164" fontId="9" fillId="4" borderId="1" xfId="10" applyNumberFormat="1" applyFont="1" applyFill="1" applyBorder="1" applyAlignment="1">
      <alignment horizontal="center"/>
    </xf>
    <xf numFmtId="0" fontId="9" fillId="2" borderId="1" xfId="2" applyFont="1" applyFill="1" applyBorder="1" applyAlignment="1">
      <alignment horizontal="right" vertical="center"/>
    </xf>
    <xf numFmtId="0" fontId="102" fillId="0" borderId="1" xfId="10" applyFont="1" applyBorder="1"/>
    <xf numFmtId="0" fontId="102" fillId="0" borderId="1" xfId="10" applyFont="1" applyBorder="1" applyAlignment="1">
      <alignment horizontal="right"/>
    </xf>
    <xf numFmtId="0" fontId="103" fillId="0" borderId="1" xfId="10" applyFont="1" applyBorder="1"/>
    <xf numFmtId="0" fontId="102" fillId="2" borderId="1" xfId="10" applyFont="1" applyFill="1" applyBorder="1"/>
    <xf numFmtId="0" fontId="102" fillId="2" borderId="1" xfId="10" applyFont="1" applyFill="1" applyBorder="1" applyAlignment="1">
      <alignment horizontal="right"/>
    </xf>
    <xf numFmtId="0" fontId="103" fillId="2" borderId="1" xfId="10" applyFont="1" applyFill="1" applyBorder="1"/>
    <xf numFmtId="0" fontId="102" fillId="4" borderId="1" xfId="10" applyFont="1" applyFill="1" applyBorder="1"/>
    <xf numFmtId="0" fontId="102" fillId="4" borderId="1" xfId="10" applyFont="1" applyFill="1" applyBorder="1" applyAlignment="1">
      <alignment horizontal="right"/>
    </xf>
    <xf numFmtId="0" fontId="103" fillId="4" borderId="1" xfId="10" applyFont="1" applyFill="1" applyBorder="1"/>
    <xf numFmtId="14" fontId="102" fillId="2" borderId="1" xfId="10" applyNumberFormat="1" applyFont="1" applyFill="1" applyBorder="1" applyAlignment="1">
      <alignment horizontal="right"/>
    </xf>
    <xf numFmtId="14" fontId="102" fillId="4" borderId="1" xfId="10" applyNumberFormat="1" applyFont="1" applyFill="1" applyBorder="1" applyAlignment="1">
      <alignment horizontal="right"/>
    </xf>
    <xf numFmtId="0" fontId="98" fillId="2" borderId="1" xfId="10" applyFont="1" applyFill="1" applyBorder="1" applyAlignment="1">
      <alignment wrapText="1"/>
    </xf>
    <xf numFmtId="164" fontId="9" fillId="2" borderId="1" xfId="10" applyNumberFormat="1" applyFont="1" applyFill="1" applyBorder="1" applyAlignment="1">
      <alignment horizontal="right"/>
    </xf>
    <xf numFmtId="0" fontId="102" fillId="33" borderId="1" xfId="10" applyFont="1" applyFill="1" applyBorder="1"/>
    <xf numFmtId="0" fontId="102" fillId="33" borderId="1" xfId="10" applyFont="1" applyFill="1" applyBorder="1" applyAlignment="1">
      <alignment horizontal="right"/>
    </xf>
    <xf numFmtId="0" fontId="103" fillId="33" borderId="1" xfId="10" applyFont="1" applyFill="1" applyBorder="1"/>
    <xf numFmtId="0" fontId="9" fillId="4" borderId="1" xfId="2" applyFont="1" applyFill="1" applyBorder="1" applyAlignment="1">
      <alignment horizontal="center" vertical="center"/>
    </xf>
    <xf numFmtId="0" fontId="9" fillId="4" borderId="1" xfId="1" applyFont="1" applyFill="1" applyBorder="1" applyAlignment="1">
      <alignment horizontal="center" vertical="center"/>
    </xf>
    <xf numFmtId="0" fontId="9" fillId="4" borderId="1" xfId="2" applyFont="1" applyFill="1" applyBorder="1" applyAlignment="1" applyProtection="1">
      <alignment horizontal="center" vertical="center"/>
      <protection locked="0"/>
    </xf>
    <xf numFmtId="0" fontId="9" fillId="2" borderId="1" xfId="2" applyFont="1" applyFill="1" applyBorder="1" applyAlignment="1" applyProtection="1">
      <alignment horizontal="center" vertical="center"/>
      <protection locked="0"/>
    </xf>
    <xf numFmtId="0" fontId="9" fillId="2" borderId="1" xfId="2" applyFont="1" applyFill="1" applyBorder="1" applyAlignment="1">
      <alignment horizontal="center" vertical="center"/>
    </xf>
    <xf numFmtId="0" fontId="9" fillId="2" borderId="1" xfId="1" applyFont="1" applyFill="1" applyBorder="1" applyAlignment="1">
      <alignment horizontal="center" vertical="center"/>
    </xf>
    <xf numFmtId="0" fontId="29" fillId="2" borderId="1" xfId="2" applyFont="1" applyFill="1" applyBorder="1" applyAlignment="1" applyProtection="1">
      <alignment horizontal="center" vertical="center"/>
      <protection locked="0"/>
    </xf>
    <xf numFmtId="0" fontId="9" fillId="33" borderId="1" xfId="2" applyFont="1" applyFill="1" applyBorder="1" applyAlignment="1" applyProtection="1">
      <alignment horizontal="center" vertical="center"/>
      <protection locked="0"/>
    </xf>
    <xf numFmtId="0" fontId="9" fillId="33" borderId="1" xfId="2" applyFont="1" applyFill="1" applyBorder="1" applyAlignment="1">
      <alignment horizontal="center" vertical="center"/>
    </xf>
    <xf numFmtId="0" fontId="106" fillId="4" borderId="1" xfId="10" applyFont="1" applyFill="1" applyBorder="1" applyAlignment="1">
      <alignment horizontal="center" vertical="center"/>
    </xf>
    <xf numFmtId="0" fontId="107" fillId="4" borderId="1" xfId="2" applyFont="1" applyFill="1" applyBorder="1" applyAlignment="1">
      <alignment horizontal="center" vertical="center"/>
    </xf>
    <xf numFmtId="0" fontId="107" fillId="4" borderId="0" xfId="2" applyFont="1" applyFill="1" applyBorder="1" applyAlignment="1">
      <alignment horizontal="center" vertical="center"/>
    </xf>
    <xf numFmtId="0" fontId="106" fillId="32" borderId="1" xfId="10" applyFont="1" applyFill="1" applyBorder="1" applyAlignment="1">
      <alignment horizontal="center" vertical="center"/>
    </xf>
    <xf numFmtId="0" fontId="106" fillId="2" borderId="1" xfId="10" applyFont="1" applyFill="1" applyBorder="1" applyAlignment="1">
      <alignment horizontal="center" vertical="center"/>
    </xf>
    <xf numFmtId="0" fontId="107" fillId="2" borderId="1" xfId="2" applyFont="1" applyFill="1" applyBorder="1" applyAlignment="1">
      <alignment horizontal="center" vertical="center"/>
    </xf>
    <xf numFmtId="0" fontId="108" fillId="4" borderId="1" xfId="2" applyFont="1" applyFill="1" applyBorder="1" applyAlignment="1">
      <alignment horizontal="center" vertical="center"/>
    </xf>
    <xf numFmtId="0" fontId="107" fillId="2" borderId="0" xfId="2" applyFont="1" applyFill="1" applyBorder="1" applyAlignment="1">
      <alignment horizontal="center" vertical="center"/>
    </xf>
    <xf numFmtId="0" fontId="106" fillId="2" borderId="0" xfId="10" applyFont="1" applyFill="1" applyBorder="1" applyAlignment="1">
      <alignment horizontal="center" vertical="center"/>
    </xf>
    <xf numFmtId="0" fontId="107" fillId="33" borderId="0" xfId="2" applyFont="1" applyFill="1" applyBorder="1" applyAlignment="1">
      <alignment horizontal="center" vertical="center"/>
    </xf>
    <xf numFmtId="0" fontId="9" fillId="4" borderId="1" xfId="2" applyFont="1" applyFill="1" applyBorder="1" applyAlignment="1">
      <alignment horizontal="right" vertical="center"/>
    </xf>
    <xf numFmtId="0" fontId="9" fillId="2" borderId="1" xfId="2" applyFont="1" applyFill="1" applyBorder="1" applyAlignment="1">
      <alignment horizontal="right" vertical="center"/>
    </xf>
    <xf numFmtId="0" fontId="104" fillId="0" borderId="1" xfId="10" applyFont="1" applyBorder="1"/>
    <xf numFmtId="0" fontId="104" fillId="2" borderId="1" xfId="10" applyFont="1" applyFill="1" applyBorder="1"/>
    <xf numFmtId="0" fontId="104" fillId="4" borderId="1" xfId="10" applyFont="1" applyFill="1" applyBorder="1"/>
    <xf numFmtId="0" fontId="104" fillId="33" borderId="1" xfId="10" applyFont="1" applyFill="1" applyBorder="1"/>
    <xf numFmtId="0" fontId="9" fillId="4" borderId="1" xfId="2" applyFont="1" applyFill="1" applyBorder="1" applyAlignment="1">
      <alignment horizontal="right" vertical="center"/>
    </xf>
    <xf numFmtId="0" fontId="9" fillId="4" borderId="1" xfId="2" applyFont="1" applyFill="1" applyBorder="1" applyAlignment="1">
      <alignment horizontal="center" vertical="center"/>
    </xf>
    <xf numFmtId="0" fontId="9" fillId="4" borderId="0" xfId="2" applyFont="1" applyFill="1" applyBorder="1" applyAlignment="1">
      <alignment horizontal="center" vertical="center"/>
    </xf>
    <xf numFmtId="0" fontId="1" fillId="4" borderId="19" xfId="10" applyFont="1" applyFill="1" applyBorder="1" applyAlignment="1">
      <alignment horizontal="center"/>
    </xf>
    <xf numFmtId="0" fontId="9" fillId="2" borderId="1" xfId="2" applyFont="1" applyFill="1" applyBorder="1" applyAlignment="1">
      <alignment horizontal="right" vertical="center"/>
    </xf>
    <xf numFmtId="0" fontId="9" fillId="2" borderId="1" xfId="2" applyFont="1" applyFill="1" applyBorder="1" applyAlignment="1">
      <alignment horizontal="center" vertical="center"/>
    </xf>
    <xf numFmtId="0" fontId="1" fillId="2" borderId="1" xfId="10" applyFont="1" applyFill="1" applyBorder="1" applyAlignment="1">
      <alignment horizontal="center"/>
    </xf>
    <xf numFmtId="0" fontId="98" fillId="2" borderId="1" xfId="10" applyFont="1" applyFill="1" applyBorder="1" applyAlignment="1">
      <alignment horizontal="center" wrapText="1"/>
    </xf>
    <xf numFmtId="0" fontId="9" fillId="2" borderId="0" xfId="2" applyFont="1" applyFill="1" applyBorder="1" applyAlignment="1">
      <alignment horizontal="center" vertical="center"/>
    </xf>
    <xf numFmtId="0" fontId="9" fillId="4" borderId="19" xfId="2" applyFont="1" applyFill="1" applyBorder="1" applyAlignment="1">
      <alignment horizontal="center" vertical="center"/>
    </xf>
    <xf numFmtId="0" fontId="1" fillId="2" borderId="19" xfId="10" applyFont="1" applyFill="1" applyBorder="1" applyAlignment="1">
      <alignment horizontal="center"/>
    </xf>
    <xf numFmtId="0" fontId="9" fillId="2" borderId="19" xfId="2" applyFont="1" applyFill="1" applyBorder="1" applyAlignment="1">
      <alignment horizontal="center" vertical="center"/>
    </xf>
    <xf numFmtId="0" fontId="9" fillId="2" borderId="19" xfId="2" applyFont="1" applyFill="1" applyBorder="1" applyAlignment="1" applyProtection="1">
      <alignment horizontal="center" vertical="center"/>
      <protection locked="0"/>
    </xf>
    <xf numFmtId="0" fontId="38" fillId="2" borderId="19" xfId="10" applyFont="1" applyFill="1" applyBorder="1" applyAlignment="1">
      <alignment horizontal="center" vertical="center"/>
    </xf>
    <xf numFmtId="0" fontId="9" fillId="2" borderId="19" xfId="2" applyFont="1" applyFill="1" applyBorder="1" applyAlignment="1">
      <alignment horizontal="right" vertical="center"/>
    </xf>
    <xf numFmtId="0" fontId="9" fillId="4" borderId="19" xfId="2" applyFont="1" applyFill="1" applyBorder="1" applyAlignment="1">
      <alignment horizontal="right" vertical="center"/>
    </xf>
    <xf numFmtId="0" fontId="9" fillId="2" borderId="19" xfId="2" applyFont="1" applyFill="1" applyBorder="1" applyAlignment="1">
      <alignment horizontal="center" vertical="center" readingOrder="1"/>
    </xf>
    <xf numFmtId="0" fontId="9" fillId="2" borderId="30" xfId="2" applyFont="1" applyFill="1" applyBorder="1" applyAlignment="1">
      <alignment horizontal="center" vertical="center"/>
    </xf>
    <xf numFmtId="0" fontId="9" fillId="33" borderId="19" xfId="2" applyFont="1" applyFill="1" applyBorder="1" applyAlignment="1">
      <alignment horizontal="center" vertical="center"/>
    </xf>
    <xf numFmtId="0" fontId="9" fillId="4" borderId="1" xfId="2" applyFont="1" applyFill="1" applyBorder="1" applyAlignment="1">
      <alignment horizontal="right" vertical="center"/>
    </xf>
    <xf numFmtId="0" fontId="104" fillId="2" borderId="31" xfId="10" applyFont="1" applyFill="1" applyBorder="1" applyAlignment="1"/>
    <xf numFmtId="0" fontId="104" fillId="0" borderId="31" xfId="10" applyFont="1" applyBorder="1" applyAlignment="1"/>
    <xf numFmtId="0" fontId="104" fillId="4" borderId="31" xfId="10" applyFont="1" applyFill="1" applyBorder="1" applyAlignment="1"/>
    <xf numFmtId="0" fontId="9" fillId="2" borderId="31" xfId="2" applyFont="1" applyFill="1" applyBorder="1" applyAlignment="1">
      <alignment vertical="center"/>
    </xf>
    <xf numFmtId="0" fontId="104" fillId="33" borderId="31" xfId="10" applyFont="1" applyFill="1" applyBorder="1" applyAlignment="1"/>
    <xf numFmtId="164" fontId="1" fillId="0" borderId="0" xfId="0" applyNumberFormat="1" applyFont="1" applyFill="1" applyBorder="1" applyAlignment="1">
      <alignment horizontal="right"/>
    </xf>
    <xf numFmtId="164" fontId="1" fillId="0" borderId="10" xfId="0" applyNumberFormat="1" applyFont="1" applyFill="1" applyBorder="1" applyAlignment="1">
      <alignment horizontal="right"/>
    </xf>
    <xf numFmtId="164" fontId="1" fillId="0" borderId="120" xfId="0" applyNumberFormat="1" applyFont="1" applyFill="1" applyBorder="1" applyAlignment="1">
      <alignment horizontal="right"/>
    </xf>
    <xf numFmtId="0" fontId="2" fillId="0" borderId="15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66" fontId="2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164" fontId="2" fillId="0" borderId="0" xfId="0" applyNumberFormat="1" applyFont="1" applyFill="1" applyBorder="1" applyAlignment="1">
      <alignment horizontal="center"/>
    </xf>
    <xf numFmtId="164" fontId="2" fillId="0" borderId="10" xfId="0" applyNumberFormat="1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 readingOrder="2"/>
    </xf>
    <xf numFmtId="0" fontId="14" fillId="0" borderId="15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14" fillId="0" borderId="12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/>
    </xf>
    <xf numFmtId="0" fontId="14" fillId="0" borderId="10" xfId="0" applyFont="1" applyFill="1" applyBorder="1" applyAlignment="1">
      <alignment horizontal="center"/>
    </xf>
    <xf numFmtId="164" fontId="1" fillId="0" borderId="0" xfId="0" applyNumberFormat="1" applyFont="1" applyFill="1" applyBorder="1" applyAlignment="1" applyProtection="1">
      <alignment horizontal="center"/>
      <protection locked="0"/>
    </xf>
    <xf numFmtId="0" fontId="14" fillId="0" borderId="15" xfId="0" applyFont="1" applyFill="1" applyBorder="1" applyAlignment="1">
      <alignment horizontal="center"/>
    </xf>
    <xf numFmtId="0" fontId="0" fillId="0" borderId="0" xfId="0"/>
    <xf numFmtId="0" fontId="19" fillId="0" borderId="15" xfId="0" applyFont="1" applyFill="1" applyBorder="1" applyAlignment="1">
      <alignment horizontal="center" vertical="top"/>
    </xf>
    <xf numFmtId="0" fontId="19" fillId="0" borderId="0" xfId="0" applyFont="1" applyFill="1" applyBorder="1" applyAlignment="1">
      <alignment horizontal="center" vertical="top"/>
    </xf>
    <xf numFmtId="164" fontId="1" fillId="0" borderId="10" xfId="0" applyNumberFormat="1" applyFont="1" applyFill="1" applyBorder="1" applyAlignment="1" applyProtection="1">
      <alignment horizontal="center"/>
      <protection locked="0"/>
    </xf>
    <xf numFmtId="0" fontId="19" fillId="0" borderId="0" xfId="0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/>
    </xf>
    <xf numFmtId="0" fontId="19" fillId="0" borderId="15" xfId="0" applyFont="1" applyFill="1" applyBorder="1" applyAlignment="1">
      <alignment vertical="top"/>
    </xf>
    <xf numFmtId="0" fontId="19" fillId="0" borderId="0" xfId="0" applyFont="1" applyFill="1" applyBorder="1" applyAlignment="1">
      <alignment vertical="top"/>
    </xf>
    <xf numFmtId="164" fontId="1" fillId="0" borderId="0" xfId="0" applyNumberFormat="1" applyFont="1" applyFill="1" applyBorder="1" applyAlignment="1"/>
    <xf numFmtId="0" fontId="19" fillId="0" borderId="0" xfId="0" applyFont="1" applyFill="1" applyBorder="1" applyAlignment="1">
      <alignment horizontal="center" vertical="center"/>
    </xf>
    <xf numFmtId="0" fontId="19" fillId="0" borderId="10" xfId="0" applyFont="1" applyFill="1" applyBorder="1" applyAlignment="1">
      <alignment horizontal="center" vertical="center"/>
    </xf>
    <xf numFmtId="0" fontId="19" fillId="0" borderId="15" xfId="0" applyFont="1" applyFill="1" applyBorder="1" applyAlignment="1">
      <alignment horizontal="center" vertical="center"/>
    </xf>
    <xf numFmtId="0" fontId="19" fillId="0" borderId="0" xfId="0" applyFont="1" applyBorder="1" applyAlignment="1">
      <alignment horizontal="center"/>
    </xf>
    <xf numFmtId="164" fontId="1" fillId="0" borderId="0" xfId="0" applyNumberFormat="1" applyFont="1" applyFill="1" applyBorder="1" applyAlignment="1" applyProtection="1">
      <alignment horizontal="center" vertical="center"/>
      <protection hidden="1"/>
    </xf>
    <xf numFmtId="0" fontId="1" fillId="0" borderId="0" xfId="0" applyFont="1" applyFill="1" applyBorder="1" applyAlignment="1" applyProtection="1">
      <alignment horizontal="center"/>
      <protection hidden="1"/>
    </xf>
    <xf numFmtId="0" fontId="14" fillId="0" borderId="10" xfId="0" applyFont="1" applyFill="1" applyBorder="1" applyAlignment="1">
      <alignment horizontal="center" readingOrder="2"/>
    </xf>
    <xf numFmtId="0" fontId="0" fillId="0" borderId="10" xfId="0" applyFill="1" applyBorder="1"/>
    <xf numFmtId="0" fontId="2" fillId="0" borderId="10" xfId="0" applyFont="1" applyFill="1" applyBorder="1" applyAlignment="1">
      <alignment horizontal="center"/>
    </xf>
    <xf numFmtId="0" fontId="27" fillId="0" borderId="0" xfId="0" applyFont="1" applyFill="1" applyBorder="1" applyAlignment="1"/>
    <xf numFmtId="0" fontId="14" fillId="0" borderId="0" xfId="0" applyFont="1" applyFill="1" applyBorder="1" applyAlignment="1">
      <alignment horizontal="right"/>
    </xf>
    <xf numFmtId="44" fontId="9" fillId="4" borderId="0" xfId="9" applyFont="1" applyFill="1" applyAlignment="1">
      <alignment horizontal="right" vertical="center"/>
    </xf>
    <xf numFmtId="0" fontId="9" fillId="4" borderId="0" xfId="0" applyFont="1" applyFill="1" applyAlignment="1">
      <alignment horizontal="right" vertical="center"/>
    </xf>
    <xf numFmtId="0" fontId="10" fillId="0" borderId="13" xfId="1" applyFont="1" applyFill="1" applyBorder="1" applyAlignment="1">
      <alignment horizontal="right" vertical="center"/>
    </xf>
    <xf numFmtId="0" fontId="10" fillId="0" borderId="92" xfId="1" applyFont="1" applyFill="1" applyBorder="1" applyAlignment="1">
      <alignment horizontal="right" vertical="center"/>
    </xf>
    <xf numFmtId="0" fontId="10" fillId="0" borderId="109" xfId="1" applyFont="1" applyFill="1" applyBorder="1" applyAlignment="1">
      <alignment horizontal="right" vertical="center"/>
    </xf>
    <xf numFmtId="0" fontId="7" fillId="0" borderId="0" xfId="0" applyFont="1" applyAlignment="1">
      <alignment horizontal="center" vertical="center"/>
    </xf>
    <xf numFmtId="0" fontId="65" fillId="0" borderId="0" xfId="0" applyFont="1" applyAlignment="1">
      <alignment horizontal="center"/>
    </xf>
    <xf numFmtId="0" fontId="30" fillId="0" borderId="0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9" fillId="4" borderId="35" xfId="0" applyFont="1" applyFill="1" applyBorder="1" applyAlignment="1">
      <alignment horizontal="center" vertical="center"/>
    </xf>
    <xf numFmtId="0" fontId="29" fillId="0" borderId="35" xfId="0" applyFont="1" applyBorder="1" applyAlignment="1">
      <alignment horizontal="center" vertical="center"/>
    </xf>
    <xf numFmtId="0" fontId="29" fillId="0" borderId="81" xfId="0" applyFont="1" applyBorder="1" applyAlignment="1">
      <alignment horizontal="center" vertical="center"/>
    </xf>
    <xf numFmtId="0" fontId="29" fillId="14" borderId="35" xfId="0" applyFont="1" applyFill="1" applyBorder="1" applyAlignment="1">
      <alignment horizontal="center" vertical="center"/>
    </xf>
    <xf numFmtId="0" fontId="59" fillId="0" borderId="35" xfId="0" applyFont="1" applyBorder="1" applyAlignment="1">
      <alignment horizontal="center" vertical="center"/>
    </xf>
    <xf numFmtId="0" fontId="59" fillId="4" borderId="35" xfId="0" applyFont="1" applyFill="1" applyBorder="1" applyAlignment="1">
      <alignment horizontal="center" vertical="center"/>
    </xf>
    <xf numFmtId="0" fontId="29" fillId="14" borderId="73" xfId="0" applyFont="1" applyFill="1" applyBorder="1" applyAlignment="1">
      <alignment horizontal="center" vertical="center"/>
    </xf>
    <xf numFmtId="0" fontId="29" fillId="14" borderId="45" xfId="0" applyFont="1" applyFill="1" applyBorder="1" applyAlignment="1">
      <alignment horizontal="center" vertical="center"/>
    </xf>
    <xf numFmtId="0" fontId="29" fillId="14" borderId="46" xfId="0" applyFont="1" applyFill="1" applyBorder="1" applyAlignment="1">
      <alignment horizontal="center" vertical="center"/>
    </xf>
    <xf numFmtId="0" fontId="30" fillId="0" borderId="46" xfId="0" applyFont="1" applyBorder="1" applyAlignment="1" applyProtection="1">
      <alignment horizontal="center" vertical="center"/>
    </xf>
    <xf numFmtId="0" fontId="30" fillId="0" borderId="72" xfId="0" applyFont="1" applyBorder="1" applyAlignment="1" applyProtection="1">
      <alignment horizontal="center" vertical="center"/>
    </xf>
    <xf numFmtId="0" fontId="29" fillId="14" borderId="49" xfId="0" applyFont="1" applyFill="1" applyBorder="1" applyAlignment="1">
      <alignment horizontal="center" vertical="center"/>
    </xf>
    <xf numFmtId="0" fontId="29" fillId="14" borderId="1" xfId="0" applyFont="1" applyFill="1" applyBorder="1" applyAlignment="1">
      <alignment horizontal="center" vertical="center"/>
    </xf>
    <xf numFmtId="0" fontId="29" fillId="14" borderId="69" xfId="0" applyFont="1" applyFill="1" applyBorder="1" applyAlignment="1">
      <alignment horizontal="center" vertical="center"/>
    </xf>
    <xf numFmtId="0" fontId="29" fillId="14" borderId="48" xfId="0" applyFont="1" applyFill="1" applyBorder="1" applyAlignment="1">
      <alignment horizontal="center" vertical="center"/>
    </xf>
    <xf numFmtId="0" fontId="29" fillId="14" borderId="59" xfId="0" applyFont="1" applyFill="1" applyBorder="1" applyAlignment="1">
      <alignment horizontal="center" vertical="center"/>
    </xf>
    <xf numFmtId="0" fontId="30" fillId="0" borderId="1" xfId="0" applyFont="1" applyBorder="1" applyAlignment="1" applyProtection="1">
      <alignment horizontal="center" vertical="center"/>
    </xf>
    <xf numFmtId="0" fontId="30" fillId="0" borderId="69" xfId="0" applyFont="1" applyBorder="1" applyAlignment="1" applyProtection="1">
      <alignment horizontal="center" vertical="center"/>
    </xf>
    <xf numFmtId="0" fontId="9" fillId="0" borderId="0" xfId="0" applyFont="1" applyAlignment="1">
      <alignment horizontal="center"/>
    </xf>
    <xf numFmtId="0" fontId="29" fillId="0" borderId="36" xfId="0" applyFont="1" applyBorder="1" applyAlignment="1">
      <alignment horizontal="center" vertical="center"/>
    </xf>
    <xf numFmtId="0" fontId="29" fillId="0" borderId="37" xfId="0" applyFont="1" applyBorder="1" applyAlignment="1">
      <alignment horizontal="center" vertical="center"/>
    </xf>
    <xf numFmtId="0" fontId="31" fillId="0" borderId="35" xfId="0" applyFont="1" applyBorder="1" applyAlignment="1">
      <alignment horizontal="center" vertical="center"/>
    </xf>
    <xf numFmtId="0" fontId="29" fillId="14" borderId="66" xfId="0" applyFont="1" applyFill="1" applyBorder="1" applyAlignment="1">
      <alignment horizontal="center" vertical="center"/>
    </xf>
    <xf numFmtId="0" fontId="29" fillId="14" borderId="67" xfId="0" applyFont="1" applyFill="1" applyBorder="1" applyAlignment="1">
      <alignment horizontal="center" vertical="center"/>
    </xf>
    <xf numFmtId="0" fontId="30" fillId="4" borderId="0" xfId="0" applyFont="1" applyFill="1" applyBorder="1" applyAlignment="1">
      <alignment horizontal="center" vertical="center"/>
    </xf>
    <xf numFmtId="0" fontId="9" fillId="14" borderId="36" xfId="0" applyFont="1" applyFill="1" applyBorder="1" applyAlignment="1">
      <alignment horizontal="right" vertical="center"/>
    </xf>
    <xf numFmtId="0" fontId="9" fillId="14" borderId="37" xfId="0" applyFont="1" applyFill="1" applyBorder="1" applyAlignment="1">
      <alignment horizontal="right" vertical="center"/>
    </xf>
    <xf numFmtId="0" fontId="9" fillId="0" borderId="35" xfId="0" applyFont="1" applyBorder="1" applyAlignment="1">
      <alignment horizontal="center" vertical="center"/>
    </xf>
    <xf numFmtId="0" fontId="1" fillId="0" borderId="36" xfId="0" applyFont="1" applyBorder="1" applyAlignment="1">
      <alignment horizontal="center" vertical="center"/>
    </xf>
    <xf numFmtId="0" fontId="1" fillId="0" borderId="37" xfId="0" applyFont="1" applyBorder="1" applyAlignment="1">
      <alignment horizontal="center" vertical="center"/>
    </xf>
    <xf numFmtId="0" fontId="29" fillId="14" borderId="47" xfId="0" applyFont="1" applyFill="1" applyBorder="1" applyAlignment="1">
      <alignment horizontal="center" vertical="center"/>
    </xf>
    <xf numFmtId="0" fontId="29" fillId="14" borderId="70" xfId="0" applyFont="1" applyFill="1" applyBorder="1" applyAlignment="1">
      <alignment horizontal="center" vertical="center"/>
    </xf>
    <xf numFmtId="0" fontId="29" fillId="14" borderId="71" xfId="0" applyFont="1" applyFill="1" applyBorder="1" applyAlignment="1">
      <alignment horizontal="center" vertical="center"/>
    </xf>
    <xf numFmtId="0" fontId="29" fillId="14" borderId="68" xfId="0" applyFont="1" applyFill="1" applyBorder="1" applyAlignment="1">
      <alignment horizontal="center" vertical="center"/>
    </xf>
    <xf numFmtId="0" fontId="29" fillId="14" borderId="7" xfId="0" applyFont="1" applyFill="1" applyBorder="1" applyAlignment="1">
      <alignment horizontal="center" vertical="center"/>
    </xf>
    <xf numFmtId="14" fontId="29" fillId="0" borderId="0" xfId="0" applyNumberFormat="1" applyFont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30" fillId="14" borderId="7" xfId="0" applyFont="1" applyFill="1" applyBorder="1" applyAlignment="1">
      <alignment horizontal="center" vertical="center"/>
    </xf>
    <xf numFmtId="0" fontId="30" fillId="14" borderId="8" xfId="0" applyFont="1" applyFill="1" applyBorder="1" applyAlignment="1">
      <alignment horizontal="center" vertical="center"/>
    </xf>
    <xf numFmtId="0" fontId="30" fillId="14" borderId="9" xfId="0" applyFont="1" applyFill="1" applyBorder="1" applyAlignment="1">
      <alignment horizontal="center" vertical="center"/>
    </xf>
    <xf numFmtId="0" fontId="29" fillId="4" borderId="36" xfId="0" applyFont="1" applyFill="1" applyBorder="1" applyAlignment="1">
      <alignment horizontal="center" vertical="center"/>
    </xf>
    <xf numFmtId="0" fontId="29" fillId="4" borderId="37" xfId="0" applyFont="1" applyFill="1" applyBorder="1" applyAlignment="1">
      <alignment horizontal="center" vertical="center"/>
    </xf>
    <xf numFmtId="0" fontId="59" fillId="0" borderId="36" xfId="0" applyFont="1" applyBorder="1" applyAlignment="1">
      <alignment horizontal="center" vertical="center"/>
    </xf>
    <xf numFmtId="0" fontId="59" fillId="0" borderId="37" xfId="0" applyFont="1" applyBorder="1" applyAlignment="1">
      <alignment horizontal="center" vertical="center"/>
    </xf>
    <xf numFmtId="0" fontId="9" fillId="0" borderId="0" xfId="0" applyFont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9" fillId="0" borderId="36" xfId="0" applyFont="1" applyBorder="1" applyAlignment="1">
      <alignment horizontal="center" vertical="center"/>
    </xf>
    <xf numFmtId="0" fontId="9" fillId="0" borderId="37" xfId="0" applyFont="1" applyBorder="1" applyAlignment="1">
      <alignment horizontal="center" vertical="center"/>
    </xf>
    <xf numFmtId="0" fontId="29" fillId="14" borderId="36" xfId="0" applyFont="1" applyFill="1" applyBorder="1" applyAlignment="1">
      <alignment horizontal="center" vertical="center"/>
    </xf>
    <xf numFmtId="0" fontId="29" fillId="14" borderId="37" xfId="0" applyFont="1" applyFill="1" applyBorder="1" applyAlignment="1">
      <alignment horizontal="center" vertical="center"/>
    </xf>
    <xf numFmtId="0" fontId="29" fillId="14" borderId="85" xfId="0" applyFont="1" applyFill="1" applyBorder="1" applyAlignment="1">
      <alignment horizontal="center" vertical="center"/>
    </xf>
    <xf numFmtId="0" fontId="29" fillId="14" borderId="86" xfId="0" applyFont="1" applyFill="1" applyBorder="1" applyAlignment="1">
      <alignment horizontal="center" vertical="center"/>
    </xf>
    <xf numFmtId="0" fontId="29" fillId="14" borderId="42" xfId="0" applyFont="1" applyFill="1" applyBorder="1" applyAlignment="1">
      <alignment horizontal="center" vertical="center"/>
    </xf>
    <xf numFmtId="0" fontId="29" fillId="14" borderId="32" xfId="0" applyFont="1" applyFill="1" applyBorder="1" applyAlignment="1">
      <alignment horizontal="center" vertical="center"/>
    </xf>
    <xf numFmtId="0" fontId="30" fillId="0" borderId="31" xfId="0" applyFont="1" applyBorder="1" applyAlignment="1" applyProtection="1">
      <alignment horizontal="center" vertical="center"/>
    </xf>
    <xf numFmtId="0" fontId="30" fillId="0" borderId="32" xfId="0" applyFont="1" applyBorder="1" applyAlignment="1" applyProtection="1">
      <alignment horizontal="center" vertical="center"/>
    </xf>
    <xf numFmtId="0" fontId="30" fillId="0" borderId="82" xfId="0" applyFont="1" applyBorder="1" applyAlignment="1" applyProtection="1">
      <alignment horizontal="center" vertical="center"/>
    </xf>
    <xf numFmtId="0" fontId="59" fillId="4" borderId="36" xfId="0" applyFont="1" applyFill="1" applyBorder="1" applyAlignment="1">
      <alignment horizontal="center" vertical="center"/>
    </xf>
    <xf numFmtId="0" fontId="59" fillId="4" borderId="37" xfId="0" applyFont="1" applyFill="1" applyBorder="1" applyAlignment="1">
      <alignment horizontal="center" vertical="center"/>
    </xf>
    <xf numFmtId="0" fontId="9" fillId="0" borderId="60" xfId="0" applyFont="1" applyBorder="1" applyAlignment="1" applyProtection="1">
      <alignment horizontal="center" vertical="center"/>
    </xf>
    <xf numFmtId="0" fontId="29" fillId="14" borderId="31" xfId="0" applyFont="1" applyFill="1" applyBorder="1" applyAlignment="1">
      <alignment horizontal="center" vertical="center"/>
    </xf>
    <xf numFmtId="0" fontId="29" fillId="14" borderId="82" xfId="0" applyFont="1" applyFill="1" applyBorder="1" applyAlignment="1">
      <alignment horizontal="center" vertical="center"/>
    </xf>
    <xf numFmtId="0" fontId="29" fillId="14" borderId="43" xfId="0" applyFont="1" applyFill="1" applyBorder="1" applyAlignment="1">
      <alignment horizontal="center" vertical="center"/>
    </xf>
    <xf numFmtId="0" fontId="29" fillId="14" borderId="44" xfId="0" applyFont="1" applyFill="1" applyBorder="1" applyAlignment="1">
      <alignment horizontal="center" vertical="center"/>
    </xf>
    <xf numFmtId="0" fontId="30" fillId="0" borderId="83" xfId="0" applyFont="1" applyBorder="1" applyAlignment="1" applyProtection="1">
      <alignment horizontal="center" vertical="center"/>
    </xf>
    <xf numFmtId="0" fontId="30" fillId="0" borderId="44" xfId="0" applyFont="1" applyBorder="1" applyAlignment="1" applyProtection="1">
      <alignment horizontal="center" vertical="center"/>
    </xf>
    <xf numFmtId="0" fontId="30" fillId="0" borderId="84" xfId="0" applyFont="1" applyBorder="1" applyAlignment="1" applyProtection="1">
      <alignment horizontal="center" vertical="center"/>
    </xf>
    <xf numFmtId="0" fontId="31" fillId="4" borderId="36" xfId="0" applyFont="1" applyFill="1" applyBorder="1" applyAlignment="1">
      <alignment horizontal="center" vertical="center"/>
    </xf>
    <xf numFmtId="0" fontId="31" fillId="4" borderId="37" xfId="0" applyFont="1" applyFill="1" applyBorder="1" applyAlignment="1">
      <alignment horizontal="center" vertical="center"/>
    </xf>
    <xf numFmtId="0" fontId="29" fillId="14" borderId="79" xfId="0" applyFont="1" applyFill="1" applyBorder="1" applyAlignment="1">
      <alignment horizontal="center" vertical="center"/>
    </xf>
    <xf numFmtId="0" fontId="29" fillId="14" borderId="55" xfId="0" applyFont="1" applyFill="1" applyBorder="1" applyAlignment="1">
      <alignment horizontal="center" vertical="center"/>
    </xf>
    <xf numFmtId="0" fontId="29" fillId="14" borderId="80" xfId="0" applyFont="1" applyFill="1" applyBorder="1" applyAlignment="1">
      <alignment horizontal="center" vertical="center"/>
    </xf>
    <xf numFmtId="0" fontId="29" fillId="14" borderId="58" xfId="0" applyFont="1" applyFill="1" applyBorder="1" applyAlignment="1">
      <alignment horizontal="center" vertical="center"/>
    </xf>
    <xf numFmtId="0" fontId="29" fillId="14" borderId="38" xfId="0" applyFont="1" applyFill="1" applyBorder="1" applyAlignment="1">
      <alignment horizontal="center" vertical="center"/>
    </xf>
    <xf numFmtId="0" fontId="29" fillId="14" borderId="41" xfId="0" applyFont="1" applyFill="1" applyBorder="1" applyAlignment="1">
      <alignment horizontal="center" vertical="center"/>
    </xf>
    <xf numFmtId="0" fontId="29" fillId="14" borderId="8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29" fillId="14" borderId="78" xfId="0" applyFont="1" applyFill="1" applyBorder="1" applyAlignment="1">
      <alignment horizontal="center" vertical="center"/>
    </xf>
    <xf numFmtId="0" fontId="29" fillId="14" borderId="52" xfId="0" applyFont="1" applyFill="1" applyBorder="1" applyAlignment="1">
      <alignment horizontal="center" vertical="center"/>
    </xf>
    <xf numFmtId="0" fontId="29" fillId="14" borderId="40" xfId="0" applyFont="1" applyFill="1" applyBorder="1" applyAlignment="1">
      <alignment horizontal="center" vertical="center"/>
    </xf>
    <xf numFmtId="0" fontId="29" fillId="14" borderId="39" xfId="0" applyFont="1" applyFill="1" applyBorder="1" applyAlignment="1">
      <alignment horizontal="center" vertical="center"/>
    </xf>
    <xf numFmtId="0" fontId="4" fillId="4" borderId="35" xfId="0" applyFont="1" applyFill="1" applyBorder="1" applyAlignment="1">
      <alignment horizontal="center" vertical="center"/>
    </xf>
    <xf numFmtId="0" fontId="1" fillId="0" borderId="29" xfId="0" applyFont="1" applyBorder="1" applyAlignment="1">
      <alignment horizontal="center" vertical="center" textRotation="90"/>
    </xf>
    <xf numFmtId="0" fontId="29" fillId="12" borderId="1" xfId="0" applyFont="1" applyFill="1" applyBorder="1" applyAlignment="1">
      <alignment horizontal="center" vertical="center"/>
    </xf>
    <xf numFmtId="0" fontId="29" fillId="13" borderId="1" xfId="0" applyFont="1" applyFill="1" applyBorder="1" applyAlignment="1">
      <alignment horizontal="center" vertical="center"/>
    </xf>
    <xf numFmtId="0" fontId="29" fillId="13" borderId="77" xfId="0" applyFont="1" applyFill="1" applyBorder="1" applyAlignment="1">
      <alignment horizontal="center" vertical="center"/>
    </xf>
    <xf numFmtId="0" fontId="1" fillId="0" borderId="20" xfId="0" applyFont="1" applyBorder="1" applyAlignment="1">
      <alignment horizontal="center" vertical="center" textRotation="90"/>
    </xf>
    <xf numFmtId="0" fontId="29" fillId="9" borderId="75" xfId="0" applyFont="1" applyFill="1" applyBorder="1" applyAlignment="1">
      <alignment horizontal="center" vertical="center"/>
    </xf>
    <xf numFmtId="0" fontId="29" fillId="9" borderId="76" xfId="0" applyFont="1" applyFill="1" applyBorder="1" applyAlignment="1">
      <alignment horizontal="center" vertical="center"/>
    </xf>
    <xf numFmtId="0" fontId="29" fillId="8" borderId="75" xfId="0" applyFont="1" applyFill="1" applyBorder="1" applyAlignment="1">
      <alignment horizontal="center" vertical="center"/>
    </xf>
    <xf numFmtId="0" fontId="29" fillId="8" borderId="76" xfId="0" applyFont="1" applyFill="1" applyBorder="1" applyAlignment="1">
      <alignment horizontal="center" vertical="center"/>
    </xf>
    <xf numFmtId="0" fontId="29" fillId="7" borderId="1" xfId="0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 vertical="center" textRotation="90"/>
    </xf>
    <xf numFmtId="0" fontId="1" fillId="0" borderId="65" xfId="0" applyFont="1" applyBorder="1" applyAlignment="1">
      <alignment horizontal="center" vertical="center" textRotation="90"/>
    </xf>
    <xf numFmtId="0" fontId="29" fillId="13" borderId="75" xfId="0" applyFont="1" applyFill="1" applyBorder="1" applyAlignment="1">
      <alignment horizontal="center" vertical="center"/>
    </xf>
    <xf numFmtId="0" fontId="29" fillId="13" borderId="76" xfId="0" applyFont="1" applyFill="1" applyBorder="1" applyAlignment="1">
      <alignment horizontal="center" vertical="center"/>
    </xf>
    <xf numFmtId="0" fontId="29" fillId="13" borderId="16" xfId="0" applyFont="1" applyFill="1" applyBorder="1" applyAlignment="1">
      <alignment horizontal="center" vertical="center"/>
    </xf>
    <xf numFmtId="0" fontId="29" fillId="16" borderId="1" xfId="0" applyFont="1" applyFill="1" applyBorder="1" applyAlignment="1">
      <alignment horizontal="center" vertical="center"/>
    </xf>
    <xf numFmtId="0" fontId="29" fillId="20" borderId="1" xfId="0" applyFont="1" applyFill="1" applyBorder="1" applyAlignment="1">
      <alignment horizontal="center" vertical="center"/>
    </xf>
    <xf numFmtId="0" fontId="29" fillId="19" borderId="1" xfId="0" applyFont="1" applyFill="1" applyBorder="1" applyAlignment="1">
      <alignment horizontal="center" vertical="center"/>
    </xf>
    <xf numFmtId="0" fontId="29" fillId="10" borderId="1" xfId="0" applyFont="1" applyFill="1" applyBorder="1" applyAlignment="1">
      <alignment horizontal="center" vertical="center"/>
    </xf>
    <xf numFmtId="0" fontId="29" fillId="17" borderId="1" xfId="0" applyFont="1" applyFill="1" applyBorder="1" applyAlignment="1">
      <alignment horizontal="center" vertical="center"/>
    </xf>
    <xf numFmtId="0" fontId="1" fillId="0" borderId="74" xfId="0" applyFont="1" applyBorder="1" applyAlignment="1">
      <alignment horizontal="center" vertical="center" textRotation="90"/>
    </xf>
    <xf numFmtId="0" fontId="29" fillId="16" borderId="75" xfId="0" applyFont="1" applyFill="1" applyBorder="1" applyAlignment="1">
      <alignment horizontal="center" vertical="center"/>
    </xf>
    <xf numFmtId="0" fontId="29" fillId="16" borderId="24" xfId="0" applyFont="1" applyFill="1" applyBorder="1" applyAlignment="1">
      <alignment horizontal="center" vertical="center"/>
    </xf>
    <xf numFmtId="0" fontId="29" fillId="18" borderId="1" xfId="0" applyFont="1" applyFill="1" applyBorder="1" applyAlignment="1">
      <alignment horizontal="center" vertical="center"/>
    </xf>
    <xf numFmtId="0" fontId="29" fillId="15" borderId="1" xfId="0" applyFont="1" applyFill="1" applyBorder="1" applyAlignment="1">
      <alignment horizontal="center" vertical="center"/>
    </xf>
    <xf numFmtId="0" fontId="37" fillId="0" borderId="36" xfId="0" applyFont="1" applyBorder="1" applyAlignment="1">
      <alignment horizontal="center" vertical="center"/>
    </xf>
    <xf numFmtId="0" fontId="37" fillId="0" borderId="37" xfId="0" applyFont="1" applyBorder="1" applyAlignment="1">
      <alignment horizontal="center" vertical="center"/>
    </xf>
    <xf numFmtId="0" fontId="29" fillId="0" borderId="27" xfId="0" applyFont="1" applyBorder="1" applyAlignment="1">
      <alignment horizontal="center" vertical="center"/>
    </xf>
    <xf numFmtId="0" fontId="29" fillId="0" borderId="28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0" fillId="0" borderId="93" xfId="0" applyBorder="1" applyAlignment="1">
      <alignment horizontal="center" vertical="center"/>
    </xf>
    <xf numFmtId="0" fontId="29" fillId="4" borderId="73" xfId="0" applyFont="1" applyFill="1" applyBorder="1" applyAlignment="1">
      <alignment horizontal="center" vertical="center"/>
    </xf>
    <xf numFmtId="0" fontId="23" fillId="3" borderId="1" xfId="0" applyFont="1" applyFill="1" applyBorder="1" applyAlignment="1" applyProtection="1">
      <alignment horizontal="center" vertical="top"/>
      <protection locked="0"/>
    </xf>
    <xf numFmtId="0" fontId="23" fillId="15" borderId="92" xfId="0" applyFont="1" applyFill="1" applyBorder="1" applyAlignment="1">
      <alignment horizontal="center"/>
    </xf>
    <xf numFmtId="0" fontId="23" fillId="15" borderId="109" xfId="0" applyFont="1" applyFill="1" applyBorder="1" applyAlignment="1">
      <alignment horizontal="center"/>
    </xf>
    <xf numFmtId="0" fontId="54" fillId="15" borderId="1" xfId="0" applyFont="1" applyFill="1" applyBorder="1" applyAlignment="1">
      <alignment horizontal="center"/>
    </xf>
    <xf numFmtId="0" fontId="23" fillId="15" borderId="1" xfId="0" applyFont="1" applyFill="1" applyBorder="1" applyAlignment="1">
      <alignment horizontal="center"/>
    </xf>
    <xf numFmtId="16" fontId="48" fillId="0" borderId="1" xfId="0" applyNumberFormat="1" applyFont="1" applyFill="1" applyBorder="1" applyAlignment="1" applyProtection="1">
      <alignment horizontal="center" vertical="center"/>
      <protection locked="0"/>
    </xf>
    <xf numFmtId="0" fontId="27" fillId="23" borderId="22" xfId="0" applyFont="1" applyFill="1" applyBorder="1" applyAlignment="1" applyProtection="1">
      <alignment horizontal="center" vertical="top"/>
      <protection locked="0"/>
    </xf>
    <xf numFmtId="49" fontId="48" fillId="4" borderId="31" xfId="0" applyNumberFormat="1" applyFont="1" applyFill="1" applyBorder="1" applyAlignment="1" applyProtection="1">
      <alignment horizontal="right" vertical="center"/>
      <protection locked="0"/>
    </xf>
    <xf numFmtId="49" fontId="48" fillId="4" borderId="32" xfId="0" applyNumberFormat="1" applyFont="1" applyFill="1" applyBorder="1" applyAlignment="1" applyProtection="1">
      <alignment horizontal="right" vertical="center"/>
      <protection locked="0"/>
    </xf>
    <xf numFmtId="49" fontId="55" fillId="4" borderId="31" xfId="0" applyNumberFormat="1" applyFont="1" applyFill="1" applyBorder="1" applyAlignment="1" applyProtection="1">
      <alignment horizontal="right" vertical="center"/>
      <protection locked="0"/>
    </xf>
    <xf numFmtId="49" fontId="55" fillId="4" borderId="32" xfId="0" applyNumberFormat="1" applyFont="1" applyFill="1" applyBorder="1" applyAlignment="1" applyProtection="1">
      <alignment horizontal="right" vertical="center"/>
      <protection locked="0"/>
    </xf>
    <xf numFmtId="0" fontId="23" fillId="23" borderId="2" xfId="0" applyFont="1" applyFill="1" applyBorder="1" applyAlignment="1" applyProtection="1">
      <alignment horizontal="center" vertical="center"/>
      <protection locked="0"/>
    </xf>
    <xf numFmtId="0" fontId="54" fillId="2" borderId="11" xfId="0" applyFont="1" applyFill="1" applyBorder="1" applyAlignment="1" applyProtection="1">
      <alignment horizontal="center" vertical="top"/>
      <protection locked="0"/>
    </xf>
    <xf numFmtId="0" fontId="27" fillId="23" borderId="24" xfId="0" applyFont="1" applyFill="1" applyBorder="1" applyAlignment="1" applyProtection="1">
      <alignment horizontal="center" vertical="top"/>
      <protection locked="0"/>
    </xf>
    <xf numFmtId="0" fontId="1" fillId="0" borderId="0" xfId="0" applyFont="1" applyFill="1" applyBorder="1" applyAlignment="1" applyProtection="1">
      <alignment horizontal="center" vertical="top"/>
      <protection locked="0"/>
    </xf>
    <xf numFmtId="2" fontId="48" fillId="25" borderId="75" xfId="0" applyNumberFormat="1" applyFont="1" applyFill="1" applyBorder="1" applyAlignment="1" applyProtection="1">
      <alignment horizontal="center"/>
      <protection hidden="1"/>
    </xf>
    <xf numFmtId="2" fontId="27" fillId="0" borderId="31" xfId="0" applyNumberFormat="1" applyFont="1" applyFill="1" applyBorder="1" applyAlignment="1" applyProtection="1">
      <alignment horizontal="center"/>
      <protection locked="0"/>
    </xf>
    <xf numFmtId="2" fontId="27" fillId="0" borderId="19" xfId="0" applyNumberFormat="1" applyFont="1" applyFill="1" applyBorder="1" applyAlignment="1" applyProtection="1">
      <alignment horizontal="center"/>
      <protection locked="0"/>
    </xf>
    <xf numFmtId="2" fontId="27" fillId="0" borderId="30" xfId="0" applyNumberFormat="1" applyFont="1" applyFill="1" applyBorder="1" applyAlignment="1" applyProtection="1">
      <alignment horizontal="center"/>
      <protection locked="0"/>
    </xf>
    <xf numFmtId="0" fontId="27" fillId="23" borderId="24" xfId="0" applyFont="1" applyFill="1" applyBorder="1" applyAlignment="1" applyProtection="1">
      <alignment horizontal="right" vertical="top"/>
      <protection locked="0"/>
    </xf>
    <xf numFmtId="2" fontId="48" fillId="25" borderId="1" xfId="0" applyNumberFormat="1" applyFont="1" applyFill="1" applyBorder="1" applyAlignment="1" applyProtection="1">
      <alignment horizontal="center"/>
      <protection hidden="1"/>
    </xf>
    <xf numFmtId="0" fontId="54" fillId="2" borderId="1" xfId="0" applyFont="1" applyFill="1" applyBorder="1" applyAlignment="1" applyProtection="1">
      <alignment horizontal="center" vertical="top"/>
      <protection locked="0"/>
    </xf>
    <xf numFmtId="49" fontId="55" fillId="4" borderId="108" xfId="0" applyNumberFormat="1" applyFont="1" applyFill="1" applyBorder="1" applyAlignment="1" applyProtection="1">
      <alignment horizontal="right" vertical="center"/>
      <protection locked="0"/>
    </xf>
    <xf numFmtId="49" fontId="55" fillId="4" borderId="93" xfId="0" applyNumberFormat="1" applyFont="1" applyFill="1" applyBorder="1" applyAlignment="1" applyProtection="1">
      <alignment horizontal="right" vertical="center"/>
      <protection locked="0"/>
    </xf>
    <xf numFmtId="0" fontId="27" fillId="0" borderId="0" xfId="0" applyFont="1" applyFill="1" applyAlignment="1" applyProtection="1">
      <alignment horizontal="center" vertical="center"/>
      <protection locked="0"/>
    </xf>
    <xf numFmtId="164" fontId="1" fillId="0" borderId="0" xfId="0" applyNumberFormat="1" applyFont="1" applyFill="1" applyBorder="1" applyAlignment="1" applyProtection="1">
      <alignment horizontal="right"/>
    </xf>
    <xf numFmtId="0" fontId="54" fillId="23" borderId="1" xfId="0" applyFont="1" applyFill="1" applyBorder="1" applyAlignment="1" applyProtection="1">
      <alignment horizontal="center" vertical="top"/>
      <protection locked="0"/>
    </xf>
    <xf numFmtId="16" fontId="86" fillId="4" borderId="1" xfId="0" applyNumberFormat="1" applyFont="1" applyFill="1" applyBorder="1" applyAlignment="1" applyProtection="1">
      <alignment horizontal="center" vertical="center"/>
      <protection locked="0"/>
    </xf>
    <xf numFmtId="0" fontId="27" fillId="0" borderId="0" xfId="0" applyFont="1" applyFill="1" applyAlignment="1" applyProtection="1">
      <alignment horizontal="center"/>
      <protection locked="0"/>
    </xf>
    <xf numFmtId="16" fontId="48" fillId="0" borderId="24" xfId="0" applyNumberFormat="1" applyFont="1" applyFill="1" applyBorder="1" applyAlignment="1" applyProtection="1">
      <alignment horizontal="center" vertical="center"/>
      <protection locked="0"/>
    </xf>
    <xf numFmtId="0" fontId="27" fillId="23" borderId="3" xfId="0" applyFont="1" applyFill="1" applyBorder="1" applyAlignment="1" applyProtection="1">
      <alignment horizontal="center" vertical="top"/>
      <protection locked="0"/>
    </xf>
    <xf numFmtId="2" fontId="23" fillId="23" borderId="22" xfId="0" applyNumberFormat="1" applyFont="1" applyFill="1" applyBorder="1" applyAlignment="1" applyProtection="1">
      <alignment horizontal="center" vertical="center" readingOrder="2"/>
      <protection locked="0"/>
    </xf>
    <xf numFmtId="2" fontId="23" fillId="23" borderId="18" xfId="0" applyNumberFormat="1" applyFont="1" applyFill="1" applyBorder="1" applyAlignment="1" applyProtection="1">
      <alignment horizontal="center" vertical="center" readingOrder="2"/>
      <protection locked="0"/>
    </xf>
    <xf numFmtId="0" fontId="24" fillId="11" borderId="75" xfId="0" applyFont="1" applyFill="1" applyBorder="1" applyAlignment="1">
      <alignment horizontal="center" vertical="center"/>
    </xf>
    <xf numFmtId="0" fontId="24" fillId="11" borderId="24" xfId="0" applyFont="1" applyFill="1" applyBorder="1" applyAlignment="1">
      <alignment horizontal="center" vertical="center"/>
    </xf>
    <xf numFmtId="0" fontId="24" fillId="11" borderId="75" xfId="0" applyFont="1" applyFill="1" applyBorder="1" applyAlignment="1">
      <alignment horizontal="center" vertical="center" textRotation="90"/>
    </xf>
    <xf numFmtId="0" fontId="24" fillId="11" borderId="24" xfId="0" applyFont="1" applyFill="1" applyBorder="1" applyAlignment="1">
      <alignment horizontal="center" vertical="center" textRotation="90"/>
    </xf>
    <xf numFmtId="16" fontId="55" fillId="4" borderId="1" xfId="0" applyNumberFormat="1" applyFont="1" applyFill="1" applyBorder="1" applyAlignment="1" applyProtection="1">
      <alignment horizontal="center" vertical="center"/>
      <protection locked="0"/>
    </xf>
    <xf numFmtId="0" fontId="54" fillId="2" borderId="31" xfId="0" applyFont="1" applyFill="1" applyBorder="1" applyAlignment="1" applyProtection="1">
      <alignment horizontal="center" vertical="top"/>
      <protection locked="0"/>
    </xf>
    <xf numFmtId="16" fontId="55" fillId="4" borderId="75" xfId="0" applyNumberFormat="1" applyFont="1" applyFill="1" applyBorder="1" applyAlignment="1" applyProtection="1">
      <alignment horizontal="center" vertical="center"/>
      <protection locked="0"/>
    </xf>
    <xf numFmtId="0" fontId="55" fillId="0" borderId="1" xfId="0" applyFont="1" applyFill="1" applyBorder="1" applyAlignment="1" applyProtection="1">
      <alignment horizontal="center" vertical="top"/>
      <protection locked="0"/>
    </xf>
    <xf numFmtId="0" fontId="27" fillId="0" borderId="75" xfId="0" applyFont="1" applyFill="1" applyBorder="1" applyAlignment="1" applyProtection="1">
      <alignment horizontal="center" vertical="center"/>
      <protection locked="0"/>
    </xf>
    <xf numFmtId="0" fontId="27" fillId="0" borderId="76" xfId="0" applyFont="1" applyFill="1" applyBorder="1" applyAlignment="1" applyProtection="1">
      <alignment horizontal="center" vertical="center"/>
      <protection locked="0"/>
    </xf>
    <xf numFmtId="0" fontId="27" fillId="0" borderId="24" xfId="0" applyFont="1" applyFill="1" applyBorder="1" applyAlignment="1" applyProtection="1">
      <alignment horizontal="center" vertical="center"/>
      <protection locked="0"/>
    </xf>
    <xf numFmtId="0" fontId="54" fillId="2" borderId="32" xfId="0" applyFont="1" applyFill="1" applyBorder="1" applyAlignment="1" applyProtection="1">
      <alignment horizontal="center" vertical="top"/>
      <protection locked="0"/>
    </xf>
    <xf numFmtId="16" fontId="48" fillId="4" borderId="1" xfId="0" applyNumberFormat="1" applyFont="1" applyFill="1" applyBorder="1" applyAlignment="1" applyProtection="1">
      <alignment horizontal="center" vertical="center"/>
      <protection locked="0"/>
    </xf>
    <xf numFmtId="49" fontId="54" fillId="4" borderId="31" xfId="0" applyNumberFormat="1" applyFont="1" applyFill="1" applyBorder="1" applyAlignment="1" applyProtection="1">
      <alignment horizontal="right" vertical="center"/>
      <protection locked="0"/>
    </xf>
    <xf numFmtId="49" fontId="54" fillId="4" borderId="32" xfId="0" applyNumberFormat="1" applyFont="1" applyFill="1" applyBorder="1" applyAlignment="1" applyProtection="1">
      <alignment horizontal="right" vertical="center"/>
      <protection locked="0"/>
    </xf>
    <xf numFmtId="16" fontId="54" fillId="0" borderId="1" xfId="0" applyNumberFormat="1" applyFont="1" applyFill="1" applyBorder="1" applyAlignment="1" applyProtection="1">
      <alignment horizontal="center" vertical="center"/>
      <protection locked="0"/>
    </xf>
    <xf numFmtId="16" fontId="54" fillId="0" borderId="24" xfId="0" applyNumberFormat="1" applyFont="1" applyFill="1" applyBorder="1" applyAlignment="1" applyProtection="1">
      <alignment horizontal="center" vertical="center"/>
      <protection locked="0"/>
    </xf>
    <xf numFmtId="0" fontId="55" fillId="15" borderId="1" xfId="0" applyFont="1" applyFill="1" applyBorder="1" applyAlignment="1">
      <alignment horizontal="center"/>
    </xf>
    <xf numFmtId="2" fontId="54" fillId="25" borderId="1" xfId="0" applyNumberFormat="1" applyFont="1" applyFill="1" applyBorder="1" applyAlignment="1" applyProtection="1">
      <alignment horizontal="center"/>
      <protection hidden="1"/>
    </xf>
    <xf numFmtId="2" fontId="54" fillId="0" borderId="31" xfId="0" applyNumberFormat="1" applyFont="1" applyFill="1" applyBorder="1" applyAlignment="1" applyProtection="1">
      <alignment horizontal="center"/>
      <protection locked="0"/>
    </xf>
    <xf numFmtId="2" fontId="54" fillId="0" borderId="19" xfId="0" applyNumberFormat="1" applyFont="1" applyFill="1" applyBorder="1" applyAlignment="1" applyProtection="1">
      <alignment horizontal="center"/>
      <protection locked="0"/>
    </xf>
    <xf numFmtId="2" fontId="54" fillId="25" borderId="75" xfId="0" applyNumberFormat="1" applyFont="1" applyFill="1" applyBorder="1" applyAlignment="1" applyProtection="1">
      <alignment horizontal="center"/>
      <protection hidden="1"/>
    </xf>
    <xf numFmtId="164" fontId="1" fillId="0" borderId="0" xfId="0" applyNumberFormat="1" applyFont="1" applyFill="1" applyBorder="1" applyAlignment="1" applyProtection="1">
      <alignment horizontal="center" vertical="center"/>
    </xf>
    <xf numFmtId="164" fontId="1" fillId="4" borderId="30" xfId="0" applyNumberFormat="1" applyFont="1" applyFill="1" applyBorder="1" applyAlignment="1" applyProtection="1">
      <alignment horizontal="center"/>
    </xf>
    <xf numFmtId="0" fontId="1" fillId="11" borderId="31" xfId="0" applyFont="1" applyFill="1" applyBorder="1" applyAlignment="1">
      <alignment horizontal="center" vertical="center"/>
    </xf>
    <xf numFmtId="0" fontId="1" fillId="11" borderId="32" xfId="0" applyFont="1" applyFill="1" applyBorder="1" applyAlignment="1">
      <alignment horizontal="center" vertical="center"/>
    </xf>
    <xf numFmtId="16" fontId="54" fillId="4" borderId="1" xfId="0" applyNumberFormat="1" applyFont="1" applyFill="1" applyBorder="1" applyAlignment="1" applyProtection="1">
      <alignment horizontal="center" vertical="center"/>
      <protection locked="0"/>
    </xf>
    <xf numFmtId="0" fontId="27" fillId="23" borderId="136" xfId="0" applyFont="1" applyFill="1" applyBorder="1" applyAlignment="1" applyProtection="1">
      <alignment horizontal="center"/>
      <protection locked="0"/>
    </xf>
    <xf numFmtId="0" fontId="27" fillId="23" borderId="137" xfId="0" applyFont="1" applyFill="1" applyBorder="1" applyAlignment="1" applyProtection="1">
      <alignment horizontal="center"/>
      <protection locked="0"/>
    </xf>
    <xf numFmtId="16" fontId="54" fillId="4" borderId="24" xfId="0" applyNumberFormat="1" applyFont="1" applyFill="1" applyBorder="1" applyAlignment="1" applyProtection="1">
      <alignment horizontal="center" vertical="center"/>
      <protection locked="0"/>
    </xf>
    <xf numFmtId="0" fontId="24" fillId="4" borderId="75" xfId="0" applyFont="1" applyFill="1" applyBorder="1" applyAlignment="1">
      <alignment horizontal="center" vertical="center"/>
    </xf>
    <xf numFmtId="0" fontId="24" fillId="4" borderId="24" xfId="0" applyFont="1" applyFill="1" applyBorder="1" applyAlignment="1">
      <alignment horizontal="center" vertical="center"/>
    </xf>
    <xf numFmtId="0" fontId="24" fillId="4" borderId="75" xfId="0" applyFont="1" applyFill="1" applyBorder="1" applyAlignment="1">
      <alignment horizontal="center" vertical="center" textRotation="90"/>
    </xf>
    <xf numFmtId="0" fontId="24" fillId="4" borderId="24" xfId="0" applyFont="1" applyFill="1" applyBorder="1" applyAlignment="1">
      <alignment horizontal="center" vertical="center" textRotation="90"/>
    </xf>
    <xf numFmtId="0" fontId="1" fillId="4" borderId="30" xfId="0" applyFont="1" applyFill="1" applyBorder="1" applyAlignment="1" applyProtection="1">
      <alignment horizontal="center" vertical="center"/>
      <protection locked="0"/>
    </xf>
    <xf numFmtId="164" fontId="1" fillId="4" borderId="0" xfId="0" applyNumberFormat="1" applyFont="1" applyFill="1" applyBorder="1" applyAlignment="1" applyProtection="1">
      <alignment horizontal="right"/>
    </xf>
    <xf numFmtId="0" fontId="24" fillId="11" borderId="22" xfId="0" applyFont="1" applyFill="1" applyBorder="1" applyAlignment="1">
      <alignment horizontal="center" vertical="center"/>
    </xf>
    <xf numFmtId="0" fontId="24" fillId="11" borderId="18" xfId="0" applyFont="1" applyFill="1" applyBorder="1" applyAlignment="1">
      <alignment horizontal="center" vertical="center"/>
    </xf>
    <xf numFmtId="0" fontId="24" fillId="11" borderId="122" xfId="0" applyFont="1" applyFill="1" applyBorder="1" applyAlignment="1">
      <alignment horizontal="center" vertical="center"/>
    </xf>
    <xf numFmtId="0" fontId="24" fillId="11" borderId="30" xfId="0" applyFont="1" applyFill="1" applyBorder="1" applyAlignment="1">
      <alignment horizontal="center" vertical="center"/>
    </xf>
    <xf numFmtId="0" fontId="24" fillId="11" borderId="126" xfId="0" applyFont="1" applyFill="1" applyBorder="1" applyAlignment="1">
      <alignment horizontal="center" vertical="center"/>
    </xf>
    <xf numFmtId="0" fontId="24" fillId="11" borderId="96" xfId="0" applyFont="1" applyFill="1" applyBorder="1" applyAlignment="1">
      <alignment horizontal="center" vertical="center"/>
    </xf>
    <xf numFmtId="16" fontId="55" fillId="0" borderId="1" xfId="0" applyNumberFormat="1" applyFont="1" applyFill="1" applyBorder="1" applyAlignment="1" applyProtection="1">
      <alignment horizontal="center" vertical="center"/>
      <protection locked="0"/>
    </xf>
    <xf numFmtId="49" fontId="55" fillId="0" borderId="108" xfId="0" applyNumberFormat="1" applyFont="1" applyFill="1" applyBorder="1" applyAlignment="1" applyProtection="1">
      <alignment horizontal="right" vertical="center"/>
      <protection locked="0"/>
    </xf>
    <xf numFmtId="49" fontId="55" fillId="0" borderId="93" xfId="0" applyNumberFormat="1" applyFont="1" applyFill="1" applyBorder="1" applyAlignment="1" applyProtection="1">
      <alignment horizontal="right" vertical="center"/>
      <protection locked="0"/>
    </xf>
    <xf numFmtId="0" fontId="23" fillId="0" borderId="31" xfId="0" applyFont="1" applyBorder="1" applyAlignment="1">
      <alignment horizontal="center"/>
    </xf>
    <xf numFmtId="0" fontId="23" fillId="0" borderId="32" xfId="0" applyFont="1" applyBorder="1" applyAlignment="1">
      <alignment horizontal="center"/>
    </xf>
    <xf numFmtId="0" fontId="29" fillId="0" borderId="56" xfId="0" applyFont="1" applyBorder="1" applyAlignment="1" applyProtection="1">
      <alignment horizontal="center" vertical="center"/>
      <protection hidden="1"/>
    </xf>
    <xf numFmtId="0" fontId="29" fillId="0" borderId="57" xfId="0" applyFont="1" applyBorder="1" applyAlignment="1" applyProtection="1">
      <alignment horizontal="center" vertical="center"/>
      <protection hidden="1"/>
    </xf>
    <xf numFmtId="0" fontId="29" fillId="0" borderId="58" xfId="0" applyFont="1" applyBorder="1" applyAlignment="1" applyProtection="1">
      <alignment horizontal="center" vertical="center"/>
      <protection hidden="1"/>
    </xf>
    <xf numFmtId="0" fontId="29" fillId="0" borderId="50" xfId="0" applyFont="1" applyBorder="1" applyAlignment="1" applyProtection="1">
      <alignment horizontal="center" vertical="center"/>
      <protection hidden="1"/>
    </xf>
    <xf numFmtId="0" fontId="29" fillId="0" borderId="51" xfId="0" applyFont="1" applyBorder="1" applyAlignment="1" applyProtection="1">
      <alignment horizontal="center" vertical="center"/>
      <protection hidden="1"/>
    </xf>
    <xf numFmtId="0" fontId="29" fillId="0" borderId="52" xfId="0" applyFont="1" applyBorder="1" applyAlignment="1" applyProtection="1">
      <alignment horizontal="center" vertical="center"/>
      <protection hidden="1"/>
    </xf>
    <xf numFmtId="0" fontId="29" fillId="0" borderId="53" xfId="0" applyFont="1" applyBorder="1" applyAlignment="1" applyProtection="1">
      <alignment horizontal="center" vertical="center"/>
      <protection hidden="1"/>
    </xf>
    <xf numFmtId="0" fontId="29" fillId="0" borderId="54" xfId="0" applyFont="1" applyBorder="1" applyAlignment="1" applyProtection="1">
      <alignment horizontal="center" vertical="center"/>
      <protection hidden="1"/>
    </xf>
    <xf numFmtId="0" fontId="29" fillId="0" borderId="55" xfId="0" applyFont="1" applyBorder="1" applyAlignment="1" applyProtection="1">
      <alignment horizontal="center" vertical="center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14" fontId="9" fillId="0" borderId="0" xfId="0" applyNumberFormat="1" applyFont="1" applyAlignment="1" applyProtection="1">
      <alignment horizontal="center" vertical="center"/>
      <protection hidden="1"/>
    </xf>
    <xf numFmtId="49" fontId="29" fillId="13" borderId="43" xfId="0" applyNumberFormat="1" applyFont="1" applyFill="1" applyBorder="1" applyAlignment="1" applyProtection="1">
      <alignment horizontal="center" vertical="center"/>
      <protection hidden="1"/>
    </xf>
    <xf numFmtId="49" fontId="29" fillId="13" borderId="84" xfId="0" applyNumberFormat="1" applyFont="1" applyFill="1" applyBorder="1" applyAlignment="1" applyProtection="1">
      <alignment horizontal="center" vertical="center"/>
      <protection hidden="1"/>
    </xf>
    <xf numFmtId="0" fontId="29" fillId="0" borderId="36" xfId="0" applyFont="1" applyBorder="1" applyAlignment="1" applyProtection="1">
      <alignment horizontal="center" vertical="center"/>
      <protection hidden="1"/>
    </xf>
    <xf numFmtId="0" fontId="29" fillId="0" borderId="37" xfId="0" applyFont="1" applyBorder="1" applyAlignment="1" applyProtection="1">
      <alignment horizontal="center" vertical="center"/>
      <protection hidden="1"/>
    </xf>
    <xf numFmtId="49" fontId="29" fillId="13" borderId="42" xfId="0" applyNumberFormat="1" applyFont="1" applyFill="1" applyBorder="1" applyAlignment="1" applyProtection="1">
      <alignment horizontal="center" vertical="center"/>
      <protection hidden="1"/>
    </xf>
    <xf numFmtId="49" fontId="29" fillId="13" borderId="82" xfId="0" applyNumberFormat="1" applyFont="1" applyFill="1" applyBorder="1" applyAlignment="1" applyProtection="1">
      <alignment horizontal="center" vertical="center"/>
      <protection hidden="1"/>
    </xf>
    <xf numFmtId="49" fontId="29" fillId="13" borderId="38" xfId="0" applyNumberFormat="1" applyFont="1" applyFill="1" applyBorder="1" applyAlignment="1" applyProtection="1">
      <alignment horizontal="center" vertical="center"/>
      <protection hidden="1"/>
    </xf>
    <xf numFmtId="49" fontId="29" fillId="13" borderId="41" xfId="0" applyNumberFormat="1" applyFont="1" applyFill="1" applyBorder="1" applyAlignment="1" applyProtection="1">
      <alignment horizontal="center" vertical="center"/>
      <protection hidden="1"/>
    </xf>
    <xf numFmtId="0" fontId="29" fillId="15" borderId="38" xfId="0" applyFont="1" applyFill="1" applyBorder="1" applyAlignment="1" applyProtection="1">
      <alignment horizontal="center" vertical="center"/>
      <protection hidden="1"/>
    </xf>
    <xf numFmtId="0" fontId="29" fillId="15" borderId="39" xfId="0" applyFont="1" applyFill="1" applyBorder="1" applyAlignment="1" applyProtection="1">
      <alignment horizontal="center" vertical="center"/>
      <protection hidden="1"/>
    </xf>
    <xf numFmtId="0" fontId="29" fillId="15" borderId="87" xfId="0" applyFont="1" applyFill="1" applyBorder="1" applyAlignment="1" applyProtection="1">
      <alignment horizontal="center" vertical="center"/>
      <protection hidden="1"/>
    </xf>
    <xf numFmtId="0" fontId="29" fillId="15" borderId="88" xfId="0" applyFont="1" applyFill="1" applyBorder="1" applyAlignment="1" applyProtection="1">
      <alignment horizontal="center" vertical="center"/>
      <protection hidden="1"/>
    </xf>
    <xf numFmtId="0" fontId="29" fillId="15" borderId="37" xfId="0" applyFont="1" applyFill="1" applyBorder="1" applyAlignment="1" applyProtection="1">
      <alignment horizontal="center" vertical="center"/>
      <protection hidden="1"/>
    </xf>
    <xf numFmtId="0" fontId="30" fillId="13" borderId="7" xfId="0" applyFont="1" applyFill="1" applyBorder="1" applyAlignment="1" applyProtection="1">
      <alignment horizontal="center" vertical="center"/>
      <protection hidden="1"/>
    </xf>
    <xf numFmtId="0" fontId="30" fillId="13" borderId="8" xfId="0" applyFont="1" applyFill="1" applyBorder="1" applyAlignment="1" applyProtection="1">
      <alignment horizontal="center" vertical="center"/>
      <protection hidden="1"/>
    </xf>
    <xf numFmtId="0" fontId="30" fillId="13" borderId="9" xfId="0" applyFont="1" applyFill="1" applyBorder="1" applyAlignment="1" applyProtection="1">
      <alignment horizontal="center" vertical="center"/>
      <protection hidden="1"/>
    </xf>
    <xf numFmtId="0" fontId="30" fillId="16" borderId="7" xfId="0" applyFont="1" applyFill="1" applyBorder="1" applyAlignment="1" applyProtection="1">
      <alignment horizontal="center" vertical="center"/>
      <protection hidden="1"/>
    </xf>
    <xf numFmtId="0" fontId="30" fillId="16" borderId="9" xfId="0" applyFont="1" applyFill="1" applyBorder="1" applyAlignment="1" applyProtection="1">
      <alignment horizontal="center" vertical="center"/>
      <protection hidden="1"/>
    </xf>
    <xf numFmtId="49" fontId="29" fillId="13" borderId="44" xfId="0" applyNumberFormat="1" applyFont="1" applyFill="1" applyBorder="1" applyAlignment="1" applyProtection="1">
      <alignment horizontal="center" vertical="center"/>
      <protection hidden="1"/>
    </xf>
    <xf numFmtId="0" fontId="29" fillId="0" borderId="31" xfId="0" applyFont="1" applyBorder="1" applyAlignment="1" applyProtection="1">
      <alignment horizontal="center" vertical="center"/>
      <protection hidden="1"/>
    </xf>
    <xf numFmtId="0" fontId="29" fillId="0" borderId="32" xfId="0" applyFont="1" applyBorder="1" applyAlignment="1" applyProtection="1">
      <alignment horizontal="center" vertical="center"/>
      <protection hidden="1"/>
    </xf>
    <xf numFmtId="0" fontId="29" fillId="0" borderId="87" xfId="0" applyFont="1" applyBorder="1" applyAlignment="1" applyProtection="1">
      <alignment horizontal="center" vertical="center"/>
      <protection hidden="1"/>
    </xf>
    <xf numFmtId="0" fontId="29" fillId="0" borderId="38" xfId="0" applyFont="1" applyBorder="1" applyAlignment="1" applyProtection="1">
      <alignment horizontal="center" vertical="center"/>
      <protection hidden="1"/>
    </xf>
    <xf numFmtId="0" fontId="29" fillId="0" borderId="41" xfId="0" applyFont="1" applyBorder="1" applyAlignment="1" applyProtection="1">
      <alignment horizontal="center" vertical="center"/>
      <protection hidden="1"/>
    </xf>
    <xf numFmtId="49" fontId="29" fillId="15" borderId="43" xfId="0" applyNumberFormat="1" applyFont="1" applyFill="1" applyBorder="1" applyAlignment="1" applyProtection="1">
      <alignment horizontal="center" vertical="center"/>
      <protection hidden="1"/>
    </xf>
    <xf numFmtId="49" fontId="29" fillId="15" borderId="84" xfId="0" applyNumberFormat="1" applyFont="1" applyFill="1" applyBorder="1" applyAlignment="1" applyProtection="1">
      <alignment horizontal="center" vertical="center"/>
      <protection hidden="1"/>
    </xf>
    <xf numFmtId="49" fontId="29" fillId="15" borderId="42" xfId="0" applyNumberFormat="1" applyFont="1" applyFill="1" applyBorder="1" applyAlignment="1" applyProtection="1">
      <alignment horizontal="center" vertical="center"/>
      <protection hidden="1"/>
    </xf>
    <xf numFmtId="49" fontId="29" fillId="15" borderId="82" xfId="0" applyNumberFormat="1" applyFont="1" applyFill="1" applyBorder="1" applyAlignment="1" applyProtection="1">
      <alignment horizontal="center" vertical="center"/>
      <protection hidden="1"/>
    </xf>
    <xf numFmtId="0" fontId="29" fillId="4" borderId="36" xfId="0" applyFont="1" applyFill="1" applyBorder="1" applyAlignment="1" applyProtection="1">
      <alignment horizontal="center" vertical="center"/>
      <protection hidden="1"/>
    </xf>
    <xf numFmtId="0" fontId="29" fillId="4" borderId="37" xfId="0" applyFont="1" applyFill="1" applyBorder="1" applyAlignment="1" applyProtection="1">
      <alignment horizontal="center" vertical="center"/>
      <protection hidden="1"/>
    </xf>
    <xf numFmtId="0" fontId="30" fillId="15" borderId="7" xfId="0" applyFont="1" applyFill="1" applyBorder="1" applyAlignment="1" applyProtection="1">
      <alignment horizontal="center" vertical="center"/>
      <protection hidden="1"/>
    </xf>
    <xf numFmtId="0" fontId="30" fillId="15" borderId="8" xfId="0" applyFont="1" applyFill="1" applyBorder="1" applyAlignment="1" applyProtection="1">
      <alignment horizontal="center" vertical="center"/>
      <protection hidden="1"/>
    </xf>
    <xf numFmtId="0" fontId="30" fillId="15" borderId="9" xfId="0" applyFont="1" applyFill="1" applyBorder="1" applyAlignment="1" applyProtection="1">
      <alignment horizontal="center" vertical="center"/>
      <protection hidden="1"/>
    </xf>
    <xf numFmtId="0" fontId="9" fillId="0" borderId="60" xfId="0" applyFont="1" applyBorder="1" applyAlignment="1" applyProtection="1">
      <alignment horizontal="center" vertical="center"/>
      <protection hidden="1"/>
    </xf>
    <xf numFmtId="49" fontId="29" fillId="13" borderId="45" xfId="0" applyNumberFormat="1" applyFont="1" applyFill="1" applyBorder="1" applyAlignment="1" applyProtection="1">
      <alignment horizontal="center" vertical="center"/>
      <protection hidden="1"/>
    </xf>
    <xf numFmtId="49" fontId="29" fillId="13" borderId="46" xfId="0" applyNumberFormat="1" applyFont="1" applyFill="1" applyBorder="1" applyAlignment="1" applyProtection="1">
      <alignment horizontal="center" vertical="center"/>
      <protection hidden="1"/>
    </xf>
    <xf numFmtId="49" fontId="29" fillId="13" borderId="32" xfId="0" applyNumberFormat="1" applyFont="1" applyFill="1" applyBorder="1" applyAlignment="1" applyProtection="1">
      <alignment horizontal="center" vertical="center"/>
      <protection hidden="1"/>
    </xf>
    <xf numFmtId="49" fontId="29" fillId="13" borderId="39" xfId="0" applyNumberFormat="1" applyFont="1" applyFill="1" applyBorder="1" applyAlignment="1" applyProtection="1">
      <alignment horizontal="center" vertical="center"/>
      <protection hidden="1"/>
    </xf>
    <xf numFmtId="49" fontId="29" fillId="13" borderId="49" xfId="0" applyNumberFormat="1" applyFont="1" applyFill="1" applyBorder="1" applyAlignment="1" applyProtection="1">
      <alignment horizontal="center" vertical="center"/>
      <protection hidden="1"/>
    </xf>
    <xf numFmtId="49" fontId="29" fillId="13" borderId="1" xfId="0" applyNumberFormat="1" applyFont="1" applyFill="1" applyBorder="1" applyAlignment="1" applyProtection="1">
      <alignment horizontal="center" vertical="center"/>
      <protection hidden="1"/>
    </xf>
    <xf numFmtId="0" fontId="29" fillId="15" borderId="47" xfId="0" applyFont="1" applyFill="1" applyBorder="1" applyAlignment="1" applyProtection="1">
      <alignment horizontal="center" vertical="center"/>
      <protection hidden="1"/>
    </xf>
    <xf numFmtId="0" fontId="29" fillId="15" borderId="48" xfId="0" applyFont="1" applyFill="1" applyBorder="1" applyAlignment="1" applyProtection="1">
      <alignment horizontal="center" vertical="center"/>
      <protection hidden="1"/>
    </xf>
    <xf numFmtId="0" fontId="29" fillId="15" borderId="59" xfId="0" applyFont="1" applyFill="1" applyBorder="1" applyAlignment="1" applyProtection="1">
      <alignment horizontal="center" vertical="center"/>
      <protection hidden="1"/>
    </xf>
    <xf numFmtId="0" fontId="30" fillId="16" borderId="8" xfId="0" applyFont="1" applyFill="1" applyBorder="1" applyAlignment="1" applyProtection="1">
      <alignment horizontal="center" vertical="center"/>
      <protection hidden="1"/>
    </xf>
    <xf numFmtId="0" fontId="29" fillId="0" borderId="63" xfId="0" applyFont="1" applyBorder="1" applyAlignment="1" applyProtection="1">
      <alignment horizontal="center" vertical="center"/>
      <protection hidden="1"/>
    </xf>
    <xf numFmtId="0" fontId="29" fillId="0" borderId="61" xfId="0" applyFont="1" applyBorder="1" applyAlignment="1" applyProtection="1">
      <alignment horizontal="center" vertical="center"/>
      <protection hidden="1"/>
    </xf>
    <xf numFmtId="0" fontId="29" fillId="0" borderId="62" xfId="0" applyFont="1" applyBorder="1" applyAlignment="1" applyProtection="1">
      <alignment horizontal="center" vertical="center"/>
      <protection hidden="1"/>
    </xf>
    <xf numFmtId="49" fontId="29" fillId="15" borderId="44" xfId="0" applyNumberFormat="1" applyFont="1" applyFill="1" applyBorder="1" applyAlignment="1" applyProtection="1">
      <alignment horizontal="center" vertical="center"/>
      <protection hidden="1"/>
    </xf>
    <xf numFmtId="49" fontId="29" fillId="15" borderId="32" xfId="0" applyNumberFormat="1" applyFont="1" applyFill="1" applyBorder="1" applyAlignment="1" applyProtection="1">
      <alignment horizontal="center" vertical="center"/>
      <protection hidden="1"/>
    </xf>
    <xf numFmtId="0" fontId="29" fillId="15" borderId="40" xfId="0" applyFont="1" applyFill="1" applyBorder="1" applyAlignment="1" applyProtection="1">
      <alignment horizontal="center" vertical="center"/>
      <protection hidden="1"/>
    </xf>
    <xf numFmtId="0" fontId="29" fillId="15" borderId="41" xfId="0" applyFont="1" applyFill="1" applyBorder="1" applyAlignment="1" applyProtection="1">
      <alignment horizontal="center" vertical="center"/>
      <protection hidden="1"/>
    </xf>
    <xf numFmtId="49" fontId="29" fillId="15" borderId="45" xfId="0" applyNumberFormat="1" applyFont="1" applyFill="1" applyBorder="1" applyAlignment="1" applyProtection="1">
      <alignment horizontal="center" vertical="center"/>
      <protection hidden="1"/>
    </xf>
    <xf numFmtId="49" fontId="29" fillId="15" borderId="46" xfId="0" applyNumberFormat="1" applyFont="1" applyFill="1" applyBorder="1" applyAlignment="1" applyProtection="1">
      <alignment horizontal="center" vertical="center"/>
      <protection hidden="1"/>
    </xf>
    <xf numFmtId="49" fontId="29" fillId="15" borderId="49" xfId="0" applyNumberFormat="1" applyFont="1" applyFill="1" applyBorder="1" applyAlignment="1" applyProtection="1">
      <alignment horizontal="center" vertical="center"/>
      <protection hidden="1"/>
    </xf>
    <xf numFmtId="49" fontId="29" fillId="15" borderId="1" xfId="0" applyNumberFormat="1" applyFont="1" applyFill="1" applyBorder="1" applyAlignment="1" applyProtection="1">
      <alignment horizontal="center" vertical="center"/>
      <protection hidden="1"/>
    </xf>
    <xf numFmtId="0" fontId="53" fillId="0" borderId="0" xfId="0" applyFont="1" applyAlignment="1">
      <alignment horizontal="left" readingOrder="2"/>
    </xf>
    <xf numFmtId="0" fontId="52" fillId="0" borderId="0" xfId="0" applyFont="1" applyBorder="1" applyAlignment="1">
      <alignment horizontal="right" vertical="top" wrapText="1" readingOrder="2"/>
    </xf>
    <xf numFmtId="0" fontId="14" fillId="0" borderId="0" xfId="0" applyFont="1" applyBorder="1" applyAlignment="1">
      <alignment horizontal="center"/>
    </xf>
    <xf numFmtId="0" fontId="23" fillId="3" borderId="92" xfId="0" applyFont="1" applyFill="1" applyBorder="1" applyAlignment="1" applyProtection="1">
      <alignment horizontal="center" vertical="top"/>
      <protection locked="0"/>
    </xf>
    <xf numFmtId="0" fontId="23" fillId="3" borderId="0" xfId="0" applyFont="1" applyFill="1" applyBorder="1" applyAlignment="1" applyProtection="1">
      <alignment horizontal="center" vertical="top"/>
      <protection locked="0"/>
    </xf>
    <xf numFmtId="0" fontId="95" fillId="4" borderId="0" xfId="0" applyFont="1" applyFill="1" applyAlignment="1">
      <alignment horizontal="left" readingOrder="2"/>
    </xf>
    <xf numFmtId="0" fontId="36" fillId="0" borderId="1" xfId="0" applyFont="1" applyBorder="1" applyAlignment="1">
      <alignment horizontal="center"/>
    </xf>
    <xf numFmtId="0" fontId="9" fillId="0" borderId="7" xfId="2" applyFont="1" applyBorder="1" applyAlignment="1">
      <alignment horizontal="center" vertical="center"/>
    </xf>
    <xf numFmtId="0" fontId="9" fillId="0" borderId="8" xfId="2" applyFont="1" applyBorder="1" applyAlignment="1">
      <alignment horizontal="center" vertical="center"/>
    </xf>
    <xf numFmtId="0" fontId="9" fillId="0" borderId="9" xfId="2" applyFont="1" applyBorder="1" applyAlignment="1">
      <alignment horizontal="center" vertical="center"/>
    </xf>
    <xf numFmtId="0" fontId="29" fillId="2" borderId="128" xfId="5" applyFont="1" applyFill="1" applyBorder="1" applyAlignment="1" applyProtection="1">
      <alignment horizontal="center" vertical="center" wrapText="1"/>
      <protection locked="0"/>
    </xf>
    <xf numFmtId="0" fontId="29" fillId="2" borderId="129" xfId="5" applyFont="1" applyFill="1" applyBorder="1" applyAlignment="1" applyProtection="1">
      <alignment horizontal="center" vertical="center" wrapText="1"/>
      <protection locked="0"/>
    </xf>
    <xf numFmtId="0" fontId="39" fillId="23" borderId="27" xfId="5" applyFont="1" applyFill="1" applyBorder="1" applyAlignment="1" applyProtection="1">
      <alignment horizontal="center" vertical="center"/>
      <protection locked="0"/>
    </xf>
    <xf numFmtId="0" fontId="39" fillId="23" borderId="77" xfId="5" applyFont="1" applyFill="1" applyBorder="1" applyAlignment="1" applyProtection="1">
      <alignment horizontal="center" vertical="center"/>
      <protection locked="0"/>
    </xf>
    <xf numFmtId="164" fontId="29" fillId="0" borderId="0" xfId="8" applyNumberFormat="1" applyFont="1" applyAlignment="1" applyProtection="1">
      <alignment horizontal="center" vertical="center"/>
      <protection hidden="1"/>
    </xf>
    <xf numFmtId="0" fontId="39" fillId="23" borderId="1" xfId="5" applyFont="1" applyFill="1" applyBorder="1" applyAlignment="1" applyProtection="1">
      <alignment horizontal="center" vertical="center"/>
      <protection locked="0"/>
    </xf>
    <xf numFmtId="0" fontId="29" fillId="9" borderId="77" xfId="5" applyFont="1" applyFill="1" applyBorder="1" applyAlignment="1" applyProtection="1">
      <alignment horizontal="center" vertical="center"/>
      <protection locked="0"/>
    </xf>
    <xf numFmtId="0" fontId="29" fillId="9" borderId="1" xfId="5" applyFont="1" applyFill="1" applyBorder="1" applyAlignment="1" applyProtection="1">
      <alignment horizontal="center" vertical="center"/>
      <protection locked="0"/>
    </xf>
    <xf numFmtId="0" fontId="9" fillId="0" borderId="130" xfId="5" applyFont="1" applyFill="1" applyBorder="1" applyAlignment="1" applyProtection="1">
      <alignment horizontal="center" vertical="center"/>
      <protection hidden="1"/>
    </xf>
    <xf numFmtId="0" fontId="29" fillId="31" borderId="3" xfId="5" applyFont="1" applyFill="1" applyBorder="1" applyAlignment="1" applyProtection="1">
      <alignment horizontal="center" vertical="center"/>
      <protection hidden="1"/>
    </xf>
    <xf numFmtId="0" fontId="29" fillId="31" borderId="4" xfId="5" applyFont="1" applyFill="1" applyBorder="1" applyAlignment="1" applyProtection="1">
      <alignment horizontal="center" vertical="center"/>
      <protection hidden="1"/>
    </xf>
    <xf numFmtId="0" fontId="29" fillId="31" borderId="5" xfId="5" applyFont="1" applyFill="1" applyBorder="1" applyAlignment="1" applyProtection="1">
      <alignment horizontal="center" vertical="center"/>
      <protection hidden="1"/>
    </xf>
    <xf numFmtId="0" fontId="29" fillId="31" borderId="6" xfId="5" applyFont="1" applyFill="1" applyBorder="1" applyAlignment="1" applyProtection="1">
      <alignment horizontal="center" vertical="center"/>
      <protection hidden="1"/>
    </xf>
    <xf numFmtId="0" fontId="29" fillId="31" borderId="7" xfId="5" applyFont="1" applyFill="1" applyBorder="1" applyAlignment="1" applyProtection="1">
      <alignment horizontal="center" vertical="center"/>
      <protection hidden="1"/>
    </xf>
    <xf numFmtId="0" fontId="29" fillId="31" borderId="9" xfId="5" applyFont="1" applyFill="1" applyBorder="1" applyAlignment="1" applyProtection="1">
      <alignment horizontal="center" vertical="center"/>
      <protection hidden="1"/>
    </xf>
    <xf numFmtId="0" fontId="29" fillId="29" borderId="25" xfId="8" applyFont="1" applyFill="1" applyBorder="1" applyAlignment="1" applyProtection="1">
      <alignment horizontal="center" vertical="center"/>
      <protection hidden="1"/>
    </xf>
    <xf numFmtId="0" fontId="29" fillId="29" borderId="23" xfId="8" applyFont="1" applyFill="1" applyBorder="1" applyAlignment="1" applyProtection="1">
      <alignment horizontal="center" vertical="center"/>
      <protection hidden="1"/>
    </xf>
    <xf numFmtId="0" fontId="29" fillId="30" borderId="25" xfId="8" applyFont="1" applyFill="1" applyBorder="1" applyAlignment="1" applyProtection="1">
      <alignment horizontal="center" vertical="center"/>
      <protection hidden="1"/>
    </xf>
    <xf numFmtId="0" fontId="29" fillId="30" borderId="23" xfId="8" applyFont="1" applyFill="1" applyBorder="1" applyAlignment="1" applyProtection="1">
      <alignment horizontal="center" vertical="center"/>
      <protection hidden="1"/>
    </xf>
    <xf numFmtId="164" fontId="29" fillId="0" borderId="15" xfId="8" applyNumberFormat="1" applyFont="1" applyBorder="1" applyAlignment="1" applyProtection="1">
      <alignment horizontal="center" vertical="center"/>
      <protection hidden="1"/>
    </xf>
    <xf numFmtId="164" fontId="29" fillId="0" borderId="0" xfId="8" applyNumberFormat="1" applyFont="1" applyBorder="1" applyAlignment="1" applyProtection="1">
      <alignment horizontal="center" vertical="center"/>
      <protection hidden="1"/>
    </xf>
    <xf numFmtId="0" fontId="29" fillId="27" borderId="7" xfId="8" applyFont="1" applyFill="1" applyBorder="1" applyAlignment="1" applyProtection="1">
      <alignment horizontal="center" vertical="center"/>
      <protection hidden="1"/>
    </xf>
    <xf numFmtId="0" fontId="29" fillId="27" borderId="8" xfId="8" applyFont="1" applyFill="1" applyBorder="1" applyAlignment="1" applyProtection="1">
      <alignment horizontal="center" vertical="center"/>
      <protection hidden="1"/>
    </xf>
    <xf numFmtId="0" fontId="29" fillId="27" borderId="9" xfId="8" applyFont="1" applyFill="1" applyBorder="1" applyAlignment="1" applyProtection="1">
      <alignment horizontal="center" vertical="center"/>
      <protection hidden="1"/>
    </xf>
    <xf numFmtId="0" fontId="29" fillId="30" borderId="125" xfId="8" applyFont="1" applyFill="1" applyBorder="1" applyAlignment="1" applyProtection="1">
      <alignment horizontal="center" vertical="center" wrapText="1"/>
      <protection hidden="1"/>
    </xf>
    <xf numFmtId="0" fontId="29" fillId="30" borderId="96" xfId="8" applyFont="1" applyFill="1" applyBorder="1" applyAlignment="1" applyProtection="1">
      <alignment horizontal="center" vertical="center" wrapText="1"/>
      <protection hidden="1"/>
    </xf>
    <xf numFmtId="0" fontId="29" fillId="31" borderId="1" xfId="5" applyFont="1" applyFill="1" applyBorder="1" applyAlignment="1" applyProtection="1">
      <alignment horizontal="center" vertical="center"/>
      <protection hidden="1"/>
    </xf>
    <xf numFmtId="0" fontId="29" fillId="30" borderId="92" xfId="8" applyFont="1" applyFill="1" applyBorder="1" applyAlignment="1" applyProtection="1">
      <alignment horizontal="center" vertical="center" wrapText="1"/>
      <protection hidden="1"/>
    </xf>
    <xf numFmtId="0" fontId="29" fillId="30" borderId="25" xfId="8" applyFont="1" applyFill="1" applyBorder="1" applyAlignment="1" applyProtection="1">
      <alignment horizontal="center" vertical="center" wrapText="1"/>
      <protection hidden="1"/>
    </xf>
    <xf numFmtId="0" fontId="39" fillId="23" borderId="97" xfId="5" applyFont="1" applyFill="1" applyBorder="1" applyAlignment="1" applyProtection="1">
      <alignment horizontal="center" vertical="center"/>
      <protection locked="0"/>
    </xf>
    <xf numFmtId="0" fontId="39" fillId="23" borderId="126" xfId="5" applyFont="1" applyFill="1" applyBorder="1" applyAlignment="1" applyProtection="1">
      <alignment horizontal="center" vertical="center"/>
      <protection locked="0"/>
    </xf>
    <xf numFmtId="0" fontId="39" fillId="23" borderId="96" xfId="5" applyFont="1" applyFill="1" applyBorder="1" applyAlignment="1" applyProtection="1">
      <alignment horizontal="center" vertical="center"/>
      <protection locked="0"/>
    </xf>
    <xf numFmtId="0" fontId="39" fillId="23" borderId="99" xfId="5" applyFont="1" applyFill="1" applyBorder="1" applyAlignment="1" applyProtection="1">
      <alignment horizontal="center" vertical="center"/>
      <protection locked="0"/>
    </xf>
    <xf numFmtId="0" fontId="29" fillId="0" borderId="7" xfId="5" applyFont="1" applyBorder="1" applyAlignment="1" applyProtection="1">
      <alignment horizontal="center" vertical="center"/>
      <protection hidden="1"/>
    </xf>
    <xf numFmtId="0" fontId="29" fillId="0" borderId="9" xfId="5" applyFont="1" applyBorder="1" applyAlignment="1" applyProtection="1">
      <alignment horizontal="center" vertical="center"/>
      <protection hidden="1"/>
    </xf>
    <xf numFmtId="0" fontId="29" fillId="0" borderId="0" xfId="0" applyFont="1" applyAlignment="1">
      <alignment horizontal="center"/>
    </xf>
    <xf numFmtId="0" fontId="29" fillId="0" borderId="0" xfId="8" applyFont="1" applyBorder="1" applyAlignment="1" applyProtection="1">
      <alignment horizontal="center" vertical="center"/>
      <protection hidden="1"/>
    </xf>
    <xf numFmtId="164" fontId="29" fillId="0" borderId="0" xfId="8" applyNumberFormat="1" applyFont="1" applyAlignment="1" applyProtection="1">
      <alignment horizontal="center"/>
      <protection hidden="1"/>
    </xf>
    <xf numFmtId="0" fontId="29" fillId="0" borderId="7" xfId="8" applyFont="1" applyBorder="1" applyAlignment="1" applyProtection="1">
      <alignment horizontal="center" vertical="center"/>
      <protection hidden="1"/>
    </xf>
    <xf numFmtId="0" fontId="29" fillId="0" borderId="8" xfId="8" applyFont="1" applyBorder="1" applyAlignment="1" applyProtection="1">
      <alignment horizontal="center" vertical="center"/>
      <protection hidden="1"/>
    </xf>
    <xf numFmtId="0" fontId="29" fillId="29" borderId="31" xfId="8" applyFont="1" applyFill="1" applyBorder="1" applyAlignment="1" applyProtection="1">
      <alignment horizontal="center" vertical="center"/>
      <protection hidden="1"/>
    </xf>
    <xf numFmtId="0" fontId="29" fillId="29" borderId="32" xfId="8" applyFont="1" applyFill="1" applyBorder="1" applyAlignment="1" applyProtection="1">
      <alignment horizontal="center" vertical="center"/>
      <protection hidden="1"/>
    </xf>
    <xf numFmtId="0" fontId="29" fillId="30" borderId="95" xfId="8" applyFont="1" applyFill="1" applyBorder="1" applyAlignment="1" applyProtection="1">
      <alignment horizontal="center" vertical="center"/>
      <protection hidden="1"/>
    </xf>
    <xf numFmtId="0" fontId="29" fillId="30" borderId="91" xfId="8" applyFont="1" applyFill="1" applyBorder="1" applyAlignment="1" applyProtection="1">
      <alignment horizontal="center" vertical="center"/>
      <protection hidden="1"/>
    </xf>
    <xf numFmtId="0" fontId="29" fillId="9" borderId="131" xfId="5" applyFont="1" applyFill="1" applyBorder="1" applyAlignment="1" applyProtection="1">
      <alignment horizontal="center" vertical="center" wrapText="1"/>
      <protection locked="0"/>
    </xf>
    <xf numFmtId="0" fontId="29" fillId="9" borderId="25" xfId="5" applyFont="1" applyFill="1" applyBorder="1" applyAlignment="1" applyProtection="1">
      <alignment horizontal="center" vertical="center" wrapText="1"/>
      <protection locked="0"/>
    </xf>
    <xf numFmtId="0" fontId="29" fillId="0" borderId="9" xfId="8" applyFont="1" applyBorder="1" applyAlignment="1" applyProtection="1">
      <alignment horizontal="center" vertical="center"/>
      <protection hidden="1"/>
    </xf>
    <xf numFmtId="0" fontId="29" fillId="2" borderId="1" xfId="5" applyFont="1" applyFill="1" applyBorder="1" applyAlignment="1" applyProtection="1">
      <alignment horizontal="center" vertical="center" wrapText="1"/>
      <protection locked="0"/>
    </xf>
    <xf numFmtId="0" fontId="26" fillId="0" borderId="0" xfId="0" applyFont="1" applyFill="1" applyBorder="1" applyAlignment="1" applyProtection="1">
      <alignment horizontal="center"/>
      <protection locked="0"/>
    </xf>
    <xf numFmtId="0" fontId="26" fillId="0" borderId="89" xfId="0" applyFont="1" applyFill="1" applyBorder="1" applyAlignment="1" applyProtection="1">
      <alignment horizontal="center"/>
      <protection locked="0"/>
    </xf>
    <xf numFmtId="0" fontId="26" fillId="2" borderId="31" xfId="0" applyFont="1" applyFill="1" applyBorder="1" applyAlignment="1" applyProtection="1">
      <alignment horizontal="center"/>
      <protection locked="0"/>
    </xf>
    <xf numFmtId="0" fontId="26" fillId="2" borderId="32" xfId="0" applyFont="1" applyFill="1" applyBorder="1" applyAlignment="1" applyProtection="1">
      <alignment horizontal="center"/>
      <protection locked="0"/>
    </xf>
    <xf numFmtId="0" fontId="26" fillId="12" borderId="31" xfId="0" applyFont="1" applyFill="1" applyBorder="1" applyAlignment="1" applyProtection="1">
      <alignment horizontal="center"/>
      <protection locked="0"/>
    </xf>
    <xf numFmtId="0" fontId="26" fillId="12" borderId="32" xfId="0" applyFont="1" applyFill="1" applyBorder="1" applyAlignment="1" applyProtection="1">
      <alignment horizontal="center"/>
      <protection locked="0"/>
    </xf>
    <xf numFmtId="0" fontId="1" fillId="11" borderId="108" xfId="0" applyFont="1" applyFill="1" applyBorder="1" applyAlignment="1">
      <alignment horizontal="center" vertical="center"/>
    </xf>
    <xf numFmtId="0" fontId="1" fillId="11" borderId="93" xfId="0" applyFont="1" applyFill="1" applyBorder="1" applyAlignment="1">
      <alignment horizontal="center" vertical="center"/>
    </xf>
    <xf numFmtId="0" fontId="1" fillId="11" borderId="25" xfId="0" applyFont="1" applyFill="1" applyBorder="1" applyAlignment="1">
      <alignment horizontal="center" vertical="center"/>
    </xf>
    <xf numFmtId="0" fontId="1" fillId="11" borderId="23" xfId="0" applyFont="1" applyFill="1" applyBorder="1" applyAlignment="1">
      <alignment horizontal="center" vertical="center"/>
    </xf>
    <xf numFmtId="0" fontId="54" fillId="0" borderId="1" xfId="0" applyFont="1" applyFill="1" applyBorder="1" applyAlignment="1" applyProtection="1">
      <alignment horizontal="center" vertical="top"/>
      <protection locked="0"/>
    </xf>
    <xf numFmtId="0" fontId="1" fillId="0" borderId="30" xfId="0" applyFont="1" applyBorder="1" applyAlignment="1" applyProtection="1">
      <alignment horizontal="center" vertical="center"/>
      <protection locked="0"/>
    </xf>
    <xf numFmtId="164" fontId="1" fillId="0" borderId="30" xfId="0" applyNumberFormat="1" applyFont="1" applyBorder="1" applyAlignment="1" applyProtection="1">
      <alignment horizontal="center" vertical="center"/>
    </xf>
    <xf numFmtId="49" fontId="54" fillId="0" borderId="31" xfId="0" applyNumberFormat="1" applyFont="1" applyFill="1" applyBorder="1" applyAlignment="1" applyProtection="1">
      <alignment horizontal="right" vertical="center"/>
      <protection locked="0"/>
    </xf>
    <xf numFmtId="49" fontId="54" fillId="0" borderId="32" xfId="0" applyNumberFormat="1" applyFont="1" applyFill="1" applyBorder="1" applyAlignment="1" applyProtection="1">
      <alignment horizontal="right" vertical="center"/>
      <protection locked="0"/>
    </xf>
    <xf numFmtId="49" fontId="54" fillId="0" borderId="25" xfId="0" applyNumberFormat="1" applyFont="1" applyFill="1" applyBorder="1" applyAlignment="1" applyProtection="1">
      <alignment horizontal="right" vertical="center"/>
      <protection locked="0"/>
    </xf>
    <xf numFmtId="49" fontId="54" fillId="0" borderId="23" xfId="0" applyNumberFormat="1" applyFont="1" applyFill="1" applyBorder="1" applyAlignment="1" applyProtection="1">
      <alignment horizontal="right" vertical="center"/>
      <protection locked="0"/>
    </xf>
    <xf numFmtId="49" fontId="54" fillId="0" borderId="108" xfId="0" applyNumberFormat="1" applyFont="1" applyFill="1" applyBorder="1" applyAlignment="1" applyProtection="1">
      <alignment horizontal="right" vertical="center"/>
      <protection locked="0"/>
    </xf>
    <xf numFmtId="49" fontId="54" fillId="0" borderId="93" xfId="0" applyNumberFormat="1" applyFont="1" applyFill="1" applyBorder="1" applyAlignment="1" applyProtection="1">
      <alignment horizontal="right" vertical="center"/>
      <protection locked="0"/>
    </xf>
    <xf numFmtId="0" fontId="29" fillId="4" borderId="31" xfId="2" applyFont="1" applyFill="1" applyBorder="1" applyAlignment="1">
      <alignment horizontal="right" vertical="center"/>
    </xf>
    <xf numFmtId="0" fontId="29" fillId="4" borderId="32" xfId="2" applyFont="1" applyFill="1" applyBorder="1" applyAlignment="1">
      <alignment horizontal="right" vertical="center"/>
    </xf>
    <xf numFmtId="0" fontId="9" fillId="0" borderId="0" xfId="0" applyFont="1" applyAlignment="1">
      <alignment horizontal="right"/>
    </xf>
    <xf numFmtId="0" fontId="29" fillId="4" borderId="31" xfId="2" applyFont="1" applyFill="1" applyBorder="1" applyAlignment="1">
      <alignment horizontal="right"/>
    </xf>
    <xf numFmtId="0" fontId="29" fillId="4" borderId="32" xfId="2" applyFont="1" applyFill="1" applyBorder="1" applyAlignment="1">
      <alignment horizontal="right"/>
    </xf>
  </cellXfs>
  <cellStyles count="51">
    <cellStyle name="Lien hypertexte" xfId="7" builtinId="8"/>
    <cellStyle name="Milliers 2" xfId="11"/>
    <cellStyle name="Monétaire" xfId="9" builtinId="4"/>
    <cellStyle name="Normal" xfId="0" builtinId="0"/>
    <cellStyle name="Normal 2" xfId="12"/>
    <cellStyle name="Normal 2 16" xfId="1"/>
    <cellStyle name="Normal 2 2" xfId="13"/>
    <cellStyle name="Normal 2 2 10" xfId="2"/>
    <cellStyle name="Normal 2 2 2" xfId="14"/>
    <cellStyle name="Normal 2 2 3" xfId="15"/>
    <cellStyle name="Normal 2 2 4" xfId="16"/>
    <cellStyle name="Normal 2 2 5" xfId="17"/>
    <cellStyle name="Normal 2 2 6" xfId="18"/>
    <cellStyle name="Normal 2 2 7" xfId="19"/>
    <cellStyle name="Normal 2 2 8" xfId="20"/>
    <cellStyle name="Normal 2 2 9" xfId="21"/>
    <cellStyle name="Normal 2 3" xfId="3"/>
    <cellStyle name="Normal 2 4" xfId="22"/>
    <cellStyle name="Normal 2 4 10" xfId="23"/>
    <cellStyle name="Normal 2 4 2" xfId="24"/>
    <cellStyle name="Normal 2 4 3" xfId="25"/>
    <cellStyle name="Normal 2 4 4" xfId="26"/>
    <cellStyle name="Normal 2 4 5" xfId="27"/>
    <cellStyle name="Normal 2 4 6" xfId="28"/>
    <cellStyle name="Normal 2 4 7" xfId="29"/>
    <cellStyle name="Normal 2 4 8" xfId="30"/>
    <cellStyle name="Normal 2 4 9" xfId="31"/>
    <cellStyle name="Normal 2 5" xfId="6"/>
    <cellStyle name="Normal 3" xfId="32"/>
    <cellStyle name="Normal 3 10" xfId="8"/>
    <cellStyle name="Normal 3 2" xfId="33"/>
    <cellStyle name="Normal 3 3" xfId="34"/>
    <cellStyle name="Normal 3 4" xfId="35"/>
    <cellStyle name="Normal 3 5" xfId="36"/>
    <cellStyle name="Normal 3 6" xfId="37"/>
    <cellStyle name="Normal 3 7" xfId="38"/>
    <cellStyle name="Normal 3 8" xfId="39"/>
    <cellStyle name="Normal 3 9" xfId="40"/>
    <cellStyle name="Normal 4" xfId="5"/>
    <cellStyle name="Normal 5" xfId="41"/>
    <cellStyle name="Normal 5 10" xfId="42"/>
    <cellStyle name="Normal 5 2" xfId="43"/>
    <cellStyle name="Normal 5 3" xfId="44"/>
    <cellStyle name="Normal 5 4" xfId="45"/>
    <cellStyle name="Normal 5 5" xfId="46"/>
    <cellStyle name="Normal 5 6" xfId="47"/>
    <cellStyle name="Normal 5 7" xfId="48"/>
    <cellStyle name="Normal 5 8" xfId="49"/>
    <cellStyle name="Normal 5 9" xfId="50"/>
    <cellStyle name="Normal 6" xfId="10"/>
    <cellStyle name="Normal_شباني" xfId="4"/>
  </cellStyles>
  <dxfs count="5191"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00B050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00B050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ill>
        <patternFill patternType="none">
          <bgColor indexed="65"/>
        </patternFill>
      </fill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ill>
        <patternFill patternType="none">
          <bgColor indexed="65"/>
        </patternFill>
      </fill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00B050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00B050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00B050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00B050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00B050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00B050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00B050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00B050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ont>
        <color rgb="FF00B050"/>
      </font>
    </dxf>
    <dxf>
      <font>
        <color rgb="FFFF66FF"/>
      </font>
    </dxf>
    <dxf>
      <font>
        <color rgb="FF3333FF"/>
      </font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  <border>
        <left/>
        <right/>
        <top/>
        <bottom/>
      </border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  <border>
        <left/>
        <right/>
        <top/>
        <bottom/>
      </border>
    </dxf>
    <dxf>
      <font>
        <color rgb="FF00B050"/>
      </font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ont>
        <color rgb="FFFF66FF"/>
      </font>
    </dxf>
    <dxf>
      <font>
        <color rgb="FF3333FF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0066FF"/>
      </font>
    </dxf>
    <dxf>
      <font>
        <color rgb="FFFF66FF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00FF"/>
      </font>
    </dxf>
    <dxf>
      <fill>
        <patternFill patternType="none">
          <bgColor indexed="65"/>
        </patternFill>
      </fill>
      <border>
        <left/>
        <right/>
        <top/>
        <bottom/>
      </border>
    </dxf>
  </dxfs>
  <tableStyles count="0" defaultTableStyle="TableStyleMedium9" defaultPivotStyle="PivotStyleLight16"/>
  <colors>
    <mruColors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Spin" dx="16" fmlaLink="$O$118" max="30000" page="10" val="2"/>
</file>

<file path=xl/ctrlProps/ctrlProp2.xml><?xml version="1.0" encoding="utf-8"?>
<formControlPr xmlns="http://schemas.microsoft.com/office/spreadsheetml/2009/9/main" objectType="Spin" dx="16" fmlaLink="$P$118" max="30000" page="10" val="2"/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&#1575;&#1604;&#1575;&#1585;&#1576;&#1593;&#1575;&#1569;!A1"/><Relationship Id="rId13" Type="http://schemas.openxmlformats.org/officeDocument/2006/relationships/hyperlink" Target="#&#1575;&#1604;&#1605;&#1608;&#1575;&#1591;&#1576;&#1577;!A1"/><Relationship Id="rId3" Type="http://schemas.openxmlformats.org/officeDocument/2006/relationships/hyperlink" Target="#'&#1594; &#1583;&#1575;&#1582;&#1604;&#1610;&#1577;'!A1"/><Relationship Id="rId7" Type="http://schemas.openxmlformats.org/officeDocument/2006/relationships/hyperlink" Target="#&#1575;&#1604;&#1579;&#1604;&#1575;&#1579;&#1575;&#1569;!A1"/><Relationship Id="rId12" Type="http://schemas.openxmlformats.org/officeDocument/2006/relationships/hyperlink" Target="#&#1606;&#1593;&#1583;&#1575;&#1583;!A1"/><Relationship Id="rId2" Type="http://schemas.openxmlformats.org/officeDocument/2006/relationships/hyperlink" Target="#&#1575;&#1604;&#1575;&#1579;&#1606;&#1610;&#1606;!A1"/><Relationship Id="rId1" Type="http://schemas.openxmlformats.org/officeDocument/2006/relationships/hyperlink" Target="#&#1575;&#1604;&#1575;&#1581;&#1600;&#1600;&#1600;&#1583;!A1"/><Relationship Id="rId6" Type="http://schemas.openxmlformats.org/officeDocument/2006/relationships/hyperlink" Target="#&#1583;&#1575;&#1582;&#1604;&#1610;&#1577;!A1"/><Relationship Id="rId11" Type="http://schemas.openxmlformats.org/officeDocument/2006/relationships/hyperlink" Target="#etat!A1"/><Relationship Id="rId5" Type="http://schemas.openxmlformats.org/officeDocument/2006/relationships/hyperlink" Target="#&#1575;&#1587;!A1"/><Relationship Id="rId15" Type="http://schemas.openxmlformats.org/officeDocument/2006/relationships/hyperlink" Target="#&#1575;&#1604;&#1606;&#1602;&#1585;&#1610;&#1585;!A1"/><Relationship Id="rId10" Type="http://schemas.openxmlformats.org/officeDocument/2006/relationships/hyperlink" Target="#Feuil3!A1"/><Relationship Id="rId4" Type="http://schemas.openxmlformats.org/officeDocument/2006/relationships/hyperlink" Target="#'&#1594; &#1582;&#1575;&#1585;&#1580;&#1610;&#1577;'!A1"/><Relationship Id="rId9" Type="http://schemas.openxmlformats.org/officeDocument/2006/relationships/hyperlink" Target="#&#1575;&#1604;&#1582;&#1605;&#1610;&#1587;!A1"/><Relationship Id="rId14" Type="http://schemas.openxmlformats.org/officeDocument/2006/relationships/hyperlink" Target="#&#1575;&#1604;&#1588;&#1591;&#1576;!A1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19050</xdr:colOff>
          <xdr:row>118</xdr:row>
          <xdr:rowOff>95250</xdr:rowOff>
        </xdr:from>
        <xdr:to>
          <xdr:col>14</xdr:col>
          <xdr:colOff>561975</xdr:colOff>
          <xdr:row>121</xdr:row>
          <xdr:rowOff>123825</xdr:rowOff>
        </xdr:to>
        <xdr:sp macro="" textlink="">
          <xdr:nvSpPr>
            <xdr:cNvPr id="7169" name="Spinner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38100</xdr:colOff>
          <xdr:row>118</xdr:row>
          <xdr:rowOff>95250</xdr:rowOff>
        </xdr:from>
        <xdr:to>
          <xdr:col>16</xdr:col>
          <xdr:colOff>28575</xdr:colOff>
          <xdr:row>121</xdr:row>
          <xdr:rowOff>123825</xdr:rowOff>
        </xdr:to>
        <xdr:sp macro="" textlink="">
          <xdr:nvSpPr>
            <xdr:cNvPr id="7170" name="Spinner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2</xdr:row>
      <xdr:rowOff>123826</xdr:rowOff>
    </xdr:from>
    <xdr:to>
      <xdr:col>3</xdr:col>
      <xdr:colOff>752475</xdr:colOff>
      <xdr:row>4</xdr:row>
      <xdr:rowOff>57151</xdr:rowOff>
    </xdr:to>
    <xdr:sp macro="" textlink="">
      <xdr:nvSpPr>
        <xdr:cNvPr id="6" name="Ellipse 5">
          <a:hlinkClick xmlns:r="http://schemas.openxmlformats.org/officeDocument/2006/relationships" r:id="rId1"/>
        </xdr:cNvPr>
        <xdr:cNvSpPr/>
      </xdr:nvSpPr>
      <xdr:spPr>
        <a:xfrm>
          <a:off x="12481569525" y="504826"/>
          <a:ext cx="1476375" cy="361950"/>
        </a:xfrm>
        <a:prstGeom prst="ellipse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 rtl="1"/>
          <a:r>
            <a:rPr lang="ar-DZ" sz="1100"/>
            <a:t>ا</a:t>
          </a:r>
          <a:r>
            <a:rPr lang="ar-DZ" sz="1600" b="1"/>
            <a:t>لاحـــد</a:t>
          </a:r>
          <a:endParaRPr lang="fr-FR" sz="1100" b="1"/>
        </a:p>
      </xdr:txBody>
    </xdr:sp>
    <xdr:clientData/>
  </xdr:twoCellAnchor>
  <xdr:twoCellAnchor>
    <xdr:from>
      <xdr:col>2</xdr:col>
      <xdr:colOff>9524</xdr:colOff>
      <xdr:row>4</xdr:row>
      <xdr:rowOff>104776</xdr:rowOff>
    </xdr:from>
    <xdr:to>
      <xdr:col>3</xdr:col>
      <xdr:colOff>733425</xdr:colOff>
      <xdr:row>6</xdr:row>
      <xdr:rowOff>123825</xdr:rowOff>
    </xdr:to>
    <xdr:sp macro="" textlink="">
      <xdr:nvSpPr>
        <xdr:cNvPr id="9" name="Ellipse 8">
          <a:hlinkClick xmlns:r="http://schemas.openxmlformats.org/officeDocument/2006/relationships" r:id="rId2"/>
        </xdr:cNvPr>
        <xdr:cNvSpPr/>
      </xdr:nvSpPr>
      <xdr:spPr>
        <a:xfrm>
          <a:off x="12481588575" y="914401"/>
          <a:ext cx="1485901" cy="400049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 rtl="1"/>
          <a:r>
            <a:rPr lang="ar-DZ" sz="1400" b="1" i="0" u="sng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الاثنــين</a:t>
          </a:r>
          <a:endParaRPr lang="fr-FR" sz="1400" b="1"/>
        </a:p>
      </xdr:txBody>
    </xdr:sp>
    <xdr:clientData/>
  </xdr:twoCellAnchor>
  <xdr:twoCellAnchor>
    <xdr:from>
      <xdr:col>4</xdr:col>
      <xdr:colOff>438150</xdr:colOff>
      <xdr:row>7</xdr:row>
      <xdr:rowOff>47625</xdr:rowOff>
    </xdr:from>
    <xdr:to>
      <xdr:col>6</xdr:col>
      <xdr:colOff>295275</xdr:colOff>
      <xdr:row>9</xdr:row>
      <xdr:rowOff>19050</xdr:rowOff>
    </xdr:to>
    <xdr:sp macro="" textlink="">
      <xdr:nvSpPr>
        <xdr:cNvPr id="10" name="Ellipse 9">
          <a:hlinkClick xmlns:r="http://schemas.openxmlformats.org/officeDocument/2006/relationships" r:id="rId3"/>
        </xdr:cNvPr>
        <xdr:cNvSpPr/>
      </xdr:nvSpPr>
      <xdr:spPr>
        <a:xfrm>
          <a:off x="12479740725" y="1428750"/>
          <a:ext cx="1381125" cy="400050"/>
        </a:xfrm>
        <a:prstGeom prst="ellipse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r>
            <a:rPr lang="ar-DZ" sz="1400" b="0" i="0" u="sng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غ داخلية</a:t>
          </a:r>
          <a:endParaRPr lang="fr-FR" sz="1400"/>
        </a:p>
      </xdr:txBody>
    </xdr:sp>
    <xdr:clientData/>
  </xdr:twoCellAnchor>
  <xdr:twoCellAnchor>
    <xdr:from>
      <xdr:col>4</xdr:col>
      <xdr:colOff>514350</xdr:colOff>
      <xdr:row>2</xdr:row>
      <xdr:rowOff>123826</xdr:rowOff>
    </xdr:from>
    <xdr:to>
      <xdr:col>6</xdr:col>
      <xdr:colOff>371475</xdr:colOff>
      <xdr:row>4</xdr:row>
      <xdr:rowOff>114300</xdr:rowOff>
    </xdr:to>
    <xdr:sp macro="" textlink="">
      <xdr:nvSpPr>
        <xdr:cNvPr id="13" name="Ellipse 12">
          <a:hlinkClick xmlns:r="http://schemas.openxmlformats.org/officeDocument/2006/relationships" r:id="rId4"/>
        </xdr:cNvPr>
        <xdr:cNvSpPr/>
      </xdr:nvSpPr>
      <xdr:spPr>
        <a:xfrm>
          <a:off x="12479664525" y="504826"/>
          <a:ext cx="1381125" cy="419099"/>
        </a:xfrm>
        <a:prstGeom prst="ellipse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 rtl="1"/>
          <a:r>
            <a:rPr lang="ar-DZ" sz="1400" b="0" i="0" u="sng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غ خارجية</a:t>
          </a:r>
          <a:r>
            <a:rPr lang="fr-FR"/>
            <a:t> </a:t>
          </a:r>
          <a:endParaRPr lang="fr-FR" sz="1100"/>
        </a:p>
      </xdr:txBody>
    </xdr:sp>
    <xdr:clientData/>
  </xdr:twoCellAnchor>
  <xdr:twoCellAnchor>
    <xdr:from>
      <xdr:col>7</xdr:col>
      <xdr:colOff>76200</xdr:colOff>
      <xdr:row>2</xdr:row>
      <xdr:rowOff>95251</xdr:rowOff>
    </xdr:from>
    <xdr:to>
      <xdr:col>8</xdr:col>
      <xdr:colOff>695325</xdr:colOff>
      <xdr:row>4</xdr:row>
      <xdr:rowOff>85726</xdr:rowOff>
    </xdr:to>
    <xdr:sp macro="" textlink="">
      <xdr:nvSpPr>
        <xdr:cNvPr id="14" name="Ellipse 13">
          <a:hlinkClick xmlns:r="http://schemas.openxmlformats.org/officeDocument/2006/relationships" r:id="rId5"/>
        </xdr:cNvPr>
        <xdr:cNvSpPr/>
      </xdr:nvSpPr>
      <xdr:spPr>
        <a:xfrm>
          <a:off x="12477816675" y="476251"/>
          <a:ext cx="1381125" cy="419100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 rtl="1"/>
          <a:r>
            <a:rPr lang="ar-DZ" sz="1800" b="0" i="0" u="sng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اس</a:t>
          </a:r>
          <a:endParaRPr lang="fr-FR" sz="1800"/>
        </a:p>
      </xdr:txBody>
    </xdr:sp>
    <xdr:clientData/>
  </xdr:twoCellAnchor>
  <xdr:twoCellAnchor>
    <xdr:from>
      <xdr:col>4</xdr:col>
      <xdr:colOff>409575</xdr:colOff>
      <xdr:row>4</xdr:row>
      <xdr:rowOff>161925</xdr:rowOff>
    </xdr:from>
    <xdr:to>
      <xdr:col>6</xdr:col>
      <xdr:colOff>276225</xdr:colOff>
      <xdr:row>7</xdr:row>
      <xdr:rowOff>9525</xdr:rowOff>
    </xdr:to>
    <xdr:sp macro="" textlink="">
      <xdr:nvSpPr>
        <xdr:cNvPr id="16" name="Ellipse 15">
          <a:hlinkClick xmlns:r="http://schemas.openxmlformats.org/officeDocument/2006/relationships" r:id="rId6"/>
        </xdr:cNvPr>
        <xdr:cNvSpPr/>
      </xdr:nvSpPr>
      <xdr:spPr>
        <a:xfrm>
          <a:off x="12479759775" y="971550"/>
          <a:ext cx="1390650" cy="419100"/>
        </a:xfrm>
        <a:prstGeom prst="ellipse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r>
            <a:rPr lang="ar-DZ" sz="1400" b="0" i="0" u="sng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داخلية</a:t>
          </a:r>
          <a:endParaRPr lang="fr-FR" sz="1400"/>
        </a:p>
      </xdr:txBody>
    </xdr:sp>
    <xdr:clientData/>
  </xdr:twoCellAnchor>
  <xdr:twoCellAnchor>
    <xdr:from>
      <xdr:col>2</xdr:col>
      <xdr:colOff>95250</xdr:colOff>
      <xdr:row>7</xdr:row>
      <xdr:rowOff>28576</xdr:rowOff>
    </xdr:from>
    <xdr:to>
      <xdr:col>3</xdr:col>
      <xdr:colOff>714375</xdr:colOff>
      <xdr:row>9</xdr:row>
      <xdr:rowOff>9525</xdr:rowOff>
    </xdr:to>
    <xdr:sp macro="" textlink="">
      <xdr:nvSpPr>
        <xdr:cNvPr id="17" name="Ellipse 16">
          <a:hlinkClick xmlns:r="http://schemas.openxmlformats.org/officeDocument/2006/relationships" r:id="rId7"/>
        </xdr:cNvPr>
        <xdr:cNvSpPr/>
      </xdr:nvSpPr>
      <xdr:spPr>
        <a:xfrm>
          <a:off x="12481731450" y="1428751"/>
          <a:ext cx="1381125" cy="457199"/>
        </a:xfrm>
        <a:prstGeom prst="ellipse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 rtl="1"/>
          <a:r>
            <a:rPr lang="ar-DZ" sz="1400" b="1" i="0" u="sng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الثلاثاء</a:t>
          </a:r>
          <a:r>
            <a:rPr lang="fr-FR" sz="1400" b="1"/>
            <a:t> </a:t>
          </a:r>
        </a:p>
      </xdr:txBody>
    </xdr:sp>
    <xdr:clientData/>
  </xdr:twoCellAnchor>
  <xdr:twoCellAnchor>
    <xdr:from>
      <xdr:col>1</xdr:col>
      <xdr:colOff>723900</xdr:colOff>
      <xdr:row>9</xdr:row>
      <xdr:rowOff>66676</xdr:rowOff>
    </xdr:from>
    <xdr:to>
      <xdr:col>3</xdr:col>
      <xdr:colOff>581025</xdr:colOff>
      <xdr:row>11</xdr:row>
      <xdr:rowOff>104775</xdr:rowOff>
    </xdr:to>
    <xdr:sp macro="" textlink="">
      <xdr:nvSpPr>
        <xdr:cNvPr id="18" name="Ellipse 17">
          <a:hlinkClick xmlns:r="http://schemas.openxmlformats.org/officeDocument/2006/relationships" r:id="rId8"/>
        </xdr:cNvPr>
        <xdr:cNvSpPr/>
      </xdr:nvSpPr>
      <xdr:spPr>
        <a:xfrm>
          <a:off x="12481740975" y="1876426"/>
          <a:ext cx="1381125" cy="419099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 rtl="1"/>
          <a:r>
            <a:rPr lang="ar-DZ" sz="1400" b="1" i="0" u="sng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الاربعاء</a:t>
          </a:r>
          <a:endParaRPr lang="fr-FR" sz="1400" b="1"/>
        </a:p>
      </xdr:txBody>
    </xdr:sp>
    <xdr:clientData/>
  </xdr:twoCellAnchor>
  <xdr:twoCellAnchor>
    <xdr:from>
      <xdr:col>1</xdr:col>
      <xdr:colOff>714375</xdr:colOff>
      <xdr:row>12</xdr:row>
      <xdr:rowOff>19050</xdr:rowOff>
    </xdr:from>
    <xdr:to>
      <xdr:col>3</xdr:col>
      <xdr:colOff>571500</xdr:colOff>
      <xdr:row>14</xdr:row>
      <xdr:rowOff>123825</xdr:rowOff>
    </xdr:to>
    <xdr:sp macro="" textlink="">
      <xdr:nvSpPr>
        <xdr:cNvPr id="19" name="Ellipse 18">
          <a:hlinkClick xmlns:r="http://schemas.openxmlformats.org/officeDocument/2006/relationships" r:id="rId9"/>
        </xdr:cNvPr>
        <xdr:cNvSpPr/>
      </xdr:nvSpPr>
      <xdr:spPr>
        <a:xfrm>
          <a:off x="12481750500" y="2400300"/>
          <a:ext cx="1381125" cy="485775"/>
        </a:xfrm>
        <a:prstGeom prst="ellipse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 rtl="1"/>
          <a:r>
            <a:rPr lang="ar-DZ" sz="1100" b="0" i="0" u="sng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ا</a:t>
          </a:r>
          <a:r>
            <a:rPr lang="ar-DZ" sz="1600" b="1" i="0" u="sng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لخميس</a:t>
          </a:r>
          <a:endParaRPr lang="fr-FR" sz="1100" b="1"/>
        </a:p>
      </xdr:txBody>
    </xdr:sp>
    <xdr:clientData/>
  </xdr:twoCellAnchor>
  <xdr:twoCellAnchor>
    <xdr:from>
      <xdr:col>6</xdr:col>
      <xdr:colOff>714375</xdr:colOff>
      <xdr:row>12</xdr:row>
      <xdr:rowOff>95251</xdr:rowOff>
    </xdr:from>
    <xdr:to>
      <xdr:col>8</xdr:col>
      <xdr:colOff>571500</xdr:colOff>
      <xdr:row>14</xdr:row>
      <xdr:rowOff>114300</xdr:rowOff>
    </xdr:to>
    <xdr:sp macro="" textlink="">
      <xdr:nvSpPr>
        <xdr:cNvPr id="22" name="Ellipse 21">
          <a:hlinkClick xmlns:r="http://schemas.openxmlformats.org/officeDocument/2006/relationships" r:id="rId10"/>
        </xdr:cNvPr>
        <xdr:cNvSpPr/>
      </xdr:nvSpPr>
      <xdr:spPr>
        <a:xfrm>
          <a:off x="12477940500" y="2476501"/>
          <a:ext cx="1381125" cy="400049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 rtl="1"/>
          <a:r>
            <a:rPr lang="fr-FR" sz="1400" b="0" i="0" u="sng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Feuil3</a:t>
          </a:r>
          <a:r>
            <a:rPr lang="fr-FR"/>
            <a:t> </a:t>
          </a:r>
          <a:endParaRPr lang="fr-FR" sz="1100"/>
        </a:p>
      </xdr:txBody>
    </xdr:sp>
    <xdr:clientData/>
  </xdr:twoCellAnchor>
  <xdr:twoCellAnchor>
    <xdr:from>
      <xdr:col>7</xdr:col>
      <xdr:colOff>28576</xdr:colOff>
      <xdr:row>5</xdr:row>
      <xdr:rowOff>38101</xdr:rowOff>
    </xdr:from>
    <xdr:to>
      <xdr:col>8</xdr:col>
      <xdr:colOff>704851</xdr:colOff>
      <xdr:row>7</xdr:row>
      <xdr:rowOff>114301</xdr:rowOff>
    </xdr:to>
    <xdr:sp macro="" textlink="">
      <xdr:nvSpPr>
        <xdr:cNvPr id="26" name="Ellipse 25">
          <a:hlinkClick xmlns:r="http://schemas.openxmlformats.org/officeDocument/2006/relationships" r:id="rId11"/>
        </xdr:cNvPr>
        <xdr:cNvSpPr/>
      </xdr:nvSpPr>
      <xdr:spPr>
        <a:xfrm>
          <a:off x="12477807149" y="1038226"/>
          <a:ext cx="1438275" cy="45720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 rtl="1"/>
          <a:r>
            <a:rPr lang="fr-FR" sz="1800" b="1"/>
            <a:t>etat</a:t>
          </a:r>
        </a:p>
      </xdr:txBody>
    </xdr:sp>
    <xdr:clientData/>
  </xdr:twoCellAnchor>
  <xdr:twoCellAnchor>
    <xdr:from>
      <xdr:col>4</xdr:col>
      <xdr:colOff>466725</xdr:colOff>
      <xdr:row>9</xdr:row>
      <xdr:rowOff>114301</xdr:rowOff>
    </xdr:from>
    <xdr:to>
      <xdr:col>6</xdr:col>
      <xdr:colOff>285750</xdr:colOff>
      <xdr:row>11</xdr:row>
      <xdr:rowOff>161925</xdr:rowOff>
    </xdr:to>
    <xdr:sp macro="" textlink="">
      <xdr:nvSpPr>
        <xdr:cNvPr id="15" name="Ellipse 14">
          <a:hlinkClick xmlns:r="http://schemas.openxmlformats.org/officeDocument/2006/relationships" r:id="rId12"/>
        </xdr:cNvPr>
        <xdr:cNvSpPr/>
      </xdr:nvSpPr>
      <xdr:spPr>
        <a:xfrm>
          <a:off x="12479750250" y="1924051"/>
          <a:ext cx="1343025" cy="428624"/>
        </a:xfrm>
        <a:prstGeom prst="ellipse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 rtl="1"/>
          <a:r>
            <a:rPr lang="ar-DZ" sz="1400" b="1"/>
            <a:t>تعداد</a:t>
          </a:r>
          <a:endParaRPr lang="fr-FR" sz="1400" b="1"/>
        </a:p>
      </xdr:txBody>
    </xdr:sp>
    <xdr:clientData/>
  </xdr:twoCellAnchor>
  <xdr:twoCellAnchor>
    <xdr:from>
      <xdr:col>4</xdr:col>
      <xdr:colOff>409575</xdr:colOff>
      <xdr:row>12</xdr:row>
      <xdr:rowOff>0</xdr:rowOff>
    </xdr:from>
    <xdr:to>
      <xdr:col>6</xdr:col>
      <xdr:colOff>400050</xdr:colOff>
      <xdr:row>14</xdr:row>
      <xdr:rowOff>152400</xdr:rowOff>
    </xdr:to>
    <xdr:sp macro="" textlink="">
      <xdr:nvSpPr>
        <xdr:cNvPr id="23" name="Ellipse 22">
          <a:hlinkClick xmlns:r="http://schemas.openxmlformats.org/officeDocument/2006/relationships" r:id="rId13"/>
        </xdr:cNvPr>
        <xdr:cNvSpPr/>
      </xdr:nvSpPr>
      <xdr:spPr>
        <a:xfrm>
          <a:off x="12479635950" y="2381250"/>
          <a:ext cx="1514475" cy="533400"/>
        </a:xfrm>
        <a:prstGeom prst="ellipse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r" rtl="1"/>
          <a:r>
            <a:rPr lang="ar-DZ" sz="1400" b="1">
              <a:solidFill>
                <a:sysClr val="windowText" lastClr="000000"/>
              </a:solidFill>
            </a:rPr>
            <a:t>المواظبة</a:t>
          </a:r>
          <a:endParaRPr lang="fr-FR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8</xdr:row>
      <xdr:rowOff>142875</xdr:rowOff>
    </xdr:from>
    <xdr:to>
      <xdr:col>8</xdr:col>
      <xdr:colOff>361950</xdr:colOff>
      <xdr:row>9</xdr:row>
      <xdr:rowOff>219076</xdr:rowOff>
    </xdr:to>
    <xdr:sp macro="" textlink="">
      <xdr:nvSpPr>
        <xdr:cNvPr id="21" name="Rectangle 20">
          <a:hlinkClick xmlns:r="http://schemas.openxmlformats.org/officeDocument/2006/relationships" r:id="rId14"/>
        </xdr:cNvPr>
        <xdr:cNvSpPr/>
      </xdr:nvSpPr>
      <xdr:spPr>
        <a:xfrm>
          <a:off x="12478273875" y="1781175"/>
          <a:ext cx="1085850" cy="314326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 rtl="1"/>
          <a:r>
            <a:rPr lang="ar-DZ" sz="1800" b="1">
              <a:solidFill>
                <a:sysClr val="windowText" lastClr="000000"/>
              </a:solidFill>
            </a:rPr>
            <a:t>الشطب</a:t>
          </a:r>
          <a:endParaRPr lang="fr-FR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704850</xdr:colOff>
      <xdr:row>10</xdr:row>
      <xdr:rowOff>76200</xdr:rowOff>
    </xdr:from>
    <xdr:to>
      <xdr:col>8</xdr:col>
      <xdr:colOff>657225</xdr:colOff>
      <xdr:row>12</xdr:row>
      <xdr:rowOff>9525</xdr:rowOff>
    </xdr:to>
    <xdr:sp macro="" textlink="">
      <xdr:nvSpPr>
        <xdr:cNvPr id="20" name="Ellipse 19">
          <a:hlinkClick xmlns:r="http://schemas.openxmlformats.org/officeDocument/2006/relationships" r:id="rId15"/>
        </xdr:cNvPr>
        <xdr:cNvSpPr/>
      </xdr:nvSpPr>
      <xdr:spPr>
        <a:xfrm>
          <a:off x="12477978600" y="2190750"/>
          <a:ext cx="1476375" cy="361950"/>
        </a:xfrm>
        <a:prstGeom prst="ellipse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 rtl="1"/>
          <a:r>
            <a:rPr lang="ar-DZ" sz="1100"/>
            <a:t>التقرير</a:t>
          </a:r>
          <a:endParaRPr lang="fr-FR" sz="1100" b="1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SFISEF\Mes%20documents\&#1575;&#1604;&#1578;&#1602;&#1585;&#1610;&#1585;2223%20(R&#233;par&#233;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&#1605;&#1604;&#1601;2425\&#1575;&#1604;&#1578;&#1602;&#1585;&#1610;&#1585;23-2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605;&#1589;&#1591;&#1601;&#1609;%20&#1576;&#1606;%20&#1576;&#1585;&#1575;&#1607;&#1610;&#1605;2025-2026\Documents%20and%20Settings\Administrateur\Bureau\RGF20141&#1589;&#1581;&#1610;&#1581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605;&#1589;&#1591;&#1601;&#1609;%20&#1576;&#1606;%20&#1576;&#1585;&#1575;&#1607;&#1610;&#1605;2025-2026\&#1571;&#1593;&#1605;&#1575;&#1604;%20&#1575;&#1604;&#1575;&#1587;&#1578;&#1588;&#1575;&#1585;&#1577;%2020172018\&#1571;&#1575;&#1604;&#1575;&#1587;&#1578;&#1588;&#1575;&#1585;&#1577;%2020172018\raprapor2017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SFISEF\Mes%20documents\23-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المواطبة"/>
      <sheetName val="etat"/>
      <sheetName val="اس"/>
      <sheetName val="الاحـــد"/>
      <sheetName val="الاثنين"/>
      <sheetName val="الثلاثاء"/>
      <sheetName val="الاربعاء"/>
      <sheetName val="الخميس"/>
      <sheetName val="Feuil1"/>
      <sheetName val="Feuil3"/>
      <sheetName val="الرجوع"/>
      <sheetName val="الشطب"/>
      <sheetName val="نعداد"/>
      <sheetName val="النقرير"/>
    </sheetNames>
    <sheetDataSet>
      <sheetData sheetId="0" refreshError="1"/>
      <sheetData sheetId="1" refreshError="1">
        <row r="9">
          <cell r="A9">
            <v>1</v>
          </cell>
          <cell r="B9" t="str">
            <v>حساين  عبدالصمد</v>
          </cell>
          <cell r="C9" t="str">
            <v>حساين</v>
          </cell>
          <cell r="D9" t="str">
            <v>عبدالصمد</v>
          </cell>
          <cell r="E9">
            <v>38888</v>
          </cell>
          <cell r="F9" t="str">
            <v>معسكر</v>
          </cell>
          <cell r="G9" t="str">
            <v>3ت ر</v>
          </cell>
          <cell r="H9" t="str">
            <v>ن/داخلي</v>
          </cell>
          <cell r="I9" t="str">
            <v>ن/د</v>
          </cell>
          <cell r="J9" t="str">
            <v>محمد</v>
          </cell>
          <cell r="K9" t="str">
            <v>دركي</v>
          </cell>
          <cell r="L9" t="str">
            <v>بوجبهة -البرج -</v>
          </cell>
          <cell r="M9">
            <v>0</v>
          </cell>
          <cell r="N9">
            <v>0</v>
          </cell>
          <cell r="O9" t="str">
            <v>حساين  محمد</v>
          </cell>
        </row>
        <row r="10">
          <cell r="A10">
            <v>2</v>
          </cell>
          <cell r="B10" t="str">
            <v>بركاني    سليمة</v>
          </cell>
          <cell r="C10" t="str">
            <v xml:space="preserve">بركاني </v>
          </cell>
          <cell r="D10" t="str">
            <v xml:space="preserve"> سليمة</v>
          </cell>
          <cell r="E10">
            <v>39028</v>
          </cell>
          <cell r="F10" t="str">
            <v>سفيزف</v>
          </cell>
          <cell r="G10" t="str">
            <v>3ت ر</v>
          </cell>
          <cell r="H10" t="str">
            <v>خارجية</v>
          </cell>
          <cell r="I10" t="str">
            <v>خ</v>
          </cell>
          <cell r="J10" t="str">
            <v>حبيب</v>
          </cell>
          <cell r="K10" t="str">
            <v>موظف</v>
          </cell>
          <cell r="L10" t="str">
            <v>حي نواري بن عبدالله سفيزف</v>
          </cell>
          <cell r="M10">
            <v>0</v>
          </cell>
          <cell r="N10">
            <v>0</v>
          </cell>
          <cell r="O10" t="str">
            <v>بركاني   حبيب</v>
          </cell>
        </row>
        <row r="11">
          <cell r="A11">
            <v>3</v>
          </cell>
          <cell r="B11" t="str">
            <v>بلعالم    خديجة</v>
          </cell>
          <cell r="C11" t="str">
            <v xml:space="preserve">بلعالم </v>
          </cell>
          <cell r="D11" t="str">
            <v xml:space="preserve"> خديجة</v>
          </cell>
          <cell r="E11">
            <v>39026</v>
          </cell>
          <cell r="F11" t="str">
            <v>سفيزف</v>
          </cell>
          <cell r="G11" t="str">
            <v>3ت ر</v>
          </cell>
          <cell r="H11" t="str">
            <v>خارجية</v>
          </cell>
          <cell r="I11" t="str">
            <v>خ</v>
          </cell>
          <cell r="J11" t="str">
            <v>قادة</v>
          </cell>
          <cell r="K11" t="str">
            <v>متوفى</v>
          </cell>
          <cell r="L11" t="str">
            <v>شارع هتراف أحمد سفيزف</v>
          </cell>
          <cell r="M11">
            <v>0</v>
          </cell>
          <cell r="N11">
            <v>0</v>
          </cell>
          <cell r="O11" t="str">
            <v>بلعالم   قادة</v>
          </cell>
        </row>
        <row r="12">
          <cell r="A12">
            <v>4</v>
          </cell>
          <cell r="B12" t="str">
            <v>بن كلخة    هناء هدايات</v>
          </cell>
          <cell r="C12" t="str">
            <v xml:space="preserve">بن كلخة </v>
          </cell>
          <cell r="D12" t="str">
            <v xml:space="preserve"> هناء هدايات</v>
          </cell>
          <cell r="E12">
            <v>39045</v>
          </cell>
          <cell r="F12" t="str">
            <v>سفيزف</v>
          </cell>
          <cell r="G12" t="str">
            <v>3ت ر</v>
          </cell>
          <cell r="H12" t="str">
            <v>خارجية</v>
          </cell>
          <cell r="I12" t="str">
            <v>خ</v>
          </cell>
          <cell r="J12" t="str">
            <v>بومدين</v>
          </cell>
          <cell r="K12" t="str">
            <v>متقاعد</v>
          </cell>
          <cell r="L12" t="str">
            <v>13شارع لاوصة عبدالقادر سفيزف</v>
          </cell>
          <cell r="M12">
            <v>0</v>
          </cell>
          <cell r="N12">
            <v>0</v>
          </cell>
          <cell r="O12" t="str">
            <v>بن كلخة   بومدين</v>
          </cell>
        </row>
        <row r="13">
          <cell r="A13">
            <v>5</v>
          </cell>
          <cell r="B13" t="str">
            <v>بوخالفة    محمد عبد الجليل</v>
          </cell>
          <cell r="C13" t="str">
            <v xml:space="preserve">بوخالفة </v>
          </cell>
          <cell r="D13" t="str">
            <v xml:space="preserve"> محمد عبد الجليل</v>
          </cell>
          <cell r="E13">
            <v>39330</v>
          </cell>
          <cell r="F13" t="str">
            <v>وهران</v>
          </cell>
          <cell r="G13" t="str">
            <v>3ت ر</v>
          </cell>
          <cell r="H13" t="str">
            <v xml:space="preserve">خارجي </v>
          </cell>
          <cell r="I13" t="str">
            <v>خ</v>
          </cell>
          <cell r="J13" t="str">
            <v>العربي</v>
          </cell>
          <cell r="K13" t="str">
            <v>متقاعد</v>
          </cell>
          <cell r="L13" t="str">
            <v>04حي يملول حامد سفيزف</v>
          </cell>
          <cell r="M13">
            <v>0</v>
          </cell>
          <cell r="N13">
            <v>0</v>
          </cell>
          <cell r="O13" t="str">
            <v>بوخالفة   العربي</v>
          </cell>
        </row>
        <row r="14">
          <cell r="A14">
            <v>6</v>
          </cell>
          <cell r="B14" t="str">
            <v>زنازل    محمد علاء الدين</v>
          </cell>
          <cell r="C14" t="str">
            <v xml:space="preserve">زنازل </v>
          </cell>
          <cell r="D14" t="str">
            <v xml:space="preserve"> محمد علاء الدين</v>
          </cell>
          <cell r="E14">
            <v>39045</v>
          </cell>
          <cell r="F14" t="str">
            <v>سفيزف</v>
          </cell>
          <cell r="G14" t="str">
            <v>3ت ر</v>
          </cell>
          <cell r="H14" t="str">
            <v xml:space="preserve">خارجي </v>
          </cell>
          <cell r="I14" t="str">
            <v>خ</v>
          </cell>
          <cell r="J14" t="str">
            <v>مختار</v>
          </cell>
          <cell r="K14" t="str">
            <v>لا شئ</v>
          </cell>
          <cell r="L14" t="str">
            <v>حي72سكن سفيزف</v>
          </cell>
          <cell r="M14">
            <v>0</v>
          </cell>
          <cell r="N14">
            <v>0</v>
          </cell>
          <cell r="O14" t="str">
            <v>زنازل   مختار</v>
          </cell>
        </row>
        <row r="15">
          <cell r="A15">
            <v>7</v>
          </cell>
          <cell r="B15" t="str">
            <v>سميلي  سمية</v>
          </cell>
          <cell r="C15" t="str">
            <v>سميلي</v>
          </cell>
          <cell r="D15" t="str">
            <v>سمية</v>
          </cell>
          <cell r="E15">
            <v>38832</v>
          </cell>
          <cell r="F15" t="str">
            <v>س بلعباس</v>
          </cell>
          <cell r="G15" t="str">
            <v>3ت ر</v>
          </cell>
          <cell r="H15" t="str">
            <v>خارجية</v>
          </cell>
          <cell r="I15" t="str">
            <v>خ</v>
          </cell>
          <cell r="J15" t="str">
            <v>عبدالقادر</v>
          </cell>
          <cell r="K15" t="str">
            <v>متوفى</v>
          </cell>
          <cell r="L15" t="str">
            <v>حي214سكن سفيزف</v>
          </cell>
          <cell r="M15">
            <v>0</v>
          </cell>
          <cell r="N15">
            <v>0</v>
          </cell>
          <cell r="O15" t="str">
            <v>سميلي  عبدالقادر</v>
          </cell>
        </row>
        <row r="16">
          <cell r="A16">
            <v>8</v>
          </cell>
          <cell r="B16" t="str">
            <v>شعيب  صلاح الدين</v>
          </cell>
          <cell r="C16" t="str">
            <v>شعيب</v>
          </cell>
          <cell r="D16" t="str">
            <v>صلاح الدين</v>
          </cell>
          <cell r="E16">
            <v>38418</v>
          </cell>
          <cell r="F16" t="str">
            <v>سفيزف</v>
          </cell>
          <cell r="G16" t="str">
            <v>3ت ر</v>
          </cell>
          <cell r="H16" t="str">
            <v xml:space="preserve">خارجي </v>
          </cell>
          <cell r="I16" t="str">
            <v>خ</v>
          </cell>
          <cell r="J16" t="str">
            <v>سايح</v>
          </cell>
          <cell r="K16" t="str">
            <v>لا شئ</v>
          </cell>
          <cell r="L16" t="str">
            <v>شارع عبدلي عبدالقادر سفيزف</v>
          </cell>
          <cell r="M16">
            <v>0</v>
          </cell>
          <cell r="N16">
            <v>0</v>
          </cell>
          <cell r="O16" t="str">
            <v>شعيب  سايح</v>
          </cell>
        </row>
        <row r="17">
          <cell r="A17">
            <v>9</v>
          </cell>
          <cell r="B17" t="str">
            <v>عمرون    زينب</v>
          </cell>
          <cell r="C17" t="str">
            <v xml:space="preserve">عمرون </v>
          </cell>
          <cell r="D17" t="str">
            <v xml:space="preserve"> زينب</v>
          </cell>
          <cell r="E17">
            <v>39076</v>
          </cell>
          <cell r="F17" t="str">
            <v>سفيزف</v>
          </cell>
          <cell r="G17" t="str">
            <v>3ت ر</v>
          </cell>
          <cell r="H17" t="str">
            <v>خارجية</v>
          </cell>
          <cell r="I17" t="str">
            <v>خ</v>
          </cell>
          <cell r="J17" t="str">
            <v>يحي</v>
          </cell>
          <cell r="K17" t="str">
            <v>متقاعد</v>
          </cell>
          <cell r="L17" t="str">
            <v>حي نواري بن عبدالله سفيزف</v>
          </cell>
          <cell r="M17">
            <v>0</v>
          </cell>
          <cell r="N17">
            <v>0</v>
          </cell>
          <cell r="O17" t="str">
            <v>عمرون   يحي</v>
          </cell>
        </row>
        <row r="18">
          <cell r="A18">
            <v>10</v>
          </cell>
          <cell r="B18" t="str">
            <v>فرحي    كوثر</v>
          </cell>
          <cell r="C18" t="str">
            <v xml:space="preserve">فرحي </v>
          </cell>
          <cell r="D18" t="str">
            <v xml:space="preserve"> كوثر</v>
          </cell>
          <cell r="E18">
            <v>38954</v>
          </cell>
          <cell r="F18" t="str">
            <v>وهران</v>
          </cell>
          <cell r="G18" t="str">
            <v>3ت ر</v>
          </cell>
          <cell r="H18" t="str">
            <v>خارجية</v>
          </cell>
          <cell r="I18" t="str">
            <v>خ</v>
          </cell>
          <cell r="J18" t="str">
            <v>بن ديدة</v>
          </cell>
          <cell r="K18" t="str">
            <v>لا شئ</v>
          </cell>
          <cell r="L18" t="str">
            <v>83شارع أوهيبة ميلود سفيزف</v>
          </cell>
          <cell r="M18">
            <v>0</v>
          </cell>
          <cell r="N18">
            <v>0</v>
          </cell>
          <cell r="O18" t="str">
            <v>فرحي   بن ديدة</v>
          </cell>
        </row>
        <row r="19">
          <cell r="A19">
            <v>11</v>
          </cell>
          <cell r="B19" t="str">
            <v>قرازيب    خديجة</v>
          </cell>
          <cell r="C19" t="str">
            <v xml:space="preserve">قرازيب </v>
          </cell>
          <cell r="D19" t="str">
            <v xml:space="preserve"> خديجة</v>
          </cell>
          <cell r="E19">
            <v>38653</v>
          </cell>
          <cell r="F19" t="str">
            <v>تيارت</v>
          </cell>
          <cell r="G19" t="str">
            <v>3ت ر</v>
          </cell>
          <cell r="H19" t="str">
            <v>خارجية</v>
          </cell>
          <cell r="I19" t="str">
            <v>خ</v>
          </cell>
          <cell r="J19" t="str">
            <v>حنيفي</v>
          </cell>
          <cell r="K19" t="str">
            <v>متقاعد</v>
          </cell>
          <cell r="L19" t="str">
            <v>حي بوخنفوس مختار سفيزف</v>
          </cell>
          <cell r="M19">
            <v>0</v>
          </cell>
          <cell r="N19">
            <v>0</v>
          </cell>
          <cell r="O19" t="str">
            <v>قرازيب   حنيفي</v>
          </cell>
        </row>
        <row r="20">
          <cell r="A20">
            <v>12</v>
          </cell>
          <cell r="B20" t="str">
            <v>قشاش    خالد</v>
          </cell>
          <cell r="C20" t="str">
            <v xml:space="preserve">قشاش </v>
          </cell>
          <cell r="D20" t="str">
            <v xml:space="preserve"> خالد</v>
          </cell>
          <cell r="E20">
            <v>38931</v>
          </cell>
          <cell r="F20" t="str">
            <v>س بلعباس</v>
          </cell>
          <cell r="G20" t="str">
            <v>3ت ر</v>
          </cell>
          <cell r="H20" t="str">
            <v>خارجي</v>
          </cell>
          <cell r="I20" t="str">
            <v>خ</v>
          </cell>
          <cell r="J20" t="str">
            <v>عباس</v>
          </cell>
          <cell r="K20" t="str">
            <v>حارس</v>
          </cell>
          <cell r="L20" t="str">
            <v>حي طيبي عبدالقادر سفيزف</v>
          </cell>
          <cell r="M20">
            <v>0</v>
          </cell>
          <cell r="N20">
            <v>0</v>
          </cell>
          <cell r="O20" t="str">
            <v>قشاش   عباس</v>
          </cell>
        </row>
        <row r="21">
          <cell r="A21">
            <v>13</v>
          </cell>
          <cell r="B21" t="str">
            <v>مسلم  فردوس</v>
          </cell>
          <cell r="C21" t="str">
            <v>مسلم</v>
          </cell>
          <cell r="D21" t="str">
            <v>فردوس</v>
          </cell>
          <cell r="E21">
            <v>38185</v>
          </cell>
          <cell r="F21" t="str">
            <v>سعيدة</v>
          </cell>
          <cell r="G21" t="str">
            <v>3ت ر</v>
          </cell>
          <cell r="H21" t="str">
            <v>خارجية</v>
          </cell>
          <cell r="I21" t="str">
            <v>خ</v>
          </cell>
          <cell r="J21" t="str">
            <v>محمد</v>
          </cell>
          <cell r="K21" t="str">
            <v>متقاعد</v>
          </cell>
          <cell r="L21" t="str">
            <v>01حي05 جويلية سفيزف</v>
          </cell>
          <cell r="M21">
            <v>0</v>
          </cell>
          <cell r="N21">
            <v>0</v>
          </cell>
          <cell r="O21" t="str">
            <v>مسلم  محمد</v>
          </cell>
        </row>
        <row r="22">
          <cell r="A22">
            <v>14</v>
          </cell>
          <cell r="B22" t="str">
            <v>الميلودي  امال</v>
          </cell>
          <cell r="C22" t="str">
            <v>الميلودي</v>
          </cell>
          <cell r="D22" t="str">
            <v>امال</v>
          </cell>
          <cell r="E22">
            <v>38334</v>
          </cell>
          <cell r="F22" t="str">
            <v>سفيزف</v>
          </cell>
          <cell r="G22" t="str">
            <v>3ت ا ق1</v>
          </cell>
          <cell r="H22" t="str">
            <v>ن/داخلية</v>
          </cell>
          <cell r="I22" t="str">
            <v>ن/د</v>
          </cell>
          <cell r="J22" t="str">
            <v>الحاج</v>
          </cell>
          <cell r="K22" t="str">
            <v>متقاعد</v>
          </cell>
          <cell r="L22" t="str">
            <v>مقطع دار السبع عين آدن</v>
          </cell>
          <cell r="M22">
            <v>0</v>
          </cell>
          <cell r="N22">
            <v>0</v>
          </cell>
          <cell r="O22" t="str">
            <v>الميلودي  الحاج</v>
          </cell>
        </row>
        <row r="23">
          <cell r="A23">
            <v>15</v>
          </cell>
          <cell r="B23" t="str">
            <v>بحيري  بشرى ايمان</v>
          </cell>
          <cell r="C23" t="str">
            <v>بحيري</v>
          </cell>
          <cell r="D23" t="str">
            <v>بشرى ايمان</v>
          </cell>
          <cell r="E23">
            <v>38609</v>
          </cell>
          <cell r="F23" t="str">
            <v>س بلعباس</v>
          </cell>
          <cell r="G23" t="str">
            <v>3ت ا ق1</v>
          </cell>
          <cell r="H23" t="str">
            <v>ن/داخلية</v>
          </cell>
          <cell r="I23" t="str">
            <v>ن/د</v>
          </cell>
          <cell r="J23" t="str">
            <v>عبدالقادر</v>
          </cell>
          <cell r="K23" t="str">
            <v>لا شئ</v>
          </cell>
          <cell r="L23" t="str">
            <v>عين آدن</v>
          </cell>
          <cell r="M23">
            <v>0</v>
          </cell>
          <cell r="N23">
            <v>0</v>
          </cell>
          <cell r="O23" t="str">
            <v>بحيري  عبدالقادر</v>
          </cell>
        </row>
        <row r="24">
          <cell r="A24">
            <v>16</v>
          </cell>
          <cell r="B24" t="str">
            <v>قرازيب  خولة</v>
          </cell>
          <cell r="C24" t="str">
            <v>قرازيب</v>
          </cell>
          <cell r="D24" t="str">
            <v>خولة</v>
          </cell>
          <cell r="E24">
            <v>38921</v>
          </cell>
          <cell r="F24" t="str">
            <v>س بلعباس</v>
          </cell>
          <cell r="G24" t="str">
            <v>3ت ا ق1</v>
          </cell>
          <cell r="H24" t="str">
            <v>ن/داخلية</v>
          </cell>
          <cell r="I24" t="str">
            <v>ن/د</v>
          </cell>
          <cell r="J24" t="str">
            <v>مختار</v>
          </cell>
          <cell r="K24" t="str">
            <v>طبيب</v>
          </cell>
          <cell r="L24" t="str">
            <v>عين آدن</v>
          </cell>
          <cell r="M24">
            <v>0</v>
          </cell>
          <cell r="N24">
            <v>0</v>
          </cell>
          <cell r="O24" t="str">
            <v>قرازيب  مختار</v>
          </cell>
        </row>
        <row r="25">
          <cell r="A25">
            <v>17</v>
          </cell>
          <cell r="B25" t="str">
            <v>العرباوي    اسراء</v>
          </cell>
          <cell r="C25" t="str">
            <v xml:space="preserve">العرباوي </v>
          </cell>
          <cell r="D25" t="str">
            <v xml:space="preserve"> اسراء</v>
          </cell>
          <cell r="E25">
            <v>39088</v>
          </cell>
          <cell r="F25" t="str">
            <v>سفيزف</v>
          </cell>
          <cell r="G25" t="str">
            <v>3ت ا ق1</v>
          </cell>
          <cell r="H25" t="str">
            <v>خارجية</v>
          </cell>
          <cell r="I25" t="str">
            <v>خ</v>
          </cell>
          <cell r="J25" t="str">
            <v>يحي</v>
          </cell>
          <cell r="K25" t="str">
            <v>تاجر</v>
          </cell>
          <cell r="L25" t="str">
            <v>شارع هنون عبدالقادر سفيزف</v>
          </cell>
          <cell r="M25">
            <v>0</v>
          </cell>
          <cell r="N25">
            <v>0</v>
          </cell>
          <cell r="O25" t="str">
            <v>العرباوي   يحي</v>
          </cell>
        </row>
        <row r="26">
          <cell r="A26">
            <v>18</v>
          </cell>
          <cell r="B26" t="str">
            <v>بالسيني  محمد اسلام</v>
          </cell>
          <cell r="C26" t="str">
            <v>بالسيني</v>
          </cell>
          <cell r="D26" t="str">
            <v>محمد اسلام</v>
          </cell>
          <cell r="E26">
            <v>38782</v>
          </cell>
          <cell r="F26" t="str">
            <v>س بلعباس</v>
          </cell>
          <cell r="G26" t="str">
            <v>3ت ا ق1</v>
          </cell>
          <cell r="H26" t="str">
            <v>خارجي</v>
          </cell>
          <cell r="I26" t="str">
            <v>خ</v>
          </cell>
          <cell r="J26" t="str">
            <v>لحسن</v>
          </cell>
          <cell r="K26" t="str">
            <v>تاجر</v>
          </cell>
          <cell r="L26" t="str">
            <v>حي117سكن سفيزف</v>
          </cell>
          <cell r="M26">
            <v>0</v>
          </cell>
          <cell r="N26">
            <v>0</v>
          </cell>
          <cell r="O26" t="str">
            <v>بالسيني  لحسن</v>
          </cell>
        </row>
        <row r="27">
          <cell r="A27">
            <v>19</v>
          </cell>
          <cell r="B27" t="str">
            <v>بايو   أميمة</v>
          </cell>
          <cell r="C27" t="str">
            <v>بايو</v>
          </cell>
          <cell r="D27" t="str">
            <v xml:space="preserve"> أميمة</v>
          </cell>
          <cell r="E27">
            <v>39164</v>
          </cell>
          <cell r="F27" t="str">
            <v>سفيزف</v>
          </cell>
          <cell r="G27" t="str">
            <v>3ت ا ق1</v>
          </cell>
          <cell r="H27" t="str">
            <v>خارجية</v>
          </cell>
          <cell r="I27" t="str">
            <v>خ</v>
          </cell>
          <cell r="J27" t="str">
            <v>محمد</v>
          </cell>
          <cell r="K27" t="str">
            <v>موظف</v>
          </cell>
          <cell r="L27" t="str">
            <v>25حي طيبي عبدالقادر سفيزف</v>
          </cell>
          <cell r="M27">
            <v>0</v>
          </cell>
          <cell r="N27">
            <v>0</v>
          </cell>
          <cell r="O27" t="str">
            <v>بايو  محمد</v>
          </cell>
        </row>
        <row r="28">
          <cell r="A28">
            <v>20</v>
          </cell>
          <cell r="B28" t="str">
            <v>براهمي   خيرة</v>
          </cell>
          <cell r="C28" t="str">
            <v>براهمي</v>
          </cell>
          <cell r="D28" t="str">
            <v xml:space="preserve"> خيرة</v>
          </cell>
          <cell r="E28">
            <v>38909</v>
          </cell>
          <cell r="F28" t="str">
            <v>س بلعباس</v>
          </cell>
          <cell r="G28" t="str">
            <v>3ت ا ق1</v>
          </cell>
          <cell r="H28" t="str">
            <v>خارجية</v>
          </cell>
          <cell r="I28" t="str">
            <v>خ</v>
          </cell>
          <cell r="J28" t="str">
            <v>أحمد</v>
          </cell>
          <cell r="K28" t="str">
            <v>تاجر</v>
          </cell>
          <cell r="L28" t="str">
            <v>37شارع بوتنزار عبدالقادر سفيزف</v>
          </cell>
          <cell r="M28">
            <v>0</v>
          </cell>
          <cell r="N28">
            <v>0</v>
          </cell>
          <cell r="O28" t="str">
            <v>براهمي  أحمد</v>
          </cell>
        </row>
        <row r="29">
          <cell r="A29">
            <v>21</v>
          </cell>
          <cell r="B29" t="str">
            <v>بلعريبي  محمد</v>
          </cell>
          <cell r="C29" t="str">
            <v>بلعريبي</v>
          </cell>
          <cell r="D29" t="str">
            <v>محمد</v>
          </cell>
          <cell r="E29">
            <v>38425</v>
          </cell>
          <cell r="F29" t="str">
            <v>وهران</v>
          </cell>
          <cell r="G29" t="str">
            <v>3ت ا ق1</v>
          </cell>
          <cell r="H29" t="str">
            <v xml:space="preserve">خارجي </v>
          </cell>
          <cell r="I29" t="str">
            <v>خ</v>
          </cell>
          <cell r="J29" t="str">
            <v>قدور</v>
          </cell>
          <cell r="K29" t="str">
            <v>شرطي</v>
          </cell>
          <cell r="L29" t="str">
            <v>حي الشرطة سفيزف</v>
          </cell>
          <cell r="M29">
            <v>0</v>
          </cell>
          <cell r="N29">
            <v>0</v>
          </cell>
          <cell r="O29" t="str">
            <v>بلعريبي  قدور</v>
          </cell>
        </row>
        <row r="30">
          <cell r="A30">
            <v>22</v>
          </cell>
          <cell r="B30" t="str">
            <v>بن تخيسي    محمد الميلود</v>
          </cell>
          <cell r="C30" t="str">
            <v xml:space="preserve">بن تخيسي </v>
          </cell>
          <cell r="D30" t="str">
            <v xml:space="preserve"> محمد الميلود</v>
          </cell>
          <cell r="E30">
            <v>38948</v>
          </cell>
          <cell r="F30" t="str">
            <v>سفيزف</v>
          </cell>
          <cell r="G30" t="str">
            <v>3ت ا ق1</v>
          </cell>
          <cell r="H30" t="str">
            <v>خارجي</v>
          </cell>
          <cell r="I30" t="str">
            <v>خ</v>
          </cell>
          <cell r="J30" t="str">
            <v>حوسين</v>
          </cell>
          <cell r="K30" t="str">
            <v>عامل</v>
          </cell>
          <cell r="L30" t="str">
            <v>حي طيبي عبدالقادر سفيزف</v>
          </cell>
          <cell r="M30">
            <v>0</v>
          </cell>
          <cell r="N30">
            <v>0</v>
          </cell>
          <cell r="O30" t="str">
            <v>بن تخيسي   حوسين</v>
          </cell>
        </row>
        <row r="31">
          <cell r="A31">
            <v>23</v>
          </cell>
          <cell r="B31" t="str">
            <v>بن حميد    عيسى عبد الحق</v>
          </cell>
          <cell r="C31" t="str">
            <v xml:space="preserve">بن حميد </v>
          </cell>
          <cell r="D31" t="str">
            <v xml:space="preserve"> عيسى عبد الحق</v>
          </cell>
          <cell r="E31">
            <v>39038</v>
          </cell>
          <cell r="F31" t="str">
            <v>سفيزف</v>
          </cell>
          <cell r="G31" t="str">
            <v>3ت ا ق1</v>
          </cell>
          <cell r="H31" t="str">
            <v>خارجي</v>
          </cell>
          <cell r="I31" t="str">
            <v>خ</v>
          </cell>
          <cell r="J31" t="str">
            <v>حبيب</v>
          </cell>
          <cell r="K31" t="str">
            <v>لا شئ</v>
          </cell>
          <cell r="L31" t="str">
            <v>حي كشار صحراوي سفيزف</v>
          </cell>
          <cell r="M31">
            <v>0</v>
          </cell>
          <cell r="N31">
            <v>0</v>
          </cell>
          <cell r="O31" t="str">
            <v>بن حميد   حبيب</v>
          </cell>
        </row>
        <row r="32">
          <cell r="A32">
            <v>24</v>
          </cell>
          <cell r="B32" t="str">
            <v>بوتشيش  ندى الصباح</v>
          </cell>
          <cell r="C32" t="str">
            <v>بوتشيش</v>
          </cell>
          <cell r="D32" t="str">
            <v>ندى الصباح</v>
          </cell>
          <cell r="E32">
            <v>38681</v>
          </cell>
          <cell r="F32" t="str">
            <v>غليزان</v>
          </cell>
          <cell r="G32" t="str">
            <v>3ت ا ق1</v>
          </cell>
          <cell r="H32" t="str">
            <v>خارجية</v>
          </cell>
          <cell r="I32" t="str">
            <v>خ</v>
          </cell>
          <cell r="J32" t="str">
            <v>محمد</v>
          </cell>
          <cell r="K32" t="str">
            <v>متقاعد</v>
          </cell>
          <cell r="L32" t="str">
            <v>شارع عيسات ايدير سفيزف</v>
          </cell>
          <cell r="M32">
            <v>0</v>
          </cell>
          <cell r="N32">
            <v>0</v>
          </cell>
          <cell r="O32" t="str">
            <v>بوتشيش  محمد</v>
          </cell>
        </row>
        <row r="33">
          <cell r="A33">
            <v>25</v>
          </cell>
          <cell r="B33" t="str">
            <v>بوسيف   اية</v>
          </cell>
          <cell r="C33" t="str">
            <v>بوسيف</v>
          </cell>
          <cell r="D33" t="str">
            <v xml:space="preserve"> اية</v>
          </cell>
          <cell r="E33">
            <v>39049</v>
          </cell>
          <cell r="F33" t="str">
            <v>سفيزف</v>
          </cell>
          <cell r="G33" t="str">
            <v>3ت ا ق1</v>
          </cell>
          <cell r="H33" t="str">
            <v>خارجية</v>
          </cell>
          <cell r="I33" t="str">
            <v>خ</v>
          </cell>
          <cell r="J33" t="str">
            <v>قادة</v>
          </cell>
          <cell r="K33" t="str">
            <v>متقاعد</v>
          </cell>
          <cell r="L33" t="str">
            <v>29حي صلات محمد سفيزف</v>
          </cell>
          <cell r="M33">
            <v>0</v>
          </cell>
          <cell r="N33">
            <v>0</v>
          </cell>
          <cell r="O33" t="str">
            <v>بوسيف  قادة</v>
          </cell>
        </row>
        <row r="34">
          <cell r="A34">
            <v>26</v>
          </cell>
          <cell r="B34" t="str">
            <v>بومسجد   يوسف أمين</v>
          </cell>
          <cell r="C34" t="str">
            <v xml:space="preserve">بومسجد </v>
          </cell>
          <cell r="D34" t="str">
            <v>يوسف أمين</v>
          </cell>
          <cell r="E34">
            <v>39037</v>
          </cell>
          <cell r="F34" t="str">
            <v>سفيزف</v>
          </cell>
          <cell r="G34" t="str">
            <v>3ت ا ق1</v>
          </cell>
          <cell r="H34" t="str">
            <v xml:space="preserve">خارجي </v>
          </cell>
          <cell r="I34" t="str">
            <v>خ</v>
          </cell>
          <cell r="J34" t="str">
            <v>اسماعيل</v>
          </cell>
          <cell r="K34" t="str">
            <v>تاجر</v>
          </cell>
          <cell r="L34" t="str">
            <v>شارع أحمد زبانة سفيزف</v>
          </cell>
          <cell r="M34">
            <v>0</v>
          </cell>
          <cell r="N34">
            <v>0</v>
          </cell>
          <cell r="O34" t="str">
            <v>بومسجد   اسماعيل</v>
          </cell>
        </row>
        <row r="35">
          <cell r="A35">
            <v>27</v>
          </cell>
          <cell r="B35" t="str">
            <v>حديم  اكرام سلاف</v>
          </cell>
          <cell r="C35" t="str">
            <v>حديم</v>
          </cell>
          <cell r="D35" t="str">
            <v>اكرام سلاف</v>
          </cell>
          <cell r="E35">
            <v>38526</v>
          </cell>
          <cell r="F35" t="str">
            <v>سفيزف</v>
          </cell>
          <cell r="G35" t="str">
            <v>3ت ا ق1</v>
          </cell>
          <cell r="H35" t="str">
            <v>خارجية</v>
          </cell>
          <cell r="I35" t="str">
            <v>خ</v>
          </cell>
          <cell r="J35" t="str">
            <v>عيسى</v>
          </cell>
          <cell r="K35" t="str">
            <v>متقاعد</v>
          </cell>
          <cell r="L35" t="str">
            <v>حي كشار صحراوي سفيزف</v>
          </cell>
          <cell r="M35">
            <v>0</v>
          </cell>
          <cell r="N35">
            <v>0</v>
          </cell>
          <cell r="O35" t="str">
            <v>حديم  عيسى</v>
          </cell>
        </row>
        <row r="36">
          <cell r="A36">
            <v>28</v>
          </cell>
          <cell r="B36" t="str">
            <v>حمداد    عبد المجيد</v>
          </cell>
          <cell r="C36" t="str">
            <v xml:space="preserve">حمداد </v>
          </cell>
          <cell r="D36" t="str">
            <v xml:space="preserve"> عبد المجيد</v>
          </cell>
          <cell r="E36">
            <v>39178</v>
          </cell>
          <cell r="F36" t="str">
            <v>سفيزف</v>
          </cell>
          <cell r="G36" t="str">
            <v>3ت ا ق1</v>
          </cell>
          <cell r="H36" t="str">
            <v>خارجي</v>
          </cell>
          <cell r="I36" t="str">
            <v>خ</v>
          </cell>
          <cell r="J36" t="str">
            <v>محمد</v>
          </cell>
          <cell r="K36" t="str">
            <v>متقاعد</v>
          </cell>
          <cell r="L36" t="str">
            <v>شارع أوهيبة عبدالقادر سفيزف</v>
          </cell>
          <cell r="M36">
            <v>0</v>
          </cell>
          <cell r="N36">
            <v>0</v>
          </cell>
          <cell r="O36" t="str">
            <v>حمداد   محمد</v>
          </cell>
        </row>
        <row r="37">
          <cell r="A37">
            <v>29</v>
          </cell>
          <cell r="B37" t="str">
            <v>حميدة    شيماء انصاف</v>
          </cell>
          <cell r="C37" t="str">
            <v xml:space="preserve">حميدة </v>
          </cell>
          <cell r="D37" t="str">
            <v xml:space="preserve"> شيماء انصاف</v>
          </cell>
          <cell r="E37">
            <v>38967</v>
          </cell>
          <cell r="F37" t="str">
            <v>س بلعباس</v>
          </cell>
          <cell r="G37" t="str">
            <v>3ت ا ق1</v>
          </cell>
          <cell r="H37" t="str">
            <v>خارجية</v>
          </cell>
          <cell r="I37" t="str">
            <v>خ</v>
          </cell>
          <cell r="J37" t="str">
            <v>بوجمعة</v>
          </cell>
          <cell r="K37" t="str">
            <v>ممرض</v>
          </cell>
          <cell r="L37" t="str">
            <v>حي اوهيبة 100سكن  المشتلة سفيزف</v>
          </cell>
          <cell r="M37">
            <v>0</v>
          </cell>
          <cell r="N37">
            <v>0</v>
          </cell>
          <cell r="O37" t="str">
            <v>حميدة   بوجمعة</v>
          </cell>
        </row>
        <row r="38">
          <cell r="A38">
            <v>30</v>
          </cell>
          <cell r="B38" t="str">
            <v>صافة باهي عمر    أمين</v>
          </cell>
          <cell r="C38" t="str">
            <v>صافة باهي عمر</v>
          </cell>
          <cell r="D38" t="str">
            <v xml:space="preserve">  أمين</v>
          </cell>
          <cell r="E38">
            <v>38895</v>
          </cell>
          <cell r="F38" t="str">
            <v>وهران</v>
          </cell>
          <cell r="G38" t="str">
            <v>3ت ا ق1</v>
          </cell>
          <cell r="H38" t="str">
            <v xml:space="preserve">خارجي </v>
          </cell>
          <cell r="I38" t="str">
            <v>خ</v>
          </cell>
          <cell r="J38" t="str">
            <v>عبدالله</v>
          </cell>
          <cell r="K38" t="str">
            <v>متقاعد</v>
          </cell>
          <cell r="L38" t="str">
            <v>18شارع الإخوة أوهيبة سفيزف</v>
          </cell>
          <cell r="M38">
            <v>0</v>
          </cell>
          <cell r="N38">
            <v>0</v>
          </cell>
          <cell r="O38" t="str">
            <v>صافة باهي عمر  عبدالله</v>
          </cell>
        </row>
        <row r="39">
          <cell r="A39">
            <v>31</v>
          </cell>
          <cell r="B39" t="str">
            <v>صالح  محمد عدنان</v>
          </cell>
          <cell r="C39" t="str">
            <v>صالح</v>
          </cell>
          <cell r="D39" t="str">
            <v>محمد عدنان</v>
          </cell>
          <cell r="E39">
            <v>38887</v>
          </cell>
          <cell r="F39" t="str">
            <v>س بلعباس</v>
          </cell>
          <cell r="G39" t="str">
            <v>3ت ا ق1</v>
          </cell>
          <cell r="H39" t="str">
            <v>خارجي</v>
          </cell>
          <cell r="I39" t="str">
            <v>خ</v>
          </cell>
          <cell r="J39" t="str">
            <v>رابح</v>
          </cell>
          <cell r="K39" t="str">
            <v>متوفى</v>
          </cell>
          <cell r="L39" t="str">
            <v>حي السوريكور سفيزف</v>
          </cell>
          <cell r="M39">
            <v>0</v>
          </cell>
          <cell r="N39">
            <v>0</v>
          </cell>
          <cell r="O39" t="str">
            <v>صالح  رابح</v>
          </cell>
        </row>
        <row r="40">
          <cell r="A40">
            <v>32</v>
          </cell>
          <cell r="B40" t="str">
            <v>طيبي  عبد الكريم</v>
          </cell>
          <cell r="C40" t="str">
            <v>طيبي</v>
          </cell>
          <cell r="D40" t="str">
            <v>عبد الكريم</v>
          </cell>
          <cell r="E40">
            <v>38383</v>
          </cell>
          <cell r="F40" t="str">
            <v>س بلعباس</v>
          </cell>
          <cell r="G40" t="str">
            <v>3ت ا ق1</v>
          </cell>
          <cell r="H40" t="str">
            <v>خارجي</v>
          </cell>
          <cell r="I40" t="str">
            <v>خ</v>
          </cell>
          <cell r="J40" t="str">
            <v>عيسى</v>
          </cell>
          <cell r="K40" t="str">
            <v>متقاعد</v>
          </cell>
          <cell r="L40" t="str">
            <v>20حي جرموني محمد سفيزف</v>
          </cell>
          <cell r="M40">
            <v>0</v>
          </cell>
          <cell r="N40">
            <v>0</v>
          </cell>
          <cell r="O40" t="str">
            <v>طيبي  عيسى</v>
          </cell>
        </row>
        <row r="41">
          <cell r="A41">
            <v>33</v>
          </cell>
          <cell r="B41" t="str">
            <v>عدة    بشرى</v>
          </cell>
          <cell r="C41" t="str">
            <v xml:space="preserve">عدة </v>
          </cell>
          <cell r="D41" t="str">
            <v xml:space="preserve"> بشرى</v>
          </cell>
          <cell r="E41">
            <v>38867</v>
          </cell>
          <cell r="F41" t="str">
            <v>سفيزف</v>
          </cell>
          <cell r="G41" t="str">
            <v>3ت ا ق1</v>
          </cell>
          <cell r="H41" t="str">
            <v>خارجية</v>
          </cell>
          <cell r="I41" t="str">
            <v>خ</v>
          </cell>
          <cell r="J41" t="str">
            <v>مصطفى</v>
          </cell>
          <cell r="K41" t="str">
            <v>موظف</v>
          </cell>
          <cell r="L41" t="str">
            <v>حي24فبراير سفيزف</v>
          </cell>
          <cell r="M41">
            <v>0</v>
          </cell>
          <cell r="N41">
            <v>0</v>
          </cell>
          <cell r="O41" t="str">
            <v>عدة   مصطفى</v>
          </cell>
        </row>
        <row r="42">
          <cell r="A42">
            <v>34</v>
          </cell>
          <cell r="B42" t="str">
            <v>غليس    محمد ياسر</v>
          </cell>
          <cell r="C42" t="str">
            <v xml:space="preserve">غليس </v>
          </cell>
          <cell r="D42" t="str">
            <v xml:space="preserve"> محمد ياسر</v>
          </cell>
          <cell r="E42">
            <v>39172</v>
          </cell>
          <cell r="F42" t="str">
            <v>س بلعباس</v>
          </cell>
          <cell r="G42" t="str">
            <v>3ت ا ق1</v>
          </cell>
          <cell r="H42" t="str">
            <v xml:space="preserve">خارجي </v>
          </cell>
          <cell r="I42" t="str">
            <v>خ</v>
          </cell>
          <cell r="J42" t="str">
            <v>جيلالي</v>
          </cell>
          <cell r="K42" t="str">
            <v>تاجر</v>
          </cell>
          <cell r="L42" t="str">
            <v>01حي بوخنفوس مختار سفيزف</v>
          </cell>
          <cell r="M42">
            <v>0</v>
          </cell>
          <cell r="N42">
            <v>0</v>
          </cell>
          <cell r="O42" t="str">
            <v>غليس   جيلالي</v>
          </cell>
        </row>
        <row r="43">
          <cell r="A43">
            <v>35</v>
          </cell>
          <cell r="B43" t="str">
            <v>غنيم  عبدالرحمان</v>
          </cell>
          <cell r="C43" t="str">
            <v>غنيم</v>
          </cell>
          <cell r="D43" t="str">
            <v>عبدالرحمان</v>
          </cell>
          <cell r="E43">
            <v>38194</v>
          </cell>
          <cell r="F43" t="str">
            <v>سفيزف</v>
          </cell>
          <cell r="G43" t="str">
            <v>3ت ا ق1</v>
          </cell>
          <cell r="H43" t="str">
            <v xml:space="preserve">خارجي </v>
          </cell>
          <cell r="I43" t="str">
            <v>خ</v>
          </cell>
          <cell r="J43" t="str">
            <v>عباس</v>
          </cell>
          <cell r="K43" t="str">
            <v>متقاعد</v>
          </cell>
          <cell r="L43" t="str">
            <v>44شارع عبدلي عبدالقادر سفيزف</v>
          </cell>
          <cell r="M43">
            <v>0</v>
          </cell>
          <cell r="N43">
            <v>0</v>
          </cell>
          <cell r="O43" t="str">
            <v>غنيم  عباس</v>
          </cell>
        </row>
        <row r="44">
          <cell r="A44">
            <v>36</v>
          </cell>
          <cell r="B44" t="str">
            <v>فولاني  عبدالقادر زكرياء</v>
          </cell>
          <cell r="C44" t="str">
            <v>فولاني</v>
          </cell>
          <cell r="D44" t="str">
            <v>عبدالقادر زكرياء</v>
          </cell>
          <cell r="E44">
            <v>38094</v>
          </cell>
          <cell r="F44" t="str">
            <v>سفيزف</v>
          </cell>
          <cell r="G44" t="str">
            <v>3ت ا ق1</v>
          </cell>
          <cell r="H44" t="str">
            <v>خارجي</v>
          </cell>
          <cell r="I44" t="str">
            <v>خ</v>
          </cell>
          <cell r="J44" t="str">
            <v>ميلود</v>
          </cell>
          <cell r="K44" t="str">
            <v>لا شئ</v>
          </cell>
          <cell r="L44" t="str">
            <v>شارع بن قادة يوسف سفيزف</v>
          </cell>
          <cell r="M44">
            <v>0</v>
          </cell>
          <cell r="N44">
            <v>0</v>
          </cell>
          <cell r="O44" t="str">
            <v>فولاني  ميلود</v>
          </cell>
        </row>
        <row r="45">
          <cell r="A45">
            <v>37</v>
          </cell>
          <cell r="B45" t="str">
            <v>مدوني    محمد</v>
          </cell>
          <cell r="C45" t="str">
            <v xml:space="preserve">مدوني </v>
          </cell>
          <cell r="D45" t="str">
            <v xml:space="preserve"> محمد</v>
          </cell>
          <cell r="E45">
            <v>39152</v>
          </cell>
          <cell r="F45" t="str">
            <v>سفيزف</v>
          </cell>
          <cell r="G45" t="str">
            <v>3ت ا ق1</v>
          </cell>
          <cell r="H45" t="str">
            <v xml:space="preserve">خارجي </v>
          </cell>
          <cell r="I45" t="str">
            <v>خ</v>
          </cell>
          <cell r="J45" t="str">
            <v>يحي</v>
          </cell>
          <cell r="K45" t="str">
            <v>سائق</v>
          </cell>
          <cell r="L45" t="str">
            <v>شارع الإخوة أوهيبة سفيزف</v>
          </cell>
          <cell r="M45">
            <v>0</v>
          </cell>
          <cell r="N45">
            <v>0</v>
          </cell>
          <cell r="O45" t="str">
            <v>مدوني   يحي</v>
          </cell>
        </row>
        <row r="46">
          <cell r="A46">
            <v>38</v>
          </cell>
          <cell r="B46" t="str">
            <v>موحوش   سيرين</v>
          </cell>
          <cell r="C46" t="str">
            <v>موحوش</v>
          </cell>
          <cell r="D46" t="str">
            <v xml:space="preserve"> سيرين</v>
          </cell>
          <cell r="E46">
            <v>38868</v>
          </cell>
          <cell r="F46" t="str">
            <v>س بلعباس</v>
          </cell>
          <cell r="G46" t="str">
            <v>3ت ا ق1</v>
          </cell>
          <cell r="H46" t="str">
            <v>خارجية</v>
          </cell>
          <cell r="I46" t="str">
            <v>خ</v>
          </cell>
          <cell r="J46" t="str">
            <v>عباس</v>
          </cell>
          <cell r="K46" t="str">
            <v>متقاعد</v>
          </cell>
          <cell r="L46" t="str">
            <v>25حي بوخنفوس عبدالقادر سفيزف</v>
          </cell>
          <cell r="M46">
            <v>0</v>
          </cell>
          <cell r="N46">
            <v>0</v>
          </cell>
          <cell r="O46" t="str">
            <v>موحوش  عباس</v>
          </cell>
        </row>
        <row r="47">
          <cell r="A47">
            <v>39</v>
          </cell>
          <cell r="B47" t="str">
            <v>بحيري  يحي أيمن</v>
          </cell>
          <cell r="C47" t="str">
            <v>بحيري</v>
          </cell>
          <cell r="D47" t="str">
            <v>يحي أيمن</v>
          </cell>
          <cell r="E47">
            <v>38810</v>
          </cell>
          <cell r="F47" t="str">
            <v>عين آدن</v>
          </cell>
          <cell r="G47" t="str">
            <v>3ت ا ق2</v>
          </cell>
          <cell r="H47" t="str">
            <v>ن/داخلي</v>
          </cell>
          <cell r="I47" t="str">
            <v>ن/د</v>
          </cell>
          <cell r="J47" t="str">
            <v>سليمان</v>
          </cell>
          <cell r="K47" t="str">
            <v>تاجر</v>
          </cell>
          <cell r="L47" t="str">
            <v>عين آدن</v>
          </cell>
          <cell r="M47">
            <v>0</v>
          </cell>
          <cell r="N47">
            <v>0</v>
          </cell>
          <cell r="O47" t="str">
            <v>بحيري  سليمان</v>
          </cell>
        </row>
        <row r="48">
          <cell r="A48">
            <v>40</v>
          </cell>
          <cell r="B48" t="str">
            <v>طالبي   بسملة</v>
          </cell>
          <cell r="C48" t="str">
            <v>طالبي</v>
          </cell>
          <cell r="D48" t="str">
            <v xml:space="preserve"> بسملة</v>
          </cell>
          <cell r="E48">
            <v>38894</v>
          </cell>
          <cell r="F48" t="str">
            <v>بني صاف</v>
          </cell>
          <cell r="G48" t="str">
            <v>3ت ا ق2</v>
          </cell>
          <cell r="H48" t="str">
            <v>ن/داخلية</v>
          </cell>
          <cell r="I48" t="str">
            <v>ن/د</v>
          </cell>
          <cell r="J48" t="str">
            <v>قويدر</v>
          </cell>
          <cell r="K48" t="str">
            <v>لا شئ</v>
          </cell>
          <cell r="L48" t="str">
            <v>عين آدن</v>
          </cell>
          <cell r="M48">
            <v>0</v>
          </cell>
          <cell r="N48">
            <v>0</v>
          </cell>
          <cell r="O48" t="str">
            <v>طالبي  قويدر</v>
          </cell>
        </row>
        <row r="49">
          <cell r="A49">
            <v>41</v>
          </cell>
          <cell r="B49" t="str">
            <v>عربوز  نسرين</v>
          </cell>
          <cell r="C49" t="str">
            <v>عربوز</v>
          </cell>
          <cell r="D49" t="str">
            <v>نسرين</v>
          </cell>
          <cell r="E49">
            <v>38603</v>
          </cell>
          <cell r="F49" t="str">
            <v>سفيزف</v>
          </cell>
          <cell r="G49" t="str">
            <v>3ت ا ق2</v>
          </cell>
          <cell r="H49" t="str">
            <v>ن/داخلية</v>
          </cell>
          <cell r="I49" t="str">
            <v>ن/د</v>
          </cell>
          <cell r="J49" t="str">
            <v>جلول</v>
          </cell>
          <cell r="K49" t="str">
            <v>متقاعد</v>
          </cell>
          <cell r="L49" t="str">
            <v>عين آدن</v>
          </cell>
          <cell r="M49">
            <v>0</v>
          </cell>
          <cell r="N49">
            <v>0</v>
          </cell>
          <cell r="O49" t="str">
            <v>عربوز  جلول</v>
          </cell>
        </row>
        <row r="50">
          <cell r="A50">
            <v>42</v>
          </cell>
          <cell r="B50" t="str">
            <v>العرباوي   دنيا رانيا</v>
          </cell>
          <cell r="C50" t="str">
            <v>العرباوي</v>
          </cell>
          <cell r="D50" t="str">
            <v xml:space="preserve"> دنيا رانيا</v>
          </cell>
          <cell r="E50">
            <v>39081</v>
          </cell>
          <cell r="F50" t="str">
            <v>سفيزف</v>
          </cell>
          <cell r="G50" t="str">
            <v>3ت ا ق2</v>
          </cell>
          <cell r="H50" t="str">
            <v>خارجية</v>
          </cell>
          <cell r="I50" t="str">
            <v>خ</v>
          </cell>
          <cell r="J50" t="str">
            <v>محمد</v>
          </cell>
          <cell r="K50" t="str">
            <v>لا شئ</v>
          </cell>
          <cell r="L50" t="str">
            <v>حي طيبي عبدالقادر سفيزف</v>
          </cell>
          <cell r="M50">
            <v>0</v>
          </cell>
          <cell r="N50">
            <v>0</v>
          </cell>
          <cell r="O50" t="str">
            <v>العرباوي  محمد</v>
          </cell>
        </row>
        <row r="51">
          <cell r="A51">
            <v>43</v>
          </cell>
          <cell r="B51" t="str">
            <v>بركاني  لينة نورالهدى</v>
          </cell>
          <cell r="C51" t="str">
            <v>بركاني</v>
          </cell>
          <cell r="D51" t="str">
            <v>لينة نورالهدى</v>
          </cell>
          <cell r="E51">
            <v>38855</v>
          </cell>
          <cell r="F51" t="str">
            <v>سفيزف</v>
          </cell>
          <cell r="G51" t="str">
            <v>3ت ا ق2</v>
          </cell>
          <cell r="H51" t="str">
            <v>خارجية</v>
          </cell>
          <cell r="I51" t="str">
            <v>خ</v>
          </cell>
          <cell r="J51" t="str">
            <v>عبدالله</v>
          </cell>
          <cell r="K51" t="str">
            <v>موظف</v>
          </cell>
          <cell r="L51" t="str">
            <v>شارع عيسات إيدير سفيزف</v>
          </cell>
          <cell r="M51">
            <v>0</v>
          </cell>
          <cell r="N51">
            <v>0</v>
          </cell>
          <cell r="O51" t="str">
            <v>بركاني  عبدالله</v>
          </cell>
        </row>
        <row r="52">
          <cell r="A52">
            <v>44</v>
          </cell>
          <cell r="B52" t="str">
            <v>بن بوحة    سفيان شرف الدين</v>
          </cell>
          <cell r="C52" t="str">
            <v xml:space="preserve">بن بوحة </v>
          </cell>
          <cell r="D52" t="str">
            <v xml:space="preserve"> سفيان شرف الدين</v>
          </cell>
          <cell r="E52">
            <v>38917</v>
          </cell>
          <cell r="F52" t="str">
            <v>س بلعباس</v>
          </cell>
          <cell r="G52" t="str">
            <v>3ت ا ق2</v>
          </cell>
          <cell r="H52" t="str">
            <v xml:space="preserve">خارجي </v>
          </cell>
          <cell r="I52" t="str">
            <v>خ</v>
          </cell>
          <cell r="J52" t="str">
            <v>يحي</v>
          </cell>
          <cell r="K52" t="str">
            <v>متوفى</v>
          </cell>
          <cell r="L52" t="str">
            <v>01حي موكسي عبدالقادر سفيزف</v>
          </cell>
          <cell r="M52">
            <v>0</v>
          </cell>
          <cell r="N52">
            <v>0</v>
          </cell>
          <cell r="O52" t="str">
            <v>بن بوحة   يحي</v>
          </cell>
        </row>
        <row r="53">
          <cell r="A53">
            <v>45</v>
          </cell>
          <cell r="B53" t="str">
            <v>بوتنزار    محمد علاء الدين</v>
          </cell>
          <cell r="C53" t="str">
            <v xml:space="preserve">بوتنزار </v>
          </cell>
          <cell r="D53" t="str">
            <v xml:space="preserve"> محمد علاء الدين</v>
          </cell>
          <cell r="E53">
            <v>38912</v>
          </cell>
          <cell r="F53" t="str">
            <v>سفيزف</v>
          </cell>
          <cell r="G53" t="str">
            <v>3ت ا ق2</v>
          </cell>
          <cell r="H53" t="str">
            <v xml:space="preserve">خارجي </v>
          </cell>
          <cell r="I53" t="str">
            <v>خ</v>
          </cell>
          <cell r="J53" t="str">
            <v>الطيب</v>
          </cell>
          <cell r="K53" t="str">
            <v>موظف</v>
          </cell>
          <cell r="L53" t="str">
            <v>26شارع بن داحة أحمد سفيزف</v>
          </cell>
          <cell r="M53">
            <v>0</v>
          </cell>
          <cell r="N53">
            <v>0</v>
          </cell>
          <cell r="O53" t="str">
            <v>بوتنزار   الطيب</v>
          </cell>
        </row>
        <row r="54">
          <cell r="A54">
            <v>46</v>
          </cell>
          <cell r="B54" t="str">
            <v>بوجلال  أحمد عبدالإله</v>
          </cell>
          <cell r="C54" t="str">
            <v>بوجلال</v>
          </cell>
          <cell r="D54" t="str">
            <v>أحمد عبدالإله</v>
          </cell>
          <cell r="E54">
            <v>38939</v>
          </cell>
          <cell r="F54" t="str">
            <v>سفيزف</v>
          </cell>
          <cell r="G54" t="str">
            <v>3ت ا ق2</v>
          </cell>
          <cell r="H54" t="str">
            <v xml:space="preserve">خارجي </v>
          </cell>
          <cell r="I54" t="str">
            <v>خ</v>
          </cell>
          <cell r="J54" t="str">
            <v>نورالدين</v>
          </cell>
          <cell r="K54" t="str">
            <v>موظف</v>
          </cell>
          <cell r="L54" t="str">
            <v>حي أوهيبة ميلود سفيزف</v>
          </cell>
          <cell r="M54">
            <v>0</v>
          </cell>
          <cell r="N54">
            <v>0</v>
          </cell>
          <cell r="O54" t="str">
            <v>بوجلال  نورالدين</v>
          </cell>
        </row>
        <row r="55">
          <cell r="A55">
            <v>47</v>
          </cell>
          <cell r="B55" t="str">
            <v>بولحية  خيرة</v>
          </cell>
          <cell r="C55" t="str">
            <v>بولحية</v>
          </cell>
          <cell r="D55" t="str">
            <v>خيرة</v>
          </cell>
          <cell r="E55">
            <v>38643</v>
          </cell>
          <cell r="F55" t="str">
            <v>سفيزف</v>
          </cell>
          <cell r="G55" t="str">
            <v>3ت ا ق2</v>
          </cell>
          <cell r="H55" t="str">
            <v>خارجية</v>
          </cell>
          <cell r="I55" t="str">
            <v>خ</v>
          </cell>
          <cell r="J55" t="str">
            <v>حبيب</v>
          </cell>
          <cell r="K55" t="str">
            <v>لا شئ</v>
          </cell>
          <cell r="L55" t="str">
            <v>حي بوعسرية البشير سفيزف</v>
          </cell>
          <cell r="M55">
            <v>0</v>
          </cell>
          <cell r="N55">
            <v>0</v>
          </cell>
          <cell r="O55" t="str">
            <v>بولحية  حبيب</v>
          </cell>
        </row>
        <row r="56">
          <cell r="A56">
            <v>48</v>
          </cell>
          <cell r="B56" t="str">
            <v>جفال  محمد عبدالرحمان</v>
          </cell>
          <cell r="C56" t="str">
            <v>جفال</v>
          </cell>
          <cell r="D56" t="str">
            <v>محمد عبدالرحمان</v>
          </cell>
          <cell r="E56">
            <v>38343</v>
          </cell>
          <cell r="F56" t="str">
            <v>س بلعباس</v>
          </cell>
          <cell r="G56" t="str">
            <v>3ت ا ق2</v>
          </cell>
          <cell r="H56" t="str">
            <v xml:space="preserve">خارجي </v>
          </cell>
          <cell r="I56" t="str">
            <v>خ</v>
          </cell>
          <cell r="J56" t="str">
            <v>عبدالقادر</v>
          </cell>
          <cell r="K56" t="str">
            <v>حداد</v>
          </cell>
          <cell r="L56" t="str">
            <v>36شارع حداد قادة سفيزف</v>
          </cell>
          <cell r="M56">
            <v>0</v>
          </cell>
          <cell r="N56">
            <v>0</v>
          </cell>
          <cell r="O56" t="str">
            <v>جفال  عبدالقادر</v>
          </cell>
        </row>
        <row r="57">
          <cell r="A57">
            <v>49</v>
          </cell>
          <cell r="B57" t="str">
            <v>حفاظ  عمر عبدالحق</v>
          </cell>
          <cell r="C57" t="str">
            <v>حفاظ</v>
          </cell>
          <cell r="D57" t="str">
            <v>عمر عبدالحق</v>
          </cell>
          <cell r="E57">
            <v>38467</v>
          </cell>
          <cell r="F57" t="str">
            <v>سفيزف</v>
          </cell>
          <cell r="G57" t="str">
            <v>3ت ا ق2</v>
          </cell>
          <cell r="H57" t="str">
            <v xml:space="preserve">خارجي </v>
          </cell>
          <cell r="I57" t="str">
            <v>خ</v>
          </cell>
          <cell r="J57" t="str">
            <v>يحي</v>
          </cell>
          <cell r="K57" t="str">
            <v>تاجر</v>
          </cell>
          <cell r="L57" t="str">
            <v>09شارع عويمر محمد سفيزف</v>
          </cell>
          <cell r="M57">
            <v>0</v>
          </cell>
          <cell r="N57">
            <v>0</v>
          </cell>
          <cell r="O57" t="str">
            <v>حفاظ  يحي</v>
          </cell>
        </row>
        <row r="58">
          <cell r="A58">
            <v>50</v>
          </cell>
          <cell r="B58" t="str">
            <v>سليلي  محمد وائل</v>
          </cell>
          <cell r="C58" t="str">
            <v>سليلي</v>
          </cell>
          <cell r="D58" t="str">
            <v>محمد وائل</v>
          </cell>
          <cell r="E58">
            <v>38180</v>
          </cell>
          <cell r="F58" t="str">
            <v>سفيزف</v>
          </cell>
          <cell r="G58" t="str">
            <v>3ت ا ق2</v>
          </cell>
          <cell r="H58" t="str">
            <v xml:space="preserve">خارجي </v>
          </cell>
          <cell r="I58" t="str">
            <v>خ</v>
          </cell>
          <cell r="J58" t="str">
            <v>قادة</v>
          </cell>
          <cell r="K58" t="str">
            <v>متقاعد</v>
          </cell>
          <cell r="L58" t="str">
            <v>حي506سكن سفيزف</v>
          </cell>
          <cell r="M58">
            <v>0</v>
          </cell>
          <cell r="N58">
            <v>0</v>
          </cell>
          <cell r="O58" t="str">
            <v>سليلي  قادة</v>
          </cell>
        </row>
        <row r="59">
          <cell r="A59">
            <v>51</v>
          </cell>
          <cell r="B59" t="str">
            <v>صوافي  الأمير ياسر حسام</v>
          </cell>
          <cell r="C59" t="str">
            <v>صوافي</v>
          </cell>
          <cell r="D59" t="str">
            <v>الأمير ياسر حسام</v>
          </cell>
          <cell r="E59">
            <v>38685</v>
          </cell>
          <cell r="F59" t="str">
            <v>تغنيف</v>
          </cell>
          <cell r="G59" t="str">
            <v>3ت ا ق2</v>
          </cell>
          <cell r="H59" t="str">
            <v xml:space="preserve">خارجي </v>
          </cell>
          <cell r="I59" t="str">
            <v>خ</v>
          </cell>
          <cell r="J59" t="str">
            <v>بوعلام</v>
          </cell>
          <cell r="K59" t="str">
            <v>شرطي</v>
          </cell>
          <cell r="L59" t="str">
            <v>حي الشرطة سفيزف</v>
          </cell>
          <cell r="M59">
            <v>0</v>
          </cell>
          <cell r="N59">
            <v>0</v>
          </cell>
          <cell r="O59" t="str">
            <v>صوافي  بوعلام</v>
          </cell>
        </row>
        <row r="60">
          <cell r="A60">
            <v>52</v>
          </cell>
          <cell r="B60" t="str">
            <v>قداوي  علي عبد الجليل</v>
          </cell>
          <cell r="C60" t="str">
            <v>قداوي</v>
          </cell>
          <cell r="D60" t="str">
            <v>علي عبد الجليل</v>
          </cell>
          <cell r="E60">
            <v>38229</v>
          </cell>
          <cell r="F60" t="str">
            <v>سفيزف</v>
          </cell>
          <cell r="G60" t="str">
            <v>3ت ا ق2</v>
          </cell>
          <cell r="H60" t="str">
            <v>خارجي</v>
          </cell>
          <cell r="I60" t="str">
            <v>خ</v>
          </cell>
          <cell r="J60" t="str">
            <v>زواوي</v>
          </cell>
          <cell r="K60" t="str">
            <v>ممرض</v>
          </cell>
          <cell r="L60" t="str">
            <v>حي141سكن سفيزف</v>
          </cell>
          <cell r="M60">
            <v>0</v>
          </cell>
          <cell r="N60">
            <v>0</v>
          </cell>
          <cell r="O60" t="str">
            <v>قداوي  زواوي</v>
          </cell>
        </row>
        <row r="61">
          <cell r="A61">
            <v>53</v>
          </cell>
          <cell r="B61" t="str">
            <v>قشيح  ايمن</v>
          </cell>
          <cell r="C61" t="str">
            <v>قشيح</v>
          </cell>
          <cell r="D61" t="str">
            <v>ايمن</v>
          </cell>
          <cell r="E61">
            <v>37827</v>
          </cell>
          <cell r="F61" t="str">
            <v>س بلعباس</v>
          </cell>
          <cell r="G61" t="str">
            <v>3ت ا ق2</v>
          </cell>
          <cell r="H61" t="str">
            <v>خارجي</v>
          </cell>
          <cell r="I61" t="str">
            <v>خ</v>
          </cell>
          <cell r="J61" t="str">
            <v>جلول</v>
          </cell>
          <cell r="K61" t="str">
            <v>فلاح</v>
          </cell>
          <cell r="L61" t="str">
            <v>شارع بوخلخال الحبيب سفيزف</v>
          </cell>
          <cell r="M61">
            <v>0</v>
          </cell>
          <cell r="N61">
            <v>0</v>
          </cell>
          <cell r="O61" t="str">
            <v>قشيح  جلول</v>
          </cell>
        </row>
        <row r="62">
          <cell r="A62">
            <v>54</v>
          </cell>
          <cell r="B62" t="str">
            <v>لصلح   عماد الدين</v>
          </cell>
          <cell r="C62" t="str">
            <v xml:space="preserve">لصلح </v>
          </cell>
          <cell r="D62" t="str">
            <v>عماد الدين</v>
          </cell>
          <cell r="E62">
            <v>38842</v>
          </cell>
          <cell r="F62" t="str">
            <v>سفيزف</v>
          </cell>
          <cell r="G62" t="str">
            <v>3ت ا ق2</v>
          </cell>
          <cell r="H62" t="str">
            <v>خارجي</v>
          </cell>
          <cell r="I62" t="str">
            <v>خ</v>
          </cell>
          <cell r="J62" t="str">
            <v>محمد</v>
          </cell>
          <cell r="K62" t="str">
            <v>بناء</v>
          </cell>
          <cell r="L62" t="str">
            <v>09حي طيبي عبدالقادر سفيزف</v>
          </cell>
          <cell r="M62">
            <v>0</v>
          </cell>
          <cell r="N62">
            <v>0</v>
          </cell>
          <cell r="O62" t="str">
            <v>لصلح   محمد</v>
          </cell>
        </row>
        <row r="63">
          <cell r="A63">
            <v>55</v>
          </cell>
          <cell r="B63" t="str">
            <v>لعبدلي    عبد الرحمان</v>
          </cell>
          <cell r="C63" t="str">
            <v xml:space="preserve">لعبدلي </v>
          </cell>
          <cell r="D63" t="str">
            <v xml:space="preserve"> عبد الرحمان</v>
          </cell>
          <cell r="E63">
            <v>39431</v>
          </cell>
          <cell r="F63" t="str">
            <v>سفيزف</v>
          </cell>
          <cell r="G63" t="str">
            <v>3ت ا ق2</v>
          </cell>
          <cell r="H63" t="str">
            <v xml:space="preserve">خارجي </v>
          </cell>
          <cell r="I63" t="str">
            <v>خ</v>
          </cell>
          <cell r="J63" t="str">
            <v>محمد</v>
          </cell>
          <cell r="K63" t="str">
            <v>معلم</v>
          </cell>
          <cell r="L63" t="str">
            <v>11حي بوعسرية بشير سفيزف</v>
          </cell>
          <cell r="M63">
            <v>0</v>
          </cell>
          <cell r="N63">
            <v>0</v>
          </cell>
          <cell r="O63" t="str">
            <v>لعبدلي   محمد</v>
          </cell>
        </row>
        <row r="64">
          <cell r="A64">
            <v>56</v>
          </cell>
          <cell r="B64" t="str">
            <v>مدوني  خديجة</v>
          </cell>
          <cell r="C64" t="str">
            <v>مدوني</v>
          </cell>
          <cell r="D64" t="str">
            <v>خديجة</v>
          </cell>
          <cell r="E64">
            <v>38414</v>
          </cell>
          <cell r="F64" t="str">
            <v>س بلعباس</v>
          </cell>
          <cell r="G64" t="str">
            <v>3ت ا ق2</v>
          </cell>
          <cell r="H64" t="str">
            <v>خارجية</v>
          </cell>
          <cell r="I64" t="str">
            <v>خ</v>
          </cell>
          <cell r="J64" t="str">
            <v>سيدأحمد</v>
          </cell>
          <cell r="K64" t="str">
            <v>تاجر</v>
          </cell>
          <cell r="L64" t="str">
            <v>شارع شهداء تويلة سفيزف</v>
          </cell>
          <cell r="M64">
            <v>0</v>
          </cell>
          <cell r="N64">
            <v>0</v>
          </cell>
          <cell r="O64" t="str">
            <v>مدوني  سيدأحمد</v>
          </cell>
        </row>
        <row r="65">
          <cell r="A65">
            <v>57</v>
          </cell>
          <cell r="B65" t="str">
            <v>مروش   عبد الهادي</v>
          </cell>
          <cell r="C65" t="str">
            <v xml:space="preserve">مروش </v>
          </cell>
          <cell r="D65" t="str">
            <v>عبد الهادي</v>
          </cell>
          <cell r="E65">
            <v>38582</v>
          </cell>
          <cell r="F65" t="str">
            <v>سفيزف</v>
          </cell>
          <cell r="G65" t="str">
            <v>3ت ا ق2</v>
          </cell>
          <cell r="H65" t="str">
            <v>خارجي</v>
          </cell>
          <cell r="I65" t="str">
            <v>خ</v>
          </cell>
          <cell r="J65" t="str">
            <v>قادة</v>
          </cell>
          <cell r="K65" t="str">
            <v>شرطي</v>
          </cell>
          <cell r="L65" t="str">
            <v>حي كشار صحراوي سفيزف</v>
          </cell>
          <cell r="M65">
            <v>0</v>
          </cell>
          <cell r="N65">
            <v>0</v>
          </cell>
          <cell r="O65" t="str">
            <v>مروش   قادة</v>
          </cell>
        </row>
        <row r="66">
          <cell r="A66">
            <v>58</v>
          </cell>
          <cell r="B66" t="str">
            <v>معرف  شيماء</v>
          </cell>
          <cell r="C66" t="str">
            <v>معرف</v>
          </cell>
          <cell r="D66" t="str">
            <v>شيماء</v>
          </cell>
          <cell r="E66">
            <v>38516</v>
          </cell>
          <cell r="F66" t="str">
            <v>سفيزف</v>
          </cell>
          <cell r="G66" t="str">
            <v>3ت ا ق2</v>
          </cell>
          <cell r="H66" t="str">
            <v>خارجية</v>
          </cell>
          <cell r="I66" t="str">
            <v>خ</v>
          </cell>
          <cell r="J66" t="str">
            <v>قادة</v>
          </cell>
          <cell r="K66" t="str">
            <v>لا شئ</v>
          </cell>
          <cell r="L66" t="str">
            <v>حي وسواس مهاجي سفيزف</v>
          </cell>
          <cell r="M66">
            <v>0</v>
          </cell>
          <cell r="N66">
            <v>0</v>
          </cell>
          <cell r="O66" t="str">
            <v>معرف  قادة</v>
          </cell>
        </row>
        <row r="67">
          <cell r="A67">
            <v>59</v>
          </cell>
          <cell r="B67" t="str">
            <v>معطى الله    أية نور الإيمان</v>
          </cell>
          <cell r="C67" t="str">
            <v xml:space="preserve">معطى الله </v>
          </cell>
          <cell r="D67" t="str">
            <v xml:space="preserve"> أية نور الإيمان</v>
          </cell>
          <cell r="E67">
            <v>38870</v>
          </cell>
          <cell r="F67" t="str">
            <v>سفيزف</v>
          </cell>
          <cell r="G67" t="str">
            <v>3ت ا ق2</v>
          </cell>
          <cell r="H67" t="str">
            <v>خارجية</v>
          </cell>
          <cell r="I67" t="str">
            <v>خ</v>
          </cell>
          <cell r="J67" t="str">
            <v>خليفة</v>
          </cell>
          <cell r="K67" t="str">
            <v>عامل</v>
          </cell>
          <cell r="L67" t="str">
            <v>شارع قسيس حاج سفيزف</v>
          </cell>
          <cell r="M67">
            <v>0</v>
          </cell>
          <cell r="N67">
            <v>0</v>
          </cell>
          <cell r="O67" t="str">
            <v>معطى الله   خليفة</v>
          </cell>
        </row>
        <row r="68">
          <cell r="A68">
            <v>60</v>
          </cell>
          <cell r="B68" t="str">
            <v>مولقعدة    نور الشمس</v>
          </cell>
          <cell r="C68" t="str">
            <v xml:space="preserve">مولقعدة </v>
          </cell>
          <cell r="D68" t="str">
            <v xml:space="preserve"> نور الشمس</v>
          </cell>
          <cell r="E68">
            <v>39311</v>
          </cell>
          <cell r="F68" t="str">
            <v>سفيزف</v>
          </cell>
          <cell r="G68" t="str">
            <v>3ت ا ق2</v>
          </cell>
          <cell r="H68" t="str">
            <v>خارجية</v>
          </cell>
          <cell r="I68" t="str">
            <v>خ</v>
          </cell>
          <cell r="J68" t="str">
            <v>يحي</v>
          </cell>
          <cell r="K68" t="str">
            <v>رصاص</v>
          </cell>
          <cell r="L68" t="str">
            <v>شارع مرابط بومدين سفيزف</v>
          </cell>
          <cell r="M68">
            <v>0</v>
          </cell>
          <cell r="N68">
            <v>0</v>
          </cell>
          <cell r="O68" t="str">
            <v>مولقعدة   يحي</v>
          </cell>
        </row>
        <row r="69">
          <cell r="A69">
            <v>61</v>
          </cell>
          <cell r="B69" t="str">
            <v>نوالة  محمد اسامة</v>
          </cell>
          <cell r="C69" t="str">
            <v>نوالة</v>
          </cell>
          <cell r="D69" t="str">
            <v>محمد اسامة</v>
          </cell>
          <cell r="E69">
            <v>38679</v>
          </cell>
          <cell r="F69" t="str">
            <v>س بلعباس</v>
          </cell>
          <cell r="G69" t="str">
            <v>3ت ا ق2</v>
          </cell>
          <cell r="H69" t="str">
            <v>خارجي</v>
          </cell>
          <cell r="I69" t="str">
            <v>خ</v>
          </cell>
          <cell r="J69" t="str">
            <v>الطيب</v>
          </cell>
          <cell r="K69" t="str">
            <v>موظف</v>
          </cell>
          <cell r="L69" t="str">
            <v>شارع بنابي عبدالقادر سفيزف</v>
          </cell>
          <cell r="M69">
            <v>0</v>
          </cell>
          <cell r="N69">
            <v>0</v>
          </cell>
          <cell r="O69" t="str">
            <v>نوالة  الطيب</v>
          </cell>
        </row>
        <row r="70">
          <cell r="A70">
            <v>62</v>
          </cell>
          <cell r="B70" t="str">
            <v>يملول  الحاج محمد</v>
          </cell>
          <cell r="C70" t="str">
            <v>يملول</v>
          </cell>
          <cell r="D70" t="str">
            <v>الحاج محمد</v>
          </cell>
          <cell r="E70">
            <v>38558</v>
          </cell>
          <cell r="F70" t="str">
            <v>سفيزف</v>
          </cell>
          <cell r="G70" t="str">
            <v>3ت ا ق2</v>
          </cell>
          <cell r="H70" t="str">
            <v xml:space="preserve">خارجي </v>
          </cell>
          <cell r="I70" t="str">
            <v>خ</v>
          </cell>
          <cell r="J70" t="str">
            <v>عبدالله</v>
          </cell>
          <cell r="K70" t="str">
            <v>لا شئ</v>
          </cell>
          <cell r="L70" t="str">
            <v>حي156سكن سفيزف</v>
          </cell>
          <cell r="M70">
            <v>0</v>
          </cell>
          <cell r="N70">
            <v>0</v>
          </cell>
          <cell r="O70" t="str">
            <v>يملول  عبدالله</v>
          </cell>
        </row>
        <row r="71">
          <cell r="A71">
            <v>63</v>
          </cell>
          <cell r="B71" t="str">
            <v>حمزات    شيماء</v>
          </cell>
          <cell r="C71" t="str">
            <v xml:space="preserve">حمزات </v>
          </cell>
          <cell r="D71" t="str">
            <v xml:space="preserve"> شيماء</v>
          </cell>
          <cell r="E71">
            <v>39035</v>
          </cell>
          <cell r="F71" t="str">
            <v>س بلعباس</v>
          </cell>
          <cell r="G71" t="str">
            <v>3ع ت1</v>
          </cell>
          <cell r="H71" t="str">
            <v>ن/داخلية</v>
          </cell>
          <cell r="I71" t="str">
            <v>ن/د</v>
          </cell>
          <cell r="J71" t="str">
            <v>مختار</v>
          </cell>
          <cell r="K71" t="str">
            <v>متوفي</v>
          </cell>
          <cell r="L71" t="str">
            <v>قرية بلبوش</v>
          </cell>
          <cell r="M71">
            <v>0</v>
          </cell>
          <cell r="N71">
            <v>0</v>
          </cell>
          <cell r="O71" t="str">
            <v>حمزات   مختار</v>
          </cell>
        </row>
        <row r="72">
          <cell r="A72">
            <v>64</v>
          </cell>
          <cell r="B72" t="str">
            <v>دار نموس  يمينة</v>
          </cell>
          <cell r="C72" t="str">
            <v>دار نموس</v>
          </cell>
          <cell r="D72" t="str">
            <v>يمينة</v>
          </cell>
          <cell r="E72">
            <v>38035</v>
          </cell>
          <cell r="F72" t="str">
            <v>س بلعباس</v>
          </cell>
          <cell r="G72" t="str">
            <v>3ع ت1</v>
          </cell>
          <cell r="H72" t="str">
            <v>ن/داخلية</v>
          </cell>
          <cell r="I72" t="str">
            <v>ن/د</v>
          </cell>
          <cell r="J72" t="str">
            <v>حنيفي</v>
          </cell>
          <cell r="K72" t="str">
            <v>لا شئ</v>
          </cell>
          <cell r="L72" t="str">
            <v>عين آدن</v>
          </cell>
          <cell r="M72">
            <v>0</v>
          </cell>
          <cell r="N72">
            <v>0</v>
          </cell>
          <cell r="O72" t="str">
            <v>دار نموس  حنيفي</v>
          </cell>
        </row>
        <row r="73">
          <cell r="A73">
            <v>65</v>
          </cell>
          <cell r="B73" t="str">
            <v>دوكالي   شيماء</v>
          </cell>
          <cell r="C73" t="str">
            <v>دوكالي</v>
          </cell>
          <cell r="D73" t="str">
            <v xml:space="preserve"> شيماء</v>
          </cell>
          <cell r="E73">
            <v>38956</v>
          </cell>
          <cell r="F73" t="str">
            <v>سفيزف</v>
          </cell>
          <cell r="G73" t="str">
            <v>3ع ت1</v>
          </cell>
          <cell r="H73" t="str">
            <v>ن/داخلية</v>
          </cell>
          <cell r="I73" t="str">
            <v>ن/د</v>
          </cell>
          <cell r="J73" t="str">
            <v>ميلود</v>
          </cell>
          <cell r="K73" t="str">
            <v>عامل</v>
          </cell>
          <cell r="L73" t="str">
            <v>عين آدن</v>
          </cell>
          <cell r="M73">
            <v>0</v>
          </cell>
          <cell r="N73">
            <v>0</v>
          </cell>
          <cell r="O73" t="str">
            <v>دوكالي  ميلود</v>
          </cell>
        </row>
        <row r="74">
          <cell r="A74">
            <v>66</v>
          </cell>
          <cell r="B74" t="str">
            <v>قسوم   امنة</v>
          </cell>
          <cell r="C74" t="str">
            <v xml:space="preserve">قسوم </v>
          </cell>
          <cell r="D74" t="str">
            <v>امنة</v>
          </cell>
          <cell r="E74">
            <v>38828</v>
          </cell>
          <cell r="F74" t="str">
            <v>سفيزف</v>
          </cell>
          <cell r="G74" t="str">
            <v>3ع ت1</v>
          </cell>
          <cell r="H74" t="str">
            <v>ن/داخلية</v>
          </cell>
          <cell r="I74" t="str">
            <v>ن/د</v>
          </cell>
          <cell r="J74" t="str">
            <v>سعيد</v>
          </cell>
          <cell r="K74" t="str">
            <v>متقاعد</v>
          </cell>
          <cell r="L74" t="str">
            <v>عين آدن</v>
          </cell>
          <cell r="M74">
            <v>0</v>
          </cell>
          <cell r="N74">
            <v>0</v>
          </cell>
          <cell r="O74" t="str">
            <v>قسوم   سعيد</v>
          </cell>
        </row>
        <row r="75">
          <cell r="A75">
            <v>67</v>
          </cell>
          <cell r="B75" t="str">
            <v>لحرش   وئام</v>
          </cell>
          <cell r="C75" t="str">
            <v>لحرش</v>
          </cell>
          <cell r="D75" t="str">
            <v xml:space="preserve"> وئام</v>
          </cell>
          <cell r="E75">
            <v>38909</v>
          </cell>
          <cell r="F75" t="str">
            <v>سفيزف</v>
          </cell>
          <cell r="G75" t="str">
            <v>3ع ت1</v>
          </cell>
          <cell r="H75" t="str">
            <v>ن/داخلية</v>
          </cell>
          <cell r="I75" t="str">
            <v>ن/د</v>
          </cell>
          <cell r="J75" t="str">
            <v>زواوي</v>
          </cell>
          <cell r="K75" t="str">
            <v>متقاعد</v>
          </cell>
          <cell r="L75" t="str">
            <v>عين آدن</v>
          </cell>
          <cell r="M75">
            <v>0</v>
          </cell>
          <cell r="N75">
            <v>0</v>
          </cell>
          <cell r="O75" t="str">
            <v>لحرش  زواوي</v>
          </cell>
        </row>
        <row r="76">
          <cell r="A76">
            <v>0</v>
          </cell>
          <cell r="B76">
            <v>0</v>
          </cell>
        </row>
        <row r="77">
          <cell r="A77">
            <v>68</v>
          </cell>
          <cell r="B77" t="str">
            <v>إبري  يوسف</v>
          </cell>
          <cell r="C77" t="str">
            <v>إبري</v>
          </cell>
          <cell r="D77" t="str">
            <v>يوسف</v>
          </cell>
          <cell r="E77">
            <v>38862</v>
          </cell>
          <cell r="F77" t="str">
            <v>س بلعباس</v>
          </cell>
          <cell r="G77" t="str">
            <v>3ع ت1</v>
          </cell>
          <cell r="H77" t="str">
            <v>خارجي</v>
          </cell>
          <cell r="I77" t="str">
            <v>خ</v>
          </cell>
          <cell r="J77" t="str">
            <v>لحسن</v>
          </cell>
          <cell r="K77" t="str">
            <v>موظف</v>
          </cell>
          <cell r="L77" t="str">
            <v>06حي28سكن سفيزف</v>
          </cell>
          <cell r="M77">
            <v>0</v>
          </cell>
          <cell r="N77">
            <v>0</v>
          </cell>
          <cell r="O77" t="str">
            <v>إبري  لحسن</v>
          </cell>
        </row>
        <row r="78">
          <cell r="A78">
            <v>69</v>
          </cell>
          <cell r="B78" t="str">
            <v>بشير رحو  نورالهدى</v>
          </cell>
          <cell r="C78" t="str">
            <v>بشير رحو</v>
          </cell>
          <cell r="D78" t="str">
            <v>نورالهدى</v>
          </cell>
          <cell r="E78">
            <v>39002</v>
          </cell>
          <cell r="F78" t="str">
            <v>عين البرد</v>
          </cell>
          <cell r="G78" t="str">
            <v>3ع ت1</v>
          </cell>
          <cell r="H78" t="str">
            <v>خارجية</v>
          </cell>
          <cell r="I78" t="str">
            <v>خ</v>
          </cell>
          <cell r="J78" t="str">
            <v>يوسف</v>
          </cell>
          <cell r="K78" t="str">
            <v>متقاعد</v>
          </cell>
          <cell r="L78" t="str">
            <v>حي214سكن سفيزف</v>
          </cell>
          <cell r="M78">
            <v>0</v>
          </cell>
          <cell r="N78">
            <v>0</v>
          </cell>
          <cell r="O78" t="str">
            <v>بشير رحو  يوسف</v>
          </cell>
        </row>
        <row r="79">
          <cell r="A79">
            <v>70</v>
          </cell>
          <cell r="B79" t="str">
            <v>بكار   حسام</v>
          </cell>
          <cell r="C79" t="str">
            <v>بكار</v>
          </cell>
          <cell r="D79" t="str">
            <v xml:space="preserve"> حسام</v>
          </cell>
          <cell r="E79">
            <v>38920</v>
          </cell>
          <cell r="F79" t="str">
            <v>سفيزف</v>
          </cell>
          <cell r="G79" t="str">
            <v>3ع ت1</v>
          </cell>
          <cell r="H79" t="str">
            <v xml:space="preserve">خارجي </v>
          </cell>
          <cell r="I79" t="str">
            <v>خ</v>
          </cell>
          <cell r="J79" t="str">
            <v>رفاس</v>
          </cell>
          <cell r="K79" t="str">
            <v>بناء</v>
          </cell>
          <cell r="L79" t="str">
            <v>حي كشار صحراوي سفيزف</v>
          </cell>
          <cell r="M79">
            <v>0</v>
          </cell>
          <cell r="N79">
            <v>0</v>
          </cell>
          <cell r="O79" t="str">
            <v>بكار  رفاس</v>
          </cell>
        </row>
        <row r="80">
          <cell r="A80">
            <v>71</v>
          </cell>
          <cell r="B80" t="str">
            <v>بلعباس    رجاء</v>
          </cell>
          <cell r="C80" t="str">
            <v xml:space="preserve">بلعباس </v>
          </cell>
          <cell r="D80" t="str">
            <v xml:space="preserve"> رجاء</v>
          </cell>
          <cell r="E80">
            <v>39168</v>
          </cell>
          <cell r="F80" t="str">
            <v>بني سليمان-المدية-</v>
          </cell>
          <cell r="G80" t="str">
            <v>3ع ت1</v>
          </cell>
          <cell r="H80" t="str">
            <v>خارجية</v>
          </cell>
          <cell r="I80" t="str">
            <v>خ</v>
          </cell>
          <cell r="J80" t="str">
            <v>قادة بن جيلالي</v>
          </cell>
          <cell r="K80" t="str">
            <v>متقاعد</v>
          </cell>
          <cell r="L80" t="str">
            <v>11حي115سكن سفيزف</v>
          </cell>
          <cell r="M80">
            <v>0</v>
          </cell>
          <cell r="N80">
            <v>0</v>
          </cell>
          <cell r="O80" t="str">
            <v>بلعباس   قادة بن جيلالي</v>
          </cell>
        </row>
        <row r="81">
          <cell r="A81">
            <v>72</v>
          </cell>
          <cell r="B81" t="str">
            <v>بن شيخ  عيادة</v>
          </cell>
          <cell r="C81" t="str">
            <v>بن شيخ</v>
          </cell>
          <cell r="D81" t="str">
            <v>عيادة</v>
          </cell>
          <cell r="E81">
            <v>38630</v>
          </cell>
          <cell r="F81" t="str">
            <v>س بلعباس</v>
          </cell>
          <cell r="G81" t="str">
            <v>3ع ت1</v>
          </cell>
          <cell r="H81" t="str">
            <v>خارجية</v>
          </cell>
          <cell r="I81" t="str">
            <v>خ</v>
          </cell>
          <cell r="J81" t="str">
            <v>يحي</v>
          </cell>
          <cell r="K81" t="str">
            <v>موظف</v>
          </cell>
          <cell r="L81" t="str">
            <v>شارع إيختار علي سفيزف</v>
          </cell>
          <cell r="M81">
            <v>0</v>
          </cell>
          <cell r="N81">
            <v>0</v>
          </cell>
          <cell r="O81" t="str">
            <v>بن شيخ  يحي</v>
          </cell>
        </row>
        <row r="82">
          <cell r="A82">
            <v>73</v>
          </cell>
          <cell r="B82" t="str">
            <v>بن هادي   نسرين</v>
          </cell>
          <cell r="C82" t="str">
            <v>بن هادي</v>
          </cell>
          <cell r="D82" t="str">
            <v xml:space="preserve"> نسرين</v>
          </cell>
          <cell r="E82">
            <v>38962</v>
          </cell>
          <cell r="F82" t="str">
            <v>سفيزف</v>
          </cell>
          <cell r="G82" t="str">
            <v>3ع ت1</v>
          </cell>
          <cell r="H82" t="str">
            <v>خارجية</v>
          </cell>
          <cell r="I82" t="str">
            <v>خ</v>
          </cell>
          <cell r="J82" t="str">
            <v>محمد</v>
          </cell>
          <cell r="K82" t="str">
            <v>بناء</v>
          </cell>
          <cell r="L82" t="str">
            <v>حي طيبي عبدالقادر سفيزف</v>
          </cell>
          <cell r="M82">
            <v>0</v>
          </cell>
          <cell r="N82">
            <v>0</v>
          </cell>
          <cell r="O82" t="str">
            <v>بن هادي  محمد</v>
          </cell>
        </row>
        <row r="83">
          <cell r="A83">
            <v>74</v>
          </cell>
          <cell r="B83" t="str">
            <v>بوجلال  محمد ابراهيم</v>
          </cell>
          <cell r="C83" t="str">
            <v>بوجلال</v>
          </cell>
          <cell r="D83" t="str">
            <v>محمد ابراهيم</v>
          </cell>
          <cell r="E83">
            <v>38470</v>
          </cell>
          <cell r="F83" t="str">
            <v>س بلعباس</v>
          </cell>
          <cell r="G83" t="str">
            <v>3ع ت1</v>
          </cell>
          <cell r="H83" t="str">
            <v>خارجي</v>
          </cell>
          <cell r="I83" t="str">
            <v>خ</v>
          </cell>
          <cell r="J83" t="str">
            <v>أحمد</v>
          </cell>
          <cell r="K83" t="str">
            <v>متقاعد</v>
          </cell>
          <cell r="L83" t="str">
            <v>حي كشار الحبيب سفيزف</v>
          </cell>
          <cell r="M83">
            <v>0</v>
          </cell>
          <cell r="N83">
            <v>0</v>
          </cell>
          <cell r="O83" t="str">
            <v>بوجلال  أحمد</v>
          </cell>
        </row>
        <row r="84">
          <cell r="A84">
            <v>75</v>
          </cell>
          <cell r="B84" t="str">
            <v>بوشنافي    عبد الرحمن</v>
          </cell>
          <cell r="C84" t="str">
            <v xml:space="preserve">بوشنافي </v>
          </cell>
          <cell r="D84" t="str">
            <v xml:space="preserve"> عبد الرحمن</v>
          </cell>
          <cell r="E84">
            <v>38893</v>
          </cell>
          <cell r="F84" t="str">
            <v>س بلعباس</v>
          </cell>
          <cell r="G84" t="str">
            <v>3ع ت1</v>
          </cell>
          <cell r="H84" t="str">
            <v xml:space="preserve">خارجي </v>
          </cell>
          <cell r="I84" t="str">
            <v>خ</v>
          </cell>
          <cell r="J84" t="str">
            <v>محمد</v>
          </cell>
          <cell r="K84" t="str">
            <v>أستاذ</v>
          </cell>
          <cell r="L84" t="str">
            <v>حي السوريكور سفيزف</v>
          </cell>
          <cell r="M84">
            <v>0</v>
          </cell>
          <cell r="N84">
            <v>0</v>
          </cell>
          <cell r="O84" t="str">
            <v>بوشنافي   محمد</v>
          </cell>
        </row>
        <row r="85">
          <cell r="A85">
            <v>76</v>
          </cell>
          <cell r="B85" t="str">
            <v>بونعجة  زكرياء</v>
          </cell>
          <cell r="C85" t="str">
            <v>بونعجة</v>
          </cell>
          <cell r="D85" t="str">
            <v>زكرياء</v>
          </cell>
          <cell r="E85">
            <v>38737</v>
          </cell>
          <cell r="F85" t="str">
            <v>القبة</v>
          </cell>
          <cell r="G85" t="str">
            <v>3ع ت1</v>
          </cell>
          <cell r="H85" t="str">
            <v>خارجي</v>
          </cell>
          <cell r="I85" t="str">
            <v>خ</v>
          </cell>
          <cell r="J85" t="str">
            <v>زواوي</v>
          </cell>
          <cell r="K85" t="str">
            <v>متقاعد</v>
          </cell>
          <cell r="L85" t="str">
            <v>حي طيبي عبدالقادر سفيزف</v>
          </cell>
          <cell r="M85">
            <v>0</v>
          </cell>
          <cell r="N85">
            <v>0</v>
          </cell>
          <cell r="O85" t="str">
            <v>بونعجة  زواوي</v>
          </cell>
        </row>
        <row r="86">
          <cell r="A86">
            <v>77</v>
          </cell>
          <cell r="B86" t="str">
            <v>جلال    انس</v>
          </cell>
          <cell r="C86" t="str">
            <v xml:space="preserve">جلال </v>
          </cell>
          <cell r="D86" t="str">
            <v xml:space="preserve"> انس</v>
          </cell>
          <cell r="E86">
            <v>38867</v>
          </cell>
          <cell r="F86" t="str">
            <v>سفيزف</v>
          </cell>
          <cell r="G86" t="str">
            <v>3ع ت1</v>
          </cell>
          <cell r="H86" t="str">
            <v>خارجي</v>
          </cell>
          <cell r="I86" t="str">
            <v>خ</v>
          </cell>
          <cell r="J86" t="str">
            <v>بن عيسى</v>
          </cell>
          <cell r="K86" t="str">
            <v>متقاعد</v>
          </cell>
          <cell r="L86" t="str">
            <v>حي بوعسرية البشير سفيزف</v>
          </cell>
          <cell r="M86">
            <v>0</v>
          </cell>
          <cell r="N86">
            <v>0</v>
          </cell>
          <cell r="O86" t="str">
            <v>جلال   بن عيسى</v>
          </cell>
        </row>
        <row r="87">
          <cell r="A87">
            <v>78</v>
          </cell>
          <cell r="B87" t="str">
            <v>حافظ  إيمان</v>
          </cell>
          <cell r="C87" t="str">
            <v>حافظ</v>
          </cell>
          <cell r="D87" t="str">
            <v>إيمان</v>
          </cell>
          <cell r="E87">
            <v>38862</v>
          </cell>
          <cell r="F87" t="str">
            <v>سفيزف</v>
          </cell>
          <cell r="G87" t="str">
            <v>3ع ت1</v>
          </cell>
          <cell r="H87" t="str">
            <v>خارجية</v>
          </cell>
          <cell r="I87" t="str">
            <v>خ</v>
          </cell>
          <cell r="J87" t="str">
            <v>محمد</v>
          </cell>
          <cell r="K87" t="str">
            <v>متقاعد</v>
          </cell>
          <cell r="L87" t="str">
            <v>شارع المقراني محمد سفيزف</v>
          </cell>
          <cell r="M87">
            <v>0</v>
          </cell>
          <cell r="N87">
            <v>0</v>
          </cell>
          <cell r="O87" t="str">
            <v>حافظ  محمد</v>
          </cell>
        </row>
        <row r="88">
          <cell r="A88">
            <v>79</v>
          </cell>
          <cell r="B88" t="str">
            <v>حفاظ   مريم</v>
          </cell>
          <cell r="C88" t="str">
            <v>حفاظ</v>
          </cell>
          <cell r="D88" t="str">
            <v xml:space="preserve"> مريم</v>
          </cell>
          <cell r="E88">
            <v>38988</v>
          </cell>
          <cell r="F88" t="str">
            <v>سفيزف</v>
          </cell>
          <cell r="G88" t="str">
            <v>3ع ت1</v>
          </cell>
          <cell r="H88" t="str">
            <v>خارجية</v>
          </cell>
          <cell r="I88" t="str">
            <v>خ</v>
          </cell>
          <cell r="J88" t="str">
            <v>عبدالقادر</v>
          </cell>
          <cell r="K88" t="str">
            <v>معلم قرآن</v>
          </cell>
          <cell r="L88" t="str">
            <v>181شارع برباح مهاجي سفيزف</v>
          </cell>
          <cell r="M88">
            <v>0</v>
          </cell>
          <cell r="N88">
            <v>0</v>
          </cell>
          <cell r="O88" t="str">
            <v>حفاظ  عبدالقادر</v>
          </cell>
        </row>
        <row r="89">
          <cell r="A89">
            <v>80</v>
          </cell>
          <cell r="B89" t="str">
            <v>رحموني  سلسبيل</v>
          </cell>
          <cell r="C89" t="str">
            <v>رحموني</v>
          </cell>
          <cell r="D89" t="str">
            <v>سلسبيل</v>
          </cell>
          <cell r="E89">
            <v>38317</v>
          </cell>
          <cell r="F89" t="str">
            <v>سفيزف</v>
          </cell>
          <cell r="G89" t="str">
            <v>3ع ت1</v>
          </cell>
          <cell r="H89" t="str">
            <v>خارجية</v>
          </cell>
          <cell r="I89" t="str">
            <v>خ</v>
          </cell>
          <cell r="J89" t="str">
            <v>محمد</v>
          </cell>
          <cell r="K89" t="str">
            <v>متقاعد</v>
          </cell>
          <cell r="L89" t="str">
            <v>75شارع هتراف أحمد سفيزف</v>
          </cell>
          <cell r="M89">
            <v>0</v>
          </cell>
          <cell r="N89">
            <v>0</v>
          </cell>
          <cell r="O89" t="str">
            <v>رحموني  محمد</v>
          </cell>
        </row>
        <row r="90">
          <cell r="A90">
            <v>81</v>
          </cell>
          <cell r="B90" t="str">
            <v>رويس   أحلام هاجر</v>
          </cell>
          <cell r="C90" t="str">
            <v xml:space="preserve">رويس </v>
          </cell>
          <cell r="D90" t="str">
            <v>أحلام هاجر</v>
          </cell>
          <cell r="E90">
            <v>38886</v>
          </cell>
          <cell r="F90" t="str">
            <v>س بلعباس</v>
          </cell>
          <cell r="G90" t="str">
            <v>3ع ت1</v>
          </cell>
          <cell r="H90" t="str">
            <v>خارجية</v>
          </cell>
          <cell r="I90" t="str">
            <v>خ</v>
          </cell>
          <cell r="J90" t="str">
            <v>لخضر</v>
          </cell>
          <cell r="K90" t="str">
            <v>متقاعد</v>
          </cell>
          <cell r="L90" t="str">
            <v>شارع مسقم محمد سفيزف</v>
          </cell>
          <cell r="M90">
            <v>0</v>
          </cell>
          <cell r="N90">
            <v>0</v>
          </cell>
          <cell r="O90" t="str">
            <v>رويس   لخضر</v>
          </cell>
        </row>
        <row r="91">
          <cell r="A91">
            <v>82</v>
          </cell>
          <cell r="B91" t="str">
            <v>زعتر  خضرة أسماء</v>
          </cell>
          <cell r="C91" t="str">
            <v>زعتر</v>
          </cell>
          <cell r="D91" t="str">
            <v>خضرة أسماء</v>
          </cell>
          <cell r="E91">
            <v>39181</v>
          </cell>
          <cell r="F91" t="str">
            <v>سفيزف</v>
          </cell>
          <cell r="G91" t="str">
            <v>3ع ت1</v>
          </cell>
          <cell r="H91" t="str">
            <v>خارجية</v>
          </cell>
          <cell r="I91" t="str">
            <v>خ</v>
          </cell>
          <cell r="J91" t="str">
            <v>يحي</v>
          </cell>
          <cell r="K91" t="str">
            <v xml:space="preserve">مدير </v>
          </cell>
          <cell r="L91" t="str">
            <v>حي506 سكن سفيزف</v>
          </cell>
          <cell r="M91">
            <v>0</v>
          </cell>
          <cell r="N91">
            <v>0</v>
          </cell>
          <cell r="O91" t="str">
            <v>زعتر  يحي</v>
          </cell>
        </row>
        <row r="92">
          <cell r="A92">
            <v>83</v>
          </cell>
          <cell r="B92" t="str">
            <v>سلام  عبد القادر</v>
          </cell>
          <cell r="C92" t="str">
            <v>سلام</v>
          </cell>
          <cell r="D92" t="str">
            <v>عبد القادر</v>
          </cell>
          <cell r="E92">
            <v>39050</v>
          </cell>
          <cell r="F92" t="str">
            <v>سفيزف</v>
          </cell>
          <cell r="G92" t="str">
            <v>3ع ت1</v>
          </cell>
          <cell r="H92" t="str">
            <v>خارجي</v>
          </cell>
          <cell r="I92" t="str">
            <v>خ</v>
          </cell>
          <cell r="J92" t="str">
            <v>تامي</v>
          </cell>
          <cell r="K92" t="str">
            <v>متقاعد</v>
          </cell>
          <cell r="L92" t="str">
            <v>10شارع بورزيق بن ديدة سفيزف</v>
          </cell>
          <cell r="M92">
            <v>0</v>
          </cell>
          <cell r="N92">
            <v>0</v>
          </cell>
          <cell r="O92" t="str">
            <v>سلام  تامي</v>
          </cell>
        </row>
        <row r="93">
          <cell r="A93">
            <v>84</v>
          </cell>
          <cell r="B93" t="str">
            <v>سنوسي عنتر    عبد القادر معاذ</v>
          </cell>
          <cell r="C93" t="str">
            <v xml:space="preserve">سنوسي عنتر </v>
          </cell>
          <cell r="D93" t="str">
            <v xml:space="preserve"> عبد القادر معاذ</v>
          </cell>
          <cell r="E93">
            <v>38926</v>
          </cell>
          <cell r="F93" t="str">
            <v>سفيزف</v>
          </cell>
          <cell r="G93" t="str">
            <v>3ع ت1</v>
          </cell>
          <cell r="H93" t="str">
            <v>خارجي</v>
          </cell>
          <cell r="I93" t="str">
            <v>خ</v>
          </cell>
          <cell r="J93" t="str">
            <v>محمد</v>
          </cell>
          <cell r="K93" t="str">
            <v>مقاول</v>
          </cell>
          <cell r="L93" t="str">
            <v>حي السوريكور سفيزف</v>
          </cell>
          <cell r="M93">
            <v>0</v>
          </cell>
          <cell r="N93">
            <v>0</v>
          </cell>
          <cell r="O93" t="str">
            <v>سنوسي عنتر   محمد</v>
          </cell>
        </row>
        <row r="94">
          <cell r="A94">
            <v>85</v>
          </cell>
          <cell r="B94" t="str">
            <v>شجعي  محمد الامين</v>
          </cell>
          <cell r="C94" t="str">
            <v>شجعي</v>
          </cell>
          <cell r="D94" t="str">
            <v>محمد الامين</v>
          </cell>
          <cell r="E94">
            <v>38482</v>
          </cell>
          <cell r="F94" t="str">
            <v>س بلعباس</v>
          </cell>
          <cell r="G94" t="str">
            <v>3ع ت1</v>
          </cell>
          <cell r="H94" t="str">
            <v>خارجي</v>
          </cell>
          <cell r="I94" t="str">
            <v>خ</v>
          </cell>
          <cell r="J94" t="str">
            <v>عبدالقادر</v>
          </cell>
          <cell r="K94" t="str">
            <v>إمام</v>
          </cell>
          <cell r="L94" t="str">
            <v>03شارع مسقم محمد سفيزف</v>
          </cell>
          <cell r="M94">
            <v>0</v>
          </cell>
          <cell r="N94">
            <v>0</v>
          </cell>
          <cell r="O94" t="str">
            <v>شجعي  عبدالقادر</v>
          </cell>
        </row>
        <row r="95">
          <cell r="A95">
            <v>86</v>
          </cell>
          <cell r="B95" t="str">
            <v>صانا    خيرة انصاف</v>
          </cell>
          <cell r="C95" t="str">
            <v xml:space="preserve">صانا </v>
          </cell>
          <cell r="D95" t="str">
            <v xml:space="preserve"> خيرة انصاف</v>
          </cell>
          <cell r="E95">
            <v>39265</v>
          </cell>
          <cell r="F95" t="str">
            <v>س بلعباس</v>
          </cell>
          <cell r="G95" t="str">
            <v>3ع ت1</v>
          </cell>
          <cell r="H95" t="str">
            <v>خارجية</v>
          </cell>
          <cell r="I95" t="str">
            <v>خ</v>
          </cell>
          <cell r="J95" t="str">
            <v>زواوي</v>
          </cell>
          <cell r="K95" t="str">
            <v>عامل</v>
          </cell>
          <cell r="L95" t="str">
            <v>حي صلات محمد سفيزف</v>
          </cell>
          <cell r="M95">
            <v>0</v>
          </cell>
          <cell r="N95">
            <v>0</v>
          </cell>
          <cell r="O95" t="str">
            <v>صانا   زواوي</v>
          </cell>
        </row>
        <row r="96">
          <cell r="A96">
            <v>87</v>
          </cell>
          <cell r="B96" t="str">
            <v>طعيوش    وسيلة</v>
          </cell>
          <cell r="C96" t="str">
            <v xml:space="preserve">طعيوش </v>
          </cell>
          <cell r="D96" t="str">
            <v xml:space="preserve"> وسيلة</v>
          </cell>
          <cell r="E96">
            <v>38963</v>
          </cell>
          <cell r="F96" t="str">
            <v>سفيزف</v>
          </cell>
          <cell r="G96" t="str">
            <v>3ع ت1</v>
          </cell>
          <cell r="H96" t="str">
            <v>خارجية</v>
          </cell>
          <cell r="I96" t="str">
            <v>خ</v>
          </cell>
          <cell r="J96" t="str">
            <v>عبدالله</v>
          </cell>
          <cell r="K96" t="str">
            <v>تاجر</v>
          </cell>
          <cell r="L96" t="str">
            <v>شارع مسمود بن ديدة سفيزف</v>
          </cell>
          <cell r="M96">
            <v>0</v>
          </cell>
          <cell r="N96">
            <v>0</v>
          </cell>
          <cell r="O96" t="str">
            <v>طعيوش   عبدالله</v>
          </cell>
        </row>
        <row r="97">
          <cell r="A97">
            <v>88</v>
          </cell>
          <cell r="B97" t="str">
            <v>طيبي   نسرين</v>
          </cell>
          <cell r="C97" t="str">
            <v>طيبي</v>
          </cell>
          <cell r="D97" t="str">
            <v xml:space="preserve"> نسرين</v>
          </cell>
          <cell r="E97">
            <v>38977</v>
          </cell>
          <cell r="F97" t="str">
            <v>سفيزف</v>
          </cell>
          <cell r="G97" t="str">
            <v>3ع ت1</v>
          </cell>
          <cell r="H97" t="str">
            <v>خارجية</v>
          </cell>
          <cell r="I97" t="str">
            <v>خ</v>
          </cell>
          <cell r="J97" t="str">
            <v>أحمد</v>
          </cell>
          <cell r="K97" t="str">
            <v>لا شئ</v>
          </cell>
          <cell r="L97" t="str">
            <v>09شارع عبان رمضان سفيزف</v>
          </cell>
          <cell r="M97">
            <v>0</v>
          </cell>
          <cell r="N97">
            <v>0</v>
          </cell>
          <cell r="O97" t="str">
            <v>طيبي  أحمد</v>
          </cell>
        </row>
        <row r="98">
          <cell r="A98">
            <v>89</v>
          </cell>
          <cell r="B98" t="str">
            <v>عراب    وهيبة</v>
          </cell>
          <cell r="C98" t="str">
            <v xml:space="preserve">عراب </v>
          </cell>
          <cell r="D98" t="str">
            <v xml:space="preserve"> وهيبة</v>
          </cell>
          <cell r="E98">
            <v>39082</v>
          </cell>
          <cell r="F98" t="str">
            <v>سفيزف</v>
          </cell>
          <cell r="G98" t="str">
            <v>3ع ت1</v>
          </cell>
          <cell r="H98" t="str">
            <v>خارجية</v>
          </cell>
          <cell r="I98" t="str">
            <v>خ</v>
          </cell>
          <cell r="J98" t="str">
            <v>عبدالله</v>
          </cell>
          <cell r="K98" t="str">
            <v>معلم</v>
          </cell>
          <cell r="L98" t="str">
            <v>12شارع حداد قادة سفيزف</v>
          </cell>
          <cell r="M98">
            <v>0</v>
          </cell>
          <cell r="N98">
            <v>0</v>
          </cell>
          <cell r="O98" t="str">
            <v>عراب   عبدالله</v>
          </cell>
        </row>
        <row r="99">
          <cell r="A99">
            <v>90</v>
          </cell>
          <cell r="B99" t="str">
            <v>كرناف  فادية</v>
          </cell>
          <cell r="C99" t="str">
            <v>كرناف</v>
          </cell>
          <cell r="D99" t="str">
            <v>فادية</v>
          </cell>
          <cell r="E99">
            <v>38553</v>
          </cell>
          <cell r="F99" t="str">
            <v>س بلعباس</v>
          </cell>
          <cell r="G99" t="str">
            <v>3ع ت1</v>
          </cell>
          <cell r="H99" t="str">
            <v>خارجية</v>
          </cell>
          <cell r="I99" t="str">
            <v>خ</v>
          </cell>
          <cell r="J99" t="str">
            <v>محمد</v>
          </cell>
          <cell r="K99" t="str">
            <v>لا شئ</v>
          </cell>
          <cell r="L99" t="str">
            <v>حي24فبراير سفيزف</v>
          </cell>
          <cell r="M99">
            <v>0</v>
          </cell>
          <cell r="N99">
            <v>0</v>
          </cell>
          <cell r="O99" t="str">
            <v>كرناف  محمد</v>
          </cell>
        </row>
        <row r="100">
          <cell r="A100">
            <v>91</v>
          </cell>
          <cell r="B100" t="str">
            <v>لوت  ام كلثوم</v>
          </cell>
          <cell r="C100" t="str">
            <v>لوت</v>
          </cell>
          <cell r="D100" t="str">
            <v>ام كلثوم</v>
          </cell>
          <cell r="E100">
            <v>38625</v>
          </cell>
          <cell r="F100" t="str">
            <v>سفيزف</v>
          </cell>
          <cell r="G100" t="str">
            <v>3ع ت1</v>
          </cell>
          <cell r="H100" t="str">
            <v>خارجية</v>
          </cell>
          <cell r="I100" t="str">
            <v>خ</v>
          </cell>
          <cell r="J100" t="str">
            <v>محمد</v>
          </cell>
          <cell r="K100" t="str">
            <v>أستاذ</v>
          </cell>
          <cell r="L100" t="str">
            <v>10عمارةأ حي115سكن سفيزف</v>
          </cell>
          <cell r="M100">
            <v>0</v>
          </cell>
          <cell r="N100">
            <v>0</v>
          </cell>
          <cell r="O100" t="str">
            <v>لوت  محمد</v>
          </cell>
        </row>
        <row r="101">
          <cell r="A101">
            <v>92</v>
          </cell>
          <cell r="B101" t="str">
            <v>لوهاب    أسماء</v>
          </cell>
          <cell r="C101" t="str">
            <v xml:space="preserve">لوهاب </v>
          </cell>
          <cell r="D101" t="str">
            <v xml:space="preserve"> أسماء</v>
          </cell>
          <cell r="E101">
            <v>39023</v>
          </cell>
          <cell r="F101" t="str">
            <v>س بلعباس</v>
          </cell>
          <cell r="G101" t="str">
            <v>3ع ت1</v>
          </cell>
          <cell r="H101" t="str">
            <v>خارجية</v>
          </cell>
          <cell r="I101" t="str">
            <v>خ</v>
          </cell>
          <cell r="J101" t="str">
            <v>محمد</v>
          </cell>
          <cell r="K101" t="str">
            <v>موظف</v>
          </cell>
          <cell r="L101" t="str">
            <v>39حي24فبراير سفيزف</v>
          </cell>
          <cell r="M101">
            <v>0</v>
          </cell>
          <cell r="N101">
            <v>0</v>
          </cell>
          <cell r="O101" t="str">
            <v>لوهاب   محمد</v>
          </cell>
        </row>
        <row r="102">
          <cell r="A102">
            <v>93</v>
          </cell>
          <cell r="B102" t="str">
            <v>مقدم    مريم الباتول</v>
          </cell>
          <cell r="C102" t="str">
            <v xml:space="preserve">مقدم </v>
          </cell>
          <cell r="D102" t="str">
            <v xml:space="preserve"> مريم الباتول</v>
          </cell>
          <cell r="E102">
            <v>38874</v>
          </cell>
          <cell r="F102" t="str">
            <v>س بلعباس</v>
          </cell>
          <cell r="G102" t="str">
            <v>3ع ت1</v>
          </cell>
          <cell r="H102" t="str">
            <v>خارجية</v>
          </cell>
          <cell r="I102" t="str">
            <v>خ</v>
          </cell>
          <cell r="J102" t="str">
            <v>طيب</v>
          </cell>
          <cell r="K102" t="str">
            <v>موظف</v>
          </cell>
          <cell r="L102" t="str">
            <v>14شارع أحمد زبانة سفيزف</v>
          </cell>
          <cell r="M102">
            <v>0</v>
          </cell>
          <cell r="N102">
            <v>0</v>
          </cell>
          <cell r="O102" t="str">
            <v>مقدم   طيب</v>
          </cell>
        </row>
        <row r="103">
          <cell r="A103">
            <v>94</v>
          </cell>
          <cell r="B103" t="str">
            <v>مقسم  ملاك زهرة</v>
          </cell>
          <cell r="C103" t="str">
            <v>مقسم</v>
          </cell>
          <cell r="D103" t="str">
            <v>ملاك زهرة</v>
          </cell>
          <cell r="E103">
            <v>38800</v>
          </cell>
          <cell r="F103" t="str">
            <v>سفيزف</v>
          </cell>
          <cell r="G103" t="str">
            <v>3ع ت1</v>
          </cell>
          <cell r="H103" t="str">
            <v>خارجية</v>
          </cell>
          <cell r="I103" t="str">
            <v>خ</v>
          </cell>
          <cell r="J103" t="str">
            <v>عبدالقادر</v>
          </cell>
          <cell r="K103" t="str">
            <v>موظف</v>
          </cell>
          <cell r="L103" t="str">
            <v>حي الشرطة سفيزف</v>
          </cell>
          <cell r="M103">
            <v>0</v>
          </cell>
          <cell r="N103">
            <v>0</v>
          </cell>
          <cell r="O103" t="str">
            <v>مقسم  عبدالقادر</v>
          </cell>
        </row>
        <row r="104">
          <cell r="A104">
            <v>95</v>
          </cell>
          <cell r="B104" t="str">
            <v>مناصر  صفاء</v>
          </cell>
          <cell r="C104" t="str">
            <v>مناصر</v>
          </cell>
          <cell r="D104" t="str">
            <v>صفاء</v>
          </cell>
          <cell r="E104">
            <v>39099</v>
          </cell>
          <cell r="F104" t="str">
            <v>تلمسان</v>
          </cell>
          <cell r="G104" t="str">
            <v>3ع ت1</v>
          </cell>
          <cell r="H104" t="str">
            <v>خارجية</v>
          </cell>
          <cell r="I104" t="str">
            <v>خ</v>
          </cell>
          <cell r="J104" t="str">
            <v>يحي</v>
          </cell>
          <cell r="K104" t="str">
            <v>متقاعد</v>
          </cell>
          <cell r="L104" t="str">
            <v>شارع بوخلخال الحبيب سفيزف</v>
          </cell>
          <cell r="M104">
            <v>0</v>
          </cell>
          <cell r="N104">
            <v>0</v>
          </cell>
          <cell r="O104" t="str">
            <v>مناصر  يحي</v>
          </cell>
        </row>
        <row r="105">
          <cell r="A105">
            <v>96</v>
          </cell>
          <cell r="B105" t="str">
            <v>منصورة  هشام عبد الرحمان</v>
          </cell>
          <cell r="C105" t="str">
            <v>منصورة</v>
          </cell>
          <cell r="D105" t="str">
            <v>هشام عبد الرحمان</v>
          </cell>
          <cell r="E105">
            <v>38737</v>
          </cell>
          <cell r="F105" t="str">
            <v>سفيزف</v>
          </cell>
          <cell r="G105" t="str">
            <v>3ع ت1</v>
          </cell>
          <cell r="H105" t="str">
            <v>خارجي</v>
          </cell>
          <cell r="I105" t="str">
            <v>خ</v>
          </cell>
          <cell r="J105" t="str">
            <v>عبدالله</v>
          </cell>
          <cell r="K105" t="str">
            <v>متقاعد</v>
          </cell>
          <cell r="L105" t="str">
            <v>شارع عيسات ايدير سفيزف</v>
          </cell>
          <cell r="M105">
            <v>0</v>
          </cell>
          <cell r="N105">
            <v>0</v>
          </cell>
          <cell r="O105" t="str">
            <v>منصورة  عبدالله</v>
          </cell>
        </row>
        <row r="106">
          <cell r="A106">
            <v>97</v>
          </cell>
          <cell r="B106" t="str">
            <v>نوالة  عبد اللطيف</v>
          </cell>
          <cell r="C106" t="str">
            <v>نوالة</v>
          </cell>
          <cell r="D106" t="str">
            <v>عبد اللطيف</v>
          </cell>
          <cell r="E106">
            <v>38478</v>
          </cell>
          <cell r="F106" t="str">
            <v>سفيزف</v>
          </cell>
          <cell r="G106" t="str">
            <v>3ع ت1</v>
          </cell>
          <cell r="H106" t="str">
            <v>خارجي</v>
          </cell>
          <cell r="I106" t="str">
            <v>خ</v>
          </cell>
          <cell r="J106" t="str">
            <v>يحي</v>
          </cell>
          <cell r="K106" t="str">
            <v>متقاعد</v>
          </cell>
          <cell r="L106" t="str">
            <v>حي بوخلخال الحبيب سفيزف</v>
          </cell>
          <cell r="M106">
            <v>0</v>
          </cell>
          <cell r="N106">
            <v>0</v>
          </cell>
          <cell r="O106" t="str">
            <v>نوالة  يحي</v>
          </cell>
        </row>
        <row r="107">
          <cell r="A107">
            <v>98</v>
          </cell>
          <cell r="B107" t="str">
            <v>دار سبع  كوثر</v>
          </cell>
          <cell r="C107" t="str">
            <v>دار سبع</v>
          </cell>
          <cell r="D107" t="str">
            <v>كوثر</v>
          </cell>
          <cell r="E107">
            <v>38498</v>
          </cell>
          <cell r="F107" t="str">
            <v>سيق</v>
          </cell>
          <cell r="G107" t="str">
            <v>3ع ت2</v>
          </cell>
          <cell r="H107" t="str">
            <v>ن/داخلية</v>
          </cell>
          <cell r="I107" t="str">
            <v>ن/د</v>
          </cell>
          <cell r="J107" t="str">
            <v>جيلالي</v>
          </cell>
          <cell r="K107" t="str">
            <v>لاشئ</v>
          </cell>
          <cell r="L107" t="str">
            <v>عين آدن</v>
          </cell>
          <cell r="M107">
            <v>0</v>
          </cell>
          <cell r="N107">
            <v>0</v>
          </cell>
          <cell r="O107" t="str">
            <v>دار سبع  جيلالي</v>
          </cell>
        </row>
        <row r="108">
          <cell r="A108">
            <v>99</v>
          </cell>
          <cell r="B108" t="str">
            <v>دايد  شيماء نورالهدى</v>
          </cell>
          <cell r="C108" t="str">
            <v>دايد</v>
          </cell>
          <cell r="D108" t="str">
            <v>شيماء نورالهدى</v>
          </cell>
          <cell r="E108">
            <v>38917</v>
          </cell>
          <cell r="F108" t="str">
            <v>تيارت</v>
          </cell>
          <cell r="G108" t="str">
            <v>3ع ت2</v>
          </cell>
          <cell r="H108" t="str">
            <v>ن/داخلية</v>
          </cell>
          <cell r="I108" t="str">
            <v>ن/د</v>
          </cell>
          <cell r="J108" t="str">
            <v>محمد</v>
          </cell>
          <cell r="K108" t="str">
            <v>دركي</v>
          </cell>
          <cell r="L108" t="str">
            <v>عين آدن</v>
          </cell>
          <cell r="M108">
            <v>0</v>
          </cell>
          <cell r="N108">
            <v>0</v>
          </cell>
          <cell r="O108" t="str">
            <v>دايد  محمد</v>
          </cell>
        </row>
        <row r="109">
          <cell r="A109">
            <v>100</v>
          </cell>
          <cell r="B109" t="str">
            <v>سعدوني   رقية</v>
          </cell>
          <cell r="C109" t="str">
            <v xml:space="preserve">سعدوني </v>
          </cell>
          <cell r="D109" t="str">
            <v xml:space="preserve"> رقية</v>
          </cell>
          <cell r="E109">
            <v>38844</v>
          </cell>
          <cell r="F109" t="str">
            <v>سفيزف</v>
          </cell>
          <cell r="G109" t="str">
            <v>3ع ت2</v>
          </cell>
          <cell r="H109" t="str">
            <v>ن/داخلية</v>
          </cell>
          <cell r="I109" t="str">
            <v>ن/د</v>
          </cell>
          <cell r="J109" t="str">
            <v>جمال</v>
          </cell>
          <cell r="K109" t="str">
            <v>لا شئ</v>
          </cell>
          <cell r="L109" t="str">
            <v>عين آدن</v>
          </cell>
          <cell r="M109">
            <v>0</v>
          </cell>
          <cell r="N109">
            <v>0</v>
          </cell>
          <cell r="O109" t="str">
            <v>سعدوني   جمال</v>
          </cell>
        </row>
        <row r="110">
          <cell r="A110">
            <v>101</v>
          </cell>
          <cell r="B110" t="str">
            <v>عدوني   خولة</v>
          </cell>
          <cell r="C110" t="str">
            <v>عدوني</v>
          </cell>
          <cell r="D110" t="str">
            <v xml:space="preserve"> خولة</v>
          </cell>
          <cell r="E110">
            <v>38835</v>
          </cell>
          <cell r="F110" t="str">
            <v>سفيزف</v>
          </cell>
          <cell r="G110" t="str">
            <v>3ع ت2</v>
          </cell>
          <cell r="H110" t="str">
            <v>ن/داخلية</v>
          </cell>
          <cell r="I110" t="str">
            <v>ن/د</v>
          </cell>
          <cell r="J110" t="str">
            <v>الفوضيل</v>
          </cell>
          <cell r="K110" t="str">
            <v>لا شئ</v>
          </cell>
          <cell r="L110" t="str">
            <v>عين آدن</v>
          </cell>
          <cell r="M110">
            <v>0</v>
          </cell>
          <cell r="N110">
            <v>0</v>
          </cell>
          <cell r="O110" t="str">
            <v>عدوني  الفوضيل</v>
          </cell>
        </row>
        <row r="111">
          <cell r="A111">
            <v>102</v>
          </cell>
          <cell r="B111" t="str">
            <v>غالوني   يمينة</v>
          </cell>
          <cell r="C111" t="str">
            <v>غالوني</v>
          </cell>
          <cell r="D111" t="str">
            <v xml:space="preserve"> يمينة</v>
          </cell>
          <cell r="E111">
            <v>39060</v>
          </cell>
          <cell r="F111" t="str">
            <v>سفيزف</v>
          </cell>
          <cell r="G111" t="str">
            <v>3ع ت2</v>
          </cell>
          <cell r="H111" t="str">
            <v>ن/داخلية</v>
          </cell>
          <cell r="I111" t="str">
            <v>ن/د</v>
          </cell>
          <cell r="J111" t="str">
            <v>أحمد</v>
          </cell>
          <cell r="K111" t="str">
            <v>لا شئ</v>
          </cell>
          <cell r="L111" t="str">
            <v>عين آدن</v>
          </cell>
          <cell r="M111">
            <v>0</v>
          </cell>
          <cell r="N111">
            <v>0</v>
          </cell>
          <cell r="O111" t="str">
            <v>غالوني  أحمد</v>
          </cell>
        </row>
        <row r="112">
          <cell r="A112">
            <v>103</v>
          </cell>
          <cell r="B112" t="str">
            <v>قندوسي   حليمة ايناس</v>
          </cell>
          <cell r="C112" t="str">
            <v>قندوسي</v>
          </cell>
          <cell r="D112" t="str">
            <v xml:space="preserve"> حليمة ايناس</v>
          </cell>
          <cell r="E112">
            <v>39096</v>
          </cell>
          <cell r="F112" t="str">
            <v>سفيزف</v>
          </cell>
          <cell r="G112" t="str">
            <v>3ع ت2</v>
          </cell>
          <cell r="H112" t="str">
            <v>ن/داخلية</v>
          </cell>
          <cell r="I112" t="str">
            <v>ن/د</v>
          </cell>
          <cell r="J112" t="str">
            <v>جيلالي</v>
          </cell>
          <cell r="K112" t="str">
            <v>لا شئ</v>
          </cell>
          <cell r="L112" t="str">
            <v>عين آدن</v>
          </cell>
          <cell r="M112">
            <v>0</v>
          </cell>
          <cell r="N112">
            <v>0</v>
          </cell>
          <cell r="O112" t="str">
            <v>قندوسي  جيلالي</v>
          </cell>
        </row>
        <row r="113">
          <cell r="A113">
            <v>104</v>
          </cell>
          <cell r="B113" t="str">
            <v>العسري    شروق خديجة</v>
          </cell>
          <cell r="C113" t="str">
            <v xml:space="preserve">العسري </v>
          </cell>
          <cell r="D113" t="str">
            <v xml:space="preserve"> شروق خديجة</v>
          </cell>
          <cell r="E113">
            <v>38864</v>
          </cell>
          <cell r="F113" t="str">
            <v>س بلعباس</v>
          </cell>
          <cell r="G113" t="str">
            <v>3ع ت2</v>
          </cell>
          <cell r="H113" t="str">
            <v>خارجية</v>
          </cell>
          <cell r="I113" t="str">
            <v>خ</v>
          </cell>
          <cell r="J113" t="str">
            <v>كمال</v>
          </cell>
          <cell r="K113" t="str">
            <v>تاجر</v>
          </cell>
          <cell r="L113" t="str">
            <v>شارع بلعيني عبدالقادر سفيزف</v>
          </cell>
          <cell r="M113">
            <v>0</v>
          </cell>
          <cell r="N113">
            <v>0</v>
          </cell>
          <cell r="O113" t="str">
            <v>العسري   كمال</v>
          </cell>
        </row>
        <row r="114">
          <cell r="A114">
            <v>105</v>
          </cell>
          <cell r="B114" t="str">
            <v>الغلوسي   فيروز</v>
          </cell>
          <cell r="C114" t="str">
            <v>الغلوسي</v>
          </cell>
          <cell r="D114" t="str">
            <v xml:space="preserve"> فيروز</v>
          </cell>
          <cell r="E114">
            <v>38978</v>
          </cell>
          <cell r="F114" t="str">
            <v>س بلعباس</v>
          </cell>
          <cell r="G114" t="str">
            <v>3ع ت2</v>
          </cell>
          <cell r="H114" t="str">
            <v>خارجية</v>
          </cell>
          <cell r="I114" t="str">
            <v>خ</v>
          </cell>
          <cell r="J114" t="str">
            <v>الحسين</v>
          </cell>
          <cell r="K114" t="str">
            <v>موظف</v>
          </cell>
          <cell r="L114" t="str">
            <v>حي طيبي يحي سفيزف</v>
          </cell>
          <cell r="M114">
            <v>0</v>
          </cell>
          <cell r="N114">
            <v>0</v>
          </cell>
          <cell r="O114" t="str">
            <v>الغلوسي  الحسين</v>
          </cell>
        </row>
        <row r="115">
          <cell r="A115">
            <v>106</v>
          </cell>
          <cell r="B115" t="str">
            <v>الميلغ   عبد الباسط</v>
          </cell>
          <cell r="C115" t="str">
            <v xml:space="preserve">الميلغ </v>
          </cell>
          <cell r="D115" t="str">
            <v>عبد الباسط</v>
          </cell>
          <cell r="E115">
            <v>38940</v>
          </cell>
          <cell r="F115" t="str">
            <v>سفيزف</v>
          </cell>
          <cell r="G115" t="str">
            <v>3ع ت2</v>
          </cell>
          <cell r="H115" t="str">
            <v xml:space="preserve">خارجي </v>
          </cell>
          <cell r="I115" t="str">
            <v>خ</v>
          </cell>
          <cell r="J115" t="str">
            <v>بن عومر</v>
          </cell>
          <cell r="K115" t="str">
            <v>متقاعد</v>
          </cell>
          <cell r="L115" t="str">
            <v>13حي بوخنفوس مختار سفيزف</v>
          </cell>
          <cell r="M115">
            <v>0</v>
          </cell>
          <cell r="N115">
            <v>0</v>
          </cell>
          <cell r="O115" t="str">
            <v>الميلغ   بن عومر</v>
          </cell>
        </row>
        <row r="116">
          <cell r="A116">
            <v>107</v>
          </cell>
          <cell r="B116" t="str">
            <v>بلحوسيني  شيماء العومرية</v>
          </cell>
          <cell r="C116" t="str">
            <v>بلحوسيني</v>
          </cell>
          <cell r="D116" t="str">
            <v>شيماء العومرية</v>
          </cell>
          <cell r="E116">
            <v>38505</v>
          </cell>
          <cell r="F116" t="str">
            <v>سفيزف</v>
          </cell>
          <cell r="G116" t="str">
            <v>3ع ت2</v>
          </cell>
          <cell r="H116" t="str">
            <v>خارجية</v>
          </cell>
          <cell r="I116" t="str">
            <v>خ</v>
          </cell>
          <cell r="J116" t="str">
            <v>ميلود</v>
          </cell>
          <cell r="K116" t="str">
            <v>موظف</v>
          </cell>
          <cell r="L116" t="str">
            <v>حي156سكن سفيزف</v>
          </cell>
          <cell r="M116">
            <v>0</v>
          </cell>
          <cell r="N116">
            <v>0</v>
          </cell>
          <cell r="O116" t="str">
            <v>بلحوسيني  ميلود</v>
          </cell>
        </row>
        <row r="117">
          <cell r="A117">
            <v>108</v>
          </cell>
          <cell r="B117" t="str">
            <v>بن حويدقة   فاطمة الزهراء</v>
          </cell>
          <cell r="C117" t="str">
            <v>بن حويدقة</v>
          </cell>
          <cell r="D117" t="str">
            <v xml:space="preserve"> فاطمة الزهراء</v>
          </cell>
          <cell r="E117">
            <v>39097</v>
          </cell>
          <cell r="F117" t="str">
            <v>سفيزف</v>
          </cell>
          <cell r="G117" t="str">
            <v>3ع ت2</v>
          </cell>
          <cell r="H117" t="str">
            <v>خارجية</v>
          </cell>
          <cell r="I117" t="str">
            <v>خ</v>
          </cell>
          <cell r="J117" t="str">
            <v>علي</v>
          </cell>
          <cell r="K117" t="str">
            <v>أستاذ</v>
          </cell>
          <cell r="L117" t="str">
            <v>شارع بوجلال محمد سفيزف</v>
          </cell>
          <cell r="M117">
            <v>0</v>
          </cell>
          <cell r="N117">
            <v>0</v>
          </cell>
          <cell r="O117" t="str">
            <v>بن حويدقة  علي</v>
          </cell>
        </row>
        <row r="118">
          <cell r="A118">
            <v>109</v>
          </cell>
          <cell r="B118" t="str">
            <v>بن يوسف    نور الهدى</v>
          </cell>
          <cell r="C118" t="str">
            <v xml:space="preserve">بن يوسف </v>
          </cell>
          <cell r="D118" t="str">
            <v xml:space="preserve"> نور الهدى</v>
          </cell>
          <cell r="E118">
            <v>38915</v>
          </cell>
          <cell r="F118" t="str">
            <v>حمام بوحجر</v>
          </cell>
          <cell r="G118" t="str">
            <v>3ع ت2</v>
          </cell>
          <cell r="H118" t="str">
            <v>خارجية</v>
          </cell>
          <cell r="I118" t="str">
            <v>خ</v>
          </cell>
          <cell r="J118" t="str">
            <v>بوعلام</v>
          </cell>
          <cell r="K118" t="str">
            <v>متقاعد</v>
          </cell>
          <cell r="L118" t="str">
            <v>01حي بوخنفوس مختار سفيزف</v>
          </cell>
          <cell r="M118">
            <v>0</v>
          </cell>
          <cell r="N118">
            <v>0</v>
          </cell>
          <cell r="O118" t="str">
            <v>بن يوسف   بوعلام</v>
          </cell>
        </row>
        <row r="119">
          <cell r="A119">
            <v>110</v>
          </cell>
          <cell r="B119" t="str">
            <v>بنابي    حفصة عائشة</v>
          </cell>
          <cell r="C119" t="str">
            <v xml:space="preserve">بنابي </v>
          </cell>
          <cell r="D119" t="str">
            <v xml:space="preserve"> حفصة عائشة</v>
          </cell>
          <cell r="E119">
            <v>39075</v>
          </cell>
          <cell r="F119" t="str">
            <v>سفيزف</v>
          </cell>
          <cell r="G119" t="str">
            <v>3ع ت2</v>
          </cell>
          <cell r="H119" t="str">
            <v>خارجية</v>
          </cell>
          <cell r="I119" t="str">
            <v>خ</v>
          </cell>
          <cell r="J119" t="str">
            <v>أحمد</v>
          </cell>
          <cell r="K119" t="str">
            <v>ممرض</v>
          </cell>
          <cell r="L119" t="str">
            <v>134حي نواري بن عبدالله سفيزف</v>
          </cell>
          <cell r="M119">
            <v>0</v>
          </cell>
          <cell r="N119">
            <v>0</v>
          </cell>
          <cell r="O119" t="str">
            <v>بنابي   أحمد</v>
          </cell>
        </row>
        <row r="120">
          <cell r="A120">
            <v>111</v>
          </cell>
          <cell r="B120" t="str">
            <v>بوداليل    ابراهيم الخليل</v>
          </cell>
          <cell r="C120" t="str">
            <v xml:space="preserve">بوداليل </v>
          </cell>
          <cell r="D120" t="str">
            <v xml:space="preserve"> ابراهيم الخليل</v>
          </cell>
          <cell r="E120">
            <v>38863</v>
          </cell>
          <cell r="F120" t="str">
            <v>س بلعباس</v>
          </cell>
          <cell r="G120" t="str">
            <v>3ع ت2</v>
          </cell>
          <cell r="H120" t="str">
            <v xml:space="preserve">خارجي </v>
          </cell>
          <cell r="I120" t="str">
            <v>خ</v>
          </cell>
          <cell r="J120" t="str">
            <v>أحمد</v>
          </cell>
          <cell r="K120" t="str">
            <v>متقاعد</v>
          </cell>
          <cell r="L120" t="str">
            <v>حي كشار صحراوي سفيزف</v>
          </cell>
          <cell r="M120">
            <v>0</v>
          </cell>
          <cell r="N120">
            <v>0</v>
          </cell>
          <cell r="O120" t="str">
            <v>بوداليل   أحمد</v>
          </cell>
        </row>
        <row r="121">
          <cell r="A121">
            <v>112</v>
          </cell>
          <cell r="B121" t="str">
            <v>بومزراق    أحمد</v>
          </cell>
          <cell r="C121" t="str">
            <v xml:space="preserve">بومزراق </v>
          </cell>
          <cell r="D121" t="str">
            <v xml:space="preserve"> أحمد</v>
          </cell>
          <cell r="E121">
            <v>38813</v>
          </cell>
          <cell r="F121" t="str">
            <v>سفيزف</v>
          </cell>
          <cell r="G121" t="str">
            <v>3ع ت2</v>
          </cell>
          <cell r="H121" t="str">
            <v xml:space="preserve">خارجي </v>
          </cell>
          <cell r="I121" t="str">
            <v>خ</v>
          </cell>
          <cell r="J121" t="str">
            <v>لعبان</v>
          </cell>
          <cell r="K121" t="str">
            <v>متقاعد</v>
          </cell>
          <cell r="L121" t="str">
            <v>حي كشار صحراوي سفيزف</v>
          </cell>
          <cell r="M121">
            <v>0</v>
          </cell>
          <cell r="N121">
            <v>0</v>
          </cell>
          <cell r="O121" t="str">
            <v>بومزراق   لعبان</v>
          </cell>
        </row>
        <row r="122">
          <cell r="A122">
            <v>113</v>
          </cell>
          <cell r="B122" t="str">
            <v>حدادي   نور الهدى</v>
          </cell>
          <cell r="C122" t="str">
            <v>حدادي</v>
          </cell>
          <cell r="D122" t="str">
            <v xml:space="preserve"> نور الهدى</v>
          </cell>
          <cell r="E122">
            <v>39128</v>
          </cell>
          <cell r="F122" t="str">
            <v>سفيزف</v>
          </cell>
          <cell r="G122" t="str">
            <v>3ع ت2</v>
          </cell>
          <cell r="H122" t="str">
            <v>خارجية</v>
          </cell>
          <cell r="I122" t="str">
            <v>خ</v>
          </cell>
          <cell r="J122" t="str">
            <v>قادة</v>
          </cell>
          <cell r="K122" t="str">
            <v>موظف</v>
          </cell>
          <cell r="L122" t="str">
            <v>47شارع طيبي عبدالقادر سفيزف</v>
          </cell>
          <cell r="M122">
            <v>0</v>
          </cell>
          <cell r="N122">
            <v>0</v>
          </cell>
          <cell r="O122" t="str">
            <v>حدادي  قادة</v>
          </cell>
        </row>
        <row r="123">
          <cell r="A123">
            <v>114</v>
          </cell>
          <cell r="B123" t="str">
            <v>حمام   سلمى خلود</v>
          </cell>
          <cell r="C123" t="str">
            <v>حمام</v>
          </cell>
          <cell r="D123" t="str">
            <v xml:space="preserve"> سلمى خلود</v>
          </cell>
          <cell r="E123">
            <v>38897</v>
          </cell>
          <cell r="F123" t="str">
            <v>س بلعباس</v>
          </cell>
          <cell r="G123" t="str">
            <v>3ع ت2</v>
          </cell>
          <cell r="H123" t="str">
            <v>خارجية</v>
          </cell>
          <cell r="I123" t="str">
            <v>خ</v>
          </cell>
          <cell r="J123" t="str">
            <v>زواوي</v>
          </cell>
          <cell r="K123" t="str">
            <v>أستاذ</v>
          </cell>
          <cell r="L123" t="str">
            <v>حي بوعسرية البشير سفيزف</v>
          </cell>
          <cell r="M123">
            <v>0</v>
          </cell>
          <cell r="N123">
            <v>0</v>
          </cell>
          <cell r="O123" t="str">
            <v>حمام  زواوي</v>
          </cell>
        </row>
        <row r="124">
          <cell r="A124">
            <v>115</v>
          </cell>
          <cell r="B124" t="str">
            <v>خديم   لعبان عبد الرحمان</v>
          </cell>
          <cell r="C124" t="str">
            <v>خديم</v>
          </cell>
          <cell r="D124" t="str">
            <v xml:space="preserve"> لعبان عبد الرحمان</v>
          </cell>
          <cell r="E124">
            <v>39110</v>
          </cell>
          <cell r="F124" t="str">
            <v>سفيزف</v>
          </cell>
          <cell r="G124" t="str">
            <v>3ع ت2</v>
          </cell>
          <cell r="H124" t="str">
            <v xml:space="preserve">خارجي </v>
          </cell>
          <cell r="I124" t="str">
            <v>خ</v>
          </cell>
          <cell r="J124" t="str">
            <v>عيسى</v>
          </cell>
          <cell r="K124" t="str">
            <v>تاجر</v>
          </cell>
          <cell r="L124" t="str">
            <v>حي كشار صحراوي سفيزف</v>
          </cell>
          <cell r="M124">
            <v>0</v>
          </cell>
          <cell r="N124">
            <v>0</v>
          </cell>
          <cell r="O124" t="str">
            <v>خديم  عيسى</v>
          </cell>
        </row>
        <row r="125">
          <cell r="A125">
            <v>116</v>
          </cell>
          <cell r="B125" t="str">
            <v>خنتر  بسمة سارة</v>
          </cell>
          <cell r="C125" t="str">
            <v>خنتر</v>
          </cell>
          <cell r="D125" t="str">
            <v>بسمة سارة</v>
          </cell>
          <cell r="E125">
            <v>38583</v>
          </cell>
          <cell r="F125" t="str">
            <v>سفيزف</v>
          </cell>
          <cell r="G125" t="str">
            <v>3ع ت2</v>
          </cell>
          <cell r="H125" t="str">
            <v>خارجية</v>
          </cell>
          <cell r="I125" t="str">
            <v>خ</v>
          </cell>
          <cell r="J125" t="str">
            <v>يحي</v>
          </cell>
          <cell r="K125" t="str">
            <v>بناء</v>
          </cell>
          <cell r="L125" t="str">
            <v>حي نواري بن عبدالله سفيزف</v>
          </cell>
          <cell r="M125">
            <v>0</v>
          </cell>
          <cell r="N125">
            <v>0</v>
          </cell>
          <cell r="O125" t="str">
            <v>خنتر  يحي</v>
          </cell>
        </row>
        <row r="126">
          <cell r="A126">
            <v>117</v>
          </cell>
          <cell r="B126" t="str">
            <v>صحراوي   سلسبيل</v>
          </cell>
          <cell r="C126" t="str">
            <v>صحراوي</v>
          </cell>
          <cell r="D126" t="str">
            <v xml:space="preserve"> سلسبيل</v>
          </cell>
          <cell r="E126">
            <v>38767</v>
          </cell>
          <cell r="F126" t="str">
            <v>سفيزف</v>
          </cell>
          <cell r="G126" t="str">
            <v>3ع ت2</v>
          </cell>
          <cell r="H126" t="str">
            <v>خارجية</v>
          </cell>
          <cell r="I126" t="str">
            <v>خ</v>
          </cell>
          <cell r="J126" t="str">
            <v>بن حميميدي نادية</v>
          </cell>
          <cell r="K126" t="str">
            <v>موظفة</v>
          </cell>
          <cell r="L126" t="str">
            <v>حي نواري بن عبدالله سفيزف</v>
          </cell>
          <cell r="M126">
            <v>0</v>
          </cell>
          <cell r="N126">
            <v>0</v>
          </cell>
          <cell r="O126" t="str">
            <v>صحراوي  بن حميميدي نادية</v>
          </cell>
        </row>
        <row r="127">
          <cell r="A127">
            <v>118</v>
          </cell>
          <cell r="B127" t="str">
            <v>عزري  هاجر</v>
          </cell>
          <cell r="C127" t="str">
            <v>عزري</v>
          </cell>
          <cell r="D127" t="str">
            <v>هاجر</v>
          </cell>
          <cell r="E127">
            <v>38524</v>
          </cell>
          <cell r="F127" t="str">
            <v>سفيزف</v>
          </cell>
          <cell r="G127" t="str">
            <v>3ع ت2</v>
          </cell>
          <cell r="H127" t="str">
            <v>خارجية</v>
          </cell>
          <cell r="I127" t="str">
            <v>خ</v>
          </cell>
          <cell r="J127" t="str">
            <v>بخدة</v>
          </cell>
          <cell r="K127" t="str">
            <v>متقاعد</v>
          </cell>
          <cell r="L127" t="str">
            <v>حي هواري بومدين سفيزف</v>
          </cell>
          <cell r="M127">
            <v>0</v>
          </cell>
          <cell r="N127">
            <v>0</v>
          </cell>
          <cell r="O127" t="str">
            <v>عزري  بخدة</v>
          </cell>
        </row>
        <row r="128">
          <cell r="A128">
            <v>119</v>
          </cell>
          <cell r="B128" t="str">
            <v>غالي  هدى</v>
          </cell>
          <cell r="C128" t="str">
            <v>غالي</v>
          </cell>
          <cell r="D128" t="str">
            <v>هدى</v>
          </cell>
          <cell r="E128">
            <v>38632</v>
          </cell>
          <cell r="F128" t="str">
            <v>سفيزف</v>
          </cell>
          <cell r="G128" t="str">
            <v>3ع ت2</v>
          </cell>
          <cell r="H128" t="str">
            <v>خارجية</v>
          </cell>
          <cell r="I128" t="str">
            <v>خ</v>
          </cell>
          <cell r="J128" t="str">
            <v>جيلالي</v>
          </cell>
          <cell r="K128" t="str">
            <v>متقاعد</v>
          </cell>
          <cell r="L128" t="str">
            <v>حي يملول حامد سفيزف</v>
          </cell>
          <cell r="M128">
            <v>0</v>
          </cell>
          <cell r="N128">
            <v>0</v>
          </cell>
          <cell r="O128" t="str">
            <v>غالي  جيلالي</v>
          </cell>
        </row>
        <row r="129">
          <cell r="A129">
            <v>120</v>
          </cell>
          <cell r="B129" t="str">
            <v>فادن  عائشة منال</v>
          </cell>
          <cell r="C129" t="str">
            <v>فادن</v>
          </cell>
          <cell r="D129" t="str">
            <v>عائشة منال</v>
          </cell>
          <cell r="E129">
            <v>38556</v>
          </cell>
          <cell r="F129" t="str">
            <v>عين تدلس</v>
          </cell>
          <cell r="G129" t="str">
            <v>3ع ت2</v>
          </cell>
          <cell r="H129" t="str">
            <v>خارجية</v>
          </cell>
          <cell r="I129" t="str">
            <v>خ</v>
          </cell>
          <cell r="J129" t="str">
            <v>جيلالي</v>
          </cell>
          <cell r="K129" t="str">
            <v>دركي</v>
          </cell>
          <cell r="L129" t="str">
            <v>مقر الدرك الوطني سفيزف</v>
          </cell>
          <cell r="M129">
            <v>0</v>
          </cell>
          <cell r="N129">
            <v>0</v>
          </cell>
          <cell r="O129" t="str">
            <v>فادن  جيلالي</v>
          </cell>
        </row>
        <row r="130">
          <cell r="A130">
            <v>121</v>
          </cell>
          <cell r="B130" t="str">
            <v>فتوحي  محمد ريان</v>
          </cell>
          <cell r="C130" t="str">
            <v>فتوحي</v>
          </cell>
          <cell r="D130" t="str">
            <v>محمد ريان</v>
          </cell>
          <cell r="E130">
            <v>38680</v>
          </cell>
          <cell r="F130" t="str">
            <v>سفيزف</v>
          </cell>
          <cell r="G130" t="str">
            <v>3ع ت2</v>
          </cell>
          <cell r="H130" t="str">
            <v>خارجي</v>
          </cell>
          <cell r="I130" t="str">
            <v>خ</v>
          </cell>
          <cell r="J130" t="str">
            <v>حبيب</v>
          </cell>
          <cell r="K130" t="str">
            <v>مهندس</v>
          </cell>
          <cell r="L130" t="str">
            <v>حي506سكن سفيزف</v>
          </cell>
          <cell r="M130">
            <v>0</v>
          </cell>
          <cell r="N130">
            <v>0</v>
          </cell>
          <cell r="O130" t="str">
            <v>فتوحي  حبيب</v>
          </cell>
        </row>
        <row r="131">
          <cell r="A131">
            <v>122</v>
          </cell>
          <cell r="B131" t="str">
            <v>كرمة  ياسمين رقية</v>
          </cell>
          <cell r="C131" t="str">
            <v>كرمة</v>
          </cell>
          <cell r="D131" t="str">
            <v>ياسمين رقية</v>
          </cell>
          <cell r="E131">
            <v>38456</v>
          </cell>
          <cell r="F131" t="str">
            <v>بوجبهة</v>
          </cell>
          <cell r="G131" t="str">
            <v>3ع ت2</v>
          </cell>
          <cell r="H131" t="str">
            <v>خارجية</v>
          </cell>
          <cell r="I131" t="str">
            <v>خ</v>
          </cell>
          <cell r="J131" t="str">
            <v>محمود</v>
          </cell>
          <cell r="K131" t="str">
            <v>سائق</v>
          </cell>
          <cell r="L131" t="str">
            <v>حي بوخنفوس مختار سفيزف</v>
          </cell>
          <cell r="M131">
            <v>0</v>
          </cell>
          <cell r="N131">
            <v>0</v>
          </cell>
          <cell r="O131" t="str">
            <v>كرمة  محمود</v>
          </cell>
        </row>
        <row r="132">
          <cell r="A132">
            <v>123</v>
          </cell>
          <cell r="B132" t="str">
            <v>كشار   سندس</v>
          </cell>
          <cell r="C132" t="str">
            <v>كشار</v>
          </cell>
          <cell r="D132" t="str">
            <v xml:space="preserve"> سندس</v>
          </cell>
          <cell r="E132">
            <v>39125</v>
          </cell>
          <cell r="F132" t="str">
            <v>س بلعباس</v>
          </cell>
          <cell r="G132" t="str">
            <v>3ع ت2</v>
          </cell>
          <cell r="H132" t="str">
            <v>خارجية</v>
          </cell>
          <cell r="I132" t="str">
            <v>خ</v>
          </cell>
          <cell r="J132" t="str">
            <v>عبدالقادر</v>
          </cell>
          <cell r="K132" t="str">
            <v>لاشئ</v>
          </cell>
          <cell r="L132" t="str">
            <v>96حي كشار صحراوي سفيزف</v>
          </cell>
          <cell r="M132">
            <v>0</v>
          </cell>
          <cell r="N132">
            <v>0</v>
          </cell>
          <cell r="O132" t="str">
            <v>كشار  عبدالقادر</v>
          </cell>
        </row>
        <row r="133">
          <cell r="A133">
            <v>124</v>
          </cell>
          <cell r="B133" t="str">
            <v>لعبدوني  فريال</v>
          </cell>
          <cell r="C133" t="str">
            <v>لعبدوني</v>
          </cell>
          <cell r="D133" t="str">
            <v>فريال</v>
          </cell>
          <cell r="E133">
            <v>38835</v>
          </cell>
          <cell r="F133" t="str">
            <v>س بلعباس</v>
          </cell>
          <cell r="G133" t="str">
            <v>3ع ت2</v>
          </cell>
          <cell r="H133" t="str">
            <v>خارجية</v>
          </cell>
          <cell r="I133" t="str">
            <v>خ</v>
          </cell>
          <cell r="J133" t="str">
            <v>مختار</v>
          </cell>
          <cell r="K133" t="str">
            <v>لا شئ</v>
          </cell>
          <cell r="L133" t="str">
            <v>حي طيبي عبدالقادر رقم 21 سفيزف</v>
          </cell>
          <cell r="M133">
            <v>0</v>
          </cell>
          <cell r="N133">
            <v>0</v>
          </cell>
          <cell r="O133" t="str">
            <v>لعبدوني  مختار</v>
          </cell>
        </row>
        <row r="134">
          <cell r="A134">
            <v>125</v>
          </cell>
          <cell r="B134" t="str">
            <v>لومي    محمد الأمين</v>
          </cell>
          <cell r="C134" t="str">
            <v xml:space="preserve">لومي </v>
          </cell>
          <cell r="D134" t="str">
            <v xml:space="preserve"> محمد الأمين</v>
          </cell>
          <cell r="E134">
            <v>39003</v>
          </cell>
          <cell r="F134" t="str">
            <v>سفيزف</v>
          </cell>
          <cell r="G134" t="str">
            <v>3ع ت2</v>
          </cell>
          <cell r="H134" t="str">
            <v xml:space="preserve">خارجي </v>
          </cell>
          <cell r="I134" t="str">
            <v>خ</v>
          </cell>
          <cell r="J134" t="str">
            <v>ابن عمر</v>
          </cell>
          <cell r="K134" t="str">
            <v>متقاعد</v>
          </cell>
          <cell r="L134" t="str">
            <v>08حي10سكن سفيزف</v>
          </cell>
          <cell r="M134">
            <v>0</v>
          </cell>
          <cell r="N134">
            <v>0</v>
          </cell>
          <cell r="O134" t="str">
            <v>لومي   ابن عمر</v>
          </cell>
        </row>
        <row r="135">
          <cell r="A135">
            <v>126</v>
          </cell>
          <cell r="B135" t="str">
            <v>ماضي  خلود</v>
          </cell>
          <cell r="C135" t="str">
            <v>ماضي</v>
          </cell>
          <cell r="D135" t="str">
            <v>خلود</v>
          </cell>
          <cell r="E135">
            <v>38694</v>
          </cell>
          <cell r="F135" t="str">
            <v>س بلعباس</v>
          </cell>
          <cell r="G135" t="str">
            <v>3ع ت2</v>
          </cell>
          <cell r="H135" t="str">
            <v>خارجية</v>
          </cell>
          <cell r="I135" t="str">
            <v>خ</v>
          </cell>
          <cell r="J135" t="str">
            <v xml:space="preserve">عبدالقادر </v>
          </cell>
          <cell r="K135" t="str">
            <v>شرطي</v>
          </cell>
          <cell r="L135" t="str">
            <v>حي الشرطة سفيزف</v>
          </cell>
          <cell r="M135">
            <v>0</v>
          </cell>
          <cell r="N135">
            <v>0</v>
          </cell>
          <cell r="O135" t="str">
            <v xml:space="preserve">ماضي  عبدالقادر </v>
          </cell>
        </row>
        <row r="136">
          <cell r="A136">
            <v>127</v>
          </cell>
          <cell r="B136" t="str">
            <v>محال   عمر</v>
          </cell>
          <cell r="C136" t="str">
            <v>محال</v>
          </cell>
          <cell r="D136" t="str">
            <v xml:space="preserve"> عمر</v>
          </cell>
          <cell r="E136">
            <v>38790</v>
          </cell>
          <cell r="F136" t="str">
            <v>س بلعباس</v>
          </cell>
          <cell r="G136" t="str">
            <v>3ع ت2</v>
          </cell>
          <cell r="H136" t="str">
            <v xml:space="preserve">خارجي </v>
          </cell>
          <cell r="I136" t="str">
            <v>خ</v>
          </cell>
          <cell r="J136" t="str">
            <v>محمد</v>
          </cell>
          <cell r="K136" t="str">
            <v>لاشئ</v>
          </cell>
          <cell r="L136" t="str">
            <v>حي24فبراير سفيزف</v>
          </cell>
          <cell r="M136">
            <v>0</v>
          </cell>
          <cell r="N136">
            <v>0</v>
          </cell>
          <cell r="O136" t="str">
            <v>محال  محمد</v>
          </cell>
        </row>
        <row r="137">
          <cell r="A137">
            <v>128</v>
          </cell>
          <cell r="B137" t="str">
            <v>مسطاري  وصال</v>
          </cell>
          <cell r="C137" t="str">
            <v>مسطاري</v>
          </cell>
          <cell r="D137" t="str">
            <v>وصال</v>
          </cell>
          <cell r="E137">
            <v>38571</v>
          </cell>
          <cell r="F137" t="str">
            <v>س بلعباس</v>
          </cell>
          <cell r="G137" t="str">
            <v>3ع ت2</v>
          </cell>
          <cell r="H137" t="str">
            <v>خارجية</v>
          </cell>
          <cell r="I137" t="str">
            <v>خ</v>
          </cell>
          <cell r="J137" t="str">
            <v>زواوي</v>
          </cell>
          <cell r="K137" t="str">
            <v>لاشئ</v>
          </cell>
          <cell r="L137" t="str">
            <v>مدرسة بوضياف محمد سفيزف</v>
          </cell>
          <cell r="M137">
            <v>0</v>
          </cell>
          <cell r="N137">
            <v>0</v>
          </cell>
          <cell r="O137" t="str">
            <v>مسطاري  زواوي</v>
          </cell>
        </row>
        <row r="138">
          <cell r="A138">
            <v>129</v>
          </cell>
          <cell r="B138" t="str">
            <v>مكيكة   نوال</v>
          </cell>
          <cell r="C138" t="str">
            <v>مكيكة</v>
          </cell>
          <cell r="D138" t="str">
            <v xml:space="preserve"> نوال</v>
          </cell>
          <cell r="E138">
            <v>38798</v>
          </cell>
          <cell r="F138" t="str">
            <v>سفيزف</v>
          </cell>
          <cell r="G138" t="str">
            <v>3ع ت2</v>
          </cell>
          <cell r="H138" t="str">
            <v>خارجية</v>
          </cell>
          <cell r="I138" t="str">
            <v>خ</v>
          </cell>
          <cell r="J138" t="str">
            <v>يحي</v>
          </cell>
          <cell r="K138" t="str">
            <v>متقاعد</v>
          </cell>
          <cell r="L138" t="str">
            <v>32شارع بوخنفوس مختار سفيزف</v>
          </cell>
          <cell r="M138">
            <v>0</v>
          </cell>
          <cell r="N138">
            <v>0</v>
          </cell>
          <cell r="O138" t="str">
            <v>مكيكة  يحي</v>
          </cell>
        </row>
        <row r="139">
          <cell r="A139">
            <v>130</v>
          </cell>
          <cell r="B139" t="str">
            <v>مكيكة    خولة هاجر</v>
          </cell>
          <cell r="C139" t="str">
            <v xml:space="preserve">مكيكة </v>
          </cell>
          <cell r="D139" t="str">
            <v xml:space="preserve"> خولة هاجر</v>
          </cell>
          <cell r="E139">
            <v>38939</v>
          </cell>
          <cell r="F139" t="str">
            <v>س بلعباس</v>
          </cell>
          <cell r="G139" t="str">
            <v>3ع ت2</v>
          </cell>
          <cell r="H139" t="str">
            <v>خارجية</v>
          </cell>
          <cell r="I139" t="str">
            <v>خ</v>
          </cell>
          <cell r="J139" t="str">
            <v>محمد</v>
          </cell>
          <cell r="K139" t="str">
            <v>لا شئ</v>
          </cell>
          <cell r="L139" t="str">
            <v>04شارع شهداء التويلة سفيزف</v>
          </cell>
          <cell r="M139">
            <v>0</v>
          </cell>
          <cell r="N139">
            <v>0</v>
          </cell>
          <cell r="O139" t="str">
            <v>مكيكة   محمد</v>
          </cell>
        </row>
        <row r="140">
          <cell r="A140">
            <v>131</v>
          </cell>
          <cell r="B140" t="str">
            <v>يخو    رانيا</v>
          </cell>
          <cell r="C140" t="str">
            <v xml:space="preserve">يخو </v>
          </cell>
          <cell r="D140" t="str">
            <v xml:space="preserve"> رانيا</v>
          </cell>
          <cell r="E140">
            <v>39156</v>
          </cell>
          <cell r="F140" t="str">
            <v>سفيزف</v>
          </cell>
          <cell r="G140" t="str">
            <v>3ع ت2</v>
          </cell>
          <cell r="H140" t="str">
            <v>خارجية</v>
          </cell>
          <cell r="I140" t="str">
            <v>خ</v>
          </cell>
          <cell r="J140" t="str">
            <v>عمارة</v>
          </cell>
          <cell r="K140" t="str">
            <v>فلاح</v>
          </cell>
          <cell r="L140" t="str">
            <v>شارع عربوز غبدالقادر سفيزف</v>
          </cell>
          <cell r="M140">
            <v>0</v>
          </cell>
          <cell r="N140">
            <v>0</v>
          </cell>
          <cell r="O140" t="str">
            <v>يخو   عمارة</v>
          </cell>
        </row>
        <row r="141">
          <cell r="A141">
            <v>132</v>
          </cell>
          <cell r="B141" t="str">
            <v>مراح    ريم هاجر</v>
          </cell>
          <cell r="C141" t="str">
            <v xml:space="preserve">مراح </v>
          </cell>
          <cell r="D141" t="str">
            <v xml:space="preserve"> ريم هاجر</v>
          </cell>
          <cell r="E141">
            <v>38767</v>
          </cell>
          <cell r="F141" t="str">
            <v>سفيزف</v>
          </cell>
          <cell r="G141" t="str">
            <v>3ع ت3</v>
          </cell>
          <cell r="H141" t="str">
            <v>ن/داخلية</v>
          </cell>
          <cell r="I141" t="str">
            <v>ن/د</v>
          </cell>
          <cell r="J141" t="str">
            <v>يحي</v>
          </cell>
          <cell r="K141" t="str">
            <v>متقاعد</v>
          </cell>
          <cell r="L141" t="str">
            <v>حي صلاة محمد سفيزف</v>
          </cell>
          <cell r="M141">
            <v>0</v>
          </cell>
          <cell r="N141">
            <v>0</v>
          </cell>
          <cell r="O141" t="str">
            <v>مراح   يحي</v>
          </cell>
        </row>
        <row r="142">
          <cell r="A142">
            <v>133</v>
          </cell>
          <cell r="B142" t="str">
            <v>العسري    عبد الرحمان</v>
          </cell>
          <cell r="C142" t="str">
            <v xml:space="preserve">العسري </v>
          </cell>
          <cell r="D142" t="str">
            <v xml:space="preserve"> عبد الرحمان</v>
          </cell>
          <cell r="E142">
            <v>39032</v>
          </cell>
          <cell r="F142" t="str">
            <v>س بلعباس</v>
          </cell>
          <cell r="G142" t="str">
            <v>3ع ت3</v>
          </cell>
          <cell r="H142" t="str">
            <v xml:space="preserve">خارجي </v>
          </cell>
          <cell r="I142" t="str">
            <v>خ</v>
          </cell>
          <cell r="J142" t="str">
            <v>زين العابدين</v>
          </cell>
          <cell r="K142" t="str">
            <v>أستاذ</v>
          </cell>
          <cell r="L142" t="str">
            <v>حي 115 سكن سفيزف</v>
          </cell>
          <cell r="M142">
            <v>0</v>
          </cell>
          <cell r="N142">
            <v>0</v>
          </cell>
          <cell r="O142" t="str">
            <v>العسري   زين العابدين</v>
          </cell>
        </row>
        <row r="143">
          <cell r="A143">
            <v>134</v>
          </cell>
          <cell r="B143" t="str">
            <v>ايقاش  إبتسام</v>
          </cell>
          <cell r="C143" t="str">
            <v>ايقاش</v>
          </cell>
          <cell r="D143" t="str">
            <v>إبتسام</v>
          </cell>
          <cell r="E143">
            <v>38802</v>
          </cell>
          <cell r="F143" t="str">
            <v>سفيزف</v>
          </cell>
          <cell r="G143" t="str">
            <v>3ع ت3</v>
          </cell>
          <cell r="H143" t="str">
            <v>خارجية</v>
          </cell>
          <cell r="I143" t="str">
            <v>خ</v>
          </cell>
          <cell r="J143" t="str">
            <v>مختار</v>
          </cell>
          <cell r="K143" t="str">
            <v>متقاعد</v>
          </cell>
          <cell r="L143" t="str">
            <v>حي نواري بن عبدالله سفيزف</v>
          </cell>
          <cell r="M143">
            <v>0</v>
          </cell>
          <cell r="N143">
            <v>0</v>
          </cell>
          <cell r="O143" t="str">
            <v>ايقاش  مختار</v>
          </cell>
        </row>
        <row r="144">
          <cell r="A144">
            <v>135</v>
          </cell>
          <cell r="B144" t="str">
            <v>إيقاش   عمر عبد الرحمان</v>
          </cell>
          <cell r="C144" t="str">
            <v xml:space="preserve">إيقاش </v>
          </cell>
          <cell r="D144" t="str">
            <v>عمر عبد الرحمان</v>
          </cell>
          <cell r="E144">
            <v>39011</v>
          </cell>
          <cell r="F144" t="str">
            <v>سفيزف</v>
          </cell>
          <cell r="G144" t="str">
            <v>3ع ت3</v>
          </cell>
          <cell r="H144" t="str">
            <v xml:space="preserve">خارجي </v>
          </cell>
          <cell r="I144" t="str">
            <v>خ</v>
          </cell>
          <cell r="J144" t="str">
            <v>مختار</v>
          </cell>
          <cell r="K144" t="str">
            <v>عامل</v>
          </cell>
          <cell r="L144" t="str">
            <v>02حي72سكن سفيزف</v>
          </cell>
          <cell r="M144">
            <v>0</v>
          </cell>
          <cell r="N144">
            <v>0</v>
          </cell>
          <cell r="O144" t="str">
            <v>إيقاش   مختار</v>
          </cell>
        </row>
        <row r="145">
          <cell r="A145">
            <v>136</v>
          </cell>
          <cell r="B145" t="str">
            <v>بصافي  شيماء</v>
          </cell>
          <cell r="C145" t="str">
            <v>بصافي</v>
          </cell>
          <cell r="D145" t="str">
            <v>شيماء</v>
          </cell>
          <cell r="E145">
            <v>38486</v>
          </cell>
          <cell r="F145" t="str">
            <v>س بلعباس</v>
          </cell>
          <cell r="G145" t="str">
            <v>3ع ت3</v>
          </cell>
          <cell r="H145" t="str">
            <v>خارجية</v>
          </cell>
          <cell r="I145" t="str">
            <v>خ</v>
          </cell>
          <cell r="J145" t="str">
            <v>عبدالقادر</v>
          </cell>
          <cell r="K145" t="str">
            <v>متقاعد</v>
          </cell>
          <cell r="L145" t="str">
            <v>حي  طيبي عبدالقادر سفيزف</v>
          </cell>
          <cell r="M145">
            <v>0</v>
          </cell>
          <cell r="N145">
            <v>0</v>
          </cell>
          <cell r="O145" t="str">
            <v>بصافي عبدالقادر</v>
          </cell>
        </row>
        <row r="146">
          <cell r="A146">
            <v>137</v>
          </cell>
          <cell r="B146" t="str">
            <v>بغاديد    ياسر مختار</v>
          </cell>
          <cell r="C146" t="str">
            <v xml:space="preserve">بغاديد </v>
          </cell>
          <cell r="D146" t="str">
            <v xml:space="preserve"> ياسر مختار</v>
          </cell>
          <cell r="E146">
            <v>39227</v>
          </cell>
          <cell r="F146" t="str">
            <v>سفيزف</v>
          </cell>
          <cell r="G146" t="str">
            <v>3ع ت3</v>
          </cell>
          <cell r="H146" t="str">
            <v xml:space="preserve">خارجي </v>
          </cell>
          <cell r="I146" t="str">
            <v>خ</v>
          </cell>
          <cell r="J146" t="str">
            <v>أحمد</v>
          </cell>
          <cell r="K146" t="str">
            <v>لا شئ</v>
          </cell>
          <cell r="L146" t="str">
            <v>50شارع مسقم محمد سفيزف</v>
          </cell>
          <cell r="M146">
            <v>0</v>
          </cell>
          <cell r="N146">
            <v>0</v>
          </cell>
          <cell r="O146" t="str">
            <v>بغاديد   أحمد</v>
          </cell>
        </row>
        <row r="147">
          <cell r="A147">
            <v>138</v>
          </cell>
          <cell r="B147" t="str">
            <v>بن صابر   مريم عبير</v>
          </cell>
          <cell r="C147" t="str">
            <v>بن صابر</v>
          </cell>
          <cell r="D147" t="str">
            <v xml:space="preserve"> مريم عبير</v>
          </cell>
          <cell r="E147">
            <v>39059</v>
          </cell>
          <cell r="F147" t="str">
            <v>سفيزف</v>
          </cell>
          <cell r="G147" t="str">
            <v>3ع ت3</v>
          </cell>
          <cell r="H147" t="str">
            <v>خارجية</v>
          </cell>
          <cell r="I147" t="str">
            <v>خ</v>
          </cell>
          <cell r="J147" t="str">
            <v>عبدالقادر</v>
          </cell>
          <cell r="K147" t="str">
            <v>موظف</v>
          </cell>
          <cell r="L147" t="str">
            <v>22حي بوخنفوس مختار سفيزف</v>
          </cell>
          <cell r="M147">
            <v>0</v>
          </cell>
          <cell r="N147">
            <v>0</v>
          </cell>
          <cell r="O147" t="str">
            <v>بن صابر  عبدالقادر</v>
          </cell>
        </row>
        <row r="148">
          <cell r="A148">
            <v>139</v>
          </cell>
          <cell r="B148" t="str">
            <v>بن قانة  مريم باتول</v>
          </cell>
          <cell r="C148" t="str">
            <v>بن قانة</v>
          </cell>
          <cell r="D148" t="str">
            <v>مريم باتول</v>
          </cell>
          <cell r="E148">
            <v>39183</v>
          </cell>
          <cell r="F148" t="str">
            <v>س بلعباس</v>
          </cell>
          <cell r="G148" t="str">
            <v>3ع ت3</v>
          </cell>
          <cell r="H148" t="str">
            <v>خارجية</v>
          </cell>
          <cell r="I148" t="str">
            <v>خ</v>
          </cell>
          <cell r="J148" t="str">
            <v>بن دحو</v>
          </cell>
          <cell r="K148" t="str">
            <v>متقاعد</v>
          </cell>
          <cell r="L148" t="str">
            <v>حي506 سكن سفيزف</v>
          </cell>
          <cell r="M148">
            <v>0</v>
          </cell>
          <cell r="N148">
            <v>0</v>
          </cell>
          <cell r="O148" t="str">
            <v>بن قانة  بن دحو</v>
          </cell>
        </row>
        <row r="149">
          <cell r="A149">
            <v>140</v>
          </cell>
          <cell r="B149" t="str">
            <v>بن قريرة  أحمد عبد الرحمان</v>
          </cell>
          <cell r="C149" t="str">
            <v>بن قريرة</v>
          </cell>
          <cell r="D149" t="str">
            <v>أحمد عبد الرحمان</v>
          </cell>
          <cell r="E149">
            <v>38966</v>
          </cell>
          <cell r="F149" t="str">
            <v>سفيزف</v>
          </cell>
          <cell r="G149" t="str">
            <v>3ع ت3</v>
          </cell>
          <cell r="H149" t="str">
            <v xml:space="preserve">خارجي </v>
          </cell>
          <cell r="I149" t="str">
            <v>خ</v>
          </cell>
          <cell r="J149" t="str">
            <v>أيوب</v>
          </cell>
          <cell r="K149" t="str">
            <v>مفتش</v>
          </cell>
          <cell r="L149" t="str">
            <v>حي214سكن سفيزف</v>
          </cell>
          <cell r="M149">
            <v>0</v>
          </cell>
          <cell r="N149">
            <v>0</v>
          </cell>
          <cell r="O149" t="str">
            <v>بن قريرة  أيوب</v>
          </cell>
        </row>
        <row r="150">
          <cell r="A150">
            <v>141</v>
          </cell>
          <cell r="B150" t="str">
            <v>بوتنزار    هند سعدية</v>
          </cell>
          <cell r="C150" t="str">
            <v xml:space="preserve">بوتنزار </v>
          </cell>
          <cell r="D150" t="str">
            <v xml:space="preserve"> هند سعدية</v>
          </cell>
          <cell r="E150">
            <v>38858</v>
          </cell>
          <cell r="F150" t="str">
            <v>س بلعباس</v>
          </cell>
          <cell r="G150" t="str">
            <v>3ع ت3</v>
          </cell>
          <cell r="H150" t="str">
            <v>خارجية</v>
          </cell>
          <cell r="I150" t="str">
            <v>خ</v>
          </cell>
          <cell r="J150" t="str">
            <v>أحمد</v>
          </cell>
          <cell r="K150" t="str">
            <v>متقاعد</v>
          </cell>
          <cell r="L150" t="str">
            <v>حي05جويلية سفيزف</v>
          </cell>
          <cell r="M150">
            <v>0</v>
          </cell>
          <cell r="N150">
            <v>0</v>
          </cell>
          <cell r="O150" t="str">
            <v>بوتنزار   أحمد</v>
          </cell>
        </row>
        <row r="151">
          <cell r="A151">
            <v>142</v>
          </cell>
          <cell r="B151" t="str">
            <v>بوخريز   خولة</v>
          </cell>
          <cell r="C151" t="str">
            <v>بوخريز</v>
          </cell>
          <cell r="D151" t="str">
            <v xml:space="preserve"> خولة</v>
          </cell>
          <cell r="E151">
            <v>38909</v>
          </cell>
          <cell r="F151" t="str">
            <v>س بلعباس</v>
          </cell>
          <cell r="G151" t="str">
            <v>3ع ت3</v>
          </cell>
          <cell r="H151" t="str">
            <v>خارجية</v>
          </cell>
          <cell r="I151" t="str">
            <v>خ</v>
          </cell>
          <cell r="J151" t="str">
            <v>بلعباس</v>
          </cell>
          <cell r="K151" t="str">
            <v>متقاعد</v>
          </cell>
          <cell r="L151" t="str">
            <v>11حي نواري بن عبدالله سفيزف</v>
          </cell>
          <cell r="M151">
            <v>0</v>
          </cell>
          <cell r="N151">
            <v>0</v>
          </cell>
          <cell r="O151" t="str">
            <v>بوخريز  بلعباس</v>
          </cell>
        </row>
        <row r="152">
          <cell r="A152">
            <v>143</v>
          </cell>
          <cell r="B152" t="str">
            <v>بوطريشة    أمينة</v>
          </cell>
          <cell r="C152" t="str">
            <v xml:space="preserve">بوطريشة </v>
          </cell>
          <cell r="D152" t="str">
            <v xml:space="preserve"> أمينة</v>
          </cell>
          <cell r="E152">
            <v>38964</v>
          </cell>
          <cell r="F152" t="str">
            <v>سفيزف</v>
          </cell>
          <cell r="G152" t="str">
            <v>3ع ت3</v>
          </cell>
          <cell r="H152" t="str">
            <v>خارجية</v>
          </cell>
          <cell r="I152" t="str">
            <v>خ</v>
          </cell>
          <cell r="J152" t="str">
            <v>ميلود</v>
          </cell>
          <cell r="K152" t="str">
            <v>موظف</v>
          </cell>
          <cell r="L152" t="str">
            <v>شارع مسقم محمد سفيزف</v>
          </cell>
          <cell r="M152">
            <v>0</v>
          </cell>
          <cell r="N152">
            <v>0</v>
          </cell>
          <cell r="O152" t="str">
            <v>بوطريشة   ميلود</v>
          </cell>
        </row>
        <row r="153">
          <cell r="A153">
            <v>144</v>
          </cell>
          <cell r="B153" t="str">
            <v>بوعلي حنيفي  محمد</v>
          </cell>
          <cell r="C153" t="str">
            <v>بوعلي حنيفي</v>
          </cell>
          <cell r="D153" t="str">
            <v>محمد</v>
          </cell>
          <cell r="E153">
            <v>38884</v>
          </cell>
          <cell r="F153" t="str">
            <v>سفيزف</v>
          </cell>
          <cell r="G153" t="str">
            <v>3ع ت3</v>
          </cell>
          <cell r="H153" t="str">
            <v>خارجي</v>
          </cell>
          <cell r="I153" t="str">
            <v>خ</v>
          </cell>
          <cell r="J153" t="str">
            <v>مصطفى</v>
          </cell>
          <cell r="K153" t="str">
            <v>حارس</v>
          </cell>
          <cell r="L153" t="str">
            <v>شارع عبدلي عبدالقادر سفيزف</v>
          </cell>
          <cell r="M153">
            <v>0</v>
          </cell>
          <cell r="N153">
            <v>0</v>
          </cell>
          <cell r="O153" t="str">
            <v>بوعلي حنيفي  مصطفى</v>
          </cell>
        </row>
        <row r="154">
          <cell r="A154">
            <v>145</v>
          </cell>
          <cell r="B154" t="str">
            <v>حمداد          عادل فاروق</v>
          </cell>
          <cell r="C154" t="str">
            <v xml:space="preserve">حمداد        </v>
          </cell>
          <cell r="D154" t="str">
            <v>عادل فاروق</v>
          </cell>
          <cell r="E154">
            <v>38424</v>
          </cell>
          <cell r="F154" t="str">
            <v>سفيزف</v>
          </cell>
          <cell r="G154" t="str">
            <v>3ع ت3</v>
          </cell>
          <cell r="H154" t="str">
            <v>خارجي</v>
          </cell>
          <cell r="I154" t="str">
            <v>خ</v>
          </cell>
          <cell r="J154" t="str">
            <v>عباس</v>
          </cell>
          <cell r="K154" t="str">
            <v>تاجر</v>
          </cell>
          <cell r="L154" t="str">
            <v>21حي بوخنفوس مختار سفيزف</v>
          </cell>
          <cell r="M154">
            <v>0</v>
          </cell>
          <cell r="N154">
            <v>0</v>
          </cell>
          <cell r="O154" t="str">
            <v>حمداد          عباس</v>
          </cell>
        </row>
        <row r="155">
          <cell r="A155">
            <v>146</v>
          </cell>
          <cell r="B155" t="str">
            <v>خليل    بشرى</v>
          </cell>
          <cell r="C155" t="str">
            <v xml:space="preserve">خليل </v>
          </cell>
          <cell r="D155" t="str">
            <v xml:space="preserve"> بشرى</v>
          </cell>
          <cell r="E155">
            <v>38964</v>
          </cell>
          <cell r="F155" t="str">
            <v>سفيزف</v>
          </cell>
          <cell r="G155" t="str">
            <v>3ع ت3</v>
          </cell>
          <cell r="H155" t="str">
            <v>خارجية</v>
          </cell>
          <cell r="I155" t="str">
            <v>خ</v>
          </cell>
          <cell r="J155" t="str">
            <v>قدور</v>
          </cell>
          <cell r="K155" t="str">
            <v>فلاح</v>
          </cell>
          <cell r="L155" t="str">
            <v>شارع بوخلخال الحبيب سفيزف</v>
          </cell>
          <cell r="M155">
            <v>0</v>
          </cell>
          <cell r="N155">
            <v>0</v>
          </cell>
          <cell r="O155" t="str">
            <v>خليل   قدور</v>
          </cell>
        </row>
        <row r="156">
          <cell r="A156">
            <v>147</v>
          </cell>
          <cell r="B156" t="str">
            <v>داودي   منال بشرى براءة</v>
          </cell>
          <cell r="C156" t="str">
            <v>داودي</v>
          </cell>
          <cell r="D156" t="str">
            <v xml:space="preserve"> منال بشرى براءة</v>
          </cell>
          <cell r="E156">
            <v>38970</v>
          </cell>
          <cell r="F156" t="str">
            <v>س بلعباس</v>
          </cell>
          <cell r="G156" t="str">
            <v>3ع ت3</v>
          </cell>
          <cell r="H156" t="str">
            <v>خارجية</v>
          </cell>
          <cell r="I156" t="str">
            <v>خ</v>
          </cell>
          <cell r="J156" t="str">
            <v>محمد</v>
          </cell>
          <cell r="K156" t="str">
            <v>مقاول</v>
          </cell>
          <cell r="L156" t="str">
            <v>شارع عيسات ايدير سفيزف</v>
          </cell>
          <cell r="M156">
            <v>0</v>
          </cell>
          <cell r="N156">
            <v>0</v>
          </cell>
          <cell r="O156" t="str">
            <v>داودي  محمد</v>
          </cell>
        </row>
        <row r="157">
          <cell r="A157">
            <v>148</v>
          </cell>
          <cell r="B157" t="str">
            <v>ديدة  فدوى هيفاء حليمة</v>
          </cell>
          <cell r="C157" t="str">
            <v>ديدة</v>
          </cell>
          <cell r="D157" t="str">
            <v>فدوى هيفاء حليمة</v>
          </cell>
          <cell r="E157">
            <v>38685</v>
          </cell>
          <cell r="F157" t="str">
            <v>سفيزف</v>
          </cell>
          <cell r="G157" t="str">
            <v>3ع ت3</v>
          </cell>
          <cell r="H157" t="str">
            <v>خارجية</v>
          </cell>
          <cell r="I157" t="str">
            <v>خ</v>
          </cell>
          <cell r="J157" t="str">
            <v>براهيم</v>
          </cell>
          <cell r="K157" t="str">
            <v>مقتصد</v>
          </cell>
          <cell r="L157" t="str">
            <v>ثانوية بوخلدة عبدالقادر سفيزف</v>
          </cell>
          <cell r="M157">
            <v>0</v>
          </cell>
          <cell r="N157">
            <v>0</v>
          </cell>
          <cell r="O157" t="str">
            <v>ديدة  براهيم</v>
          </cell>
        </row>
        <row r="158">
          <cell r="A158">
            <v>149</v>
          </cell>
          <cell r="B158" t="str">
            <v>دين    حليمة صبح</v>
          </cell>
          <cell r="C158" t="str">
            <v xml:space="preserve">دين </v>
          </cell>
          <cell r="D158" t="str">
            <v xml:space="preserve"> حليمة صبح</v>
          </cell>
          <cell r="E158">
            <v>39173</v>
          </cell>
          <cell r="F158" t="str">
            <v>سفيزف</v>
          </cell>
          <cell r="G158" t="str">
            <v>3ع ت3</v>
          </cell>
          <cell r="H158" t="str">
            <v>خارجية</v>
          </cell>
          <cell r="I158" t="str">
            <v>خ</v>
          </cell>
          <cell r="J158" t="str">
            <v>أحمد</v>
          </cell>
          <cell r="K158" t="str">
            <v>لا شئ</v>
          </cell>
          <cell r="L158" t="str">
            <v>10حي24فبراير سفيزف</v>
          </cell>
          <cell r="M158">
            <v>0</v>
          </cell>
          <cell r="N158">
            <v>0</v>
          </cell>
          <cell r="O158" t="str">
            <v>دين   أحمد</v>
          </cell>
        </row>
        <row r="159">
          <cell r="A159">
            <v>150</v>
          </cell>
          <cell r="B159" t="str">
            <v>زعقوق  محمد رضا</v>
          </cell>
          <cell r="C159" t="str">
            <v>زعقوق</v>
          </cell>
          <cell r="D159" t="str">
            <v>محمد رضا</v>
          </cell>
          <cell r="E159">
            <v>38817</v>
          </cell>
          <cell r="F159" t="str">
            <v>سفيزف</v>
          </cell>
          <cell r="G159" t="str">
            <v>3ع ت3</v>
          </cell>
          <cell r="H159" t="str">
            <v>خارجي</v>
          </cell>
          <cell r="I159" t="str">
            <v>خ</v>
          </cell>
          <cell r="J159" t="str">
            <v>يحي</v>
          </cell>
          <cell r="K159" t="str">
            <v>سائق</v>
          </cell>
          <cell r="L159" t="str">
            <v>حي زبلاح محمد سفيزف</v>
          </cell>
          <cell r="M159">
            <v>0</v>
          </cell>
          <cell r="N159">
            <v>0</v>
          </cell>
          <cell r="O159" t="str">
            <v>زعقوق  يحي</v>
          </cell>
        </row>
        <row r="160">
          <cell r="A160">
            <v>151</v>
          </cell>
          <cell r="B160" t="str">
            <v>زوقاغ    دعاء</v>
          </cell>
          <cell r="C160" t="str">
            <v xml:space="preserve">زوقاغ </v>
          </cell>
          <cell r="D160" t="str">
            <v xml:space="preserve"> دعاء</v>
          </cell>
          <cell r="E160">
            <v>39070</v>
          </cell>
          <cell r="F160" t="str">
            <v>سفيزف</v>
          </cell>
          <cell r="G160" t="str">
            <v>3ع ت3</v>
          </cell>
          <cell r="H160" t="str">
            <v>خارجية</v>
          </cell>
          <cell r="I160" t="str">
            <v>خ</v>
          </cell>
          <cell r="J160" t="str">
            <v>محمد</v>
          </cell>
          <cell r="K160" t="str">
            <v>موظف</v>
          </cell>
          <cell r="L160" t="str">
            <v>13شارع الإخوة أوهيبة سفيزف</v>
          </cell>
          <cell r="M160">
            <v>0</v>
          </cell>
          <cell r="N160">
            <v>0</v>
          </cell>
          <cell r="O160" t="str">
            <v>زوقاغ   محمد</v>
          </cell>
        </row>
        <row r="161">
          <cell r="A161">
            <v>152</v>
          </cell>
          <cell r="B161" t="str">
            <v>سنوسي عنتر   أسماء</v>
          </cell>
          <cell r="C161" t="str">
            <v xml:space="preserve">سنوسي عنتر </v>
          </cell>
          <cell r="D161" t="str">
            <v>أسماء</v>
          </cell>
          <cell r="E161">
            <v>38993</v>
          </cell>
          <cell r="F161" t="str">
            <v>س بلعباس</v>
          </cell>
          <cell r="G161" t="str">
            <v>3ع ت3</v>
          </cell>
          <cell r="H161" t="str">
            <v>خارجية</v>
          </cell>
          <cell r="I161" t="str">
            <v>خ</v>
          </cell>
          <cell r="J161" t="str">
            <v>جلول</v>
          </cell>
          <cell r="K161" t="str">
            <v>تاجر</v>
          </cell>
          <cell r="L161" t="str">
            <v>شارع هتراف أحمد سفيزف</v>
          </cell>
          <cell r="M161">
            <v>0</v>
          </cell>
          <cell r="N161">
            <v>0</v>
          </cell>
          <cell r="O161" t="str">
            <v>سنوسي عنتر   جلول</v>
          </cell>
        </row>
        <row r="162">
          <cell r="A162">
            <v>153</v>
          </cell>
          <cell r="B162" t="str">
            <v>سنوسي عنتر     آية</v>
          </cell>
          <cell r="C162" t="str">
            <v xml:space="preserve">سنوسي عنتر </v>
          </cell>
          <cell r="D162" t="str">
            <v xml:space="preserve">  آية</v>
          </cell>
          <cell r="E162">
            <v>38993</v>
          </cell>
          <cell r="F162" t="str">
            <v>س بلعباس</v>
          </cell>
          <cell r="G162" t="str">
            <v>3ع ت3</v>
          </cell>
          <cell r="H162" t="str">
            <v>خارجية</v>
          </cell>
          <cell r="I162" t="str">
            <v>خ</v>
          </cell>
          <cell r="J162" t="str">
            <v>جلول</v>
          </cell>
          <cell r="K162" t="str">
            <v>تاجر</v>
          </cell>
          <cell r="L162" t="str">
            <v>شارع هتراف أحمد سفيزف</v>
          </cell>
          <cell r="M162">
            <v>0</v>
          </cell>
          <cell r="N162">
            <v>0</v>
          </cell>
          <cell r="O162" t="str">
            <v>سنوسي عنتر   جلول</v>
          </cell>
        </row>
        <row r="163">
          <cell r="A163">
            <v>154</v>
          </cell>
          <cell r="B163" t="str">
            <v>شوقرون   وسيم</v>
          </cell>
          <cell r="C163" t="str">
            <v>شوقرون</v>
          </cell>
          <cell r="D163" t="str">
            <v xml:space="preserve"> وسيم</v>
          </cell>
          <cell r="E163">
            <v>39109</v>
          </cell>
          <cell r="F163" t="str">
            <v>س بلعباس</v>
          </cell>
          <cell r="G163" t="str">
            <v>3ع ت3</v>
          </cell>
          <cell r="H163" t="str">
            <v xml:space="preserve">خارجي </v>
          </cell>
          <cell r="I163" t="str">
            <v>خ</v>
          </cell>
          <cell r="J163" t="str">
            <v>أحمد</v>
          </cell>
          <cell r="K163" t="str">
            <v>متقاعد</v>
          </cell>
          <cell r="L163" t="str">
            <v>حي 506سكن سفيزف</v>
          </cell>
          <cell r="M163">
            <v>0</v>
          </cell>
          <cell r="N163">
            <v>0</v>
          </cell>
          <cell r="O163" t="str">
            <v>شوقرون  أحمد</v>
          </cell>
        </row>
        <row r="164">
          <cell r="A164">
            <v>155</v>
          </cell>
          <cell r="B164" t="str">
            <v>صلاح  خلود</v>
          </cell>
          <cell r="C164" t="str">
            <v>صلاح</v>
          </cell>
          <cell r="D164" t="str">
            <v>خلود</v>
          </cell>
          <cell r="E164">
            <v>38664</v>
          </cell>
          <cell r="F164" t="str">
            <v>سفيزف</v>
          </cell>
          <cell r="G164" t="str">
            <v>3ع ت3</v>
          </cell>
          <cell r="H164" t="str">
            <v>خارجية</v>
          </cell>
          <cell r="I164" t="str">
            <v>خ</v>
          </cell>
          <cell r="J164" t="str">
            <v>عبدالعزيز</v>
          </cell>
          <cell r="K164" t="str">
            <v>لحام</v>
          </cell>
          <cell r="L164" t="str">
            <v>حي نواري بن عبدالله سفيزف</v>
          </cell>
          <cell r="M164">
            <v>0</v>
          </cell>
          <cell r="N164">
            <v>0</v>
          </cell>
          <cell r="O164" t="str">
            <v>صلاح  عبدالعزيز</v>
          </cell>
        </row>
        <row r="165">
          <cell r="A165">
            <v>156</v>
          </cell>
          <cell r="B165" t="str">
            <v>طيبي  مارية</v>
          </cell>
          <cell r="C165" t="str">
            <v>طيبي</v>
          </cell>
          <cell r="D165" t="str">
            <v>مارية</v>
          </cell>
          <cell r="E165">
            <v>38727</v>
          </cell>
          <cell r="F165" t="str">
            <v>س بلعباس</v>
          </cell>
          <cell r="G165" t="str">
            <v>3ع ت3</v>
          </cell>
          <cell r="H165" t="str">
            <v>خارجية</v>
          </cell>
          <cell r="I165" t="str">
            <v>خ</v>
          </cell>
          <cell r="J165" t="str">
            <v>عمران</v>
          </cell>
          <cell r="K165" t="str">
            <v>متقاعد</v>
          </cell>
          <cell r="L165" t="str">
            <v>17حي نواري بن عبدالله سفيزف</v>
          </cell>
          <cell r="M165">
            <v>0</v>
          </cell>
          <cell r="N165">
            <v>0</v>
          </cell>
          <cell r="O165" t="str">
            <v>طيبي  عمران</v>
          </cell>
        </row>
        <row r="166">
          <cell r="A166">
            <v>157</v>
          </cell>
          <cell r="B166" t="str">
            <v>قديد    بختة امينة</v>
          </cell>
          <cell r="C166" t="str">
            <v xml:space="preserve">قديد </v>
          </cell>
          <cell r="D166" t="str">
            <v xml:space="preserve"> بختة امينة</v>
          </cell>
          <cell r="E166">
            <v>38949</v>
          </cell>
          <cell r="F166" t="str">
            <v>س بلعباس</v>
          </cell>
          <cell r="G166" t="str">
            <v>3ع ت3</v>
          </cell>
          <cell r="H166" t="str">
            <v>خارجية</v>
          </cell>
          <cell r="I166" t="str">
            <v>خ</v>
          </cell>
          <cell r="J166" t="str">
            <v>محمد</v>
          </cell>
          <cell r="K166" t="str">
            <v>عون أمن</v>
          </cell>
          <cell r="L166" t="str">
            <v>15شارع بنابي عبدالقادر سفيزف</v>
          </cell>
          <cell r="M166">
            <v>0</v>
          </cell>
          <cell r="N166">
            <v>0</v>
          </cell>
          <cell r="O166" t="str">
            <v>قديد   محمد</v>
          </cell>
        </row>
        <row r="167">
          <cell r="A167">
            <v>158</v>
          </cell>
          <cell r="B167" t="str">
            <v>قشاش    عبد المالك</v>
          </cell>
          <cell r="C167" t="str">
            <v xml:space="preserve">قشاش </v>
          </cell>
          <cell r="D167" t="str">
            <v xml:space="preserve"> عبد المالك</v>
          </cell>
          <cell r="E167">
            <v>38951</v>
          </cell>
          <cell r="F167" t="str">
            <v>سفيزف</v>
          </cell>
          <cell r="G167" t="str">
            <v>3ع ت3</v>
          </cell>
          <cell r="H167" t="str">
            <v xml:space="preserve">خارجي </v>
          </cell>
          <cell r="I167" t="str">
            <v>خ</v>
          </cell>
          <cell r="J167" t="str">
            <v>عبدالقادر</v>
          </cell>
          <cell r="K167" t="str">
            <v>متقاعد</v>
          </cell>
          <cell r="L167" t="str">
            <v>02شارع المشتلة سفيزف</v>
          </cell>
          <cell r="M167">
            <v>0</v>
          </cell>
          <cell r="N167">
            <v>0</v>
          </cell>
          <cell r="O167" t="str">
            <v>قشاش   عبدالقادر</v>
          </cell>
        </row>
        <row r="168">
          <cell r="A168">
            <v>159</v>
          </cell>
          <cell r="B168" t="str">
            <v>لونيسي   محمد اسلام</v>
          </cell>
          <cell r="C168" t="str">
            <v xml:space="preserve">لونيسي </v>
          </cell>
          <cell r="D168" t="str">
            <v>محمد اسلام</v>
          </cell>
          <cell r="E168">
            <v>38408</v>
          </cell>
          <cell r="F168" t="str">
            <v>سفيزف</v>
          </cell>
          <cell r="G168" t="str">
            <v>3ع ت3</v>
          </cell>
          <cell r="H168" t="str">
            <v xml:space="preserve">خارجي </v>
          </cell>
          <cell r="I168" t="str">
            <v>خ</v>
          </cell>
          <cell r="J168" t="str">
            <v>مهاجي</v>
          </cell>
          <cell r="K168" t="str">
            <v>متقاعد</v>
          </cell>
          <cell r="L168" t="str">
            <v>حي بوعسرية البشير سفيزف</v>
          </cell>
          <cell r="M168">
            <v>0</v>
          </cell>
          <cell r="N168">
            <v>0</v>
          </cell>
          <cell r="O168" t="str">
            <v>لونيسي   مهاجي</v>
          </cell>
        </row>
        <row r="169">
          <cell r="A169">
            <v>160</v>
          </cell>
          <cell r="B169" t="str">
            <v>مالكي    محمد عبد الرحيم</v>
          </cell>
          <cell r="C169" t="str">
            <v xml:space="preserve">مالكي </v>
          </cell>
          <cell r="D169" t="str">
            <v xml:space="preserve"> محمد عبد الرحيم</v>
          </cell>
          <cell r="E169">
            <v>39145</v>
          </cell>
          <cell r="F169" t="str">
            <v>سفيزف</v>
          </cell>
          <cell r="G169" t="str">
            <v>3ع ت3</v>
          </cell>
          <cell r="H169" t="str">
            <v xml:space="preserve">خارجي </v>
          </cell>
          <cell r="I169" t="str">
            <v>خ</v>
          </cell>
          <cell r="J169" t="str">
            <v>عبدالمالك</v>
          </cell>
          <cell r="K169" t="str">
            <v>طبيب</v>
          </cell>
          <cell r="L169" t="str">
            <v>شارع لاوصة عبدالقادر سفيزف</v>
          </cell>
          <cell r="M169">
            <v>0</v>
          </cell>
          <cell r="N169">
            <v>0</v>
          </cell>
          <cell r="O169" t="str">
            <v>مالكي   عبدالمالك</v>
          </cell>
        </row>
        <row r="170">
          <cell r="A170">
            <v>161</v>
          </cell>
          <cell r="B170" t="str">
            <v>مدوني   إسراء</v>
          </cell>
          <cell r="C170" t="str">
            <v xml:space="preserve">مدوني </v>
          </cell>
          <cell r="D170" t="str">
            <v>إسراء</v>
          </cell>
          <cell r="E170">
            <v>39066</v>
          </cell>
          <cell r="F170" t="str">
            <v>س بلعباس</v>
          </cell>
          <cell r="G170" t="str">
            <v>3ع ت3</v>
          </cell>
          <cell r="H170" t="str">
            <v>خارجية</v>
          </cell>
          <cell r="I170" t="str">
            <v>خ</v>
          </cell>
          <cell r="J170" t="str">
            <v>عدة</v>
          </cell>
          <cell r="K170" t="str">
            <v>مدير ثانوية</v>
          </cell>
          <cell r="L170" t="str">
            <v>ثانوية بوخلدة عبدالقادر سفيزف</v>
          </cell>
          <cell r="M170">
            <v>0</v>
          </cell>
          <cell r="N170">
            <v>0</v>
          </cell>
          <cell r="O170" t="str">
            <v>مدوني   عدة</v>
          </cell>
        </row>
        <row r="171">
          <cell r="A171">
            <v>162</v>
          </cell>
          <cell r="B171" t="str">
            <v>مزيان  احلام مروى</v>
          </cell>
          <cell r="C171" t="str">
            <v>مزيان</v>
          </cell>
          <cell r="D171" t="str">
            <v>احلام مروى</v>
          </cell>
          <cell r="E171">
            <v>38953</v>
          </cell>
          <cell r="F171" t="str">
            <v>سبدو</v>
          </cell>
          <cell r="G171" t="str">
            <v>3ع ت3</v>
          </cell>
          <cell r="H171" t="str">
            <v>خارجية</v>
          </cell>
          <cell r="I171" t="str">
            <v>خ</v>
          </cell>
          <cell r="J171" t="str">
            <v>يوسف</v>
          </cell>
          <cell r="K171" t="str">
            <v>موظف</v>
          </cell>
          <cell r="L171" t="str">
            <v>شارع مسقم محمد سفيزف</v>
          </cell>
          <cell r="M171">
            <v>0</v>
          </cell>
          <cell r="N171">
            <v>0</v>
          </cell>
          <cell r="O171" t="str">
            <v>مزيان  يوسف</v>
          </cell>
        </row>
        <row r="172">
          <cell r="A172">
            <v>163</v>
          </cell>
          <cell r="B172" t="str">
            <v>مهادن   شيماء</v>
          </cell>
          <cell r="C172" t="str">
            <v>مهادن</v>
          </cell>
          <cell r="D172" t="str">
            <v xml:space="preserve"> شيماء</v>
          </cell>
          <cell r="E172">
            <v>38850</v>
          </cell>
          <cell r="F172" t="str">
            <v>سفيزف</v>
          </cell>
          <cell r="G172" t="str">
            <v>3ع ت3</v>
          </cell>
          <cell r="H172" t="str">
            <v>خارجية</v>
          </cell>
          <cell r="I172" t="str">
            <v>خ</v>
          </cell>
          <cell r="J172" t="str">
            <v>عبدالكريم</v>
          </cell>
          <cell r="K172" t="str">
            <v>تاجر</v>
          </cell>
          <cell r="L172" t="str">
            <v>شارع بلعيني عبدالقادر سفيزف</v>
          </cell>
          <cell r="M172">
            <v>0</v>
          </cell>
          <cell r="N172">
            <v>0</v>
          </cell>
          <cell r="O172" t="str">
            <v>مهادن  عبدالكريم</v>
          </cell>
        </row>
        <row r="173">
          <cell r="A173">
            <v>164</v>
          </cell>
          <cell r="B173" t="str">
            <v>هلال  مختار عبد النور</v>
          </cell>
          <cell r="C173" t="str">
            <v>هلال</v>
          </cell>
          <cell r="D173" t="str">
            <v>مختار عبد النور</v>
          </cell>
          <cell r="E173">
            <v>38628</v>
          </cell>
          <cell r="F173" t="str">
            <v>سفيزف</v>
          </cell>
          <cell r="G173" t="str">
            <v>3ع ت3</v>
          </cell>
          <cell r="H173" t="str">
            <v>خارجي</v>
          </cell>
          <cell r="I173" t="str">
            <v>خ</v>
          </cell>
          <cell r="J173" t="str">
            <v>يحي</v>
          </cell>
          <cell r="K173" t="str">
            <v>متقاعد</v>
          </cell>
          <cell r="L173" t="str">
            <v>48حي بوخنفوس مختار سفيزف</v>
          </cell>
          <cell r="M173">
            <v>0</v>
          </cell>
          <cell r="N173">
            <v>0</v>
          </cell>
          <cell r="O173" t="str">
            <v>هلال  يحي</v>
          </cell>
        </row>
        <row r="174">
          <cell r="A174">
            <v>165</v>
          </cell>
          <cell r="B174" t="str">
            <v>يوب  إسلام</v>
          </cell>
          <cell r="C174" t="str">
            <v>يوب</v>
          </cell>
          <cell r="D174" t="str">
            <v>إسلام</v>
          </cell>
          <cell r="E174">
            <v>39184</v>
          </cell>
          <cell r="F174" t="str">
            <v>سفيزف</v>
          </cell>
          <cell r="G174" t="str">
            <v>3ع ت3</v>
          </cell>
          <cell r="H174" t="str">
            <v xml:space="preserve">خارجي </v>
          </cell>
          <cell r="I174" t="str">
            <v>خ</v>
          </cell>
          <cell r="J174" t="str">
            <v>بوعلي حنيفي مريم</v>
          </cell>
          <cell r="K174" t="str">
            <v>أستاذ</v>
          </cell>
          <cell r="L174" t="str">
            <v>32شارع عبدلي عبدالقادر سفيزف</v>
          </cell>
          <cell r="M174">
            <v>0</v>
          </cell>
          <cell r="N174">
            <v>0</v>
          </cell>
          <cell r="O174" t="str">
            <v>يوب  بوعلي حنيفي مريم</v>
          </cell>
        </row>
        <row r="175">
          <cell r="A175">
            <v>166</v>
          </cell>
          <cell r="B175" t="str">
            <v>بلفكرون    اية</v>
          </cell>
          <cell r="C175" t="str">
            <v xml:space="preserve">بلفكرون </v>
          </cell>
          <cell r="D175" t="str">
            <v xml:space="preserve"> اية</v>
          </cell>
          <cell r="E175">
            <v>39094</v>
          </cell>
          <cell r="F175" t="str">
            <v>سفيزف</v>
          </cell>
          <cell r="G175" t="str">
            <v>3أ ف1</v>
          </cell>
          <cell r="H175" t="str">
            <v>ن/داخلية</v>
          </cell>
          <cell r="I175" t="str">
            <v>ن/د</v>
          </cell>
          <cell r="J175" t="str">
            <v>محمد</v>
          </cell>
          <cell r="K175" t="str">
            <v>متقاعد</v>
          </cell>
          <cell r="L175" t="str">
            <v>عين آدن</v>
          </cell>
          <cell r="M175">
            <v>0</v>
          </cell>
          <cell r="N175">
            <v>0</v>
          </cell>
          <cell r="O175" t="str">
            <v>بلفكرون   محمد</v>
          </cell>
        </row>
        <row r="176">
          <cell r="A176">
            <v>167</v>
          </cell>
          <cell r="B176" t="str">
            <v>حسني  رقية</v>
          </cell>
          <cell r="C176" t="str">
            <v>حسني</v>
          </cell>
          <cell r="D176" t="str">
            <v>رقية</v>
          </cell>
          <cell r="E176">
            <v>38515</v>
          </cell>
          <cell r="F176" t="str">
            <v>سفيزف</v>
          </cell>
          <cell r="G176" t="str">
            <v>3أ ف1</v>
          </cell>
          <cell r="H176" t="str">
            <v>ن/داخلية</v>
          </cell>
          <cell r="I176" t="str">
            <v>ن/د</v>
          </cell>
          <cell r="J176" t="str">
            <v>عقبة</v>
          </cell>
          <cell r="K176" t="str">
            <v>لا شئ</v>
          </cell>
          <cell r="L176" t="str">
            <v>عين آدن</v>
          </cell>
          <cell r="M176">
            <v>0</v>
          </cell>
          <cell r="N176">
            <v>0</v>
          </cell>
          <cell r="O176" t="str">
            <v>حسني  عقبة</v>
          </cell>
        </row>
        <row r="177">
          <cell r="A177">
            <v>168</v>
          </cell>
          <cell r="B177" t="str">
            <v>دار نموس  فاطمة مروة</v>
          </cell>
          <cell r="C177" t="str">
            <v>دار نموس</v>
          </cell>
          <cell r="D177" t="str">
            <v>فاطمة مروة</v>
          </cell>
          <cell r="E177">
            <v>38116</v>
          </cell>
          <cell r="F177" t="str">
            <v>معسكر</v>
          </cell>
          <cell r="G177" t="str">
            <v>3أ ف1</v>
          </cell>
          <cell r="H177" t="str">
            <v>ن/داخلية</v>
          </cell>
          <cell r="I177" t="str">
            <v>ن/د</v>
          </cell>
          <cell r="J177" t="str">
            <v>محمد</v>
          </cell>
          <cell r="K177" t="str">
            <v>لا شئ</v>
          </cell>
          <cell r="L177" t="str">
            <v>عين آدن</v>
          </cell>
          <cell r="M177">
            <v>0</v>
          </cell>
          <cell r="N177">
            <v>0</v>
          </cell>
          <cell r="O177" t="str">
            <v>دار نموس  محمد</v>
          </cell>
        </row>
        <row r="178">
          <cell r="A178">
            <v>169</v>
          </cell>
          <cell r="B178" t="str">
            <v>لكحل  مريم</v>
          </cell>
          <cell r="C178" t="str">
            <v>لكحل</v>
          </cell>
          <cell r="D178" t="str">
            <v>مريم</v>
          </cell>
          <cell r="E178">
            <v>38539</v>
          </cell>
          <cell r="F178" t="str">
            <v>سفيزف</v>
          </cell>
          <cell r="G178" t="str">
            <v>3أ ف1</v>
          </cell>
          <cell r="H178" t="str">
            <v>ن/داخلية</v>
          </cell>
          <cell r="I178" t="str">
            <v>ن/د</v>
          </cell>
          <cell r="J178" t="str">
            <v>ميلود</v>
          </cell>
          <cell r="K178" t="str">
            <v>متقاعد</v>
          </cell>
          <cell r="L178" t="str">
            <v>مقطع دار السبع عين ادن</v>
          </cell>
          <cell r="M178">
            <v>0</v>
          </cell>
          <cell r="N178">
            <v>0</v>
          </cell>
          <cell r="O178" t="str">
            <v>لكحل  ميلود</v>
          </cell>
        </row>
        <row r="179">
          <cell r="A179">
            <v>170</v>
          </cell>
          <cell r="B179" t="str">
            <v>العرباوي  وسام</v>
          </cell>
          <cell r="C179" t="str">
            <v>العرباوي</v>
          </cell>
          <cell r="D179" t="str">
            <v>وسام</v>
          </cell>
          <cell r="E179">
            <v>38843</v>
          </cell>
          <cell r="F179" t="str">
            <v>سفيزف</v>
          </cell>
          <cell r="G179" t="str">
            <v>3أ ف1</v>
          </cell>
          <cell r="H179" t="str">
            <v>خارجية</v>
          </cell>
          <cell r="I179" t="str">
            <v>خ</v>
          </cell>
          <cell r="J179" t="str">
            <v>قادة</v>
          </cell>
          <cell r="K179" t="str">
            <v>عامل</v>
          </cell>
          <cell r="L179" t="str">
            <v>شارع شريفي أحمد سفيزف</v>
          </cell>
          <cell r="M179">
            <v>0</v>
          </cell>
          <cell r="N179">
            <v>0</v>
          </cell>
          <cell r="O179" t="str">
            <v>العرباوي  قادة</v>
          </cell>
        </row>
        <row r="180">
          <cell r="A180">
            <v>171</v>
          </cell>
          <cell r="B180" t="str">
            <v>ايقاش  أمينة</v>
          </cell>
          <cell r="C180" t="str">
            <v>ايقاش</v>
          </cell>
          <cell r="D180" t="str">
            <v>أمينة</v>
          </cell>
          <cell r="E180">
            <v>38550</v>
          </cell>
          <cell r="F180" t="str">
            <v>سفيزف</v>
          </cell>
          <cell r="G180" t="str">
            <v>3أ ف1</v>
          </cell>
          <cell r="H180" t="str">
            <v>خارجية</v>
          </cell>
          <cell r="I180" t="str">
            <v>خ</v>
          </cell>
          <cell r="J180" t="str">
            <v>يحي</v>
          </cell>
          <cell r="K180" t="str">
            <v>لا شئ</v>
          </cell>
          <cell r="L180" t="str">
            <v>70حي طيبي عبدالقادر سفيزف</v>
          </cell>
          <cell r="M180">
            <v>0</v>
          </cell>
          <cell r="N180">
            <v>0</v>
          </cell>
          <cell r="O180" t="str">
            <v>ايقاش  يحي</v>
          </cell>
        </row>
        <row r="181">
          <cell r="A181">
            <v>172</v>
          </cell>
          <cell r="B181" t="str">
            <v>بكار   كوثر</v>
          </cell>
          <cell r="C181" t="str">
            <v xml:space="preserve">بكار </v>
          </cell>
          <cell r="D181" t="str">
            <v>كوثر</v>
          </cell>
          <cell r="E181">
            <v>38333</v>
          </cell>
          <cell r="F181" t="str">
            <v>سفيزف</v>
          </cell>
          <cell r="G181" t="str">
            <v>3أ ف1</v>
          </cell>
          <cell r="H181" t="str">
            <v>خارجية</v>
          </cell>
          <cell r="I181" t="str">
            <v>خ</v>
          </cell>
          <cell r="J181" t="str">
            <v>الحبيب</v>
          </cell>
          <cell r="K181" t="str">
            <v>لا شئ</v>
          </cell>
          <cell r="L181" t="str">
            <v>33شارع بوتنزار محمد سفيزف</v>
          </cell>
          <cell r="M181">
            <v>0</v>
          </cell>
          <cell r="N181">
            <v>0</v>
          </cell>
          <cell r="O181" t="str">
            <v>بكار   الحبيب</v>
          </cell>
        </row>
        <row r="182">
          <cell r="A182">
            <v>173</v>
          </cell>
          <cell r="B182" t="str">
            <v>بلق  عائشة</v>
          </cell>
          <cell r="C182" t="str">
            <v>بلق</v>
          </cell>
          <cell r="D182" t="str">
            <v>عائشة</v>
          </cell>
          <cell r="E182">
            <v>37909</v>
          </cell>
          <cell r="F182" t="str">
            <v>سفيزف</v>
          </cell>
          <cell r="G182" t="str">
            <v>3أ ف1</v>
          </cell>
          <cell r="H182" t="str">
            <v>خارجية</v>
          </cell>
          <cell r="I182" t="str">
            <v>خ</v>
          </cell>
          <cell r="J182" t="str">
            <v>العربي</v>
          </cell>
          <cell r="K182" t="str">
            <v>موظف</v>
          </cell>
          <cell r="L182" t="str">
            <v>شارع أوهيبة ميلود سفيزف</v>
          </cell>
          <cell r="M182">
            <v>0</v>
          </cell>
          <cell r="N182">
            <v>0</v>
          </cell>
          <cell r="O182" t="str">
            <v>بلق  العربي</v>
          </cell>
        </row>
        <row r="183">
          <cell r="A183">
            <v>174</v>
          </cell>
          <cell r="B183" t="str">
            <v>بلقناديل  لخضر</v>
          </cell>
          <cell r="C183" t="str">
            <v>بلقناديل</v>
          </cell>
          <cell r="D183" t="str">
            <v>لخضر</v>
          </cell>
          <cell r="E183">
            <v>38291</v>
          </cell>
          <cell r="F183" t="str">
            <v>س بلعباس</v>
          </cell>
          <cell r="G183" t="str">
            <v>3أ ف1</v>
          </cell>
          <cell r="H183" t="str">
            <v xml:space="preserve">خارجي </v>
          </cell>
          <cell r="I183" t="str">
            <v>خ</v>
          </cell>
          <cell r="J183" t="str">
            <v>أحمد</v>
          </cell>
          <cell r="K183" t="str">
            <v>متقاعد</v>
          </cell>
          <cell r="L183" t="str">
            <v>شارع غوبالي محمد سفيزف</v>
          </cell>
          <cell r="M183">
            <v>0</v>
          </cell>
          <cell r="N183">
            <v>0</v>
          </cell>
          <cell r="O183" t="str">
            <v>بلقناديل  أحمد</v>
          </cell>
        </row>
        <row r="184">
          <cell r="A184">
            <v>175</v>
          </cell>
          <cell r="B184" t="str">
            <v>بن بارك  مهاجي</v>
          </cell>
          <cell r="C184" t="str">
            <v>بن بارك</v>
          </cell>
          <cell r="D184" t="str">
            <v>مهاجي</v>
          </cell>
          <cell r="E184">
            <v>38559</v>
          </cell>
          <cell r="F184" t="str">
            <v>س بلعباس</v>
          </cell>
          <cell r="G184" t="str">
            <v>3أ ف1</v>
          </cell>
          <cell r="H184" t="str">
            <v xml:space="preserve">خارجي </v>
          </cell>
          <cell r="I184" t="str">
            <v>خ</v>
          </cell>
          <cell r="J184" t="str">
            <v>قدور</v>
          </cell>
          <cell r="K184" t="str">
            <v>سائق</v>
          </cell>
          <cell r="L184" t="str">
            <v>مزرعة أوهيبة محي الدين سفيزف</v>
          </cell>
          <cell r="M184">
            <v>0</v>
          </cell>
          <cell r="N184">
            <v>0</v>
          </cell>
          <cell r="O184" t="str">
            <v>بن بارك  قدور</v>
          </cell>
        </row>
        <row r="185">
          <cell r="A185">
            <v>176</v>
          </cell>
          <cell r="B185" t="str">
            <v>بن حمو  دعاء فاطنة</v>
          </cell>
          <cell r="C185" t="str">
            <v>بن حمو</v>
          </cell>
          <cell r="D185" t="str">
            <v>دعاء فاطنة</v>
          </cell>
          <cell r="E185">
            <v>38778</v>
          </cell>
          <cell r="F185" t="str">
            <v>سفيزف</v>
          </cell>
          <cell r="G185" t="str">
            <v>3أ ف1</v>
          </cell>
          <cell r="H185" t="str">
            <v>خارجية</v>
          </cell>
          <cell r="I185" t="str">
            <v>خ</v>
          </cell>
          <cell r="J185" t="str">
            <v>بن بارك مختارية</v>
          </cell>
          <cell r="K185" t="str">
            <v>لا شئ</v>
          </cell>
          <cell r="L185" t="str">
            <v>07حي بوخنفوس مختار سفيزف</v>
          </cell>
          <cell r="M185">
            <v>0</v>
          </cell>
          <cell r="N185">
            <v>0</v>
          </cell>
          <cell r="O185" t="str">
            <v>بن حمو  بن بارك مختارية</v>
          </cell>
        </row>
        <row r="186">
          <cell r="A186">
            <v>177</v>
          </cell>
          <cell r="B186" t="str">
            <v>بن سجاد    يمينة</v>
          </cell>
          <cell r="C186" t="str">
            <v xml:space="preserve">بن سجاد </v>
          </cell>
          <cell r="D186" t="str">
            <v xml:space="preserve"> يمينة</v>
          </cell>
          <cell r="E186">
            <v>39190</v>
          </cell>
          <cell r="F186" t="str">
            <v>س بلعباس</v>
          </cell>
          <cell r="G186" t="str">
            <v>3أ ف1</v>
          </cell>
          <cell r="H186" t="str">
            <v>خارجية</v>
          </cell>
          <cell r="I186" t="str">
            <v>خ</v>
          </cell>
          <cell r="J186" t="str">
            <v>سيدأحمد</v>
          </cell>
          <cell r="K186" t="str">
            <v>موظف</v>
          </cell>
          <cell r="L186" t="str">
            <v>حي05جويلية سفيزف</v>
          </cell>
          <cell r="M186">
            <v>0</v>
          </cell>
          <cell r="N186">
            <v>0</v>
          </cell>
          <cell r="O186" t="str">
            <v>بن سجاد   سيدأحمد</v>
          </cell>
        </row>
        <row r="187">
          <cell r="A187">
            <v>178</v>
          </cell>
          <cell r="B187" t="str">
            <v>بن عيجة  سارة شيماء</v>
          </cell>
          <cell r="C187" t="str">
            <v>بن عيجة</v>
          </cell>
          <cell r="D187" t="str">
            <v>سارة شيماء</v>
          </cell>
          <cell r="E187">
            <v>38530</v>
          </cell>
          <cell r="F187" t="str">
            <v>س بلعباس</v>
          </cell>
          <cell r="G187" t="str">
            <v>3أ ف1</v>
          </cell>
          <cell r="H187" t="str">
            <v>خارجية</v>
          </cell>
          <cell r="I187" t="str">
            <v>خ</v>
          </cell>
          <cell r="J187" t="str">
            <v>محمد</v>
          </cell>
          <cell r="K187" t="str">
            <v>تاجر</v>
          </cell>
          <cell r="L187" t="str">
            <v>حي كشار صحراوي سفيزف</v>
          </cell>
          <cell r="M187">
            <v>0</v>
          </cell>
          <cell r="N187">
            <v>0</v>
          </cell>
          <cell r="O187" t="str">
            <v>بن عيجة  محمد</v>
          </cell>
        </row>
        <row r="188">
          <cell r="A188">
            <v>179</v>
          </cell>
          <cell r="B188" t="str">
            <v>بوهند   عبد الهادي مصطفى</v>
          </cell>
          <cell r="C188" t="str">
            <v xml:space="preserve">بوهند </v>
          </cell>
          <cell r="D188" t="str">
            <v>عبد الهادي مصطفى</v>
          </cell>
          <cell r="E188">
            <v>38702</v>
          </cell>
          <cell r="F188" t="str">
            <v>سفيزف</v>
          </cell>
          <cell r="G188" t="str">
            <v>3أ ف1</v>
          </cell>
          <cell r="H188" t="str">
            <v>خارجي</v>
          </cell>
          <cell r="I188" t="str">
            <v>خ</v>
          </cell>
          <cell r="J188" t="str">
            <v>قادة</v>
          </cell>
          <cell r="K188" t="str">
            <v>متقاعد</v>
          </cell>
          <cell r="L188" t="str">
            <v>حي506سكن سفيزف</v>
          </cell>
          <cell r="M188">
            <v>0</v>
          </cell>
          <cell r="N188">
            <v>0</v>
          </cell>
          <cell r="O188" t="str">
            <v>بوهند   قادة</v>
          </cell>
        </row>
        <row r="189">
          <cell r="A189">
            <v>180</v>
          </cell>
          <cell r="B189" t="str">
            <v>بوهند   ايوب محمد</v>
          </cell>
          <cell r="C189" t="str">
            <v xml:space="preserve">بوهند </v>
          </cell>
          <cell r="D189" t="str">
            <v>ايوب محمد</v>
          </cell>
          <cell r="E189">
            <v>38689</v>
          </cell>
          <cell r="F189" t="str">
            <v>سفيزف</v>
          </cell>
          <cell r="G189" t="str">
            <v>3أ ف1</v>
          </cell>
          <cell r="H189" t="str">
            <v>خارجي</v>
          </cell>
          <cell r="I189" t="str">
            <v>خ</v>
          </cell>
          <cell r="J189" t="str">
            <v>جمال</v>
          </cell>
          <cell r="K189" t="str">
            <v>أستاذ</v>
          </cell>
          <cell r="L189" t="str">
            <v>07حي بوخنفوس مختار سفيزف</v>
          </cell>
          <cell r="M189">
            <v>0</v>
          </cell>
          <cell r="N189">
            <v>0</v>
          </cell>
          <cell r="O189" t="str">
            <v>بوهند   جمال</v>
          </cell>
        </row>
        <row r="190">
          <cell r="A190">
            <v>181</v>
          </cell>
          <cell r="B190" t="str">
            <v>ترزي    أحلام</v>
          </cell>
          <cell r="C190" t="str">
            <v xml:space="preserve">ترزي </v>
          </cell>
          <cell r="D190" t="str">
            <v xml:space="preserve"> أحلام</v>
          </cell>
          <cell r="E190">
            <v>38402</v>
          </cell>
          <cell r="F190" t="str">
            <v>سفيزف</v>
          </cell>
          <cell r="G190" t="str">
            <v>3أ ف1</v>
          </cell>
          <cell r="H190" t="str">
            <v>خارجية</v>
          </cell>
          <cell r="I190" t="str">
            <v>خ</v>
          </cell>
          <cell r="J190" t="str">
            <v>جيلالي</v>
          </cell>
          <cell r="K190" t="str">
            <v>لا شئ</v>
          </cell>
          <cell r="L190" t="str">
            <v>حي100سكن سفيزف</v>
          </cell>
          <cell r="M190">
            <v>0</v>
          </cell>
          <cell r="N190">
            <v>0</v>
          </cell>
          <cell r="O190" t="str">
            <v>ترزي   جيلالي</v>
          </cell>
        </row>
        <row r="191">
          <cell r="A191">
            <v>182</v>
          </cell>
          <cell r="B191" t="str">
            <v>تيرس  شيماء</v>
          </cell>
          <cell r="C191" t="str">
            <v>تيرس</v>
          </cell>
          <cell r="D191" t="str">
            <v>شيماء</v>
          </cell>
          <cell r="E191">
            <v>38164</v>
          </cell>
          <cell r="F191" t="str">
            <v>سفيزف</v>
          </cell>
          <cell r="G191" t="str">
            <v>3أ ف1</v>
          </cell>
          <cell r="H191" t="str">
            <v>خارجية</v>
          </cell>
          <cell r="I191" t="str">
            <v>خ</v>
          </cell>
          <cell r="J191" t="str">
            <v>قدور</v>
          </cell>
          <cell r="K191" t="str">
            <v>متقاعد</v>
          </cell>
          <cell r="L191" t="str">
            <v>حي طيبي عبدالقادر سفيزف</v>
          </cell>
          <cell r="M191">
            <v>0</v>
          </cell>
          <cell r="N191">
            <v>0</v>
          </cell>
          <cell r="O191" t="str">
            <v>تيرس  قدور</v>
          </cell>
        </row>
        <row r="192">
          <cell r="A192">
            <v>183</v>
          </cell>
          <cell r="B192" t="str">
            <v>جيلي  عباس</v>
          </cell>
          <cell r="C192" t="str">
            <v>جيلي</v>
          </cell>
          <cell r="D192" t="str">
            <v>عباس</v>
          </cell>
          <cell r="E192">
            <v>38514</v>
          </cell>
          <cell r="F192" t="str">
            <v>س بلعباس</v>
          </cell>
          <cell r="G192" t="str">
            <v>3أ ف1</v>
          </cell>
          <cell r="H192" t="str">
            <v xml:space="preserve">خارجي </v>
          </cell>
          <cell r="I192" t="str">
            <v>خ</v>
          </cell>
          <cell r="J192" t="str">
            <v>براهيم</v>
          </cell>
          <cell r="K192" t="str">
            <v>لا شئ</v>
          </cell>
          <cell r="L192" t="str">
            <v>نهج سي بومدين سفيزف</v>
          </cell>
          <cell r="M192">
            <v>0</v>
          </cell>
          <cell r="N192">
            <v>0</v>
          </cell>
          <cell r="O192" t="str">
            <v>جيلي  براهيم</v>
          </cell>
        </row>
        <row r="193">
          <cell r="A193">
            <v>184</v>
          </cell>
          <cell r="B193" t="str">
            <v>خلوفي  سعدية</v>
          </cell>
          <cell r="C193" t="str">
            <v>خلوفي</v>
          </cell>
          <cell r="D193" t="str">
            <v>سعدية</v>
          </cell>
          <cell r="E193">
            <v>38011</v>
          </cell>
          <cell r="F193" t="str">
            <v>سفيزف</v>
          </cell>
          <cell r="G193" t="str">
            <v>3أ ف1</v>
          </cell>
          <cell r="H193" t="str">
            <v>خارجية</v>
          </cell>
          <cell r="I193" t="str">
            <v>خ</v>
          </cell>
          <cell r="J193" t="str">
            <v>العربي</v>
          </cell>
          <cell r="K193" t="str">
            <v>متوفي</v>
          </cell>
          <cell r="L193" t="str">
            <v>08شارع شعيب لخضر سفيزف</v>
          </cell>
          <cell r="M193">
            <v>0</v>
          </cell>
          <cell r="N193">
            <v>0</v>
          </cell>
          <cell r="O193" t="str">
            <v>خلوفي  العربي</v>
          </cell>
        </row>
        <row r="194">
          <cell r="A194">
            <v>185</v>
          </cell>
          <cell r="B194" t="str">
            <v>سعدوني  وفاء</v>
          </cell>
          <cell r="C194" t="str">
            <v>سعدوني</v>
          </cell>
          <cell r="D194" t="str">
            <v>وفاء</v>
          </cell>
          <cell r="E194">
            <v>38511</v>
          </cell>
          <cell r="F194" t="str">
            <v>سفيزف</v>
          </cell>
          <cell r="G194" t="str">
            <v>3أ ف1</v>
          </cell>
          <cell r="H194" t="str">
            <v>خارجية</v>
          </cell>
          <cell r="I194" t="str">
            <v>خ</v>
          </cell>
          <cell r="J194" t="str">
            <v>قادة</v>
          </cell>
          <cell r="K194" t="str">
            <v>متقاعد</v>
          </cell>
          <cell r="L194" t="str">
            <v>عين آدن</v>
          </cell>
          <cell r="M194">
            <v>0</v>
          </cell>
          <cell r="N194">
            <v>0</v>
          </cell>
          <cell r="O194" t="str">
            <v>سعدوني  قادة</v>
          </cell>
        </row>
        <row r="195">
          <cell r="A195">
            <v>186</v>
          </cell>
          <cell r="B195" t="str">
            <v>شادلي    خلود</v>
          </cell>
          <cell r="C195" t="str">
            <v xml:space="preserve">شادلي </v>
          </cell>
          <cell r="D195" t="str">
            <v xml:space="preserve"> خلود</v>
          </cell>
          <cell r="E195">
            <v>38808</v>
          </cell>
          <cell r="F195" t="str">
            <v>سفيزف</v>
          </cell>
          <cell r="G195" t="str">
            <v>3أ ف1</v>
          </cell>
          <cell r="H195" t="str">
            <v>خارجية</v>
          </cell>
          <cell r="I195" t="str">
            <v>خ</v>
          </cell>
          <cell r="J195" t="str">
            <v>لخضر</v>
          </cell>
          <cell r="K195" t="str">
            <v>موظف</v>
          </cell>
          <cell r="L195" t="str">
            <v>حي 156سكن سفيزف</v>
          </cell>
          <cell r="M195">
            <v>0</v>
          </cell>
          <cell r="N195">
            <v>0</v>
          </cell>
          <cell r="O195" t="str">
            <v>شادلي   لخضر</v>
          </cell>
        </row>
        <row r="196">
          <cell r="A196">
            <v>187</v>
          </cell>
          <cell r="B196" t="str">
            <v>غالي    ملوكة</v>
          </cell>
          <cell r="C196" t="str">
            <v xml:space="preserve">غالي </v>
          </cell>
          <cell r="D196" t="str">
            <v xml:space="preserve"> ملوكة</v>
          </cell>
          <cell r="E196">
            <v>38741</v>
          </cell>
          <cell r="F196" t="str">
            <v>س بلعباس</v>
          </cell>
          <cell r="G196" t="str">
            <v>3أ ف1</v>
          </cell>
          <cell r="H196" t="str">
            <v>خارجية</v>
          </cell>
          <cell r="I196" t="str">
            <v>خ</v>
          </cell>
          <cell r="J196" t="str">
            <v>بن عومر</v>
          </cell>
          <cell r="K196" t="str">
            <v>لا شئ</v>
          </cell>
          <cell r="L196" t="str">
            <v>96حي طيبي عبدالقادر سفيزف</v>
          </cell>
          <cell r="M196">
            <v>0</v>
          </cell>
          <cell r="N196">
            <v>0</v>
          </cell>
          <cell r="O196" t="str">
            <v>غالي   بن عومر</v>
          </cell>
        </row>
        <row r="197">
          <cell r="A197">
            <v>188</v>
          </cell>
          <cell r="B197" t="str">
            <v>فليو  محمد رفيق</v>
          </cell>
          <cell r="C197" t="str">
            <v>فليو</v>
          </cell>
          <cell r="D197" t="str">
            <v>محمد رفيق</v>
          </cell>
          <cell r="E197">
            <v>38661</v>
          </cell>
          <cell r="F197" t="str">
            <v>سفيزف</v>
          </cell>
          <cell r="G197" t="str">
            <v>3أ ف1</v>
          </cell>
          <cell r="H197" t="str">
            <v xml:space="preserve">خارجي </v>
          </cell>
          <cell r="I197" t="str">
            <v>خ</v>
          </cell>
          <cell r="J197" t="str">
            <v>ميلود</v>
          </cell>
          <cell r="K197" t="str">
            <v>متقاعد</v>
          </cell>
          <cell r="L197" t="str">
            <v>حي72سكن سفيزف</v>
          </cell>
          <cell r="M197">
            <v>0</v>
          </cell>
          <cell r="N197">
            <v>0</v>
          </cell>
          <cell r="O197" t="str">
            <v>فليو  ميلود</v>
          </cell>
        </row>
        <row r="198">
          <cell r="A198">
            <v>189</v>
          </cell>
          <cell r="B198" t="str">
            <v>كرناف    شيماء</v>
          </cell>
          <cell r="C198" t="str">
            <v xml:space="preserve">كرناف </v>
          </cell>
          <cell r="D198" t="str">
            <v xml:space="preserve"> شيماء</v>
          </cell>
          <cell r="E198">
            <v>39071</v>
          </cell>
          <cell r="F198" t="str">
            <v>سفيزف</v>
          </cell>
          <cell r="G198" t="str">
            <v>3أ ف1</v>
          </cell>
          <cell r="H198" t="str">
            <v>خارجية</v>
          </cell>
          <cell r="I198" t="str">
            <v>خ</v>
          </cell>
          <cell r="J198" t="str">
            <v>عباس</v>
          </cell>
          <cell r="K198" t="str">
            <v>متقاعد</v>
          </cell>
          <cell r="L198" t="str">
            <v>68حي بوخنفوس مختار سفيزف</v>
          </cell>
          <cell r="M198">
            <v>0</v>
          </cell>
          <cell r="N198">
            <v>0</v>
          </cell>
          <cell r="O198" t="str">
            <v>كرناف   عباس</v>
          </cell>
        </row>
        <row r="199">
          <cell r="A199">
            <v>190</v>
          </cell>
          <cell r="B199" t="str">
            <v>مراح   ناصر</v>
          </cell>
          <cell r="C199" t="str">
            <v xml:space="preserve">مراح </v>
          </cell>
          <cell r="D199" t="str">
            <v>ناصر</v>
          </cell>
          <cell r="E199">
            <v>38874</v>
          </cell>
          <cell r="F199" t="str">
            <v>سفيزف</v>
          </cell>
          <cell r="G199" t="str">
            <v>3أ ف1</v>
          </cell>
          <cell r="H199" t="str">
            <v xml:space="preserve">خارجي </v>
          </cell>
          <cell r="I199" t="str">
            <v>خ</v>
          </cell>
          <cell r="J199" t="str">
            <v>حاج</v>
          </cell>
          <cell r="K199" t="str">
            <v>عامل</v>
          </cell>
          <cell r="L199" t="str">
            <v>91حي نواري بن عبدالله سفيزف</v>
          </cell>
          <cell r="M199">
            <v>0</v>
          </cell>
          <cell r="N199">
            <v>0</v>
          </cell>
          <cell r="O199" t="str">
            <v>مراح   حاج</v>
          </cell>
        </row>
        <row r="200">
          <cell r="A200">
            <v>191</v>
          </cell>
          <cell r="B200" t="str">
            <v>مرين  نور الهدى</v>
          </cell>
          <cell r="C200" t="str">
            <v>مرين</v>
          </cell>
          <cell r="D200" t="str">
            <v>نور الهدى</v>
          </cell>
          <cell r="E200">
            <v>38338</v>
          </cell>
          <cell r="F200" t="str">
            <v>سفيزف</v>
          </cell>
          <cell r="G200" t="str">
            <v>3أ ف1</v>
          </cell>
          <cell r="H200" t="str">
            <v>خارجية</v>
          </cell>
          <cell r="I200" t="str">
            <v>خ</v>
          </cell>
          <cell r="J200" t="str">
            <v>بغداد</v>
          </cell>
          <cell r="K200" t="str">
            <v>لا شئ</v>
          </cell>
          <cell r="L200" t="str">
            <v>شارع بوعسرية البشير سفيزف</v>
          </cell>
          <cell r="M200">
            <v>0</v>
          </cell>
          <cell r="N200">
            <v>0</v>
          </cell>
          <cell r="O200" t="str">
            <v>مرين  بغداد</v>
          </cell>
        </row>
        <row r="201">
          <cell r="A201">
            <v>192</v>
          </cell>
          <cell r="B201" t="str">
            <v>مزواري  احمد</v>
          </cell>
          <cell r="C201" t="str">
            <v>مزواري</v>
          </cell>
          <cell r="D201" t="str">
            <v>احمد</v>
          </cell>
          <cell r="E201">
            <v>38423</v>
          </cell>
          <cell r="F201" t="str">
            <v>سفيزف</v>
          </cell>
          <cell r="G201" t="str">
            <v>3أ ف1</v>
          </cell>
          <cell r="H201" t="str">
            <v xml:space="preserve">خارجي </v>
          </cell>
          <cell r="I201" t="str">
            <v>خ</v>
          </cell>
          <cell r="J201" t="str">
            <v>بلاحة</v>
          </cell>
          <cell r="K201" t="str">
            <v>لا شئ</v>
          </cell>
          <cell r="L201" t="str">
            <v>حي أوهيبة ميلود سفيزف</v>
          </cell>
          <cell r="M201">
            <v>0</v>
          </cell>
          <cell r="N201">
            <v>0</v>
          </cell>
          <cell r="O201" t="str">
            <v>مزواري  بلاحة</v>
          </cell>
        </row>
        <row r="202">
          <cell r="A202">
            <v>193</v>
          </cell>
          <cell r="B202" t="str">
            <v xml:space="preserve">ملاس  الياس لحسن </v>
          </cell>
          <cell r="C202" t="str">
            <v>ملاس</v>
          </cell>
          <cell r="D202" t="str">
            <v xml:space="preserve">الياس لحسن </v>
          </cell>
          <cell r="E202">
            <v>38587</v>
          </cell>
          <cell r="F202" t="str">
            <v>سفيزف</v>
          </cell>
          <cell r="G202" t="str">
            <v>3أ ف1</v>
          </cell>
          <cell r="H202" t="str">
            <v xml:space="preserve">خارجي </v>
          </cell>
          <cell r="I202" t="str">
            <v>خ</v>
          </cell>
          <cell r="J202" t="str">
            <v>قادة</v>
          </cell>
          <cell r="K202" t="str">
            <v>متقاعد</v>
          </cell>
          <cell r="L202" t="str">
            <v>مزرعة اوهيبة محي الدين سفيزف</v>
          </cell>
          <cell r="M202">
            <v>0</v>
          </cell>
          <cell r="N202">
            <v>0</v>
          </cell>
          <cell r="O202" t="str">
            <v>ملاس  قادة</v>
          </cell>
        </row>
        <row r="203">
          <cell r="A203">
            <v>194</v>
          </cell>
          <cell r="B203" t="str">
            <v>نطاح    إكرام نور الهدى</v>
          </cell>
          <cell r="C203" t="str">
            <v xml:space="preserve">نطاح </v>
          </cell>
          <cell r="D203" t="str">
            <v xml:space="preserve"> إكرام نور الهدى</v>
          </cell>
          <cell r="E203">
            <v>39043</v>
          </cell>
          <cell r="F203" t="str">
            <v>سفيزف</v>
          </cell>
          <cell r="G203" t="str">
            <v>3أ ف1</v>
          </cell>
          <cell r="H203" t="str">
            <v>خارجية</v>
          </cell>
          <cell r="I203" t="str">
            <v>خ</v>
          </cell>
          <cell r="J203" t="str">
            <v>هواري</v>
          </cell>
          <cell r="K203" t="str">
            <v>لا شئ</v>
          </cell>
          <cell r="L203" t="str">
            <v>07شارع طيبي عبالقادر سفيزف</v>
          </cell>
          <cell r="M203">
            <v>0</v>
          </cell>
          <cell r="N203">
            <v>0</v>
          </cell>
          <cell r="O203" t="str">
            <v>نطاح   هواري</v>
          </cell>
        </row>
        <row r="204">
          <cell r="A204">
            <v>195</v>
          </cell>
          <cell r="B204" t="str">
            <v>نواري  هالة</v>
          </cell>
          <cell r="C204" t="str">
            <v>نواري</v>
          </cell>
          <cell r="D204" t="str">
            <v>هالة</v>
          </cell>
          <cell r="E204">
            <v>38726</v>
          </cell>
          <cell r="F204" t="str">
            <v>سفيزف</v>
          </cell>
          <cell r="G204" t="str">
            <v>3أ ف1</v>
          </cell>
          <cell r="H204" t="str">
            <v>خارجية</v>
          </cell>
          <cell r="I204" t="str">
            <v>خ</v>
          </cell>
          <cell r="J204" t="str">
            <v>محمد</v>
          </cell>
          <cell r="K204" t="str">
            <v>تاجر</v>
          </cell>
          <cell r="L204" t="str">
            <v>شارع مشرف عدة سفيزف</v>
          </cell>
          <cell r="M204">
            <v>0</v>
          </cell>
          <cell r="N204">
            <v>0</v>
          </cell>
          <cell r="O204" t="str">
            <v>نواري  محمد</v>
          </cell>
        </row>
        <row r="205">
          <cell r="A205">
            <v>196</v>
          </cell>
          <cell r="B205" t="str">
            <v>يحياوي    محمد عبد الهادي</v>
          </cell>
          <cell r="C205" t="str">
            <v xml:space="preserve">يحياوي </v>
          </cell>
          <cell r="D205" t="str">
            <v xml:space="preserve"> محمد عبد الهادي</v>
          </cell>
          <cell r="E205">
            <v>38807</v>
          </cell>
          <cell r="F205" t="str">
            <v>سفيزف</v>
          </cell>
          <cell r="G205" t="str">
            <v>3أ ف1</v>
          </cell>
          <cell r="H205" t="str">
            <v xml:space="preserve">خارجي </v>
          </cell>
          <cell r="I205" t="str">
            <v>خ</v>
          </cell>
          <cell r="J205" t="str">
            <v>طيب</v>
          </cell>
          <cell r="K205" t="str">
            <v>لا شئ</v>
          </cell>
          <cell r="L205" t="str">
            <v>مزرعة أوهيبة محي الدين سفيزف</v>
          </cell>
          <cell r="M205">
            <v>0</v>
          </cell>
          <cell r="N205">
            <v>0</v>
          </cell>
          <cell r="O205" t="str">
            <v>يحياوي   طيب</v>
          </cell>
        </row>
        <row r="206">
          <cell r="A206">
            <v>197</v>
          </cell>
          <cell r="B206" t="str">
            <v>بن سجاد   عبير ياسمين</v>
          </cell>
          <cell r="C206" t="str">
            <v xml:space="preserve">بن سجاد </v>
          </cell>
          <cell r="D206" t="str">
            <v>عبير ياسمين</v>
          </cell>
          <cell r="E206">
            <v>39071</v>
          </cell>
          <cell r="F206" t="str">
            <v>الوادي</v>
          </cell>
          <cell r="G206" t="str">
            <v>3أ ف2</v>
          </cell>
          <cell r="H206" t="str">
            <v>ن/داخلية</v>
          </cell>
          <cell r="I206" t="str">
            <v>ن/د</v>
          </cell>
          <cell r="J206" t="str">
            <v>حاج</v>
          </cell>
          <cell r="K206" t="str">
            <v>متقاعد</v>
          </cell>
          <cell r="L206" t="str">
            <v>عين آدن</v>
          </cell>
          <cell r="M206">
            <v>0</v>
          </cell>
          <cell r="N206">
            <v>0</v>
          </cell>
          <cell r="O206" t="str">
            <v>بن سجاد   حاج</v>
          </cell>
        </row>
        <row r="207">
          <cell r="A207">
            <v>198</v>
          </cell>
          <cell r="B207" t="str">
            <v>حمزات  قادة</v>
          </cell>
          <cell r="C207" t="str">
            <v>حمزات</v>
          </cell>
          <cell r="D207" t="str">
            <v>قادة</v>
          </cell>
          <cell r="E207">
            <v>38063</v>
          </cell>
          <cell r="F207" t="str">
            <v>سفيزف</v>
          </cell>
          <cell r="G207" t="str">
            <v>3أ ف2</v>
          </cell>
          <cell r="H207" t="str">
            <v>ن/داخلي</v>
          </cell>
          <cell r="I207" t="str">
            <v>ن/د</v>
          </cell>
          <cell r="J207" t="str">
            <v>مختار</v>
          </cell>
          <cell r="K207" t="str">
            <v>متوفى</v>
          </cell>
          <cell r="L207" t="str">
            <v>قرية بلبوش</v>
          </cell>
          <cell r="M207">
            <v>0</v>
          </cell>
          <cell r="N207">
            <v>0</v>
          </cell>
          <cell r="O207" t="str">
            <v>حمزات  مختار</v>
          </cell>
        </row>
        <row r="208">
          <cell r="A208">
            <v>199</v>
          </cell>
          <cell r="B208" t="str">
            <v>دار نموس  اكرام</v>
          </cell>
          <cell r="C208" t="str">
            <v>دار نموس</v>
          </cell>
          <cell r="D208" t="str">
            <v>اكرام</v>
          </cell>
          <cell r="E208">
            <v>37868</v>
          </cell>
          <cell r="F208" t="str">
            <v>سفيزف</v>
          </cell>
          <cell r="G208" t="str">
            <v>3أ ف2</v>
          </cell>
          <cell r="H208" t="str">
            <v>ن/داخلية</v>
          </cell>
          <cell r="I208" t="str">
            <v>ن/د</v>
          </cell>
          <cell r="J208" t="str">
            <v>حبيب</v>
          </cell>
          <cell r="K208" t="str">
            <v>لا شئ</v>
          </cell>
          <cell r="L208" t="str">
            <v>عين آدن</v>
          </cell>
          <cell r="M208">
            <v>0</v>
          </cell>
          <cell r="N208">
            <v>0</v>
          </cell>
          <cell r="O208" t="str">
            <v>دار نموس  حبيب</v>
          </cell>
        </row>
        <row r="209">
          <cell r="A209">
            <v>200</v>
          </cell>
          <cell r="B209" t="str">
            <v>باحة  الخليفة امين</v>
          </cell>
          <cell r="C209" t="str">
            <v>باحة</v>
          </cell>
          <cell r="D209" t="str">
            <v>الخليفة امين</v>
          </cell>
          <cell r="E209">
            <v>38512</v>
          </cell>
          <cell r="F209" t="str">
            <v>سفيزف</v>
          </cell>
          <cell r="G209" t="str">
            <v>3أ ف2</v>
          </cell>
          <cell r="H209" t="str">
            <v>خارجي</v>
          </cell>
          <cell r="I209" t="str">
            <v>خ</v>
          </cell>
          <cell r="J209" t="str">
            <v>يحي</v>
          </cell>
          <cell r="K209" t="str">
            <v>متقاعد</v>
          </cell>
          <cell r="L209" t="str">
            <v>جي32سكن سفيزف</v>
          </cell>
          <cell r="M209">
            <v>0</v>
          </cell>
          <cell r="N209">
            <v>0</v>
          </cell>
          <cell r="O209" t="str">
            <v>باحة  يحي</v>
          </cell>
        </row>
        <row r="210">
          <cell r="A210">
            <v>201</v>
          </cell>
          <cell r="B210" t="str">
            <v>بطام  رجاء</v>
          </cell>
          <cell r="C210" t="str">
            <v>بطام</v>
          </cell>
          <cell r="D210" t="str">
            <v>رجاء</v>
          </cell>
          <cell r="E210">
            <v>38972</v>
          </cell>
          <cell r="F210" t="str">
            <v>س بلعباس</v>
          </cell>
          <cell r="G210" t="str">
            <v>3أ ف2</v>
          </cell>
          <cell r="H210" t="str">
            <v>خارجية</v>
          </cell>
          <cell r="I210" t="str">
            <v>خ</v>
          </cell>
          <cell r="J210" t="str">
            <v>محمد</v>
          </cell>
          <cell r="K210" t="str">
            <v>متقاعد</v>
          </cell>
          <cell r="L210" t="str">
            <v>26حي05جويلية سفيزف</v>
          </cell>
          <cell r="M210">
            <v>0</v>
          </cell>
          <cell r="N210">
            <v>0</v>
          </cell>
          <cell r="O210" t="str">
            <v>بطام  محمد</v>
          </cell>
        </row>
        <row r="211">
          <cell r="A211">
            <v>202</v>
          </cell>
          <cell r="B211" t="str">
            <v>بن بارك  عبد الرزاق</v>
          </cell>
          <cell r="C211" t="str">
            <v>بن بارك</v>
          </cell>
          <cell r="D211" t="str">
            <v>عبد الرزاق</v>
          </cell>
          <cell r="E211">
            <v>38577</v>
          </cell>
          <cell r="F211" t="str">
            <v>س بلعباس</v>
          </cell>
          <cell r="G211" t="str">
            <v>3أ ف2</v>
          </cell>
          <cell r="H211" t="str">
            <v>خارجي</v>
          </cell>
          <cell r="I211" t="str">
            <v>خ</v>
          </cell>
          <cell r="J211" t="str">
            <v>الهاشمي</v>
          </cell>
          <cell r="K211" t="str">
            <v>لا شئ</v>
          </cell>
          <cell r="L211" t="str">
            <v>15حي كشار صحراوي سفيزف</v>
          </cell>
          <cell r="M211">
            <v>0</v>
          </cell>
          <cell r="N211">
            <v>0</v>
          </cell>
          <cell r="O211" t="str">
            <v>بن بارك  الهاشمي</v>
          </cell>
        </row>
        <row r="212">
          <cell r="A212">
            <v>203</v>
          </cell>
          <cell r="B212" t="str">
            <v>بن يحي    فريال</v>
          </cell>
          <cell r="C212" t="str">
            <v xml:space="preserve">بن يحي </v>
          </cell>
          <cell r="D212" t="str">
            <v xml:space="preserve"> فريال</v>
          </cell>
          <cell r="E212">
            <v>38676</v>
          </cell>
          <cell r="F212" t="str">
            <v>س بلعباس</v>
          </cell>
          <cell r="G212" t="str">
            <v>3أ ف2</v>
          </cell>
          <cell r="H212" t="str">
            <v>خارجية</v>
          </cell>
          <cell r="I212" t="str">
            <v>خ</v>
          </cell>
          <cell r="J212" t="str">
            <v>جمال</v>
          </cell>
          <cell r="K212" t="str">
            <v>موظف</v>
          </cell>
          <cell r="L212" t="str">
            <v>حي100سكن سفيزف</v>
          </cell>
          <cell r="M212">
            <v>0</v>
          </cell>
          <cell r="N212">
            <v>0</v>
          </cell>
          <cell r="O212" t="str">
            <v>بن يحي   جمال</v>
          </cell>
        </row>
        <row r="213">
          <cell r="A213">
            <v>204</v>
          </cell>
          <cell r="B213" t="str">
            <v>بوخالفة    ياسمين سميرة</v>
          </cell>
          <cell r="C213" t="str">
            <v xml:space="preserve">بوخالفة </v>
          </cell>
          <cell r="D213" t="str">
            <v xml:space="preserve"> ياسمين سميرة</v>
          </cell>
          <cell r="E213">
            <v>39162</v>
          </cell>
          <cell r="F213" t="str">
            <v>سفيزف</v>
          </cell>
          <cell r="G213" t="str">
            <v>3أ ف2</v>
          </cell>
          <cell r="H213" t="str">
            <v>خارجية</v>
          </cell>
          <cell r="I213" t="str">
            <v>خ</v>
          </cell>
          <cell r="J213" t="str">
            <v xml:space="preserve">محمد </v>
          </cell>
          <cell r="K213" t="str">
            <v>متقاعد</v>
          </cell>
          <cell r="L213" t="str">
            <v>26شارع مسقم محمد سفيزف</v>
          </cell>
          <cell r="M213">
            <v>0</v>
          </cell>
          <cell r="N213">
            <v>0</v>
          </cell>
          <cell r="O213" t="str">
            <v xml:space="preserve">بوخالفة   محمد </v>
          </cell>
        </row>
        <row r="214">
          <cell r="A214">
            <v>205</v>
          </cell>
          <cell r="B214" t="str">
            <v>بوداود    بشرى</v>
          </cell>
          <cell r="C214" t="str">
            <v xml:space="preserve">بوداود </v>
          </cell>
          <cell r="D214" t="str">
            <v xml:space="preserve"> بشرى</v>
          </cell>
          <cell r="E214">
            <v>38973</v>
          </cell>
          <cell r="F214" t="str">
            <v>سفيزف</v>
          </cell>
          <cell r="G214" t="str">
            <v>3أ ف2</v>
          </cell>
          <cell r="H214" t="str">
            <v>خارجية</v>
          </cell>
          <cell r="I214" t="str">
            <v>خ</v>
          </cell>
          <cell r="J214" t="str">
            <v>أحمد</v>
          </cell>
          <cell r="K214" t="str">
            <v>متقاعد</v>
          </cell>
          <cell r="L214" t="str">
            <v>33حي اوهيبة ميلود  سفيزف</v>
          </cell>
          <cell r="M214">
            <v>0</v>
          </cell>
          <cell r="N214">
            <v>0</v>
          </cell>
          <cell r="O214" t="str">
            <v>بوداود   أحمد</v>
          </cell>
        </row>
        <row r="215">
          <cell r="A215">
            <v>206</v>
          </cell>
          <cell r="B215" t="str">
            <v>بوشنتوف    امال</v>
          </cell>
          <cell r="C215" t="str">
            <v xml:space="preserve">بوشنتوف </v>
          </cell>
          <cell r="D215" t="str">
            <v xml:space="preserve"> امال</v>
          </cell>
          <cell r="E215">
            <v>38166</v>
          </cell>
          <cell r="F215" t="str">
            <v>س بلعباس</v>
          </cell>
          <cell r="G215" t="str">
            <v>3أ ف2</v>
          </cell>
          <cell r="H215" t="str">
            <v>خارجية</v>
          </cell>
          <cell r="I215" t="str">
            <v>خ</v>
          </cell>
          <cell r="J215" t="str">
            <v>محمد</v>
          </cell>
          <cell r="K215" t="str">
            <v>لا شئ</v>
          </cell>
          <cell r="L215" t="str">
            <v>نهج محمد الخامس سفيزف</v>
          </cell>
          <cell r="M215">
            <v>0</v>
          </cell>
          <cell r="N215">
            <v>0</v>
          </cell>
          <cell r="O215" t="str">
            <v>بوشنتوف   محمد</v>
          </cell>
        </row>
        <row r="216">
          <cell r="A216">
            <v>207</v>
          </cell>
          <cell r="B216" t="str">
            <v>بوقبرين  رضوان</v>
          </cell>
          <cell r="C216" t="str">
            <v>بوقبرين</v>
          </cell>
          <cell r="D216" t="str">
            <v>رضوان</v>
          </cell>
          <cell r="E216">
            <v>38868</v>
          </cell>
          <cell r="F216" t="str">
            <v>س بلعباس</v>
          </cell>
          <cell r="G216" t="str">
            <v>3أ ف2</v>
          </cell>
          <cell r="H216" t="str">
            <v>خارجي</v>
          </cell>
          <cell r="I216" t="str">
            <v>خ</v>
          </cell>
          <cell r="J216" t="str">
            <v>عبدالقادر</v>
          </cell>
          <cell r="K216" t="str">
            <v>فلاح</v>
          </cell>
          <cell r="L216" t="str">
            <v>حي506سكن سفيزف</v>
          </cell>
          <cell r="M216">
            <v>0</v>
          </cell>
          <cell r="N216">
            <v>0</v>
          </cell>
          <cell r="O216" t="str">
            <v>بوقبرين  عبدالقادر</v>
          </cell>
        </row>
        <row r="217">
          <cell r="A217">
            <v>208</v>
          </cell>
          <cell r="B217" t="str">
            <v>بوهند   خيرة وصال الامان</v>
          </cell>
          <cell r="C217" t="str">
            <v xml:space="preserve">بوهند </v>
          </cell>
          <cell r="D217" t="str">
            <v>خيرة وصال الامان</v>
          </cell>
          <cell r="E217">
            <v>38528</v>
          </cell>
          <cell r="F217" t="str">
            <v>سفيزف</v>
          </cell>
          <cell r="G217" t="str">
            <v>3أ ف2</v>
          </cell>
          <cell r="H217" t="str">
            <v>خارجية</v>
          </cell>
          <cell r="I217" t="str">
            <v>خ</v>
          </cell>
          <cell r="J217" t="str">
            <v>عمر</v>
          </cell>
          <cell r="K217" t="str">
            <v>محامي</v>
          </cell>
          <cell r="L217" t="str">
            <v>13حي بوخنفوس مختار سفيزف</v>
          </cell>
          <cell r="M217">
            <v>0</v>
          </cell>
          <cell r="N217">
            <v>0</v>
          </cell>
          <cell r="O217" t="str">
            <v>بوهند   عمر</v>
          </cell>
        </row>
        <row r="218">
          <cell r="A218">
            <v>209</v>
          </cell>
          <cell r="B218" t="str">
            <v>بيدي    عبد المؤمن</v>
          </cell>
          <cell r="C218" t="str">
            <v xml:space="preserve">بيدي </v>
          </cell>
          <cell r="D218" t="str">
            <v xml:space="preserve"> عبد المؤمن</v>
          </cell>
          <cell r="E218">
            <v>39122</v>
          </cell>
          <cell r="F218" t="str">
            <v>حاسي مسعود</v>
          </cell>
          <cell r="G218" t="str">
            <v>3أ ف2</v>
          </cell>
          <cell r="H218" t="str">
            <v xml:space="preserve">خارجي </v>
          </cell>
          <cell r="I218" t="str">
            <v>خ</v>
          </cell>
          <cell r="J218" t="str">
            <v>عبدالقادر</v>
          </cell>
          <cell r="K218" t="str">
            <v>متقاعد</v>
          </cell>
          <cell r="L218" t="str">
            <v>43حي بوخنفوس مختار سفيزف</v>
          </cell>
          <cell r="M218">
            <v>0</v>
          </cell>
          <cell r="N218">
            <v>0</v>
          </cell>
          <cell r="O218" t="str">
            <v>بيدي   عبدالقادر</v>
          </cell>
        </row>
        <row r="219">
          <cell r="A219">
            <v>210</v>
          </cell>
          <cell r="B219" t="str">
            <v>جفال   خديجة</v>
          </cell>
          <cell r="C219" t="str">
            <v>جفال</v>
          </cell>
          <cell r="D219" t="str">
            <v xml:space="preserve"> خديجة</v>
          </cell>
          <cell r="E219">
            <v>38942</v>
          </cell>
          <cell r="F219" t="str">
            <v>س بلعباس</v>
          </cell>
          <cell r="G219" t="str">
            <v>3أ ف2</v>
          </cell>
          <cell r="H219" t="str">
            <v>خارجية</v>
          </cell>
          <cell r="I219" t="str">
            <v>خ</v>
          </cell>
          <cell r="J219" t="str">
            <v>الهاشمي</v>
          </cell>
          <cell r="K219" t="str">
            <v>لا شئ</v>
          </cell>
          <cell r="L219" t="str">
            <v>شارع حداد قادة سفيزف</v>
          </cell>
          <cell r="M219">
            <v>0</v>
          </cell>
          <cell r="N219">
            <v>0</v>
          </cell>
          <cell r="O219" t="str">
            <v>جفال  الهاشمي</v>
          </cell>
        </row>
        <row r="220">
          <cell r="A220">
            <v>211</v>
          </cell>
          <cell r="B220" t="str">
            <v>حجاج    فاطمة الزهراء</v>
          </cell>
          <cell r="C220" t="str">
            <v xml:space="preserve">حجاج </v>
          </cell>
          <cell r="D220" t="str">
            <v xml:space="preserve"> فاطمة الزهراء</v>
          </cell>
          <cell r="E220">
            <v>38902</v>
          </cell>
          <cell r="F220" t="str">
            <v>س بلعباس</v>
          </cell>
          <cell r="G220" t="str">
            <v>3أ ف2</v>
          </cell>
          <cell r="H220" t="str">
            <v>خارجية</v>
          </cell>
          <cell r="I220" t="str">
            <v>خ</v>
          </cell>
          <cell r="J220" t="str">
            <v>مولاي</v>
          </cell>
          <cell r="K220" t="str">
            <v>موظف</v>
          </cell>
          <cell r="L220" t="str">
            <v>حي بوخنفوس مختار سفيزف</v>
          </cell>
          <cell r="M220">
            <v>0</v>
          </cell>
          <cell r="N220">
            <v>0</v>
          </cell>
          <cell r="O220" t="str">
            <v>حجاج   مولاي</v>
          </cell>
        </row>
        <row r="221">
          <cell r="A221">
            <v>212</v>
          </cell>
          <cell r="B221" t="str">
            <v>حميدة  أيمن</v>
          </cell>
          <cell r="C221" t="str">
            <v>حميدة</v>
          </cell>
          <cell r="D221" t="str">
            <v>أيمن</v>
          </cell>
          <cell r="E221">
            <v>38828</v>
          </cell>
          <cell r="F221" t="str">
            <v>سفيزف</v>
          </cell>
          <cell r="G221" t="str">
            <v>3أ ف2</v>
          </cell>
          <cell r="H221" t="str">
            <v xml:space="preserve">خارجي </v>
          </cell>
          <cell r="I221" t="str">
            <v>خ</v>
          </cell>
          <cell r="J221" t="str">
            <v>محمد</v>
          </cell>
          <cell r="K221" t="str">
            <v>متقاعد</v>
          </cell>
          <cell r="L221" t="str">
            <v>حي كشار صحراوي سفيزف</v>
          </cell>
          <cell r="M221">
            <v>0</v>
          </cell>
          <cell r="N221">
            <v>0</v>
          </cell>
          <cell r="O221" t="str">
            <v>حميدة  محمد</v>
          </cell>
        </row>
        <row r="222">
          <cell r="A222">
            <v>213</v>
          </cell>
          <cell r="B222" t="str">
            <v>حميدة  عبد الغني</v>
          </cell>
          <cell r="C222" t="str">
            <v>حميدة</v>
          </cell>
          <cell r="D222" t="str">
            <v>عبد الغني</v>
          </cell>
          <cell r="E222">
            <v>37445</v>
          </cell>
          <cell r="F222" t="str">
            <v>سفيزف</v>
          </cell>
          <cell r="G222" t="str">
            <v>3أ ف2</v>
          </cell>
          <cell r="H222" t="str">
            <v xml:space="preserve">خارجي </v>
          </cell>
          <cell r="I222" t="str">
            <v>خ</v>
          </cell>
          <cell r="J222" t="str">
            <v>عبدالقادر</v>
          </cell>
          <cell r="K222" t="str">
            <v>بناء</v>
          </cell>
          <cell r="L222" t="str">
            <v xml:space="preserve"> 34شارع صحراوي بن علي سفيزف</v>
          </cell>
          <cell r="M222">
            <v>0</v>
          </cell>
          <cell r="N222">
            <v>0</v>
          </cell>
          <cell r="O222" t="str">
            <v>حميدة  عبدالقادر</v>
          </cell>
        </row>
        <row r="223">
          <cell r="A223">
            <v>214</v>
          </cell>
          <cell r="B223" t="str">
            <v>خديم    خولة</v>
          </cell>
          <cell r="C223" t="str">
            <v xml:space="preserve">خديم </v>
          </cell>
          <cell r="D223" t="str">
            <v xml:space="preserve"> خولة</v>
          </cell>
          <cell r="E223">
            <v>39004</v>
          </cell>
          <cell r="F223" t="str">
            <v>سفيزف</v>
          </cell>
          <cell r="G223" t="str">
            <v>3أ ف2</v>
          </cell>
          <cell r="H223" t="str">
            <v>خارجية</v>
          </cell>
          <cell r="I223" t="str">
            <v>خ</v>
          </cell>
          <cell r="J223" t="str">
            <v>يحي</v>
          </cell>
          <cell r="K223" t="str">
            <v>لا شئ</v>
          </cell>
          <cell r="L223" t="str">
            <v>02حي أوهيبة ميلود سفيزف</v>
          </cell>
          <cell r="M223">
            <v>0</v>
          </cell>
          <cell r="N223">
            <v>0</v>
          </cell>
          <cell r="O223" t="str">
            <v>خديم   يحي</v>
          </cell>
        </row>
        <row r="224">
          <cell r="A224">
            <v>215</v>
          </cell>
          <cell r="B224" t="str">
            <v>دلال  آية  خديجة</v>
          </cell>
          <cell r="C224" t="str">
            <v>دلال</v>
          </cell>
          <cell r="D224" t="str">
            <v>آية  خديجة</v>
          </cell>
          <cell r="E224">
            <v>39122</v>
          </cell>
          <cell r="F224" t="str">
            <v>س بلعباس</v>
          </cell>
          <cell r="G224" t="str">
            <v>3أ ف2</v>
          </cell>
          <cell r="H224" t="str">
            <v>خارجية</v>
          </cell>
          <cell r="I224" t="str">
            <v>خ</v>
          </cell>
          <cell r="J224" t="str">
            <v>بن عبدالله</v>
          </cell>
          <cell r="K224" t="str">
            <v>متقاعد</v>
          </cell>
          <cell r="L224" t="str">
            <v>12شارع الرائد سي محمد سفيزف</v>
          </cell>
          <cell r="M224">
            <v>0</v>
          </cell>
          <cell r="N224">
            <v>0</v>
          </cell>
          <cell r="O224" t="str">
            <v>دلال  بن عبدالله</v>
          </cell>
        </row>
        <row r="225">
          <cell r="A225">
            <v>216</v>
          </cell>
          <cell r="B225" t="str">
            <v>ديدة  رحاب</v>
          </cell>
          <cell r="C225" t="str">
            <v>ديدة</v>
          </cell>
          <cell r="D225" t="str">
            <v>رحاب</v>
          </cell>
          <cell r="E225">
            <v>38428</v>
          </cell>
          <cell r="F225" t="str">
            <v>سفيزف</v>
          </cell>
          <cell r="G225" t="str">
            <v>3أ ف2</v>
          </cell>
          <cell r="H225" t="str">
            <v>خارجية</v>
          </cell>
          <cell r="I225" t="str">
            <v>خ</v>
          </cell>
          <cell r="J225" t="str">
            <v>عبدالله</v>
          </cell>
          <cell r="K225" t="str">
            <v>متقاعد</v>
          </cell>
          <cell r="L225" t="str">
            <v>حي506سكن سفيزف</v>
          </cell>
          <cell r="M225">
            <v>0</v>
          </cell>
          <cell r="N225">
            <v>0</v>
          </cell>
          <cell r="O225" t="str">
            <v>ديدة  عبدالله</v>
          </cell>
        </row>
        <row r="226">
          <cell r="A226">
            <v>217</v>
          </cell>
          <cell r="B226" t="str">
            <v>شابني  اكرام</v>
          </cell>
          <cell r="C226" t="str">
            <v>شابني</v>
          </cell>
          <cell r="D226" t="str">
            <v>اكرام</v>
          </cell>
          <cell r="E226">
            <v>38637</v>
          </cell>
          <cell r="F226" t="str">
            <v>راس الماء</v>
          </cell>
          <cell r="G226" t="str">
            <v>3أ ف2</v>
          </cell>
          <cell r="H226" t="str">
            <v>خارجية</v>
          </cell>
          <cell r="I226" t="str">
            <v>خ</v>
          </cell>
          <cell r="J226" t="str">
            <v>حسين</v>
          </cell>
          <cell r="K226" t="str">
            <v>حارس</v>
          </cell>
          <cell r="L226" t="str">
            <v>حي  أوهيبة محمد سفيزف</v>
          </cell>
          <cell r="M226">
            <v>0</v>
          </cell>
          <cell r="N226">
            <v>0</v>
          </cell>
          <cell r="O226" t="str">
            <v>شابني  حسين</v>
          </cell>
        </row>
        <row r="227">
          <cell r="A227">
            <v>218</v>
          </cell>
          <cell r="B227" t="str">
            <v>عبد الحق  منال</v>
          </cell>
          <cell r="C227" t="str">
            <v>عبد الحق</v>
          </cell>
          <cell r="D227" t="str">
            <v>منال</v>
          </cell>
          <cell r="E227">
            <v>38766</v>
          </cell>
          <cell r="F227" t="str">
            <v>سفيزف</v>
          </cell>
          <cell r="G227" t="str">
            <v>3أ ف2</v>
          </cell>
          <cell r="H227" t="str">
            <v>خارجية</v>
          </cell>
          <cell r="I227" t="str">
            <v>خ</v>
          </cell>
          <cell r="J227" t="str">
            <v>عثمان</v>
          </cell>
          <cell r="K227" t="str">
            <v>تاجر</v>
          </cell>
          <cell r="L227" t="str">
            <v>بني تالة</v>
          </cell>
          <cell r="M227">
            <v>0</v>
          </cell>
          <cell r="N227">
            <v>0</v>
          </cell>
          <cell r="O227" t="str">
            <v>عبد الحق  عثمان</v>
          </cell>
        </row>
        <row r="228">
          <cell r="A228">
            <v>219</v>
          </cell>
          <cell r="B228" t="str">
            <v>عبوني    محمد</v>
          </cell>
          <cell r="C228" t="str">
            <v xml:space="preserve">عبوني </v>
          </cell>
          <cell r="D228" t="str">
            <v xml:space="preserve"> محمد</v>
          </cell>
          <cell r="E228">
            <v>39123</v>
          </cell>
          <cell r="F228" t="str">
            <v>س بلعباس</v>
          </cell>
          <cell r="G228" t="str">
            <v>3أ ف2</v>
          </cell>
          <cell r="H228" t="str">
            <v xml:space="preserve">خارجي </v>
          </cell>
          <cell r="I228" t="str">
            <v>خ</v>
          </cell>
          <cell r="J228" t="str">
            <v>بومدين</v>
          </cell>
          <cell r="K228" t="str">
            <v>بناء</v>
          </cell>
          <cell r="L228" t="str">
            <v>06حي بوخنفوس مختار سفيزف</v>
          </cell>
          <cell r="M228">
            <v>0</v>
          </cell>
          <cell r="N228">
            <v>0</v>
          </cell>
          <cell r="O228" t="str">
            <v>عبوني   بومدين</v>
          </cell>
        </row>
        <row r="229">
          <cell r="A229">
            <v>220</v>
          </cell>
          <cell r="B229" t="str">
            <v>عربوز  هارون</v>
          </cell>
          <cell r="C229" t="str">
            <v>عربوز</v>
          </cell>
          <cell r="D229" t="str">
            <v>هارون</v>
          </cell>
          <cell r="E229">
            <v>38400</v>
          </cell>
          <cell r="F229" t="str">
            <v>سفيزف</v>
          </cell>
          <cell r="G229" t="str">
            <v>3أ ف2</v>
          </cell>
          <cell r="H229" t="str">
            <v>خارجي</v>
          </cell>
          <cell r="I229" t="str">
            <v>خ</v>
          </cell>
          <cell r="J229" t="str">
            <v>محمد</v>
          </cell>
          <cell r="K229" t="str">
            <v>ممرض</v>
          </cell>
          <cell r="L229" t="str">
            <v>03حي72سكن عمارة ب سفيزف</v>
          </cell>
          <cell r="M229">
            <v>0</v>
          </cell>
          <cell r="N229">
            <v>0</v>
          </cell>
          <cell r="O229" t="str">
            <v>عربوز  محمد</v>
          </cell>
        </row>
        <row r="230">
          <cell r="A230">
            <v>221</v>
          </cell>
          <cell r="B230" t="str">
            <v>قديدي  رقية</v>
          </cell>
          <cell r="C230" t="str">
            <v>قديدي</v>
          </cell>
          <cell r="D230" t="str">
            <v>رقية</v>
          </cell>
          <cell r="E230">
            <v>38114</v>
          </cell>
          <cell r="F230" t="str">
            <v>ورقلة</v>
          </cell>
          <cell r="G230" t="str">
            <v>3أ ف2</v>
          </cell>
          <cell r="H230" t="str">
            <v>خارجية</v>
          </cell>
          <cell r="I230" t="str">
            <v>خ</v>
          </cell>
          <cell r="J230" t="str">
            <v>سليمان</v>
          </cell>
          <cell r="K230" t="str">
            <v>لا شئ</v>
          </cell>
          <cell r="L230" t="str">
            <v>95حي كشار صحراوي سفيزف</v>
          </cell>
          <cell r="M230">
            <v>0</v>
          </cell>
          <cell r="N230">
            <v>0</v>
          </cell>
          <cell r="O230" t="str">
            <v>قديدي  سليمان</v>
          </cell>
        </row>
        <row r="231">
          <cell r="A231">
            <v>222</v>
          </cell>
          <cell r="B231" t="str">
            <v>قلاليز  محمد عبد الاله</v>
          </cell>
          <cell r="C231" t="str">
            <v>قلاليز</v>
          </cell>
          <cell r="D231" t="str">
            <v>محمد عبد الاله</v>
          </cell>
          <cell r="E231">
            <v>38635</v>
          </cell>
          <cell r="F231" t="str">
            <v>س بلعباس</v>
          </cell>
          <cell r="G231" t="str">
            <v>3أ ف2</v>
          </cell>
          <cell r="H231" t="str">
            <v xml:space="preserve">خارجي </v>
          </cell>
          <cell r="I231" t="str">
            <v>خ</v>
          </cell>
          <cell r="J231" t="str">
            <v>الحاج</v>
          </cell>
          <cell r="K231" t="str">
            <v>متقاعد</v>
          </cell>
          <cell r="L231" t="str">
            <v>حي214سكن سفيزف</v>
          </cell>
          <cell r="M231">
            <v>0</v>
          </cell>
          <cell r="N231">
            <v>0</v>
          </cell>
          <cell r="O231" t="str">
            <v>قلاليز  الحاج</v>
          </cell>
        </row>
        <row r="232">
          <cell r="A232">
            <v>223</v>
          </cell>
          <cell r="B232" t="str">
            <v>لحيرش  أحمد عبدالحكيم</v>
          </cell>
          <cell r="C232" t="str">
            <v>لحيرش</v>
          </cell>
          <cell r="D232" t="str">
            <v>أحمد عبدالحكيم</v>
          </cell>
          <cell r="E232">
            <v>38741</v>
          </cell>
          <cell r="F232" t="str">
            <v>س بلعباس</v>
          </cell>
          <cell r="G232" t="str">
            <v>3أ ف2</v>
          </cell>
          <cell r="H232" t="str">
            <v xml:space="preserve">خارجي </v>
          </cell>
          <cell r="I232" t="str">
            <v>خ</v>
          </cell>
          <cell r="J232" t="str">
            <v>بوطيبة</v>
          </cell>
          <cell r="K232" t="str">
            <v>ع أمن</v>
          </cell>
          <cell r="L232" t="str">
            <v>حي72 سكن سفيزف</v>
          </cell>
          <cell r="M232">
            <v>0</v>
          </cell>
          <cell r="N232">
            <v>0</v>
          </cell>
          <cell r="O232" t="str">
            <v>لحيرش  بوطيبة</v>
          </cell>
        </row>
        <row r="233">
          <cell r="A233">
            <v>224</v>
          </cell>
          <cell r="B233" t="str">
            <v>مبسوط  ايمان اكرام</v>
          </cell>
          <cell r="C233" t="str">
            <v>مبسوط</v>
          </cell>
          <cell r="D233" t="str">
            <v>ايمان اكرام</v>
          </cell>
          <cell r="E233">
            <v>38548</v>
          </cell>
          <cell r="F233" t="str">
            <v>سفيزف</v>
          </cell>
          <cell r="G233" t="str">
            <v>3أ ف2</v>
          </cell>
          <cell r="H233" t="str">
            <v>خارجية</v>
          </cell>
          <cell r="I233" t="str">
            <v>خ</v>
          </cell>
          <cell r="J233" t="str">
            <v>علي</v>
          </cell>
          <cell r="K233" t="str">
            <v>متقاعد</v>
          </cell>
          <cell r="L233" t="str">
            <v>حي نواري بن عبدالله سفيزف</v>
          </cell>
          <cell r="M233">
            <v>0</v>
          </cell>
          <cell r="N233">
            <v>0</v>
          </cell>
          <cell r="O233" t="str">
            <v>مبسوط  علي</v>
          </cell>
        </row>
        <row r="234">
          <cell r="A234">
            <v>225</v>
          </cell>
          <cell r="B234" t="str">
            <v>مخفي  راضية شهيناز</v>
          </cell>
          <cell r="C234" t="str">
            <v>مخفي</v>
          </cell>
          <cell r="D234" t="str">
            <v>راضية شهيناز</v>
          </cell>
          <cell r="E234">
            <v>38071</v>
          </cell>
          <cell r="F234" t="str">
            <v>س بلعباس</v>
          </cell>
          <cell r="G234" t="str">
            <v>3أ ف2</v>
          </cell>
          <cell r="H234" t="str">
            <v>خارجية</v>
          </cell>
          <cell r="I234" t="str">
            <v>خ</v>
          </cell>
          <cell r="J234" t="str">
            <v>عبدالكريم</v>
          </cell>
          <cell r="K234" t="str">
            <v>متقاعد</v>
          </cell>
          <cell r="L234" t="str">
            <v>16شارع أوهيبة ميلود سفيزف</v>
          </cell>
          <cell r="M234">
            <v>0</v>
          </cell>
          <cell r="N234">
            <v>0</v>
          </cell>
          <cell r="O234" t="str">
            <v>مخفي  عبدالكريم</v>
          </cell>
        </row>
        <row r="235">
          <cell r="A235">
            <v>226</v>
          </cell>
          <cell r="B235" t="str">
            <v>موحوش  عبد الرحيم</v>
          </cell>
          <cell r="C235" t="str">
            <v>موحوش</v>
          </cell>
          <cell r="D235" t="str">
            <v>عبد الرحيم</v>
          </cell>
          <cell r="E235">
            <v>38225</v>
          </cell>
          <cell r="F235" t="str">
            <v>س بلعباس</v>
          </cell>
          <cell r="G235" t="str">
            <v>3أ ف2</v>
          </cell>
          <cell r="H235" t="str">
            <v xml:space="preserve">خارجي </v>
          </cell>
          <cell r="I235" t="str">
            <v>خ</v>
          </cell>
          <cell r="J235" t="str">
            <v>بن زيان</v>
          </cell>
          <cell r="K235" t="str">
            <v>فلاح</v>
          </cell>
          <cell r="L235" t="str">
            <v>قرية بلبوش</v>
          </cell>
          <cell r="M235">
            <v>0</v>
          </cell>
          <cell r="N235">
            <v>0</v>
          </cell>
          <cell r="O235" t="str">
            <v>موحوش  بن زيان</v>
          </cell>
        </row>
        <row r="236">
          <cell r="A236">
            <v>227</v>
          </cell>
          <cell r="B236" t="str">
            <v>ولد الواد  سيد علي سيداحمد</v>
          </cell>
          <cell r="C236" t="str">
            <v>ولد الواد</v>
          </cell>
          <cell r="D236" t="str">
            <v>سيد علي سيداحمد</v>
          </cell>
          <cell r="E236">
            <v>38201</v>
          </cell>
          <cell r="F236" t="str">
            <v>بوحنيفية</v>
          </cell>
          <cell r="G236" t="str">
            <v>3أ ف2</v>
          </cell>
          <cell r="H236" t="str">
            <v>خارجي</v>
          </cell>
          <cell r="I236" t="str">
            <v>خ</v>
          </cell>
          <cell r="J236" t="str">
            <v>محمد</v>
          </cell>
          <cell r="K236" t="str">
            <v>متقاعد</v>
          </cell>
          <cell r="L236" t="str">
            <v>شارع عمرون أحمد سفيزف</v>
          </cell>
          <cell r="M236">
            <v>0</v>
          </cell>
          <cell r="N236">
            <v>0</v>
          </cell>
          <cell r="O236" t="str">
            <v>ولد الواد  محمد</v>
          </cell>
        </row>
        <row r="237">
          <cell r="A237">
            <v>228</v>
          </cell>
          <cell r="B237" t="str">
            <v>البحري    خولة</v>
          </cell>
          <cell r="C237" t="str">
            <v xml:space="preserve">البحري </v>
          </cell>
          <cell r="D237" t="str">
            <v xml:space="preserve"> خولة</v>
          </cell>
          <cell r="E237">
            <v>38998</v>
          </cell>
          <cell r="F237" t="str">
            <v>س بلعباس</v>
          </cell>
          <cell r="G237" t="str">
            <v>3ل أ</v>
          </cell>
          <cell r="H237" t="str">
            <v>ن/داخلية</v>
          </cell>
          <cell r="I237" t="str">
            <v>ن/د</v>
          </cell>
          <cell r="J237" t="str">
            <v>جيلالي</v>
          </cell>
          <cell r="K237" t="str">
            <v>لا شئ</v>
          </cell>
          <cell r="L237" t="str">
            <v>عين آدن</v>
          </cell>
          <cell r="M237">
            <v>0</v>
          </cell>
          <cell r="N237">
            <v>0</v>
          </cell>
          <cell r="O237" t="str">
            <v>البحري   جيلالي</v>
          </cell>
        </row>
        <row r="238">
          <cell r="A238">
            <v>229</v>
          </cell>
          <cell r="B238" t="str">
            <v>حري  سارة حبيبة</v>
          </cell>
          <cell r="C238" t="str">
            <v>حري</v>
          </cell>
          <cell r="D238" t="str">
            <v>سارة حبيبة</v>
          </cell>
          <cell r="E238">
            <v>38993</v>
          </cell>
          <cell r="F238" t="str">
            <v>سفيزف</v>
          </cell>
          <cell r="G238" t="str">
            <v>3ل أ</v>
          </cell>
          <cell r="H238" t="str">
            <v>ن/داخلية</v>
          </cell>
          <cell r="I238" t="str">
            <v>ن/د</v>
          </cell>
          <cell r="J238" t="str">
            <v>بوخاري</v>
          </cell>
          <cell r="K238" t="str">
            <v>متقاعد</v>
          </cell>
          <cell r="L238" t="str">
            <v>41حي200سكن سفيزف</v>
          </cell>
          <cell r="M238">
            <v>0</v>
          </cell>
          <cell r="N238">
            <v>0</v>
          </cell>
          <cell r="O238" t="str">
            <v>حري  بوخاري</v>
          </cell>
        </row>
        <row r="239">
          <cell r="A239">
            <v>230</v>
          </cell>
          <cell r="B239" t="str">
            <v>دار سبع   شيماء</v>
          </cell>
          <cell r="C239" t="str">
            <v>دار سبع</v>
          </cell>
          <cell r="D239" t="str">
            <v xml:space="preserve"> شيماء</v>
          </cell>
          <cell r="E239">
            <v>38855</v>
          </cell>
          <cell r="F239" t="str">
            <v>سفيزف</v>
          </cell>
          <cell r="G239" t="str">
            <v>3ل أ</v>
          </cell>
          <cell r="H239" t="str">
            <v>ن/داخلية</v>
          </cell>
          <cell r="I239" t="str">
            <v>ن/د</v>
          </cell>
          <cell r="J239" t="str">
            <v>عبدالقادر</v>
          </cell>
          <cell r="K239" t="str">
            <v>عون ادارة</v>
          </cell>
          <cell r="L239" t="str">
            <v>عين آدن</v>
          </cell>
          <cell r="M239">
            <v>0</v>
          </cell>
          <cell r="N239">
            <v>0</v>
          </cell>
          <cell r="O239" t="str">
            <v>دار سبع  عبدالقادر</v>
          </cell>
        </row>
        <row r="240">
          <cell r="A240">
            <v>231</v>
          </cell>
          <cell r="B240" t="str">
            <v>دباب    بشرى</v>
          </cell>
          <cell r="C240" t="str">
            <v xml:space="preserve">دباب </v>
          </cell>
          <cell r="D240" t="str">
            <v xml:space="preserve"> بشرى</v>
          </cell>
          <cell r="E240">
            <v>38883</v>
          </cell>
          <cell r="F240" t="str">
            <v>س بلعباس</v>
          </cell>
          <cell r="G240" t="str">
            <v>3ل أ</v>
          </cell>
          <cell r="H240" t="str">
            <v>ن/داخلية</v>
          </cell>
          <cell r="I240" t="str">
            <v>ن/د</v>
          </cell>
          <cell r="J240" t="str">
            <v>بشير</v>
          </cell>
          <cell r="K240" t="str">
            <v>لا شئ</v>
          </cell>
          <cell r="L240" t="str">
            <v>عين آدن</v>
          </cell>
          <cell r="M240">
            <v>0</v>
          </cell>
          <cell r="N240">
            <v>0</v>
          </cell>
          <cell r="O240" t="str">
            <v>دباب   بشير</v>
          </cell>
        </row>
        <row r="241">
          <cell r="A241">
            <v>232</v>
          </cell>
          <cell r="B241" t="str">
            <v>لكحل  شميسة</v>
          </cell>
          <cell r="C241" t="str">
            <v>لكحل</v>
          </cell>
          <cell r="D241" t="str">
            <v>شميسة</v>
          </cell>
          <cell r="E241">
            <v>38391</v>
          </cell>
          <cell r="F241" t="str">
            <v>س بلعباس</v>
          </cell>
          <cell r="G241" t="str">
            <v>3ل أ</v>
          </cell>
          <cell r="H241" t="str">
            <v>ن/داخلية</v>
          </cell>
          <cell r="I241" t="str">
            <v>ن/د</v>
          </cell>
          <cell r="J241" t="str">
            <v>عبدالقادر</v>
          </cell>
          <cell r="K241" t="str">
            <v>لا شئ</v>
          </cell>
          <cell r="L241" t="str">
            <v>مقطع دار السبع عين آدن</v>
          </cell>
          <cell r="M241">
            <v>0</v>
          </cell>
          <cell r="N241">
            <v>0</v>
          </cell>
          <cell r="O241" t="str">
            <v>لكحل  عبدالقادر</v>
          </cell>
        </row>
        <row r="242">
          <cell r="A242">
            <v>233</v>
          </cell>
          <cell r="B242" t="str">
            <v>موحوش  انس عماد الدين</v>
          </cell>
          <cell r="C242" t="str">
            <v>موحوش</v>
          </cell>
          <cell r="D242" t="str">
            <v>انس عماد الدين</v>
          </cell>
          <cell r="E242">
            <v>38605</v>
          </cell>
          <cell r="F242" t="str">
            <v>سفيزف</v>
          </cell>
          <cell r="G242" t="str">
            <v>3ل أ</v>
          </cell>
          <cell r="H242" t="str">
            <v>ن/داخلي</v>
          </cell>
          <cell r="I242" t="str">
            <v>ن/د</v>
          </cell>
          <cell r="J242" t="str">
            <v>مختار</v>
          </cell>
          <cell r="K242" t="str">
            <v>فلاح</v>
          </cell>
          <cell r="L242" t="str">
            <v>مزرعة أوهيبة محي الدين سفيزف</v>
          </cell>
          <cell r="M242">
            <v>0</v>
          </cell>
          <cell r="N242">
            <v>0</v>
          </cell>
          <cell r="O242" t="str">
            <v>موحوش  مختار</v>
          </cell>
        </row>
        <row r="243">
          <cell r="A243">
            <v>234</v>
          </cell>
          <cell r="B243" t="str">
            <v>ناصري    إنصاف فدوى</v>
          </cell>
          <cell r="C243" t="str">
            <v xml:space="preserve">ناصري </v>
          </cell>
          <cell r="D243" t="str">
            <v xml:space="preserve"> إنصاف فدوى</v>
          </cell>
          <cell r="E243">
            <v>38832</v>
          </cell>
          <cell r="F243" t="str">
            <v>سفيزف</v>
          </cell>
          <cell r="G243" t="str">
            <v>3ل أ</v>
          </cell>
          <cell r="H243" t="str">
            <v>ن/داخلية</v>
          </cell>
          <cell r="I243" t="str">
            <v>ن/د</v>
          </cell>
          <cell r="J243" t="str">
            <v>مصطفى</v>
          </cell>
          <cell r="K243" t="str">
            <v>أستاذ</v>
          </cell>
          <cell r="L243" t="str">
            <v>36شارع الإخوة بالسيني سفيزف</v>
          </cell>
          <cell r="M243">
            <v>0</v>
          </cell>
          <cell r="N243">
            <v>0</v>
          </cell>
          <cell r="O243" t="str">
            <v>ناصري   مصطفى</v>
          </cell>
        </row>
        <row r="244">
          <cell r="A244">
            <v>235</v>
          </cell>
          <cell r="B244" t="str">
            <v>أوهيبة    محمد اسلام</v>
          </cell>
          <cell r="C244" t="str">
            <v xml:space="preserve">أوهيبة </v>
          </cell>
          <cell r="D244" t="str">
            <v xml:space="preserve"> محمد اسلام</v>
          </cell>
          <cell r="E244">
            <v>38991</v>
          </cell>
          <cell r="F244" t="str">
            <v>سفيزف</v>
          </cell>
          <cell r="G244" t="str">
            <v>3ل أ</v>
          </cell>
          <cell r="H244" t="str">
            <v xml:space="preserve">خارجي </v>
          </cell>
          <cell r="I244" t="str">
            <v>خ</v>
          </cell>
          <cell r="J244" t="str">
            <v>بغداد</v>
          </cell>
          <cell r="K244" t="str">
            <v>متقاعد</v>
          </cell>
          <cell r="L244" t="str">
            <v>10شارع بوتنزار محمد سفيزف</v>
          </cell>
          <cell r="M244">
            <v>0</v>
          </cell>
          <cell r="N244">
            <v>0</v>
          </cell>
          <cell r="O244" t="str">
            <v>أوهيبة   بغداد</v>
          </cell>
        </row>
        <row r="245">
          <cell r="A245">
            <v>236</v>
          </cell>
          <cell r="B245" t="str">
            <v>بدراني  محمد عبدالاله</v>
          </cell>
          <cell r="C245" t="str">
            <v>بدراني</v>
          </cell>
          <cell r="D245" t="str">
            <v>محمد عبدالاله</v>
          </cell>
          <cell r="E245">
            <v>38545</v>
          </cell>
          <cell r="F245" t="str">
            <v>سفيزف</v>
          </cell>
          <cell r="G245" t="str">
            <v>3ل أ</v>
          </cell>
          <cell r="H245" t="str">
            <v>خارجي</v>
          </cell>
          <cell r="I245" t="str">
            <v>خ</v>
          </cell>
          <cell r="J245" t="str">
            <v>الحاج</v>
          </cell>
          <cell r="K245" t="str">
            <v>أستاذ</v>
          </cell>
          <cell r="L245" t="str">
            <v>حي بوخنفوس مختار سفيزف</v>
          </cell>
          <cell r="M245">
            <v>0</v>
          </cell>
          <cell r="N245">
            <v>0</v>
          </cell>
          <cell r="O245" t="str">
            <v>بدراني  الحاج</v>
          </cell>
        </row>
        <row r="246">
          <cell r="A246">
            <v>237</v>
          </cell>
          <cell r="B246" t="str">
            <v>بركاني    مهى</v>
          </cell>
          <cell r="C246" t="str">
            <v xml:space="preserve">بركاني </v>
          </cell>
          <cell r="D246" t="str">
            <v xml:space="preserve"> مهى</v>
          </cell>
          <cell r="E246">
            <v>38846</v>
          </cell>
          <cell r="F246" t="str">
            <v>س بلعباس</v>
          </cell>
          <cell r="G246" t="str">
            <v>3ل أ</v>
          </cell>
          <cell r="H246" t="str">
            <v>خارجية</v>
          </cell>
          <cell r="I246" t="str">
            <v>خ</v>
          </cell>
          <cell r="J246" t="str">
            <v>مختار</v>
          </cell>
          <cell r="K246" t="str">
            <v>بناء</v>
          </cell>
          <cell r="L246" t="str">
            <v>حي214سكن سفيزف</v>
          </cell>
          <cell r="M246">
            <v>0</v>
          </cell>
          <cell r="N246">
            <v>0</v>
          </cell>
          <cell r="O246" t="str">
            <v>بركاني   مختار</v>
          </cell>
        </row>
        <row r="247">
          <cell r="A247">
            <v>238</v>
          </cell>
          <cell r="B247" t="str">
            <v>برواين    عماد الدين</v>
          </cell>
          <cell r="C247" t="str">
            <v xml:space="preserve">برواين </v>
          </cell>
          <cell r="D247" t="str">
            <v xml:space="preserve"> عماد الدين</v>
          </cell>
          <cell r="E247">
            <v>38740</v>
          </cell>
          <cell r="F247" t="str">
            <v>سفيزف</v>
          </cell>
          <cell r="G247" t="str">
            <v>3ل أ</v>
          </cell>
          <cell r="H247" t="str">
            <v xml:space="preserve">خارجي </v>
          </cell>
          <cell r="I247" t="str">
            <v>خ</v>
          </cell>
          <cell r="J247" t="str">
            <v>محمد</v>
          </cell>
          <cell r="K247" t="str">
            <v>تاجر</v>
          </cell>
          <cell r="L247" t="str">
            <v>02شارع بوسطلة لحسن سفيزف</v>
          </cell>
          <cell r="M247">
            <v>0</v>
          </cell>
          <cell r="N247">
            <v>0</v>
          </cell>
          <cell r="O247" t="str">
            <v>برواين   محمد</v>
          </cell>
        </row>
        <row r="248">
          <cell r="A248">
            <v>239</v>
          </cell>
          <cell r="B248" t="str">
            <v>بطام  مهاجي</v>
          </cell>
          <cell r="C248" t="str">
            <v>بطام</v>
          </cell>
          <cell r="D248" t="str">
            <v>مهاجي</v>
          </cell>
          <cell r="E248">
            <v>38759</v>
          </cell>
          <cell r="F248" t="str">
            <v>س بلعباس</v>
          </cell>
          <cell r="G248" t="str">
            <v>3ل أ</v>
          </cell>
          <cell r="H248" t="str">
            <v>خارجي</v>
          </cell>
          <cell r="I248" t="str">
            <v>خ</v>
          </cell>
          <cell r="J248" t="str">
            <v>علي</v>
          </cell>
          <cell r="K248" t="str">
            <v>لا شئ</v>
          </cell>
          <cell r="L248" t="str">
            <v>44حي80سكن سفيزف</v>
          </cell>
          <cell r="M248">
            <v>0</v>
          </cell>
          <cell r="N248">
            <v>0</v>
          </cell>
          <cell r="O248" t="str">
            <v>بطام  علي</v>
          </cell>
        </row>
        <row r="249">
          <cell r="A249">
            <v>240</v>
          </cell>
          <cell r="B249" t="str">
            <v>بكار  مريم</v>
          </cell>
          <cell r="C249" t="str">
            <v>بكار</v>
          </cell>
          <cell r="D249" t="str">
            <v>مريم</v>
          </cell>
          <cell r="E249">
            <v>38833</v>
          </cell>
          <cell r="F249" t="str">
            <v>سفيزف</v>
          </cell>
          <cell r="G249" t="str">
            <v>3ل أ</v>
          </cell>
          <cell r="H249" t="str">
            <v>خارجية</v>
          </cell>
          <cell r="I249" t="str">
            <v>خ</v>
          </cell>
          <cell r="J249" t="str">
            <v>عبدالكريم</v>
          </cell>
          <cell r="K249" t="str">
            <v>فلاح</v>
          </cell>
          <cell r="L249" t="str">
            <v>حي يملول حامد سفيزف</v>
          </cell>
          <cell r="M249">
            <v>0</v>
          </cell>
          <cell r="N249">
            <v>0</v>
          </cell>
          <cell r="O249" t="str">
            <v>بكار  عبدالكريم</v>
          </cell>
        </row>
        <row r="250">
          <cell r="A250">
            <v>241</v>
          </cell>
          <cell r="B250" t="str">
            <v>بلكبيش  اكرام</v>
          </cell>
          <cell r="C250" t="str">
            <v>بلكبيش</v>
          </cell>
          <cell r="D250" t="str">
            <v>اكرام</v>
          </cell>
          <cell r="E250">
            <v>38393</v>
          </cell>
          <cell r="F250" t="str">
            <v>سفيزف</v>
          </cell>
          <cell r="G250" t="str">
            <v>3ل أ</v>
          </cell>
          <cell r="H250" t="str">
            <v>خارجية</v>
          </cell>
          <cell r="I250" t="str">
            <v>خ</v>
          </cell>
          <cell r="J250" t="str">
            <v>قادة</v>
          </cell>
          <cell r="K250" t="str">
            <v>متقاعد</v>
          </cell>
          <cell r="L250" t="str">
            <v>05شارع أحمد زبانة سفيزف</v>
          </cell>
          <cell r="M250">
            <v>0</v>
          </cell>
          <cell r="N250">
            <v>0</v>
          </cell>
          <cell r="O250" t="str">
            <v>بلكبيش  قادة</v>
          </cell>
        </row>
        <row r="251">
          <cell r="A251">
            <v>242</v>
          </cell>
          <cell r="B251" t="str">
            <v>بن بغداد    عبد القادر</v>
          </cell>
          <cell r="C251" t="str">
            <v xml:space="preserve">بن بغداد </v>
          </cell>
          <cell r="D251" t="str">
            <v xml:space="preserve"> عبد القادر</v>
          </cell>
          <cell r="E251">
            <v>38853</v>
          </cell>
          <cell r="F251" t="str">
            <v>سفيزف</v>
          </cell>
          <cell r="G251" t="str">
            <v>3ل أ</v>
          </cell>
          <cell r="H251" t="str">
            <v xml:space="preserve">خارجي </v>
          </cell>
          <cell r="I251" t="str">
            <v>خ</v>
          </cell>
          <cell r="J251" t="str">
            <v>نورالدين</v>
          </cell>
          <cell r="K251" t="str">
            <v>موظف</v>
          </cell>
          <cell r="L251" t="str">
            <v>حي24فبراير سفيزف</v>
          </cell>
          <cell r="M251">
            <v>0</v>
          </cell>
          <cell r="N251">
            <v>0</v>
          </cell>
          <cell r="O251" t="str">
            <v>بن بغداد   نورالدين</v>
          </cell>
        </row>
        <row r="252">
          <cell r="A252">
            <v>243</v>
          </cell>
          <cell r="B252" t="str">
            <v>بوحريز رياشي  انس عبد النور</v>
          </cell>
          <cell r="C252" t="str">
            <v>بوحريز رياشي</v>
          </cell>
          <cell r="D252" t="str">
            <v>انس عبد النور</v>
          </cell>
          <cell r="E252">
            <v>38473</v>
          </cell>
          <cell r="F252" t="str">
            <v>سفيزف</v>
          </cell>
          <cell r="G252" t="str">
            <v>3ل أ</v>
          </cell>
          <cell r="H252" t="str">
            <v>خارجي</v>
          </cell>
          <cell r="I252" t="str">
            <v>خ</v>
          </cell>
          <cell r="J252" t="str">
            <v>بن يحي</v>
          </cell>
          <cell r="K252" t="str">
            <v>متقاعد</v>
          </cell>
          <cell r="L252" t="str">
            <v>قرية بلبوش</v>
          </cell>
          <cell r="M252">
            <v>0</v>
          </cell>
          <cell r="N252">
            <v>0</v>
          </cell>
          <cell r="O252" t="str">
            <v>بوحريز رياشي  بن يحي</v>
          </cell>
        </row>
        <row r="253">
          <cell r="A253">
            <v>244</v>
          </cell>
          <cell r="B253" t="str">
            <v>بوعافية  محمد شريف أنس</v>
          </cell>
          <cell r="C253" t="str">
            <v>بوعافية</v>
          </cell>
          <cell r="D253" t="str">
            <v>محمد شريف أنس</v>
          </cell>
          <cell r="E253">
            <v>38628</v>
          </cell>
          <cell r="F253" t="str">
            <v>قسنطينة</v>
          </cell>
          <cell r="G253" t="str">
            <v>3ل أ</v>
          </cell>
          <cell r="H253" t="str">
            <v xml:space="preserve">خارجي </v>
          </cell>
          <cell r="I253" t="str">
            <v>خ</v>
          </cell>
          <cell r="J253" t="str">
            <v>حمداد شهرزاد</v>
          </cell>
          <cell r="K253" t="str">
            <v>موظفة</v>
          </cell>
          <cell r="L253" t="str">
            <v>حي سيدي يحي سفيزف</v>
          </cell>
          <cell r="M253">
            <v>0</v>
          </cell>
          <cell r="N253">
            <v>0</v>
          </cell>
          <cell r="O253" t="str">
            <v>بوعافية  حمداد شهرزاد</v>
          </cell>
        </row>
        <row r="254">
          <cell r="A254">
            <v>245</v>
          </cell>
          <cell r="B254" t="str">
            <v>تاوسر  زينب آية</v>
          </cell>
          <cell r="C254" t="str">
            <v>تاوسر</v>
          </cell>
          <cell r="D254" t="str">
            <v>زينب آية</v>
          </cell>
          <cell r="E254">
            <v>38551</v>
          </cell>
          <cell r="F254" t="str">
            <v>سفيزف</v>
          </cell>
          <cell r="G254" t="str">
            <v>3ل أ</v>
          </cell>
          <cell r="H254" t="str">
            <v>خارجية</v>
          </cell>
          <cell r="I254" t="str">
            <v>خ</v>
          </cell>
          <cell r="J254" t="str">
            <v>محمد أمين</v>
          </cell>
          <cell r="K254" t="str">
            <v>تاجر</v>
          </cell>
          <cell r="L254" t="str">
            <v>حي24فبراير سفيزف</v>
          </cell>
          <cell r="M254">
            <v>0</v>
          </cell>
          <cell r="N254">
            <v>0</v>
          </cell>
          <cell r="O254" t="str">
            <v>تاوسر  محمد أمين</v>
          </cell>
        </row>
        <row r="255">
          <cell r="A255">
            <v>246</v>
          </cell>
          <cell r="B255" t="str">
            <v>توزالة  معاذ</v>
          </cell>
          <cell r="C255" t="str">
            <v>توزالة</v>
          </cell>
          <cell r="D255" t="str">
            <v>معاذ</v>
          </cell>
          <cell r="E255">
            <v>38678</v>
          </cell>
          <cell r="F255" t="str">
            <v>س بلعباس</v>
          </cell>
          <cell r="G255" t="str">
            <v>3ل أ</v>
          </cell>
          <cell r="H255" t="str">
            <v xml:space="preserve">خارجي </v>
          </cell>
          <cell r="I255" t="str">
            <v>خ</v>
          </cell>
          <cell r="J255" t="str">
            <v>بن عيسى</v>
          </cell>
          <cell r="K255" t="str">
            <v>تاجر</v>
          </cell>
          <cell r="L255" t="str">
            <v>02شارع عبدلي عبدالقادر سفيزف</v>
          </cell>
          <cell r="M255">
            <v>0</v>
          </cell>
          <cell r="N255">
            <v>0</v>
          </cell>
          <cell r="O255" t="str">
            <v>توزالة  بن عيسى</v>
          </cell>
        </row>
        <row r="256">
          <cell r="A256">
            <v>247</v>
          </cell>
          <cell r="B256" t="str">
            <v>حميدة   شيماء</v>
          </cell>
          <cell r="C256" t="str">
            <v>حميدة</v>
          </cell>
          <cell r="D256" t="str">
            <v xml:space="preserve"> شيماء</v>
          </cell>
          <cell r="E256">
            <v>39089</v>
          </cell>
          <cell r="F256" t="str">
            <v>سفيزف</v>
          </cell>
          <cell r="G256" t="str">
            <v>3ل أ</v>
          </cell>
          <cell r="H256" t="str">
            <v>خارجية</v>
          </cell>
          <cell r="I256" t="str">
            <v>خ</v>
          </cell>
          <cell r="J256" t="str">
            <v>عبدالقادر</v>
          </cell>
          <cell r="K256" t="str">
            <v>حارس</v>
          </cell>
          <cell r="L256" t="str">
            <v>شارع طيبي عبدالقادر سفيزف</v>
          </cell>
          <cell r="M256">
            <v>0</v>
          </cell>
          <cell r="N256">
            <v>0</v>
          </cell>
          <cell r="O256" t="str">
            <v>حميدة  عبدالقادر</v>
          </cell>
        </row>
        <row r="257">
          <cell r="A257">
            <v>248</v>
          </cell>
          <cell r="B257" t="str">
            <v>خلوفي  مريم</v>
          </cell>
          <cell r="C257" t="str">
            <v>خلوفي</v>
          </cell>
          <cell r="D257" t="str">
            <v>مريم</v>
          </cell>
          <cell r="E257">
            <v>38970</v>
          </cell>
          <cell r="F257" t="str">
            <v>س بلعباس</v>
          </cell>
          <cell r="G257" t="str">
            <v>3ل أ</v>
          </cell>
          <cell r="H257" t="str">
            <v>خارجية</v>
          </cell>
          <cell r="I257" t="str">
            <v>خ</v>
          </cell>
          <cell r="J257" t="str">
            <v>قويدر</v>
          </cell>
          <cell r="K257" t="str">
            <v>لا شئ</v>
          </cell>
          <cell r="L257" t="str">
            <v>شارع حداد قادة سفيزف</v>
          </cell>
          <cell r="M257">
            <v>0</v>
          </cell>
          <cell r="N257">
            <v>0</v>
          </cell>
          <cell r="O257" t="str">
            <v>خلوفي  قويدر</v>
          </cell>
        </row>
        <row r="258">
          <cell r="A258">
            <v>249</v>
          </cell>
          <cell r="B258" t="str">
            <v>ديدة    توفيق</v>
          </cell>
          <cell r="C258" t="str">
            <v xml:space="preserve">ديدة </v>
          </cell>
          <cell r="D258" t="str">
            <v xml:space="preserve"> توفيق</v>
          </cell>
          <cell r="E258">
            <v>38418</v>
          </cell>
          <cell r="F258" t="str">
            <v>س بلعباس</v>
          </cell>
          <cell r="G258" t="str">
            <v>3ل أ</v>
          </cell>
          <cell r="H258" t="str">
            <v xml:space="preserve">خارجي </v>
          </cell>
          <cell r="I258" t="str">
            <v>خ</v>
          </cell>
          <cell r="J258" t="str">
            <v>جيلالي</v>
          </cell>
          <cell r="K258" t="str">
            <v>متقاعد</v>
          </cell>
          <cell r="L258" t="str">
            <v>حي506سكن سفيزف</v>
          </cell>
          <cell r="M258">
            <v>0</v>
          </cell>
          <cell r="N258">
            <v>0</v>
          </cell>
          <cell r="O258" t="str">
            <v>ديدة   جيلالي</v>
          </cell>
        </row>
        <row r="259">
          <cell r="A259">
            <v>250</v>
          </cell>
          <cell r="B259" t="str">
            <v>رحماني  آية  فاطيمة</v>
          </cell>
          <cell r="C259" t="str">
            <v>رحماني</v>
          </cell>
          <cell r="D259" t="str">
            <v>آية  فاطيمة</v>
          </cell>
          <cell r="E259">
            <v>38253</v>
          </cell>
          <cell r="F259" t="str">
            <v>مستغانم</v>
          </cell>
          <cell r="G259" t="str">
            <v>3ل أ</v>
          </cell>
          <cell r="H259" t="str">
            <v>خارجية</v>
          </cell>
          <cell r="I259" t="str">
            <v>خ</v>
          </cell>
          <cell r="J259" t="str">
            <v>الحاج</v>
          </cell>
          <cell r="K259" t="str">
            <v>متقاعد</v>
          </cell>
          <cell r="L259" t="str">
            <v>11حي141سكن سفيزف</v>
          </cell>
          <cell r="M259">
            <v>0</v>
          </cell>
          <cell r="N259">
            <v>0</v>
          </cell>
          <cell r="O259" t="str">
            <v>رحماني  الحاج</v>
          </cell>
        </row>
        <row r="260">
          <cell r="A260">
            <v>251</v>
          </cell>
          <cell r="B260" t="str">
            <v>رحماني  مروى</v>
          </cell>
          <cell r="C260" t="str">
            <v>رحماني</v>
          </cell>
          <cell r="D260" t="str">
            <v>مروى</v>
          </cell>
          <cell r="E260">
            <v>39365</v>
          </cell>
          <cell r="F260" t="str">
            <v>غليزان</v>
          </cell>
          <cell r="G260" t="str">
            <v>3ل أ</v>
          </cell>
          <cell r="H260" t="str">
            <v>خارجية</v>
          </cell>
          <cell r="I260" t="str">
            <v>خ</v>
          </cell>
          <cell r="J260" t="str">
            <v>الحاج</v>
          </cell>
          <cell r="K260" t="str">
            <v>متقاعد</v>
          </cell>
          <cell r="L260" t="str">
            <v>11حي141سكن سفيزف</v>
          </cell>
          <cell r="M260">
            <v>0</v>
          </cell>
          <cell r="N260">
            <v>0</v>
          </cell>
          <cell r="O260" t="str">
            <v>رحماني  الحاج</v>
          </cell>
        </row>
        <row r="261">
          <cell r="A261">
            <v>252</v>
          </cell>
          <cell r="B261" t="str">
            <v>ريدال    هبة الرحمان</v>
          </cell>
          <cell r="C261" t="str">
            <v xml:space="preserve">ريدال </v>
          </cell>
          <cell r="D261" t="str">
            <v xml:space="preserve"> هبة الرحمان</v>
          </cell>
          <cell r="E261">
            <v>39245</v>
          </cell>
          <cell r="F261" t="str">
            <v>سفيزف</v>
          </cell>
          <cell r="G261" t="str">
            <v>3ل أ</v>
          </cell>
          <cell r="H261" t="str">
            <v>خارجية</v>
          </cell>
          <cell r="I261" t="str">
            <v>خ</v>
          </cell>
          <cell r="J261" t="str">
            <v xml:space="preserve">بلحول </v>
          </cell>
          <cell r="K261" t="str">
            <v>متقاعد</v>
          </cell>
          <cell r="L261" t="str">
            <v>حي 214سكن سفيزف</v>
          </cell>
          <cell r="M261">
            <v>0</v>
          </cell>
          <cell r="N261">
            <v>0</v>
          </cell>
          <cell r="O261" t="str">
            <v xml:space="preserve">ريدال   بلحول </v>
          </cell>
        </row>
        <row r="262">
          <cell r="A262">
            <v>253</v>
          </cell>
          <cell r="B262" t="str">
            <v>طلاح    محمد نذير</v>
          </cell>
          <cell r="C262" t="str">
            <v xml:space="preserve">طلاح </v>
          </cell>
          <cell r="D262" t="str">
            <v xml:space="preserve"> محمد نذير</v>
          </cell>
          <cell r="E262">
            <v>38940</v>
          </cell>
          <cell r="F262" t="str">
            <v>سفيزف</v>
          </cell>
          <cell r="G262" t="str">
            <v>3ل أ</v>
          </cell>
          <cell r="H262" t="str">
            <v xml:space="preserve">خارجي </v>
          </cell>
          <cell r="I262" t="str">
            <v>خ</v>
          </cell>
          <cell r="J262" t="str">
            <v>أحمد</v>
          </cell>
          <cell r="K262" t="str">
            <v>تاجر</v>
          </cell>
          <cell r="L262" t="str">
            <v>حي بوخنفوس مختار سفيزف</v>
          </cell>
          <cell r="M262">
            <v>0</v>
          </cell>
          <cell r="N262">
            <v>0</v>
          </cell>
          <cell r="O262" t="str">
            <v>طلاح   أحمد</v>
          </cell>
        </row>
        <row r="263">
          <cell r="A263">
            <v>254</v>
          </cell>
          <cell r="B263" t="str">
            <v>عروش    رانية</v>
          </cell>
          <cell r="C263" t="str">
            <v xml:space="preserve">عروش </v>
          </cell>
          <cell r="D263" t="str">
            <v xml:space="preserve"> رانية</v>
          </cell>
          <cell r="E263">
            <v>39076</v>
          </cell>
          <cell r="F263" t="str">
            <v>سفيزف</v>
          </cell>
          <cell r="G263" t="str">
            <v>3ل أ</v>
          </cell>
          <cell r="H263" t="str">
            <v>خارجية</v>
          </cell>
          <cell r="I263" t="str">
            <v>خ</v>
          </cell>
          <cell r="J263" t="str">
            <v>عبدالكريم</v>
          </cell>
          <cell r="K263" t="str">
            <v>لا شئ</v>
          </cell>
          <cell r="L263" t="str">
            <v>24حي100سكن سفيزف</v>
          </cell>
          <cell r="M263">
            <v>0</v>
          </cell>
          <cell r="N263">
            <v>0</v>
          </cell>
          <cell r="O263" t="str">
            <v>عروش   عبدالكريم</v>
          </cell>
        </row>
        <row r="264">
          <cell r="A264">
            <v>255</v>
          </cell>
          <cell r="B264" t="str">
            <v>عشي   صبرينة منال</v>
          </cell>
          <cell r="C264" t="str">
            <v>عشي</v>
          </cell>
          <cell r="D264" t="str">
            <v xml:space="preserve"> صبرينة منال</v>
          </cell>
          <cell r="E264">
            <v>39075</v>
          </cell>
          <cell r="F264" t="str">
            <v>سفيزف</v>
          </cell>
          <cell r="G264" t="str">
            <v>3ل أ</v>
          </cell>
          <cell r="H264" t="str">
            <v>خارجية</v>
          </cell>
          <cell r="I264" t="str">
            <v>خ</v>
          </cell>
          <cell r="J264" t="str">
            <v>عدة</v>
          </cell>
          <cell r="K264" t="str">
            <v>لا شئ</v>
          </cell>
          <cell r="L264" t="str">
            <v>حي100سكن سفيزف</v>
          </cell>
          <cell r="M264">
            <v>0</v>
          </cell>
          <cell r="N264">
            <v>0</v>
          </cell>
          <cell r="O264" t="str">
            <v>عشي  عدة</v>
          </cell>
        </row>
        <row r="265">
          <cell r="A265">
            <v>256</v>
          </cell>
          <cell r="B265" t="str">
            <v>قشيح  عبد العزيز</v>
          </cell>
          <cell r="C265" t="str">
            <v>قشيح</v>
          </cell>
          <cell r="D265" t="str">
            <v>عبد العزيز</v>
          </cell>
          <cell r="E265">
            <v>38133</v>
          </cell>
          <cell r="F265" t="str">
            <v>سفيزف</v>
          </cell>
          <cell r="G265" t="str">
            <v>3ل أ</v>
          </cell>
          <cell r="H265" t="str">
            <v xml:space="preserve">خارجي </v>
          </cell>
          <cell r="I265" t="str">
            <v>خ</v>
          </cell>
          <cell r="J265" t="str">
            <v>محمد</v>
          </cell>
          <cell r="K265" t="str">
            <v>متقاعد</v>
          </cell>
          <cell r="L265" t="str">
            <v>حي 506 سكن سفيزف-</v>
          </cell>
          <cell r="M265">
            <v>0</v>
          </cell>
          <cell r="N265">
            <v>0</v>
          </cell>
          <cell r="O265" t="str">
            <v>قشيح  محمد</v>
          </cell>
        </row>
        <row r="266">
          <cell r="A266">
            <v>257</v>
          </cell>
          <cell r="B266" t="str">
            <v>ميموني    جلول ولي الدين</v>
          </cell>
          <cell r="C266" t="str">
            <v xml:space="preserve">ميموني </v>
          </cell>
          <cell r="D266" t="str">
            <v xml:space="preserve"> جلول ولي الدين</v>
          </cell>
          <cell r="E266">
            <v>38903</v>
          </cell>
          <cell r="F266" t="str">
            <v>تلاغ</v>
          </cell>
          <cell r="G266" t="str">
            <v>3ل أ</v>
          </cell>
          <cell r="H266" t="str">
            <v xml:space="preserve">خارجي </v>
          </cell>
          <cell r="I266" t="str">
            <v>خ</v>
          </cell>
          <cell r="J266" t="str">
            <v>أحمد</v>
          </cell>
          <cell r="K266" t="str">
            <v>متقاعد</v>
          </cell>
          <cell r="L266" t="str">
            <v>77حي طيبي عبدالقادر سفيزف</v>
          </cell>
          <cell r="M266">
            <v>0</v>
          </cell>
          <cell r="N266">
            <v>0</v>
          </cell>
          <cell r="O266" t="str">
            <v>ميموني   أحمد</v>
          </cell>
        </row>
        <row r="267">
          <cell r="A267">
            <v>258</v>
          </cell>
          <cell r="B267" t="str">
            <v>حاكم    نرجس</v>
          </cell>
          <cell r="C267" t="str">
            <v xml:space="preserve">حاكم </v>
          </cell>
          <cell r="D267" t="str">
            <v xml:space="preserve"> نرجس</v>
          </cell>
          <cell r="E267">
            <v>39468</v>
          </cell>
          <cell r="F267" t="str">
            <v>عين البرد</v>
          </cell>
          <cell r="G267" t="str">
            <v>2ت ر</v>
          </cell>
          <cell r="H267" t="str">
            <v>ن/داخلية</v>
          </cell>
          <cell r="I267" t="str">
            <v>ن/د</v>
          </cell>
          <cell r="J267" t="str">
            <v>الشيخ</v>
          </cell>
          <cell r="K267" t="str">
            <v>عامل</v>
          </cell>
          <cell r="L267" t="str">
            <v>عين آدن</v>
          </cell>
          <cell r="M267">
            <v>0</v>
          </cell>
          <cell r="N267">
            <v>0</v>
          </cell>
          <cell r="O267" t="str">
            <v>حاكم   الشيخ</v>
          </cell>
        </row>
        <row r="268">
          <cell r="A268">
            <v>259</v>
          </cell>
          <cell r="B268" t="str">
            <v>خيدي    مروة صفاء</v>
          </cell>
          <cell r="C268" t="str">
            <v xml:space="preserve">خيدي </v>
          </cell>
          <cell r="D268" t="str">
            <v xml:space="preserve"> مروة صفاء</v>
          </cell>
          <cell r="E268">
            <v>39133</v>
          </cell>
          <cell r="F268" t="str">
            <v>سفيزف</v>
          </cell>
          <cell r="G268" t="str">
            <v>2ت ر</v>
          </cell>
          <cell r="H268" t="str">
            <v>ن/داخلية</v>
          </cell>
          <cell r="I268" t="str">
            <v>ن/د</v>
          </cell>
          <cell r="J268" t="str">
            <v>أحمد</v>
          </cell>
          <cell r="K268" t="str">
            <v>متقاعد</v>
          </cell>
          <cell r="L268" t="str">
            <v>عين آدن</v>
          </cell>
          <cell r="M268">
            <v>0</v>
          </cell>
          <cell r="N268">
            <v>0</v>
          </cell>
          <cell r="O268" t="str">
            <v>خيدي   أحمد</v>
          </cell>
        </row>
        <row r="269">
          <cell r="A269">
            <v>260</v>
          </cell>
          <cell r="B269" t="str">
            <v>العسري    ابتسام</v>
          </cell>
          <cell r="C269" t="str">
            <v xml:space="preserve">العسري </v>
          </cell>
          <cell r="D269" t="str">
            <v xml:space="preserve"> ابتسام</v>
          </cell>
          <cell r="E269">
            <v>39240</v>
          </cell>
          <cell r="F269" t="str">
            <v>س بلعباس</v>
          </cell>
          <cell r="G269" t="str">
            <v>2ت ر</v>
          </cell>
          <cell r="H269" t="str">
            <v>خارجية</v>
          </cell>
          <cell r="I269" t="str">
            <v>خ</v>
          </cell>
          <cell r="J269" t="str">
            <v>قادة</v>
          </cell>
          <cell r="K269" t="str">
            <v>تاجر</v>
          </cell>
          <cell r="L269" t="str">
            <v>حي141سكن سفيزف</v>
          </cell>
          <cell r="M269">
            <v>0</v>
          </cell>
          <cell r="N269">
            <v>0</v>
          </cell>
          <cell r="O269" t="str">
            <v>العسري   قادة</v>
          </cell>
        </row>
        <row r="270">
          <cell r="A270">
            <v>261</v>
          </cell>
          <cell r="B270" t="str">
            <v>العسري    ياسر</v>
          </cell>
          <cell r="C270" t="str">
            <v xml:space="preserve">العسري </v>
          </cell>
          <cell r="D270" t="str">
            <v xml:space="preserve"> ياسر</v>
          </cell>
          <cell r="E270">
            <v>39429</v>
          </cell>
          <cell r="F270" t="str">
            <v>تلاغ</v>
          </cell>
          <cell r="G270" t="str">
            <v>2ت ر</v>
          </cell>
          <cell r="H270" t="str">
            <v>خارجي</v>
          </cell>
          <cell r="I270" t="str">
            <v>خ</v>
          </cell>
          <cell r="J270" t="str">
            <v>زين العابدين</v>
          </cell>
          <cell r="K270" t="str">
            <v>أستاذ</v>
          </cell>
          <cell r="L270" t="str">
            <v>حي115سكن سفيزف</v>
          </cell>
          <cell r="M270">
            <v>0</v>
          </cell>
          <cell r="N270">
            <v>0</v>
          </cell>
          <cell r="O270" t="str">
            <v>العسري   زين العابدين</v>
          </cell>
        </row>
        <row r="271">
          <cell r="A271">
            <v>262</v>
          </cell>
          <cell r="B271" t="str">
            <v>اوهيبة    عبير</v>
          </cell>
          <cell r="C271" t="str">
            <v xml:space="preserve">اوهيبة </v>
          </cell>
          <cell r="D271" t="str">
            <v xml:space="preserve"> عبير</v>
          </cell>
          <cell r="E271">
            <v>39468</v>
          </cell>
          <cell r="F271" t="str">
            <v>سفيزف</v>
          </cell>
          <cell r="G271" t="str">
            <v>2ت ر</v>
          </cell>
          <cell r="H271" t="str">
            <v>خارجية</v>
          </cell>
          <cell r="I271" t="str">
            <v>خ</v>
          </cell>
          <cell r="J271" t="str">
            <v>عدة</v>
          </cell>
          <cell r="K271" t="str">
            <v>موظف</v>
          </cell>
          <cell r="L271" t="str">
            <v>11شارع بوخنفوس مختار سفيزف</v>
          </cell>
          <cell r="M271">
            <v>0</v>
          </cell>
          <cell r="N271">
            <v>0</v>
          </cell>
          <cell r="O271" t="str">
            <v>اوهيبة   عدة</v>
          </cell>
        </row>
        <row r="272">
          <cell r="A272">
            <v>263</v>
          </cell>
          <cell r="B272" t="str">
            <v>إيقاش    محمد االحبيب</v>
          </cell>
          <cell r="C272" t="str">
            <v xml:space="preserve">إيقاش </v>
          </cell>
          <cell r="D272" t="str">
            <v xml:space="preserve"> محمد االحبيب</v>
          </cell>
          <cell r="E272">
            <v>39258</v>
          </cell>
          <cell r="F272" t="str">
            <v>سفيزف</v>
          </cell>
          <cell r="G272" t="str">
            <v>2ت ر</v>
          </cell>
          <cell r="H272" t="str">
            <v>خارجي</v>
          </cell>
          <cell r="I272" t="str">
            <v>خ</v>
          </cell>
          <cell r="J272" t="str">
            <v>ميلود</v>
          </cell>
          <cell r="K272" t="str">
            <v>موظف</v>
          </cell>
          <cell r="L272" t="str">
            <v>حي بوخنفوس مختار سفيزف</v>
          </cell>
          <cell r="M272">
            <v>0</v>
          </cell>
          <cell r="N272">
            <v>0</v>
          </cell>
          <cell r="O272" t="str">
            <v>إيقاش   ميلود</v>
          </cell>
        </row>
        <row r="273">
          <cell r="A273">
            <v>264</v>
          </cell>
          <cell r="B273" t="str">
            <v>بلعياشي    نرجس رميساء</v>
          </cell>
          <cell r="C273" t="str">
            <v xml:space="preserve">بلعياشي </v>
          </cell>
          <cell r="D273" t="str">
            <v xml:space="preserve"> نرجس رميساء</v>
          </cell>
          <cell r="E273">
            <v>39390</v>
          </cell>
          <cell r="F273" t="str">
            <v>س بلعباس</v>
          </cell>
          <cell r="G273" t="str">
            <v>2ت ر</v>
          </cell>
          <cell r="H273" t="str">
            <v>خارجية</v>
          </cell>
          <cell r="I273" t="str">
            <v>خ</v>
          </cell>
          <cell r="J273" t="str">
            <v>زواوي</v>
          </cell>
          <cell r="K273" t="str">
            <v>م.تربوي</v>
          </cell>
          <cell r="L273" t="str">
            <v>41شارع بوخلخال الحبيب سفيزف</v>
          </cell>
          <cell r="M273">
            <v>0</v>
          </cell>
          <cell r="N273">
            <v>0</v>
          </cell>
          <cell r="O273" t="str">
            <v>بلعياشي   زواوي</v>
          </cell>
        </row>
        <row r="274">
          <cell r="A274">
            <v>265</v>
          </cell>
          <cell r="B274" t="str">
            <v>بوجرف   ندير اسلام</v>
          </cell>
          <cell r="C274" t="str">
            <v>بوجرف</v>
          </cell>
          <cell r="D274" t="str">
            <v xml:space="preserve"> ندير اسلام</v>
          </cell>
          <cell r="E274">
            <v>39210</v>
          </cell>
          <cell r="F274" t="str">
            <v>س بلعباس</v>
          </cell>
          <cell r="G274" t="str">
            <v>2ت ر</v>
          </cell>
          <cell r="H274" t="str">
            <v>خارجي</v>
          </cell>
          <cell r="I274" t="str">
            <v>خ</v>
          </cell>
          <cell r="J274" t="str">
            <v>بلحول</v>
          </cell>
          <cell r="K274" t="str">
            <v>متقاعد</v>
          </cell>
          <cell r="L274" t="str">
            <v>01شارع بوخنفوس مختار سفيزف</v>
          </cell>
          <cell r="M274">
            <v>0</v>
          </cell>
          <cell r="N274">
            <v>0</v>
          </cell>
          <cell r="O274" t="str">
            <v>بوجرف  بلحول</v>
          </cell>
        </row>
        <row r="275">
          <cell r="A275">
            <v>266</v>
          </cell>
          <cell r="B275" t="str">
            <v>بوخاري    آمنة</v>
          </cell>
          <cell r="C275" t="str">
            <v xml:space="preserve">بوخاري </v>
          </cell>
          <cell r="D275" t="str">
            <v xml:space="preserve"> آمنة</v>
          </cell>
          <cell r="E275">
            <v>39092</v>
          </cell>
          <cell r="F275" t="str">
            <v>سفيزف</v>
          </cell>
          <cell r="G275" t="str">
            <v>2ت ر</v>
          </cell>
          <cell r="H275" t="str">
            <v>خارجية</v>
          </cell>
          <cell r="I275" t="str">
            <v>خ</v>
          </cell>
          <cell r="J275" t="str">
            <v>جيلالي</v>
          </cell>
          <cell r="K275" t="str">
            <v>متقاعد</v>
          </cell>
          <cell r="L275" t="str">
            <v>شارع بوسطلة لحسن سفيزف</v>
          </cell>
          <cell r="M275">
            <v>0</v>
          </cell>
          <cell r="N275">
            <v>0</v>
          </cell>
          <cell r="O275" t="str">
            <v>بوخاري   جيلالي</v>
          </cell>
        </row>
        <row r="276">
          <cell r="A276">
            <v>267</v>
          </cell>
          <cell r="B276" t="str">
            <v>دلاني    اسية</v>
          </cell>
          <cell r="C276" t="str">
            <v xml:space="preserve">دلاني </v>
          </cell>
          <cell r="D276" t="str">
            <v xml:space="preserve"> اسية</v>
          </cell>
          <cell r="E276">
            <v>39377</v>
          </cell>
          <cell r="F276" t="str">
            <v>م.ب.ب</v>
          </cell>
          <cell r="G276" t="str">
            <v>2ت ر</v>
          </cell>
          <cell r="H276" t="str">
            <v>خارجية</v>
          </cell>
          <cell r="I276" t="str">
            <v>خ</v>
          </cell>
          <cell r="J276" t="str">
            <v>يحي</v>
          </cell>
          <cell r="K276" t="str">
            <v>متقاعد</v>
          </cell>
          <cell r="L276" t="str">
            <v>حي بوخنفوس مختار سفيزف</v>
          </cell>
          <cell r="M276">
            <v>0</v>
          </cell>
          <cell r="N276">
            <v>0</v>
          </cell>
          <cell r="O276" t="str">
            <v>دلاني   يحي</v>
          </cell>
        </row>
        <row r="277">
          <cell r="A277">
            <v>268</v>
          </cell>
          <cell r="B277" t="str">
            <v>سوقمي    هيثم</v>
          </cell>
          <cell r="C277" t="str">
            <v xml:space="preserve">سوقمي </v>
          </cell>
          <cell r="D277" t="str">
            <v xml:space="preserve"> هيثم</v>
          </cell>
          <cell r="E277">
            <v>39481</v>
          </cell>
          <cell r="F277" t="str">
            <v>سفيزف</v>
          </cell>
          <cell r="G277" t="str">
            <v>2ت ر</v>
          </cell>
          <cell r="H277" t="str">
            <v>خارجي</v>
          </cell>
          <cell r="I277" t="str">
            <v>خ</v>
          </cell>
          <cell r="J277" t="str">
            <v>ميلود</v>
          </cell>
          <cell r="K277" t="str">
            <v>متقاعد</v>
          </cell>
          <cell r="L277" t="str">
            <v>حي27سكن سفيزف</v>
          </cell>
          <cell r="M277">
            <v>0</v>
          </cell>
          <cell r="N277">
            <v>0</v>
          </cell>
          <cell r="O277" t="str">
            <v>سوقمي   ميلود</v>
          </cell>
        </row>
        <row r="278">
          <cell r="A278">
            <v>269</v>
          </cell>
          <cell r="B278" t="str">
            <v>صلات    أيمن عبد الحق</v>
          </cell>
          <cell r="C278" t="str">
            <v xml:space="preserve">صلات </v>
          </cell>
          <cell r="D278" t="str">
            <v xml:space="preserve"> أيمن عبد الحق</v>
          </cell>
          <cell r="E278">
            <v>39363</v>
          </cell>
          <cell r="F278" t="str">
            <v>س بلعباس</v>
          </cell>
          <cell r="G278" t="str">
            <v>2ت ر</v>
          </cell>
          <cell r="H278" t="str">
            <v>خارجي</v>
          </cell>
          <cell r="I278" t="str">
            <v>خ</v>
          </cell>
          <cell r="J278" t="str">
            <v xml:space="preserve">عبدالقادر </v>
          </cell>
          <cell r="K278" t="str">
            <v>أستاذ</v>
          </cell>
          <cell r="L278" t="str">
            <v>حي بوخنفوس مختار سفيزف</v>
          </cell>
          <cell r="M278">
            <v>0</v>
          </cell>
          <cell r="N278">
            <v>0</v>
          </cell>
          <cell r="O278" t="str">
            <v xml:space="preserve">صلات   عبدالقادر </v>
          </cell>
        </row>
        <row r="279">
          <cell r="A279">
            <v>270</v>
          </cell>
          <cell r="B279" t="str">
            <v>طالبي    أميمة عائشة</v>
          </cell>
          <cell r="C279" t="str">
            <v xml:space="preserve">طالبي </v>
          </cell>
          <cell r="D279" t="str">
            <v xml:space="preserve"> أميمة عائشة</v>
          </cell>
          <cell r="E279">
            <v>39507</v>
          </cell>
          <cell r="F279" t="str">
            <v>سفيزف</v>
          </cell>
          <cell r="G279" t="str">
            <v>2ت ر</v>
          </cell>
          <cell r="H279" t="str">
            <v>خارجية</v>
          </cell>
          <cell r="I279" t="str">
            <v>خ</v>
          </cell>
          <cell r="J279" t="str">
            <v>خالد</v>
          </cell>
          <cell r="K279" t="str">
            <v>موظف</v>
          </cell>
          <cell r="L279" t="str">
            <v>حي214 سكن سفيزف</v>
          </cell>
          <cell r="M279">
            <v>0</v>
          </cell>
          <cell r="N279">
            <v>0</v>
          </cell>
          <cell r="O279" t="str">
            <v>طالبي   خالد</v>
          </cell>
        </row>
        <row r="280">
          <cell r="A280">
            <v>271</v>
          </cell>
          <cell r="B280" t="str">
            <v>فداق    محمد امين</v>
          </cell>
          <cell r="C280" t="str">
            <v xml:space="preserve">فداق </v>
          </cell>
          <cell r="D280" t="str">
            <v xml:space="preserve"> محمد امين</v>
          </cell>
          <cell r="E280">
            <v>39514</v>
          </cell>
          <cell r="F280" t="str">
            <v>سفيزف</v>
          </cell>
          <cell r="G280" t="str">
            <v>2ت ر</v>
          </cell>
          <cell r="H280" t="str">
            <v>خارجي</v>
          </cell>
          <cell r="I280" t="str">
            <v>خ</v>
          </cell>
          <cell r="J280" t="str">
            <v>يحي</v>
          </cell>
          <cell r="K280" t="str">
            <v>موظف</v>
          </cell>
          <cell r="L280" t="str">
            <v>حي506 سكن سفيزف</v>
          </cell>
          <cell r="M280">
            <v>0</v>
          </cell>
          <cell r="N280">
            <v>0</v>
          </cell>
          <cell r="O280" t="str">
            <v>فداق   يحي</v>
          </cell>
        </row>
        <row r="281">
          <cell r="A281">
            <v>272</v>
          </cell>
          <cell r="B281" t="str">
            <v>قلاليز    سهيلة فريال</v>
          </cell>
          <cell r="C281" t="str">
            <v xml:space="preserve">قلاليز </v>
          </cell>
          <cell r="D281" t="str">
            <v xml:space="preserve"> سهيلة فريال</v>
          </cell>
          <cell r="E281">
            <v>39345</v>
          </cell>
          <cell r="F281" t="str">
            <v>سفيزف</v>
          </cell>
          <cell r="G281" t="str">
            <v>2ت ر</v>
          </cell>
          <cell r="H281" t="str">
            <v>خارجية</v>
          </cell>
          <cell r="I281" t="str">
            <v>خ</v>
          </cell>
          <cell r="J281" t="str">
            <v>محمد</v>
          </cell>
          <cell r="K281" t="str">
            <v>متقاعد</v>
          </cell>
          <cell r="L281" t="str">
            <v>حي نواري بن عبدالله سفيزف</v>
          </cell>
          <cell r="M281">
            <v>0</v>
          </cell>
          <cell r="N281">
            <v>0</v>
          </cell>
          <cell r="O281" t="str">
            <v>قلاليز   محمد</v>
          </cell>
        </row>
        <row r="282">
          <cell r="A282">
            <v>273</v>
          </cell>
          <cell r="B282" t="str">
            <v>لعسل    كمال قادة</v>
          </cell>
          <cell r="C282" t="str">
            <v xml:space="preserve">لعسل </v>
          </cell>
          <cell r="D282" t="str">
            <v xml:space="preserve"> كمال قادة</v>
          </cell>
          <cell r="E282">
            <v>39182</v>
          </cell>
          <cell r="F282" t="str">
            <v>سفيزف</v>
          </cell>
          <cell r="G282" t="str">
            <v>2ت ر</v>
          </cell>
          <cell r="H282" t="str">
            <v>خارجي</v>
          </cell>
          <cell r="I282" t="str">
            <v>خ</v>
          </cell>
          <cell r="J282" t="str">
            <v>محمد</v>
          </cell>
          <cell r="K282" t="str">
            <v>موظف</v>
          </cell>
          <cell r="L282" t="str">
            <v>عمارة زبلاح يحي سفيزف</v>
          </cell>
          <cell r="M282">
            <v>0</v>
          </cell>
          <cell r="N282">
            <v>0</v>
          </cell>
          <cell r="O282" t="str">
            <v>لعسل   محمد</v>
          </cell>
        </row>
        <row r="283">
          <cell r="A283">
            <v>274</v>
          </cell>
          <cell r="B283" t="str">
            <v>مهدان    خيرة أسماء</v>
          </cell>
          <cell r="C283" t="str">
            <v xml:space="preserve">مهدان </v>
          </cell>
          <cell r="D283" t="str">
            <v xml:space="preserve"> خيرة أسماء</v>
          </cell>
          <cell r="E283">
            <v>39424</v>
          </cell>
          <cell r="F283" t="str">
            <v>سفيزف</v>
          </cell>
          <cell r="G283" t="str">
            <v>2ت ر</v>
          </cell>
          <cell r="H283" t="str">
            <v>خارجية</v>
          </cell>
          <cell r="I283" t="str">
            <v>خ</v>
          </cell>
          <cell r="J283" t="str">
            <v>نورالدين</v>
          </cell>
          <cell r="K283" t="str">
            <v>لا شئ</v>
          </cell>
          <cell r="L283" t="str">
            <v>14حي طيبي عبدالقادر سفيزف</v>
          </cell>
          <cell r="M283">
            <v>0</v>
          </cell>
          <cell r="N283">
            <v>0</v>
          </cell>
          <cell r="O283" t="str">
            <v>مهدان   نورالدين</v>
          </cell>
        </row>
        <row r="284">
          <cell r="A284">
            <v>275</v>
          </cell>
          <cell r="B284" t="str">
            <v>موحوش    غنية</v>
          </cell>
          <cell r="C284" t="str">
            <v xml:space="preserve">موحوش </v>
          </cell>
          <cell r="D284" t="str">
            <v xml:space="preserve"> غنية</v>
          </cell>
          <cell r="E284">
            <v>39468</v>
          </cell>
          <cell r="F284" t="str">
            <v>سفيزف</v>
          </cell>
          <cell r="G284" t="str">
            <v>2ت ر</v>
          </cell>
          <cell r="H284" t="str">
            <v>خارجية</v>
          </cell>
          <cell r="I284" t="str">
            <v>خ</v>
          </cell>
          <cell r="J284" t="str">
            <v>محمد</v>
          </cell>
          <cell r="K284" t="str">
            <v>متقاعد</v>
          </cell>
          <cell r="L284" t="str">
            <v>حي72سكن سفيزف</v>
          </cell>
          <cell r="M284">
            <v>0</v>
          </cell>
          <cell r="N284">
            <v>0</v>
          </cell>
          <cell r="O284" t="str">
            <v>موحوش   محمد</v>
          </cell>
        </row>
        <row r="285">
          <cell r="A285">
            <v>276</v>
          </cell>
          <cell r="B285" t="str">
            <v>مولقعدة    ياسمين</v>
          </cell>
          <cell r="C285" t="str">
            <v xml:space="preserve">مولقعدة </v>
          </cell>
          <cell r="D285" t="str">
            <v xml:space="preserve"> ياسمين</v>
          </cell>
          <cell r="E285">
            <v>39314</v>
          </cell>
          <cell r="F285" t="str">
            <v>س بلعباس</v>
          </cell>
          <cell r="G285" t="str">
            <v>2ت ر</v>
          </cell>
          <cell r="H285" t="str">
            <v>خارجية</v>
          </cell>
          <cell r="I285" t="str">
            <v>خ</v>
          </cell>
          <cell r="J285" t="str">
            <v>عبدالقادر</v>
          </cell>
          <cell r="K285" t="str">
            <v>متقاعد</v>
          </cell>
          <cell r="L285" t="str">
            <v>05حي214سكن سفيزف</v>
          </cell>
          <cell r="M285">
            <v>0</v>
          </cell>
          <cell r="N285">
            <v>0</v>
          </cell>
          <cell r="O285" t="str">
            <v>مولقعدة   عبدالقادر</v>
          </cell>
        </row>
        <row r="286">
          <cell r="A286">
            <v>277</v>
          </cell>
          <cell r="B286" t="str">
            <v>بلوحي   نسيمة</v>
          </cell>
          <cell r="C286" t="str">
            <v xml:space="preserve">بلوحي </v>
          </cell>
          <cell r="D286" t="str">
            <v>نسيمة</v>
          </cell>
          <cell r="E286">
            <v>37913</v>
          </cell>
          <cell r="F286" t="str">
            <v>سفيزف</v>
          </cell>
          <cell r="G286" t="str">
            <v>2ت ا ق1</v>
          </cell>
          <cell r="H286" t="str">
            <v>ن/داخلية</v>
          </cell>
          <cell r="I286" t="str">
            <v>ن/د</v>
          </cell>
          <cell r="J286" t="str">
            <v>ميلود</v>
          </cell>
          <cell r="K286" t="str">
            <v>لا شئ</v>
          </cell>
          <cell r="L286" t="str">
            <v>مقطع دار السبع عين ادن</v>
          </cell>
          <cell r="M286">
            <v>0</v>
          </cell>
          <cell r="N286">
            <v>0</v>
          </cell>
          <cell r="O286" t="str">
            <v>بلوحي   ميلود</v>
          </cell>
        </row>
        <row r="287">
          <cell r="A287">
            <v>278</v>
          </cell>
          <cell r="B287" t="str">
            <v>تازيني  توفيق</v>
          </cell>
          <cell r="C287" t="str">
            <v>تازيني</v>
          </cell>
          <cell r="D287" t="str">
            <v>توفيق</v>
          </cell>
          <cell r="E287">
            <v>38838</v>
          </cell>
          <cell r="F287" t="str">
            <v>وهران</v>
          </cell>
          <cell r="G287" t="str">
            <v>2ت ا ق1</v>
          </cell>
          <cell r="H287" t="str">
            <v>ن/داخلي</v>
          </cell>
          <cell r="I287" t="str">
            <v>ن/د</v>
          </cell>
          <cell r="J287" t="str">
            <v>سيدأحمد</v>
          </cell>
          <cell r="K287" t="str">
            <v>لا شئ</v>
          </cell>
          <cell r="L287" t="str">
            <v>عين آدن</v>
          </cell>
          <cell r="M287">
            <v>0</v>
          </cell>
          <cell r="N287">
            <v>0</v>
          </cell>
          <cell r="O287" t="str">
            <v>تازيني  سيدأحمد</v>
          </cell>
        </row>
        <row r="288">
          <cell r="A288">
            <v>279</v>
          </cell>
          <cell r="B288" t="str">
            <v>حملات    عبد الوهاب</v>
          </cell>
          <cell r="C288" t="str">
            <v xml:space="preserve">حملات </v>
          </cell>
          <cell r="D288" t="str">
            <v xml:space="preserve"> عبد الوهاب</v>
          </cell>
          <cell r="E288">
            <v>39292</v>
          </cell>
          <cell r="F288" t="str">
            <v>س بلعباس</v>
          </cell>
          <cell r="G288" t="str">
            <v>2ت ا ق1</v>
          </cell>
          <cell r="H288" t="str">
            <v>ن/داخلي</v>
          </cell>
          <cell r="I288" t="str">
            <v>ن/د</v>
          </cell>
          <cell r="J288" t="str">
            <v>عبدالله</v>
          </cell>
          <cell r="K288" t="str">
            <v>موظف</v>
          </cell>
          <cell r="L288" t="str">
            <v>حي هواري بومدين سفيزف</v>
          </cell>
          <cell r="M288">
            <v>0</v>
          </cell>
          <cell r="N288">
            <v>0</v>
          </cell>
          <cell r="O288" t="str">
            <v>حملات   عبدالله</v>
          </cell>
        </row>
        <row r="289">
          <cell r="A289">
            <v>280</v>
          </cell>
          <cell r="B289" t="str">
            <v>دار سبع     لامية</v>
          </cell>
          <cell r="C289" t="str">
            <v xml:space="preserve">دار سبع </v>
          </cell>
          <cell r="D289" t="str">
            <v xml:space="preserve">  لامية</v>
          </cell>
          <cell r="E289">
            <v>39121</v>
          </cell>
          <cell r="F289" t="str">
            <v>سفيزف</v>
          </cell>
          <cell r="G289" t="str">
            <v>2ت ا ق1</v>
          </cell>
          <cell r="H289" t="str">
            <v>ن/داخلية</v>
          </cell>
          <cell r="I289" t="str">
            <v>ن/د</v>
          </cell>
          <cell r="J289" t="str">
            <v>ميلود</v>
          </cell>
          <cell r="K289" t="str">
            <v>متوفى</v>
          </cell>
          <cell r="L289" t="str">
            <v>عين آدن</v>
          </cell>
          <cell r="M289">
            <v>0</v>
          </cell>
          <cell r="N289">
            <v>0</v>
          </cell>
          <cell r="O289" t="str">
            <v>دار سبع   ميلود</v>
          </cell>
        </row>
        <row r="290">
          <cell r="A290">
            <v>281</v>
          </cell>
          <cell r="B290" t="str">
            <v>سعدوني   عزالدين</v>
          </cell>
          <cell r="C290" t="str">
            <v xml:space="preserve">سعدوني </v>
          </cell>
          <cell r="D290" t="str">
            <v>عزالدين</v>
          </cell>
          <cell r="E290">
            <v>39698</v>
          </cell>
          <cell r="F290" t="str">
            <v>سفيزف</v>
          </cell>
          <cell r="G290" t="str">
            <v>2ت ا ق1</v>
          </cell>
          <cell r="H290" t="str">
            <v>ن/داخلي</v>
          </cell>
          <cell r="I290" t="str">
            <v>ن/د</v>
          </cell>
          <cell r="J290" t="str">
            <v>سعيد</v>
          </cell>
          <cell r="K290" t="str">
            <v>موظف</v>
          </cell>
          <cell r="L290" t="str">
            <v>حي118سكن عين آدن</v>
          </cell>
          <cell r="M290">
            <v>0</v>
          </cell>
          <cell r="N290">
            <v>0</v>
          </cell>
          <cell r="O290" t="str">
            <v>سعدوني   سعيد</v>
          </cell>
        </row>
        <row r="291">
          <cell r="A291">
            <v>282</v>
          </cell>
          <cell r="B291" t="str">
            <v>الغلوسي    ابراهيم</v>
          </cell>
          <cell r="C291" t="str">
            <v xml:space="preserve">الغلوسي </v>
          </cell>
          <cell r="D291" t="str">
            <v xml:space="preserve"> ابراهيم</v>
          </cell>
          <cell r="E291">
            <v>39402</v>
          </cell>
          <cell r="F291" t="str">
            <v>س بلعباس</v>
          </cell>
          <cell r="G291" t="str">
            <v>2ت ا ق1</v>
          </cell>
          <cell r="H291" t="str">
            <v>خارجي</v>
          </cell>
          <cell r="I291" t="str">
            <v>خ</v>
          </cell>
          <cell r="J291" t="str">
            <v>حسين</v>
          </cell>
          <cell r="K291" t="str">
            <v>موظف</v>
          </cell>
          <cell r="L291" t="str">
            <v>حي72سكن سفيزف</v>
          </cell>
          <cell r="M291">
            <v>0</v>
          </cell>
          <cell r="N291">
            <v>0</v>
          </cell>
          <cell r="O291" t="str">
            <v>الغلوسي   حسين</v>
          </cell>
        </row>
        <row r="292">
          <cell r="A292">
            <v>283</v>
          </cell>
          <cell r="B292" t="str">
            <v>إدير   أية</v>
          </cell>
          <cell r="C292" t="str">
            <v>إدير</v>
          </cell>
          <cell r="D292" t="str">
            <v xml:space="preserve"> أية</v>
          </cell>
          <cell r="E292">
            <v>39375</v>
          </cell>
          <cell r="F292" t="str">
            <v>بوعنداس</v>
          </cell>
          <cell r="G292" t="str">
            <v>2ت ا ق1</v>
          </cell>
          <cell r="H292" t="str">
            <v>خارجية</v>
          </cell>
          <cell r="I292" t="str">
            <v>خ</v>
          </cell>
          <cell r="J292" t="str">
            <v>عبدالحميد</v>
          </cell>
          <cell r="K292" t="str">
            <v>متقاعد</v>
          </cell>
          <cell r="L292" t="str">
            <v>حي كشار صحراوي سفيزف</v>
          </cell>
          <cell r="M292">
            <v>0</v>
          </cell>
          <cell r="N292">
            <v>0</v>
          </cell>
          <cell r="O292" t="str">
            <v>إدير  عبدالحميد</v>
          </cell>
        </row>
        <row r="293">
          <cell r="A293">
            <v>284</v>
          </cell>
          <cell r="B293" t="str">
            <v>إيقاش    يحي زكرياء</v>
          </cell>
          <cell r="C293" t="str">
            <v xml:space="preserve">إيقاش </v>
          </cell>
          <cell r="D293" t="str">
            <v xml:space="preserve"> يحي زكرياء</v>
          </cell>
          <cell r="E293">
            <v>39039</v>
          </cell>
          <cell r="F293" t="str">
            <v>سفيزف</v>
          </cell>
          <cell r="G293" t="str">
            <v>2ت ا ق1</v>
          </cell>
          <cell r="H293" t="str">
            <v xml:space="preserve">خارجي </v>
          </cell>
          <cell r="I293" t="str">
            <v>خ</v>
          </cell>
          <cell r="J293" t="str">
            <v>بن عومر</v>
          </cell>
          <cell r="K293" t="str">
            <v>موظف</v>
          </cell>
          <cell r="L293" t="str">
            <v>حي100سكن سفيزف</v>
          </cell>
          <cell r="M293">
            <v>0</v>
          </cell>
          <cell r="N293">
            <v>0</v>
          </cell>
          <cell r="O293" t="str">
            <v>إيقاش   بن عومر</v>
          </cell>
        </row>
        <row r="294">
          <cell r="A294">
            <v>285</v>
          </cell>
          <cell r="B294" t="str">
            <v>بخدة     وفاء خيرة</v>
          </cell>
          <cell r="C294" t="str">
            <v xml:space="preserve">بخدة  </v>
          </cell>
          <cell r="D294" t="str">
            <v xml:space="preserve"> وفاء خيرة</v>
          </cell>
          <cell r="E294">
            <v>39070</v>
          </cell>
          <cell r="F294" t="str">
            <v>س بلعباس</v>
          </cell>
          <cell r="G294" t="str">
            <v>2ت ا ق1</v>
          </cell>
          <cell r="H294" t="str">
            <v>خارجية</v>
          </cell>
          <cell r="I294" t="str">
            <v>خ</v>
          </cell>
          <cell r="J294" t="str">
            <v>عدة</v>
          </cell>
          <cell r="K294" t="str">
            <v>موظف</v>
          </cell>
          <cell r="L294" t="str">
            <v>حي أوهيبة محمد سفيزف</v>
          </cell>
          <cell r="M294">
            <v>0</v>
          </cell>
          <cell r="N294">
            <v>0</v>
          </cell>
          <cell r="O294" t="str">
            <v>بخدة    عدة</v>
          </cell>
        </row>
        <row r="295">
          <cell r="A295">
            <v>286</v>
          </cell>
          <cell r="B295" t="str">
            <v>براوي  سلسبيل أمينة</v>
          </cell>
          <cell r="C295" t="str">
            <v>براوي</v>
          </cell>
          <cell r="D295" t="str">
            <v>سلسبيل أمينة</v>
          </cell>
          <cell r="E295">
            <v>39626</v>
          </cell>
          <cell r="F295" t="str">
            <v>سفيزف</v>
          </cell>
          <cell r="G295" t="str">
            <v>2ت ا ق1</v>
          </cell>
          <cell r="H295" t="str">
            <v>خارجية</v>
          </cell>
          <cell r="I295" t="str">
            <v>خ</v>
          </cell>
          <cell r="J295" t="str">
            <v>يحي</v>
          </cell>
          <cell r="K295" t="str">
            <v>موظف</v>
          </cell>
          <cell r="L295" t="str">
            <v>حي48سكن سفيزف</v>
          </cell>
          <cell r="M295">
            <v>0</v>
          </cell>
          <cell r="N295">
            <v>0</v>
          </cell>
          <cell r="O295" t="str">
            <v>براوي  يحي</v>
          </cell>
        </row>
        <row r="296">
          <cell r="A296">
            <v>287</v>
          </cell>
          <cell r="B296" t="str">
            <v>بسباس    ايمن عبد الرحمان</v>
          </cell>
          <cell r="C296" t="str">
            <v xml:space="preserve">بسباس </v>
          </cell>
          <cell r="D296" t="str">
            <v xml:space="preserve"> ايمن عبد الرحمان</v>
          </cell>
          <cell r="E296">
            <v>39449</v>
          </cell>
          <cell r="F296" t="str">
            <v>سفيزف</v>
          </cell>
          <cell r="G296" t="str">
            <v>2ت ا ق1</v>
          </cell>
          <cell r="H296" t="str">
            <v>خارجي</v>
          </cell>
          <cell r="I296" t="str">
            <v>خ</v>
          </cell>
          <cell r="J296" t="str">
            <v>عيسى</v>
          </cell>
          <cell r="K296" t="str">
            <v>موظف</v>
          </cell>
          <cell r="L296" t="str">
            <v>61حي بوخنفوس مختار سفيزف</v>
          </cell>
          <cell r="M296">
            <v>0</v>
          </cell>
          <cell r="N296">
            <v>0</v>
          </cell>
          <cell r="O296" t="str">
            <v>بسباس   عيسى</v>
          </cell>
        </row>
        <row r="297">
          <cell r="A297">
            <v>288</v>
          </cell>
          <cell r="B297" t="str">
            <v>بلكبيش    إلياس عبد النور</v>
          </cell>
          <cell r="C297" t="str">
            <v xml:space="preserve">بلكبيش </v>
          </cell>
          <cell r="D297" t="str">
            <v xml:space="preserve"> إلياس عبد النور</v>
          </cell>
          <cell r="E297">
            <v>39163</v>
          </cell>
          <cell r="F297" t="str">
            <v>س بلعباس</v>
          </cell>
          <cell r="G297" t="str">
            <v>2ت ا ق1</v>
          </cell>
          <cell r="H297" t="str">
            <v>خارجي</v>
          </cell>
          <cell r="I297" t="str">
            <v>خ</v>
          </cell>
          <cell r="J297" t="str">
            <v>مهاجي</v>
          </cell>
          <cell r="K297" t="str">
            <v>أستاذ</v>
          </cell>
          <cell r="L297" t="str">
            <v>06حي بوخنفوس مختار سفيزف</v>
          </cell>
          <cell r="M297">
            <v>0</v>
          </cell>
          <cell r="N297">
            <v>0</v>
          </cell>
          <cell r="O297" t="str">
            <v>بلكبيش   مهاجي</v>
          </cell>
        </row>
        <row r="298">
          <cell r="A298">
            <v>289</v>
          </cell>
          <cell r="B298" t="str">
            <v>بن شيخ    عماد الدين</v>
          </cell>
          <cell r="C298" t="str">
            <v xml:space="preserve">بن شيخ </v>
          </cell>
          <cell r="D298" t="str">
            <v xml:space="preserve"> عماد الدين</v>
          </cell>
          <cell r="E298">
            <v>39308</v>
          </cell>
          <cell r="F298" t="str">
            <v>سفيزف</v>
          </cell>
          <cell r="G298" t="str">
            <v>2ت ا ق1</v>
          </cell>
          <cell r="H298" t="str">
            <v>خارجي</v>
          </cell>
          <cell r="I298" t="str">
            <v>خ</v>
          </cell>
          <cell r="J298" t="str">
            <v>قادة</v>
          </cell>
          <cell r="K298" t="str">
            <v>موظف</v>
          </cell>
          <cell r="L298" t="str">
            <v>حي نواري بن عبدالله سفيزف</v>
          </cell>
          <cell r="M298">
            <v>0</v>
          </cell>
          <cell r="N298">
            <v>0</v>
          </cell>
          <cell r="O298" t="str">
            <v>بن شيخ   قادة</v>
          </cell>
        </row>
        <row r="299">
          <cell r="A299">
            <v>290</v>
          </cell>
          <cell r="B299" t="str">
            <v>تجين     نور الإمان طامو</v>
          </cell>
          <cell r="C299" t="str">
            <v xml:space="preserve">تجين  </v>
          </cell>
          <cell r="D299" t="str">
            <v xml:space="preserve"> نور الإمان طامو</v>
          </cell>
          <cell r="E299">
            <v>39430</v>
          </cell>
          <cell r="F299" t="str">
            <v>سفيزف</v>
          </cell>
          <cell r="G299" t="str">
            <v>2ت ا ق1</v>
          </cell>
          <cell r="H299" t="str">
            <v>خارجية</v>
          </cell>
          <cell r="I299" t="str">
            <v>خ</v>
          </cell>
          <cell r="J299" t="str">
            <v>ميلود</v>
          </cell>
          <cell r="K299" t="str">
            <v>متقاعد</v>
          </cell>
          <cell r="L299" t="str">
            <v>48حي طيبي عبدلبقادر سفيزف</v>
          </cell>
          <cell r="M299">
            <v>0</v>
          </cell>
          <cell r="N299">
            <v>0</v>
          </cell>
          <cell r="O299" t="str">
            <v>تجين    ميلود</v>
          </cell>
        </row>
        <row r="300">
          <cell r="A300">
            <v>291</v>
          </cell>
          <cell r="B300" t="str">
            <v>حديم    أيوب عبد الرحمان</v>
          </cell>
          <cell r="C300" t="str">
            <v xml:space="preserve">حديم </v>
          </cell>
          <cell r="D300" t="str">
            <v xml:space="preserve"> أيوب عبد الرحمان</v>
          </cell>
          <cell r="E300">
            <v>39382</v>
          </cell>
          <cell r="F300" t="str">
            <v>س بلعباس</v>
          </cell>
          <cell r="G300" t="str">
            <v>2ت ا ق1</v>
          </cell>
          <cell r="H300" t="str">
            <v>خارجي</v>
          </cell>
          <cell r="I300" t="str">
            <v>خ</v>
          </cell>
          <cell r="J300" t="str">
            <v>نورالدين</v>
          </cell>
          <cell r="K300" t="str">
            <v>سائق</v>
          </cell>
          <cell r="L300" t="str">
            <v>08حي27سكن سفيزف</v>
          </cell>
          <cell r="M300">
            <v>0</v>
          </cell>
          <cell r="N300">
            <v>0</v>
          </cell>
          <cell r="O300" t="str">
            <v>حديم   نورالدين</v>
          </cell>
        </row>
        <row r="301">
          <cell r="A301">
            <v>292</v>
          </cell>
          <cell r="B301" t="str">
            <v>خلوفي    إدريس أسامة</v>
          </cell>
          <cell r="C301" t="str">
            <v xml:space="preserve">خلوفي </v>
          </cell>
          <cell r="D301" t="str">
            <v xml:space="preserve"> إدريس أسامة</v>
          </cell>
          <cell r="E301">
            <v>39426</v>
          </cell>
          <cell r="F301" t="str">
            <v>غليزان</v>
          </cell>
          <cell r="G301" t="str">
            <v>2ت ا ق1</v>
          </cell>
          <cell r="H301" t="str">
            <v>خارجي</v>
          </cell>
          <cell r="I301" t="str">
            <v>خ</v>
          </cell>
          <cell r="J301" t="str">
            <v>بخدة</v>
          </cell>
          <cell r="K301" t="str">
            <v>متقاعد</v>
          </cell>
          <cell r="L301" t="str">
            <v>06حي بوخنفوس مختار سفيزف</v>
          </cell>
          <cell r="M301">
            <v>0</v>
          </cell>
          <cell r="N301">
            <v>0</v>
          </cell>
          <cell r="O301" t="str">
            <v>خلوفي   بخدة</v>
          </cell>
        </row>
        <row r="302">
          <cell r="A302">
            <v>293</v>
          </cell>
          <cell r="B302" t="str">
            <v>ريغي     ندى الريحان</v>
          </cell>
          <cell r="C302" t="str">
            <v xml:space="preserve">ريغي  </v>
          </cell>
          <cell r="D302" t="str">
            <v xml:space="preserve"> ندى الريحان</v>
          </cell>
          <cell r="E302">
            <v>38871</v>
          </cell>
          <cell r="F302" t="str">
            <v>سفيزف</v>
          </cell>
          <cell r="G302" t="str">
            <v>2ت ا ق1</v>
          </cell>
          <cell r="H302" t="str">
            <v>خارجية</v>
          </cell>
          <cell r="I302" t="str">
            <v>خ</v>
          </cell>
          <cell r="J302" t="str">
            <v>يحي</v>
          </cell>
          <cell r="K302" t="str">
            <v>متفاعد</v>
          </cell>
          <cell r="L302" t="str">
            <v>34حي بوخنفوس مختار سفيزف</v>
          </cell>
          <cell r="M302">
            <v>0</v>
          </cell>
          <cell r="N302">
            <v>0</v>
          </cell>
          <cell r="O302" t="str">
            <v>ريغي    يحي</v>
          </cell>
        </row>
        <row r="303">
          <cell r="A303">
            <v>294</v>
          </cell>
          <cell r="B303" t="str">
            <v>زقاي  يحي</v>
          </cell>
          <cell r="C303" t="str">
            <v>زقاي</v>
          </cell>
          <cell r="D303" t="str">
            <v>يحي</v>
          </cell>
          <cell r="E303">
            <v>38509</v>
          </cell>
          <cell r="F303" t="str">
            <v>إليزي</v>
          </cell>
          <cell r="G303" t="str">
            <v>2ت ا ق1</v>
          </cell>
          <cell r="H303" t="str">
            <v>خارجي</v>
          </cell>
          <cell r="I303" t="str">
            <v>خ</v>
          </cell>
          <cell r="J303" t="str">
            <v>بوفاتح</v>
          </cell>
          <cell r="K303" t="str">
            <v>موظف</v>
          </cell>
          <cell r="L303" t="str">
            <v>07حي بوخنفوس مختار سفيزف</v>
          </cell>
          <cell r="M303">
            <v>0</v>
          </cell>
          <cell r="N303">
            <v>0</v>
          </cell>
          <cell r="O303" t="str">
            <v>زقاي  بوفاتح</v>
          </cell>
        </row>
        <row r="304">
          <cell r="A304">
            <v>295</v>
          </cell>
          <cell r="B304" t="str">
            <v>سلام    هناء الزهرة</v>
          </cell>
          <cell r="C304" t="str">
            <v xml:space="preserve">سلام </v>
          </cell>
          <cell r="D304" t="str">
            <v xml:space="preserve"> هناء الزهرة</v>
          </cell>
          <cell r="E304">
            <v>39207</v>
          </cell>
          <cell r="F304" t="str">
            <v>سفيزف</v>
          </cell>
          <cell r="G304" t="str">
            <v>2ت ا ق1</v>
          </cell>
          <cell r="H304" t="str">
            <v>خارجية</v>
          </cell>
          <cell r="I304" t="str">
            <v>خ</v>
          </cell>
          <cell r="J304" t="str">
            <v>قادة</v>
          </cell>
          <cell r="K304" t="str">
            <v>متقاعد</v>
          </cell>
          <cell r="L304" t="str">
            <v>56حي أوهيبة ميلود سفيزف</v>
          </cell>
          <cell r="M304">
            <v>0</v>
          </cell>
          <cell r="N304">
            <v>0</v>
          </cell>
          <cell r="O304" t="str">
            <v>سلام   قادة</v>
          </cell>
        </row>
        <row r="305">
          <cell r="A305">
            <v>296</v>
          </cell>
          <cell r="B305" t="str">
            <v>صابري    ايمان عباسية</v>
          </cell>
          <cell r="C305" t="str">
            <v xml:space="preserve">صابري </v>
          </cell>
          <cell r="D305" t="str">
            <v xml:space="preserve"> ايمان عباسية</v>
          </cell>
          <cell r="E305">
            <v>39268</v>
          </cell>
          <cell r="F305" t="str">
            <v>س بلعباس</v>
          </cell>
          <cell r="G305" t="str">
            <v>2ت ا ق1</v>
          </cell>
          <cell r="H305" t="str">
            <v>خارجية</v>
          </cell>
          <cell r="I305" t="str">
            <v>خ</v>
          </cell>
          <cell r="J305" t="str">
            <v>سيدأحمد</v>
          </cell>
          <cell r="K305" t="str">
            <v>متقاعد</v>
          </cell>
          <cell r="L305" t="str">
            <v>حي بوخنفوس مختار سفيزف</v>
          </cell>
          <cell r="M305">
            <v>0</v>
          </cell>
          <cell r="N305">
            <v>0</v>
          </cell>
          <cell r="O305" t="str">
            <v>صابري   سيدأحمد</v>
          </cell>
        </row>
        <row r="306">
          <cell r="A306">
            <v>297</v>
          </cell>
          <cell r="B306" t="str">
            <v>طيبي    عفاف</v>
          </cell>
          <cell r="C306" t="str">
            <v xml:space="preserve">طيبي </v>
          </cell>
          <cell r="D306" t="str">
            <v xml:space="preserve"> عفاف</v>
          </cell>
          <cell r="E306">
            <v>39218</v>
          </cell>
          <cell r="F306" t="str">
            <v>أدرار</v>
          </cell>
          <cell r="G306" t="str">
            <v>2ت ا ق1</v>
          </cell>
          <cell r="H306" t="str">
            <v>خارجية</v>
          </cell>
          <cell r="I306" t="str">
            <v>خ</v>
          </cell>
          <cell r="J306" t="str">
            <v>منور</v>
          </cell>
          <cell r="K306" t="str">
            <v>متقاعد</v>
          </cell>
          <cell r="L306" t="str">
            <v>193حي نواري بن عبدالله سفيزف</v>
          </cell>
          <cell r="M306">
            <v>0</v>
          </cell>
          <cell r="N306">
            <v>0</v>
          </cell>
          <cell r="O306" t="str">
            <v>طيبي   منور</v>
          </cell>
        </row>
        <row r="307">
          <cell r="A307">
            <v>298</v>
          </cell>
          <cell r="B307" t="str">
            <v>فليح    مروى</v>
          </cell>
          <cell r="C307" t="str">
            <v xml:space="preserve">فليح </v>
          </cell>
          <cell r="D307" t="str">
            <v xml:space="preserve"> مروى</v>
          </cell>
          <cell r="E307">
            <v>39602</v>
          </cell>
          <cell r="F307" t="str">
            <v>س بلعباس</v>
          </cell>
          <cell r="G307" t="str">
            <v>2ت ا ق1</v>
          </cell>
          <cell r="H307" t="str">
            <v>خارجية</v>
          </cell>
          <cell r="I307" t="str">
            <v>خ</v>
          </cell>
          <cell r="J307" t="str">
            <v>سيدأحمد</v>
          </cell>
          <cell r="K307" t="str">
            <v>سائق</v>
          </cell>
          <cell r="L307" t="str">
            <v>حي72سكن سفيزف</v>
          </cell>
          <cell r="M307">
            <v>0</v>
          </cell>
          <cell r="N307">
            <v>0</v>
          </cell>
          <cell r="O307" t="str">
            <v>فليح   سيدأحمد</v>
          </cell>
        </row>
        <row r="308">
          <cell r="A308">
            <v>299</v>
          </cell>
          <cell r="B308" t="str">
            <v>فوغالي    إيمان حليمة</v>
          </cell>
          <cell r="C308" t="str">
            <v xml:space="preserve">فوغالي </v>
          </cell>
          <cell r="D308" t="str">
            <v xml:space="preserve"> إيمان حليمة</v>
          </cell>
          <cell r="E308">
            <v>39181</v>
          </cell>
          <cell r="F308" t="str">
            <v>سفيزف</v>
          </cell>
          <cell r="G308" t="str">
            <v>2ت ا ق1</v>
          </cell>
          <cell r="H308" t="str">
            <v>خارجية</v>
          </cell>
          <cell r="I308" t="str">
            <v>خ</v>
          </cell>
          <cell r="J308" t="str">
            <v>محمد</v>
          </cell>
          <cell r="K308" t="str">
            <v>لا شئ</v>
          </cell>
          <cell r="L308" t="str">
            <v>38شارع هتراف أحمد سفيزف</v>
          </cell>
          <cell r="M308">
            <v>0</v>
          </cell>
          <cell r="N308">
            <v>0</v>
          </cell>
          <cell r="O308" t="str">
            <v>فوغالي   محمد</v>
          </cell>
        </row>
        <row r="309">
          <cell r="A309">
            <v>300</v>
          </cell>
          <cell r="B309" t="str">
            <v>قضات    يحيى عماد الدين</v>
          </cell>
          <cell r="C309" t="str">
            <v xml:space="preserve">قضات </v>
          </cell>
          <cell r="D309" t="str">
            <v xml:space="preserve"> يحيى عماد الدين</v>
          </cell>
          <cell r="E309">
            <v>39389</v>
          </cell>
          <cell r="F309" t="str">
            <v>سفيزف</v>
          </cell>
          <cell r="G309" t="str">
            <v>2ت ا ق1</v>
          </cell>
          <cell r="H309" t="str">
            <v>خارجي</v>
          </cell>
          <cell r="I309" t="str">
            <v>خ</v>
          </cell>
          <cell r="J309" t="str">
            <v>محمد</v>
          </cell>
          <cell r="K309" t="str">
            <v>متوفى</v>
          </cell>
          <cell r="L309" t="str">
            <v>05حي كشار صحراوي سفيزف</v>
          </cell>
          <cell r="M309">
            <v>0</v>
          </cell>
          <cell r="N309">
            <v>0</v>
          </cell>
          <cell r="O309" t="str">
            <v>قضات   محمد</v>
          </cell>
        </row>
        <row r="310">
          <cell r="A310">
            <v>301</v>
          </cell>
          <cell r="B310" t="str">
            <v>كريم    محمد عبد الهادي</v>
          </cell>
          <cell r="C310" t="str">
            <v xml:space="preserve">كريم </v>
          </cell>
          <cell r="D310" t="str">
            <v xml:space="preserve"> محمد عبد الهادي</v>
          </cell>
          <cell r="E310">
            <v>38962</v>
          </cell>
          <cell r="F310" t="str">
            <v>س بلعباس</v>
          </cell>
          <cell r="G310" t="str">
            <v>2ت ا ق1</v>
          </cell>
          <cell r="H310" t="str">
            <v>خارجي</v>
          </cell>
          <cell r="I310" t="str">
            <v>خ</v>
          </cell>
          <cell r="J310" t="str">
            <v>عبدالقادر</v>
          </cell>
          <cell r="K310" t="str">
            <v>متقاعد</v>
          </cell>
          <cell r="L310" t="str">
            <v>31حي24فبراير سفيزف</v>
          </cell>
          <cell r="M310">
            <v>0</v>
          </cell>
          <cell r="N310">
            <v>0</v>
          </cell>
          <cell r="O310" t="str">
            <v>كريم   عبدالقادر</v>
          </cell>
        </row>
        <row r="311">
          <cell r="A311">
            <v>302</v>
          </cell>
          <cell r="B311" t="str">
            <v>لحيرش  أحمد عبد الرحيم</v>
          </cell>
          <cell r="C311" t="str">
            <v>لحيرش</v>
          </cell>
          <cell r="D311" t="str">
            <v>أحمد عبد الرحيم</v>
          </cell>
          <cell r="E311">
            <v>38741</v>
          </cell>
          <cell r="F311" t="str">
            <v>س بلعباس</v>
          </cell>
          <cell r="G311" t="str">
            <v>2ت ا ق1</v>
          </cell>
          <cell r="H311" t="str">
            <v xml:space="preserve">خارجي </v>
          </cell>
          <cell r="I311" t="str">
            <v>خ</v>
          </cell>
          <cell r="J311" t="str">
            <v>بوطيبة</v>
          </cell>
          <cell r="K311" t="str">
            <v>ع أمن</v>
          </cell>
          <cell r="L311" t="str">
            <v>04حي الإخوة قادوس سفيزف</v>
          </cell>
          <cell r="M311">
            <v>0</v>
          </cell>
          <cell r="N311">
            <v>0</v>
          </cell>
          <cell r="O311" t="str">
            <v>لحيرش  بوطيبة</v>
          </cell>
        </row>
        <row r="312">
          <cell r="A312">
            <v>303</v>
          </cell>
          <cell r="B312" t="str">
            <v>مسعد    أحمد توفيق عبد المجيد</v>
          </cell>
          <cell r="C312" t="str">
            <v xml:space="preserve">مسعد </v>
          </cell>
          <cell r="D312" t="str">
            <v xml:space="preserve"> أحمد توفيق عبد المجيد</v>
          </cell>
          <cell r="E312">
            <v>39076</v>
          </cell>
          <cell r="F312" t="str">
            <v>سفيزف</v>
          </cell>
          <cell r="G312" t="str">
            <v>2ت ا ق1</v>
          </cell>
          <cell r="H312" t="str">
            <v>خارجي</v>
          </cell>
          <cell r="I312" t="str">
            <v>خ</v>
          </cell>
          <cell r="J312" t="str">
            <v>عبدالقادر</v>
          </cell>
          <cell r="K312" t="str">
            <v>شرطي</v>
          </cell>
          <cell r="L312" t="str">
            <v>10شارع بوخلخال الحبيب سفيزف</v>
          </cell>
          <cell r="M312">
            <v>0</v>
          </cell>
          <cell r="N312">
            <v>0</v>
          </cell>
          <cell r="O312" t="str">
            <v>مسعد   عبدالقادر</v>
          </cell>
        </row>
        <row r="313">
          <cell r="A313">
            <v>304</v>
          </cell>
          <cell r="B313" t="str">
            <v>مقدم    فتحي</v>
          </cell>
          <cell r="C313" t="str">
            <v xml:space="preserve">مقدم </v>
          </cell>
          <cell r="D313" t="str">
            <v xml:space="preserve"> فتحي</v>
          </cell>
          <cell r="E313">
            <v>39175</v>
          </cell>
          <cell r="F313" t="str">
            <v>سفيزف</v>
          </cell>
          <cell r="G313" t="str">
            <v>2ت ا ق1</v>
          </cell>
          <cell r="H313" t="str">
            <v>خارجي</v>
          </cell>
          <cell r="I313" t="str">
            <v>خ</v>
          </cell>
          <cell r="J313" t="str">
            <v>بلحول</v>
          </cell>
          <cell r="K313" t="str">
            <v>متقاعد</v>
          </cell>
          <cell r="L313" t="str">
            <v>حي بوخنفوس مختار سفيزف</v>
          </cell>
          <cell r="M313">
            <v>0</v>
          </cell>
          <cell r="N313">
            <v>0</v>
          </cell>
          <cell r="O313" t="str">
            <v>مقدم   بلحول</v>
          </cell>
        </row>
        <row r="314">
          <cell r="A314">
            <v>305</v>
          </cell>
          <cell r="B314" t="str">
            <v>هازل    محمد حمزة</v>
          </cell>
          <cell r="C314" t="str">
            <v xml:space="preserve">هازل </v>
          </cell>
          <cell r="D314" t="str">
            <v xml:space="preserve"> محمد حمزة</v>
          </cell>
          <cell r="E314">
            <v>39305</v>
          </cell>
          <cell r="F314" t="str">
            <v>سفيزف</v>
          </cell>
          <cell r="G314" t="str">
            <v>2ت ا ق1</v>
          </cell>
          <cell r="H314" t="str">
            <v>خارجي</v>
          </cell>
          <cell r="I314" t="str">
            <v>خ</v>
          </cell>
          <cell r="J314" t="str">
            <v>مقام خيرة</v>
          </cell>
          <cell r="K314" t="str">
            <v>مخبرية</v>
          </cell>
          <cell r="L314" t="str">
            <v>شارع أوهيبة عبدالقادر سفيزف</v>
          </cell>
          <cell r="M314">
            <v>0</v>
          </cell>
          <cell r="N314">
            <v>0</v>
          </cell>
          <cell r="O314" t="str">
            <v>هازل   مقام خيرة</v>
          </cell>
        </row>
        <row r="315">
          <cell r="A315">
            <v>306</v>
          </cell>
          <cell r="B315" t="str">
            <v>الكبير   شيماء</v>
          </cell>
          <cell r="C315" t="str">
            <v>الكبير</v>
          </cell>
          <cell r="D315" t="str">
            <v xml:space="preserve"> شيماء</v>
          </cell>
          <cell r="E315">
            <v>39338</v>
          </cell>
          <cell r="F315" t="str">
            <v>وهران</v>
          </cell>
          <cell r="G315" t="str">
            <v>2ت ا ق2</v>
          </cell>
          <cell r="H315" t="str">
            <v>ن/داخلية</v>
          </cell>
          <cell r="I315" t="str">
            <v>ن/د</v>
          </cell>
          <cell r="J315" t="str">
            <v>عبدالقادر</v>
          </cell>
          <cell r="K315" t="str">
            <v>متقاعد</v>
          </cell>
          <cell r="L315" t="str">
            <v>عين آدن</v>
          </cell>
          <cell r="M315">
            <v>0</v>
          </cell>
          <cell r="N315">
            <v>0</v>
          </cell>
          <cell r="O315" t="str">
            <v>الكبير  عبدالقادر</v>
          </cell>
        </row>
        <row r="316">
          <cell r="A316">
            <v>307</v>
          </cell>
          <cell r="B316" t="str">
            <v>بلوحي   إسماعيل</v>
          </cell>
          <cell r="C316" t="str">
            <v xml:space="preserve">بلوحي </v>
          </cell>
          <cell r="D316" t="str">
            <v>إسماعيل</v>
          </cell>
          <cell r="E316">
            <v>38710</v>
          </cell>
          <cell r="F316" t="str">
            <v>س بلعباس</v>
          </cell>
          <cell r="G316" t="str">
            <v>2ت ا ق2</v>
          </cell>
          <cell r="H316" t="str">
            <v>ن/داخلي</v>
          </cell>
          <cell r="I316" t="str">
            <v>ن/د</v>
          </cell>
          <cell r="J316" t="str">
            <v>حميدة</v>
          </cell>
          <cell r="K316" t="str">
            <v>موال</v>
          </cell>
          <cell r="L316" t="str">
            <v>عين آدن</v>
          </cell>
          <cell r="M316">
            <v>0</v>
          </cell>
          <cell r="N316">
            <v>0</v>
          </cell>
          <cell r="O316" t="str">
            <v>بلوحي   حميدة</v>
          </cell>
        </row>
        <row r="317">
          <cell r="A317">
            <v>308</v>
          </cell>
          <cell r="B317" t="str">
            <v>جافي    صارة</v>
          </cell>
          <cell r="C317" t="str">
            <v xml:space="preserve">جافي </v>
          </cell>
          <cell r="D317" t="str">
            <v xml:space="preserve"> صارة</v>
          </cell>
          <cell r="E317">
            <v>39526</v>
          </cell>
          <cell r="F317" t="str">
            <v>سفيزف</v>
          </cell>
          <cell r="G317" t="str">
            <v>2ت ا ق2</v>
          </cell>
          <cell r="H317" t="str">
            <v>ن/داخلية</v>
          </cell>
          <cell r="I317" t="str">
            <v>ن/د</v>
          </cell>
          <cell r="J317" t="str">
            <v>محمد</v>
          </cell>
          <cell r="K317" t="str">
            <v>متقاعد</v>
          </cell>
          <cell r="L317" t="str">
            <v>قرية بلبوش</v>
          </cell>
          <cell r="M317">
            <v>0</v>
          </cell>
          <cell r="N317">
            <v>0</v>
          </cell>
          <cell r="O317" t="str">
            <v>جافي   محمد</v>
          </cell>
        </row>
        <row r="318">
          <cell r="A318">
            <v>309</v>
          </cell>
          <cell r="B318" t="str">
            <v>حملات    ابراهيم</v>
          </cell>
          <cell r="C318" t="str">
            <v xml:space="preserve">حملات </v>
          </cell>
          <cell r="D318" t="str">
            <v xml:space="preserve"> ابراهيم</v>
          </cell>
          <cell r="E318">
            <v>38830</v>
          </cell>
          <cell r="F318" t="str">
            <v>سفيزف</v>
          </cell>
          <cell r="G318" t="str">
            <v>2ت ا ق2</v>
          </cell>
          <cell r="H318" t="str">
            <v>ن/داخلي</v>
          </cell>
          <cell r="I318" t="str">
            <v>ن/د</v>
          </cell>
          <cell r="J318" t="str">
            <v>عبدالقادر</v>
          </cell>
          <cell r="K318" t="str">
            <v>فلاح</v>
          </cell>
          <cell r="L318" t="str">
            <v>قرية بلبوش</v>
          </cell>
          <cell r="M318">
            <v>0</v>
          </cell>
          <cell r="N318">
            <v>0</v>
          </cell>
          <cell r="O318" t="str">
            <v>حملات   عبدالقادر</v>
          </cell>
        </row>
        <row r="319">
          <cell r="A319">
            <v>310</v>
          </cell>
          <cell r="B319" t="str">
            <v>دباب    مريم</v>
          </cell>
          <cell r="C319" t="str">
            <v xml:space="preserve">دباب </v>
          </cell>
          <cell r="D319" t="str">
            <v xml:space="preserve"> مريم</v>
          </cell>
          <cell r="E319">
            <v>39467</v>
          </cell>
          <cell r="F319" t="str">
            <v>سفيزف</v>
          </cell>
          <cell r="G319" t="str">
            <v>2ت ا ق2</v>
          </cell>
          <cell r="H319" t="str">
            <v>ن/داخلية</v>
          </cell>
          <cell r="I319" t="str">
            <v>ن/د</v>
          </cell>
          <cell r="J319" t="str">
            <v>أحمد</v>
          </cell>
          <cell r="K319" t="str">
            <v>لا شئ</v>
          </cell>
          <cell r="L319" t="str">
            <v>عين آدن</v>
          </cell>
          <cell r="M319">
            <v>0</v>
          </cell>
          <cell r="N319">
            <v>0</v>
          </cell>
          <cell r="O319" t="str">
            <v>دباب   أحمد</v>
          </cell>
        </row>
        <row r="320">
          <cell r="A320">
            <v>311</v>
          </cell>
          <cell r="B320" t="str">
            <v>رحواج   فطيمةالزهراء</v>
          </cell>
          <cell r="C320" t="str">
            <v xml:space="preserve">رحواج </v>
          </cell>
          <cell r="D320" t="str">
            <v>فطيمةالزهراء</v>
          </cell>
          <cell r="E320">
            <v>39029</v>
          </cell>
          <cell r="F320" t="str">
            <v>سفيزف</v>
          </cell>
          <cell r="G320" t="str">
            <v>2ت ا ق2</v>
          </cell>
          <cell r="H320" t="str">
            <v>ن/داخلية</v>
          </cell>
          <cell r="I320" t="str">
            <v>ن/د</v>
          </cell>
          <cell r="J320" t="str">
            <v>مهاجي</v>
          </cell>
          <cell r="K320" t="str">
            <v>موظف</v>
          </cell>
          <cell r="L320" t="str">
            <v>16حي أوهيبة عبدالقادر سفيزف</v>
          </cell>
          <cell r="M320">
            <v>0</v>
          </cell>
          <cell r="N320">
            <v>0</v>
          </cell>
          <cell r="O320" t="str">
            <v>رحواج   مهاجي</v>
          </cell>
        </row>
        <row r="321">
          <cell r="A321">
            <v>312</v>
          </cell>
          <cell r="B321" t="str">
            <v>العسري    علاء زين الدين</v>
          </cell>
          <cell r="C321" t="str">
            <v xml:space="preserve">العسري </v>
          </cell>
          <cell r="D321" t="str">
            <v xml:space="preserve"> علاء زين الدين</v>
          </cell>
          <cell r="E321">
            <v>38349</v>
          </cell>
          <cell r="F321" t="str">
            <v>سفيزف</v>
          </cell>
          <cell r="G321" t="str">
            <v>2ت ا ق2</v>
          </cell>
          <cell r="H321" t="str">
            <v>خارجي</v>
          </cell>
          <cell r="I321" t="str">
            <v>خ</v>
          </cell>
          <cell r="J321" t="str">
            <v>أحمد</v>
          </cell>
          <cell r="K321" t="str">
            <v>تاجر</v>
          </cell>
          <cell r="L321" t="str">
            <v>شارع مدوني عبدالقادر سفيزف</v>
          </cell>
          <cell r="M321">
            <v>0</v>
          </cell>
          <cell r="N321">
            <v>0</v>
          </cell>
          <cell r="O321" t="str">
            <v>العسري   أحمد</v>
          </cell>
        </row>
        <row r="322">
          <cell r="A322">
            <v>313</v>
          </cell>
          <cell r="B322" t="str">
            <v>أوهيبة    عائشة</v>
          </cell>
          <cell r="C322" t="str">
            <v xml:space="preserve">أوهيبة </v>
          </cell>
          <cell r="D322" t="str">
            <v xml:space="preserve"> عائشة</v>
          </cell>
          <cell r="E322">
            <v>39396</v>
          </cell>
          <cell r="F322" t="str">
            <v>سفيزف</v>
          </cell>
          <cell r="G322" t="str">
            <v>2ت ا ق2</v>
          </cell>
          <cell r="H322" t="str">
            <v>خارجية</v>
          </cell>
          <cell r="I322" t="str">
            <v>خ</v>
          </cell>
          <cell r="J322" t="str">
            <v>الحبيب</v>
          </cell>
          <cell r="K322" t="str">
            <v>ميكانيكي</v>
          </cell>
          <cell r="L322" t="str">
            <v>21شارع خثير عبدالقادر سفيزف</v>
          </cell>
          <cell r="M322">
            <v>0</v>
          </cell>
          <cell r="N322">
            <v>0</v>
          </cell>
          <cell r="O322" t="str">
            <v>أوهيبة   الحبيب</v>
          </cell>
        </row>
        <row r="323">
          <cell r="A323">
            <v>314</v>
          </cell>
          <cell r="B323" t="str">
            <v>بدرابني    كنزة</v>
          </cell>
          <cell r="C323" t="str">
            <v xml:space="preserve">بدرابني </v>
          </cell>
          <cell r="D323" t="str">
            <v xml:space="preserve"> كنزة</v>
          </cell>
          <cell r="E323">
            <v>39019</v>
          </cell>
          <cell r="F323" t="str">
            <v>سفيزف</v>
          </cell>
          <cell r="G323" t="str">
            <v>2ت ا ق2</v>
          </cell>
          <cell r="H323" t="str">
            <v>خارجية</v>
          </cell>
          <cell r="I323" t="str">
            <v>خ</v>
          </cell>
          <cell r="J323" t="str">
            <v>يحي</v>
          </cell>
          <cell r="K323" t="str">
            <v>متقاعد</v>
          </cell>
          <cell r="L323" t="str">
            <v>حي بوخنفوس مختار سفيزف</v>
          </cell>
          <cell r="M323">
            <v>0</v>
          </cell>
          <cell r="N323">
            <v>0</v>
          </cell>
          <cell r="O323" t="str">
            <v>بدرابني   يحي</v>
          </cell>
        </row>
        <row r="324">
          <cell r="A324">
            <v>315</v>
          </cell>
          <cell r="B324" t="str">
            <v>بركاني  فاطمة الزهراء</v>
          </cell>
          <cell r="C324" t="str">
            <v>بركاني</v>
          </cell>
          <cell r="D324" t="str">
            <v>فاطمة الزهراء</v>
          </cell>
          <cell r="E324">
            <v>38509</v>
          </cell>
          <cell r="F324" t="str">
            <v>بئر الجير</v>
          </cell>
          <cell r="G324" t="str">
            <v>2ت ا ق2</v>
          </cell>
          <cell r="H324" t="str">
            <v>خارجية</v>
          </cell>
          <cell r="I324" t="str">
            <v>خ</v>
          </cell>
          <cell r="J324" t="str">
            <v>الحبيب</v>
          </cell>
          <cell r="K324" t="str">
            <v>متقاعد</v>
          </cell>
          <cell r="L324" t="str">
            <v>حي بوخنفوس مختار سفيزف</v>
          </cell>
          <cell r="M324">
            <v>0</v>
          </cell>
          <cell r="N324">
            <v>0</v>
          </cell>
          <cell r="O324" t="str">
            <v>بركاني  الحبيب</v>
          </cell>
        </row>
        <row r="325">
          <cell r="A325">
            <v>316</v>
          </cell>
          <cell r="B325" t="str">
            <v>برواين    الحبيب</v>
          </cell>
          <cell r="C325" t="str">
            <v xml:space="preserve">برواين </v>
          </cell>
          <cell r="D325" t="str">
            <v xml:space="preserve"> الحبيب</v>
          </cell>
          <cell r="E325">
            <v>39303</v>
          </cell>
          <cell r="F325" t="str">
            <v>سفيزف</v>
          </cell>
          <cell r="G325" t="str">
            <v>2ت ا ق2</v>
          </cell>
          <cell r="H325" t="str">
            <v>خارجي</v>
          </cell>
          <cell r="I325" t="str">
            <v>خ</v>
          </cell>
          <cell r="J325" t="str">
            <v>بوعلام</v>
          </cell>
          <cell r="K325" t="str">
            <v>متقاعد</v>
          </cell>
          <cell r="L325" t="str">
            <v>حي214سكن سفيزف</v>
          </cell>
          <cell r="M325">
            <v>0</v>
          </cell>
          <cell r="N325">
            <v>0</v>
          </cell>
          <cell r="O325" t="str">
            <v>برواين   بوعلام</v>
          </cell>
        </row>
        <row r="326">
          <cell r="A326">
            <v>317</v>
          </cell>
          <cell r="B326" t="str">
            <v>بطام    منال</v>
          </cell>
          <cell r="C326" t="str">
            <v xml:space="preserve">بطام </v>
          </cell>
          <cell r="D326" t="str">
            <v xml:space="preserve"> منال</v>
          </cell>
          <cell r="E326">
            <v>39480</v>
          </cell>
          <cell r="F326" t="str">
            <v>سفيزف</v>
          </cell>
          <cell r="G326" t="str">
            <v>2ت ا ق2</v>
          </cell>
          <cell r="H326" t="str">
            <v>خارجية</v>
          </cell>
          <cell r="I326" t="str">
            <v>خ</v>
          </cell>
          <cell r="J326" t="str">
            <v>عبدالقادر</v>
          </cell>
          <cell r="K326" t="str">
            <v>موظف</v>
          </cell>
          <cell r="L326" t="str">
            <v>حي شباني لحسن سفيزف</v>
          </cell>
          <cell r="M326">
            <v>0</v>
          </cell>
          <cell r="N326">
            <v>0</v>
          </cell>
          <cell r="O326" t="str">
            <v>بطام   عبدالقادر</v>
          </cell>
        </row>
        <row r="327">
          <cell r="A327">
            <v>318</v>
          </cell>
          <cell r="B327" t="str">
            <v>بلعالم    سمية</v>
          </cell>
          <cell r="C327" t="str">
            <v xml:space="preserve">بلعالم </v>
          </cell>
          <cell r="D327" t="str">
            <v xml:space="preserve"> سمية</v>
          </cell>
          <cell r="E327">
            <v>39329</v>
          </cell>
          <cell r="F327" t="str">
            <v>سفيزف</v>
          </cell>
          <cell r="G327" t="str">
            <v>2ت ا ق2</v>
          </cell>
          <cell r="H327" t="str">
            <v>خارجية</v>
          </cell>
          <cell r="I327" t="str">
            <v>خ</v>
          </cell>
          <cell r="J327" t="str">
            <v>مختار</v>
          </cell>
          <cell r="K327" t="str">
            <v>لا شئ</v>
          </cell>
          <cell r="L327" t="str">
            <v>شارع عمرون أحمد سفيزف</v>
          </cell>
          <cell r="M327">
            <v>0</v>
          </cell>
          <cell r="N327">
            <v>0</v>
          </cell>
          <cell r="O327" t="str">
            <v>بلعالم   مختار</v>
          </cell>
        </row>
        <row r="328">
          <cell r="A328">
            <v>319</v>
          </cell>
          <cell r="B328" t="str">
            <v>بن سكران  إلياس</v>
          </cell>
          <cell r="C328" t="str">
            <v>بن سكران</v>
          </cell>
          <cell r="D328" t="str">
            <v>إلياس</v>
          </cell>
          <cell r="E328">
            <v>39012</v>
          </cell>
          <cell r="F328" t="str">
            <v>س بلعباس</v>
          </cell>
          <cell r="G328" t="str">
            <v>2ت ا ق2</v>
          </cell>
          <cell r="H328" t="str">
            <v>خارجي</v>
          </cell>
          <cell r="I328" t="str">
            <v>خ</v>
          </cell>
          <cell r="J328" t="str">
            <v>رشيد</v>
          </cell>
          <cell r="K328" t="str">
            <v>متقاعد</v>
          </cell>
          <cell r="L328" t="str">
            <v>30حي بوعسرية البشير سفيزف</v>
          </cell>
          <cell r="M328">
            <v>0</v>
          </cell>
          <cell r="N328">
            <v>0</v>
          </cell>
          <cell r="O328" t="str">
            <v>بن سكران  رشيد</v>
          </cell>
        </row>
        <row r="329">
          <cell r="A329">
            <v>320</v>
          </cell>
          <cell r="B329" t="str">
            <v>بودلال   فاتح</v>
          </cell>
          <cell r="C329" t="str">
            <v xml:space="preserve">بودلال </v>
          </cell>
          <cell r="D329" t="str">
            <v>فاتح</v>
          </cell>
          <cell r="E329">
            <v>39546</v>
          </cell>
          <cell r="F329" t="str">
            <v>سفيزف</v>
          </cell>
          <cell r="G329" t="str">
            <v>2ت ا ق2</v>
          </cell>
          <cell r="H329" t="str">
            <v>خارجي</v>
          </cell>
          <cell r="I329" t="str">
            <v>خ</v>
          </cell>
          <cell r="J329" t="str">
            <v>يحي</v>
          </cell>
          <cell r="K329" t="str">
            <v>متقاعد</v>
          </cell>
          <cell r="L329" t="str">
            <v>03حي72سكن سفيزف</v>
          </cell>
          <cell r="M329">
            <v>0</v>
          </cell>
          <cell r="N329">
            <v>0</v>
          </cell>
          <cell r="O329" t="str">
            <v>بودلال   يحي</v>
          </cell>
        </row>
        <row r="330">
          <cell r="A330">
            <v>321</v>
          </cell>
          <cell r="B330" t="str">
            <v>بوسهلة    محمد</v>
          </cell>
          <cell r="C330" t="str">
            <v xml:space="preserve">بوسهلة </v>
          </cell>
          <cell r="D330" t="str">
            <v xml:space="preserve"> محمد</v>
          </cell>
          <cell r="E330">
            <v>39216</v>
          </cell>
          <cell r="F330" t="str">
            <v>س بلعباس</v>
          </cell>
          <cell r="G330" t="str">
            <v>2ت ا ق2</v>
          </cell>
          <cell r="H330" t="str">
            <v>خارجي</v>
          </cell>
          <cell r="I330" t="str">
            <v>خ</v>
          </cell>
          <cell r="J330" t="str">
            <v>بلعباس</v>
          </cell>
          <cell r="K330" t="str">
            <v>عامل</v>
          </cell>
          <cell r="L330" t="str">
            <v>حي اللوز سفيزف</v>
          </cell>
          <cell r="M330">
            <v>0</v>
          </cell>
          <cell r="N330">
            <v>0</v>
          </cell>
          <cell r="O330" t="str">
            <v>بوسهلة   بلعباس</v>
          </cell>
        </row>
        <row r="331">
          <cell r="A331">
            <v>322</v>
          </cell>
          <cell r="B331" t="str">
            <v>حجاج    رانيا فاطمة الزهراء</v>
          </cell>
          <cell r="C331" t="str">
            <v xml:space="preserve">حجاج </v>
          </cell>
          <cell r="D331" t="str">
            <v xml:space="preserve"> رانيا فاطمة الزهراء</v>
          </cell>
          <cell r="E331">
            <v>39380</v>
          </cell>
          <cell r="F331" t="str">
            <v>سفيزف</v>
          </cell>
          <cell r="G331" t="str">
            <v>2ت ا ق2</v>
          </cell>
          <cell r="H331" t="str">
            <v>خارجية</v>
          </cell>
          <cell r="I331" t="str">
            <v>خ</v>
          </cell>
          <cell r="J331" t="str">
            <v>قدور</v>
          </cell>
          <cell r="K331" t="str">
            <v>ممرض</v>
          </cell>
          <cell r="L331" t="str">
            <v>37شارع عمرون أحمد سفيزف</v>
          </cell>
          <cell r="M331">
            <v>0</v>
          </cell>
          <cell r="N331">
            <v>0</v>
          </cell>
          <cell r="O331" t="str">
            <v>حجاج   قدور</v>
          </cell>
        </row>
        <row r="332">
          <cell r="A332">
            <v>323</v>
          </cell>
          <cell r="B332" t="str">
            <v>حمداد    محمد مروان</v>
          </cell>
          <cell r="C332" t="str">
            <v xml:space="preserve">حمداد </v>
          </cell>
          <cell r="D332" t="str">
            <v xml:space="preserve"> محمد مروان</v>
          </cell>
          <cell r="E332">
            <v>39405</v>
          </cell>
          <cell r="F332" t="str">
            <v>سفيزف</v>
          </cell>
          <cell r="G332" t="str">
            <v>2ت ا ق2</v>
          </cell>
          <cell r="H332" t="str">
            <v>خارجي</v>
          </cell>
          <cell r="I332" t="str">
            <v>خ</v>
          </cell>
          <cell r="J332" t="str">
            <v>بن عبدالله</v>
          </cell>
          <cell r="K332" t="str">
            <v>بناء</v>
          </cell>
          <cell r="L332" t="str">
            <v>14شارع قديح مهاجي سفيزف</v>
          </cell>
          <cell r="M332">
            <v>0</v>
          </cell>
          <cell r="N332">
            <v>0</v>
          </cell>
          <cell r="O332" t="str">
            <v>حمداد   بن عبدالله</v>
          </cell>
        </row>
        <row r="333">
          <cell r="A333">
            <v>324</v>
          </cell>
          <cell r="B333" t="str">
            <v>خلوفي    انس عبد الحفيظ</v>
          </cell>
          <cell r="C333" t="str">
            <v xml:space="preserve">خلوفي </v>
          </cell>
          <cell r="D333" t="str">
            <v xml:space="preserve"> انس عبد الحفيظ</v>
          </cell>
          <cell r="E333">
            <v>39149</v>
          </cell>
          <cell r="F333" t="str">
            <v>سفيزف</v>
          </cell>
          <cell r="G333" t="str">
            <v>2ت ا ق2</v>
          </cell>
          <cell r="H333" t="str">
            <v>خارجي</v>
          </cell>
          <cell r="I333" t="str">
            <v>خ</v>
          </cell>
          <cell r="J333" t="str">
            <v>أحمد</v>
          </cell>
          <cell r="K333" t="str">
            <v>ممرض</v>
          </cell>
          <cell r="L333" t="str">
            <v>حي506سكن سفيزف</v>
          </cell>
          <cell r="M333">
            <v>0</v>
          </cell>
          <cell r="N333">
            <v>0</v>
          </cell>
          <cell r="O333" t="str">
            <v>خلوفي   أحمد</v>
          </cell>
        </row>
        <row r="334">
          <cell r="A334">
            <v>325</v>
          </cell>
          <cell r="B334" t="str">
            <v>رمدوم  العربي محمد</v>
          </cell>
          <cell r="C334" t="str">
            <v>رمدوم</v>
          </cell>
          <cell r="D334" t="str">
            <v>العربي محمد</v>
          </cell>
          <cell r="E334">
            <v>39230</v>
          </cell>
          <cell r="F334" t="str">
            <v>س بلعباس</v>
          </cell>
          <cell r="G334" t="str">
            <v>2ت ا ق2</v>
          </cell>
          <cell r="H334" t="str">
            <v>خارجي</v>
          </cell>
          <cell r="I334" t="str">
            <v>خ</v>
          </cell>
          <cell r="J334" t="str">
            <v>بوعلام</v>
          </cell>
          <cell r="K334" t="str">
            <v>بناء</v>
          </cell>
          <cell r="L334" t="str">
            <v>شارع حداد قادة سفيزف</v>
          </cell>
          <cell r="M334">
            <v>0</v>
          </cell>
          <cell r="N334">
            <v>0</v>
          </cell>
          <cell r="O334" t="str">
            <v>رمدوم  بوعلام</v>
          </cell>
        </row>
        <row r="335">
          <cell r="A335">
            <v>326</v>
          </cell>
          <cell r="B335" t="str">
            <v>طيبي   آية</v>
          </cell>
          <cell r="C335" t="str">
            <v xml:space="preserve">طيبي </v>
          </cell>
          <cell r="D335" t="str">
            <v>آية</v>
          </cell>
          <cell r="E335">
            <v>39104</v>
          </cell>
          <cell r="F335" t="str">
            <v>سفيزف</v>
          </cell>
          <cell r="G335" t="str">
            <v>2ت ا ق2</v>
          </cell>
          <cell r="H335" t="str">
            <v>خارجية</v>
          </cell>
          <cell r="I335" t="str">
            <v>خ</v>
          </cell>
          <cell r="J335" t="str">
            <v>مختار</v>
          </cell>
          <cell r="K335" t="str">
            <v>موظف</v>
          </cell>
          <cell r="L335" t="str">
            <v>حي100 سكن سفيزف</v>
          </cell>
          <cell r="M335">
            <v>0</v>
          </cell>
          <cell r="N335">
            <v>0</v>
          </cell>
          <cell r="O335" t="str">
            <v>طيبي   مختار</v>
          </cell>
        </row>
        <row r="336">
          <cell r="A336">
            <v>327</v>
          </cell>
          <cell r="B336" t="str">
            <v>عدة    إسراء</v>
          </cell>
          <cell r="C336" t="str">
            <v xml:space="preserve">عدة </v>
          </cell>
          <cell r="D336" t="str">
            <v xml:space="preserve"> إسراء</v>
          </cell>
          <cell r="E336">
            <v>39424</v>
          </cell>
          <cell r="F336" t="str">
            <v>سفيزف</v>
          </cell>
          <cell r="G336" t="str">
            <v>2ت ا ق2</v>
          </cell>
          <cell r="H336" t="str">
            <v>خارجية</v>
          </cell>
          <cell r="I336" t="str">
            <v>خ</v>
          </cell>
          <cell r="J336" t="str">
            <v>مصطفى</v>
          </cell>
          <cell r="K336" t="str">
            <v>موظف</v>
          </cell>
          <cell r="L336" t="str">
            <v>حي24فبراير سفيزف</v>
          </cell>
          <cell r="M336">
            <v>0</v>
          </cell>
          <cell r="N336">
            <v>0</v>
          </cell>
          <cell r="O336" t="str">
            <v>عدة   مصطفى</v>
          </cell>
        </row>
        <row r="337">
          <cell r="A337">
            <v>328</v>
          </cell>
          <cell r="B337" t="str">
            <v>عربوش    محمد الحبيب</v>
          </cell>
          <cell r="C337" t="str">
            <v xml:space="preserve">عربوش </v>
          </cell>
          <cell r="D337" t="str">
            <v xml:space="preserve"> محمد الحبيب</v>
          </cell>
          <cell r="E337">
            <v>39251</v>
          </cell>
          <cell r="F337" t="str">
            <v>سفيزف</v>
          </cell>
          <cell r="G337" t="str">
            <v>2ت ا ق2</v>
          </cell>
          <cell r="H337" t="str">
            <v>خارجي</v>
          </cell>
          <cell r="I337" t="str">
            <v>خ</v>
          </cell>
          <cell r="J337" t="str">
            <v>عبدالقادر</v>
          </cell>
          <cell r="K337" t="str">
            <v>سائق</v>
          </cell>
          <cell r="L337" t="str">
            <v>31شارع إيختار بن علي سفيزف</v>
          </cell>
          <cell r="M337">
            <v>0</v>
          </cell>
          <cell r="N337">
            <v>0</v>
          </cell>
          <cell r="O337" t="str">
            <v>عربوش   عبدالقادر</v>
          </cell>
        </row>
        <row r="338">
          <cell r="A338">
            <v>329</v>
          </cell>
          <cell r="B338" t="str">
            <v>عشي    أسماء</v>
          </cell>
          <cell r="C338" t="str">
            <v xml:space="preserve">عشي </v>
          </cell>
          <cell r="D338" t="str">
            <v xml:space="preserve"> أسماء</v>
          </cell>
          <cell r="E338">
            <v>39375</v>
          </cell>
          <cell r="F338" t="str">
            <v>سفيزف</v>
          </cell>
          <cell r="G338" t="str">
            <v>2ت ا ق2</v>
          </cell>
          <cell r="H338" t="str">
            <v>خارجية</v>
          </cell>
          <cell r="I338" t="str">
            <v>خ</v>
          </cell>
          <cell r="J338" t="str">
            <v>سحنون</v>
          </cell>
          <cell r="K338" t="str">
            <v>حارس</v>
          </cell>
          <cell r="L338" t="str">
            <v>301حي نواري بن عبدالله سفيزف</v>
          </cell>
          <cell r="M338">
            <v>0</v>
          </cell>
          <cell r="N338">
            <v>0</v>
          </cell>
          <cell r="O338" t="str">
            <v>عشي   سحنون</v>
          </cell>
        </row>
        <row r="339">
          <cell r="A339">
            <v>330</v>
          </cell>
          <cell r="B339" t="str">
            <v>عويمر    عبد الكريم</v>
          </cell>
          <cell r="C339" t="str">
            <v xml:space="preserve">عويمر </v>
          </cell>
          <cell r="D339" t="str">
            <v xml:space="preserve"> عبد الكريم</v>
          </cell>
          <cell r="E339">
            <v>39205</v>
          </cell>
          <cell r="F339" t="str">
            <v>سفيزف</v>
          </cell>
          <cell r="G339" t="str">
            <v>2ت ا ق2</v>
          </cell>
          <cell r="H339" t="str">
            <v>خارجي</v>
          </cell>
          <cell r="I339" t="str">
            <v>خ</v>
          </cell>
          <cell r="J339" t="str">
            <v>عبدالقادر</v>
          </cell>
          <cell r="K339" t="str">
            <v>متقاعد</v>
          </cell>
          <cell r="L339" t="str">
            <v>حي24فبراير سفيزف</v>
          </cell>
          <cell r="M339">
            <v>0</v>
          </cell>
          <cell r="N339">
            <v>0</v>
          </cell>
          <cell r="O339" t="str">
            <v>عويمر   عبدالقادر</v>
          </cell>
        </row>
        <row r="340">
          <cell r="A340">
            <v>331</v>
          </cell>
          <cell r="B340" t="str">
            <v>فليو    منال</v>
          </cell>
          <cell r="C340" t="str">
            <v xml:space="preserve">فليو </v>
          </cell>
          <cell r="D340" t="str">
            <v xml:space="preserve"> منال</v>
          </cell>
          <cell r="E340">
            <v>39371</v>
          </cell>
          <cell r="F340" t="str">
            <v>س بلعباس</v>
          </cell>
          <cell r="G340" t="str">
            <v>2ت ا ق2</v>
          </cell>
          <cell r="H340" t="str">
            <v>خارجية</v>
          </cell>
          <cell r="I340" t="str">
            <v>خ</v>
          </cell>
          <cell r="J340" t="str">
            <v>قدور</v>
          </cell>
          <cell r="K340" t="str">
            <v>تاجر</v>
          </cell>
          <cell r="L340" t="str">
            <v>07شارع قديح مهاجي سفيزف</v>
          </cell>
          <cell r="M340">
            <v>0</v>
          </cell>
          <cell r="N340">
            <v>0</v>
          </cell>
          <cell r="O340" t="str">
            <v>فليو   قدور</v>
          </cell>
        </row>
        <row r="341">
          <cell r="A341">
            <v>332</v>
          </cell>
          <cell r="B341" t="str">
            <v>نواري    ياسر عبد الله</v>
          </cell>
          <cell r="C341" t="str">
            <v xml:space="preserve">نواري </v>
          </cell>
          <cell r="D341" t="str">
            <v xml:space="preserve"> ياسر عبد الله</v>
          </cell>
          <cell r="E341">
            <v>39256</v>
          </cell>
          <cell r="F341" t="str">
            <v>وهران</v>
          </cell>
          <cell r="G341" t="str">
            <v>2ت ا ق2</v>
          </cell>
          <cell r="H341" t="str">
            <v>خارجي</v>
          </cell>
          <cell r="I341" t="str">
            <v>خ</v>
          </cell>
          <cell r="J341" t="str">
            <v>محمد</v>
          </cell>
          <cell r="K341" t="str">
            <v>تاجر</v>
          </cell>
          <cell r="L341" t="str">
            <v>06شارع مشرف عدة سفيزف</v>
          </cell>
          <cell r="M341">
            <v>0</v>
          </cell>
          <cell r="N341">
            <v>0</v>
          </cell>
          <cell r="O341" t="str">
            <v>نواري   محمد</v>
          </cell>
        </row>
        <row r="342">
          <cell r="A342">
            <v>333</v>
          </cell>
          <cell r="B342" t="str">
            <v>هدار    محمد عبد المجيد</v>
          </cell>
          <cell r="C342" t="str">
            <v xml:space="preserve">هدار </v>
          </cell>
          <cell r="D342" t="str">
            <v xml:space="preserve"> محمد عبد المجيد</v>
          </cell>
          <cell r="E342">
            <v>39391</v>
          </cell>
          <cell r="F342" t="str">
            <v>س بلعباس</v>
          </cell>
          <cell r="G342" t="str">
            <v>2ت ا ق2</v>
          </cell>
          <cell r="H342" t="str">
            <v>خارجي</v>
          </cell>
          <cell r="I342" t="str">
            <v>خ</v>
          </cell>
          <cell r="J342" t="str">
            <v>بغداد</v>
          </cell>
          <cell r="K342" t="str">
            <v>متقاعد</v>
          </cell>
          <cell r="L342" t="str">
            <v>حي بوعسرية البشير سفيزف</v>
          </cell>
          <cell r="M342">
            <v>0</v>
          </cell>
          <cell r="N342">
            <v>0</v>
          </cell>
          <cell r="O342" t="str">
            <v>هدار   بغداد</v>
          </cell>
        </row>
        <row r="343">
          <cell r="A343">
            <v>334</v>
          </cell>
          <cell r="B343" t="str">
            <v>البحري    فاطمة الزهراء</v>
          </cell>
          <cell r="C343" t="str">
            <v xml:space="preserve">البحري </v>
          </cell>
          <cell r="D343" t="str">
            <v xml:space="preserve"> فاطمة الزهراء</v>
          </cell>
          <cell r="E343">
            <v>39275</v>
          </cell>
          <cell r="F343" t="str">
            <v>س بلعباس</v>
          </cell>
          <cell r="G343" t="str">
            <v>2ع ت1</v>
          </cell>
          <cell r="H343" t="str">
            <v>ن/داخلية</v>
          </cell>
          <cell r="I343" t="str">
            <v>ن/د</v>
          </cell>
          <cell r="J343" t="str">
            <v>جيلالي</v>
          </cell>
          <cell r="K343" t="str">
            <v>لا شئ</v>
          </cell>
          <cell r="L343" t="str">
            <v>مقطع دار السبع عين آدن</v>
          </cell>
          <cell r="M343">
            <v>0</v>
          </cell>
          <cell r="N343">
            <v>0</v>
          </cell>
          <cell r="O343" t="str">
            <v>البحري   جيلالي</v>
          </cell>
        </row>
        <row r="344">
          <cell r="A344">
            <v>335</v>
          </cell>
          <cell r="B344" t="str">
            <v>بوشتة    نادية فاطمة الزهراء</v>
          </cell>
          <cell r="C344" t="str">
            <v xml:space="preserve">بوشتة </v>
          </cell>
          <cell r="D344" t="str">
            <v xml:space="preserve"> نادية فاطمة الزهراء</v>
          </cell>
          <cell r="E344">
            <v>39480</v>
          </cell>
          <cell r="F344" t="str">
            <v>سفيزف</v>
          </cell>
          <cell r="G344" t="str">
            <v>2ع ت1</v>
          </cell>
          <cell r="H344" t="str">
            <v>ن/داخلية</v>
          </cell>
          <cell r="I344" t="str">
            <v>ن/د</v>
          </cell>
          <cell r="J344" t="str">
            <v>محمد</v>
          </cell>
          <cell r="K344" t="str">
            <v>موظف</v>
          </cell>
          <cell r="L344" t="str">
            <v>قرية بلبوش</v>
          </cell>
          <cell r="M344">
            <v>0</v>
          </cell>
          <cell r="N344">
            <v>0</v>
          </cell>
          <cell r="O344" t="str">
            <v>بوشتة   محمد</v>
          </cell>
        </row>
        <row r="345">
          <cell r="A345">
            <v>336</v>
          </cell>
          <cell r="B345" t="str">
            <v>دباب    سارة حنين</v>
          </cell>
          <cell r="C345" t="str">
            <v xml:space="preserve">دباب </v>
          </cell>
          <cell r="D345" t="str">
            <v xml:space="preserve"> سارة حنين</v>
          </cell>
          <cell r="E345">
            <v>39344</v>
          </cell>
          <cell r="F345" t="str">
            <v>س بلعباس</v>
          </cell>
          <cell r="G345" t="str">
            <v>2ع ت1</v>
          </cell>
          <cell r="H345" t="str">
            <v>ن/داخلية</v>
          </cell>
          <cell r="I345" t="str">
            <v>ن/د</v>
          </cell>
          <cell r="J345" t="str">
            <v>مختار</v>
          </cell>
          <cell r="K345" t="str">
            <v>لا شئ</v>
          </cell>
          <cell r="L345" t="str">
            <v>عين آدن</v>
          </cell>
          <cell r="M345">
            <v>0</v>
          </cell>
          <cell r="N345">
            <v>0</v>
          </cell>
          <cell r="O345" t="str">
            <v>دباب   مختار</v>
          </cell>
        </row>
        <row r="346">
          <cell r="A346">
            <v>337</v>
          </cell>
          <cell r="B346" t="str">
            <v>سعدوني    مختارية</v>
          </cell>
          <cell r="C346" t="str">
            <v xml:space="preserve">سعدوني </v>
          </cell>
          <cell r="D346" t="str">
            <v xml:space="preserve"> مختارية</v>
          </cell>
          <cell r="E346">
            <v>39529</v>
          </cell>
          <cell r="F346" t="str">
            <v>سفيزف</v>
          </cell>
          <cell r="G346" t="str">
            <v>2ع ت1</v>
          </cell>
          <cell r="H346" t="str">
            <v>ن/داخلية</v>
          </cell>
          <cell r="I346" t="str">
            <v>ن/د</v>
          </cell>
          <cell r="J346" t="str">
            <v>قادة</v>
          </cell>
          <cell r="K346" t="str">
            <v>لا شئ</v>
          </cell>
          <cell r="L346" t="str">
            <v>عين آدن</v>
          </cell>
          <cell r="M346">
            <v>0</v>
          </cell>
          <cell r="N346">
            <v>0</v>
          </cell>
          <cell r="O346" t="str">
            <v>سعدوني   قادة</v>
          </cell>
        </row>
        <row r="347">
          <cell r="A347">
            <v>338</v>
          </cell>
          <cell r="B347" t="str">
            <v>مدوناري    عائشة</v>
          </cell>
          <cell r="C347" t="str">
            <v xml:space="preserve">مدوناري </v>
          </cell>
          <cell r="D347" t="str">
            <v xml:space="preserve"> عائشة</v>
          </cell>
          <cell r="E347">
            <v>39436</v>
          </cell>
          <cell r="F347" t="str">
            <v>سفيزف</v>
          </cell>
          <cell r="G347" t="str">
            <v>2ع ت1</v>
          </cell>
          <cell r="H347" t="str">
            <v>ن/داخلية</v>
          </cell>
          <cell r="I347" t="str">
            <v>ن/د</v>
          </cell>
          <cell r="J347" t="str">
            <v>الحاج</v>
          </cell>
          <cell r="K347" t="str">
            <v>موظف</v>
          </cell>
          <cell r="L347" t="str">
            <v>عين آدن</v>
          </cell>
          <cell r="M347">
            <v>0</v>
          </cell>
          <cell r="N347">
            <v>0</v>
          </cell>
          <cell r="O347" t="str">
            <v>مدوناري   الحاج</v>
          </cell>
        </row>
        <row r="348">
          <cell r="A348">
            <v>339</v>
          </cell>
          <cell r="B348" t="str">
            <v>مدوناري   يمينة</v>
          </cell>
          <cell r="C348" t="str">
            <v>مدوناري</v>
          </cell>
          <cell r="D348" t="str">
            <v xml:space="preserve"> يمينة</v>
          </cell>
          <cell r="E348">
            <v>39386</v>
          </cell>
          <cell r="F348" t="str">
            <v>سفيزف</v>
          </cell>
          <cell r="G348" t="str">
            <v>2ع ت1</v>
          </cell>
          <cell r="H348" t="str">
            <v>ن/داخلية</v>
          </cell>
          <cell r="I348" t="str">
            <v>ن/د</v>
          </cell>
          <cell r="J348" t="str">
            <v>عثمان</v>
          </cell>
          <cell r="K348" t="str">
            <v>لا شئ</v>
          </cell>
          <cell r="L348" t="str">
            <v>عين آدن</v>
          </cell>
          <cell r="M348">
            <v>0</v>
          </cell>
          <cell r="N348">
            <v>0</v>
          </cell>
          <cell r="O348" t="str">
            <v>مدوناري  عثمان</v>
          </cell>
        </row>
        <row r="349">
          <cell r="A349">
            <v>340</v>
          </cell>
          <cell r="B349" t="str">
            <v>موحوش    فافة</v>
          </cell>
          <cell r="C349" t="str">
            <v xml:space="preserve">موحوش </v>
          </cell>
          <cell r="D349" t="str">
            <v xml:space="preserve"> فافة</v>
          </cell>
          <cell r="E349">
            <v>39400</v>
          </cell>
          <cell r="F349" t="str">
            <v>س بلعباس</v>
          </cell>
          <cell r="G349" t="str">
            <v>2ع ت1</v>
          </cell>
          <cell r="H349" t="str">
            <v>ن/داخلية</v>
          </cell>
          <cell r="I349" t="str">
            <v>ن/د</v>
          </cell>
          <cell r="J349" t="str">
            <v>زواوي</v>
          </cell>
          <cell r="K349" t="str">
            <v>موظف</v>
          </cell>
          <cell r="L349" t="str">
            <v>قرية بلبوش</v>
          </cell>
          <cell r="M349">
            <v>0</v>
          </cell>
          <cell r="N349">
            <v>0</v>
          </cell>
          <cell r="O349" t="str">
            <v>موحوش   زواوي</v>
          </cell>
        </row>
        <row r="350">
          <cell r="A350">
            <v>341</v>
          </cell>
          <cell r="B350" t="str">
            <v>العرباوي  إسراء</v>
          </cell>
          <cell r="C350" t="str">
            <v>العرباوي</v>
          </cell>
          <cell r="D350" t="str">
            <v>إسراء</v>
          </cell>
          <cell r="E350">
            <v>39471</v>
          </cell>
          <cell r="F350" t="str">
            <v>سفيزف</v>
          </cell>
          <cell r="G350" t="str">
            <v>2ع ت1</v>
          </cell>
          <cell r="H350" t="str">
            <v>خارجية</v>
          </cell>
          <cell r="I350" t="str">
            <v>خ</v>
          </cell>
          <cell r="J350" t="str">
            <v>يحي</v>
          </cell>
          <cell r="K350" t="str">
            <v>متقاعد</v>
          </cell>
          <cell r="L350" t="str">
            <v>حي32سكن سفيزف</v>
          </cell>
          <cell r="M350">
            <v>0</v>
          </cell>
          <cell r="N350">
            <v>0</v>
          </cell>
          <cell r="O350" t="str">
            <v>العرباوي  يحي</v>
          </cell>
        </row>
        <row r="351">
          <cell r="A351">
            <v>342</v>
          </cell>
          <cell r="B351" t="str">
            <v>أمزيان  ملوكة</v>
          </cell>
          <cell r="C351" t="str">
            <v>أمزيان</v>
          </cell>
          <cell r="D351" t="str">
            <v>ملوكة</v>
          </cell>
          <cell r="E351">
            <v>39444</v>
          </cell>
          <cell r="F351" t="str">
            <v>سفيزف</v>
          </cell>
          <cell r="G351" t="str">
            <v>2ع ت1</v>
          </cell>
          <cell r="H351" t="str">
            <v>خارجية</v>
          </cell>
          <cell r="I351" t="str">
            <v>خ</v>
          </cell>
          <cell r="J351" t="str">
            <v>عبدالقادر</v>
          </cell>
          <cell r="K351" t="str">
            <v>طبيب</v>
          </cell>
          <cell r="L351" t="str">
            <v>عيادة متعددة الخدمات سفيزف</v>
          </cell>
          <cell r="M351">
            <v>0</v>
          </cell>
          <cell r="N351">
            <v>0</v>
          </cell>
          <cell r="O351" t="str">
            <v>أمزيان  عبدالقادر</v>
          </cell>
        </row>
        <row r="352">
          <cell r="A352">
            <v>343</v>
          </cell>
          <cell r="B352" t="str">
            <v>بكار    نور الهدى</v>
          </cell>
          <cell r="C352" t="str">
            <v xml:space="preserve">بكار </v>
          </cell>
          <cell r="D352" t="str">
            <v xml:space="preserve"> نور الهدى</v>
          </cell>
          <cell r="E352">
            <v>39346</v>
          </cell>
          <cell r="F352" t="str">
            <v>سفيزف</v>
          </cell>
          <cell r="G352" t="str">
            <v>2ع ت1</v>
          </cell>
          <cell r="H352" t="str">
            <v>خارجية</v>
          </cell>
          <cell r="I352" t="str">
            <v>خ</v>
          </cell>
          <cell r="J352" t="str">
            <v>جيلالي</v>
          </cell>
          <cell r="K352" t="str">
            <v>تاجر</v>
          </cell>
          <cell r="L352" t="str">
            <v>25شارع جرموني محمد سفيزف</v>
          </cell>
          <cell r="M352">
            <v>0</v>
          </cell>
          <cell r="N352">
            <v>0</v>
          </cell>
          <cell r="O352" t="str">
            <v>بكار   جيلالي</v>
          </cell>
        </row>
        <row r="353">
          <cell r="A353">
            <v>344</v>
          </cell>
          <cell r="B353" t="str">
            <v xml:space="preserve">بلفكرون  آية </v>
          </cell>
          <cell r="C353" t="str">
            <v>بلفكرون</v>
          </cell>
          <cell r="D353" t="str">
            <v xml:space="preserve">آية </v>
          </cell>
          <cell r="E353">
            <v>39337</v>
          </cell>
          <cell r="F353" t="str">
            <v>س بلعباس</v>
          </cell>
          <cell r="G353" t="str">
            <v>2ع ت1</v>
          </cell>
          <cell r="H353" t="str">
            <v>خارجية</v>
          </cell>
          <cell r="I353" t="str">
            <v>خ</v>
          </cell>
          <cell r="J353" t="str">
            <v>الحاج</v>
          </cell>
          <cell r="K353" t="str">
            <v>متقاعد</v>
          </cell>
          <cell r="L353" t="str">
            <v>08حي بوعسرية البشير سفيزف</v>
          </cell>
          <cell r="M353">
            <v>0</v>
          </cell>
          <cell r="N353">
            <v>0</v>
          </cell>
          <cell r="O353" t="str">
            <v>بلفكرون  الحاج</v>
          </cell>
        </row>
        <row r="354">
          <cell r="A354">
            <v>345</v>
          </cell>
          <cell r="B354" t="str">
            <v>بلفكرون  فطمة دعاء</v>
          </cell>
          <cell r="C354" t="str">
            <v>بلفكرون</v>
          </cell>
          <cell r="D354" t="str">
            <v>فطمة دعاء</v>
          </cell>
          <cell r="E354">
            <v>39337</v>
          </cell>
          <cell r="F354" t="str">
            <v>س بلعباس</v>
          </cell>
          <cell r="G354" t="str">
            <v>2ع ت1</v>
          </cell>
          <cell r="H354" t="str">
            <v>خارجية</v>
          </cell>
          <cell r="I354" t="str">
            <v>خ</v>
          </cell>
          <cell r="J354" t="str">
            <v>الحاج</v>
          </cell>
          <cell r="K354" t="str">
            <v>متقاعد</v>
          </cell>
          <cell r="L354" t="str">
            <v>08حي بوعسرية البشير سفيزف</v>
          </cell>
          <cell r="M354">
            <v>0</v>
          </cell>
          <cell r="N354">
            <v>0</v>
          </cell>
          <cell r="O354" t="str">
            <v>بلفكرون  الحاج</v>
          </cell>
        </row>
        <row r="355">
          <cell r="A355">
            <v>346</v>
          </cell>
          <cell r="B355" t="str">
            <v>بن بارك    يسرى</v>
          </cell>
          <cell r="C355" t="str">
            <v xml:space="preserve">بن بارك </v>
          </cell>
          <cell r="D355" t="str">
            <v xml:space="preserve"> يسرى</v>
          </cell>
          <cell r="E355">
            <v>39226</v>
          </cell>
          <cell r="F355" t="str">
            <v>سفيزف</v>
          </cell>
          <cell r="G355" t="str">
            <v>2ع ت1</v>
          </cell>
          <cell r="H355" t="str">
            <v>خارجية</v>
          </cell>
          <cell r="I355" t="str">
            <v>خ</v>
          </cell>
          <cell r="J355" t="str">
            <v>نورالدين</v>
          </cell>
          <cell r="K355" t="str">
            <v>فلاح</v>
          </cell>
          <cell r="L355" t="str">
            <v>حي نواري بن عبدالله سفيزف</v>
          </cell>
          <cell r="M355">
            <v>0</v>
          </cell>
          <cell r="N355">
            <v>0</v>
          </cell>
          <cell r="O355" t="str">
            <v>بن بارك   نورالدين</v>
          </cell>
        </row>
        <row r="356">
          <cell r="A356">
            <v>347</v>
          </cell>
          <cell r="B356" t="str">
            <v>بن زازوة     أحلام</v>
          </cell>
          <cell r="C356" t="str">
            <v xml:space="preserve">بن زازوة </v>
          </cell>
          <cell r="D356" t="str">
            <v xml:space="preserve">  أحلام</v>
          </cell>
          <cell r="E356">
            <v>39413</v>
          </cell>
          <cell r="F356" t="str">
            <v>س بلعباس</v>
          </cell>
          <cell r="G356" t="str">
            <v>2ع ت1</v>
          </cell>
          <cell r="H356" t="str">
            <v>خارجية</v>
          </cell>
          <cell r="I356" t="str">
            <v>خ</v>
          </cell>
          <cell r="J356" t="str">
            <v>سيدأحمد</v>
          </cell>
          <cell r="K356" t="str">
            <v>متقاعد</v>
          </cell>
          <cell r="L356" t="str">
            <v>74حي كشار صحراوي سفيزف</v>
          </cell>
          <cell r="M356">
            <v>0</v>
          </cell>
          <cell r="N356">
            <v>0</v>
          </cell>
          <cell r="O356" t="str">
            <v>بن زازوة   سيدأحمد</v>
          </cell>
        </row>
        <row r="357">
          <cell r="A357">
            <v>348</v>
          </cell>
          <cell r="B357" t="str">
            <v>بوحجر    زينب رميلة</v>
          </cell>
          <cell r="C357" t="str">
            <v xml:space="preserve">بوحجر </v>
          </cell>
          <cell r="D357" t="str">
            <v xml:space="preserve"> زينب رميلة</v>
          </cell>
          <cell r="E357">
            <v>39159</v>
          </cell>
          <cell r="F357" t="str">
            <v>س بلعباس</v>
          </cell>
          <cell r="G357" t="str">
            <v>2ع ت1</v>
          </cell>
          <cell r="H357" t="str">
            <v>خارجية</v>
          </cell>
          <cell r="I357" t="str">
            <v>خ</v>
          </cell>
          <cell r="J357" t="str">
            <v>محمد</v>
          </cell>
          <cell r="K357" t="str">
            <v>تاجر</v>
          </cell>
          <cell r="L357" t="str">
            <v>حي72سكن سفيزف</v>
          </cell>
          <cell r="M357">
            <v>0</v>
          </cell>
          <cell r="N357">
            <v>0</v>
          </cell>
          <cell r="O357" t="str">
            <v>بوحجر   محمد</v>
          </cell>
        </row>
        <row r="358">
          <cell r="A358">
            <v>349</v>
          </cell>
          <cell r="B358" t="str">
            <v>بودور    شيماء</v>
          </cell>
          <cell r="C358" t="str">
            <v xml:space="preserve">بودور </v>
          </cell>
          <cell r="D358" t="str">
            <v xml:space="preserve"> شيماء</v>
          </cell>
          <cell r="E358">
            <v>38727</v>
          </cell>
          <cell r="F358" t="str">
            <v>سفيزف</v>
          </cell>
          <cell r="G358" t="str">
            <v>2ع ت1</v>
          </cell>
          <cell r="H358" t="str">
            <v>خارجية</v>
          </cell>
          <cell r="I358" t="str">
            <v>خ</v>
          </cell>
          <cell r="J358" t="str">
            <v>علي</v>
          </cell>
          <cell r="K358" t="str">
            <v>متقاعد</v>
          </cell>
          <cell r="L358" t="str">
            <v>شارع صحراوي بن علي سفيزف</v>
          </cell>
          <cell r="M358">
            <v>0</v>
          </cell>
          <cell r="N358">
            <v>0</v>
          </cell>
          <cell r="O358" t="str">
            <v>بودور   علي</v>
          </cell>
        </row>
        <row r="359">
          <cell r="A359">
            <v>350</v>
          </cell>
          <cell r="B359" t="str">
            <v>بورويس    سارة</v>
          </cell>
          <cell r="C359" t="str">
            <v xml:space="preserve">بورويس </v>
          </cell>
          <cell r="D359" t="str">
            <v xml:space="preserve"> سارة</v>
          </cell>
          <cell r="E359">
            <v>39237</v>
          </cell>
          <cell r="F359" t="str">
            <v>قرارم فوقة</v>
          </cell>
          <cell r="G359" t="str">
            <v>2ع ت1</v>
          </cell>
          <cell r="H359" t="str">
            <v>خارجية</v>
          </cell>
          <cell r="I359" t="str">
            <v>خ</v>
          </cell>
          <cell r="J359" t="str">
            <v>أحمد</v>
          </cell>
          <cell r="K359" t="str">
            <v>خباز</v>
          </cell>
          <cell r="L359" t="str">
            <v>14حي24فبراير سفيزف</v>
          </cell>
          <cell r="M359">
            <v>0</v>
          </cell>
          <cell r="N359">
            <v>0</v>
          </cell>
          <cell r="O359" t="str">
            <v>بورويس   أحمد</v>
          </cell>
        </row>
        <row r="360">
          <cell r="A360">
            <v>351</v>
          </cell>
          <cell r="B360" t="str">
            <v>جافي    أحمد</v>
          </cell>
          <cell r="C360" t="str">
            <v xml:space="preserve">جافي </v>
          </cell>
          <cell r="D360" t="str">
            <v xml:space="preserve"> أحمد</v>
          </cell>
          <cell r="E360">
            <v>39413</v>
          </cell>
          <cell r="F360" t="str">
            <v>سفيزف</v>
          </cell>
          <cell r="G360" t="str">
            <v>2ع ت1</v>
          </cell>
          <cell r="H360" t="str">
            <v>خارجي</v>
          </cell>
          <cell r="I360" t="str">
            <v>خ</v>
          </cell>
          <cell r="J360" t="str">
            <v>عبدالله</v>
          </cell>
          <cell r="K360" t="str">
            <v>تاجر</v>
          </cell>
          <cell r="L360" t="str">
            <v>06حي طيبي عبدالقادر سفيزف</v>
          </cell>
          <cell r="M360">
            <v>0</v>
          </cell>
          <cell r="N360">
            <v>0</v>
          </cell>
          <cell r="O360" t="str">
            <v>جافي   عبدالله</v>
          </cell>
        </row>
        <row r="361">
          <cell r="A361">
            <v>352</v>
          </cell>
          <cell r="B361" t="str">
            <v>جليد      محمد عبد الإله</v>
          </cell>
          <cell r="C361" t="str">
            <v xml:space="preserve">جليد   </v>
          </cell>
          <cell r="D361" t="str">
            <v xml:space="preserve"> محمد عبد الإله</v>
          </cell>
          <cell r="E361">
            <v>39515</v>
          </cell>
          <cell r="F361" t="str">
            <v>سفيزف</v>
          </cell>
          <cell r="G361" t="str">
            <v>2ع ت1</v>
          </cell>
          <cell r="H361" t="str">
            <v>خارجي</v>
          </cell>
          <cell r="I361" t="str">
            <v>خ</v>
          </cell>
          <cell r="J361" t="str">
            <v>مراد</v>
          </cell>
          <cell r="K361" t="str">
            <v>لا شئ</v>
          </cell>
          <cell r="L361" t="str">
            <v>حي طيبي عبدالقادر سفيزف</v>
          </cell>
          <cell r="M361">
            <v>0</v>
          </cell>
          <cell r="N361">
            <v>0</v>
          </cell>
          <cell r="O361" t="str">
            <v>جليد     مراد</v>
          </cell>
        </row>
        <row r="362">
          <cell r="A362">
            <v>353</v>
          </cell>
          <cell r="B362" t="str">
            <v>حمادن    هيبة فريال</v>
          </cell>
          <cell r="C362" t="str">
            <v xml:space="preserve">حمادن </v>
          </cell>
          <cell r="D362" t="str">
            <v xml:space="preserve"> هيبة فريال</v>
          </cell>
          <cell r="E362">
            <v>39456</v>
          </cell>
          <cell r="F362" t="str">
            <v>سفيزف</v>
          </cell>
          <cell r="G362" t="str">
            <v>2ع ت1</v>
          </cell>
          <cell r="H362" t="str">
            <v>خارجية</v>
          </cell>
          <cell r="I362" t="str">
            <v>خ</v>
          </cell>
          <cell r="J362" t="str">
            <v>نصر الدين</v>
          </cell>
          <cell r="K362" t="str">
            <v>موظف</v>
          </cell>
          <cell r="L362" t="str">
            <v>حي اللوز سفيزف</v>
          </cell>
          <cell r="M362">
            <v>0</v>
          </cell>
          <cell r="N362">
            <v>0</v>
          </cell>
          <cell r="O362" t="str">
            <v>حمادن   نصر الدين</v>
          </cell>
        </row>
        <row r="363">
          <cell r="A363">
            <v>354</v>
          </cell>
          <cell r="B363" t="str">
            <v>حمداد    هبة أشواق</v>
          </cell>
          <cell r="C363" t="str">
            <v xml:space="preserve">حمداد </v>
          </cell>
          <cell r="D363" t="str">
            <v xml:space="preserve"> هبة أشواق</v>
          </cell>
          <cell r="E363">
            <v>39228</v>
          </cell>
          <cell r="F363" t="str">
            <v>سفيزف</v>
          </cell>
          <cell r="G363" t="str">
            <v>2ع ت1</v>
          </cell>
          <cell r="H363" t="str">
            <v>خارجية</v>
          </cell>
          <cell r="I363" t="str">
            <v>خ</v>
          </cell>
          <cell r="J363" t="str">
            <v>عباس</v>
          </cell>
          <cell r="K363" t="str">
            <v>لا شئ</v>
          </cell>
          <cell r="L363" t="str">
            <v>21حي بوخنفوس مختار سفيزف</v>
          </cell>
          <cell r="M363">
            <v>0</v>
          </cell>
          <cell r="N363">
            <v>0</v>
          </cell>
          <cell r="O363" t="str">
            <v>حمداد   عباس</v>
          </cell>
        </row>
        <row r="364">
          <cell r="A364">
            <v>355</v>
          </cell>
          <cell r="B364" t="str">
            <v>خلافي    فريال فاطيمة</v>
          </cell>
          <cell r="C364" t="str">
            <v xml:space="preserve">خلافي </v>
          </cell>
          <cell r="D364" t="str">
            <v xml:space="preserve"> فريال فاطيمة</v>
          </cell>
          <cell r="E364">
            <v>39526</v>
          </cell>
          <cell r="F364" t="str">
            <v>تيغنيف</v>
          </cell>
          <cell r="G364" t="str">
            <v>2ع ت1</v>
          </cell>
          <cell r="H364" t="str">
            <v>خارجية</v>
          </cell>
          <cell r="I364" t="str">
            <v>خ</v>
          </cell>
          <cell r="J364" t="str">
            <v>الجيلالي</v>
          </cell>
          <cell r="K364" t="str">
            <v>تاجر</v>
          </cell>
          <cell r="L364" t="str">
            <v>12حي72سكن سفيزف</v>
          </cell>
          <cell r="M364">
            <v>0</v>
          </cell>
          <cell r="N364">
            <v>0</v>
          </cell>
          <cell r="O364" t="str">
            <v>خلافي   الجيلالي</v>
          </cell>
        </row>
        <row r="365">
          <cell r="A365">
            <v>356</v>
          </cell>
          <cell r="B365" t="str">
            <v>دلال   نهى قطر الندى</v>
          </cell>
          <cell r="C365" t="str">
            <v xml:space="preserve">دلال </v>
          </cell>
          <cell r="D365" t="str">
            <v>نهى قطر الندى</v>
          </cell>
          <cell r="E365">
            <v>39501</v>
          </cell>
          <cell r="F365" t="str">
            <v>سفيزف</v>
          </cell>
          <cell r="G365" t="str">
            <v>2ع ت1</v>
          </cell>
          <cell r="H365" t="str">
            <v>خارجية</v>
          </cell>
          <cell r="I365" t="str">
            <v>خ</v>
          </cell>
          <cell r="J365" t="str">
            <v>فتحي</v>
          </cell>
          <cell r="K365" t="str">
            <v>موظف</v>
          </cell>
          <cell r="L365" t="str">
            <v>شارع المقراني محمد سفيزف</v>
          </cell>
          <cell r="M365">
            <v>0</v>
          </cell>
          <cell r="N365">
            <v>0</v>
          </cell>
          <cell r="O365" t="str">
            <v>دلال   فتحي</v>
          </cell>
        </row>
        <row r="366">
          <cell r="A366">
            <v>357</v>
          </cell>
          <cell r="B366" t="str">
            <v>دلاني    عبد الرحمن</v>
          </cell>
          <cell r="C366" t="str">
            <v xml:space="preserve">دلاني </v>
          </cell>
          <cell r="D366" t="str">
            <v xml:space="preserve"> عبد الرحمن</v>
          </cell>
          <cell r="E366">
            <v>39425</v>
          </cell>
          <cell r="F366" t="str">
            <v>س بلعباس</v>
          </cell>
          <cell r="G366" t="str">
            <v>2ع ت1</v>
          </cell>
          <cell r="H366" t="str">
            <v>خارجي</v>
          </cell>
          <cell r="I366" t="str">
            <v>خ</v>
          </cell>
          <cell r="J366" t="str">
            <v>قويدر</v>
          </cell>
          <cell r="K366" t="str">
            <v>متقاعد</v>
          </cell>
          <cell r="L366" t="str">
            <v>شارع بلعيني عبدالقادر سفيزف</v>
          </cell>
          <cell r="M366">
            <v>0</v>
          </cell>
          <cell r="N366">
            <v>0</v>
          </cell>
          <cell r="O366" t="str">
            <v>دلاني   قويدر</v>
          </cell>
        </row>
        <row r="367">
          <cell r="A367">
            <v>358</v>
          </cell>
          <cell r="B367" t="str">
            <v>ديدة   رهام هدايات</v>
          </cell>
          <cell r="C367" t="str">
            <v xml:space="preserve">ديدة </v>
          </cell>
          <cell r="D367" t="str">
            <v>رهام هدايات</v>
          </cell>
          <cell r="E367">
            <v>39590</v>
          </cell>
          <cell r="F367" t="str">
            <v>سفيزف</v>
          </cell>
          <cell r="G367" t="str">
            <v>2ع ت1</v>
          </cell>
          <cell r="H367" t="str">
            <v>خارجية</v>
          </cell>
          <cell r="I367" t="str">
            <v>خ</v>
          </cell>
          <cell r="J367" t="str">
            <v>عباس</v>
          </cell>
          <cell r="K367" t="str">
            <v>لا شئ</v>
          </cell>
          <cell r="L367" t="str">
            <v>شارع شهداء تويلة سفيزف</v>
          </cell>
          <cell r="M367">
            <v>0</v>
          </cell>
          <cell r="N367">
            <v>0</v>
          </cell>
          <cell r="O367" t="str">
            <v>ديدة   عباس</v>
          </cell>
        </row>
        <row r="368">
          <cell r="A368">
            <v>359</v>
          </cell>
          <cell r="B368" t="str">
            <v>راولي    إخلاص</v>
          </cell>
          <cell r="C368" t="str">
            <v xml:space="preserve">راولي </v>
          </cell>
          <cell r="D368" t="str">
            <v xml:space="preserve"> إخلاص</v>
          </cell>
          <cell r="E368">
            <v>39436</v>
          </cell>
          <cell r="F368" t="str">
            <v>سفيزف</v>
          </cell>
          <cell r="G368" t="str">
            <v>2ع ت1</v>
          </cell>
          <cell r="H368" t="str">
            <v>خارجية</v>
          </cell>
          <cell r="I368" t="str">
            <v>خ</v>
          </cell>
          <cell r="J368" t="str">
            <v>أحمد</v>
          </cell>
          <cell r="K368" t="str">
            <v>لا شئ</v>
          </cell>
          <cell r="L368" t="str">
            <v>47شارع أوهيبة ميلود سفيزف</v>
          </cell>
          <cell r="M368">
            <v>0</v>
          </cell>
          <cell r="N368">
            <v>0</v>
          </cell>
          <cell r="O368" t="str">
            <v>راولي   أحمد</v>
          </cell>
        </row>
        <row r="369">
          <cell r="A369">
            <v>360</v>
          </cell>
          <cell r="B369" t="str">
            <v>زكوم   فريال</v>
          </cell>
          <cell r="C369" t="str">
            <v>زكوم</v>
          </cell>
          <cell r="D369" t="str">
            <v xml:space="preserve"> فريال</v>
          </cell>
          <cell r="E369">
            <v>39210</v>
          </cell>
          <cell r="F369" t="str">
            <v>سفيزف</v>
          </cell>
          <cell r="G369" t="str">
            <v>2ع ت1</v>
          </cell>
          <cell r="H369" t="str">
            <v>خارجية</v>
          </cell>
          <cell r="I369" t="str">
            <v>خ</v>
          </cell>
          <cell r="J369" t="str">
            <v>قدور</v>
          </cell>
          <cell r="K369" t="str">
            <v>حارس</v>
          </cell>
          <cell r="L369" t="str">
            <v>01حي بوخنفوس مختار سفيزف</v>
          </cell>
          <cell r="M369">
            <v>0</v>
          </cell>
          <cell r="N369">
            <v>0</v>
          </cell>
          <cell r="O369" t="str">
            <v>زكوم  قدور</v>
          </cell>
        </row>
        <row r="370">
          <cell r="A370">
            <v>361</v>
          </cell>
          <cell r="B370" t="str">
            <v>سنوسي عنتر    قادة عبد الرحمان</v>
          </cell>
          <cell r="C370" t="str">
            <v xml:space="preserve">سنوسي عنتر </v>
          </cell>
          <cell r="D370" t="str">
            <v xml:space="preserve"> قادة عبد الرحمان</v>
          </cell>
          <cell r="E370">
            <v>39283</v>
          </cell>
          <cell r="F370" t="str">
            <v>سفيزف</v>
          </cell>
          <cell r="G370" t="str">
            <v>2ع ت1</v>
          </cell>
          <cell r="H370" t="str">
            <v>خارجي</v>
          </cell>
          <cell r="I370" t="str">
            <v>خ</v>
          </cell>
          <cell r="J370" t="str">
            <v>محمد</v>
          </cell>
          <cell r="K370" t="str">
            <v>مقاول</v>
          </cell>
          <cell r="L370" t="str">
            <v>حي214سكن سفيزف</v>
          </cell>
          <cell r="M370">
            <v>0</v>
          </cell>
          <cell r="N370">
            <v>0</v>
          </cell>
          <cell r="O370" t="str">
            <v>سنوسي عنتر   محمد</v>
          </cell>
        </row>
        <row r="371">
          <cell r="A371">
            <v>362</v>
          </cell>
          <cell r="B371" t="str">
            <v>شادلي    بوزيان عبد الرحمان</v>
          </cell>
          <cell r="C371" t="str">
            <v xml:space="preserve">شادلي </v>
          </cell>
          <cell r="D371" t="str">
            <v xml:space="preserve"> بوزيان عبد الرحمان</v>
          </cell>
          <cell r="E371">
            <v>39241</v>
          </cell>
          <cell r="F371" t="str">
            <v>سفيزف</v>
          </cell>
          <cell r="G371" t="str">
            <v>2ع ت1</v>
          </cell>
          <cell r="H371" t="str">
            <v>خارجي</v>
          </cell>
          <cell r="I371" t="str">
            <v>خ</v>
          </cell>
          <cell r="J371" t="str">
            <v>كريم</v>
          </cell>
          <cell r="K371" t="str">
            <v>حارس</v>
          </cell>
          <cell r="L371" t="str">
            <v>حي أوهيبة محمد سفيزف</v>
          </cell>
          <cell r="M371">
            <v>0</v>
          </cell>
          <cell r="N371">
            <v>0</v>
          </cell>
          <cell r="O371" t="str">
            <v>شادلي   كريم</v>
          </cell>
        </row>
        <row r="372">
          <cell r="A372">
            <v>363</v>
          </cell>
          <cell r="B372" t="str">
            <v>شقرون    فارس محمد الحبيب</v>
          </cell>
          <cell r="C372" t="str">
            <v xml:space="preserve">شقرون </v>
          </cell>
          <cell r="D372" t="str">
            <v xml:space="preserve"> فارس محمد الحبيب</v>
          </cell>
          <cell r="E372">
            <v>39278</v>
          </cell>
          <cell r="F372" t="str">
            <v>س بلعباس</v>
          </cell>
          <cell r="G372" t="str">
            <v>2ع ت1</v>
          </cell>
          <cell r="H372" t="str">
            <v>خارجي</v>
          </cell>
          <cell r="I372" t="str">
            <v>خ</v>
          </cell>
          <cell r="J372" t="str">
            <v>عبدالقادر</v>
          </cell>
          <cell r="K372" t="str">
            <v>موظف</v>
          </cell>
          <cell r="L372" t="str">
            <v>حي نواري بن عبدالله سفيزف</v>
          </cell>
          <cell r="M372">
            <v>0</v>
          </cell>
          <cell r="N372">
            <v>0</v>
          </cell>
          <cell r="O372" t="str">
            <v>شقرون   عبدالقادر</v>
          </cell>
        </row>
        <row r="373">
          <cell r="A373">
            <v>364</v>
          </cell>
          <cell r="B373" t="str">
            <v>طيبي    فاطمة الزهرة</v>
          </cell>
          <cell r="C373" t="str">
            <v xml:space="preserve">طيبي </v>
          </cell>
          <cell r="D373" t="str">
            <v xml:space="preserve"> فاطمة الزهرة</v>
          </cell>
          <cell r="E373">
            <v>39189</v>
          </cell>
          <cell r="F373" t="str">
            <v>سفيزف</v>
          </cell>
          <cell r="G373" t="str">
            <v>2ع ت1</v>
          </cell>
          <cell r="H373" t="str">
            <v>خارجية</v>
          </cell>
          <cell r="I373" t="str">
            <v>خ</v>
          </cell>
          <cell r="J373" t="str">
            <v>أحمد</v>
          </cell>
          <cell r="K373" t="str">
            <v>متقاعد</v>
          </cell>
          <cell r="L373" t="str">
            <v>04حي طيبي عبدالقادر سفيزف</v>
          </cell>
          <cell r="M373">
            <v>0</v>
          </cell>
          <cell r="N373">
            <v>0</v>
          </cell>
          <cell r="O373" t="str">
            <v>طيبي   أحمد</v>
          </cell>
        </row>
        <row r="374">
          <cell r="A374">
            <v>365</v>
          </cell>
          <cell r="B374" t="str">
            <v>طيبي    ملك فراح</v>
          </cell>
          <cell r="C374" t="str">
            <v xml:space="preserve">طيبي </v>
          </cell>
          <cell r="D374" t="str">
            <v xml:space="preserve"> ملك فراح</v>
          </cell>
          <cell r="E374">
            <v>39124</v>
          </cell>
          <cell r="F374" t="str">
            <v>سفيزف</v>
          </cell>
          <cell r="G374" t="str">
            <v>2ع ت1</v>
          </cell>
          <cell r="H374" t="str">
            <v>خارجية</v>
          </cell>
          <cell r="I374" t="str">
            <v>خ</v>
          </cell>
          <cell r="J374" t="str">
            <v>زواوي</v>
          </cell>
          <cell r="K374" t="str">
            <v>أستاذ</v>
          </cell>
          <cell r="L374" t="str">
            <v>80شارع بوتنزار محمد سفيزف</v>
          </cell>
          <cell r="M374">
            <v>0</v>
          </cell>
          <cell r="N374">
            <v>0</v>
          </cell>
          <cell r="O374" t="str">
            <v>طيبي   زواوي</v>
          </cell>
        </row>
        <row r="375">
          <cell r="A375">
            <v>366</v>
          </cell>
          <cell r="B375" t="str">
            <v>عثماني    أريج</v>
          </cell>
          <cell r="C375" t="str">
            <v xml:space="preserve">عثماني </v>
          </cell>
          <cell r="D375" t="str">
            <v xml:space="preserve"> أريج</v>
          </cell>
          <cell r="E375">
            <v>39239</v>
          </cell>
          <cell r="F375" t="str">
            <v>قسنطينة</v>
          </cell>
          <cell r="G375" t="str">
            <v>2ع ت1</v>
          </cell>
          <cell r="H375" t="str">
            <v>خارجية</v>
          </cell>
          <cell r="I375" t="str">
            <v>خ</v>
          </cell>
          <cell r="J375" t="str">
            <v>بوراس</v>
          </cell>
          <cell r="K375" t="str">
            <v>متقاعد</v>
          </cell>
          <cell r="L375" t="str">
            <v>شارع حري يحي سفيزف</v>
          </cell>
          <cell r="M375">
            <v>0</v>
          </cell>
          <cell r="N375">
            <v>0</v>
          </cell>
          <cell r="O375" t="str">
            <v>عثماني   بوراس</v>
          </cell>
        </row>
        <row r="376">
          <cell r="A376">
            <v>367</v>
          </cell>
          <cell r="B376" t="str">
            <v>لعسل    رانية</v>
          </cell>
          <cell r="C376" t="str">
            <v xml:space="preserve">لعسل </v>
          </cell>
          <cell r="D376" t="str">
            <v xml:space="preserve"> رانية</v>
          </cell>
          <cell r="E376">
            <v>39255</v>
          </cell>
          <cell r="F376" t="str">
            <v>سفيزف</v>
          </cell>
          <cell r="G376" t="str">
            <v>2ع ت1</v>
          </cell>
          <cell r="H376" t="str">
            <v>خارجية</v>
          </cell>
          <cell r="I376" t="str">
            <v>خ</v>
          </cell>
          <cell r="J376" t="str">
            <v>ضاوي</v>
          </cell>
          <cell r="K376" t="str">
            <v>متقاعد</v>
          </cell>
          <cell r="L376" t="str">
            <v>شارع شباني لحسن سفيزف</v>
          </cell>
          <cell r="M376">
            <v>0</v>
          </cell>
          <cell r="N376">
            <v>0</v>
          </cell>
          <cell r="O376" t="str">
            <v>لعسل   ضاوي</v>
          </cell>
        </row>
        <row r="377">
          <cell r="A377">
            <v>368</v>
          </cell>
          <cell r="B377" t="str">
            <v>مريس    محمد امين اشرف</v>
          </cell>
          <cell r="C377" t="str">
            <v xml:space="preserve">مريس </v>
          </cell>
          <cell r="D377" t="str">
            <v xml:space="preserve"> محمد امين اشرف</v>
          </cell>
          <cell r="E377">
            <v>39674</v>
          </cell>
          <cell r="F377" t="str">
            <v>وهران</v>
          </cell>
          <cell r="G377" t="str">
            <v>2ع ت1</v>
          </cell>
          <cell r="H377" t="str">
            <v>خارجي</v>
          </cell>
          <cell r="I377" t="str">
            <v>خ</v>
          </cell>
          <cell r="J377" t="str">
            <v>سيدأحمد</v>
          </cell>
          <cell r="K377" t="str">
            <v>موظف</v>
          </cell>
          <cell r="L377" t="str">
            <v>03حي141سكن سفيزف</v>
          </cell>
          <cell r="M377">
            <v>0</v>
          </cell>
          <cell r="N377">
            <v>0</v>
          </cell>
          <cell r="O377" t="str">
            <v>مريس   سيدأحمد</v>
          </cell>
        </row>
        <row r="378">
          <cell r="A378">
            <v>369</v>
          </cell>
          <cell r="B378" t="str">
            <v>مسرغيني    إيمان</v>
          </cell>
          <cell r="C378" t="str">
            <v xml:space="preserve">مسرغيني </v>
          </cell>
          <cell r="D378" t="str">
            <v xml:space="preserve"> إيمان</v>
          </cell>
          <cell r="E378">
            <v>39224</v>
          </cell>
          <cell r="F378" t="str">
            <v>سفيزف</v>
          </cell>
          <cell r="G378" t="str">
            <v>2ع ت1</v>
          </cell>
          <cell r="H378" t="str">
            <v>خارجية</v>
          </cell>
          <cell r="I378" t="str">
            <v>خ</v>
          </cell>
          <cell r="J378" t="str">
            <v>بوعلام</v>
          </cell>
          <cell r="K378" t="str">
            <v>موظف</v>
          </cell>
          <cell r="L378" t="str">
            <v xml:space="preserve">  93شارع طيبي عبد القادرسفيزف   </v>
          </cell>
          <cell r="M378">
            <v>0</v>
          </cell>
          <cell r="N378">
            <v>0</v>
          </cell>
          <cell r="O378" t="str">
            <v>مسرغيني   بوعلام</v>
          </cell>
        </row>
        <row r="379">
          <cell r="A379">
            <v>370</v>
          </cell>
          <cell r="B379" t="str">
            <v>مسلم   فراح</v>
          </cell>
          <cell r="C379" t="str">
            <v>مسلم</v>
          </cell>
          <cell r="D379" t="str">
            <v xml:space="preserve"> فراح</v>
          </cell>
          <cell r="E379">
            <v>39359</v>
          </cell>
          <cell r="F379" t="str">
            <v>س بلعباس</v>
          </cell>
          <cell r="G379" t="str">
            <v>2ع ت1</v>
          </cell>
          <cell r="H379" t="str">
            <v>خارجية</v>
          </cell>
          <cell r="I379" t="str">
            <v>خ</v>
          </cell>
          <cell r="J379" t="str">
            <v>الأمين محمد</v>
          </cell>
          <cell r="K379" t="str">
            <v>موظف</v>
          </cell>
          <cell r="L379" t="str">
            <v>12شارع عيسات إيدير سفيزف</v>
          </cell>
          <cell r="M379">
            <v>0</v>
          </cell>
          <cell r="N379">
            <v>0</v>
          </cell>
          <cell r="O379" t="str">
            <v>مسلم  الأمين محمد</v>
          </cell>
        </row>
        <row r="380">
          <cell r="A380">
            <v>371</v>
          </cell>
          <cell r="B380" t="str">
            <v>مكيكة    محمد رفيق عبد القادر</v>
          </cell>
          <cell r="C380" t="str">
            <v xml:space="preserve">مكيكة </v>
          </cell>
          <cell r="D380" t="str">
            <v xml:space="preserve"> محمد رفيق عبد القادر</v>
          </cell>
          <cell r="E380">
            <v>39526</v>
          </cell>
          <cell r="F380" t="str">
            <v>سفيزف</v>
          </cell>
          <cell r="G380" t="str">
            <v>2ع ت1</v>
          </cell>
          <cell r="H380" t="str">
            <v>خارجي</v>
          </cell>
          <cell r="I380" t="str">
            <v>خ</v>
          </cell>
          <cell r="J380" t="str">
            <v>الحبيب</v>
          </cell>
          <cell r="K380" t="str">
            <v>موظف</v>
          </cell>
          <cell r="L380" t="str">
            <v>64حي100سكن سفيزف</v>
          </cell>
          <cell r="M380">
            <v>0</v>
          </cell>
          <cell r="N380">
            <v>0</v>
          </cell>
          <cell r="O380" t="str">
            <v>مكيكة   الحبيب</v>
          </cell>
        </row>
        <row r="381">
          <cell r="A381">
            <v>372</v>
          </cell>
          <cell r="B381" t="str">
            <v>وذان    أحمد</v>
          </cell>
          <cell r="C381" t="str">
            <v xml:space="preserve">وذان </v>
          </cell>
          <cell r="D381" t="str">
            <v xml:space="preserve"> أحمد</v>
          </cell>
          <cell r="E381">
            <v>38970</v>
          </cell>
          <cell r="F381" t="str">
            <v>س بلعباس</v>
          </cell>
          <cell r="G381" t="str">
            <v>2ع ت1</v>
          </cell>
          <cell r="H381" t="str">
            <v xml:space="preserve">خارجي </v>
          </cell>
          <cell r="I381" t="str">
            <v>خ</v>
          </cell>
          <cell r="J381" t="str">
            <v>بن عامر</v>
          </cell>
          <cell r="K381" t="str">
            <v>متقاعد</v>
          </cell>
          <cell r="L381" t="str">
            <v>حي بومسجد الزين سفيزف</v>
          </cell>
          <cell r="M381">
            <v>0</v>
          </cell>
          <cell r="N381">
            <v>0</v>
          </cell>
          <cell r="O381" t="str">
            <v>وذان   بن عامر</v>
          </cell>
        </row>
        <row r="382">
          <cell r="A382">
            <v>373</v>
          </cell>
          <cell r="B382" t="str">
            <v>بلوحي    كوثر</v>
          </cell>
          <cell r="C382" t="str">
            <v xml:space="preserve">بلوحي </v>
          </cell>
          <cell r="D382" t="str">
            <v xml:space="preserve"> كوثر</v>
          </cell>
          <cell r="E382">
            <v>39510</v>
          </cell>
          <cell r="F382" t="str">
            <v>س بلعباس</v>
          </cell>
          <cell r="G382" t="str">
            <v>2ع ت2</v>
          </cell>
          <cell r="H382" t="str">
            <v>ن/داخلية</v>
          </cell>
          <cell r="I382" t="str">
            <v>ن/د</v>
          </cell>
          <cell r="J382" t="str">
            <v>بوزيان</v>
          </cell>
          <cell r="K382" t="str">
            <v>فلاح</v>
          </cell>
          <cell r="L382" t="str">
            <v>عين آدن</v>
          </cell>
          <cell r="M382">
            <v>0</v>
          </cell>
          <cell r="N382">
            <v>0</v>
          </cell>
          <cell r="O382" t="str">
            <v>بلوحي   بوزيان</v>
          </cell>
        </row>
        <row r="383">
          <cell r="A383">
            <v>374</v>
          </cell>
          <cell r="B383" t="str">
            <v>حميدي    نريمان سلسبيل</v>
          </cell>
          <cell r="C383" t="str">
            <v xml:space="preserve">حميدي </v>
          </cell>
          <cell r="D383" t="str">
            <v xml:space="preserve"> نريمان سلسبيل</v>
          </cell>
          <cell r="E383">
            <v>39319</v>
          </cell>
          <cell r="F383" t="str">
            <v>سفيزف</v>
          </cell>
          <cell r="G383" t="str">
            <v>2ع ت2</v>
          </cell>
          <cell r="H383" t="str">
            <v>ن/داخلية</v>
          </cell>
          <cell r="I383" t="str">
            <v>ن/د</v>
          </cell>
          <cell r="J383" t="str">
            <v>جمال</v>
          </cell>
          <cell r="K383" t="str">
            <v>فلاح</v>
          </cell>
          <cell r="L383" t="str">
            <v>قرية بلبوش</v>
          </cell>
          <cell r="M383">
            <v>0</v>
          </cell>
          <cell r="N383">
            <v>0</v>
          </cell>
          <cell r="O383" t="str">
            <v>حميدي   جمال</v>
          </cell>
        </row>
        <row r="384">
          <cell r="A384">
            <v>375</v>
          </cell>
          <cell r="B384" t="str">
            <v>دار سبع    فرح</v>
          </cell>
          <cell r="C384" t="str">
            <v xml:space="preserve">دار سبع </v>
          </cell>
          <cell r="D384" t="str">
            <v xml:space="preserve"> فرح</v>
          </cell>
          <cell r="E384">
            <v>39411</v>
          </cell>
          <cell r="F384" t="str">
            <v>سفيزف</v>
          </cell>
          <cell r="G384" t="str">
            <v>2ع ت2</v>
          </cell>
          <cell r="H384" t="str">
            <v>ن/داخلية</v>
          </cell>
          <cell r="I384" t="str">
            <v>ن/د</v>
          </cell>
          <cell r="J384" t="str">
            <v>عبدالقادر</v>
          </cell>
          <cell r="K384" t="str">
            <v>موظف</v>
          </cell>
          <cell r="L384" t="str">
            <v>عين آدن</v>
          </cell>
          <cell r="M384">
            <v>0</v>
          </cell>
          <cell r="N384">
            <v>0</v>
          </cell>
          <cell r="O384" t="str">
            <v>دار سبع   عبدالقادر</v>
          </cell>
        </row>
        <row r="385">
          <cell r="A385">
            <v>376</v>
          </cell>
          <cell r="B385" t="str">
            <v>دار نموس  خالد</v>
          </cell>
          <cell r="C385" t="str">
            <v>دار نموس</v>
          </cell>
          <cell r="D385" t="str">
            <v>خالد</v>
          </cell>
          <cell r="E385">
            <v>38984</v>
          </cell>
          <cell r="F385" t="str">
            <v>سفيزف</v>
          </cell>
          <cell r="G385" t="str">
            <v>2ع ت2</v>
          </cell>
          <cell r="H385" t="str">
            <v>ن/داخلي</v>
          </cell>
          <cell r="I385" t="str">
            <v>ن/د</v>
          </cell>
          <cell r="J385" t="str">
            <v>حبيب</v>
          </cell>
          <cell r="K385" t="str">
            <v>فلاح</v>
          </cell>
          <cell r="L385" t="str">
            <v>عين آدن</v>
          </cell>
          <cell r="M385">
            <v>0</v>
          </cell>
          <cell r="N385">
            <v>0</v>
          </cell>
          <cell r="O385" t="str">
            <v>دار نموس  حبيب</v>
          </cell>
        </row>
        <row r="386">
          <cell r="A386">
            <v>377</v>
          </cell>
          <cell r="B386" t="str">
            <v>سعدوني    بشرى</v>
          </cell>
          <cell r="C386" t="str">
            <v xml:space="preserve">سعدوني </v>
          </cell>
          <cell r="D386" t="str">
            <v xml:space="preserve"> بشرى</v>
          </cell>
          <cell r="E386">
            <v>39123</v>
          </cell>
          <cell r="F386" t="str">
            <v>سفيزف</v>
          </cell>
          <cell r="G386" t="str">
            <v>2ع ت2</v>
          </cell>
          <cell r="H386" t="str">
            <v>ن/داخلية</v>
          </cell>
          <cell r="I386" t="str">
            <v>ن/د</v>
          </cell>
          <cell r="J386" t="str">
            <v>مختار</v>
          </cell>
          <cell r="K386" t="str">
            <v>متقاعد</v>
          </cell>
          <cell r="L386" t="str">
            <v>عين آدن</v>
          </cell>
          <cell r="M386">
            <v>0</v>
          </cell>
          <cell r="N386">
            <v>0</v>
          </cell>
          <cell r="O386" t="str">
            <v>سعدوني   مختار</v>
          </cell>
        </row>
        <row r="387">
          <cell r="A387">
            <v>378</v>
          </cell>
          <cell r="B387" t="str">
            <v>سعدوني    فاطمة الزهراء</v>
          </cell>
          <cell r="C387" t="str">
            <v xml:space="preserve">سعدوني </v>
          </cell>
          <cell r="D387" t="str">
            <v xml:space="preserve"> فاطمة الزهراء</v>
          </cell>
          <cell r="E387">
            <v>39158</v>
          </cell>
          <cell r="F387" t="str">
            <v>س بلعباس</v>
          </cell>
          <cell r="G387" t="str">
            <v>2ع ت2</v>
          </cell>
          <cell r="H387" t="str">
            <v>ن/داخلية</v>
          </cell>
          <cell r="I387" t="str">
            <v>ن/د</v>
          </cell>
          <cell r="J387" t="str">
            <v>نابي</v>
          </cell>
          <cell r="K387" t="str">
            <v>لا شئ</v>
          </cell>
          <cell r="L387" t="str">
            <v>عين آدن</v>
          </cell>
          <cell r="M387">
            <v>0</v>
          </cell>
          <cell r="N387">
            <v>0</v>
          </cell>
          <cell r="O387" t="str">
            <v>سعدوني   نابي</v>
          </cell>
        </row>
        <row r="388">
          <cell r="A388">
            <v>379</v>
          </cell>
          <cell r="B388" t="str">
            <v>لحمر   آسيا رميساء</v>
          </cell>
          <cell r="C388" t="str">
            <v>لحمر</v>
          </cell>
          <cell r="D388" t="str">
            <v xml:space="preserve"> آسيا رميساء</v>
          </cell>
          <cell r="E388">
            <v>39531</v>
          </cell>
          <cell r="F388" t="str">
            <v>سفيزف</v>
          </cell>
          <cell r="G388" t="str">
            <v>2ع ت2</v>
          </cell>
          <cell r="H388" t="str">
            <v>ن/داخلية</v>
          </cell>
          <cell r="I388" t="str">
            <v>ن/د</v>
          </cell>
          <cell r="J388" t="str">
            <v>ميلود</v>
          </cell>
          <cell r="K388" t="str">
            <v>لا شئ</v>
          </cell>
          <cell r="L388" t="str">
            <v>عين آدن</v>
          </cell>
          <cell r="M388">
            <v>0</v>
          </cell>
          <cell r="N388">
            <v>0</v>
          </cell>
          <cell r="O388" t="str">
            <v>لحمر  ميلود</v>
          </cell>
        </row>
        <row r="389">
          <cell r="A389">
            <v>380</v>
          </cell>
          <cell r="B389" t="str">
            <v>العسري   شهرزاد مهاجية</v>
          </cell>
          <cell r="C389" t="str">
            <v xml:space="preserve">العسري </v>
          </cell>
          <cell r="D389" t="str">
            <v>شهرزاد مهاجية</v>
          </cell>
          <cell r="E389">
            <v>39275</v>
          </cell>
          <cell r="F389" t="str">
            <v>سفيزف</v>
          </cell>
          <cell r="G389" t="str">
            <v>2ع ت2</v>
          </cell>
          <cell r="H389" t="str">
            <v>خارجية</v>
          </cell>
          <cell r="I389" t="str">
            <v>خ</v>
          </cell>
          <cell r="J389" t="str">
            <v>ميلود</v>
          </cell>
          <cell r="K389" t="str">
            <v>تاجر</v>
          </cell>
          <cell r="L389" t="str">
            <v>شارع المقراني محمد سفيزف</v>
          </cell>
          <cell r="M389">
            <v>0</v>
          </cell>
          <cell r="N389">
            <v>0</v>
          </cell>
          <cell r="O389" t="str">
            <v>العسري   ميلود</v>
          </cell>
        </row>
        <row r="390">
          <cell r="A390">
            <v>381</v>
          </cell>
          <cell r="B390" t="str">
            <v>باحة   مريم</v>
          </cell>
          <cell r="C390" t="str">
            <v>باحة</v>
          </cell>
          <cell r="D390" t="str">
            <v xml:space="preserve"> مريم</v>
          </cell>
          <cell r="E390">
            <v>39259</v>
          </cell>
          <cell r="F390" t="str">
            <v>سفيزف</v>
          </cell>
          <cell r="G390" t="str">
            <v>2ع ت2</v>
          </cell>
          <cell r="H390" t="str">
            <v>خارجية</v>
          </cell>
          <cell r="I390" t="str">
            <v>خ</v>
          </cell>
          <cell r="J390" t="str">
            <v>لخضر</v>
          </cell>
          <cell r="K390" t="str">
            <v>لا شئ</v>
          </cell>
          <cell r="L390" t="str">
            <v>حي جرموني محمد سفيزف</v>
          </cell>
          <cell r="M390">
            <v>0</v>
          </cell>
          <cell r="N390">
            <v>0</v>
          </cell>
          <cell r="O390" t="str">
            <v>باحة  لخضر</v>
          </cell>
        </row>
        <row r="391">
          <cell r="A391">
            <v>382</v>
          </cell>
          <cell r="B391" t="str">
            <v>بالسيني    بهاء الدين</v>
          </cell>
          <cell r="C391" t="str">
            <v xml:space="preserve">بالسيني </v>
          </cell>
          <cell r="D391" t="str">
            <v xml:space="preserve"> بهاء الدين</v>
          </cell>
          <cell r="E391">
            <v>39420</v>
          </cell>
          <cell r="F391" t="str">
            <v>س بلعباس</v>
          </cell>
          <cell r="G391" t="str">
            <v>2ع ت2</v>
          </cell>
          <cell r="H391" t="str">
            <v>خارجي</v>
          </cell>
          <cell r="I391" t="str">
            <v>خ</v>
          </cell>
          <cell r="J391" t="str">
            <v>عبدالكريم</v>
          </cell>
          <cell r="K391" t="str">
            <v>ع.أمن</v>
          </cell>
          <cell r="L391" t="str">
            <v>35حي كشار صحراوي سفيزف</v>
          </cell>
          <cell r="M391">
            <v>0</v>
          </cell>
          <cell r="N391">
            <v>0</v>
          </cell>
          <cell r="O391" t="str">
            <v>بالسيني   عبدالكريم</v>
          </cell>
        </row>
        <row r="392">
          <cell r="A392">
            <v>383</v>
          </cell>
          <cell r="B392" t="str">
            <v>بالسيني    علاء الدين</v>
          </cell>
          <cell r="C392" t="str">
            <v xml:space="preserve">بالسيني </v>
          </cell>
          <cell r="D392" t="str">
            <v xml:space="preserve"> علاء الدين</v>
          </cell>
          <cell r="E392">
            <v>39420</v>
          </cell>
          <cell r="F392" t="str">
            <v>س بلعباس</v>
          </cell>
          <cell r="G392" t="str">
            <v>2ع ت2</v>
          </cell>
          <cell r="H392" t="str">
            <v>خارجي</v>
          </cell>
          <cell r="I392" t="str">
            <v>خ</v>
          </cell>
          <cell r="J392" t="str">
            <v>عبدالكريم</v>
          </cell>
          <cell r="K392" t="str">
            <v>ع.أمن</v>
          </cell>
          <cell r="L392" t="str">
            <v>35حي كشار صحراوي سفيزف</v>
          </cell>
          <cell r="M392">
            <v>0</v>
          </cell>
          <cell r="N392">
            <v>0</v>
          </cell>
          <cell r="O392" t="str">
            <v>بالسيني   عبدالكريم</v>
          </cell>
        </row>
        <row r="393">
          <cell r="A393">
            <v>384</v>
          </cell>
          <cell r="B393" t="str">
            <v>بركاني    هاجر</v>
          </cell>
          <cell r="C393" t="str">
            <v xml:space="preserve">بركاني </v>
          </cell>
          <cell r="D393" t="str">
            <v xml:space="preserve"> هاجر</v>
          </cell>
          <cell r="E393">
            <v>39475</v>
          </cell>
          <cell r="F393" t="str">
            <v>سفيزف</v>
          </cell>
          <cell r="G393" t="str">
            <v>2ع ت2</v>
          </cell>
          <cell r="H393" t="str">
            <v>خارجية</v>
          </cell>
          <cell r="I393" t="str">
            <v>خ</v>
          </cell>
          <cell r="J393" t="str">
            <v>الحبيب</v>
          </cell>
          <cell r="K393" t="str">
            <v>متقاعد</v>
          </cell>
          <cell r="L393" t="str">
            <v>حي506سكن سفيزف</v>
          </cell>
          <cell r="M393">
            <v>0</v>
          </cell>
          <cell r="N393">
            <v>0</v>
          </cell>
          <cell r="O393" t="str">
            <v>بركاني   الحبيب</v>
          </cell>
        </row>
        <row r="394">
          <cell r="A394">
            <v>385</v>
          </cell>
          <cell r="B394" t="str">
            <v>بغاديد    خولة</v>
          </cell>
          <cell r="C394" t="str">
            <v xml:space="preserve">بغاديد </v>
          </cell>
          <cell r="D394" t="str">
            <v xml:space="preserve"> خولة</v>
          </cell>
          <cell r="E394">
            <v>39229</v>
          </cell>
          <cell r="F394" t="str">
            <v>س بلعباس</v>
          </cell>
          <cell r="G394" t="str">
            <v>2ع ت2</v>
          </cell>
          <cell r="H394" t="str">
            <v>خارجية</v>
          </cell>
          <cell r="I394" t="str">
            <v>خ</v>
          </cell>
          <cell r="J394" t="str">
            <v>ميلود</v>
          </cell>
          <cell r="K394" t="str">
            <v>متقاعد</v>
          </cell>
          <cell r="L394" t="str">
            <v>47حي بوخنفوس مختار سفيزف</v>
          </cell>
          <cell r="M394">
            <v>0</v>
          </cell>
          <cell r="N394">
            <v>0</v>
          </cell>
          <cell r="O394" t="str">
            <v>بغاديد   ميلود</v>
          </cell>
        </row>
        <row r="395">
          <cell r="A395">
            <v>386</v>
          </cell>
          <cell r="B395" t="str">
            <v>بن حميميدي    رميساء حليمة</v>
          </cell>
          <cell r="C395" t="str">
            <v xml:space="preserve">بن حميميدي </v>
          </cell>
          <cell r="D395" t="str">
            <v xml:space="preserve"> رميساء حليمة</v>
          </cell>
          <cell r="E395">
            <v>39495</v>
          </cell>
          <cell r="F395" t="str">
            <v>سفيزف</v>
          </cell>
          <cell r="G395" t="str">
            <v>2ع ت2</v>
          </cell>
          <cell r="H395" t="str">
            <v>خارجية</v>
          </cell>
          <cell r="I395" t="str">
            <v>خ</v>
          </cell>
          <cell r="J395" t="str">
            <v>يحي</v>
          </cell>
          <cell r="K395" t="str">
            <v>تاجر</v>
          </cell>
          <cell r="L395" t="str">
            <v>06شارع عيسات إيدير سفيزف</v>
          </cell>
          <cell r="M395">
            <v>0</v>
          </cell>
          <cell r="N395">
            <v>0</v>
          </cell>
          <cell r="O395" t="str">
            <v>بن حميميدي   يحي</v>
          </cell>
        </row>
        <row r="396">
          <cell r="A396">
            <v>387</v>
          </cell>
          <cell r="B396" t="str">
            <v>بوخريز    عبير</v>
          </cell>
          <cell r="C396" t="str">
            <v xml:space="preserve">بوخريز </v>
          </cell>
          <cell r="D396" t="str">
            <v xml:space="preserve"> عبير</v>
          </cell>
          <cell r="E396">
            <v>39243</v>
          </cell>
          <cell r="F396" t="str">
            <v>س بلعباس</v>
          </cell>
          <cell r="G396" t="str">
            <v>2ع ت2</v>
          </cell>
          <cell r="H396" t="str">
            <v>خارجية</v>
          </cell>
          <cell r="I396" t="str">
            <v>خ</v>
          </cell>
          <cell r="J396" t="str">
            <v>بوعلام</v>
          </cell>
          <cell r="K396" t="str">
            <v>موظف</v>
          </cell>
          <cell r="L396" t="str">
            <v>61حي بوعسرية البشير سفيزف</v>
          </cell>
          <cell r="M396">
            <v>0</v>
          </cell>
          <cell r="N396">
            <v>0</v>
          </cell>
          <cell r="O396" t="str">
            <v>بوخريز   بوعلام</v>
          </cell>
        </row>
        <row r="397">
          <cell r="A397">
            <v>388</v>
          </cell>
          <cell r="B397" t="str">
            <v>بوزيان   أامينة عبير</v>
          </cell>
          <cell r="C397" t="str">
            <v xml:space="preserve">بوزيان </v>
          </cell>
          <cell r="D397" t="str">
            <v>أامينة عبير</v>
          </cell>
          <cell r="E397">
            <v>39191</v>
          </cell>
          <cell r="F397" t="str">
            <v>س بلعباس</v>
          </cell>
          <cell r="G397" t="str">
            <v>2ع ت2</v>
          </cell>
          <cell r="H397" t="str">
            <v>خارجية</v>
          </cell>
          <cell r="I397" t="str">
            <v>خ</v>
          </cell>
          <cell r="J397" t="str">
            <v>يحي</v>
          </cell>
          <cell r="K397" t="str">
            <v>موظف</v>
          </cell>
          <cell r="L397" t="str">
            <v>04حي بوخنفوس مختار سفيزف</v>
          </cell>
          <cell r="M397">
            <v>0</v>
          </cell>
          <cell r="N397">
            <v>0</v>
          </cell>
          <cell r="O397" t="str">
            <v>بوزيان   يحي</v>
          </cell>
        </row>
        <row r="398">
          <cell r="A398">
            <v>389</v>
          </cell>
          <cell r="B398" t="str">
            <v>بولنجة    رانيا</v>
          </cell>
          <cell r="C398" t="str">
            <v xml:space="preserve">بولنجة </v>
          </cell>
          <cell r="D398" t="str">
            <v xml:space="preserve"> رانيا</v>
          </cell>
          <cell r="E398">
            <v>39242</v>
          </cell>
          <cell r="F398" t="str">
            <v>سفيزف</v>
          </cell>
          <cell r="G398" t="str">
            <v>2ع ت2</v>
          </cell>
          <cell r="H398" t="str">
            <v>خارجية</v>
          </cell>
          <cell r="I398" t="str">
            <v>خ</v>
          </cell>
          <cell r="J398" t="str">
            <v>بقدور</v>
          </cell>
          <cell r="K398" t="str">
            <v>لا شئ</v>
          </cell>
          <cell r="L398" t="str">
            <v>حي طيبي عبدالقادر سفيزف</v>
          </cell>
          <cell r="M398">
            <v>0</v>
          </cell>
          <cell r="N398">
            <v>0</v>
          </cell>
          <cell r="O398" t="str">
            <v>بولنجة   بقدور</v>
          </cell>
        </row>
        <row r="399">
          <cell r="A399">
            <v>390</v>
          </cell>
          <cell r="B399" t="str">
            <v>بومسجد    أية</v>
          </cell>
          <cell r="C399" t="str">
            <v xml:space="preserve">بومسجد </v>
          </cell>
          <cell r="D399" t="str">
            <v xml:space="preserve"> أية</v>
          </cell>
          <cell r="E399">
            <v>39524</v>
          </cell>
          <cell r="F399" t="str">
            <v>سفيزف</v>
          </cell>
          <cell r="G399" t="str">
            <v>2ع ت2</v>
          </cell>
          <cell r="H399" t="str">
            <v>خارجية</v>
          </cell>
          <cell r="I399" t="str">
            <v>خ</v>
          </cell>
          <cell r="J399" t="str">
            <v>بوعزة</v>
          </cell>
          <cell r="K399" t="str">
            <v>متقاعد</v>
          </cell>
          <cell r="L399" t="str">
            <v>حي كشار صحراوي سفيزف</v>
          </cell>
          <cell r="M399">
            <v>0</v>
          </cell>
          <cell r="N399">
            <v>0</v>
          </cell>
          <cell r="O399" t="str">
            <v>بومسجد   بوعزة</v>
          </cell>
        </row>
        <row r="400">
          <cell r="A400">
            <v>391</v>
          </cell>
          <cell r="B400" t="str">
            <v>بوهند  أحمد ياسين</v>
          </cell>
          <cell r="C400" t="str">
            <v>بوهند</v>
          </cell>
          <cell r="D400" t="str">
            <v>أحمد ياسين</v>
          </cell>
          <cell r="E400">
            <v>39365</v>
          </cell>
          <cell r="F400" t="str">
            <v>س بلعباس</v>
          </cell>
          <cell r="G400" t="str">
            <v>2ع ت2</v>
          </cell>
          <cell r="H400" t="str">
            <v>خارجي</v>
          </cell>
          <cell r="I400" t="str">
            <v>خ</v>
          </cell>
          <cell r="J400" t="str">
            <v>محمد</v>
          </cell>
          <cell r="K400" t="str">
            <v>متقاعد</v>
          </cell>
          <cell r="L400" t="str">
            <v>04حي80سكن سفيزف</v>
          </cell>
          <cell r="M400">
            <v>0</v>
          </cell>
          <cell r="N400">
            <v>0</v>
          </cell>
          <cell r="O400" t="str">
            <v>بوهند  محمد</v>
          </cell>
        </row>
        <row r="401">
          <cell r="A401">
            <v>392</v>
          </cell>
          <cell r="B401" t="str">
            <v>تواتي    ايناس مريم</v>
          </cell>
          <cell r="C401" t="str">
            <v xml:space="preserve">تواتي </v>
          </cell>
          <cell r="D401" t="str">
            <v xml:space="preserve"> ايناس مريم</v>
          </cell>
          <cell r="E401">
            <v>39309</v>
          </cell>
          <cell r="F401" t="str">
            <v>سفيزف</v>
          </cell>
          <cell r="G401" t="str">
            <v>2ع ت2</v>
          </cell>
          <cell r="H401" t="str">
            <v>خارجية</v>
          </cell>
          <cell r="I401" t="str">
            <v>خ</v>
          </cell>
          <cell r="J401" t="str">
            <v>محي الدين</v>
          </cell>
          <cell r="K401" t="str">
            <v>متقاعد</v>
          </cell>
          <cell r="L401" t="str">
            <v>شارع أوهيبة عبدالقادر سفيزف</v>
          </cell>
          <cell r="M401">
            <v>0</v>
          </cell>
          <cell r="N401">
            <v>0</v>
          </cell>
          <cell r="O401" t="str">
            <v>تواتي   محي الدين</v>
          </cell>
        </row>
        <row r="402">
          <cell r="A402">
            <v>393</v>
          </cell>
          <cell r="B402" t="str">
            <v>توسر    رقية</v>
          </cell>
          <cell r="C402" t="str">
            <v xml:space="preserve">توسر </v>
          </cell>
          <cell r="D402" t="str">
            <v xml:space="preserve"> رقية</v>
          </cell>
          <cell r="E402">
            <v>39212</v>
          </cell>
          <cell r="F402" t="str">
            <v>سفيزف</v>
          </cell>
          <cell r="G402" t="str">
            <v>2ع ت2</v>
          </cell>
          <cell r="H402" t="str">
            <v>خارجية</v>
          </cell>
          <cell r="I402" t="str">
            <v>خ</v>
          </cell>
          <cell r="J402" t="str">
            <v>أحمد</v>
          </cell>
          <cell r="K402" t="str">
            <v>تاجر</v>
          </cell>
          <cell r="L402" t="str">
            <v>حي نواري بن عبدالله سفيزف</v>
          </cell>
          <cell r="M402">
            <v>0</v>
          </cell>
          <cell r="N402">
            <v>0</v>
          </cell>
          <cell r="O402" t="str">
            <v>توسر   أحمد</v>
          </cell>
        </row>
        <row r="403">
          <cell r="A403">
            <v>394</v>
          </cell>
          <cell r="B403" t="str">
            <v>تيرس    أحمد شاكر</v>
          </cell>
          <cell r="C403" t="str">
            <v xml:space="preserve">تيرس </v>
          </cell>
          <cell r="D403" t="str">
            <v xml:space="preserve"> أحمد شاكر</v>
          </cell>
          <cell r="E403">
            <v>39208</v>
          </cell>
          <cell r="F403" t="str">
            <v>سفيزف</v>
          </cell>
          <cell r="G403" t="str">
            <v>2ع ت2</v>
          </cell>
          <cell r="H403" t="str">
            <v>خارجي</v>
          </cell>
          <cell r="I403" t="str">
            <v>خ</v>
          </cell>
          <cell r="J403" t="str">
            <v>قويدر</v>
          </cell>
          <cell r="K403" t="str">
            <v>متقاعد</v>
          </cell>
          <cell r="L403" t="str">
            <v>حي506سكن سفيزف</v>
          </cell>
          <cell r="M403">
            <v>0</v>
          </cell>
          <cell r="N403">
            <v>0</v>
          </cell>
          <cell r="O403" t="str">
            <v>تيرس   قويدر</v>
          </cell>
        </row>
        <row r="404">
          <cell r="A404">
            <v>395</v>
          </cell>
          <cell r="B404" t="str">
            <v>حديم    فاطمة الزهراء دعاء</v>
          </cell>
          <cell r="C404" t="str">
            <v xml:space="preserve">حديم </v>
          </cell>
          <cell r="D404" t="str">
            <v xml:space="preserve"> فاطمة الزهراء دعاء</v>
          </cell>
          <cell r="E404">
            <v>39213</v>
          </cell>
          <cell r="F404" t="str">
            <v>سفيزف</v>
          </cell>
          <cell r="G404" t="str">
            <v>2ع ت2</v>
          </cell>
          <cell r="H404" t="str">
            <v>خارجية</v>
          </cell>
          <cell r="I404" t="str">
            <v>خ</v>
          </cell>
          <cell r="J404" t="str">
            <v>يوسف</v>
          </cell>
          <cell r="K404" t="str">
            <v>ميكانيكي</v>
          </cell>
          <cell r="L404" t="str">
            <v>حي طيبي عبدالقادر سفيزف</v>
          </cell>
          <cell r="M404">
            <v>0</v>
          </cell>
          <cell r="N404">
            <v>0</v>
          </cell>
          <cell r="O404" t="str">
            <v>حديم   يوسف</v>
          </cell>
        </row>
        <row r="405">
          <cell r="A405">
            <v>396</v>
          </cell>
          <cell r="B405" t="str">
            <v>خليل    عبد الاله</v>
          </cell>
          <cell r="C405" t="str">
            <v xml:space="preserve">خليل </v>
          </cell>
          <cell r="D405" t="str">
            <v xml:space="preserve"> عبد الاله</v>
          </cell>
          <cell r="E405">
            <v>39147</v>
          </cell>
          <cell r="F405" t="str">
            <v>س بلعباس</v>
          </cell>
          <cell r="G405" t="str">
            <v>2ع ت2</v>
          </cell>
          <cell r="H405" t="str">
            <v xml:space="preserve">خارجي </v>
          </cell>
          <cell r="I405" t="str">
            <v>خ</v>
          </cell>
          <cell r="J405" t="str">
            <v>بوعلام</v>
          </cell>
          <cell r="K405" t="str">
            <v>مقاول</v>
          </cell>
          <cell r="L405" t="str">
            <v>01شارع منجوم بلاحة سفيزف</v>
          </cell>
          <cell r="M405">
            <v>0</v>
          </cell>
          <cell r="N405">
            <v>0</v>
          </cell>
          <cell r="O405" t="str">
            <v>خليل   بوعلام</v>
          </cell>
        </row>
        <row r="406">
          <cell r="A406">
            <v>397</v>
          </cell>
          <cell r="B406" t="str">
            <v>خوجة    هبة</v>
          </cell>
          <cell r="C406" t="str">
            <v xml:space="preserve">خوجة </v>
          </cell>
          <cell r="D406" t="str">
            <v xml:space="preserve"> هبة</v>
          </cell>
          <cell r="E406">
            <v>39159</v>
          </cell>
          <cell r="F406" t="str">
            <v>سفيزف</v>
          </cell>
          <cell r="G406" t="str">
            <v>2ع ت2</v>
          </cell>
          <cell r="H406" t="str">
            <v>خارجية</v>
          </cell>
          <cell r="I406" t="str">
            <v>خ</v>
          </cell>
          <cell r="J406" t="str">
            <v>رزيوي</v>
          </cell>
          <cell r="K406" t="str">
            <v>عامل</v>
          </cell>
          <cell r="L406" t="str">
            <v>حي صلات محمد سفيزف</v>
          </cell>
          <cell r="M406">
            <v>0</v>
          </cell>
          <cell r="N406">
            <v>0</v>
          </cell>
          <cell r="O406" t="str">
            <v>خوجة   رزيوي</v>
          </cell>
        </row>
        <row r="407">
          <cell r="A407">
            <v>398</v>
          </cell>
          <cell r="B407" t="str">
            <v>دوكالي    بشرى</v>
          </cell>
          <cell r="C407" t="str">
            <v xml:space="preserve">دوكالي </v>
          </cell>
          <cell r="D407" t="str">
            <v xml:space="preserve"> بشرى</v>
          </cell>
          <cell r="E407">
            <v>38985</v>
          </cell>
          <cell r="F407" t="str">
            <v>سفيزف</v>
          </cell>
          <cell r="G407" t="str">
            <v>2ع ت2</v>
          </cell>
          <cell r="H407" t="str">
            <v>خارجية</v>
          </cell>
          <cell r="I407" t="str">
            <v>خ</v>
          </cell>
          <cell r="J407" t="str">
            <v>عبدالقادر</v>
          </cell>
          <cell r="K407" t="str">
            <v>متقاعد</v>
          </cell>
          <cell r="L407" t="str">
            <v>20حي بوخنفوس مختار سفيزف</v>
          </cell>
          <cell r="M407">
            <v>0</v>
          </cell>
          <cell r="N407">
            <v>0</v>
          </cell>
          <cell r="O407" t="str">
            <v>دوكالي   عبدالقادر</v>
          </cell>
        </row>
        <row r="408">
          <cell r="A408">
            <v>399</v>
          </cell>
          <cell r="B408" t="str">
            <v>رمدوم    ألاء ريم</v>
          </cell>
          <cell r="C408" t="str">
            <v xml:space="preserve">رمدوم </v>
          </cell>
          <cell r="D408" t="str">
            <v xml:space="preserve"> ألاء ريم</v>
          </cell>
          <cell r="E408">
            <v>39487</v>
          </cell>
          <cell r="F408" t="str">
            <v>سفيزف</v>
          </cell>
          <cell r="G408" t="str">
            <v>2ع ت2</v>
          </cell>
          <cell r="H408" t="str">
            <v>خارجية</v>
          </cell>
          <cell r="I408" t="str">
            <v>خ</v>
          </cell>
          <cell r="J408" t="str">
            <v>نصرالدين</v>
          </cell>
          <cell r="K408" t="str">
            <v>لا شئ</v>
          </cell>
          <cell r="L408" t="str">
            <v>64حي طيبي عبدالقادر سفيزف</v>
          </cell>
          <cell r="M408">
            <v>0</v>
          </cell>
          <cell r="N408">
            <v>0</v>
          </cell>
          <cell r="O408" t="str">
            <v>رمدوم   نصرالدين</v>
          </cell>
        </row>
        <row r="409">
          <cell r="A409">
            <v>400</v>
          </cell>
          <cell r="B409" t="str">
            <v>سعدوني    ياسمين كلثوم</v>
          </cell>
          <cell r="C409" t="str">
            <v xml:space="preserve">سعدوني </v>
          </cell>
          <cell r="D409" t="str">
            <v xml:space="preserve"> ياسمين كلثوم</v>
          </cell>
          <cell r="E409">
            <v>39505</v>
          </cell>
          <cell r="F409" t="str">
            <v>سفيزف</v>
          </cell>
          <cell r="G409" t="str">
            <v>2ع ت2</v>
          </cell>
          <cell r="H409" t="str">
            <v>خارجية</v>
          </cell>
          <cell r="I409" t="str">
            <v>خ</v>
          </cell>
          <cell r="J409" t="str">
            <v>صالح</v>
          </cell>
          <cell r="K409" t="str">
            <v>لا شئ</v>
          </cell>
          <cell r="L409" t="str">
            <v>حي طيبي عبدالقادر سفيزف</v>
          </cell>
          <cell r="M409">
            <v>0</v>
          </cell>
          <cell r="N409">
            <v>0</v>
          </cell>
          <cell r="O409" t="str">
            <v>سعدوني   صالح</v>
          </cell>
        </row>
        <row r="410">
          <cell r="A410">
            <v>401</v>
          </cell>
          <cell r="B410" t="str">
            <v>صالحي    فردوس</v>
          </cell>
          <cell r="C410" t="str">
            <v xml:space="preserve">صالحي </v>
          </cell>
          <cell r="D410" t="str">
            <v xml:space="preserve"> فردوس</v>
          </cell>
          <cell r="E410">
            <v>39277</v>
          </cell>
          <cell r="F410" t="str">
            <v>س بلعباس</v>
          </cell>
          <cell r="G410" t="str">
            <v>2ع ت2</v>
          </cell>
          <cell r="H410" t="str">
            <v>خارجية</v>
          </cell>
          <cell r="I410" t="str">
            <v>خ</v>
          </cell>
          <cell r="J410" t="str">
            <v>بن عتو</v>
          </cell>
          <cell r="K410" t="str">
            <v>متقاعد</v>
          </cell>
          <cell r="L410" t="str">
            <v>50حي بوخنفوس مختار سفيزف</v>
          </cell>
          <cell r="M410">
            <v>0</v>
          </cell>
          <cell r="N410">
            <v>0</v>
          </cell>
          <cell r="O410" t="str">
            <v>صالحي   بن عتو</v>
          </cell>
        </row>
        <row r="411">
          <cell r="A411">
            <v>402</v>
          </cell>
          <cell r="B411" t="str">
            <v>صنديد  رفيدة نرمين</v>
          </cell>
          <cell r="C411" t="str">
            <v>صنديد</v>
          </cell>
          <cell r="D411" t="str">
            <v>رفيدة نرمين</v>
          </cell>
          <cell r="E411">
            <v>39368</v>
          </cell>
          <cell r="F411" t="str">
            <v>س بلعباس</v>
          </cell>
          <cell r="G411" t="str">
            <v>2ع ت2</v>
          </cell>
          <cell r="H411" t="str">
            <v>خارجية</v>
          </cell>
          <cell r="I411" t="str">
            <v>خ</v>
          </cell>
          <cell r="J411" t="str">
            <v>ماحي</v>
          </cell>
          <cell r="K411" t="str">
            <v>متقاعد</v>
          </cell>
          <cell r="L411" t="str">
            <v>43حي132سكن سفيزف</v>
          </cell>
          <cell r="M411">
            <v>0</v>
          </cell>
          <cell r="N411">
            <v>0</v>
          </cell>
          <cell r="O411" t="str">
            <v>صنديد  ماحي</v>
          </cell>
        </row>
        <row r="412">
          <cell r="A412">
            <v>403</v>
          </cell>
          <cell r="B412" t="str">
            <v>صوافي    هناء</v>
          </cell>
          <cell r="C412" t="str">
            <v xml:space="preserve">صوافي </v>
          </cell>
          <cell r="D412" t="str">
            <v xml:space="preserve"> هناء</v>
          </cell>
          <cell r="E412">
            <v>39376</v>
          </cell>
          <cell r="F412" t="str">
            <v>سفيزف</v>
          </cell>
          <cell r="G412" t="str">
            <v>2ع ت2</v>
          </cell>
          <cell r="H412" t="str">
            <v>خارجية</v>
          </cell>
          <cell r="I412" t="str">
            <v>خ</v>
          </cell>
          <cell r="J412" t="str">
            <v>بوعلام</v>
          </cell>
          <cell r="K412" t="str">
            <v>شرطي</v>
          </cell>
          <cell r="L412" t="str">
            <v>حي الشرطة سفيزف</v>
          </cell>
          <cell r="M412">
            <v>0</v>
          </cell>
          <cell r="N412">
            <v>0</v>
          </cell>
          <cell r="O412" t="str">
            <v>صوافي   بوعلام</v>
          </cell>
        </row>
        <row r="413">
          <cell r="A413">
            <v>404</v>
          </cell>
          <cell r="B413" t="str">
            <v>طيبي    فاطيمة الزهرة</v>
          </cell>
          <cell r="C413" t="str">
            <v xml:space="preserve">طيبي </v>
          </cell>
          <cell r="D413" t="str">
            <v xml:space="preserve"> فاطيمة الزهرة</v>
          </cell>
          <cell r="E413">
            <v>39190</v>
          </cell>
          <cell r="F413" t="str">
            <v>سفيزف</v>
          </cell>
          <cell r="G413" t="str">
            <v>2ع ت2</v>
          </cell>
          <cell r="H413" t="str">
            <v>خارجية</v>
          </cell>
          <cell r="I413" t="str">
            <v>خ</v>
          </cell>
          <cell r="J413" t="str">
            <v>عبدالله</v>
          </cell>
          <cell r="K413" t="str">
            <v>موظف</v>
          </cell>
          <cell r="L413" t="str">
            <v>حي طيبي عبدالقادر سفيزف</v>
          </cell>
          <cell r="M413">
            <v>0</v>
          </cell>
          <cell r="N413">
            <v>0</v>
          </cell>
          <cell r="O413" t="str">
            <v>طيبي   عبدالله</v>
          </cell>
        </row>
        <row r="414">
          <cell r="A414">
            <v>405</v>
          </cell>
          <cell r="B414" t="str">
            <v>قديح    محمد علي</v>
          </cell>
          <cell r="C414" t="str">
            <v xml:space="preserve">قديح </v>
          </cell>
          <cell r="D414" t="str">
            <v xml:space="preserve"> محمد علي</v>
          </cell>
          <cell r="E414">
            <v>39326</v>
          </cell>
          <cell r="F414" t="str">
            <v>س بلعباس</v>
          </cell>
          <cell r="G414" t="str">
            <v>2ع ت2</v>
          </cell>
          <cell r="H414" t="str">
            <v>خارجي</v>
          </cell>
          <cell r="I414" t="str">
            <v>خ</v>
          </cell>
          <cell r="J414" t="str">
            <v>بغداد</v>
          </cell>
          <cell r="K414" t="str">
            <v>لا شئ</v>
          </cell>
          <cell r="L414" t="str">
            <v>60حي طيبي عبدالقادر سفيزف</v>
          </cell>
          <cell r="M414">
            <v>0</v>
          </cell>
          <cell r="N414">
            <v>0</v>
          </cell>
          <cell r="O414" t="str">
            <v>قديح   بغداد</v>
          </cell>
        </row>
        <row r="415">
          <cell r="A415">
            <v>406</v>
          </cell>
          <cell r="B415" t="str">
            <v>كرناف    عصام الدين ميلود</v>
          </cell>
          <cell r="C415" t="str">
            <v xml:space="preserve">كرناف </v>
          </cell>
          <cell r="D415" t="str">
            <v xml:space="preserve"> عصام الدين ميلود</v>
          </cell>
          <cell r="E415">
            <v>39445</v>
          </cell>
          <cell r="F415" t="str">
            <v>سفيزف</v>
          </cell>
          <cell r="G415" t="str">
            <v>2ع ت2</v>
          </cell>
          <cell r="H415" t="str">
            <v>خارجي</v>
          </cell>
          <cell r="I415" t="str">
            <v>خ</v>
          </cell>
          <cell r="J415" t="str">
            <v>معاشو</v>
          </cell>
          <cell r="K415" t="str">
            <v>موظف</v>
          </cell>
          <cell r="L415" t="str">
            <v>115حي نواري بن عبدالله سفيزف</v>
          </cell>
          <cell r="M415">
            <v>0</v>
          </cell>
          <cell r="N415">
            <v>0</v>
          </cell>
          <cell r="O415" t="str">
            <v>كرناف   معاشو</v>
          </cell>
        </row>
        <row r="416">
          <cell r="A416">
            <v>407</v>
          </cell>
          <cell r="B416" t="str">
            <v>لعسل    عبد الرحمان</v>
          </cell>
          <cell r="C416" t="str">
            <v xml:space="preserve">لعسل </v>
          </cell>
          <cell r="D416" t="str">
            <v xml:space="preserve"> عبد الرحمان</v>
          </cell>
          <cell r="E416">
            <v>39407</v>
          </cell>
          <cell r="F416" t="str">
            <v>س بلعباس</v>
          </cell>
          <cell r="G416" t="str">
            <v>2ع ت2</v>
          </cell>
          <cell r="H416" t="str">
            <v>خارجي</v>
          </cell>
          <cell r="I416" t="str">
            <v>خ</v>
          </cell>
          <cell r="J416" t="str">
            <v>علي</v>
          </cell>
          <cell r="K416" t="str">
            <v>بيطري</v>
          </cell>
          <cell r="L416" t="str">
            <v>شارع قديح مهاجي سفيزف</v>
          </cell>
          <cell r="M416">
            <v>0</v>
          </cell>
          <cell r="N416">
            <v>0</v>
          </cell>
          <cell r="O416" t="str">
            <v>لعسل   علي</v>
          </cell>
        </row>
        <row r="417">
          <cell r="A417">
            <v>408</v>
          </cell>
          <cell r="B417" t="str">
            <v>لوت    كوثر</v>
          </cell>
          <cell r="C417" t="str">
            <v xml:space="preserve">لوت </v>
          </cell>
          <cell r="D417" t="str">
            <v xml:space="preserve"> كوثر</v>
          </cell>
          <cell r="E417">
            <v>39685</v>
          </cell>
          <cell r="F417" t="str">
            <v>سفيزف</v>
          </cell>
          <cell r="G417" t="str">
            <v>2ع ت2</v>
          </cell>
          <cell r="H417" t="str">
            <v>خارجية</v>
          </cell>
          <cell r="I417" t="str">
            <v>خ</v>
          </cell>
          <cell r="J417" t="str">
            <v>يحي</v>
          </cell>
          <cell r="K417" t="str">
            <v>متقاعد</v>
          </cell>
          <cell r="L417" t="str">
            <v>10حي115سكن سفيزف</v>
          </cell>
          <cell r="M417">
            <v>0</v>
          </cell>
          <cell r="N417">
            <v>0</v>
          </cell>
          <cell r="O417" t="str">
            <v>لوت   يحي</v>
          </cell>
        </row>
        <row r="418">
          <cell r="A418">
            <v>409</v>
          </cell>
          <cell r="B418" t="str">
            <v>موحوش    كرمل عباسية</v>
          </cell>
          <cell r="C418" t="str">
            <v xml:space="preserve">موحوش </v>
          </cell>
          <cell r="D418" t="str">
            <v xml:space="preserve"> كرمل عباسية</v>
          </cell>
          <cell r="E418">
            <v>39394</v>
          </cell>
          <cell r="F418" t="str">
            <v>سفيزف</v>
          </cell>
          <cell r="G418" t="str">
            <v>2ع ت2</v>
          </cell>
          <cell r="H418" t="str">
            <v>خارجية</v>
          </cell>
          <cell r="I418" t="str">
            <v>خ</v>
          </cell>
          <cell r="J418" t="str">
            <v>عباس</v>
          </cell>
          <cell r="K418" t="str">
            <v>تاجر</v>
          </cell>
          <cell r="L418" t="str">
            <v>10شارع مروك ميلود سفيزف</v>
          </cell>
          <cell r="M418">
            <v>0</v>
          </cell>
          <cell r="N418">
            <v>0</v>
          </cell>
          <cell r="O418" t="str">
            <v>موحوش   عباس</v>
          </cell>
        </row>
        <row r="419">
          <cell r="A419">
            <v>410</v>
          </cell>
          <cell r="B419" t="str">
            <v>العسري    خديجة</v>
          </cell>
          <cell r="C419" t="str">
            <v xml:space="preserve">العسري </v>
          </cell>
          <cell r="D419" t="str">
            <v xml:space="preserve"> خديجة</v>
          </cell>
          <cell r="E419">
            <v>38991</v>
          </cell>
          <cell r="F419" t="str">
            <v>سفيزف</v>
          </cell>
          <cell r="G419" t="str">
            <v>2أ ف1</v>
          </cell>
          <cell r="H419" t="str">
            <v>ن/داخلية</v>
          </cell>
          <cell r="I419" t="str">
            <v>ن/د</v>
          </cell>
          <cell r="J419" t="str">
            <v>ميلود</v>
          </cell>
          <cell r="K419" t="str">
            <v>لا شئ</v>
          </cell>
          <cell r="L419" t="str">
            <v>عين آدن</v>
          </cell>
          <cell r="M419">
            <v>0</v>
          </cell>
          <cell r="N419">
            <v>0</v>
          </cell>
          <cell r="O419" t="str">
            <v>العسري   ميلود</v>
          </cell>
        </row>
        <row r="420">
          <cell r="A420">
            <v>411</v>
          </cell>
          <cell r="B420" t="str">
            <v>سعدوني    نشوى</v>
          </cell>
          <cell r="C420" t="str">
            <v xml:space="preserve">سعدوني </v>
          </cell>
          <cell r="D420" t="str">
            <v xml:space="preserve"> نشوى</v>
          </cell>
          <cell r="E420">
            <v>39418</v>
          </cell>
          <cell r="F420" t="str">
            <v>سفيزف</v>
          </cell>
          <cell r="G420" t="str">
            <v>2أ ف1</v>
          </cell>
          <cell r="H420" t="str">
            <v>ن/داخلية</v>
          </cell>
          <cell r="I420" t="str">
            <v>ن/د</v>
          </cell>
          <cell r="J420" t="str">
            <v>لحسن</v>
          </cell>
          <cell r="K420" t="str">
            <v>متقاعد</v>
          </cell>
          <cell r="L420" t="str">
            <v>شارع طالبي عبدالقادر سفيزف</v>
          </cell>
          <cell r="M420">
            <v>0</v>
          </cell>
          <cell r="N420">
            <v>0</v>
          </cell>
          <cell r="O420" t="str">
            <v>سعدوني   لحسن</v>
          </cell>
        </row>
        <row r="421">
          <cell r="A421">
            <v>412</v>
          </cell>
          <cell r="B421" t="str">
            <v>لومي    فاطمة زهرة</v>
          </cell>
          <cell r="C421" t="str">
            <v xml:space="preserve">لومي </v>
          </cell>
          <cell r="D421" t="str">
            <v xml:space="preserve"> فاطمة زهرة</v>
          </cell>
          <cell r="E421">
            <v>39270</v>
          </cell>
          <cell r="F421" t="str">
            <v>سفيزف</v>
          </cell>
          <cell r="G421" t="str">
            <v>2أ ف1</v>
          </cell>
          <cell r="H421" t="str">
            <v>ن/داخلية</v>
          </cell>
          <cell r="I421" t="str">
            <v>ن/د</v>
          </cell>
          <cell r="J421" t="str">
            <v>سيدأحمد</v>
          </cell>
          <cell r="K421" t="str">
            <v>متقاعد</v>
          </cell>
          <cell r="L421" t="str">
            <v>مقطع دار السبع عين آدن</v>
          </cell>
          <cell r="M421">
            <v>0</v>
          </cell>
          <cell r="N421">
            <v>0</v>
          </cell>
          <cell r="O421" t="str">
            <v>لومي   سيدأحمد</v>
          </cell>
        </row>
        <row r="422">
          <cell r="A422">
            <v>413</v>
          </cell>
          <cell r="B422" t="str">
            <v xml:space="preserve">مسلم  راشا </v>
          </cell>
          <cell r="C422" t="str">
            <v>مسلم</v>
          </cell>
          <cell r="D422" t="str">
            <v xml:space="preserve">راشا </v>
          </cell>
          <cell r="E422">
            <v>39305</v>
          </cell>
          <cell r="F422" t="str">
            <v>سفيزف</v>
          </cell>
          <cell r="G422" t="str">
            <v>2أ ف1</v>
          </cell>
          <cell r="H422" t="str">
            <v>ن/داخلية</v>
          </cell>
          <cell r="I422" t="str">
            <v>ن/د</v>
          </cell>
          <cell r="J422" t="str">
            <v>بن دادي نادية</v>
          </cell>
          <cell r="K422" t="str">
            <v>لا شئ</v>
          </cell>
          <cell r="L422" t="str">
            <v>قرية بلبوش</v>
          </cell>
          <cell r="M422">
            <v>0</v>
          </cell>
          <cell r="N422">
            <v>0</v>
          </cell>
          <cell r="O422" t="str">
            <v>مسلم  بن دادي نادية</v>
          </cell>
        </row>
        <row r="423">
          <cell r="A423">
            <v>414</v>
          </cell>
          <cell r="B423" t="str">
            <v>نحال     محمد إسلام</v>
          </cell>
          <cell r="C423" t="str">
            <v xml:space="preserve">نحال  </v>
          </cell>
          <cell r="D423" t="str">
            <v xml:space="preserve"> محمد إسلام</v>
          </cell>
          <cell r="E423">
            <v>39283</v>
          </cell>
          <cell r="F423" t="str">
            <v>سفيزف</v>
          </cell>
          <cell r="G423" t="str">
            <v>2أ ف1</v>
          </cell>
          <cell r="H423" t="str">
            <v>ن/داخلي</v>
          </cell>
          <cell r="I423" t="str">
            <v>ن/د</v>
          </cell>
          <cell r="J423" t="str">
            <v>بوعلام</v>
          </cell>
          <cell r="K423" t="str">
            <v>لا شئ</v>
          </cell>
          <cell r="L423" t="str">
            <v>قرية بلبوش</v>
          </cell>
          <cell r="M423">
            <v>0</v>
          </cell>
          <cell r="N423">
            <v>0</v>
          </cell>
          <cell r="O423" t="str">
            <v>نحال    بوعلام</v>
          </cell>
        </row>
        <row r="424">
          <cell r="A424">
            <v>415</v>
          </cell>
          <cell r="B424" t="str">
            <v>العكرمي      عبد القادر صفوان</v>
          </cell>
          <cell r="C424" t="str">
            <v xml:space="preserve">العكرمي   </v>
          </cell>
          <cell r="D424" t="str">
            <v xml:space="preserve"> عبد القادر صفوان</v>
          </cell>
          <cell r="E424">
            <v>39220</v>
          </cell>
          <cell r="F424" t="str">
            <v>سفيزف</v>
          </cell>
          <cell r="G424" t="str">
            <v>2أ ف1</v>
          </cell>
          <cell r="H424" t="str">
            <v>خارجي</v>
          </cell>
          <cell r="I424" t="str">
            <v>خ</v>
          </cell>
          <cell r="J424" t="str">
            <v>سحنون</v>
          </cell>
          <cell r="K424" t="str">
            <v>مخبري</v>
          </cell>
          <cell r="L424" t="str">
            <v>45حي214سكن سفيزف</v>
          </cell>
          <cell r="M424">
            <v>0</v>
          </cell>
          <cell r="N424">
            <v>0</v>
          </cell>
          <cell r="O424" t="str">
            <v>العكرمي     سحنون</v>
          </cell>
        </row>
        <row r="425">
          <cell r="A425">
            <v>416</v>
          </cell>
          <cell r="B425" t="str">
            <v>باحة    أمينة شراز</v>
          </cell>
          <cell r="C425" t="str">
            <v xml:space="preserve">باحة </v>
          </cell>
          <cell r="D425" t="str">
            <v xml:space="preserve"> أمينة شراز</v>
          </cell>
          <cell r="E425">
            <v>38947</v>
          </cell>
          <cell r="F425" t="str">
            <v>سفيزف</v>
          </cell>
          <cell r="G425" t="str">
            <v>2أ ف1</v>
          </cell>
          <cell r="H425" t="str">
            <v>خارجية</v>
          </cell>
          <cell r="I425" t="str">
            <v>خ</v>
          </cell>
          <cell r="J425" t="str">
            <v>أحمد</v>
          </cell>
          <cell r="K425" t="str">
            <v>لا شئ</v>
          </cell>
          <cell r="L425" t="str">
            <v>حي كشار صحراوي سفيزف</v>
          </cell>
          <cell r="M425">
            <v>0</v>
          </cell>
          <cell r="N425">
            <v>0</v>
          </cell>
          <cell r="O425" t="str">
            <v>باحة   أحمد</v>
          </cell>
        </row>
        <row r="426">
          <cell r="A426">
            <v>417</v>
          </cell>
          <cell r="B426" t="str">
            <v>بطول    مامة</v>
          </cell>
          <cell r="C426" t="str">
            <v xml:space="preserve">بطول </v>
          </cell>
          <cell r="D426" t="str">
            <v xml:space="preserve"> مامة</v>
          </cell>
          <cell r="E426">
            <v>39073</v>
          </cell>
          <cell r="F426" t="str">
            <v>سفيزف</v>
          </cell>
          <cell r="G426" t="str">
            <v>2أ ف1</v>
          </cell>
          <cell r="H426" t="str">
            <v>خارجية</v>
          </cell>
          <cell r="I426" t="str">
            <v>خ</v>
          </cell>
          <cell r="J426" t="str">
            <v>العربي</v>
          </cell>
          <cell r="K426" t="str">
            <v>لا شئ</v>
          </cell>
          <cell r="L426" t="str">
            <v>حي طيبي عبدالقادر سفيزف</v>
          </cell>
          <cell r="M426">
            <v>0</v>
          </cell>
          <cell r="N426">
            <v>0</v>
          </cell>
          <cell r="O426" t="str">
            <v>بطول   العربي</v>
          </cell>
        </row>
        <row r="427">
          <cell r="A427">
            <v>418</v>
          </cell>
          <cell r="B427" t="str">
            <v>بن شيخ    نعيمة</v>
          </cell>
          <cell r="C427" t="str">
            <v xml:space="preserve">بن شيخ </v>
          </cell>
          <cell r="D427" t="str">
            <v xml:space="preserve"> نعيمة</v>
          </cell>
          <cell r="E427">
            <v>38562</v>
          </cell>
          <cell r="F427" t="str">
            <v>سفيزف</v>
          </cell>
          <cell r="G427" t="str">
            <v>2أ ف1</v>
          </cell>
          <cell r="H427" t="str">
            <v>خارجية</v>
          </cell>
          <cell r="I427" t="str">
            <v>خ</v>
          </cell>
          <cell r="J427" t="str">
            <v>سنوسي</v>
          </cell>
          <cell r="K427" t="str">
            <v>متقاعد</v>
          </cell>
          <cell r="L427" t="str">
            <v>حي كشار صحراوي سفيزف</v>
          </cell>
          <cell r="M427">
            <v>0</v>
          </cell>
          <cell r="N427">
            <v>0</v>
          </cell>
          <cell r="O427" t="str">
            <v>بن شيخ   سنوسي</v>
          </cell>
        </row>
        <row r="428">
          <cell r="A428">
            <v>419</v>
          </cell>
          <cell r="B428" t="str">
            <v>بوشنتوف    بشرى</v>
          </cell>
          <cell r="C428" t="str">
            <v xml:space="preserve">بوشنتوف </v>
          </cell>
          <cell r="D428" t="str">
            <v xml:space="preserve"> بشرى</v>
          </cell>
          <cell r="E428">
            <v>38853</v>
          </cell>
          <cell r="F428" t="str">
            <v>سفيزف</v>
          </cell>
          <cell r="G428" t="str">
            <v>2أ ف1</v>
          </cell>
          <cell r="H428" t="str">
            <v>خارجية</v>
          </cell>
          <cell r="I428" t="str">
            <v>خ</v>
          </cell>
          <cell r="J428" t="str">
            <v>محمد</v>
          </cell>
          <cell r="K428" t="str">
            <v>لا شئ</v>
          </cell>
          <cell r="L428" t="str">
            <v>حي محمد الخامس سفيزف</v>
          </cell>
          <cell r="M428">
            <v>0</v>
          </cell>
          <cell r="N428">
            <v>0</v>
          </cell>
          <cell r="O428" t="str">
            <v>بوشنتوف   محمد</v>
          </cell>
        </row>
        <row r="429">
          <cell r="A429">
            <v>420</v>
          </cell>
          <cell r="B429" t="str">
            <v>بونية    زهرة</v>
          </cell>
          <cell r="C429" t="str">
            <v xml:space="preserve">بونية </v>
          </cell>
          <cell r="D429" t="str">
            <v xml:space="preserve"> زهرة</v>
          </cell>
          <cell r="E429">
            <v>39240</v>
          </cell>
          <cell r="F429" t="str">
            <v>سفيزف</v>
          </cell>
          <cell r="G429" t="str">
            <v>2أ ف1</v>
          </cell>
          <cell r="H429" t="str">
            <v>خارجية</v>
          </cell>
          <cell r="I429" t="str">
            <v>خ</v>
          </cell>
          <cell r="J429" t="str">
            <v>زواوي</v>
          </cell>
          <cell r="K429" t="str">
            <v>متوفى</v>
          </cell>
          <cell r="L429" t="str">
            <v>84حي أوهيبة ميلود سفيزف</v>
          </cell>
          <cell r="M429">
            <v>0</v>
          </cell>
          <cell r="N429">
            <v>0</v>
          </cell>
          <cell r="O429" t="str">
            <v>بونية   زواوي</v>
          </cell>
        </row>
        <row r="430">
          <cell r="A430">
            <v>421</v>
          </cell>
          <cell r="B430" t="str">
            <v>بوهند  فيصل</v>
          </cell>
          <cell r="C430" t="str">
            <v>بوهند</v>
          </cell>
          <cell r="D430" t="str">
            <v>فيصل</v>
          </cell>
          <cell r="E430">
            <v>38840</v>
          </cell>
          <cell r="F430" t="str">
            <v>سفيزف</v>
          </cell>
          <cell r="G430" t="str">
            <v>2أ ف1</v>
          </cell>
          <cell r="H430" t="str">
            <v>خارجي</v>
          </cell>
          <cell r="I430" t="str">
            <v>خ</v>
          </cell>
          <cell r="J430" t="str">
            <v>محمد</v>
          </cell>
          <cell r="K430" t="str">
            <v>متقاعد</v>
          </cell>
          <cell r="L430" t="str">
            <v>حي100سكن سفيزف</v>
          </cell>
          <cell r="M430">
            <v>0</v>
          </cell>
          <cell r="N430">
            <v>0</v>
          </cell>
          <cell r="O430" t="str">
            <v>بوهند  محمد</v>
          </cell>
        </row>
        <row r="431">
          <cell r="A431">
            <v>422</v>
          </cell>
          <cell r="B431" t="str">
            <v>حداد       اشرف محمد عبد العالي</v>
          </cell>
          <cell r="C431" t="str">
            <v xml:space="preserve">حداد    </v>
          </cell>
          <cell r="D431" t="str">
            <v xml:space="preserve"> اشرف محمد عبد العالي</v>
          </cell>
          <cell r="E431">
            <v>39170</v>
          </cell>
          <cell r="F431" t="str">
            <v>سفيزف</v>
          </cell>
          <cell r="G431" t="str">
            <v>2أ ف1</v>
          </cell>
          <cell r="H431" t="str">
            <v>خارجي</v>
          </cell>
          <cell r="I431" t="str">
            <v>خ</v>
          </cell>
          <cell r="J431" t="str">
            <v>عبدالله</v>
          </cell>
          <cell r="K431" t="str">
            <v>بناء</v>
          </cell>
          <cell r="L431" t="str">
            <v>34شارع الاخوة صحراوي سفيزف</v>
          </cell>
          <cell r="M431">
            <v>0</v>
          </cell>
          <cell r="N431">
            <v>0</v>
          </cell>
          <cell r="O431" t="str">
            <v>حداد      عبدالله</v>
          </cell>
        </row>
        <row r="432">
          <cell r="A432">
            <v>423</v>
          </cell>
          <cell r="B432" t="str">
            <v xml:space="preserve">حسان    دعاء </v>
          </cell>
          <cell r="C432" t="str">
            <v xml:space="preserve">حسان  </v>
          </cell>
          <cell r="D432" t="str">
            <v xml:space="preserve">دعاء </v>
          </cell>
          <cell r="E432">
            <v>39002</v>
          </cell>
          <cell r="F432" t="str">
            <v>معسكر</v>
          </cell>
          <cell r="G432" t="str">
            <v>2أ ف1</v>
          </cell>
          <cell r="H432" t="str">
            <v>خارجية</v>
          </cell>
          <cell r="I432" t="str">
            <v>خ</v>
          </cell>
          <cell r="J432" t="str">
            <v>بن علي</v>
          </cell>
          <cell r="K432" t="str">
            <v>فلاح</v>
          </cell>
          <cell r="L432" t="str">
            <v>30شالرع عبان رمضان سفيزف</v>
          </cell>
          <cell r="M432">
            <v>0</v>
          </cell>
          <cell r="N432">
            <v>0</v>
          </cell>
          <cell r="O432" t="str">
            <v>حسان    بن علي</v>
          </cell>
        </row>
        <row r="433">
          <cell r="A433">
            <v>424</v>
          </cell>
          <cell r="B433" t="str">
            <v>خديم    ذكرى</v>
          </cell>
          <cell r="C433" t="str">
            <v xml:space="preserve">خديم </v>
          </cell>
          <cell r="D433" t="str">
            <v xml:space="preserve"> ذكرى</v>
          </cell>
          <cell r="E433">
            <v>39532</v>
          </cell>
          <cell r="F433" t="str">
            <v>سفيزف</v>
          </cell>
          <cell r="G433" t="str">
            <v>2أ ف1</v>
          </cell>
          <cell r="H433" t="str">
            <v>خارجية</v>
          </cell>
          <cell r="I433" t="str">
            <v>خ</v>
          </cell>
          <cell r="J433" t="str">
            <v>لعبان</v>
          </cell>
          <cell r="K433" t="str">
            <v>لا شئ</v>
          </cell>
          <cell r="L433" t="str">
            <v>شارع هتراف محمد سفيزف</v>
          </cell>
          <cell r="M433">
            <v>0</v>
          </cell>
          <cell r="N433">
            <v>0</v>
          </cell>
          <cell r="O433" t="str">
            <v>خديم   لعبان</v>
          </cell>
        </row>
        <row r="434">
          <cell r="A434">
            <v>425</v>
          </cell>
          <cell r="B434" t="str">
            <v>زعتر    فاطمة الزهراء</v>
          </cell>
          <cell r="C434" t="str">
            <v xml:space="preserve">زعتر </v>
          </cell>
          <cell r="D434" t="str">
            <v xml:space="preserve"> فاطمة الزهراء</v>
          </cell>
          <cell r="E434">
            <v>39203</v>
          </cell>
          <cell r="F434" t="str">
            <v>س بلعباس</v>
          </cell>
          <cell r="G434" t="str">
            <v>2أ ف1</v>
          </cell>
          <cell r="H434" t="str">
            <v>خارجية</v>
          </cell>
          <cell r="I434" t="str">
            <v>خ</v>
          </cell>
          <cell r="J434" t="str">
            <v>سحنون</v>
          </cell>
          <cell r="K434" t="str">
            <v>متقاعد</v>
          </cell>
          <cell r="L434" t="str">
            <v>12حي كشار صحراوي سفيزف</v>
          </cell>
          <cell r="M434">
            <v>0</v>
          </cell>
          <cell r="N434">
            <v>0</v>
          </cell>
          <cell r="O434" t="str">
            <v>زعتر   سحنون</v>
          </cell>
        </row>
        <row r="435">
          <cell r="A435">
            <v>426</v>
          </cell>
          <cell r="B435" t="str">
            <v>سعدوني    هبة</v>
          </cell>
          <cell r="C435" t="str">
            <v xml:space="preserve">سعدوني </v>
          </cell>
          <cell r="D435" t="str">
            <v xml:space="preserve"> هبة</v>
          </cell>
          <cell r="E435">
            <v>39306</v>
          </cell>
          <cell r="F435" t="str">
            <v>سفيزف</v>
          </cell>
          <cell r="G435" t="str">
            <v>2أ ف1</v>
          </cell>
          <cell r="H435" t="str">
            <v>خارجية</v>
          </cell>
          <cell r="I435" t="str">
            <v>خ</v>
          </cell>
          <cell r="J435" t="str">
            <v>مختار</v>
          </cell>
          <cell r="K435" t="str">
            <v>شرطي</v>
          </cell>
          <cell r="L435" t="str">
            <v>02حي115 سكن سفيزف</v>
          </cell>
          <cell r="M435">
            <v>0</v>
          </cell>
          <cell r="N435">
            <v>0</v>
          </cell>
          <cell r="O435" t="str">
            <v>سعدوني   مختار</v>
          </cell>
        </row>
        <row r="436">
          <cell r="A436">
            <v>427</v>
          </cell>
          <cell r="B436" t="str">
            <v>سعيداني     فراح نهى</v>
          </cell>
          <cell r="C436" t="str">
            <v xml:space="preserve">سعيداني  </v>
          </cell>
          <cell r="D436" t="str">
            <v xml:space="preserve"> فراح نهى</v>
          </cell>
          <cell r="E436">
            <v>39516</v>
          </cell>
          <cell r="F436" t="str">
            <v>س بلعباس</v>
          </cell>
          <cell r="G436" t="str">
            <v>2أ ف1</v>
          </cell>
          <cell r="H436" t="str">
            <v>خارجية</v>
          </cell>
          <cell r="I436" t="str">
            <v>خ</v>
          </cell>
          <cell r="J436" t="str">
            <v xml:space="preserve">عمر </v>
          </cell>
          <cell r="K436" t="str">
            <v>متقاعد</v>
          </cell>
          <cell r="L436" t="str">
            <v>08شارع شريفي بوعلام سفيزف</v>
          </cell>
          <cell r="M436">
            <v>0</v>
          </cell>
          <cell r="N436">
            <v>0</v>
          </cell>
          <cell r="O436" t="str">
            <v xml:space="preserve">سعيداني    عمر </v>
          </cell>
        </row>
        <row r="437">
          <cell r="A437">
            <v>428</v>
          </cell>
          <cell r="B437" t="str">
            <v>شادلي    كوثر</v>
          </cell>
          <cell r="C437" t="str">
            <v xml:space="preserve">شادلي </v>
          </cell>
          <cell r="D437" t="str">
            <v xml:space="preserve"> كوثر</v>
          </cell>
          <cell r="E437">
            <v>38735</v>
          </cell>
          <cell r="F437" t="str">
            <v>س بلعباس</v>
          </cell>
          <cell r="G437" t="str">
            <v>2أ ف1</v>
          </cell>
          <cell r="H437" t="str">
            <v>خارجية</v>
          </cell>
          <cell r="I437" t="str">
            <v>خ</v>
          </cell>
          <cell r="J437" t="str">
            <v>نورالدين</v>
          </cell>
          <cell r="K437" t="str">
            <v>متقاعد</v>
          </cell>
          <cell r="L437" t="str">
            <v>05حي نواري بن عبدالله سفيزف</v>
          </cell>
          <cell r="M437">
            <v>0</v>
          </cell>
          <cell r="N437">
            <v>0</v>
          </cell>
          <cell r="O437" t="str">
            <v>شادلي   نورالدين</v>
          </cell>
        </row>
        <row r="438">
          <cell r="A438">
            <v>429</v>
          </cell>
          <cell r="B438" t="str">
            <v>قضات     هاني ربيع</v>
          </cell>
          <cell r="C438" t="str">
            <v xml:space="preserve">قضات  </v>
          </cell>
          <cell r="D438" t="str">
            <v xml:space="preserve"> هاني ربيع</v>
          </cell>
          <cell r="E438">
            <v>39575</v>
          </cell>
          <cell r="F438" t="str">
            <v>سفيزف</v>
          </cell>
          <cell r="G438" t="str">
            <v>2أ ف1</v>
          </cell>
          <cell r="H438" t="str">
            <v>خارجي</v>
          </cell>
          <cell r="I438" t="str">
            <v>خ</v>
          </cell>
          <cell r="J438" t="str">
            <v>سيدأحمد</v>
          </cell>
          <cell r="K438" t="str">
            <v>متقاعد</v>
          </cell>
          <cell r="L438" t="str">
            <v>حي141سكن سفيزف</v>
          </cell>
          <cell r="M438">
            <v>0</v>
          </cell>
          <cell r="N438">
            <v>0</v>
          </cell>
          <cell r="O438" t="str">
            <v>قضات    سيدأحمد</v>
          </cell>
        </row>
        <row r="439">
          <cell r="A439">
            <v>430</v>
          </cell>
          <cell r="B439" t="str">
            <v>لعسل    رضا</v>
          </cell>
          <cell r="C439" t="str">
            <v xml:space="preserve">لعسل </v>
          </cell>
          <cell r="D439" t="str">
            <v xml:space="preserve"> رضا</v>
          </cell>
          <cell r="E439">
            <v>39048</v>
          </cell>
          <cell r="F439" t="str">
            <v>س بلعباس</v>
          </cell>
          <cell r="G439" t="str">
            <v>2أ ف1</v>
          </cell>
          <cell r="H439" t="str">
            <v xml:space="preserve">خارجي </v>
          </cell>
          <cell r="I439" t="str">
            <v>خ</v>
          </cell>
          <cell r="J439" t="str">
            <v>محمد</v>
          </cell>
          <cell r="K439" t="str">
            <v>موظف</v>
          </cell>
          <cell r="L439" t="str">
            <v>09حي24فبراير سفيزف</v>
          </cell>
          <cell r="M439">
            <v>0</v>
          </cell>
          <cell r="N439">
            <v>0</v>
          </cell>
          <cell r="O439" t="str">
            <v>لعسل   محمد</v>
          </cell>
        </row>
        <row r="440">
          <cell r="A440">
            <v>431</v>
          </cell>
          <cell r="B440" t="str">
            <v>لكحل  زبير</v>
          </cell>
          <cell r="C440" t="str">
            <v>لكحل</v>
          </cell>
          <cell r="D440" t="str">
            <v>زبير</v>
          </cell>
          <cell r="E440">
            <v>39103</v>
          </cell>
          <cell r="F440" t="str">
            <v>س بلعباس</v>
          </cell>
          <cell r="G440" t="str">
            <v>2أ ف1</v>
          </cell>
          <cell r="H440" t="str">
            <v>خارجي</v>
          </cell>
          <cell r="I440" t="str">
            <v>خ</v>
          </cell>
          <cell r="J440" t="str">
            <v>جلول</v>
          </cell>
          <cell r="K440" t="str">
            <v>موظف</v>
          </cell>
          <cell r="L440" t="str">
            <v>حي506سفيزف</v>
          </cell>
          <cell r="M440">
            <v>0</v>
          </cell>
          <cell r="N440">
            <v>0</v>
          </cell>
          <cell r="O440" t="str">
            <v>لكحل  جلول</v>
          </cell>
        </row>
        <row r="441">
          <cell r="A441">
            <v>432</v>
          </cell>
          <cell r="B441" t="str">
            <v>مناد  عبدالله</v>
          </cell>
          <cell r="C441" t="str">
            <v>مناد</v>
          </cell>
          <cell r="D441" t="str">
            <v>عبدالله</v>
          </cell>
          <cell r="E441">
            <v>38752</v>
          </cell>
          <cell r="F441" t="str">
            <v>سفيزف</v>
          </cell>
          <cell r="G441" t="str">
            <v>2أ ف1</v>
          </cell>
          <cell r="H441" t="str">
            <v xml:space="preserve">خارجي </v>
          </cell>
          <cell r="I441" t="str">
            <v>خ</v>
          </cell>
          <cell r="J441" t="str">
            <v>صديق</v>
          </cell>
          <cell r="K441" t="str">
            <v>موظف</v>
          </cell>
          <cell r="L441" t="str">
            <v>حي506سكن سفيزف</v>
          </cell>
          <cell r="M441">
            <v>0</v>
          </cell>
          <cell r="N441">
            <v>0</v>
          </cell>
          <cell r="O441" t="str">
            <v>مناد  صديق</v>
          </cell>
        </row>
        <row r="442">
          <cell r="A442">
            <v>433</v>
          </cell>
          <cell r="B442" t="str">
            <v>نسناس    عبد الإله</v>
          </cell>
          <cell r="C442" t="str">
            <v xml:space="preserve">نسناس </v>
          </cell>
          <cell r="D442" t="str">
            <v xml:space="preserve"> عبد الإله</v>
          </cell>
          <cell r="E442">
            <v>39452</v>
          </cell>
          <cell r="F442" t="str">
            <v>سفيزف</v>
          </cell>
          <cell r="G442" t="str">
            <v>2أ ف1</v>
          </cell>
          <cell r="H442" t="str">
            <v>خارجي</v>
          </cell>
          <cell r="I442" t="str">
            <v>خ</v>
          </cell>
          <cell r="J442" t="str">
            <v>علال</v>
          </cell>
          <cell r="K442" t="str">
            <v>ممرض</v>
          </cell>
          <cell r="L442" t="str">
            <v>حي بوخنفوس مختار سفيزف</v>
          </cell>
          <cell r="M442">
            <v>0</v>
          </cell>
          <cell r="N442">
            <v>0</v>
          </cell>
          <cell r="O442" t="str">
            <v>نسناس   علال</v>
          </cell>
        </row>
        <row r="443">
          <cell r="A443">
            <v>434</v>
          </cell>
          <cell r="B443" t="str">
            <v>يخو     محمد مروان</v>
          </cell>
          <cell r="C443" t="str">
            <v xml:space="preserve">يخو  </v>
          </cell>
          <cell r="D443" t="str">
            <v xml:space="preserve"> محمد مروان</v>
          </cell>
          <cell r="E443">
            <v>38568</v>
          </cell>
          <cell r="F443" t="str">
            <v>سفيزف</v>
          </cell>
          <cell r="G443" t="str">
            <v>2أ ف1</v>
          </cell>
          <cell r="H443" t="str">
            <v>خارجي</v>
          </cell>
          <cell r="I443" t="str">
            <v>خ</v>
          </cell>
          <cell r="J443" t="str">
            <v>بوعلام</v>
          </cell>
          <cell r="K443" t="str">
            <v>بناء</v>
          </cell>
          <cell r="L443" t="str">
            <v>شارع أوهيبة ميلود سفيزف</v>
          </cell>
          <cell r="M443">
            <v>0</v>
          </cell>
          <cell r="N443">
            <v>0</v>
          </cell>
          <cell r="O443" t="str">
            <v>يخو    بوعلام</v>
          </cell>
        </row>
        <row r="444">
          <cell r="A444">
            <v>435</v>
          </cell>
          <cell r="B444" t="str">
            <v>بلوحي    صبرين</v>
          </cell>
          <cell r="C444" t="str">
            <v xml:space="preserve">بلوحي </v>
          </cell>
          <cell r="D444" t="str">
            <v xml:space="preserve"> صبرين</v>
          </cell>
          <cell r="E444">
            <v>39433</v>
          </cell>
          <cell r="F444" t="str">
            <v>سفيزف</v>
          </cell>
          <cell r="G444" t="str">
            <v>2أ ف2</v>
          </cell>
          <cell r="H444" t="str">
            <v>ن/داخلية</v>
          </cell>
          <cell r="I444" t="str">
            <v>ن/د</v>
          </cell>
          <cell r="J444" t="str">
            <v>ميلود</v>
          </cell>
          <cell r="K444" t="str">
            <v>فلاح</v>
          </cell>
          <cell r="L444" t="str">
            <v>عين آدن</v>
          </cell>
          <cell r="M444">
            <v>0</v>
          </cell>
          <cell r="N444">
            <v>0</v>
          </cell>
          <cell r="O444" t="str">
            <v>بلوحي   ميلود</v>
          </cell>
        </row>
        <row r="445">
          <cell r="A445">
            <v>436</v>
          </cell>
          <cell r="B445" t="str">
            <v>دوكالي  عبدالعزيز</v>
          </cell>
          <cell r="C445" t="str">
            <v>دوكالي</v>
          </cell>
          <cell r="D445" t="str">
            <v>عبدالعزيز</v>
          </cell>
          <cell r="E445">
            <v>38410</v>
          </cell>
          <cell r="F445" t="str">
            <v>س بلعباس</v>
          </cell>
          <cell r="G445" t="str">
            <v>2أ ف2</v>
          </cell>
          <cell r="H445" t="str">
            <v>ن/داخلي</v>
          </cell>
          <cell r="I445" t="str">
            <v>ن/د</v>
          </cell>
          <cell r="J445" t="str">
            <v>بن عومر</v>
          </cell>
          <cell r="K445" t="str">
            <v>متقاعد</v>
          </cell>
          <cell r="L445" t="str">
            <v>عين آدن</v>
          </cell>
          <cell r="M445">
            <v>0</v>
          </cell>
          <cell r="N445">
            <v>0</v>
          </cell>
          <cell r="O445" t="str">
            <v>دوكالي  بن عومر</v>
          </cell>
        </row>
        <row r="446">
          <cell r="A446">
            <v>437</v>
          </cell>
          <cell r="B446" t="str">
            <v>لكحل   نوال</v>
          </cell>
          <cell r="C446" t="str">
            <v>لكحل</v>
          </cell>
          <cell r="D446" t="str">
            <v xml:space="preserve"> نوال</v>
          </cell>
          <cell r="E446">
            <v>39224</v>
          </cell>
          <cell r="F446" t="str">
            <v>س بلعباس</v>
          </cell>
          <cell r="G446" t="str">
            <v>2أ ف2</v>
          </cell>
          <cell r="H446" t="str">
            <v>ن/داخلية</v>
          </cell>
          <cell r="I446" t="str">
            <v>ن/د</v>
          </cell>
          <cell r="J446" t="str">
            <v>بوزيان</v>
          </cell>
          <cell r="K446" t="str">
            <v>متقاعد</v>
          </cell>
          <cell r="L446" t="str">
            <v>عين آدن</v>
          </cell>
          <cell r="M446">
            <v>0</v>
          </cell>
          <cell r="N446">
            <v>0</v>
          </cell>
          <cell r="O446" t="str">
            <v>لكحل  بوزيان</v>
          </cell>
        </row>
        <row r="447">
          <cell r="A447">
            <v>438</v>
          </cell>
          <cell r="B447" t="str">
            <v>لوازن    صبرينة</v>
          </cell>
          <cell r="C447" t="str">
            <v xml:space="preserve">لوازن </v>
          </cell>
          <cell r="D447" t="str">
            <v xml:space="preserve"> صبرينة</v>
          </cell>
          <cell r="E447">
            <v>38666</v>
          </cell>
          <cell r="F447" t="str">
            <v>سفيزف</v>
          </cell>
          <cell r="G447" t="str">
            <v>2أ ف2</v>
          </cell>
          <cell r="H447" t="str">
            <v>ن/داخلية</v>
          </cell>
          <cell r="I447" t="str">
            <v>ن/د</v>
          </cell>
          <cell r="J447" t="str">
            <v>قادة</v>
          </cell>
          <cell r="K447" t="str">
            <v>متقاعد</v>
          </cell>
          <cell r="L447" t="str">
            <v>عين آدن</v>
          </cell>
          <cell r="M447">
            <v>0</v>
          </cell>
          <cell r="N447">
            <v>0</v>
          </cell>
          <cell r="O447" t="str">
            <v>لوازن   قادة</v>
          </cell>
        </row>
        <row r="448">
          <cell r="A448">
            <v>439</v>
          </cell>
          <cell r="B448" t="str">
            <v>نموس    نريمان</v>
          </cell>
          <cell r="C448" t="str">
            <v xml:space="preserve">نموس </v>
          </cell>
          <cell r="D448" t="str">
            <v xml:space="preserve"> نريمان</v>
          </cell>
          <cell r="E448">
            <v>39146</v>
          </cell>
          <cell r="F448" t="str">
            <v>سفيزف</v>
          </cell>
          <cell r="G448" t="str">
            <v>2أ ف2</v>
          </cell>
          <cell r="H448" t="str">
            <v>ن/داخلية</v>
          </cell>
          <cell r="I448" t="str">
            <v>ن/د</v>
          </cell>
          <cell r="J448" t="str">
            <v>عيسى</v>
          </cell>
          <cell r="K448" t="str">
            <v>لا شئ</v>
          </cell>
          <cell r="L448" t="str">
            <v>حي بوهند يحي سفيزف</v>
          </cell>
          <cell r="M448">
            <v>0</v>
          </cell>
          <cell r="N448">
            <v>0</v>
          </cell>
          <cell r="O448" t="str">
            <v>نموس   عيسى</v>
          </cell>
        </row>
        <row r="449">
          <cell r="A449">
            <v>440</v>
          </cell>
          <cell r="B449" t="str">
            <v>أوهيبة     غفران سلسبيل</v>
          </cell>
          <cell r="C449" t="str">
            <v xml:space="preserve">أوهيبة  </v>
          </cell>
          <cell r="D449" t="str">
            <v xml:space="preserve"> غفران سلسبيل</v>
          </cell>
          <cell r="E449">
            <v>39407</v>
          </cell>
          <cell r="F449" t="str">
            <v>سفيزف</v>
          </cell>
          <cell r="G449" t="str">
            <v>2أ ف2</v>
          </cell>
          <cell r="H449" t="str">
            <v>خارجية</v>
          </cell>
          <cell r="I449" t="str">
            <v>خ</v>
          </cell>
          <cell r="J449" t="str">
            <v>سيدأحمد</v>
          </cell>
          <cell r="K449" t="str">
            <v>عامل</v>
          </cell>
          <cell r="L449" t="str">
            <v>17حي طيبي عبدالقادر سفيزف</v>
          </cell>
          <cell r="M449">
            <v>0</v>
          </cell>
          <cell r="N449">
            <v>0</v>
          </cell>
          <cell r="O449" t="str">
            <v>أوهيبة    سيدأحمد</v>
          </cell>
        </row>
        <row r="450">
          <cell r="A450">
            <v>441</v>
          </cell>
          <cell r="B450" t="str">
            <v>بكار    آدم</v>
          </cell>
          <cell r="C450" t="str">
            <v xml:space="preserve">بكار </v>
          </cell>
          <cell r="D450" t="str">
            <v xml:space="preserve"> آدم</v>
          </cell>
          <cell r="E450">
            <v>39229</v>
          </cell>
          <cell r="F450" t="str">
            <v>سفيزف</v>
          </cell>
          <cell r="G450" t="str">
            <v>2أ ف2</v>
          </cell>
          <cell r="H450" t="str">
            <v>خارجي</v>
          </cell>
          <cell r="I450" t="str">
            <v>خ</v>
          </cell>
          <cell r="J450" t="str">
            <v>عبدالرحمان</v>
          </cell>
          <cell r="K450" t="str">
            <v>لا شئ</v>
          </cell>
          <cell r="L450" t="str">
            <v>37شارع أوهيبة ميلود سفيزف</v>
          </cell>
          <cell r="M450">
            <v>0</v>
          </cell>
          <cell r="N450">
            <v>0</v>
          </cell>
          <cell r="O450" t="str">
            <v>بكار   عبدالرحمان</v>
          </cell>
        </row>
        <row r="451">
          <cell r="A451">
            <v>442</v>
          </cell>
          <cell r="B451" t="str">
            <v>بلخروبي    محمد وحيد</v>
          </cell>
          <cell r="C451" t="str">
            <v xml:space="preserve">بلخروبي </v>
          </cell>
          <cell r="D451" t="str">
            <v xml:space="preserve"> محمد وحيد</v>
          </cell>
          <cell r="E451">
            <v>38918</v>
          </cell>
          <cell r="F451" t="str">
            <v>سفيزف</v>
          </cell>
          <cell r="G451" t="str">
            <v>2أ ف2</v>
          </cell>
          <cell r="H451" t="str">
            <v>خارجي</v>
          </cell>
          <cell r="I451" t="str">
            <v>خ</v>
          </cell>
          <cell r="J451" t="str">
            <v>إبراهيم</v>
          </cell>
          <cell r="K451" t="str">
            <v>لا شئ</v>
          </cell>
          <cell r="L451" t="str">
            <v>75حي كشار صحراوي سفيزف</v>
          </cell>
          <cell r="M451">
            <v>0</v>
          </cell>
          <cell r="N451">
            <v>0</v>
          </cell>
          <cell r="O451" t="str">
            <v>بلخروبي   إبراهيم</v>
          </cell>
        </row>
        <row r="452">
          <cell r="A452">
            <v>443</v>
          </cell>
          <cell r="B452" t="str">
            <v>بلكبيش      لعيد محمد عدنان</v>
          </cell>
          <cell r="C452" t="str">
            <v xml:space="preserve">بلكبيش   </v>
          </cell>
          <cell r="D452" t="str">
            <v xml:space="preserve"> لعيد محمد عدنان</v>
          </cell>
          <cell r="E452">
            <v>38286</v>
          </cell>
          <cell r="F452" t="str">
            <v>س بلعباس</v>
          </cell>
          <cell r="G452" t="str">
            <v>2أ ف2</v>
          </cell>
          <cell r="H452" t="str">
            <v>خارجي</v>
          </cell>
          <cell r="I452" t="str">
            <v>خ</v>
          </cell>
          <cell r="J452" t="str">
            <v>مهاجي</v>
          </cell>
          <cell r="K452" t="str">
            <v>أستاذ</v>
          </cell>
          <cell r="L452" t="str">
            <v>06حي بوخنفوس مختار سفيزف</v>
          </cell>
          <cell r="M452">
            <v>0</v>
          </cell>
          <cell r="N452">
            <v>0</v>
          </cell>
          <cell r="O452" t="str">
            <v>بلكبيش     مهاجي</v>
          </cell>
        </row>
        <row r="453">
          <cell r="A453">
            <v>444</v>
          </cell>
          <cell r="B453" t="str">
            <v>بوخالفة  اسحاق</v>
          </cell>
          <cell r="C453" t="str">
            <v>بوخالفة</v>
          </cell>
          <cell r="D453" t="str">
            <v>اسحاق</v>
          </cell>
          <cell r="E453">
            <v>39451</v>
          </cell>
          <cell r="F453" t="str">
            <v>سفيزف</v>
          </cell>
          <cell r="G453" t="str">
            <v>2أ ف2</v>
          </cell>
          <cell r="H453" t="str">
            <v>خارجي</v>
          </cell>
          <cell r="I453" t="str">
            <v>خ</v>
          </cell>
          <cell r="J453" t="str">
            <v>قادة</v>
          </cell>
          <cell r="K453" t="str">
            <v>لا شئ</v>
          </cell>
          <cell r="L453" t="str">
            <v>حي156سكن سفيزف</v>
          </cell>
          <cell r="M453">
            <v>0</v>
          </cell>
          <cell r="N453">
            <v>0</v>
          </cell>
          <cell r="O453" t="str">
            <v>بوخالفة  قادة</v>
          </cell>
        </row>
        <row r="454">
          <cell r="A454">
            <v>445</v>
          </cell>
          <cell r="B454" t="str">
            <v>بوزكري    هاجر ريحان</v>
          </cell>
          <cell r="C454" t="str">
            <v xml:space="preserve">بوزكري </v>
          </cell>
          <cell r="D454" t="str">
            <v xml:space="preserve"> هاجر ريحان</v>
          </cell>
          <cell r="E454">
            <v>39160</v>
          </cell>
          <cell r="F454" t="str">
            <v>س بلعباس</v>
          </cell>
          <cell r="G454" t="str">
            <v>2أ ف2</v>
          </cell>
          <cell r="H454" t="str">
            <v>خارجية</v>
          </cell>
          <cell r="I454" t="str">
            <v>خ</v>
          </cell>
          <cell r="J454" t="str">
            <v>جمال</v>
          </cell>
          <cell r="K454" t="str">
            <v>متقاعد</v>
          </cell>
          <cell r="L454" t="str">
            <v>140حي نواري بن عبد الله سفيزف</v>
          </cell>
          <cell r="M454">
            <v>0</v>
          </cell>
          <cell r="N454">
            <v>0</v>
          </cell>
          <cell r="O454" t="str">
            <v>بوزكري   جمال</v>
          </cell>
        </row>
        <row r="455">
          <cell r="A455">
            <v>446</v>
          </cell>
          <cell r="B455" t="str">
            <v>بوعصابة    أحمد</v>
          </cell>
          <cell r="C455" t="str">
            <v xml:space="preserve">بوعصابة </v>
          </cell>
          <cell r="D455" t="str">
            <v xml:space="preserve"> أحمد</v>
          </cell>
          <cell r="E455">
            <v>39095</v>
          </cell>
          <cell r="F455" t="str">
            <v>سفيزف</v>
          </cell>
          <cell r="G455" t="str">
            <v>2أ ف2</v>
          </cell>
          <cell r="H455" t="str">
            <v xml:space="preserve">خارجي </v>
          </cell>
          <cell r="I455" t="str">
            <v>خ</v>
          </cell>
          <cell r="J455" t="str">
            <v>لحسن</v>
          </cell>
          <cell r="K455" t="str">
            <v>موظف</v>
          </cell>
          <cell r="L455" t="str">
            <v>حي 100سكن سفيزف</v>
          </cell>
          <cell r="M455">
            <v>0</v>
          </cell>
          <cell r="N455">
            <v>0</v>
          </cell>
          <cell r="O455" t="str">
            <v>بوعصابة   لحسن</v>
          </cell>
        </row>
        <row r="456">
          <cell r="A456">
            <v>447</v>
          </cell>
          <cell r="B456" t="str">
            <v>تاوسر    امينة</v>
          </cell>
          <cell r="C456" t="str">
            <v xml:space="preserve">تاوسر </v>
          </cell>
          <cell r="D456" t="str">
            <v xml:space="preserve"> امينة</v>
          </cell>
          <cell r="E456">
            <v>39586</v>
          </cell>
          <cell r="F456" t="str">
            <v>سفيزف</v>
          </cell>
          <cell r="G456" t="str">
            <v>2أ ف2</v>
          </cell>
          <cell r="H456" t="str">
            <v>خارجية</v>
          </cell>
          <cell r="I456" t="str">
            <v>خ</v>
          </cell>
          <cell r="J456" t="str">
            <v>محمد</v>
          </cell>
          <cell r="K456" t="str">
            <v>متقاعد</v>
          </cell>
          <cell r="L456" t="str">
            <v>حي بوخنفوس مختار سفيزف</v>
          </cell>
          <cell r="M456">
            <v>0</v>
          </cell>
          <cell r="N456">
            <v>0</v>
          </cell>
          <cell r="O456" t="str">
            <v>تاوسر   محمد</v>
          </cell>
        </row>
        <row r="457">
          <cell r="A457">
            <v>448</v>
          </cell>
          <cell r="B457" t="str">
            <v>جلولي  ميساء</v>
          </cell>
          <cell r="C457" t="str">
            <v>جلولي</v>
          </cell>
          <cell r="D457" t="str">
            <v>ميساء</v>
          </cell>
          <cell r="E457">
            <v>38619</v>
          </cell>
          <cell r="F457" t="str">
            <v>سفيزف</v>
          </cell>
          <cell r="G457" t="str">
            <v>2أ ف2</v>
          </cell>
          <cell r="H457" t="str">
            <v>خارجية</v>
          </cell>
          <cell r="I457" t="str">
            <v>خ</v>
          </cell>
          <cell r="J457" t="str">
            <v>محمد</v>
          </cell>
          <cell r="K457" t="str">
            <v>موظف</v>
          </cell>
          <cell r="L457" t="str">
            <v>شارع مدوني عبدالقادر سفيزف</v>
          </cell>
          <cell r="M457">
            <v>0</v>
          </cell>
          <cell r="N457">
            <v>0</v>
          </cell>
          <cell r="O457" t="str">
            <v>جلولي  محمد</v>
          </cell>
        </row>
        <row r="458">
          <cell r="A458">
            <v>449</v>
          </cell>
          <cell r="B458" t="str">
            <v>ديداوي    محمد الحبيب</v>
          </cell>
          <cell r="C458" t="str">
            <v xml:space="preserve">ديداوي </v>
          </cell>
          <cell r="D458" t="str">
            <v xml:space="preserve"> محمد الحبيب</v>
          </cell>
          <cell r="E458">
            <v>38957</v>
          </cell>
          <cell r="F458" t="str">
            <v>س بلعباس</v>
          </cell>
          <cell r="G458" t="str">
            <v>2أ ف2</v>
          </cell>
          <cell r="H458" t="str">
            <v>خارجي</v>
          </cell>
          <cell r="I458" t="str">
            <v>خ</v>
          </cell>
          <cell r="J458" t="str">
            <v>أحمد</v>
          </cell>
          <cell r="K458" t="str">
            <v>عامل</v>
          </cell>
          <cell r="L458" t="str">
            <v>86حي كشار صحراوي سفيزف</v>
          </cell>
          <cell r="M458">
            <v>0</v>
          </cell>
          <cell r="N458">
            <v>0</v>
          </cell>
          <cell r="O458" t="str">
            <v>ديداوي   أحمد</v>
          </cell>
        </row>
        <row r="459">
          <cell r="A459">
            <v>450</v>
          </cell>
          <cell r="B459" t="str">
            <v>زمعلاش    وئام</v>
          </cell>
          <cell r="C459" t="str">
            <v xml:space="preserve">زمعلاش </v>
          </cell>
          <cell r="D459" t="str">
            <v xml:space="preserve"> وئام</v>
          </cell>
          <cell r="E459">
            <v>38683</v>
          </cell>
          <cell r="F459" t="str">
            <v>س بلعباس</v>
          </cell>
          <cell r="G459" t="str">
            <v>2أ ف2</v>
          </cell>
          <cell r="H459" t="str">
            <v>خارجية</v>
          </cell>
          <cell r="I459" t="str">
            <v>خ</v>
          </cell>
          <cell r="J459" t="str">
            <v>حميدة</v>
          </cell>
          <cell r="K459" t="str">
            <v>موظف</v>
          </cell>
          <cell r="L459" t="str">
            <v>حي بقنيش أحمد سفيزف</v>
          </cell>
          <cell r="M459">
            <v>0</v>
          </cell>
          <cell r="N459">
            <v>0</v>
          </cell>
          <cell r="O459" t="str">
            <v>زمعلاش   حميدة</v>
          </cell>
        </row>
        <row r="460">
          <cell r="A460">
            <v>451</v>
          </cell>
          <cell r="B460" t="str">
            <v>شباني    رميساء</v>
          </cell>
          <cell r="C460" t="str">
            <v xml:space="preserve">شباني </v>
          </cell>
          <cell r="D460" t="str">
            <v xml:space="preserve"> رميساء</v>
          </cell>
          <cell r="E460">
            <v>39312</v>
          </cell>
          <cell r="F460" t="str">
            <v>س بلعباس</v>
          </cell>
          <cell r="G460" t="str">
            <v>2أ ف2</v>
          </cell>
          <cell r="H460" t="str">
            <v>خارجية</v>
          </cell>
          <cell r="I460" t="str">
            <v>خ</v>
          </cell>
          <cell r="J460" t="str">
            <v>محمد</v>
          </cell>
          <cell r="K460" t="str">
            <v>بناء</v>
          </cell>
          <cell r="L460" t="str">
            <v>50شارع أوهيبة ميلود سفيزف</v>
          </cell>
          <cell r="M460">
            <v>0</v>
          </cell>
          <cell r="N460">
            <v>0</v>
          </cell>
          <cell r="O460" t="str">
            <v>شباني   محمد</v>
          </cell>
        </row>
        <row r="461">
          <cell r="A461">
            <v>452</v>
          </cell>
          <cell r="B461" t="str">
            <v>شعيب    محمد</v>
          </cell>
          <cell r="C461" t="str">
            <v xml:space="preserve">شعيب </v>
          </cell>
          <cell r="D461" t="str">
            <v xml:space="preserve"> محمد</v>
          </cell>
          <cell r="E461">
            <v>39254</v>
          </cell>
          <cell r="F461" t="str">
            <v>سفيزف</v>
          </cell>
          <cell r="G461" t="str">
            <v>2أ ف2</v>
          </cell>
          <cell r="H461" t="str">
            <v xml:space="preserve">خارجي </v>
          </cell>
          <cell r="I461" t="str">
            <v>خ</v>
          </cell>
          <cell r="J461" t="str">
            <v>أحمد</v>
          </cell>
          <cell r="K461" t="str">
            <v>موظف</v>
          </cell>
          <cell r="L461" t="str">
            <v>حي بوعسرية البشير سفيزف</v>
          </cell>
          <cell r="M461">
            <v>0</v>
          </cell>
          <cell r="N461">
            <v>0</v>
          </cell>
          <cell r="O461" t="str">
            <v>شعيب   أحمد</v>
          </cell>
        </row>
        <row r="462">
          <cell r="A462">
            <v>453</v>
          </cell>
          <cell r="B462" t="str">
            <v>صحوري     بشرى آية</v>
          </cell>
          <cell r="C462" t="str">
            <v xml:space="preserve">صحوري  </v>
          </cell>
          <cell r="D462" t="str">
            <v xml:space="preserve"> بشرى آية</v>
          </cell>
          <cell r="E462">
            <v>39009</v>
          </cell>
          <cell r="F462" t="str">
            <v>سفيزف</v>
          </cell>
          <cell r="G462" t="str">
            <v>2أ ف2</v>
          </cell>
          <cell r="H462" t="str">
            <v>خارجية</v>
          </cell>
          <cell r="I462" t="str">
            <v>خ</v>
          </cell>
          <cell r="J462" t="str">
            <v>العيد</v>
          </cell>
          <cell r="K462" t="str">
            <v>فلاح</v>
          </cell>
          <cell r="L462" t="str">
            <v>26شارع نواري بن عبدالله سفيزف</v>
          </cell>
          <cell r="M462">
            <v>0</v>
          </cell>
          <cell r="N462">
            <v>0</v>
          </cell>
          <cell r="O462" t="str">
            <v>صحوري    العيد</v>
          </cell>
        </row>
        <row r="463">
          <cell r="A463">
            <v>454</v>
          </cell>
          <cell r="B463" t="str">
            <v>كرزازي      علال علاء الدين</v>
          </cell>
          <cell r="C463" t="str">
            <v xml:space="preserve">كرزازي   </v>
          </cell>
          <cell r="D463" t="str">
            <v xml:space="preserve"> علال علاء الدين</v>
          </cell>
          <cell r="E463">
            <v>38909</v>
          </cell>
          <cell r="F463" t="str">
            <v>سفيزف</v>
          </cell>
          <cell r="G463" t="str">
            <v>2أ ف2</v>
          </cell>
          <cell r="H463" t="str">
            <v>خارجي</v>
          </cell>
          <cell r="I463" t="str">
            <v>خ</v>
          </cell>
          <cell r="J463" t="str">
            <v>يحي</v>
          </cell>
          <cell r="K463" t="str">
            <v>موظف</v>
          </cell>
          <cell r="L463" t="str">
            <v>03حي بوخنفوس مختار سفيزف</v>
          </cell>
          <cell r="M463">
            <v>0</v>
          </cell>
          <cell r="N463">
            <v>0</v>
          </cell>
          <cell r="O463" t="str">
            <v>كرزازي     يحي</v>
          </cell>
        </row>
        <row r="464">
          <cell r="A464">
            <v>455</v>
          </cell>
          <cell r="B464" t="str">
            <v>لكحل    لميس خديجة</v>
          </cell>
          <cell r="C464" t="str">
            <v xml:space="preserve">لكحل </v>
          </cell>
          <cell r="D464" t="str">
            <v xml:space="preserve"> لميس خديجة</v>
          </cell>
          <cell r="E464">
            <v>39309</v>
          </cell>
          <cell r="F464" t="str">
            <v>سفيزف</v>
          </cell>
          <cell r="G464" t="str">
            <v>2أ ف2</v>
          </cell>
          <cell r="H464" t="str">
            <v>خارجية</v>
          </cell>
          <cell r="I464" t="str">
            <v>خ</v>
          </cell>
          <cell r="J464" t="str">
            <v>محمد</v>
          </cell>
          <cell r="K464" t="str">
            <v>لا شئ</v>
          </cell>
          <cell r="L464" t="str">
            <v>شارع حداد قادة سفيزف</v>
          </cell>
          <cell r="M464">
            <v>0</v>
          </cell>
          <cell r="N464">
            <v>0</v>
          </cell>
          <cell r="O464" t="str">
            <v>لكحل   محمد</v>
          </cell>
        </row>
        <row r="465">
          <cell r="A465">
            <v>456</v>
          </cell>
          <cell r="B465" t="str">
            <v>مقداد    إبتهال</v>
          </cell>
          <cell r="C465" t="str">
            <v xml:space="preserve">مقداد </v>
          </cell>
          <cell r="D465" t="str">
            <v xml:space="preserve"> إبتهال</v>
          </cell>
          <cell r="E465">
            <v>39496</v>
          </cell>
          <cell r="F465" t="str">
            <v>سفيزف</v>
          </cell>
          <cell r="G465" t="str">
            <v>2أ ف2</v>
          </cell>
          <cell r="H465" t="str">
            <v>خارجية</v>
          </cell>
          <cell r="I465" t="str">
            <v>خ</v>
          </cell>
          <cell r="J465" t="str">
            <v>محمد</v>
          </cell>
          <cell r="K465" t="str">
            <v>متقاعد</v>
          </cell>
          <cell r="L465" t="str">
            <v>68حي نواري بن عبدالله سفيزف</v>
          </cell>
          <cell r="M465">
            <v>0</v>
          </cell>
          <cell r="N465">
            <v>0</v>
          </cell>
          <cell r="O465" t="str">
            <v>مقداد   محمد</v>
          </cell>
        </row>
        <row r="466">
          <cell r="A466">
            <v>457</v>
          </cell>
          <cell r="B466" t="str">
            <v>واجد  عماد عبد القادر</v>
          </cell>
          <cell r="C466" t="str">
            <v>واجد</v>
          </cell>
          <cell r="D466" t="str">
            <v>عماد عبد القادر</v>
          </cell>
          <cell r="E466">
            <v>38944</v>
          </cell>
          <cell r="F466" t="str">
            <v>س بلعباس</v>
          </cell>
          <cell r="G466" t="str">
            <v>2أ ف2</v>
          </cell>
          <cell r="H466" t="str">
            <v>خارجي</v>
          </cell>
          <cell r="I466" t="str">
            <v>خ</v>
          </cell>
          <cell r="J466" t="str">
            <v>محمد</v>
          </cell>
          <cell r="K466" t="str">
            <v>حارس</v>
          </cell>
          <cell r="L466" t="str">
            <v>شارع أوهيبة ميلود سفيزف</v>
          </cell>
          <cell r="M466">
            <v>0</v>
          </cell>
          <cell r="N466">
            <v>0</v>
          </cell>
          <cell r="O466" t="str">
            <v>واجد  محمد</v>
          </cell>
        </row>
        <row r="467">
          <cell r="A467">
            <v>458</v>
          </cell>
          <cell r="B467" t="str">
            <v>طيبي     خلود فاطمة الزهراء</v>
          </cell>
          <cell r="C467" t="str">
            <v xml:space="preserve">طيبي  </v>
          </cell>
          <cell r="D467" t="str">
            <v xml:space="preserve"> خلود فاطمة الزهراء</v>
          </cell>
          <cell r="E467">
            <v>39429</v>
          </cell>
          <cell r="F467" t="str">
            <v>سفيزف</v>
          </cell>
          <cell r="G467" t="str">
            <v>2ل أ</v>
          </cell>
          <cell r="H467" t="str">
            <v>ن/داخلية</v>
          </cell>
          <cell r="I467" t="str">
            <v>ن/د</v>
          </cell>
          <cell r="J467" t="str">
            <v>جيلالي</v>
          </cell>
          <cell r="K467" t="str">
            <v>م.تربية</v>
          </cell>
          <cell r="L467" t="str">
            <v>03مقطع دار السبع عين آدن</v>
          </cell>
          <cell r="M467">
            <v>0</v>
          </cell>
          <cell r="N467">
            <v>0</v>
          </cell>
          <cell r="O467" t="str">
            <v>طيبي    جيلالي</v>
          </cell>
        </row>
        <row r="468">
          <cell r="A468">
            <v>459</v>
          </cell>
          <cell r="B468" t="str">
            <v>بلعوينات    محمد كمال</v>
          </cell>
          <cell r="C468" t="str">
            <v xml:space="preserve">بلعوينات </v>
          </cell>
          <cell r="D468" t="str">
            <v xml:space="preserve"> محمد كمال</v>
          </cell>
          <cell r="E468">
            <v>39321</v>
          </cell>
          <cell r="F468" t="str">
            <v>سفيزف</v>
          </cell>
          <cell r="G468" t="str">
            <v>2ل أ</v>
          </cell>
          <cell r="H468" t="str">
            <v>خارجي</v>
          </cell>
          <cell r="I468" t="str">
            <v>خ</v>
          </cell>
          <cell r="J468" t="str">
            <v>يحي</v>
          </cell>
          <cell r="K468" t="str">
            <v>لا شئ</v>
          </cell>
          <cell r="L468" t="str">
            <v>16حي بوخنفوس مختار سفيزف</v>
          </cell>
          <cell r="M468">
            <v>0</v>
          </cell>
          <cell r="N468">
            <v>0</v>
          </cell>
          <cell r="O468" t="str">
            <v>بلعوينات   يحي</v>
          </cell>
        </row>
        <row r="469">
          <cell r="A469">
            <v>460</v>
          </cell>
          <cell r="B469" t="str">
            <v>بلعيد    مريم</v>
          </cell>
          <cell r="C469" t="str">
            <v xml:space="preserve">بلعيد </v>
          </cell>
          <cell r="D469" t="str">
            <v xml:space="preserve"> مريم</v>
          </cell>
          <cell r="E469">
            <v>39338</v>
          </cell>
          <cell r="F469" t="str">
            <v>س بلعباس</v>
          </cell>
          <cell r="G469" t="str">
            <v>2ل أ</v>
          </cell>
          <cell r="H469" t="str">
            <v>خارجية</v>
          </cell>
          <cell r="I469" t="str">
            <v>خ</v>
          </cell>
          <cell r="J469" t="str">
            <v>عبدالقادر</v>
          </cell>
          <cell r="K469" t="str">
            <v>لا شئ</v>
          </cell>
          <cell r="L469" t="str">
            <v>حي صلات محمد سفيزف</v>
          </cell>
          <cell r="M469">
            <v>0</v>
          </cell>
          <cell r="N469">
            <v>0</v>
          </cell>
          <cell r="O469" t="str">
            <v>بلعيد   عبدالقادر</v>
          </cell>
        </row>
        <row r="470">
          <cell r="A470">
            <v>461</v>
          </cell>
          <cell r="B470" t="str">
            <v>بلقاسم  ياسر</v>
          </cell>
          <cell r="C470" t="str">
            <v>بلقاسم</v>
          </cell>
          <cell r="D470" t="str">
            <v>ياسر</v>
          </cell>
          <cell r="E470">
            <v>39548</v>
          </cell>
          <cell r="F470" t="str">
            <v>سعيدة</v>
          </cell>
          <cell r="G470" t="str">
            <v>2ل أ</v>
          </cell>
          <cell r="H470" t="str">
            <v>خارجي</v>
          </cell>
          <cell r="I470" t="str">
            <v>خ</v>
          </cell>
          <cell r="J470" t="str">
            <v>لخضر</v>
          </cell>
          <cell r="K470" t="str">
            <v>لا شئ</v>
          </cell>
          <cell r="L470" t="str">
            <v>حي بوخنفوس مختار سفيزف</v>
          </cell>
          <cell r="M470">
            <v>0</v>
          </cell>
          <cell r="N470">
            <v>0</v>
          </cell>
          <cell r="O470" t="str">
            <v>بلقاسم  لخضر</v>
          </cell>
        </row>
        <row r="471">
          <cell r="A471">
            <v>462</v>
          </cell>
          <cell r="B471" t="str">
            <v>بوطبل    رحمة</v>
          </cell>
          <cell r="C471" t="str">
            <v xml:space="preserve">بوطبل </v>
          </cell>
          <cell r="D471" t="str">
            <v xml:space="preserve"> رحمة</v>
          </cell>
          <cell r="E471">
            <v>39232</v>
          </cell>
          <cell r="F471" t="str">
            <v>سفيزف</v>
          </cell>
          <cell r="G471" t="str">
            <v>2ل أ</v>
          </cell>
          <cell r="H471" t="str">
            <v>خارجية</v>
          </cell>
          <cell r="I471" t="str">
            <v>خ</v>
          </cell>
          <cell r="J471" t="str">
            <v>مختار</v>
          </cell>
          <cell r="K471" t="str">
            <v>لا شئ</v>
          </cell>
          <cell r="L471" t="str">
            <v>14شارع بوهند يحي سفيزف</v>
          </cell>
          <cell r="M471">
            <v>0</v>
          </cell>
          <cell r="N471">
            <v>0</v>
          </cell>
          <cell r="O471" t="str">
            <v>بوطبل   مختار</v>
          </cell>
        </row>
        <row r="472">
          <cell r="A472">
            <v>463</v>
          </cell>
          <cell r="B472" t="str">
            <v>بوعلي قدور      عبد الرحمان</v>
          </cell>
          <cell r="C472" t="str">
            <v xml:space="preserve">بوعلي قدور  </v>
          </cell>
          <cell r="D472" t="str">
            <v xml:space="preserve">  عبد الرحمان</v>
          </cell>
          <cell r="E472">
            <v>39156</v>
          </cell>
          <cell r="F472" t="str">
            <v>سفيزف</v>
          </cell>
          <cell r="G472" t="str">
            <v>2ل أ</v>
          </cell>
          <cell r="H472" t="str">
            <v>خارجي</v>
          </cell>
          <cell r="I472" t="str">
            <v>خ</v>
          </cell>
          <cell r="J472" t="str">
            <v>جيلالي</v>
          </cell>
          <cell r="K472" t="str">
            <v>تاجر</v>
          </cell>
          <cell r="L472" t="str">
            <v>شارع يملول الطيب سفيزف</v>
          </cell>
          <cell r="M472">
            <v>0</v>
          </cell>
          <cell r="N472">
            <v>0</v>
          </cell>
          <cell r="O472" t="str">
            <v>بوعلي قدور    جيلالي</v>
          </cell>
        </row>
        <row r="473">
          <cell r="A473">
            <v>464</v>
          </cell>
          <cell r="B473" t="str">
            <v>بوهراوة  عبدالله بشير ندير</v>
          </cell>
          <cell r="C473" t="str">
            <v>بوهراوة</v>
          </cell>
          <cell r="D473" t="str">
            <v>عبدالله بشير ندير</v>
          </cell>
          <cell r="E473">
            <v>38805</v>
          </cell>
          <cell r="F473" t="str">
            <v>سفيزف</v>
          </cell>
          <cell r="G473" t="str">
            <v>2ل أ</v>
          </cell>
          <cell r="H473" t="str">
            <v>خارجي</v>
          </cell>
          <cell r="I473" t="str">
            <v>خ</v>
          </cell>
          <cell r="J473" t="str">
            <v>محمد</v>
          </cell>
          <cell r="K473" t="str">
            <v>حارس</v>
          </cell>
          <cell r="L473" t="str">
            <v>حي200سكن سفيزف</v>
          </cell>
          <cell r="M473">
            <v>0</v>
          </cell>
          <cell r="N473">
            <v>0</v>
          </cell>
          <cell r="O473" t="str">
            <v>بوهراوة  محمد</v>
          </cell>
        </row>
        <row r="474">
          <cell r="A474">
            <v>465</v>
          </cell>
          <cell r="B474" t="str">
            <v>جرموني    مونية نوال</v>
          </cell>
          <cell r="C474" t="str">
            <v xml:space="preserve">جرموني </v>
          </cell>
          <cell r="D474" t="str">
            <v xml:space="preserve"> مونية نوال</v>
          </cell>
          <cell r="E474">
            <v>38858</v>
          </cell>
          <cell r="F474" t="str">
            <v>س بلعباس</v>
          </cell>
          <cell r="G474" t="str">
            <v>2ل أ</v>
          </cell>
          <cell r="H474" t="str">
            <v>خارجية</v>
          </cell>
          <cell r="I474" t="str">
            <v>خ</v>
          </cell>
          <cell r="J474" t="str">
            <v>جمال</v>
          </cell>
          <cell r="K474" t="str">
            <v>متقاعد</v>
          </cell>
          <cell r="L474" t="str">
            <v>شارع جرموني محمد سفيزف</v>
          </cell>
          <cell r="M474">
            <v>0</v>
          </cell>
          <cell r="N474">
            <v>0</v>
          </cell>
          <cell r="O474" t="str">
            <v>جرموني   جمال</v>
          </cell>
        </row>
        <row r="475">
          <cell r="A475">
            <v>466</v>
          </cell>
          <cell r="B475" t="str">
            <v>حسان    هاجر</v>
          </cell>
          <cell r="C475" t="str">
            <v xml:space="preserve">حسان  </v>
          </cell>
          <cell r="D475" t="str">
            <v>هاجر</v>
          </cell>
          <cell r="E475">
            <v>39002</v>
          </cell>
          <cell r="F475" t="str">
            <v>معسكر</v>
          </cell>
          <cell r="G475" t="str">
            <v>2ل أ</v>
          </cell>
          <cell r="H475" t="str">
            <v>خارجية</v>
          </cell>
          <cell r="I475" t="str">
            <v>خ</v>
          </cell>
          <cell r="J475" t="str">
            <v>بن علي</v>
          </cell>
          <cell r="K475" t="str">
            <v>فلاح</v>
          </cell>
          <cell r="L475" t="str">
            <v>30شالرع عبان رمضان سفيزف</v>
          </cell>
          <cell r="M475">
            <v>0</v>
          </cell>
          <cell r="N475">
            <v>0</v>
          </cell>
          <cell r="O475" t="str">
            <v>حسان    بن علي</v>
          </cell>
        </row>
        <row r="476">
          <cell r="A476">
            <v>467</v>
          </cell>
          <cell r="B476" t="str">
            <v>حلفاوي    عصام</v>
          </cell>
          <cell r="C476" t="str">
            <v xml:space="preserve">حلفاوي </v>
          </cell>
          <cell r="D476" t="str">
            <v xml:space="preserve"> عصام</v>
          </cell>
          <cell r="E476">
            <v>39275</v>
          </cell>
          <cell r="F476" t="str">
            <v>سفيزف</v>
          </cell>
          <cell r="G476" t="str">
            <v>2ل أ</v>
          </cell>
          <cell r="H476" t="str">
            <v>خارجي</v>
          </cell>
          <cell r="I476" t="str">
            <v>خ</v>
          </cell>
          <cell r="J476" t="str">
            <v>محمد</v>
          </cell>
          <cell r="K476" t="str">
            <v>متقاعد</v>
          </cell>
          <cell r="L476" t="str">
            <v>55حي نواري بن عبدالله سفيزف</v>
          </cell>
          <cell r="M476">
            <v>0</v>
          </cell>
          <cell r="N476">
            <v>0</v>
          </cell>
          <cell r="O476" t="str">
            <v>حلفاوي   محمد</v>
          </cell>
        </row>
        <row r="477">
          <cell r="A477">
            <v>468</v>
          </cell>
          <cell r="B477" t="str">
            <v>حمادن    سيراج الدين</v>
          </cell>
          <cell r="C477" t="str">
            <v xml:space="preserve">حمادن </v>
          </cell>
          <cell r="D477" t="str">
            <v xml:space="preserve"> سيراج الدين</v>
          </cell>
          <cell r="E477">
            <v>39302</v>
          </cell>
          <cell r="F477" t="str">
            <v>سفيزف</v>
          </cell>
          <cell r="G477" t="str">
            <v>2ل أ</v>
          </cell>
          <cell r="H477" t="str">
            <v>خارجي</v>
          </cell>
          <cell r="I477" t="str">
            <v>خ</v>
          </cell>
          <cell r="J477" t="str">
            <v>بن حميدي</v>
          </cell>
          <cell r="K477" t="str">
            <v>موظف</v>
          </cell>
          <cell r="L477" t="str">
            <v>09شارع رابح كريم سفيزف</v>
          </cell>
          <cell r="M477">
            <v>0</v>
          </cell>
          <cell r="N477">
            <v>0</v>
          </cell>
          <cell r="O477" t="str">
            <v>حمادن   بن حميدي</v>
          </cell>
        </row>
        <row r="478">
          <cell r="A478">
            <v>469</v>
          </cell>
          <cell r="B478" t="str">
            <v>حميدة     سيف الدين</v>
          </cell>
          <cell r="C478" t="str">
            <v xml:space="preserve">حميدة  </v>
          </cell>
          <cell r="D478" t="str">
            <v xml:space="preserve"> سيف الدين</v>
          </cell>
          <cell r="E478">
            <v>39349</v>
          </cell>
          <cell r="F478" t="str">
            <v>س بلعباس</v>
          </cell>
          <cell r="G478" t="str">
            <v>2ل أ</v>
          </cell>
          <cell r="H478" t="str">
            <v>خارجي</v>
          </cell>
          <cell r="I478" t="str">
            <v>خ</v>
          </cell>
          <cell r="J478" t="str">
            <v>عباس</v>
          </cell>
          <cell r="K478" t="str">
            <v>موظف</v>
          </cell>
          <cell r="L478" t="str">
            <v>90حي طيبي عبدالقادر سفيزف</v>
          </cell>
          <cell r="M478">
            <v>0</v>
          </cell>
          <cell r="N478">
            <v>0</v>
          </cell>
          <cell r="O478" t="str">
            <v>حميدة    عباس</v>
          </cell>
        </row>
        <row r="479">
          <cell r="A479">
            <v>470</v>
          </cell>
          <cell r="B479" t="str">
            <v>رمضاني  مارية</v>
          </cell>
          <cell r="C479" t="str">
            <v>رمضاني</v>
          </cell>
          <cell r="D479" t="str">
            <v>مارية</v>
          </cell>
          <cell r="E479">
            <v>39562</v>
          </cell>
          <cell r="F479" t="str">
            <v>سفيزف</v>
          </cell>
          <cell r="G479" t="str">
            <v>2ل أ</v>
          </cell>
          <cell r="H479" t="str">
            <v>خارجية</v>
          </cell>
          <cell r="I479" t="str">
            <v>خ</v>
          </cell>
          <cell r="J479" t="str">
            <v>حبيب</v>
          </cell>
          <cell r="K479" t="str">
            <v>أستاذ</v>
          </cell>
          <cell r="L479" t="str">
            <v>حي05جويلية سفيزف</v>
          </cell>
          <cell r="M479">
            <v>0</v>
          </cell>
          <cell r="N479">
            <v>0</v>
          </cell>
          <cell r="O479" t="str">
            <v>رمضاني  حبيب</v>
          </cell>
        </row>
        <row r="480">
          <cell r="A480">
            <v>471</v>
          </cell>
          <cell r="B480" t="str">
            <v>رويبي  فتح الله</v>
          </cell>
          <cell r="C480" t="str">
            <v>رويبي</v>
          </cell>
          <cell r="D480" t="str">
            <v>فتح الله</v>
          </cell>
          <cell r="E480">
            <v>39344</v>
          </cell>
          <cell r="F480" t="str">
            <v>س بلعباس</v>
          </cell>
          <cell r="G480" t="str">
            <v>2ل أ</v>
          </cell>
          <cell r="H480" t="str">
            <v>خارجي</v>
          </cell>
          <cell r="I480" t="str">
            <v>خ</v>
          </cell>
          <cell r="J480" t="str">
            <v>محمد</v>
          </cell>
          <cell r="K480" t="str">
            <v>سائق</v>
          </cell>
          <cell r="L480" t="str">
            <v>121حي نواري بن عبدالله سفيزف</v>
          </cell>
          <cell r="M480">
            <v>0</v>
          </cell>
          <cell r="N480">
            <v>0</v>
          </cell>
          <cell r="O480" t="str">
            <v>رويبي  محمد</v>
          </cell>
        </row>
        <row r="481">
          <cell r="A481">
            <v>472</v>
          </cell>
          <cell r="B481" t="str">
            <v>زوقاغ    جيهان</v>
          </cell>
          <cell r="C481" t="str">
            <v xml:space="preserve">زوقاغ </v>
          </cell>
          <cell r="D481" t="str">
            <v xml:space="preserve"> جيهان</v>
          </cell>
          <cell r="E481">
            <v>39505</v>
          </cell>
          <cell r="F481" t="str">
            <v>سعيدة</v>
          </cell>
          <cell r="G481" t="str">
            <v>2ل أ</v>
          </cell>
          <cell r="H481" t="str">
            <v>خارجية</v>
          </cell>
          <cell r="I481" t="str">
            <v>خ</v>
          </cell>
          <cell r="J481" t="str">
            <v>يحي</v>
          </cell>
          <cell r="K481" t="str">
            <v>إسكافي</v>
          </cell>
          <cell r="L481" t="str">
            <v>حي200سكن المشتلة سفيزف</v>
          </cell>
          <cell r="M481">
            <v>0</v>
          </cell>
          <cell r="N481">
            <v>0</v>
          </cell>
          <cell r="O481" t="str">
            <v>زوقاغ   يحي</v>
          </cell>
        </row>
        <row r="482">
          <cell r="A482">
            <v>473</v>
          </cell>
          <cell r="B482" t="str">
            <v>زياني    آية</v>
          </cell>
          <cell r="C482" t="str">
            <v xml:space="preserve">زياني </v>
          </cell>
          <cell r="D482" t="str">
            <v xml:space="preserve"> آية</v>
          </cell>
          <cell r="E482">
            <v>38802</v>
          </cell>
          <cell r="F482" t="str">
            <v>سفيزف</v>
          </cell>
          <cell r="G482" t="str">
            <v>2ل أ</v>
          </cell>
          <cell r="H482" t="str">
            <v>خارجية</v>
          </cell>
          <cell r="I482" t="str">
            <v>خ</v>
          </cell>
          <cell r="J482" t="str">
            <v>عباس</v>
          </cell>
          <cell r="K482" t="str">
            <v>لا شئ</v>
          </cell>
          <cell r="L482" t="str">
            <v>حي طيبي أحمد سفيزف</v>
          </cell>
          <cell r="M482">
            <v>0</v>
          </cell>
          <cell r="N482">
            <v>0</v>
          </cell>
          <cell r="O482" t="str">
            <v>زياني   عباس</v>
          </cell>
        </row>
        <row r="483">
          <cell r="A483">
            <v>474</v>
          </cell>
          <cell r="B483" t="str">
            <v>سالمي    شيماء</v>
          </cell>
          <cell r="C483" t="str">
            <v xml:space="preserve">سالمي </v>
          </cell>
          <cell r="D483" t="str">
            <v xml:space="preserve"> شيماء</v>
          </cell>
          <cell r="E483">
            <v>39115</v>
          </cell>
          <cell r="F483" t="str">
            <v>سيدي علي مستغانم</v>
          </cell>
          <cell r="G483" t="str">
            <v>2ل أ</v>
          </cell>
          <cell r="H483" t="str">
            <v>خارجية</v>
          </cell>
          <cell r="I483" t="str">
            <v>خ</v>
          </cell>
          <cell r="J483" t="str">
            <v>أمحمد</v>
          </cell>
          <cell r="K483" t="str">
            <v>لا شئ</v>
          </cell>
          <cell r="L483" t="str">
            <v>حي طيبي عبدالقادر سفيزف</v>
          </cell>
          <cell r="M483">
            <v>0</v>
          </cell>
          <cell r="N483">
            <v>0</v>
          </cell>
          <cell r="O483" t="str">
            <v>سالمي   أمحمد</v>
          </cell>
        </row>
        <row r="484">
          <cell r="A484">
            <v>475</v>
          </cell>
          <cell r="B484" t="str">
            <v>سوقمي    زينب الزهراء</v>
          </cell>
          <cell r="C484" t="str">
            <v xml:space="preserve">سوقمي </v>
          </cell>
          <cell r="D484" t="str">
            <v xml:space="preserve"> زينب الزهراء</v>
          </cell>
          <cell r="E484">
            <v>39397</v>
          </cell>
          <cell r="F484" t="str">
            <v>بشار</v>
          </cell>
          <cell r="G484" t="str">
            <v>2ل أ</v>
          </cell>
          <cell r="H484" t="str">
            <v>خارجية</v>
          </cell>
          <cell r="I484" t="str">
            <v>خ</v>
          </cell>
          <cell r="J484" t="str">
            <v>محمد</v>
          </cell>
          <cell r="K484" t="str">
            <v>متقاعد</v>
          </cell>
          <cell r="L484" t="str">
            <v>شارع العربي ملالي سفيزف</v>
          </cell>
          <cell r="M484">
            <v>0</v>
          </cell>
          <cell r="N484">
            <v>0</v>
          </cell>
          <cell r="O484" t="str">
            <v>سوقمي   محمد</v>
          </cell>
        </row>
        <row r="485">
          <cell r="A485">
            <v>476</v>
          </cell>
          <cell r="B485" t="str">
            <v>شباني   محمد إلياس</v>
          </cell>
          <cell r="C485" t="str">
            <v xml:space="preserve">شباني </v>
          </cell>
          <cell r="D485" t="str">
            <v>محمد إلياس</v>
          </cell>
          <cell r="E485">
            <v>39396</v>
          </cell>
          <cell r="F485" t="str">
            <v>سفيزف</v>
          </cell>
          <cell r="G485" t="str">
            <v>2ل أ</v>
          </cell>
          <cell r="H485" t="str">
            <v>خارجي</v>
          </cell>
          <cell r="I485" t="str">
            <v>خ</v>
          </cell>
          <cell r="J485" t="str">
            <v>عبدالقادر</v>
          </cell>
          <cell r="K485" t="str">
            <v>موظف</v>
          </cell>
          <cell r="L485" t="str">
            <v>34شارع عبدلي عبدالقادر سفيزف</v>
          </cell>
          <cell r="M485">
            <v>0</v>
          </cell>
          <cell r="N485">
            <v>0</v>
          </cell>
          <cell r="O485" t="str">
            <v>شباني   عبدالقادر</v>
          </cell>
        </row>
        <row r="486">
          <cell r="A486">
            <v>477</v>
          </cell>
          <cell r="B486" t="str">
            <v>عمرون    معاذ عبد الودود</v>
          </cell>
          <cell r="C486" t="str">
            <v xml:space="preserve">عمرون </v>
          </cell>
          <cell r="D486" t="str">
            <v xml:space="preserve"> معاذ عبد الودود</v>
          </cell>
          <cell r="E486">
            <v>39200</v>
          </cell>
          <cell r="F486" t="str">
            <v>س بلعباس</v>
          </cell>
          <cell r="G486" t="str">
            <v>2ل أ</v>
          </cell>
          <cell r="H486" t="str">
            <v>خارجي</v>
          </cell>
          <cell r="I486" t="str">
            <v>خ</v>
          </cell>
          <cell r="J486" t="str">
            <v>أحمد</v>
          </cell>
          <cell r="K486" t="str">
            <v>متقاعد</v>
          </cell>
          <cell r="L486" t="str">
            <v>15حي نواري بن عبدالله سفيزف</v>
          </cell>
          <cell r="M486">
            <v>0</v>
          </cell>
          <cell r="N486">
            <v>0</v>
          </cell>
          <cell r="O486" t="str">
            <v>عمرون   أحمد</v>
          </cell>
        </row>
        <row r="487">
          <cell r="A487">
            <v>478</v>
          </cell>
          <cell r="B487" t="str">
            <v>قلاليز   دنيا أحلام</v>
          </cell>
          <cell r="C487" t="str">
            <v xml:space="preserve">قلاليز </v>
          </cell>
          <cell r="D487" t="str">
            <v>دنيا أحلام</v>
          </cell>
          <cell r="E487">
            <v>39489</v>
          </cell>
          <cell r="F487" t="str">
            <v>سفيزف</v>
          </cell>
          <cell r="G487" t="str">
            <v>2ل أ</v>
          </cell>
          <cell r="H487" t="str">
            <v>خارجية</v>
          </cell>
          <cell r="I487" t="str">
            <v>خ</v>
          </cell>
          <cell r="J487" t="str">
            <v>ابراهيم</v>
          </cell>
          <cell r="K487" t="str">
            <v>موظف</v>
          </cell>
          <cell r="L487" t="str">
            <v>28حي05جويلية سفيزف</v>
          </cell>
          <cell r="M487">
            <v>0</v>
          </cell>
          <cell r="N487">
            <v>0</v>
          </cell>
          <cell r="O487" t="str">
            <v>قلاليز   ابراهيم</v>
          </cell>
        </row>
        <row r="488">
          <cell r="A488">
            <v>479</v>
          </cell>
          <cell r="B488" t="str">
            <v>كاملي   وداد</v>
          </cell>
          <cell r="C488" t="str">
            <v>كاملي</v>
          </cell>
          <cell r="D488" t="str">
            <v xml:space="preserve"> وداد</v>
          </cell>
          <cell r="E488">
            <v>39323</v>
          </cell>
          <cell r="F488" t="str">
            <v>سفيزف</v>
          </cell>
          <cell r="G488" t="str">
            <v>2ل أ</v>
          </cell>
          <cell r="H488" t="str">
            <v>خارجية</v>
          </cell>
          <cell r="I488" t="str">
            <v>خ</v>
          </cell>
          <cell r="J488" t="str">
            <v>الطيب</v>
          </cell>
          <cell r="K488" t="str">
            <v>عسكري</v>
          </cell>
          <cell r="L488" t="str">
            <v>62شارع العربي بن المهيدي سفيزف</v>
          </cell>
          <cell r="M488">
            <v>0</v>
          </cell>
          <cell r="N488">
            <v>0</v>
          </cell>
          <cell r="O488" t="str">
            <v>كاملي  الطيب</v>
          </cell>
        </row>
        <row r="489">
          <cell r="A489">
            <v>480</v>
          </cell>
          <cell r="B489" t="str">
            <v>كشار  زهرة خلود أسماء</v>
          </cell>
          <cell r="C489" t="str">
            <v>كشار</v>
          </cell>
          <cell r="D489" t="str">
            <v>زهرة خلود أسماء</v>
          </cell>
          <cell r="E489">
            <v>39395</v>
          </cell>
          <cell r="F489" t="str">
            <v>سفيزف</v>
          </cell>
          <cell r="G489" t="str">
            <v>2ل أ</v>
          </cell>
          <cell r="H489" t="str">
            <v>خارجية</v>
          </cell>
          <cell r="I489" t="str">
            <v>خ</v>
          </cell>
          <cell r="J489" t="str">
            <v>جيلالي</v>
          </cell>
          <cell r="K489" t="str">
            <v>متقاعد</v>
          </cell>
          <cell r="L489" t="str">
            <v>شارع عبدلي عبدالقادر سفيزف</v>
          </cell>
          <cell r="M489">
            <v>0</v>
          </cell>
          <cell r="N489">
            <v>0</v>
          </cell>
          <cell r="O489" t="str">
            <v>كشار  جيلالي</v>
          </cell>
        </row>
        <row r="490">
          <cell r="A490">
            <v>481</v>
          </cell>
          <cell r="B490" t="str">
            <v>محال  مروى</v>
          </cell>
          <cell r="C490" t="str">
            <v>محال</v>
          </cell>
          <cell r="D490" t="str">
            <v>مروى</v>
          </cell>
          <cell r="E490">
            <v>38853</v>
          </cell>
          <cell r="F490" t="str">
            <v>س بلعباس</v>
          </cell>
          <cell r="G490" t="str">
            <v>2ل أ</v>
          </cell>
          <cell r="H490" t="str">
            <v>خارجية</v>
          </cell>
          <cell r="I490" t="str">
            <v>خ</v>
          </cell>
          <cell r="J490" t="str">
            <v>محال خضرة</v>
          </cell>
          <cell r="K490" t="str">
            <v>موظفة</v>
          </cell>
          <cell r="L490" t="str">
            <v>شارع عراس رقية سفيزف</v>
          </cell>
          <cell r="M490">
            <v>0</v>
          </cell>
          <cell r="N490">
            <v>0</v>
          </cell>
          <cell r="O490" t="str">
            <v>محال  محال خضرة</v>
          </cell>
        </row>
        <row r="491">
          <cell r="A491">
            <v>482</v>
          </cell>
          <cell r="B491" t="str">
            <v>مدوني    نسرين</v>
          </cell>
          <cell r="C491" t="str">
            <v xml:space="preserve">مدوني </v>
          </cell>
          <cell r="D491" t="str">
            <v xml:space="preserve"> نسرين</v>
          </cell>
          <cell r="E491">
            <v>39224</v>
          </cell>
          <cell r="F491" t="str">
            <v>سفيزف</v>
          </cell>
          <cell r="G491" t="str">
            <v>2ل أ</v>
          </cell>
          <cell r="H491" t="str">
            <v>خارجية</v>
          </cell>
          <cell r="I491" t="str">
            <v>خ</v>
          </cell>
          <cell r="J491" t="str">
            <v>قويدر</v>
          </cell>
          <cell r="K491" t="str">
            <v>لا شئ</v>
          </cell>
          <cell r="L491" t="str">
            <v>شارع عبان رمضان سفيزف</v>
          </cell>
          <cell r="M491">
            <v>0</v>
          </cell>
          <cell r="N491">
            <v>0</v>
          </cell>
          <cell r="O491" t="str">
            <v>مدوني   قويدر</v>
          </cell>
        </row>
        <row r="492">
          <cell r="A492">
            <v>483</v>
          </cell>
          <cell r="B492" t="str">
            <v>معطى الله     مريم</v>
          </cell>
          <cell r="C492" t="str">
            <v xml:space="preserve">معطى الله </v>
          </cell>
          <cell r="D492" t="str">
            <v xml:space="preserve">  مريم</v>
          </cell>
          <cell r="E492">
            <v>39497</v>
          </cell>
          <cell r="F492" t="str">
            <v>سفيزف</v>
          </cell>
          <cell r="G492" t="str">
            <v>2ل أ</v>
          </cell>
          <cell r="H492" t="str">
            <v>خارجية</v>
          </cell>
          <cell r="I492" t="str">
            <v>خ</v>
          </cell>
          <cell r="J492" t="str">
            <v>مهاجي</v>
          </cell>
          <cell r="K492" t="str">
            <v>حارس</v>
          </cell>
          <cell r="L492" t="str">
            <v>حي100سكن طريق بوحنيفيةسفيزف</v>
          </cell>
          <cell r="M492">
            <v>0</v>
          </cell>
          <cell r="N492">
            <v>0</v>
          </cell>
          <cell r="O492" t="str">
            <v>معطى الله   مهاجي</v>
          </cell>
        </row>
        <row r="493">
          <cell r="A493">
            <v>484</v>
          </cell>
          <cell r="B493" t="str">
            <v>نحال    مروى ملاك</v>
          </cell>
          <cell r="C493" t="str">
            <v xml:space="preserve">نحال </v>
          </cell>
          <cell r="D493" t="str">
            <v xml:space="preserve"> مروى ملاك</v>
          </cell>
          <cell r="E493">
            <v>39583</v>
          </cell>
          <cell r="F493" t="str">
            <v>سفيزف</v>
          </cell>
          <cell r="G493" t="str">
            <v>2ل أ</v>
          </cell>
          <cell r="H493" t="str">
            <v>خارجية</v>
          </cell>
          <cell r="I493" t="str">
            <v>خ</v>
          </cell>
          <cell r="J493" t="str">
            <v>سيدأحمد</v>
          </cell>
          <cell r="K493" t="str">
            <v>ممرض</v>
          </cell>
          <cell r="L493" t="str">
            <v>17شارع بنابي عبدالقادر سفيزف</v>
          </cell>
          <cell r="M493">
            <v>0</v>
          </cell>
          <cell r="N493">
            <v>0</v>
          </cell>
          <cell r="O493" t="str">
            <v>نحال   سيدأحمد</v>
          </cell>
        </row>
        <row r="494">
          <cell r="A494">
            <v>485</v>
          </cell>
          <cell r="B494" t="str">
            <v>الميلودي  اسمهان</v>
          </cell>
          <cell r="C494" t="str">
            <v>الميلودي</v>
          </cell>
          <cell r="D494" t="str">
            <v>اسمهان</v>
          </cell>
          <cell r="E494">
            <v>39692</v>
          </cell>
          <cell r="F494" t="str">
            <v>سفيزف</v>
          </cell>
          <cell r="G494" t="str">
            <v>1ج م ع1</v>
          </cell>
          <cell r="H494" t="str">
            <v>ن/داخلية</v>
          </cell>
          <cell r="I494" t="str">
            <v>ن/د</v>
          </cell>
          <cell r="J494" t="str">
            <v>الحاج</v>
          </cell>
          <cell r="K494" t="str">
            <v>متقاعد</v>
          </cell>
          <cell r="L494" t="str">
            <v>مقطع دار السبع عين آدن</v>
          </cell>
          <cell r="M494">
            <v>0</v>
          </cell>
          <cell r="N494">
            <v>0</v>
          </cell>
          <cell r="O494" t="str">
            <v>الميلودي  الحاج</v>
          </cell>
        </row>
        <row r="495">
          <cell r="A495">
            <v>486</v>
          </cell>
          <cell r="B495" t="str">
            <v>دارنموس   منال احلام</v>
          </cell>
          <cell r="C495" t="str">
            <v xml:space="preserve">دارنموس </v>
          </cell>
          <cell r="D495" t="str">
            <v>منال احلام</v>
          </cell>
          <cell r="E495">
            <v>39669</v>
          </cell>
          <cell r="F495" t="str">
            <v>سفيزف</v>
          </cell>
          <cell r="G495" t="str">
            <v>1ج م ع1</v>
          </cell>
          <cell r="H495" t="str">
            <v>ن/داخلية</v>
          </cell>
          <cell r="I495" t="str">
            <v>ن/د</v>
          </cell>
          <cell r="J495" t="str">
            <v>محمد</v>
          </cell>
          <cell r="K495" t="str">
            <v>لا شئ</v>
          </cell>
          <cell r="L495" t="str">
            <v>عين آدن</v>
          </cell>
          <cell r="M495">
            <v>0</v>
          </cell>
          <cell r="N495">
            <v>0</v>
          </cell>
          <cell r="O495" t="str">
            <v>دارنموس   محمد</v>
          </cell>
        </row>
        <row r="496">
          <cell r="A496">
            <v>487</v>
          </cell>
          <cell r="B496" t="str">
            <v>لحمر   كوثر مباركة</v>
          </cell>
          <cell r="C496" t="str">
            <v>لحمر</v>
          </cell>
          <cell r="D496" t="str">
            <v xml:space="preserve"> كوثر مباركة</v>
          </cell>
          <cell r="E496">
            <v>39205</v>
          </cell>
          <cell r="F496" t="str">
            <v>سفيزف</v>
          </cell>
          <cell r="G496" t="str">
            <v>1ج م ع1</v>
          </cell>
          <cell r="H496" t="str">
            <v>ن/داخلية</v>
          </cell>
          <cell r="I496" t="str">
            <v>ن/د</v>
          </cell>
          <cell r="J496" t="str">
            <v>نبي</v>
          </cell>
          <cell r="K496" t="str">
            <v>عامل</v>
          </cell>
          <cell r="L496" t="str">
            <v>عين آدن</v>
          </cell>
          <cell r="M496">
            <v>0</v>
          </cell>
          <cell r="N496">
            <v>0</v>
          </cell>
          <cell r="O496" t="str">
            <v>لحمر  نبي</v>
          </cell>
        </row>
        <row r="497">
          <cell r="A497">
            <v>488</v>
          </cell>
          <cell r="B497" t="str">
            <v>لكحل   هاجر</v>
          </cell>
          <cell r="C497" t="str">
            <v xml:space="preserve">لكحل </v>
          </cell>
          <cell r="D497" t="str">
            <v>هاجر</v>
          </cell>
          <cell r="E497">
            <v>39688</v>
          </cell>
          <cell r="F497" t="str">
            <v>سفيزف</v>
          </cell>
          <cell r="G497" t="str">
            <v>1ج م ع1</v>
          </cell>
          <cell r="H497" t="str">
            <v>ن/داخلية</v>
          </cell>
          <cell r="I497" t="str">
            <v>ن/د</v>
          </cell>
          <cell r="J497" t="str">
            <v>ميلود</v>
          </cell>
          <cell r="K497" t="str">
            <v>متقاعد</v>
          </cell>
          <cell r="L497" t="str">
            <v>12شارع رفاس أحمد عينآدن</v>
          </cell>
          <cell r="M497">
            <v>0</v>
          </cell>
          <cell r="N497">
            <v>0</v>
          </cell>
          <cell r="O497" t="str">
            <v>لكحل   ميلود</v>
          </cell>
        </row>
        <row r="498">
          <cell r="A498">
            <v>489</v>
          </cell>
          <cell r="B498" t="str">
            <v>يادني   حليمة أمينة</v>
          </cell>
          <cell r="C498" t="str">
            <v xml:space="preserve">يادني </v>
          </cell>
          <cell r="D498" t="str">
            <v>حليمة أمينة</v>
          </cell>
          <cell r="E498">
            <v>39585</v>
          </cell>
          <cell r="F498" t="str">
            <v>سفيزف</v>
          </cell>
          <cell r="G498" t="str">
            <v>1ج م ع1</v>
          </cell>
          <cell r="H498" t="str">
            <v>ن/داخلية</v>
          </cell>
          <cell r="I498" t="str">
            <v>ن/د</v>
          </cell>
          <cell r="J498" t="str">
            <v>حسين</v>
          </cell>
          <cell r="K498" t="str">
            <v>لا شئ</v>
          </cell>
          <cell r="L498" t="str">
            <v>عين آدن</v>
          </cell>
          <cell r="M498">
            <v>0</v>
          </cell>
          <cell r="N498">
            <v>0</v>
          </cell>
          <cell r="O498" t="str">
            <v>يادني   حسين</v>
          </cell>
        </row>
        <row r="499">
          <cell r="A499">
            <v>490</v>
          </cell>
          <cell r="B499" t="str">
            <v>بالسيني   ملاك ايناس</v>
          </cell>
          <cell r="C499" t="str">
            <v xml:space="preserve">بالسيني </v>
          </cell>
          <cell r="D499" t="str">
            <v>ملاك ايناس</v>
          </cell>
          <cell r="E499">
            <v>39830</v>
          </cell>
          <cell r="F499" t="str">
            <v>س بلعباس</v>
          </cell>
          <cell r="G499" t="str">
            <v>1ج م ع1</v>
          </cell>
          <cell r="H499" t="str">
            <v>خارجية</v>
          </cell>
          <cell r="I499" t="str">
            <v>خ</v>
          </cell>
          <cell r="J499" t="str">
            <v>لحسن</v>
          </cell>
          <cell r="K499" t="str">
            <v>تاجر</v>
          </cell>
          <cell r="L499" t="str">
            <v>02شارع شعيب لخضر سفيزف</v>
          </cell>
          <cell r="M499">
            <v>0</v>
          </cell>
          <cell r="N499">
            <v>0</v>
          </cell>
          <cell r="O499" t="str">
            <v>بالسيني   لحسن</v>
          </cell>
        </row>
        <row r="500">
          <cell r="A500">
            <v>491</v>
          </cell>
          <cell r="B500" t="str">
            <v>بلكبيش   محمد عبد الوهاب</v>
          </cell>
          <cell r="C500" t="str">
            <v xml:space="preserve">بلكبيش </v>
          </cell>
          <cell r="D500" t="str">
            <v>محمد عبد الوهاب</v>
          </cell>
          <cell r="E500">
            <v>39877</v>
          </cell>
          <cell r="F500" t="str">
            <v>س بلعباس</v>
          </cell>
          <cell r="G500" t="str">
            <v>1ج م ع1</v>
          </cell>
          <cell r="H500" t="str">
            <v>خارجي</v>
          </cell>
          <cell r="I500" t="str">
            <v>خ</v>
          </cell>
          <cell r="J500" t="str">
            <v>مختار</v>
          </cell>
          <cell r="K500" t="str">
            <v>موظف</v>
          </cell>
          <cell r="L500" t="str">
            <v>حي بوخنفوس مختار سفيزف</v>
          </cell>
          <cell r="M500">
            <v>0</v>
          </cell>
          <cell r="N500">
            <v>0</v>
          </cell>
          <cell r="O500" t="str">
            <v>بلكبيش   مختار</v>
          </cell>
        </row>
        <row r="501">
          <cell r="A501">
            <v>492</v>
          </cell>
          <cell r="B501" t="str">
            <v>بوراس   رياض</v>
          </cell>
          <cell r="C501" t="str">
            <v xml:space="preserve">بوراس </v>
          </cell>
          <cell r="D501" t="str">
            <v>رياض</v>
          </cell>
          <cell r="E501">
            <v>39805</v>
          </cell>
          <cell r="F501" t="str">
            <v>سفيزف</v>
          </cell>
          <cell r="G501" t="str">
            <v>1ج م ع1</v>
          </cell>
          <cell r="H501" t="str">
            <v>خارجي</v>
          </cell>
          <cell r="I501" t="str">
            <v>خ</v>
          </cell>
          <cell r="J501" t="str">
            <v>قادة</v>
          </cell>
          <cell r="K501" t="str">
            <v>لا شئ</v>
          </cell>
          <cell r="L501" t="str">
            <v>04شارع بلاحي يحي سفيزف</v>
          </cell>
          <cell r="M501">
            <v>0</v>
          </cell>
          <cell r="N501">
            <v>0</v>
          </cell>
          <cell r="O501" t="str">
            <v>بوراس   قادة</v>
          </cell>
        </row>
        <row r="502">
          <cell r="A502">
            <v>493</v>
          </cell>
          <cell r="B502" t="str">
            <v>بوطريشة   نصيرة اسراء</v>
          </cell>
          <cell r="C502" t="str">
            <v xml:space="preserve">بوطريشة </v>
          </cell>
          <cell r="D502" t="str">
            <v>نصيرة اسراء</v>
          </cell>
          <cell r="E502">
            <v>39964</v>
          </cell>
          <cell r="F502" t="str">
            <v>س بلعباس</v>
          </cell>
          <cell r="G502" t="str">
            <v>1ج م ع1</v>
          </cell>
          <cell r="H502" t="str">
            <v>خارجية</v>
          </cell>
          <cell r="I502" t="str">
            <v>خ</v>
          </cell>
          <cell r="J502" t="str">
            <v>عبدالقادر</v>
          </cell>
          <cell r="K502" t="str">
            <v>متقاعد</v>
          </cell>
          <cell r="L502" t="str">
            <v>شارع506سكن سفيزف</v>
          </cell>
          <cell r="M502">
            <v>0</v>
          </cell>
          <cell r="N502">
            <v>0</v>
          </cell>
          <cell r="O502" t="str">
            <v>بوطريشة   عبدالقادر</v>
          </cell>
        </row>
        <row r="503">
          <cell r="A503">
            <v>494</v>
          </cell>
          <cell r="B503" t="str">
            <v>بوقبرين   فاطمة الزهراء</v>
          </cell>
          <cell r="C503" t="str">
            <v xml:space="preserve">بوقبرين </v>
          </cell>
          <cell r="D503" t="str">
            <v>فاطمة الزهراء</v>
          </cell>
          <cell r="E503">
            <v>39605</v>
          </cell>
          <cell r="F503" t="str">
            <v>سفيزف</v>
          </cell>
          <cell r="G503" t="str">
            <v>1ج م ع1</v>
          </cell>
          <cell r="H503" t="str">
            <v>خارجية</v>
          </cell>
          <cell r="I503" t="str">
            <v>خ</v>
          </cell>
          <cell r="J503" t="str">
            <v>عبدالرحمان</v>
          </cell>
          <cell r="K503" t="str">
            <v>موظف</v>
          </cell>
          <cell r="L503" t="str">
            <v>05حي بومسجد الزين سفيزف</v>
          </cell>
          <cell r="M503">
            <v>0</v>
          </cell>
          <cell r="N503">
            <v>0</v>
          </cell>
          <cell r="O503" t="str">
            <v>بوقبرين   عبدالرحمان</v>
          </cell>
        </row>
        <row r="504">
          <cell r="A504">
            <v>495</v>
          </cell>
          <cell r="B504" t="str">
            <v>بوكراع   مختار</v>
          </cell>
          <cell r="C504" t="str">
            <v xml:space="preserve">بوكراع </v>
          </cell>
          <cell r="D504" t="str">
            <v>مختار</v>
          </cell>
          <cell r="E504">
            <v>39593</v>
          </cell>
          <cell r="F504" t="str">
            <v>سفيزف</v>
          </cell>
          <cell r="G504" t="str">
            <v>1ج م ع1</v>
          </cell>
          <cell r="H504" t="str">
            <v>خارجي</v>
          </cell>
          <cell r="I504" t="str">
            <v>خ</v>
          </cell>
          <cell r="J504" t="str">
            <v>عبدالقادر</v>
          </cell>
          <cell r="K504" t="str">
            <v>ممرض</v>
          </cell>
          <cell r="L504" t="str">
            <v>حي نواري بن عبدالله سفيزف</v>
          </cell>
          <cell r="M504">
            <v>0</v>
          </cell>
          <cell r="N504">
            <v>0</v>
          </cell>
          <cell r="O504" t="str">
            <v>بوكراع   عبدالقادر</v>
          </cell>
        </row>
        <row r="505">
          <cell r="A505">
            <v>496</v>
          </cell>
          <cell r="B505" t="str">
            <v>تميم   علام محمد الامين</v>
          </cell>
          <cell r="C505" t="str">
            <v xml:space="preserve">تميم </v>
          </cell>
          <cell r="D505" t="str">
            <v>علام محمد الامين</v>
          </cell>
          <cell r="E505">
            <v>38759</v>
          </cell>
          <cell r="F505" t="str">
            <v>المحمدية</v>
          </cell>
          <cell r="G505" t="str">
            <v>1ج م ع1</v>
          </cell>
          <cell r="H505" t="str">
            <v>خارجي</v>
          </cell>
          <cell r="I505" t="str">
            <v>خ</v>
          </cell>
          <cell r="J505" t="str">
            <v>محمد</v>
          </cell>
          <cell r="K505" t="str">
            <v>لا شئ</v>
          </cell>
          <cell r="L505" t="str">
            <v>47عمارة د طريق بوحنيفية سفيزف</v>
          </cell>
          <cell r="M505">
            <v>0</v>
          </cell>
          <cell r="N505">
            <v>0</v>
          </cell>
          <cell r="O505" t="str">
            <v>تميم   محمد</v>
          </cell>
        </row>
        <row r="506">
          <cell r="A506">
            <v>497</v>
          </cell>
          <cell r="B506" t="str">
            <v>جيلي   عبد الجليل</v>
          </cell>
          <cell r="C506" t="str">
            <v xml:space="preserve">جيلي </v>
          </cell>
          <cell r="D506" t="str">
            <v>عبد الجليل</v>
          </cell>
          <cell r="E506">
            <v>39295</v>
          </cell>
          <cell r="F506" t="str">
            <v>س بلعباس</v>
          </cell>
          <cell r="G506" t="str">
            <v>1ج م ع1</v>
          </cell>
          <cell r="H506" t="str">
            <v>خارجي</v>
          </cell>
          <cell r="I506" t="str">
            <v>خ</v>
          </cell>
          <cell r="J506" t="str">
            <v>إبراهيم</v>
          </cell>
          <cell r="K506" t="str">
            <v>لا شئ</v>
          </cell>
          <cell r="L506" t="str">
            <v>حي هواري بومدين سفيزف</v>
          </cell>
          <cell r="M506">
            <v>0</v>
          </cell>
          <cell r="N506">
            <v>0</v>
          </cell>
          <cell r="O506" t="str">
            <v>جيلي   إبراهيم</v>
          </cell>
        </row>
        <row r="507">
          <cell r="A507">
            <v>498</v>
          </cell>
          <cell r="B507" t="str">
            <v>حدادي   مروى صفاء</v>
          </cell>
          <cell r="C507" t="str">
            <v xml:space="preserve">حدادي </v>
          </cell>
          <cell r="D507" t="str">
            <v>مروى صفاء</v>
          </cell>
          <cell r="E507">
            <v>39807</v>
          </cell>
          <cell r="F507" t="str">
            <v>سفيزف</v>
          </cell>
          <cell r="G507" t="str">
            <v>1ج م ع1</v>
          </cell>
          <cell r="H507" t="str">
            <v>خارجية</v>
          </cell>
          <cell r="I507" t="str">
            <v>خ</v>
          </cell>
          <cell r="J507" t="str">
            <v>يحي</v>
          </cell>
          <cell r="K507" t="str">
            <v>موظف</v>
          </cell>
          <cell r="L507" t="str">
            <v>01حي117سكن سفيزف</v>
          </cell>
          <cell r="M507">
            <v>0</v>
          </cell>
          <cell r="N507">
            <v>0</v>
          </cell>
          <cell r="O507" t="str">
            <v>حدادي   يحي</v>
          </cell>
        </row>
        <row r="508">
          <cell r="A508">
            <v>499</v>
          </cell>
          <cell r="B508" t="str">
            <v>دلاني   عبد الحق</v>
          </cell>
          <cell r="C508" t="str">
            <v xml:space="preserve">دلاني </v>
          </cell>
          <cell r="D508" t="str">
            <v>عبد الحق</v>
          </cell>
          <cell r="E508">
            <v>39793</v>
          </cell>
          <cell r="F508" t="str">
            <v>سفيزف</v>
          </cell>
          <cell r="G508" t="str">
            <v>1ج م ع1</v>
          </cell>
          <cell r="H508" t="str">
            <v>خارجي</v>
          </cell>
          <cell r="I508" t="str">
            <v>خ</v>
          </cell>
          <cell r="J508" t="str">
            <v>بن ويس</v>
          </cell>
          <cell r="K508" t="str">
            <v>متفاعد</v>
          </cell>
          <cell r="L508" t="str">
            <v>36حي هواري بومدين سفيزف</v>
          </cell>
          <cell r="M508">
            <v>0</v>
          </cell>
          <cell r="N508">
            <v>0</v>
          </cell>
          <cell r="O508" t="str">
            <v>دلاني   بن ويس</v>
          </cell>
        </row>
        <row r="509">
          <cell r="A509">
            <v>500</v>
          </cell>
          <cell r="B509" t="str">
            <v>دلاوي   قصي</v>
          </cell>
          <cell r="C509" t="str">
            <v xml:space="preserve">دلاوي </v>
          </cell>
          <cell r="D509" t="str">
            <v>قصي</v>
          </cell>
          <cell r="E509">
            <v>39711</v>
          </cell>
          <cell r="F509" t="str">
            <v>س بلعباس</v>
          </cell>
          <cell r="G509" t="str">
            <v>1ج م ع1</v>
          </cell>
          <cell r="H509" t="str">
            <v>خارجي</v>
          </cell>
          <cell r="I509" t="str">
            <v>خ</v>
          </cell>
          <cell r="J509" t="str">
            <v>يوسف</v>
          </cell>
          <cell r="K509" t="str">
            <v>متفاعد</v>
          </cell>
          <cell r="L509" t="str">
            <v>حي141سكن سفيزف</v>
          </cell>
          <cell r="M509">
            <v>0</v>
          </cell>
          <cell r="N509">
            <v>0</v>
          </cell>
          <cell r="O509" t="str">
            <v>دلاوي   يوسف</v>
          </cell>
        </row>
        <row r="510">
          <cell r="A510">
            <v>501</v>
          </cell>
          <cell r="B510" t="str">
            <v>ريغي   محمد الأمين</v>
          </cell>
          <cell r="C510" t="str">
            <v xml:space="preserve">ريغي </v>
          </cell>
          <cell r="D510" t="str">
            <v>محمد الأمين</v>
          </cell>
          <cell r="E510">
            <v>39543</v>
          </cell>
          <cell r="F510" t="str">
            <v>سفيزف</v>
          </cell>
          <cell r="G510" t="str">
            <v>1ج م ع1</v>
          </cell>
          <cell r="H510" t="str">
            <v>خارجي</v>
          </cell>
          <cell r="I510" t="str">
            <v>خ</v>
          </cell>
          <cell r="J510" t="str">
            <v>نورالدين</v>
          </cell>
          <cell r="K510" t="str">
            <v>تاجر</v>
          </cell>
          <cell r="L510" t="str">
            <v>حي صحراوي بن علي سفيزف</v>
          </cell>
          <cell r="M510">
            <v>0</v>
          </cell>
          <cell r="N510">
            <v>0</v>
          </cell>
          <cell r="O510" t="str">
            <v>ريغي   نورالدين</v>
          </cell>
        </row>
        <row r="511">
          <cell r="A511">
            <v>502</v>
          </cell>
          <cell r="B511" t="str">
            <v>سعدوني   سيد احمد</v>
          </cell>
          <cell r="C511" t="str">
            <v xml:space="preserve">سعدوني </v>
          </cell>
          <cell r="D511" t="str">
            <v>سيد احمد</v>
          </cell>
          <cell r="E511">
            <v>39020</v>
          </cell>
          <cell r="F511" t="str">
            <v>سفيزف</v>
          </cell>
          <cell r="G511" t="str">
            <v>1ج م ع1</v>
          </cell>
          <cell r="H511" t="str">
            <v>خارجي</v>
          </cell>
          <cell r="I511" t="str">
            <v>خ</v>
          </cell>
          <cell r="J511" t="str">
            <v>بن عبدالله</v>
          </cell>
          <cell r="K511" t="str">
            <v>موظف</v>
          </cell>
          <cell r="L511" t="str">
            <v>حي100سكن سفيزف</v>
          </cell>
          <cell r="M511">
            <v>0</v>
          </cell>
          <cell r="N511">
            <v>0</v>
          </cell>
          <cell r="O511" t="str">
            <v>سعدوني   بن عبدالله</v>
          </cell>
        </row>
        <row r="512">
          <cell r="A512">
            <v>503</v>
          </cell>
          <cell r="B512" t="str">
            <v>عدو   ألاء</v>
          </cell>
          <cell r="C512" t="str">
            <v xml:space="preserve">عدو </v>
          </cell>
          <cell r="D512" t="str">
            <v>ألاء</v>
          </cell>
          <cell r="E512">
            <v>39599</v>
          </cell>
          <cell r="F512" t="str">
            <v>سفيزف</v>
          </cell>
          <cell r="G512" t="str">
            <v>1ج م ع1</v>
          </cell>
          <cell r="H512" t="str">
            <v>خارجية</v>
          </cell>
          <cell r="I512" t="str">
            <v>خ</v>
          </cell>
          <cell r="J512" t="str">
            <v>عبدالقادر</v>
          </cell>
          <cell r="K512" t="str">
            <v>لا شئ</v>
          </cell>
          <cell r="L512" t="str">
            <v>87حي100سكن سفيزف</v>
          </cell>
          <cell r="M512">
            <v>0</v>
          </cell>
          <cell r="N512">
            <v>0</v>
          </cell>
          <cell r="O512" t="str">
            <v>عدو   عبدالقادر</v>
          </cell>
        </row>
        <row r="513">
          <cell r="A513">
            <v>504</v>
          </cell>
          <cell r="B513" t="str">
            <v>عسيلة   محمد عز الدين</v>
          </cell>
          <cell r="C513" t="str">
            <v xml:space="preserve">عسيلة </v>
          </cell>
          <cell r="D513" t="str">
            <v>محمد عز الدين</v>
          </cell>
          <cell r="E513">
            <v>39843</v>
          </cell>
          <cell r="F513" t="str">
            <v>سفيزف</v>
          </cell>
          <cell r="G513" t="str">
            <v>1ج م ع1</v>
          </cell>
          <cell r="H513" t="str">
            <v>خارجي</v>
          </cell>
          <cell r="I513" t="str">
            <v>خ</v>
          </cell>
          <cell r="J513" t="str">
            <v>العربي</v>
          </cell>
          <cell r="K513" t="str">
            <v>متقاعد</v>
          </cell>
          <cell r="L513" t="str">
            <v>18شارع مروك ميلود سفيزف</v>
          </cell>
          <cell r="M513">
            <v>0</v>
          </cell>
          <cell r="N513">
            <v>0</v>
          </cell>
          <cell r="O513" t="str">
            <v>عسيلة   العربي</v>
          </cell>
        </row>
        <row r="514">
          <cell r="A514">
            <v>505</v>
          </cell>
          <cell r="B514" t="str">
            <v>غالي    أنس شرف الدين</v>
          </cell>
          <cell r="C514" t="str">
            <v xml:space="preserve">غالي </v>
          </cell>
          <cell r="D514" t="str">
            <v xml:space="preserve"> أنس شرف الدين</v>
          </cell>
          <cell r="E514">
            <v>39335</v>
          </cell>
          <cell r="F514" t="str">
            <v>المشرية</v>
          </cell>
          <cell r="G514" t="str">
            <v>1ج م ع1</v>
          </cell>
          <cell r="H514" t="str">
            <v>خارجي</v>
          </cell>
          <cell r="I514" t="str">
            <v>خ</v>
          </cell>
          <cell r="J514" t="str">
            <v>محمد</v>
          </cell>
          <cell r="K514" t="str">
            <v>متقاعد</v>
          </cell>
          <cell r="L514" t="str">
            <v>حي اللوز سفيزف</v>
          </cell>
          <cell r="M514">
            <v>0</v>
          </cell>
          <cell r="N514">
            <v>0</v>
          </cell>
          <cell r="O514" t="str">
            <v>غالي   محمد</v>
          </cell>
        </row>
        <row r="515">
          <cell r="A515">
            <v>506</v>
          </cell>
          <cell r="B515" t="str">
            <v>فتوحي   نسيمة</v>
          </cell>
          <cell r="C515" t="str">
            <v xml:space="preserve">فتوحي </v>
          </cell>
          <cell r="D515" t="str">
            <v>نسيمة</v>
          </cell>
          <cell r="E515">
            <v>39679</v>
          </cell>
          <cell r="F515" t="str">
            <v>بوقطب</v>
          </cell>
          <cell r="G515" t="str">
            <v>1ج م ع1</v>
          </cell>
          <cell r="H515" t="str">
            <v>خارجية</v>
          </cell>
          <cell r="I515" t="str">
            <v>خ</v>
          </cell>
          <cell r="J515" t="str">
            <v>جيلالي</v>
          </cell>
          <cell r="K515" t="str">
            <v>متقاعد</v>
          </cell>
          <cell r="L515" t="str">
            <v>حي نواري بن عبدالله سفيزف</v>
          </cell>
          <cell r="M515">
            <v>0</v>
          </cell>
          <cell r="N515">
            <v>0</v>
          </cell>
          <cell r="O515" t="str">
            <v>فتوحي   جيلالي</v>
          </cell>
        </row>
        <row r="516">
          <cell r="A516">
            <v>507</v>
          </cell>
          <cell r="B516" t="str">
            <v>فرحات   مصطفى</v>
          </cell>
          <cell r="C516" t="str">
            <v xml:space="preserve">فرحات </v>
          </cell>
          <cell r="D516" t="str">
            <v>مصطفى</v>
          </cell>
          <cell r="E516">
            <v>39725</v>
          </cell>
          <cell r="F516" t="str">
            <v>تندوف</v>
          </cell>
          <cell r="G516" t="str">
            <v>1ج م ع1</v>
          </cell>
          <cell r="H516" t="str">
            <v>خارجي</v>
          </cell>
          <cell r="I516" t="str">
            <v>خ</v>
          </cell>
          <cell r="J516" t="str">
            <v>أعمر</v>
          </cell>
          <cell r="K516" t="str">
            <v>موظف</v>
          </cell>
          <cell r="L516" t="str">
            <v>05حي72 سكن سفيزف</v>
          </cell>
          <cell r="M516">
            <v>0</v>
          </cell>
          <cell r="N516">
            <v>0</v>
          </cell>
          <cell r="O516" t="str">
            <v>فرحات   أعمر</v>
          </cell>
        </row>
        <row r="517">
          <cell r="A517">
            <v>508</v>
          </cell>
          <cell r="B517" t="str">
            <v>فهيم   يعقوب</v>
          </cell>
          <cell r="C517" t="str">
            <v xml:space="preserve">فهيم </v>
          </cell>
          <cell r="D517" t="str">
            <v>يعقوب</v>
          </cell>
          <cell r="E517">
            <v>39672</v>
          </cell>
          <cell r="F517" t="str">
            <v>سعيدة</v>
          </cell>
          <cell r="G517" t="str">
            <v>1ج م ع1</v>
          </cell>
          <cell r="H517" t="str">
            <v>خارجي</v>
          </cell>
          <cell r="I517" t="str">
            <v>خ</v>
          </cell>
          <cell r="J517" t="str">
            <v>محمد</v>
          </cell>
          <cell r="K517" t="str">
            <v>مدير متوسطة</v>
          </cell>
          <cell r="L517" t="str">
            <v>متوسطة بولنوار محمد سفيزف</v>
          </cell>
          <cell r="M517">
            <v>0</v>
          </cell>
          <cell r="N517">
            <v>0</v>
          </cell>
          <cell r="O517" t="str">
            <v>فهيم   محمد</v>
          </cell>
        </row>
        <row r="518">
          <cell r="A518">
            <v>509</v>
          </cell>
          <cell r="B518" t="str">
            <v>قداوي   وسام هبة الرحمان</v>
          </cell>
          <cell r="C518" t="str">
            <v xml:space="preserve">قداوي </v>
          </cell>
          <cell r="D518" t="str">
            <v>وسام هبة الرحمان</v>
          </cell>
          <cell r="E518">
            <v>39599</v>
          </cell>
          <cell r="F518" t="str">
            <v>سفيزف</v>
          </cell>
          <cell r="G518" t="str">
            <v>1ج م ع1</v>
          </cell>
          <cell r="H518" t="str">
            <v>خارجية</v>
          </cell>
          <cell r="I518" t="str">
            <v>خ</v>
          </cell>
          <cell r="J518" t="str">
            <v>محي الدين</v>
          </cell>
          <cell r="K518" t="str">
            <v>متقاعد</v>
          </cell>
          <cell r="L518" t="str">
            <v>146حي نواري بن عبدالله سفيزف</v>
          </cell>
          <cell r="M518">
            <v>0</v>
          </cell>
          <cell r="N518">
            <v>0</v>
          </cell>
          <cell r="O518" t="str">
            <v>قداوي   محي الدين</v>
          </cell>
        </row>
        <row r="519">
          <cell r="A519">
            <v>510</v>
          </cell>
          <cell r="B519" t="str">
            <v>قديح   محمد شمس الدين</v>
          </cell>
          <cell r="C519" t="str">
            <v xml:space="preserve">قديح </v>
          </cell>
          <cell r="D519" t="str">
            <v>محمد شمس الدين</v>
          </cell>
          <cell r="E519">
            <v>39207</v>
          </cell>
          <cell r="F519" t="str">
            <v>سفيزف</v>
          </cell>
          <cell r="G519" t="str">
            <v>1ج م ع1</v>
          </cell>
          <cell r="H519" t="str">
            <v>خارجي</v>
          </cell>
          <cell r="I519" t="str">
            <v>خ</v>
          </cell>
          <cell r="J519" t="str">
            <v>عبدالقادر</v>
          </cell>
          <cell r="K519" t="str">
            <v>فلاح</v>
          </cell>
          <cell r="L519" t="str">
            <v>15شارع عبان رمضان سفيزف</v>
          </cell>
          <cell r="M519">
            <v>0</v>
          </cell>
          <cell r="N519">
            <v>0</v>
          </cell>
          <cell r="O519" t="str">
            <v>قديح   عبدالقادر</v>
          </cell>
        </row>
        <row r="520">
          <cell r="A520">
            <v>511</v>
          </cell>
          <cell r="B520" t="str">
            <v>قراب   لبنى</v>
          </cell>
          <cell r="C520" t="str">
            <v xml:space="preserve">قراب </v>
          </cell>
          <cell r="D520" t="str">
            <v>لبنى</v>
          </cell>
          <cell r="E520">
            <v>39674</v>
          </cell>
          <cell r="F520" t="str">
            <v>سفيزف</v>
          </cell>
          <cell r="G520" t="str">
            <v>1ج م ع1</v>
          </cell>
          <cell r="H520" t="str">
            <v>خارجية</v>
          </cell>
          <cell r="I520" t="str">
            <v>خ</v>
          </cell>
          <cell r="J520" t="str">
            <v>محمد</v>
          </cell>
          <cell r="K520" t="str">
            <v>موظف</v>
          </cell>
          <cell r="L520" t="str">
            <v>بني تالة</v>
          </cell>
          <cell r="M520">
            <v>0</v>
          </cell>
          <cell r="N520">
            <v>0</v>
          </cell>
          <cell r="O520" t="str">
            <v>قراب   محمد</v>
          </cell>
        </row>
        <row r="521">
          <cell r="A521">
            <v>512</v>
          </cell>
          <cell r="B521" t="str">
            <v>قرل  زكرياء شمس الدين</v>
          </cell>
          <cell r="C521" t="str">
            <v>قرل</v>
          </cell>
          <cell r="D521" t="str">
            <v>زكرياء شمس الدين</v>
          </cell>
          <cell r="E521">
            <v>39588</v>
          </cell>
          <cell r="F521" t="str">
            <v>سفيزف</v>
          </cell>
          <cell r="G521" t="str">
            <v>1ج م ع1</v>
          </cell>
          <cell r="H521" t="str">
            <v>خارجي</v>
          </cell>
          <cell r="I521" t="str">
            <v>خ</v>
          </cell>
          <cell r="J521" t="str">
            <v>قادة</v>
          </cell>
          <cell r="K521" t="str">
            <v>متقاعد</v>
          </cell>
          <cell r="L521" t="str">
            <v>26شارع مروك ميلود سفيزف</v>
          </cell>
          <cell r="M521">
            <v>0</v>
          </cell>
          <cell r="N521">
            <v>0</v>
          </cell>
          <cell r="O521" t="str">
            <v>قرل  قادة</v>
          </cell>
        </row>
        <row r="522">
          <cell r="A522">
            <v>513</v>
          </cell>
          <cell r="B522" t="str">
            <v>قشيح   راوية</v>
          </cell>
          <cell r="C522" t="str">
            <v xml:space="preserve">قشيح </v>
          </cell>
          <cell r="D522" t="str">
            <v>راوية</v>
          </cell>
          <cell r="E522">
            <v>39550</v>
          </cell>
          <cell r="F522" t="str">
            <v>سفيزف</v>
          </cell>
          <cell r="G522" t="str">
            <v>1ج م ع1</v>
          </cell>
          <cell r="H522" t="str">
            <v>خارجية</v>
          </cell>
          <cell r="I522" t="str">
            <v>خ</v>
          </cell>
          <cell r="J522" t="str">
            <v>عيسى</v>
          </cell>
          <cell r="K522" t="str">
            <v>لا شئ</v>
          </cell>
          <cell r="L522" t="str">
            <v>حي نواري بن عبدالله سفيزف</v>
          </cell>
          <cell r="M522">
            <v>0</v>
          </cell>
          <cell r="N522">
            <v>0</v>
          </cell>
          <cell r="O522" t="str">
            <v>قشيح   عيسى</v>
          </cell>
        </row>
        <row r="523">
          <cell r="A523">
            <v>514</v>
          </cell>
          <cell r="B523" t="str">
            <v>قنانجة   نصر الدين</v>
          </cell>
          <cell r="C523" t="str">
            <v xml:space="preserve">قنانجة </v>
          </cell>
          <cell r="D523" t="str">
            <v>نصر الدين</v>
          </cell>
          <cell r="E523">
            <v>39534</v>
          </cell>
          <cell r="F523" t="str">
            <v>سفيزف</v>
          </cell>
          <cell r="G523" t="str">
            <v>1ج م ع1</v>
          </cell>
          <cell r="H523" t="str">
            <v>خارجي</v>
          </cell>
          <cell r="I523" t="str">
            <v>خ</v>
          </cell>
          <cell r="J523" t="str">
            <v>جلول</v>
          </cell>
          <cell r="K523" t="str">
            <v>متقاعد</v>
          </cell>
          <cell r="L523" t="str">
            <v>حي214 سكن سفيزف</v>
          </cell>
          <cell r="M523">
            <v>0</v>
          </cell>
          <cell r="N523">
            <v>0</v>
          </cell>
          <cell r="O523" t="str">
            <v>قنانجة   جلول</v>
          </cell>
        </row>
        <row r="524">
          <cell r="A524">
            <v>515</v>
          </cell>
          <cell r="B524" t="str">
            <v>لعسل   ميلود</v>
          </cell>
          <cell r="C524" t="str">
            <v xml:space="preserve">لعسل </v>
          </cell>
          <cell r="D524" t="str">
            <v>ميلود</v>
          </cell>
          <cell r="E524">
            <v>39608</v>
          </cell>
          <cell r="F524" t="str">
            <v>سفيزف</v>
          </cell>
          <cell r="G524" t="str">
            <v>1ج م ع1</v>
          </cell>
          <cell r="H524" t="str">
            <v>خارجي</v>
          </cell>
          <cell r="I524" t="str">
            <v>خ</v>
          </cell>
          <cell r="J524" t="str">
            <v>عبدالقادر</v>
          </cell>
          <cell r="K524" t="str">
            <v>متقاعد</v>
          </cell>
          <cell r="L524" t="str">
            <v>52حي كشارصحراوي سفيزف</v>
          </cell>
          <cell r="M524">
            <v>0</v>
          </cell>
          <cell r="N524">
            <v>0</v>
          </cell>
          <cell r="O524" t="str">
            <v>لعسل   عبدالقادر</v>
          </cell>
        </row>
        <row r="525">
          <cell r="A525">
            <v>516</v>
          </cell>
          <cell r="B525" t="str">
            <v>مسطاري   ولاء</v>
          </cell>
          <cell r="C525" t="str">
            <v xml:space="preserve">مسطاري </v>
          </cell>
          <cell r="D525" t="str">
            <v>ولاء</v>
          </cell>
          <cell r="E525">
            <v>39944</v>
          </cell>
          <cell r="F525" t="str">
            <v>م.ب.ب</v>
          </cell>
          <cell r="G525" t="str">
            <v>1ج م ع1</v>
          </cell>
          <cell r="H525" t="str">
            <v>خارجية</v>
          </cell>
          <cell r="I525" t="str">
            <v>خ</v>
          </cell>
          <cell r="J525" t="str">
            <v>زواوي</v>
          </cell>
          <cell r="K525" t="str">
            <v>لا شئ</v>
          </cell>
          <cell r="L525" t="str">
            <v>مدرسة بوضياف محمد سفيزف</v>
          </cell>
          <cell r="M525">
            <v>0</v>
          </cell>
          <cell r="N525">
            <v>0</v>
          </cell>
          <cell r="O525" t="str">
            <v>مسطاري   زواوي</v>
          </cell>
        </row>
        <row r="526">
          <cell r="A526">
            <v>517</v>
          </cell>
          <cell r="B526" t="str">
            <v>وسواس   اية</v>
          </cell>
          <cell r="C526" t="str">
            <v xml:space="preserve">وسواس </v>
          </cell>
          <cell r="D526" t="str">
            <v>اية</v>
          </cell>
          <cell r="E526">
            <v>39702</v>
          </cell>
          <cell r="F526" t="str">
            <v>سفيزف</v>
          </cell>
          <cell r="G526" t="str">
            <v>1ج م ع1</v>
          </cell>
          <cell r="H526" t="str">
            <v>خارجية</v>
          </cell>
          <cell r="I526" t="str">
            <v>خ</v>
          </cell>
          <cell r="J526" t="str">
            <v>جيلالي</v>
          </cell>
          <cell r="K526" t="str">
            <v>تاجر</v>
          </cell>
          <cell r="L526" t="str">
            <v>23شارع بنابي عبدالقادر سفيزف</v>
          </cell>
          <cell r="M526">
            <v>0</v>
          </cell>
          <cell r="N526">
            <v>0</v>
          </cell>
          <cell r="O526" t="str">
            <v>وسواس   جيلالي</v>
          </cell>
        </row>
        <row r="527">
          <cell r="A527">
            <v>518</v>
          </cell>
          <cell r="B527" t="str">
            <v>بلفكرون  عبدالرحمن</v>
          </cell>
          <cell r="C527" t="str">
            <v>بلفكرون</v>
          </cell>
          <cell r="D527" t="str">
            <v>عبدالرحمن</v>
          </cell>
          <cell r="E527">
            <v>39498</v>
          </cell>
          <cell r="F527" t="str">
            <v>سفيزف</v>
          </cell>
          <cell r="G527" t="str">
            <v>1ج م ع2</v>
          </cell>
          <cell r="H527" t="str">
            <v>ن/داخلي</v>
          </cell>
          <cell r="I527" t="str">
            <v>ن/د</v>
          </cell>
          <cell r="J527" t="str">
            <v>أحمد</v>
          </cell>
          <cell r="K527" t="str">
            <v>حارس</v>
          </cell>
          <cell r="L527" t="str">
            <v>حي100 سكن سفيزف</v>
          </cell>
          <cell r="M527">
            <v>0</v>
          </cell>
          <cell r="N527">
            <v>0</v>
          </cell>
          <cell r="O527" t="str">
            <v>بلفكرون  أحمد</v>
          </cell>
        </row>
        <row r="528">
          <cell r="A528">
            <v>519</v>
          </cell>
          <cell r="B528" t="str">
            <v>بن سجاد  محمد عادل</v>
          </cell>
          <cell r="C528" t="str">
            <v>بن سجاد</v>
          </cell>
          <cell r="D528" t="str">
            <v>محمد عادل</v>
          </cell>
          <cell r="E528">
            <v>40075</v>
          </cell>
          <cell r="F528" t="str">
            <v>س بلعباس</v>
          </cell>
          <cell r="G528" t="str">
            <v>1ج م ع2</v>
          </cell>
          <cell r="H528" t="str">
            <v>ن/داخلي</v>
          </cell>
          <cell r="I528" t="str">
            <v>ن/د</v>
          </cell>
          <cell r="J528" t="str">
            <v>الحاج</v>
          </cell>
          <cell r="K528" t="str">
            <v>متقاعد</v>
          </cell>
          <cell r="L528" t="str">
            <v>عين آدن</v>
          </cell>
          <cell r="M528">
            <v>0</v>
          </cell>
          <cell r="N528">
            <v>0</v>
          </cell>
          <cell r="O528" t="str">
            <v>بن سجاد  الحاج</v>
          </cell>
        </row>
        <row r="529">
          <cell r="A529">
            <v>520</v>
          </cell>
          <cell r="B529" t="str">
            <v>بوخلدة   جمانة</v>
          </cell>
          <cell r="C529" t="str">
            <v xml:space="preserve">بوخلدة </v>
          </cell>
          <cell r="D529" t="str">
            <v>جمانة</v>
          </cell>
          <cell r="E529">
            <v>39623</v>
          </cell>
          <cell r="F529" t="str">
            <v>سفيزف</v>
          </cell>
          <cell r="G529" t="str">
            <v>1ج م ع2</v>
          </cell>
          <cell r="H529" t="str">
            <v>ن/داخلية</v>
          </cell>
          <cell r="I529" t="str">
            <v>ن/د</v>
          </cell>
          <cell r="J529" t="str">
            <v>عبدالقادر</v>
          </cell>
          <cell r="K529" t="str">
            <v>موظف</v>
          </cell>
          <cell r="L529" t="str">
            <v>بني تالة</v>
          </cell>
          <cell r="M529">
            <v>0</v>
          </cell>
          <cell r="N529">
            <v>0</v>
          </cell>
          <cell r="O529" t="str">
            <v>بوخلدة   عبدالقادر</v>
          </cell>
        </row>
        <row r="530">
          <cell r="A530">
            <v>521</v>
          </cell>
          <cell r="B530" t="str">
            <v>دارنموس   اكرام</v>
          </cell>
          <cell r="C530" t="str">
            <v xml:space="preserve">دارنموس </v>
          </cell>
          <cell r="D530" t="str">
            <v>اكرام</v>
          </cell>
          <cell r="E530">
            <v>39557</v>
          </cell>
          <cell r="F530" t="str">
            <v>سفيزف</v>
          </cell>
          <cell r="G530" t="str">
            <v>1ج م ع2</v>
          </cell>
          <cell r="H530" t="str">
            <v>ن/داخلية</v>
          </cell>
          <cell r="I530" t="str">
            <v>ن/د</v>
          </cell>
          <cell r="J530" t="str">
            <v>عبدالله</v>
          </cell>
          <cell r="K530" t="str">
            <v>لاشئ</v>
          </cell>
          <cell r="L530" t="str">
            <v>عين آدن</v>
          </cell>
          <cell r="M530">
            <v>0</v>
          </cell>
          <cell r="N530">
            <v>0</v>
          </cell>
          <cell r="O530" t="str">
            <v>دارنموس   عبدالله</v>
          </cell>
        </row>
        <row r="531">
          <cell r="A531">
            <v>522</v>
          </cell>
          <cell r="B531" t="str">
            <v>دحو   مروى</v>
          </cell>
          <cell r="C531" t="str">
            <v xml:space="preserve">دحو </v>
          </cell>
          <cell r="D531" t="str">
            <v>مروى</v>
          </cell>
          <cell r="E531">
            <v>39771</v>
          </cell>
          <cell r="F531" t="str">
            <v>سفيزف</v>
          </cell>
          <cell r="G531" t="str">
            <v>1ج م ع2</v>
          </cell>
          <cell r="H531" t="str">
            <v>ن/داخلية</v>
          </cell>
          <cell r="I531" t="str">
            <v>ن/د</v>
          </cell>
          <cell r="J531" t="str">
            <v>جيلالي</v>
          </cell>
          <cell r="K531" t="str">
            <v>متقاعد</v>
          </cell>
          <cell r="L531" t="str">
            <v>عين آدن</v>
          </cell>
          <cell r="M531">
            <v>0</v>
          </cell>
          <cell r="N531">
            <v>0</v>
          </cell>
          <cell r="O531" t="str">
            <v>دحو   جيلالي</v>
          </cell>
        </row>
        <row r="532">
          <cell r="A532">
            <v>523</v>
          </cell>
          <cell r="B532" t="str">
            <v>صافي   ايمان</v>
          </cell>
          <cell r="C532" t="str">
            <v xml:space="preserve">صافي </v>
          </cell>
          <cell r="D532" t="str">
            <v>ايمان</v>
          </cell>
          <cell r="E532">
            <v>39566</v>
          </cell>
          <cell r="F532" t="str">
            <v>سفيزف</v>
          </cell>
          <cell r="G532" t="str">
            <v>1ج م ع2</v>
          </cell>
          <cell r="H532" t="str">
            <v>ن/داخلية</v>
          </cell>
          <cell r="I532" t="str">
            <v>ن/د</v>
          </cell>
          <cell r="J532" t="str">
            <v>عبدالقادر</v>
          </cell>
          <cell r="K532" t="str">
            <v>لا شئ</v>
          </cell>
          <cell r="L532" t="str">
            <v>عين آدن</v>
          </cell>
          <cell r="M532">
            <v>0</v>
          </cell>
          <cell r="N532">
            <v>0</v>
          </cell>
          <cell r="O532" t="str">
            <v>صافي   عبدالقادر</v>
          </cell>
        </row>
        <row r="533">
          <cell r="A533">
            <v>524</v>
          </cell>
          <cell r="B533" t="str">
            <v>قسوم   ليلى</v>
          </cell>
          <cell r="C533" t="str">
            <v xml:space="preserve">قسوم </v>
          </cell>
          <cell r="D533" t="str">
            <v>ليلى</v>
          </cell>
          <cell r="E533">
            <v>39539</v>
          </cell>
          <cell r="F533" t="str">
            <v>سفيزف</v>
          </cell>
          <cell r="G533" t="str">
            <v>1ج م ع2</v>
          </cell>
          <cell r="H533" t="str">
            <v>ن/داخلية</v>
          </cell>
          <cell r="I533" t="str">
            <v>ن/د</v>
          </cell>
          <cell r="J533" t="str">
            <v>عبدالقادر</v>
          </cell>
          <cell r="K533" t="str">
            <v>متقاعد</v>
          </cell>
          <cell r="L533" t="str">
            <v>مقطع دار السبع عين آدن</v>
          </cell>
          <cell r="M533">
            <v>0</v>
          </cell>
          <cell r="N533">
            <v>0</v>
          </cell>
          <cell r="O533" t="str">
            <v>قسوم   عبدالقادر</v>
          </cell>
        </row>
        <row r="534">
          <cell r="A534">
            <v>525</v>
          </cell>
          <cell r="B534" t="str">
            <v>بدرابني   علي</v>
          </cell>
          <cell r="C534" t="str">
            <v xml:space="preserve">بدرابني </v>
          </cell>
          <cell r="D534" t="str">
            <v>علي</v>
          </cell>
          <cell r="E534">
            <v>39590</v>
          </cell>
          <cell r="F534" t="str">
            <v>سفيزف</v>
          </cell>
          <cell r="G534" t="str">
            <v>1ج م ع2</v>
          </cell>
          <cell r="H534" t="str">
            <v>خارجي</v>
          </cell>
          <cell r="I534" t="str">
            <v>خ</v>
          </cell>
          <cell r="J534" t="str">
            <v>يحي</v>
          </cell>
          <cell r="K534" t="str">
            <v>لا شئ</v>
          </cell>
          <cell r="L534" t="str">
            <v>حي بوخنفوس مختار سفيزف</v>
          </cell>
          <cell r="M534">
            <v>0</v>
          </cell>
          <cell r="N534">
            <v>0</v>
          </cell>
          <cell r="O534" t="str">
            <v>بدرابني   يحي</v>
          </cell>
        </row>
        <row r="535">
          <cell r="A535">
            <v>526</v>
          </cell>
          <cell r="B535" t="str">
            <v>بلجريوات   علي</v>
          </cell>
          <cell r="C535" t="str">
            <v xml:space="preserve">بلجريوات </v>
          </cell>
          <cell r="D535" t="str">
            <v>علي</v>
          </cell>
          <cell r="E535">
            <v>39633</v>
          </cell>
          <cell r="F535" t="str">
            <v>سفيزف</v>
          </cell>
          <cell r="G535" t="str">
            <v>1ج م ع2</v>
          </cell>
          <cell r="H535" t="str">
            <v>خارجي</v>
          </cell>
          <cell r="I535" t="str">
            <v>خ</v>
          </cell>
          <cell r="J535" t="str">
            <v>حبيب</v>
          </cell>
          <cell r="K535" t="str">
            <v>ممرض</v>
          </cell>
          <cell r="L535" t="str">
            <v>حي هواري بومدين سفيزف</v>
          </cell>
          <cell r="M535">
            <v>0</v>
          </cell>
          <cell r="N535">
            <v>0</v>
          </cell>
          <cell r="O535" t="str">
            <v>بلجريوات   حبيب</v>
          </cell>
        </row>
        <row r="536">
          <cell r="A536">
            <v>527</v>
          </cell>
          <cell r="B536" t="str">
            <v>بلجيلالي   فريال</v>
          </cell>
          <cell r="C536" t="str">
            <v xml:space="preserve">بلجيلالي </v>
          </cell>
          <cell r="D536" t="str">
            <v>فريال</v>
          </cell>
          <cell r="E536">
            <v>39618</v>
          </cell>
          <cell r="F536" t="str">
            <v>سفيزف</v>
          </cell>
          <cell r="G536" t="str">
            <v>1ج م ع2</v>
          </cell>
          <cell r="H536" t="str">
            <v>خارجية</v>
          </cell>
          <cell r="I536" t="str">
            <v>خ</v>
          </cell>
          <cell r="J536" t="str">
            <v>نورالدين</v>
          </cell>
          <cell r="K536" t="str">
            <v>موظف</v>
          </cell>
          <cell r="L536" t="str">
            <v>04حي72سكن سفيزف</v>
          </cell>
          <cell r="M536">
            <v>0</v>
          </cell>
          <cell r="N536">
            <v>0</v>
          </cell>
          <cell r="O536" t="str">
            <v>بلجيلالي   نورالدين</v>
          </cell>
        </row>
        <row r="537">
          <cell r="A537">
            <v>528</v>
          </cell>
          <cell r="B537" t="str">
            <v>بلحوسيني   رميساء فتيحة</v>
          </cell>
          <cell r="C537" t="str">
            <v xml:space="preserve">بلحوسيني </v>
          </cell>
          <cell r="D537" t="str">
            <v>رميساء فتيحة</v>
          </cell>
          <cell r="E537">
            <v>39564</v>
          </cell>
          <cell r="F537" t="str">
            <v>سفيزف</v>
          </cell>
          <cell r="G537" t="str">
            <v>1ج م ع2</v>
          </cell>
          <cell r="H537" t="str">
            <v>خارجية</v>
          </cell>
          <cell r="I537" t="str">
            <v>خ</v>
          </cell>
          <cell r="J537" t="str">
            <v>ميلود</v>
          </cell>
          <cell r="K537" t="str">
            <v>موظف</v>
          </cell>
          <cell r="L537" t="str">
            <v>05شارع حداد قادة سفيزف</v>
          </cell>
          <cell r="M537">
            <v>0</v>
          </cell>
          <cell r="N537">
            <v>0</v>
          </cell>
          <cell r="O537" t="str">
            <v>بلحوسيني   ميلود</v>
          </cell>
        </row>
        <row r="538">
          <cell r="A538">
            <v>529</v>
          </cell>
          <cell r="B538" t="str">
            <v>بن بارك   ندير عبد الرزاق</v>
          </cell>
          <cell r="C538" t="str">
            <v xml:space="preserve">بن بارك </v>
          </cell>
          <cell r="D538" t="str">
            <v>ندير عبد الرزاق</v>
          </cell>
          <cell r="E538">
            <v>39832</v>
          </cell>
          <cell r="F538" t="str">
            <v>سفيزف</v>
          </cell>
          <cell r="G538" t="str">
            <v>1ج م ع2</v>
          </cell>
          <cell r="H538" t="str">
            <v>خارجي</v>
          </cell>
          <cell r="I538" t="str">
            <v>خ</v>
          </cell>
          <cell r="J538" t="str">
            <v>مهاجي</v>
          </cell>
          <cell r="K538" t="str">
            <v>شرطي</v>
          </cell>
          <cell r="L538" t="str">
            <v>حي156سكن سفيزف</v>
          </cell>
          <cell r="M538">
            <v>0</v>
          </cell>
          <cell r="N538">
            <v>0</v>
          </cell>
          <cell r="O538" t="str">
            <v>بن بارك   مهاجي</v>
          </cell>
        </row>
        <row r="539">
          <cell r="A539">
            <v>530</v>
          </cell>
          <cell r="B539" t="str">
            <v>بن زرقة   أمحمد اشرف</v>
          </cell>
          <cell r="C539" t="str">
            <v xml:space="preserve">بن زرقة </v>
          </cell>
          <cell r="D539" t="str">
            <v>أمحمد اشرف</v>
          </cell>
          <cell r="E539">
            <v>39898</v>
          </cell>
          <cell r="F539" t="str">
            <v>غليزان</v>
          </cell>
          <cell r="G539" t="str">
            <v>1ج م ع2</v>
          </cell>
          <cell r="H539" t="str">
            <v>خارجي</v>
          </cell>
          <cell r="I539" t="str">
            <v>خ</v>
          </cell>
          <cell r="J539" t="str">
            <v>مهاجي</v>
          </cell>
          <cell r="K539" t="str">
            <v>متقاعد</v>
          </cell>
          <cell r="L539" t="str">
            <v>36حي115سكن سفيزف</v>
          </cell>
          <cell r="M539">
            <v>0</v>
          </cell>
          <cell r="N539">
            <v>0</v>
          </cell>
          <cell r="O539" t="str">
            <v>بن زرقة   مهاجي</v>
          </cell>
        </row>
        <row r="540">
          <cell r="A540">
            <v>531</v>
          </cell>
          <cell r="B540" t="str">
            <v>بوعسرية    سفيان</v>
          </cell>
          <cell r="C540" t="str">
            <v xml:space="preserve">بوعسرية </v>
          </cell>
          <cell r="D540" t="str">
            <v xml:space="preserve"> سفيان</v>
          </cell>
          <cell r="E540">
            <v>39097</v>
          </cell>
          <cell r="F540" t="str">
            <v>سفيزف</v>
          </cell>
          <cell r="G540" t="str">
            <v>1ج م ع2</v>
          </cell>
          <cell r="H540" t="str">
            <v>خارجي</v>
          </cell>
          <cell r="I540" t="str">
            <v>خ</v>
          </cell>
          <cell r="J540" t="str">
            <v xml:space="preserve">حميد </v>
          </cell>
          <cell r="K540" t="str">
            <v>نجار</v>
          </cell>
          <cell r="L540" t="str">
            <v>04حي24فبراير سفيزف</v>
          </cell>
          <cell r="M540">
            <v>0</v>
          </cell>
          <cell r="N540">
            <v>0</v>
          </cell>
          <cell r="O540" t="str">
            <v xml:space="preserve">بوعسرية   حميد </v>
          </cell>
        </row>
        <row r="541">
          <cell r="A541">
            <v>532</v>
          </cell>
          <cell r="B541" t="str">
            <v>بولعرج   مختار عبد الرحمان</v>
          </cell>
          <cell r="C541" t="str">
            <v xml:space="preserve">بولعرج </v>
          </cell>
          <cell r="D541" t="str">
            <v>مختار عبد الرحمان</v>
          </cell>
          <cell r="E541">
            <v>39882</v>
          </cell>
          <cell r="F541" t="str">
            <v>س بلعباس</v>
          </cell>
          <cell r="G541" t="str">
            <v>1ج م ع2</v>
          </cell>
          <cell r="H541" t="str">
            <v>خارجي</v>
          </cell>
          <cell r="I541" t="str">
            <v>خ</v>
          </cell>
          <cell r="J541" t="str">
            <v>ابراهيم</v>
          </cell>
          <cell r="K541" t="str">
            <v>موظف</v>
          </cell>
          <cell r="L541" t="str">
            <v>حي270سكن سفيزف</v>
          </cell>
          <cell r="M541">
            <v>0</v>
          </cell>
          <cell r="N541">
            <v>0</v>
          </cell>
          <cell r="O541" t="str">
            <v>بولعرج   ابراهيم</v>
          </cell>
        </row>
        <row r="542">
          <cell r="A542">
            <v>533</v>
          </cell>
          <cell r="B542" t="str">
            <v>بومسجد   ألاء</v>
          </cell>
          <cell r="C542" t="str">
            <v xml:space="preserve">بومسجد </v>
          </cell>
          <cell r="D542" t="str">
            <v>ألاء</v>
          </cell>
          <cell r="E542">
            <v>39612</v>
          </cell>
          <cell r="F542" t="str">
            <v>س بلعباس</v>
          </cell>
          <cell r="G542" t="str">
            <v>1ج م ع2</v>
          </cell>
          <cell r="H542" t="str">
            <v>خارجية</v>
          </cell>
          <cell r="I542" t="str">
            <v>خ</v>
          </cell>
          <cell r="J542" t="str">
            <v xml:space="preserve">عبدالقادر </v>
          </cell>
          <cell r="K542" t="str">
            <v>فلاح</v>
          </cell>
          <cell r="L542" t="str">
            <v>حي25سكن سفيزف</v>
          </cell>
          <cell r="M542">
            <v>0</v>
          </cell>
          <cell r="N542">
            <v>0</v>
          </cell>
          <cell r="O542" t="str">
            <v xml:space="preserve">بومسجد   عبدالقادر </v>
          </cell>
        </row>
        <row r="543">
          <cell r="A543">
            <v>534</v>
          </cell>
          <cell r="B543" t="str">
            <v>بوهند   فرح  أحلام</v>
          </cell>
          <cell r="C543" t="str">
            <v xml:space="preserve">بوهند </v>
          </cell>
          <cell r="D543" t="str">
            <v>فرح  أحلام</v>
          </cell>
          <cell r="E543">
            <v>39793</v>
          </cell>
          <cell r="F543" t="str">
            <v>سفيزف</v>
          </cell>
          <cell r="G543" t="str">
            <v>1ج م ع2</v>
          </cell>
          <cell r="H543" t="str">
            <v>خارجية</v>
          </cell>
          <cell r="I543" t="str">
            <v>خ</v>
          </cell>
          <cell r="J543" t="str">
            <v>بلقاسم</v>
          </cell>
          <cell r="K543" t="str">
            <v>موظف</v>
          </cell>
          <cell r="L543" t="str">
            <v>حي140سكن سفيزف</v>
          </cell>
          <cell r="M543">
            <v>0</v>
          </cell>
          <cell r="N543">
            <v>0</v>
          </cell>
          <cell r="O543" t="str">
            <v>بوهند   بلقاسم</v>
          </cell>
        </row>
        <row r="544">
          <cell r="A544">
            <v>535</v>
          </cell>
          <cell r="B544" t="str">
            <v>جلال   حياة رميساء</v>
          </cell>
          <cell r="C544" t="str">
            <v xml:space="preserve">جلال </v>
          </cell>
          <cell r="D544" t="str">
            <v>حياة رميساء</v>
          </cell>
          <cell r="E544">
            <v>39617</v>
          </cell>
          <cell r="F544" t="str">
            <v>سفيزف</v>
          </cell>
          <cell r="G544" t="str">
            <v>1ج م ع2</v>
          </cell>
          <cell r="H544" t="str">
            <v>خارجية</v>
          </cell>
          <cell r="I544" t="str">
            <v>خ</v>
          </cell>
          <cell r="J544" t="str">
            <v>رشيد</v>
          </cell>
          <cell r="K544" t="str">
            <v>موظف</v>
          </cell>
          <cell r="L544" t="str">
            <v>حي بوخنفوس سفيزف</v>
          </cell>
          <cell r="M544">
            <v>0</v>
          </cell>
          <cell r="N544">
            <v>0</v>
          </cell>
          <cell r="O544" t="str">
            <v>جلال   رشيد</v>
          </cell>
        </row>
        <row r="545">
          <cell r="A545">
            <v>536</v>
          </cell>
          <cell r="B545" t="str">
            <v>حميدة   خولة</v>
          </cell>
          <cell r="C545" t="str">
            <v xml:space="preserve">حميدة </v>
          </cell>
          <cell r="D545" t="str">
            <v>خولة</v>
          </cell>
          <cell r="E545">
            <v>39513</v>
          </cell>
          <cell r="F545" t="str">
            <v>سفيزف</v>
          </cell>
          <cell r="G545" t="str">
            <v>1ج م ع2</v>
          </cell>
          <cell r="H545" t="str">
            <v>خارجية</v>
          </cell>
          <cell r="I545" t="str">
            <v>خ</v>
          </cell>
          <cell r="J545" t="str">
            <v>محمد</v>
          </cell>
          <cell r="K545" t="str">
            <v>متقاعد</v>
          </cell>
          <cell r="L545" t="str">
            <v>04شارع بوخنفوس مختار سفيزف</v>
          </cell>
          <cell r="M545">
            <v>0</v>
          </cell>
          <cell r="N545">
            <v>0</v>
          </cell>
          <cell r="O545" t="str">
            <v>حميدة   محمد</v>
          </cell>
        </row>
        <row r="546">
          <cell r="A546">
            <v>537</v>
          </cell>
          <cell r="B546" t="str">
            <v>رمضاني  فيصل</v>
          </cell>
          <cell r="C546" t="str">
            <v>رمضاني</v>
          </cell>
          <cell r="D546" t="str">
            <v>فيصل</v>
          </cell>
          <cell r="E546">
            <v>39474</v>
          </cell>
          <cell r="F546" t="str">
            <v>سفيزف</v>
          </cell>
          <cell r="G546" t="str">
            <v>1ج م ع2</v>
          </cell>
          <cell r="H546" t="str">
            <v>خارجي</v>
          </cell>
          <cell r="I546" t="str">
            <v>خ</v>
          </cell>
          <cell r="J546" t="str">
            <v>العربي</v>
          </cell>
          <cell r="K546" t="str">
            <v>موظف</v>
          </cell>
          <cell r="L546" t="str">
            <v>حي05جويلية سفيزف</v>
          </cell>
          <cell r="M546">
            <v>0</v>
          </cell>
          <cell r="N546">
            <v>0</v>
          </cell>
          <cell r="O546" t="str">
            <v>رمضاني  العربي</v>
          </cell>
        </row>
        <row r="547">
          <cell r="A547">
            <v>538</v>
          </cell>
          <cell r="B547" t="str">
            <v>زعقوق   يمينة</v>
          </cell>
          <cell r="C547" t="str">
            <v xml:space="preserve">زعقوق </v>
          </cell>
          <cell r="D547" t="str">
            <v>يمينة</v>
          </cell>
          <cell r="E547">
            <v>39620</v>
          </cell>
          <cell r="F547" t="str">
            <v>سفيزف</v>
          </cell>
          <cell r="G547" t="str">
            <v>1ج م ع2</v>
          </cell>
          <cell r="H547" t="str">
            <v>خارجية</v>
          </cell>
          <cell r="I547" t="str">
            <v>خ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 t="str">
            <v xml:space="preserve">زعقوق   </v>
          </cell>
        </row>
        <row r="548">
          <cell r="A548">
            <v>539</v>
          </cell>
          <cell r="B548" t="str">
            <v>صحراوي   فاطيمة الزهراء</v>
          </cell>
          <cell r="C548" t="str">
            <v xml:space="preserve">صحراوي </v>
          </cell>
          <cell r="D548" t="str">
            <v>فاطيمة الزهراء</v>
          </cell>
          <cell r="E548">
            <v>39768</v>
          </cell>
          <cell r="F548" t="str">
            <v>سفيزف</v>
          </cell>
          <cell r="G548" t="str">
            <v>1ج م ع2</v>
          </cell>
          <cell r="H548" t="str">
            <v>خارجية</v>
          </cell>
          <cell r="I548" t="str">
            <v>خ</v>
          </cell>
          <cell r="J548" t="str">
            <v>مختار</v>
          </cell>
          <cell r="K548" t="str">
            <v>موظف</v>
          </cell>
          <cell r="L548" t="str">
            <v>12شارع حداد قادة سفيزف</v>
          </cell>
          <cell r="M548">
            <v>0</v>
          </cell>
          <cell r="N548">
            <v>0</v>
          </cell>
          <cell r="O548">
            <v>0</v>
          </cell>
        </row>
        <row r="549">
          <cell r="A549">
            <v>540</v>
          </cell>
          <cell r="B549" t="str">
            <v>طيبي   اشرف محمد امين</v>
          </cell>
          <cell r="C549" t="str">
            <v xml:space="preserve">طيبي </v>
          </cell>
          <cell r="D549" t="str">
            <v>اشرف محمد امين</v>
          </cell>
          <cell r="E549">
            <v>39724</v>
          </cell>
          <cell r="F549" t="str">
            <v>سفيزف</v>
          </cell>
          <cell r="G549" t="str">
            <v>1ج م ع2</v>
          </cell>
          <cell r="H549" t="str">
            <v>خارجي</v>
          </cell>
          <cell r="I549" t="str">
            <v>خ</v>
          </cell>
          <cell r="J549" t="str">
            <v>يحي</v>
          </cell>
          <cell r="K549" t="str">
            <v>متوفي</v>
          </cell>
          <cell r="L549" t="str">
            <v>حي24فبراير سفيزف</v>
          </cell>
          <cell r="M549">
            <v>0</v>
          </cell>
          <cell r="N549">
            <v>0</v>
          </cell>
          <cell r="O549" t="str">
            <v>طيبي   يحي</v>
          </cell>
        </row>
        <row r="550">
          <cell r="A550">
            <v>541</v>
          </cell>
          <cell r="B550" t="str">
            <v>عبدلي    خديجة عائشة</v>
          </cell>
          <cell r="C550" t="str">
            <v xml:space="preserve">عبدلي </v>
          </cell>
          <cell r="D550" t="str">
            <v xml:space="preserve"> خديجة عائشة</v>
          </cell>
          <cell r="E550">
            <v>39270</v>
          </cell>
          <cell r="F550" t="str">
            <v>سفيزف</v>
          </cell>
          <cell r="G550" t="str">
            <v>1ج م ع2</v>
          </cell>
          <cell r="H550" t="str">
            <v>خارجية</v>
          </cell>
          <cell r="I550" t="str">
            <v>خ</v>
          </cell>
          <cell r="J550" t="str">
            <v>عبدالقادر</v>
          </cell>
          <cell r="K550" t="str">
            <v>متقاعد</v>
          </cell>
          <cell r="L550" t="str">
            <v>08حي بوهند يحي سفيزف</v>
          </cell>
          <cell r="M550">
            <v>0</v>
          </cell>
          <cell r="N550">
            <v>0</v>
          </cell>
          <cell r="O550" t="str">
            <v>عبدلي   عبدالقادر</v>
          </cell>
        </row>
        <row r="551">
          <cell r="A551">
            <v>542</v>
          </cell>
          <cell r="B551" t="str">
            <v>عفان   تامي</v>
          </cell>
          <cell r="C551" t="str">
            <v xml:space="preserve">عفان </v>
          </cell>
          <cell r="D551" t="str">
            <v>تامي</v>
          </cell>
          <cell r="E551">
            <v>39666</v>
          </cell>
          <cell r="F551" t="str">
            <v>سفيزف</v>
          </cell>
          <cell r="G551" t="str">
            <v>1ج م ع2</v>
          </cell>
          <cell r="H551" t="str">
            <v>خارجي</v>
          </cell>
          <cell r="I551" t="str">
            <v>خ</v>
          </cell>
          <cell r="J551" t="str">
            <v>لعرج</v>
          </cell>
          <cell r="K551" t="str">
            <v>موظف</v>
          </cell>
          <cell r="L551" t="str">
            <v>08شارع أوهيبة عبدالقادر سفيزف</v>
          </cell>
          <cell r="M551">
            <v>0</v>
          </cell>
          <cell r="N551">
            <v>0</v>
          </cell>
          <cell r="O551" t="str">
            <v>عفان   لعرج</v>
          </cell>
        </row>
        <row r="552">
          <cell r="A552">
            <v>543</v>
          </cell>
          <cell r="B552" t="str">
            <v>غالي   محمد امين فريح</v>
          </cell>
          <cell r="C552" t="str">
            <v xml:space="preserve">غالي </v>
          </cell>
          <cell r="D552" t="str">
            <v>محمد امين فريح</v>
          </cell>
          <cell r="E552">
            <v>39538</v>
          </cell>
          <cell r="F552" t="str">
            <v>سفيزف</v>
          </cell>
          <cell r="G552" t="str">
            <v>1ج م ع2</v>
          </cell>
          <cell r="H552" t="str">
            <v>خارجي</v>
          </cell>
          <cell r="I552" t="str">
            <v>خ</v>
          </cell>
          <cell r="J552" t="str">
            <v>مختار</v>
          </cell>
          <cell r="K552" t="str">
            <v>موظف</v>
          </cell>
          <cell r="L552" t="str">
            <v>06حي24فبراير سفيزف</v>
          </cell>
          <cell r="M552">
            <v>0</v>
          </cell>
          <cell r="N552">
            <v>0</v>
          </cell>
          <cell r="O552" t="str">
            <v>غالي   مختار</v>
          </cell>
        </row>
        <row r="553">
          <cell r="A553">
            <v>544</v>
          </cell>
          <cell r="B553" t="str">
            <v>قايدي   ايمن</v>
          </cell>
          <cell r="C553" t="str">
            <v xml:space="preserve">قايدي </v>
          </cell>
          <cell r="D553" t="str">
            <v>ايمن</v>
          </cell>
          <cell r="E553">
            <v>39760</v>
          </cell>
          <cell r="F553" t="str">
            <v>سفيزف</v>
          </cell>
          <cell r="G553" t="str">
            <v>1ج م ع2</v>
          </cell>
          <cell r="H553" t="str">
            <v>خارجي</v>
          </cell>
          <cell r="I553" t="str">
            <v>خ</v>
          </cell>
          <cell r="J553" t="str">
            <v>عيسى</v>
          </cell>
          <cell r="K553" t="str">
            <v>لا شئ</v>
          </cell>
          <cell r="L553" t="str">
            <v>30حي100سكن سفيزف</v>
          </cell>
          <cell r="M553">
            <v>0</v>
          </cell>
          <cell r="N553">
            <v>0</v>
          </cell>
          <cell r="O553" t="str">
            <v>قايدي   عيسى</v>
          </cell>
        </row>
        <row r="554">
          <cell r="A554">
            <v>545</v>
          </cell>
          <cell r="B554" t="str">
            <v>قلاليز   علاء الدين</v>
          </cell>
          <cell r="C554" t="str">
            <v xml:space="preserve">قلاليز </v>
          </cell>
          <cell r="D554" t="str">
            <v>علاء الدين</v>
          </cell>
          <cell r="E554">
            <v>39783</v>
          </cell>
          <cell r="F554" t="str">
            <v>سفيزف</v>
          </cell>
          <cell r="G554" t="str">
            <v>1ج م ع2</v>
          </cell>
          <cell r="H554" t="str">
            <v>خارجي</v>
          </cell>
          <cell r="I554" t="str">
            <v>خ</v>
          </cell>
          <cell r="J554" t="str">
            <v>الحاج</v>
          </cell>
          <cell r="K554" t="str">
            <v>متقاعد</v>
          </cell>
          <cell r="L554" t="str">
            <v>03حي214سكن سفيزف</v>
          </cell>
          <cell r="M554">
            <v>0</v>
          </cell>
          <cell r="N554">
            <v>0</v>
          </cell>
          <cell r="O554" t="str">
            <v>قلاليز   الحاج</v>
          </cell>
        </row>
        <row r="555">
          <cell r="A555">
            <v>546</v>
          </cell>
          <cell r="B555" t="str">
            <v>مهدان   عبد الحميد</v>
          </cell>
          <cell r="C555" t="str">
            <v xml:space="preserve">مهدان </v>
          </cell>
          <cell r="D555" t="str">
            <v>عبد الحميد</v>
          </cell>
          <cell r="E555">
            <v>39550</v>
          </cell>
          <cell r="F555" t="str">
            <v>سفيزف</v>
          </cell>
          <cell r="G555" t="str">
            <v>1ج م ع2</v>
          </cell>
          <cell r="H555" t="str">
            <v>خارجي</v>
          </cell>
          <cell r="I555" t="str">
            <v>خ</v>
          </cell>
          <cell r="J555" t="str">
            <v>ناصر</v>
          </cell>
          <cell r="K555" t="str">
            <v>أستاذ</v>
          </cell>
          <cell r="L555" t="str">
            <v>شارع بلعيني عبدالقادر سفيزف</v>
          </cell>
          <cell r="M555">
            <v>0</v>
          </cell>
          <cell r="N555">
            <v>0</v>
          </cell>
          <cell r="O555" t="str">
            <v>مهدان   ناصر</v>
          </cell>
        </row>
        <row r="556">
          <cell r="A556">
            <v>547</v>
          </cell>
          <cell r="B556" t="str">
            <v>موحوش   البراء</v>
          </cell>
          <cell r="C556" t="str">
            <v xml:space="preserve">موحوش </v>
          </cell>
          <cell r="D556" t="str">
            <v>البراء</v>
          </cell>
          <cell r="E556">
            <v>39902</v>
          </cell>
          <cell r="F556" t="str">
            <v>سفيزف</v>
          </cell>
          <cell r="G556" t="str">
            <v>1ج م ع2</v>
          </cell>
          <cell r="H556" t="str">
            <v>خارجي</v>
          </cell>
          <cell r="I556" t="str">
            <v>خ</v>
          </cell>
          <cell r="J556" t="str">
            <v>يحي</v>
          </cell>
          <cell r="K556" t="str">
            <v>متقاعد</v>
          </cell>
          <cell r="L556" t="str">
            <v>09شارع معطى الله بومدين سفيزف</v>
          </cell>
          <cell r="M556">
            <v>0</v>
          </cell>
          <cell r="N556">
            <v>0</v>
          </cell>
          <cell r="O556" t="str">
            <v>موحوش   يحي</v>
          </cell>
        </row>
        <row r="557">
          <cell r="A557">
            <v>548</v>
          </cell>
          <cell r="B557" t="str">
            <v>نوالة   داود عبد الرحمان</v>
          </cell>
          <cell r="C557" t="str">
            <v xml:space="preserve">نوالة </v>
          </cell>
          <cell r="D557" t="str">
            <v>داود عبد الرحمان</v>
          </cell>
          <cell r="E557">
            <v>39534</v>
          </cell>
          <cell r="F557" t="str">
            <v>سفيزف</v>
          </cell>
          <cell r="G557" t="str">
            <v>1ج م ع2</v>
          </cell>
          <cell r="H557" t="str">
            <v>خارجي</v>
          </cell>
          <cell r="I557" t="str">
            <v>خ</v>
          </cell>
          <cell r="J557" t="str">
            <v>مصطفى</v>
          </cell>
          <cell r="K557" t="str">
            <v>سائق</v>
          </cell>
          <cell r="L557" t="str">
            <v>06شارع بوسطلة مختار سفيزف</v>
          </cell>
          <cell r="M557">
            <v>0</v>
          </cell>
          <cell r="N557">
            <v>0</v>
          </cell>
          <cell r="O557" t="str">
            <v>نوالة   مصطفى</v>
          </cell>
        </row>
        <row r="558">
          <cell r="A558">
            <v>549</v>
          </cell>
          <cell r="B558" t="str">
            <v>بوشريط   زواوية</v>
          </cell>
          <cell r="C558" t="str">
            <v xml:space="preserve">بوشريط </v>
          </cell>
          <cell r="D558" t="str">
            <v>زواوية</v>
          </cell>
          <cell r="E558">
            <v>39734</v>
          </cell>
          <cell r="F558" t="str">
            <v>سفيزف</v>
          </cell>
          <cell r="G558" t="str">
            <v>1ج م ع3</v>
          </cell>
          <cell r="H558" t="str">
            <v>ن/داخلية</v>
          </cell>
          <cell r="I558" t="str">
            <v>ن/د</v>
          </cell>
          <cell r="J558" t="str">
            <v>عبدالقادر</v>
          </cell>
          <cell r="K558" t="str">
            <v>لا شئ</v>
          </cell>
          <cell r="L558" t="str">
            <v>عين آدن</v>
          </cell>
          <cell r="M558">
            <v>0</v>
          </cell>
          <cell r="N558">
            <v>0</v>
          </cell>
          <cell r="O558" t="str">
            <v>بوشريط   عبدالقادر</v>
          </cell>
        </row>
        <row r="559">
          <cell r="A559">
            <v>550</v>
          </cell>
          <cell r="B559" t="str">
            <v>حملات   مريم</v>
          </cell>
          <cell r="C559" t="str">
            <v xml:space="preserve">حملات </v>
          </cell>
          <cell r="D559" t="str">
            <v>مريم</v>
          </cell>
          <cell r="E559">
            <v>39772</v>
          </cell>
          <cell r="F559" t="str">
            <v>سفيزف</v>
          </cell>
          <cell r="G559" t="str">
            <v>1ج م ع3</v>
          </cell>
          <cell r="H559" t="str">
            <v>ن/داخلية</v>
          </cell>
          <cell r="I559" t="str">
            <v>ن/د</v>
          </cell>
          <cell r="J559" t="str">
            <v>عبدالقادر</v>
          </cell>
          <cell r="K559" t="str">
            <v>لا شئ</v>
          </cell>
          <cell r="L559" t="str">
            <v>قرية بلبوش</v>
          </cell>
          <cell r="M559">
            <v>0</v>
          </cell>
          <cell r="N559">
            <v>0</v>
          </cell>
          <cell r="O559" t="str">
            <v>حملات   عبدالقادر</v>
          </cell>
        </row>
        <row r="560">
          <cell r="A560">
            <v>551</v>
          </cell>
          <cell r="B560" t="str">
            <v>دايد   أفنان</v>
          </cell>
          <cell r="C560" t="str">
            <v xml:space="preserve">دايد </v>
          </cell>
          <cell r="D560" t="str">
            <v>أفنان</v>
          </cell>
          <cell r="E560">
            <v>39892</v>
          </cell>
          <cell r="F560" t="str">
            <v>تيارت</v>
          </cell>
          <cell r="G560" t="str">
            <v>1ج م ع3</v>
          </cell>
          <cell r="H560" t="str">
            <v>ن/داخلية</v>
          </cell>
          <cell r="I560" t="str">
            <v>ن/د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 t="str">
            <v xml:space="preserve">دايد   </v>
          </cell>
        </row>
        <row r="561">
          <cell r="A561">
            <v>552</v>
          </cell>
          <cell r="B561" t="str">
            <v>شجعي   فاطنة بشرى</v>
          </cell>
          <cell r="C561" t="str">
            <v xml:space="preserve">شجعي </v>
          </cell>
          <cell r="D561" t="str">
            <v>فاطنة بشرى</v>
          </cell>
          <cell r="E561">
            <v>39790</v>
          </cell>
          <cell r="F561" t="str">
            <v>س بلعباس</v>
          </cell>
          <cell r="G561" t="str">
            <v>1ج م ع3</v>
          </cell>
          <cell r="H561" t="str">
            <v>ن/داخلية</v>
          </cell>
          <cell r="I561" t="str">
            <v>ن/د</v>
          </cell>
          <cell r="J561" t="str">
            <v>سيدأحمد</v>
          </cell>
          <cell r="K561" t="str">
            <v>امام</v>
          </cell>
          <cell r="L561" t="str">
            <v>عين آدن</v>
          </cell>
          <cell r="M561">
            <v>0</v>
          </cell>
          <cell r="N561">
            <v>0</v>
          </cell>
          <cell r="O561" t="str">
            <v>شجعي   سيدأحمد</v>
          </cell>
        </row>
        <row r="562">
          <cell r="A562">
            <v>553</v>
          </cell>
          <cell r="B562" t="str">
            <v>مطموس   بشرى</v>
          </cell>
          <cell r="C562" t="str">
            <v xml:space="preserve">مطموس </v>
          </cell>
          <cell r="D562" t="str">
            <v>بشرى</v>
          </cell>
          <cell r="E562">
            <v>39589</v>
          </cell>
          <cell r="F562" t="str">
            <v>سفيزف</v>
          </cell>
          <cell r="G562" t="str">
            <v>1ج م ع3</v>
          </cell>
          <cell r="H562" t="str">
            <v>ن/داخلية</v>
          </cell>
          <cell r="I562" t="str">
            <v>ن/د</v>
          </cell>
          <cell r="J562" t="str">
            <v>بن عبدالله</v>
          </cell>
          <cell r="K562" t="str">
            <v>مدير مدرسة إ</v>
          </cell>
          <cell r="L562" t="str">
            <v>عين آدن</v>
          </cell>
          <cell r="M562">
            <v>0</v>
          </cell>
          <cell r="N562">
            <v>0</v>
          </cell>
          <cell r="O562" t="str">
            <v>مطموس   بن عبدالله</v>
          </cell>
        </row>
        <row r="563">
          <cell r="A563">
            <v>554</v>
          </cell>
          <cell r="B563" t="str">
            <v>ايخو   صالح منصور</v>
          </cell>
          <cell r="C563" t="str">
            <v xml:space="preserve">ايخو </v>
          </cell>
          <cell r="D563" t="str">
            <v>صالح منصور</v>
          </cell>
          <cell r="E563">
            <v>39732</v>
          </cell>
          <cell r="F563" t="str">
            <v>س بلعباس</v>
          </cell>
          <cell r="G563" t="str">
            <v>1ج م ع3</v>
          </cell>
          <cell r="H563" t="str">
            <v>خارجي</v>
          </cell>
          <cell r="I563" t="str">
            <v>خ</v>
          </cell>
          <cell r="J563" t="str">
            <v>علي</v>
          </cell>
          <cell r="K563" t="str">
            <v>متقاعد</v>
          </cell>
          <cell r="L563" t="str">
            <v>حي نواري بن عبدالله سفيزف</v>
          </cell>
          <cell r="M563">
            <v>0</v>
          </cell>
          <cell r="N563">
            <v>0</v>
          </cell>
          <cell r="O563" t="str">
            <v>ايخو   علي</v>
          </cell>
        </row>
        <row r="564">
          <cell r="A564">
            <v>555</v>
          </cell>
          <cell r="B564" t="str">
            <v>بكار   أنفال الزهرة</v>
          </cell>
          <cell r="C564" t="str">
            <v xml:space="preserve">بكار </v>
          </cell>
          <cell r="D564" t="str">
            <v>أنفال الزهرة</v>
          </cell>
          <cell r="E564">
            <v>39763</v>
          </cell>
          <cell r="F564" t="str">
            <v>سفيزف</v>
          </cell>
          <cell r="G564" t="str">
            <v>1ج م ع3</v>
          </cell>
          <cell r="H564" t="str">
            <v>خارجية</v>
          </cell>
          <cell r="I564" t="str">
            <v>خ</v>
          </cell>
          <cell r="J564" t="str">
            <v>عبدالكريم</v>
          </cell>
          <cell r="K564" t="str">
            <v>لا شئ</v>
          </cell>
          <cell r="L564" t="str">
            <v>05حي يملول حامد سفيزف</v>
          </cell>
          <cell r="M564">
            <v>0</v>
          </cell>
          <cell r="N564">
            <v>0</v>
          </cell>
          <cell r="O564" t="str">
            <v>بكار   عبدالكريم</v>
          </cell>
        </row>
        <row r="565">
          <cell r="A565">
            <v>556</v>
          </cell>
          <cell r="B565" t="str">
            <v>بلعالم   اسماعيل</v>
          </cell>
          <cell r="C565" t="str">
            <v xml:space="preserve">بلعالم </v>
          </cell>
          <cell r="D565" t="str">
            <v>اسماعيل</v>
          </cell>
          <cell r="E565">
            <v>39856</v>
          </cell>
          <cell r="F565" t="str">
            <v>سفيزف</v>
          </cell>
          <cell r="G565" t="str">
            <v>1ج م ع3</v>
          </cell>
          <cell r="H565" t="str">
            <v>خارجي</v>
          </cell>
          <cell r="I565" t="str">
            <v>خ</v>
          </cell>
          <cell r="J565" t="str">
            <v>قاة</v>
          </cell>
          <cell r="K565" t="str">
            <v>متوفي</v>
          </cell>
          <cell r="L565" t="str">
            <v>شارع هتراف أحمد سفيزف</v>
          </cell>
          <cell r="M565">
            <v>0</v>
          </cell>
          <cell r="N565">
            <v>0</v>
          </cell>
          <cell r="O565" t="str">
            <v>بلعالم   قاة</v>
          </cell>
        </row>
        <row r="566">
          <cell r="A566">
            <v>557</v>
          </cell>
          <cell r="B566" t="str">
            <v>بن بارك   خديجة نور الهدى</v>
          </cell>
          <cell r="C566" t="str">
            <v xml:space="preserve">بن بارك </v>
          </cell>
          <cell r="D566" t="str">
            <v>خديجة نور الهدى</v>
          </cell>
          <cell r="E566">
            <v>39814</v>
          </cell>
          <cell r="F566">
            <v>0</v>
          </cell>
          <cell r="G566" t="str">
            <v>1ج م ع3</v>
          </cell>
          <cell r="H566" t="str">
            <v>خارجية</v>
          </cell>
          <cell r="I566" t="str">
            <v>خ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 t="str">
            <v xml:space="preserve">بن بارك   </v>
          </cell>
        </row>
        <row r="567">
          <cell r="A567">
            <v>558</v>
          </cell>
          <cell r="B567" t="str">
            <v>بودرقي   عبد النور</v>
          </cell>
          <cell r="C567" t="str">
            <v xml:space="preserve">بودرقي </v>
          </cell>
          <cell r="D567" t="str">
            <v>عبد النور</v>
          </cell>
          <cell r="E567">
            <v>39066</v>
          </cell>
          <cell r="F567" t="str">
            <v>س بلعباس</v>
          </cell>
          <cell r="G567" t="str">
            <v>1ج م ع3</v>
          </cell>
          <cell r="H567" t="str">
            <v>خارجي</v>
          </cell>
          <cell r="I567" t="str">
            <v>خ</v>
          </cell>
          <cell r="J567" t="str">
            <v>مختار</v>
          </cell>
          <cell r="K567" t="str">
            <v>موظف</v>
          </cell>
          <cell r="L567" t="str">
            <v>حي بوهند يحي سفيزف</v>
          </cell>
          <cell r="M567">
            <v>0</v>
          </cell>
          <cell r="N567">
            <v>0</v>
          </cell>
          <cell r="O567" t="str">
            <v>بودرقي   مختار</v>
          </cell>
        </row>
        <row r="568">
          <cell r="A568">
            <v>559</v>
          </cell>
          <cell r="B568" t="str">
            <v>بوشنتوف   محمد عبد الرحمان</v>
          </cell>
          <cell r="C568" t="str">
            <v xml:space="preserve">بوشنتوف </v>
          </cell>
          <cell r="D568" t="str">
            <v>محمد عبد الرحمان</v>
          </cell>
          <cell r="E568">
            <v>39603</v>
          </cell>
          <cell r="F568" t="str">
            <v>س بلعباس</v>
          </cell>
          <cell r="G568" t="str">
            <v>1ج م ع3</v>
          </cell>
          <cell r="H568" t="str">
            <v>خارجي</v>
          </cell>
          <cell r="I568" t="str">
            <v>خ</v>
          </cell>
          <cell r="J568" t="str">
            <v>سعيد</v>
          </cell>
          <cell r="K568" t="str">
            <v>موظف</v>
          </cell>
          <cell r="L568" t="str">
            <v>04حي05جويلية سفيزف</v>
          </cell>
          <cell r="M568">
            <v>0</v>
          </cell>
          <cell r="N568">
            <v>0</v>
          </cell>
          <cell r="O568" t="str">
            <v>بوشنتوف   سعيد</v>
          </cell>
        </row>
        <row r="569">
          <cell r="A569">
            <v>560</v>
          </cell>
          <cell r="B569" t="str">
            <v>بوصحرة   مريم نورهان</v>
          </cell>
          <cell r="C569" t="str">
            <v xml:space="preserve">بوصحرة </v>
          </cell>
          <cell r="D569" t="str">
            <v>مريم نورهان</v>
          </cell>
          <cell r="E569">
            <v>39699</v>
          </cell>
          <cell r="F569" t="str">
            <v>سفيزف</v>
          </cell>
          <cell r="G569" t="str">
            <v>1ج م ع3</v>
          </cell>
          <cell r="H569" t="str">
            <v>خارجية</v>
          </cell>
          <cell r="I569" t="str">
            <v>خ</v>
          </cell>
          <cell r="J569" t="str">
            <v>محمد</v>
          </cell>
          <cell r="K569" t="str">
            <v>تاجر</v>
          </cell>
          <cell r="L569" t="str">
            <v>24شارع بوخنفوس مختار سفيزف</v>
          </cell>
          <cell r="M569">
            <v>0</v>
          </cell>
          <cell r="N569">
            <v>0</v>
          </cell>
          <cell r="O569" t="str">
            <v>بوصحرة   محمد</v>
          </cell>
        </row>
        <row r="570">
          <cell r="A570">
            <v>561</v>
          </cell>
          <cell r="B570" t="str">
            <v>بولنوار   بلال اسحاق</v>
          </cell>
          <cell r="C570" t="str">
            <v xml:space="preserve">بولنوار </v>
          </cell>
          <cell r="D570" t="str">
            <v>بلال اسحاق</v>
          </cell>
          <cell r="E570">
            <v>39301</v>
          </cell>
          <cell r="F570" t="str">
            <v>س بلعباس</v>
          </cell>
          <cell r="G570" t="str">
            <v>1ج م ع3</v>
          </cell>
          <cell r="H570" t="str">
            <v>خارجي</v>
          </cell>
          <cell r="I570" t="str">
            <v>خ</v>
          </cell>
          <cell r="J570" t="str">
            <v>حسين</v>
          </cell>
          <cell r="K570" t="str">
            <v>فلاح</v>
          </cell>
          <cell r="L570" t="str">
            <v>38حي100سكن سفيزف</v>
          </cell>
          <cell r="M570">
            <v>0</v>
          </cell>
          <cell r="N570">
            <v>0</v>
          </cell>
          <cell r="O570" t="str">
            <v>بولنوار   حسين</v>
          </cell>
        </row>
        <row r="571">
          <cell r="A571">
            <v>562</v>
          </cell>
          <cell r="B571" t="str">
            <v>بوهند   شيماء</v>
          </cell>
          <cell r="C571" t="str">
            <v xml:space="preserve">بوهند </v>
          </cell>
          <cell r="D571" t="str">
            <v>شيماء</v>
          </cell>
          <cell r="E571">
            <v>39769</v>
          </cell>
          <cell r="F571" t="str">
            <v>سفيزف</v>
          </cell>
          <cell r="G571" t="str">
            <v>1ج م ع3</v>
          </cell>
          <cell r="H571" t="str">
            <v>خارجية</v>
          </cell>
          <cell r="I571" t="str">
            <v>خ</v>
          </cell>
          <cell r="J571" t="str">
            <v>قدور</v>
          </cell>
          <cell r="K571" t="str">
            <v>موظف</v>
          </cell>
          <cell r="L571" t="str">
            <v>شارع أحمد زبانة سفيزف</v>
          </cell>
          <cell r="M571">
            <v>0</v>
          </cell>
          <cell r="N571">
            <v>0</v>
          </cell>
          <cell r="O571" t="str">
            <v>بوهند   قدور</v>
          </cell>
        </row>
        <row r="572">
          <cell r="A572">
            <v>563</v>
          </cell>
          <cell r="B572" t="str">
            <v>تمزوين   مروى</v>
          </cell>
          <cell r="C572" t="str">
            <v xml:space="preserve">تمزوين </v>
          </cell>
          <cell r="D572" t="str">
            <v>مروى</v>
          </cell>
          <cell r="E572">
            <v>39777</v>
          </cell>
          <cell r="F572" t="str">
            <v>سفيزف</v>
          </cell>
          <cell r="G572" t="str">
            <v>1ج م ع3</v>
          </cell>
          <cell r="H572" t="str">
            <v>خارجية</v>
          </cell>
          <cell r="I572" t="str">
            <v>خ</v>
          </cell>
          <cell r="J572" t="str">
            <v>بن مكي</v>
          </cell>
          <cell r="K572" t="str">
            <v>دركي</v>
          </cell>
          <cell r="L572" t="str">
            <v>حي72سكن سفيزف</v>
          </cell>
          <cell r="M572">
            <v>0</v>
          </cell>
          <cell r="N572">
            <v>0</v>
          </cell>
          <cell r="O572" t="str">
            <v>تمزوين   بن مكي</v>
          </cell>
        </row>
        <row r="573">
          <cell r="A573">
            <v>564</v>
          </cell>
          <cell r="B573" t="str">
            <v>جافي   عبير</v>
          </cell>
          <cell r="C573" t="str">
            <v xml:space="preserve">جافي </v>
          </cell>
          <cell r="D573" t="str">
            <v>عبير</v>
          </cell>
          <cell r="E573">
            <v>39386</v>
          </cell>
          <cell r="F573" t="str">
            <v>سفيزف</v>
          </cell>
          <cell r="G573" t="str">
            <v>1ج م ع3</v>
          </cell>
          <cell r="H573" t="str">
            <v>خارجية</v>
          </cell>
          <cell r="I573" t="str">
            <v>خ</v>
          </cell>
          <cell r="J573" t="str">
            <v>بوعلام</v>
          </cell>
          <cell r="K573" t="str">
            <v>متقاعد</v>
          </cell>
          <cell r="L573" t="str">
            <v>شارع بوخنفوس مختار سفيزف</v>
          </cell>
          <cell r="M573">
            <v>0</v>
          </cell>
          <cell r="N573">
            <v>0</v>
          </cell>
          <cell r="O573" t="str">
            <v>جافي   بوعلام</v>
          </cell>
        </row>
        <row r="574">
          <cell r="A574">
            <v>565</v>
          </cell>
          <cell r="B574" t="str">
            <v>حبي   سيد احمد</v>
          </cell>
          <cell r="C574" t="str">
            <v xml:space="preserve">حبي </v>
          </cell>
          <cell r="D574" t="str">
            <v>سيد احمد</v>
          </cell>
          <cell r="E574">
            <v>38463</v>
          </cell>
          <cell r="F574" t="str">
            <v>سفيزف</v>
          </cell>
          <cell r="G574" t="str">
            <v>1ج م ع3</v>
          </cell>
          <cell r="H574" t="str">
            <v>خارجي</v>
          </cell>
          <cell r="I574" t="str">
            <v>خ</v>
          </cell>
          <cell r="J574" t="str">
            <v>أحمد</v>
          </cell>
          <cell r="K574" t="str">
            <v>متقاعد</v>
          </cell>
          <cell r="L574" t="str">
            <v>20حي بوهند يحي سفيزف</v>
          </cell>
          <cell r="M574">
            <v>0</v>
          </cell>
          <cell r="N574">
            <v>0</v>
          </cell>
          <cell r="O574" t="str">
            <v>حبي   أحمد</v>
          </cell>
        </row>
        <row r="575">
          <cell r="A575">
            <v>566</v>
          </cell>
          <cell r="B575" t="str">
            <v>خليج   دعاء</v>
          </cell>
          <cell r="C575" t="str">
            <v xml:space="preserve">خليج </v>
          </cell>
          <cell r="D575" t="str">
            <v>دعاء</v>
          </cell>
          <cell r="E575">
            <v>39253</v>
          </cell>
          <cell r="F575" t="str">
            <v>سفيزف</v>
          </cell>
          <cell r="G575" t="str">
            <v>1ج م ع3</v>
          </cell>
          <cell r="H575" t="str">
            <v>خارجية</v>
          </cell>
          <cell r="I575" t="str">
            <v>خ</v>
          </cell>
          <cell r="J575" t="str">
            <v>لعبان</v>
          </cell>
          <cell r="K575" t="str">
            <v>لا شئ</v>
          </cell>
          <cell r="L575" t="str">
            <v>90حي طيبي عبدالقادر سفيزف</v>
          </cell>
          <cell r="M575">
            <v>0</v>
          </cell>
          <cell r="N575">
            <v>0</v>
          </cell>
          <cell r="O575" t="str">
            <v>خليج   لعبان</v>
          </cell>
        </row>
        <row r="576">
          <cell r="A576">
            <v>567</v>
          </cell>
          <cell r="B576" t="str">
            <v>خليج   ملاك</v>
          </cell>
          <cell r="C576" t="str">
            <v xml:space="preserve">خليج </v>
          </cell>
          <cell r="D576" t="str">
            <v>ملاك</v>
          </cell>
          <cell r="E576">
            <v>39726</v>
          </cell>
          <cell r="F576" t="str">
            <v>سفيزف</v>
          </cell>
          <cell r="G576" t="str">
            <v>1ج م ع3</v>
          </cell>
          <cell r="H576" t="str">
            <v>خارجية</v>
          </cell>
          <cell r="I576" t="str">
            <v>خ</v>
          </cell>
          <cell r="J576" t="str">
            <v>لعبان</v>
          </cell>
          <cell r="K576" t="str">
            <v>لا شئ</v>
          </cell>
          <cell r="L576" t="str">
            <v>90حي طيبي عبدالقادر سفيزف</v>
          </cell>
          <cell r="M576">
            <v>0</v>
          </cell>
          <cell r="N576">
            <v>0</v>
          </cell>
          <cell r="O576" t="str">
            <v>خليج   لعبان</v>
          </cell>
        </row>
        <row r="577">
          <cell r="A577">
            <v>568</v>
          </cell>
          <cell r="B577" t="str">
            <v>دلاوي   بومدين</v>
          </cell>
          <cell r="C577" t="str">
            <v xml:space="preserve">دلاوي </v>
          </cell>
          <cell r="D577" t="str">
            <v>بومدين</v>
          </cell>
          <cell r="E577">
            <v>39258</v>
          </cell>
          <cell r="F577" t="str">
            <v>سفيزف</v>
          </cell>
          <cell r="G577" t="str">
            <v>1ج م ع3</v>
          </cell>
          <cell r="H577" t="str">
            <v>خارجي</v>
          </cell>
          <cell r="I577" t="str">
            <v>خ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 t="str">
            <v xml:space="preserve">دلاوي   </v>
          </cell>
        </row>
        <row r="578">
          <cell r="A578">
            <v>569</v>
          </cell>
          <cell r="B578" t="str">
            <v>رمدوم   ريحاب جنة</v>
          </cell>
          <cell r="C578" t="str">
            <v xml:space="preserve">رمدوم </v>
          </cell>
          <cell r="D578" t="str">
            <v>ريحاب جنة</v>
          </cell>
          <cell r="E578">
            <v>39638</v>
          </cell>
          <cell r="F578" t="str">
            <v>سفيزف</v>
          </cell>
          <cell r="G578" t="str">
            <v>1ج م ع3</v>
          </cell>
          <cell r="H578" t="str">
            <v>خارجية</v>
          </cell>
          <cell r="I578" t="str">
            <v>خ</v>
          </cell>
          <cell r="J578" t="str">
            <v>بغداد</v>
          </cell>
          <cell r="K578" t="str">
            <v>موظف</v>
          </cell>
          <cell r="L578" t="str">
            <v>21حي64سكن سفيزف</v>
          </cell>
          <cell r="M578">
            <v>0</v>
          </cell>
          <cell r="N578">
            <v>0</v>
          </cell>
          <cell r="O578" t="str">
            <v>رمدوم   بغداد</v>
          </cell>
        </row>
        <row r="579">
          <cell r="A579">
            <v>570</v>
          </cell>
          <cell r="B579" t="str">
            <v>زعقوق   المعتصم بالله يحي</v>
          </cell>
          <cell r="C579" t="str">
            <v xml:space="preserve">زعقوق </v>
          </cell>
          <cell r="D579" t="str">
            <v>المعتصم بالله يحي</v>
          </cell>
          <cell r="E579">
            <v>39699</v>
          </cell>
          <cell r="F579" t="str">
            <v>س بلعباس</v>
          </cell>
          <cell r="G579" t="str">
            <v>1ج م ع3</v>
          </cell>
          <cell r="H579" t="str">
            <v>خارجي</v>
          </cell>
          <cell r="I579" t="str">
            <v>خ</v>
          </cell>
          <cell r="J579" t="str">
            <v>جلول</v>
          </cell>
          <cell r="K579" t="str">
            <v>موظف</v>
          </cell>
          <cell r="L579" t="str">
            <v>حي72 سكن سفيزف</v>
          </cell>
          <cell r="M579">
            <v>0</v>
          </cell>
          <cell r="N579">
            <v>0</v>
          </cell>
          <cell r="O579" t="str">
            <v>زعقوق   جلول</v>
          </cell>
        </row>
        <row r="580">
          <cell r="A580">
            <v>571</v>
          </cell>
          <cell r="B580" t="str">
            <v>سماحات   رميساء</v>
          </cell>
          <cell r="C580" t="str">
            <v xml:space="preserve">سماحات </v>
          </cell>
          <cell r="D580" t="str">
            <v>رميساء</v>
          </cell>
          <cell r="E580">
            <v>39672</v>
          </cell>
          <cell r="F580" t="str">
            <v>وهران</v>
          </cell>
          <cell r="G580" t="str">
            <v>1ج م ع3</v>
          </cell>
          <cell r="H580" t="str">
            <v>خارجية</v>
          </cell>
          <cell r="I580" t="str">
            <v>خ</v>
          </cell>
          <cell r="J580" t="str">
            <v>بارودي</v>
          </cell>
          <cell r="K580" t="str">
            <v>متقاعد</v>
          </cell>
          <cell r="L580" t="str">
            <v>45حي115سكن سفيزف</v>
          </cell>
          <cell r="M580">
            <v>0</v>
          </cell>
          <cell r="N580">
            <v>0</v>
          </cell>
          <cell r="O580" t="str">
            <v>سماحات   بارودي</v>
          </cell>
        </row>
        <row r="581">
          <cell r="A581">
            <v>572</v>
          </cell>
          <cell r="B581" t="str">
            <v>عفان   هاجر</v>
          </cell>
          <cell r="C581" t="str">
            <v xml:space="preserve">عفان </v>
          </cell>
          <cell r="D581" t="str">
            <v>هاجر</v>
          </cell>
          <cell r="E581">
            <v>39590</v>
          </cell>
          <cell r="F581" t="str">
            <v>سفيزف</v>
          </cell>
          <cell r="G581" t="str">
            <v>1ج م ع3</v>
          </cell>
          <cell r="H581" t="str">
            <v>خارجية</v>
          </cell>
          <cell r="I581" t="str">
            <v>خ</v>
          </cell>
          <cell r="J581" t="str">
            <v>أحمد</v>
          </cell>
          <cell r="K581" t="str">
            <v>تاجر</v>
          </cell>
          <cell r="L581" t="str">
            <v>65حي كشار صحراوي سفيزف</v>
          </cell>
          <cell r="M581">
            <v>0</v>
          </cell>
          <cell r="N581">
            <v>0</v>
          </cell>
          <cell r="O581" t="str">
            <v>عفان   أحمد</v>
          </cell>
        </row>
        <row r="582">
          <cell r="A582">
            <v>573</v>
          </cell>
          <cell r="B582" t="str">
            <v>عميري   محمد امين</v>
          </cell>
          <cell r="C582" t="str">
            <v xml:space="preserve">عميري </v>
          </cell>
          <cell r="D582" t="str">
            <v>محمد امين</v>
          </cell>
          <cell r="E582">
            <v>39748</v>
          </cell>
          <cell r="F582" t="str">
            <v>س بلعباس</v>
          </cell>
          <cell r="G582" t="str">
            <v>1ج م ع3</v>
          </cell>
          <cell r="H582" t="str">
            <v>خارجي</v>
          </cell>
          <cell r="I582" t="str">
            <v>خ</v>
          </cell>
          <cell r="J582" t="str">
            <v>عبدالقادر</v>
          </cell>
          <cell r="K582" t="str">
            <v>ممرض</v>
          </cell>
          <cell r="L582" t="str">
            <v>08حي100سكن سفيزف</v>
          </cell>
          <cell r="M582">
            <v>0</v>
          </cell>
          <cell r="N582">
            <v>0</v>
          </cell>
          <cell r="O582" t="str">
            <v>عميري   عبدالقادر</v>
          </cell>
        </row>
        <row r="583">
          <cell r="A583">
            <v>574</v>
          </cell>
          <cell r="B583" t="str">
            <v>قسوم    مريم</v>
          </cell>
          <cell r="C583" t="str">
            <v xml:space="preserve">قسوم </v>
          </cell>
          <cell r="D583" t="str">
            <v xml:space="preserve"> مريم</v>
          </cell>
          <cell r="E583">
            <v>39320</v>
          </cell>
          <cell r="F583" t="str">
            <v>س بلعباس</v>
          </cell>
          <cell r="G583" t="str">
            <v>1ج م ع3</v>
          </cell>
          <cell r="H583" t="str">
            <v>خارجية</v>
          </cell>
          <cell r="I583" t="str">
            <v>خ</v>
          </cell>
          <cell r="J583" t="str">
            <v>مختار</v>
          </cell>
          <cell r="K583" t="str">
            <v>متقاعد</v>
          </cell>
          <cell r="L583" t="str">
            <v>10شارع بوخنفوس مختار سفيزف</v>
          </cell>
          <cell r="M583">
            <v>0</v>
          </cell>
          <cell r="N583">
            <v>0</v>
          </cell>
          <cell r="O583" t="str">
            <v>قسوم   مختار</v>
          </cell>
        </row>
        <row r="584">
          <cell r="A584">
            <v>575</v>
          </cell>
          <cell r="B584" t="str">
            <v>قلاليز   ياسر عبد الاله</v>
          </cell>
          <cell r="C584" t="str">
            <v xml:space="preserve">قلاليز </v>
          </cell>
          <cell r="D584" t="str">
            <v>ياسر عبد الاله</v>
          </cell>
          <cell r="E584">
            <v>39580</v>
          </cell>
          <cell r="F584" t="str">
            <v>سفيزف</v>
          </cell>
          <cell r="G584" t="str">
            <v>1ج م ع3</v>
          </cell>
          <cell r="H584" t="str">
            <v>خارجي</v>
          </cell>
          <cell r="I584" t="str">
            <v>خ</v>
          </cell>
          <cell r="J584" t="str">
            <v>مصطفى</v>
          </cell>
          <cell r="K584" t="str">
            <v>موظف</v>
          </cell>
          <cell r="L584" t="str">
            <v>85شارع أوهيبة ميلود سفيزف</v>
          </cell>
          <cell r="M584">
            <v>0</v>
          </cell>
          <cell r="N584">
            <v>0</v>
          </cell>
          <cell r="O584" t="str">
            <v>قلاليز   مصطفى</v>
          </cell>
        </row>
        <row r="585">
          <cell r="A585">
            <v>576</v>
          </cell>
          <cell r="B585" t="str">
            <v>قناوي   محمد رفيق قويدر</v>
          </cell>
          <cell r="C585" t="str">
            <v xml:space="preserve">قناوي </v>
          </cell>
          <cell r="D585" t="str">
            <v>محمد رفيق قويدر</v>
          </cell>
          <cell r="E585">
            <v>39870</v>
          </cell>
          <cell r="F585" t="str">
            <v>سفيزف</v>
          </cell>
          <cell r="G585" t="str">
            <v>1ج م ع3</v>
          </cell>
          <cell r="H585" t="str">
            <v>خارجي</v>
          </cell>
          <cell r="I585" t="str">
            <v>خ</v>
          </cell>
          <cell r="J585" t="str">
            <v>محمد</v>
          </cell>
          <cell r="K585" t="str">
            <v>لا شئ</v>
          </cell>
          <cell r="L585" t="str">
            <v>شارع بوخنفوس مختار سفيزف</v>
          </cell>
          <cell r="M585">
            <v>0</v>
          </cell>
          <cell r="N585">
            <v>0</v>
          </cell>
          <cell r="O585" t="str">
            <v>قناوي   محمد</v>
          </cell>
        </row>
        <row r="586">
          <cell r="A586">
            <v>577</v>
          </cell>
          <cell r="B586" t="str">
            <v>لبيض  ملوكة</v>
          </cell>
          <cell r="C586" t="str">
            <v>لبيض</v>
          </cell>
          <cell r="D586" t="str">
            <v>ملوكة</v>
          </cell>
          <cell r="E586">
            <v>39667</v>
          </cell>
          <cell r="F586" t="str">
            <v>سفيزف</v>
          </cell>
          <cell r="G586" t="str">
            <v>1ج م ع3</v>
          </cell>
          <cell r="H586" t="str">
            <v>خارجية</v>
          </cell>
          <cell r="I586" t="str">
            <v>خ</v>
          </cell>
          <cell r="J586" t="str">
            <v>يحي</v>
          </cell>
          <cell r="K586" t="str">
            <v>فلاح</v>
          </cell>
          <cell r="L586" t="str">
            <v>حي هواري بومدين سفيزف</v>
          </cell>
          <cell r="M586">
            <v>0</v>
          </cell>
          <cell r="N586">
            <v>0</v>
          </cell>
          <cell r="O586" t="str">
            <v>لبيض  يحي</v>
          </cell>
        </row>
        <row r="587">
          <cell r="A587">
            <v>578</v>
          </cell>
          <cell r="B587" t="str">
            <v>مالك   قدور أيمن</v>
          </cell>
          <cell r="C587" t="str">
            <v xml:space="preserve">مالك </v>
          </cell>
          <cell r="D587" t="str">
            <v>قدور أيمن</v>
          </cell>
          <cell r="E587">
            <v>39520</v>
          </cell>
          <cell r="F587" t="str">
            <v>سفيزف</v>
          </cell>
          <cell r="G587" t="str">
            <v>1ج م ع3</v>
          </cell>
          <cell r="H587" t="str">
            <v>خارجي</v>
          </cell>
          <cell r="I587" t="str">
            <v>خ</v>
          </cell>
          <cell r="J587" t="str">
            <v>عبدالقادر</v>
          </cell>
          <cell r="K587" t="str">
            <v>متقاعد</v>
          </cell>
          <cell r="L587" t="str">
            <v>شارع أوهيبة ميلود سفيزف</v>
          </cell>
          <cell r="M587">
            <v>0</v>
          </cell>
          <cell r="N587">
            <v>0</v>
          </cell>
          <cell r="O587" t="str">
            <v>مالك   عبدالقادر</v>
          </cell>
        </row>
        <row r="588">
          <cell r="A588">
            <v>579</v>
          </cell>
          <cell r="B588" t="str">
            <v>معروف   يوسف</v>
          </cell>
          <cell r="C588" t="str">
            <v xml:space="preserve">معروف </v>
          </cell>
          <cell r="D588" t="str">
            <v>يوسف</v>
          </cell>
          <cell r="E588">
            <v>39914</v>
          </cell>
          <cell r="F588" t="str">
            <v>س بلعباس</v>
          </cell>
          <cell r="G588" t="str">
            <v>1ج م ع3</v>
          </cell>
          <cell r="H588" t="str">
            <v>خارجي</v>
          </cell>
          <cell r="I588" t="str">
            <v>خ</v>
          </cell>
          <cell r="J588" t="str">
            <v>نورالدين</v>
          </cell>
          <cell r="K588" t="str">
            <v>متقاعد</v>
          </cell>
          <cell r="L588" t="str">
            <v>شارع عراس رقية سفيزف</v>
          </cell>
          <cell r="M588">
            <v>0</v>
          </cell>
          <cell r="N588">
            <v>0</v>
          </cell>
          <cell r="O588" t="str">
            <v>معروف   نورالدين</v>
          </cell>
        </row>
        <row r="589">
          <cell r="A589">
            <v>580</v>
          </cell>
          <cell r="B589" t="str">
            <v>مكيكة   حياة</v>
          </cell>
          <cell r="C589" t="str">
            <v xml:space="preserve">مكيكة </v>
          </cell>
          <cell r="D589" t="str">
            <v>حياة</v>
          </cell>
          <cell r="E589">
            <v>39434</v>
          </cell>
          <cell r="F589" t="str">
            <v>سفيزف</v>
          </cell>
          <cell r="G589" t="str">
            <v>1ج م ع3</v>
          </cell>
          <cell r="H589" t="str">
            <v>خارجية</v>
          </cell>
          <cell r="I589" t="str">
            <v>خ</v>
          </cell>
          <cell r="J589" t="str">
            <v>يحي</v>
          </cell>
          <cell r="K589" t="str">
            <v>متقاعد</v>
          </cell>
          <cell r="L589" t="str">
            <v>32شارع بوخنفوس مختار سفيزف</v>
          </cell>
          <cell r="M589">
            <v>0</v>
          </cell>
          <cell r="N589">
            <v>0</v>
          </cell>
          <cell r="O589" t="str">
            <v>مكيكة   يحي</v>
          </cell>
        </row>
        <row r="590">
          <cell r="A590">
            <v>581</v>
          </cell>
          <cell r="B590" t="str">
            <v>ملاتي   محمد الامين</v>
          </cell>
          <cell r="C590" t="str">
            <v xml:space="preserve">ملاتي </v>
          </cell>
          <cell r="D590" t="str">
            <v>محمد الامين</v>
          </cell>
          <cell r="E590">
            <v>39809</v>
          </cell>
          <cell r="F590" t="str">
            <v>سفيزف</v>
          </cell>
          <cell r="G590" t="str">
            <v>1ج م ع3</v>
          </cell>
          <cell r="H590" t="str">
            <v>خارجي</v>
          </cell>
          <cell r="I590" t="str">
            <v>خ</v>
          </cell>
          <cell r="J590" t="str">
            <v>كمال</v>
          </cell>
          <cell r="K590" t="str">
            <v>تاجر</v>
          </cell>
          <cell r="L590" t="str">
            <v>حي عربوز عبدالقادر سفيزف</v>
          </cell>
          <cell r="M590">
            <v>0</v>
          </cell>
          <cell r="N590">
            <v>0</v>
          </cell>
          <cell r="O590" t="str">
            <v>ملاتي   كمال</v>
          </cell>
        </row>
        <row r="591">
          <cell r="A591">
            <v>582</v>
          </cell>
          <cell r="B591" t="str">
            <v>موحوش   محمد امين</v>
          </cell>
          <cell r="C591" t="str">
            <v xml:space="preserve">موحوش </v>
          </cell>
          <cell r="D591" t="str">
            <v>محمد امين</v>
          </cell>
          <cell r="E591">
            <v>39322</v>
          </cell>
          <cell r="F591" t="str">
            <v>سفيزف</v>
          </cell>
          <cell r="G591" t="str">
            <v>1ج م ع3</v>
          </cell>
          <cell r="H591" t="str">
            <v>خارجي</v>
          </cell>
          <cell r="I591" t="str">
            <v>خ</v>
          </cell>
          <cell r="J591" t="str">
            <v>عتو</v>
          </cell>
          <cell r="K591" t="str">
            <v>لا شئ</v>
          </cell>
          <cell r="L591" t="str">
            <v>دوار القصير سفيزف</v>
          </cell>
          <cell r="M591">
            <v>0</v>
          </cell>
          <cell r="N591">
            <v>0</v>
          </cell>
          <cell r="O591" t="str">
            <v>موحوش   عتو</v>
          </cell>
        </row>
        <row r="592">
          <cell r="A592">
            <v>583</v>
          </cell>
          <cell r="B592" t="str">
            <v>هجين   نسرين</v>
          </cell>
          <cell r="C592" t="str">
            <v xml:space="preserve">هجين </v>
          </cell>
          <cell r="D592" t="str">
            <v>نسرين</v>
          </cell>
          <cell r="E592">
            <v>39938</v>
          </cell>
          <cell r="F592" t="str">
            <v>سفيزف</v>
          </cell>
          <cell r="G592" t="str">
            <v>1ج م ع3</v>
          </cell>
          <cell r="H592" t="str">
            <v>خارجية</v>
          </cell>
          <cell r="I592" t="str">
            <v>خ</v>
          </cell>
          <cell r="J592" t="str">
            <v>عبدالحليم</v>
          </cell>
          <cell r="K592" t="str">
            <v>موظف</v>
          </cell>
          <cell r="L592" t="str">
            <v>حي28سكن عمارة ب سفيزف</v>
          </cell>
          <cell r="M592">
            <v>0</v>
          </cell>
          <cell r="N592">
            <v>0</v>
          </cell>
          <cell r="O592" t="str">
            <v>هجين   عبدالحليم</v>
          </cell>
        </row>
        <row r="593">
          <cell r="A593">
            <v>584</v>
          </cell>
          <cell r="B593" t="str">
            <v>البحري  يوسف</v>
          </cell>
          <cell r="C593" t="str">
            <v>البحري</v>
          </cell>
          <cell r="D593" t="str">
            <v>يوسف</v>
          </cell>
          <cell r="E593">
            <v>39438</v>
          </cell>
          <cell r="F593" t="str">
            <v>س بلعباس</v>
          </cell>
          <cell r="G593" t="str">
            <v>1ج م ع4</v>
          </cell>
          <cell r="H593" t="str">
            <v>ن/داخلي</v>
          </cell>
          <cell r="I593" t="str">
            <v>ن/د</v>
          </cell>
          <cell r="J593" t="str">
            <v>بلقاسم</v>
          </cell>
          <cell r="K593" t="str">
            <v>موال</v>
          </cell>
          <cell r="L593" t="str">
            <v>عين آدن</v>
          </cell>
          <cell r="M593">
            <v>0</v>
          </cell>
          <cell r="N593">
            <v>0</v>
          </cell>
          <cell r="O593" t="str">
            <v>البحري  بلقاسم</v>
          </cell>
        </row>
        <row r="594">
          <cell r="A594">
            <v>585</v>
          </cell>
          <cell r="B594" t="str">
            <v>بن أحمد   كوثر</v>
          </cell>
          <cell r="C594" t="str">
            <v xml:space="preserve">بن أحمد </v>
          </cell>
          <cell r="D594" t="str">
            <v>كوثر</v>
          </cell>
          <cell r="E594">
            <v>39736</v>
          </cell>
          <cell r="F594" t="str">
            <v>سفيزف</v>
          </cell>
          <cell r="G594" t="str">
            <v>1ج م ع4</v>
          </cell>
          <cell r="H594" t="str">
            <v>ن/داخلية</v>
          </cell>
          <cell r="I594" t="str">
            <v>ن/د</v>
          </cell>
          <cell r="J594" t="str">
            <v>منور</v>
          </cell>
          <cell r="K594" t="str">
            <v>معلم قرآن</v>
          </cell>
          <cell r="L594" t="str">
            <v>قرية بلبوش</v>
          </cell>
          <cell r="M594">
            <v>0</v>
          </cell>
          <cell r="N594">
            <v>0</v>
          </cell>
          <cell r="O594" t="str">
            <v>بن أحمد   منور</v>
          </cell>
        </row>
        <row r="595">
          <cell r="A595">
            <v>586</v>
          </cell>
          <cell r="B595" t="str">
            <v>طالبي  عبدالله</v>
          </cell>
          <cell r="C595" t="str">
            <v>طالبي</v>
          </cell>
          <cell r="D595" t="str">
            <v>عبدالله</v>
          </cell>
          <cell r="E595">
            <v>39524</v>
          </cell>
          <cell r="F595" t="str">
            <v>سفيزف</v>
          </cell>
          <cell r="G595" t="str">
            <v>1ج م ع4</v>
          </cell>
          <cell r="H595" t="str">
            <v>ن/داخلي</v>
          </cell>
          <cell r="I595" t="str">
            <v>ن/د</v>
          </cell>
          <cell r="J595" t="str">
            <v>أحمد</v>
          </cell>
          <cell r="K595" t="str">
            <v>موظف</v>
          </cell>
          <cell r="L595" t="str">
            <v>عين آدن</v>
          </cell>
          <cell r="M595">
            <v>0</v>
          </cell>
          <cell r="N595">
            <v>0</v>
          </cell>
          <cell r="O595" t="str">
            <v>طالبي  أحمد</v>
          </cell>
        </row>
        <row r="596">
          <cell r="A596">
            <v>587</v>
          </cell>
          <cell r="B596" t="str">
            <v>العرباوي   ملوكة</v>
          </cell>
          <cell r="C596" t="str">
            <v xml:space="preserve">العرباوي </v>
          </cell>
          <cell r="D596" t="str">
            <v>ملوكة</v>
          </cell>
          <cell r="E596">
            <v>39789</v>
          </cell>
          <cell r="F596" t="str">
            <v>سفيزف</v>
          </cell>
          <cell r="G596" t="str">
            <v>1ج م ع4</v>
          </cell>
          <cell r="H596" t="str">
            <v>خارجية</v>
          </cell>
          <cell r="I596" t="str">
            <v>خ</v>
          </cell>
          <cell r="J596" t="str">
            <v>محمد</v>
          </cell>
          <cell r="K596" t="str">
            <v>موظف</v>
          </cell>
          <cell r="L596" t="str">
            <v>34حي أوهيبة ميلود سفيزف</v>
          </cell>
          <cell r="M596">
            <v>0</v>
          </cell>
          <cell r="N596">
            <v>0</v>
          </cell>
          <cell r="O596" t="str">
            <v>العرباوي   محمد</v>
          </cell>
        </row>
        <row r="597">
          <cell r="A597">
            <v>588</v>
          </cell>
          <cell r="B597" t="str">
            <v>العياشي   محمد عبد الحليم</v>
          </cell>
          <cell r="C597" t="str">
            <v xml:space="preserve">العياشي </v>
          </cell>
          <cell r="D597" t="str">
            <v>محمد عبد الحليم</v>
          </cell>
          <cell r="E597">
            <v>39692</v>
          </cell>
          <cell r="F597" t="str">
            <v>سفيزف</v>
          </cell>
          <cell r="G597" t="str">
            <v>1ج م ع4</v>
          </cell>
          <cell r="H597" t="str">
            <v>خارجي</v>
          </cell>
          <cell r="I597" t="str">
            <v>خ</v>
          </cell>
          <cell r="J597" t="str">
            <v>جلول</v>
          </cell>
          <cell r="K597" t="str">
            <v>موظف</v>
          </cell>
          <cell r="L597" t="str">
            <v>92حي100سكن سفيزف</v>
          </cell>
          <cell r="M597">
            <v>0</v>
          </cell>
          <cell r="N597">
            <v>0</v>
          </cell>
          <cell r="O597" t="str">
            <v>العياشي   جلول</v>
          </cell>
        </row>
        <row r="598">
          <cell r="A598">
            <v>589</v>
          </cell>
          <cell r="B598" t="str">
            <v>برفاس   أروى</v>
          </cell>
          <cell r="C598" t="str">
            <v xml:space="preserve">برفاس </v>
          </cell>
          <cell r="D598" t="str">
            <v>أروى</v>
          </cell>
          <cell r="E598">
            <v>39936</v>
          </cell>
          <cell r="F598" t="str">
            <v>سفيزف</v>
          </cell>
          <cell r="G598" t="str">
            <v>1ج م ع4</v>
          </cell>
          <cell r="H598" t="str">
            <v>خارجية</v>
          </cell>
          <cell r="I598" t="str">
            <v>خ</v>
          </cell>
          <cell r="J598" t="str">
            <v>عبدالقادر</v>
          </cell>
          <cell r="K598" t="str">
            <v>موظف</v>
          </cell>
          <cell r="L598" t="str">
            <v>12حي72سكن سفيزف</v>
          </cell>
          <cell r="M598">
            <v>0</v>
          </cell>
          <cell r="N598">
            <v>0</v>
          </cell>
          <cell r="O598" t="str">
            <v>برفاس   عبدالقادر</v>
          </cell>
        </row>
        <row r="599">
          <cell r="A599">
            <v>590</v>
          </cell>
          <cell r="B599" t="str">
            <v>بركاني   عبد الناصر</v>
          </cell>
          <cell r="C599" t="str">
            <v xml:space="preserve">بركاني </v>
          </cell>
          <cell r="D599" t="str">
            <v>عبد الناصر</v>
          </cell>
          <cell r="E599">
            <v>39618</v>
          </cell>
          <cell r="F599" t="str">
            <v>س بلعباس</v>
          </cell>
          <cell r="G599" t="str">
            <v>1ج م ع4</v>
          </cell>
          <cell r="H599" t="str">
            <v>خارجي</v>
          </cell>
          <cell r="I599" t="str">
            <v>خ</v>
          </cell>
          <cell r="J599" t="str">
            <v>مختار</v>
          </cell>
          <cell r="K599" t="str">
            <v>عامل</v>
          </cell>
          <cell r="L599" t="str">
            <v>حي214سكن سفيزف</v>
          </cell>
          <cell r="M599">
            <v>0</v>
          </cell>
          <cell r="N599">
            <v>0</v>
          </cell>
          <cell r="O599" t="str">
            <v>بركاني   مختار</v>
          </cell>
        </row>
        <row r="600">
          <cell r="A600">
            <v>591</v>
          </cell>
          <cell r="B600" t="str">
            <v>بلجريوات   آية</v>
          </cell>
          <cell r="C600" t="str">
            <v xml:space="preserve">بلجريوات </v>
          </cell>
          <cell r="D600" t="str">
            <v>آية</v>
          </cell>
          <cell r="E600">
            <v>39676</v>
          </cell>
          <cell r="F600" t="str">
            <v>سفيزف</v>
          </cell>
          <cell r="G600" t="str">
            <v>1ج م ع4</v>
          </cell>
          <cell r="H600" t="str">
            <v>خارجية</v>
          </cell>
          <cell r="I600" t="str">
            <v>خ</v>
          </cell>
          <cell r="J600" t="str">
            <v>معمر</v>
          </cell>
          <cell r="K600" t="str">
            <v>تاجر</v>
          </cell>
          <cell r="L600" t="str">
            <v>شارع أوهيبة ميلود سفيزف</v>
          </cell>
          <cell r="M600">
            <v>0</v>
          </cell>
          <cell r="N600">
            <v>0</v>
          </cell>
          <cell r="O600" t="str">
            <v>بلجريوات   معمر</v>
          </cell>
        </row>
        <row r="601">
          <cell r="A601">
            <v>592</v>
          </cell>
          <cell r="B601" t="str">
            <v>بلعبدلي   عبد الصمد</v>
          </cell>
          <cell r="C601" t="str">
            <v xml:space="preserve">بلعبدلي </v>
          </cell>
          <cell r="D601" t="str">
            <v>عبد الصمد</v>
          </cell>
          <cell r="E601">
            <v>39729</v>
          </cell>
          <cell r="F601" t="str">
            <v>س بلعباس</v>
          </cell>
          <cell r="G601" t="str">
            <v>1ج م ع4</v>
          </cell>
          <cell r="H601" t="str">
            <v>خارجي</v>
          </cell>
          <cell r="I601" t="str">
            <v>خ</v>
          </cell>
          <cell r="J601" t="str">
            <v>محمد</v>
          </cell>
          <cell r="K601" t="str">
            <v>موظف</v>
          </cell>
          <cell r="L601" t="str">
            <v>06حي بوخنفوس مختار سفيزف</v>
          </cell>
          <cell r="M601">
            <v>0</v>
          </cell>
          <cell r="N601">
            <v>0</v>
          </cell>
          <cell r="O601" t="str">
            <v>بلعبدلي   محمد</v>
          </cell>
        </row>
        <row r="602">
          <cell r="A602">
            <v>593</v>
          </cell>
          <cell r="B602" t="str">
            <v>بن بارك   يوسف</v>
          </cell>
          <cell r="C602" t="str">
            <v xml:space="preserve">بن بارك </v>
          </cell>
          <cell r="D602" t="str">
            <v>يوسف</v>
          </cell>
          <cell r="E602">
            <v>39900</v>
          </cell>
          <cell r="F602" t="str">
            <v>سفيزف</v>
          </cell>
          <cell r="G602" t="str">
            <v>1ج م ع4</v>
          </cell>
          <cell r="H602" t="str">
            <v>خارجي</v>
          </cell>
          <cell r="I602" t="str">
            <v>خ</v>
          </cell>
          <cell r="J602" t="str">
            <v>قدور</v>
          </cell>
          <cell r="K602" t="str">
            <v>سائق</v>
          </cell>
          <cell r="L602" t="str">
            <v>مزرعة أوهيبة محي الدين سفيزف</v>
          </cell>
          <cell r="M602">
            <v>0</v>
          </cell>
          <cell r="N602">
            <v>0</v>
          </cell>
          <cell r="O602" t="str">
            <v>بن بارك   قدور</v>
          </cell>
        </row>
        <row r="603">
          <cell r="A603">
            <v>594</v>
          </cell>
          <cell r="B603" t="str">
            <v>بن تخيسي    سماح</v>
          </cell>
          <cell r="C603" t="str">
            <v xml:space="preserve">بن تخيسي </v>
          </cell>
          <cell r="D603" t="str">
            <v xml:space="preserve"> سماح</v>
          </cell>
          <cell r="E603">
            <v>39110</v>
          </cell>
          <cell r="F603" t="str">
            <v>سفيزف</v>
          </cell>
          <cell r="G603" t="str">
            <v>1ج م ع4</v>
          </cell>
          <cell r="H603" t="str">
            <v>خارجية</v>
          </cell>
          <cell r="I603" t="str">
            <v>خ</v>
          </cell>
          <cell r="J603" t="str">
            <v>عبدالقادر</v>
          </cell>
          <cell r="K603" t="str">
            <v>موظف</v>
          </cell>
          <cell r="L603" t="str">
            <v>حي بوهند يحي سفيزف</v>
          </cell>
          <cell r="M603">
            <v>0</v>
          </cell>
          <cell r="N603">
            <v>0</v>
          </cell>
          <cell r="O603" t="str">
            <v>بن تخيسي   عبدالقادر</v>
          </cell>
        </row>
        <row r="604">
          <cell r="A604">
            <v>595</v>
          </cell>
          <cell r="B604" t="str">
            <v>بن عمر   ياسر</v>
          </cell>
          <cell r="C604" t="str">
            <v xml:space="preserve">بن عمر </v>
          </cell>
          <cell r="D604" t="str">
            <v>ياسر</v>
          </cell>
          <cell r="E604">
            <v>39561</v>
          </cell>
          <cell r="F604" t="str">
            <v>سفيزف</v>
          </cell>
          <cell r="G604" t="str">
            <v>1ج م ع4</v>
          </cell>
          <cell r="H604" t="str">
            <v>خارجي</v>
          </cell>
          <cell r="I604" t="str">
            <v>خ</v>
          </cell>
          <cell r="J604" t="str">
            <v>أحمد</v>
          </cell>
          <cell r="K604" t="str">
            <v>موظف</v>
          </cell>
          <cell r="L604" t="str">
            <v>حي بوخنفوس مختار سفيزف</v>
          </cell>
          <cell r="M604">
            <v>0</v>
          </cell>
          <cell r="N604">
            <v>0</v>
          </cell>
          <cell r="O604" t="str">
            <v>بن عمر   أحمد</v>
          </cell>
        </row>
        <row r="605">
          <cell r="A605">
            <v>596</v>
          </cell>
          <cell r="B605" t="str">
            <v>بوبندير   صادق</v>
          </cell>
          <cell r="C605" t="str">
            <v xml:space="preserve">بوبندير </v>
          </cell>
          <cell r="D605" t="str">
            <v>صادق</v>
          </cell>
          <cell r="E605">
            <v>39587</v>
          </cell>
          <cell r="F605" t="str">
            <v>سفيزف</v>
          </cell>
          <cell r="G605" t="str">
            <v>1ج م ع4</v>
          </cell>
          <cell r="H605" t="str">
            <v>خارجي</v>
          </cell>
          <cell r="I605" t="str">
            <v>خ</v>
          </cell>
          <cell r="J605" t="str">
            <v>لعبان</v>
          </cell>
          <cell r="K605" t="str">
            <v>لا شئ</v>
          </cell>
          <cell r="L605" t="str">
            <v>حي100سكن سفيزف</v>
          </cell>
          <cell r="M605">
            <v>0</v>
          </cell>
          <cell r="N605">
            <v>0</v>
          </cell>
          <cell r="O605" t="str">
            <v>بوبندير   لعبان</v>
          </cell>
        </row>
        <row r="606">
          <cell r="A606">
            <v>597</v>
          </cell>
          <cell r="B606" t="str">
            <v>بوجرار   هاجر أمينة</v>
          </cell>
          <cell r="C606" t="str">
            <v xml:space="preserve">بوجرار </v>
          </cell>
          <cell r="D606" t="str">
            <v>هاجر أمينة</v>
          </cell>
          <cell r="E606">
            <v>39678</v>
          </cell>
          <cell r="F606" t="str">
            <v>سفيزف</v>
          </cell>
          <cell r="G606" t="str">
            <v>1ج م ع4</v>
          </cell>
          <cell r="H606" t="str">
            <v>خارجية</v>
          </cell>
          <cell r="I606" t="str">
            <v>خ</v>
          </cell>
          <cell r="J606" t="str">
            <v>لخضر</v>
          </cell>
          <cell r="K606" t="str">
            <v>متقاعد</v>
          </cell>
          <cell r="L606" t="str">
            <v>57شارع بوخنفوس مختار سفيزف</v>
          </cell>
          <cell r="M606">
            <v>0</v>
          </cell>
          <cell r="N606">
            <v>0</v>
          </cell>
          <cell r="O606" t="str">
            <v>بوجرار   لخضر</v>
          </cell>
        </row>
        <row r="607">
          <cell r="A607">
            <v>598</v>
          </cell>
          <cell r="B607" t="str">
            <v>بوزيان   عبد المالك</v>
          </cell>
          <cell r="C607" t="str">
            <v xml:space="preserve">بوزيان </v>
          </cell>
          <cell r="D607" t="str">
            <v>عبد المالك</v>
          </cell>
          <cell r="E607">
            <v>39281</v>
          </cell>
          <cell r="F607" t="str">
            <v>سفيزف</v>
          </cell>
          <cell r="G607" t="str">
            <v>1ج م ع4</v>
          </cell>
          <cell r="H607" t="str">
            <v>خارجي</v>
          </cell>
          <cell r="I607" t="str">
            <v>خ</v>
          </cell>
          <cell r="J607" t="str">
            <v>مصطفى</v>
          </cell>
          <cell r="K607" t="str">
            <v>لا شئ</v>
          </cell>
          <cell r="L607" t="str">
            <v>شارع أوهيبة ميلود سفيزف</v>
          </cell>
          <cell r="M607">
            <v>0</v>
          </cell>
          <cell r="N607">
            <v>0</v>
          </cell>
          <cell r="O607" t="str">
            <v>بوزيان   مصطفى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المواطبة"/>
      <sheetName val="etat"/>
      <sheetName val="اس"/>
      <sheetName val="الاحـــد"/>
      <sheetName val="الاثنين"/>
      <sheetName val="الثلاثاء"/>
      <sheetName val="الاربعاء"/>
      <sheetName val="الخميس"/>
      <sheetName val="Feuil1"/>
      <sheetName val="Feuil3"/>
      <sheetName val="الرجوع"/>
      <sheetName val="الشطب"/>
      <sheetName val="نعداد"/>
      <sheetName val="النقرير"/>
    </sheetNames>
    <sheetDataSet>
      <sheetData sheetId="0"/>
      <sheetData sheetId="1"/>
      <sheetData sheetId="2">
        <row r="3">
          <cell r="S3">
            <v>1</v>
          </cell>
          <cell r="T3" t="str">
            <v xml:space="preserve">ندوة </v>
          </cell>
          <cell r="U3" t="str">
            <v>رخصة</v>
          </cell>
          <cell r="V3">
            <v>1</v>
          </cell>
          <cell r="W3" t="str">
            <v>بلعياشي زواوي</v>
          </cell>
          <cell r="X3" t="str">
            <v>رزوق نسيمة</v>
          </cell>
        </row>
        <row r="4">
          <cell r="S4">
            <v>2</v>
          </cell>
          <cell r="T4" t="str">
            <v>وفاة الأب</v>
          </cell>
          <cell r="U4" t="str">
            <v>لم يلتحق</v>
          </cell>
          <cell r="V4">
            <v>2</v>
          </cell>
          <cell r="W4" t="str">
            <v>بن يوسف سيد احمد</v>
          </cell>
          <cell r="X4">
            <v>0</v>
          </cell>
        </row>
        <row r="5">
          <cell r="S5">
            <v>3</v>
          </cell>
          <cell r="T5" t="str">
            <v>ع,مرضية</v>
          </cell>
          <cell r="U5" t="str">
            <v>لم تلتحق</v>
          </cell>
          <cell r="V5">
            <v>3</v>
          </cell>
          <cell r="W5" t="str">
            <v>مكيكة مولاي</v>
          </cell>
          <cell r="X5">
            <v>0</v>
          </cell>
        </row>
        <row r="6">
          <cell r="S6">
            <v>4</v>
          </cell>
          <cell r="T6" t="str">
            <v>تأخر</v>
          </cell>
          <cell r="U6" t="str">
            <v>مرض</v>
          </cell>
          <cell r="V6">
            <v>4</v>
          </cell>
          <cell r="W6" t="str">
            <v>مولقعدة سميرة</v>
          </cell>
          <cell r="X6">
            <v>0</v>
          </cell>
        </row>
        <row r="7">
          <cell r="S7">
            <v>5</v>
          </cell>
          <cell r="T7" t="str">
            <v>.</v>
          </cell>
          <cell r="U7" t="str">
            <v>.</v>
          </cell>
          <cell r="V7">
            <v>5</v>
          </cell>
          <cell r="W7" t="str">
            <v>تيرس جميلة</v>
          </cell>
          <cell r="X7">
            <v>0</v>
          </cell>
        </row>
        <row r="8">
          <cell r="S8">
            <v>6</v>
          </cell>
          <cell r="T8" t="str">
            <v>لجنة تثبيت</v>
          </cell>
          <cell r="U8" t="str">
            <v>وفاة</v>
          </cell>
          <cell r="V8">
            <v>6</v>
          </cell>
          <cell r="W8" t="str">
            <v>مرداس عبدالقادر</v>
          </cell>
          <cell r="X8">
            <v>0</v>
          </cell>
        </row>
        <row r="9">
          <cell r="S9">
            <v>7</v>
          </cell>
          <cell r="T9" t="str">
            <v>مرض</v>
          </cell>
          <cell r="U9" t="str">
            <v>معفاة من ت,ب,ر</v>
          </cell>
          <cell r="V9">
            <v>7</v>
          </cell>
          <cell r="W9">
            <v>0</v>
          </cell>
          <cell r="X9">
            <v>0</v>
          </cell>
        </row>
        <row r="10">
          <cell r="S10">
            <v>8</v>
          </cell>
          <cell r="T10" t="str">
            <v>ش ط</v>
          </cell>
          <cell r="U10" t="str">
            <v>لم تلتحق</v>
          </cell>
          <cell r="V10">
            <v>8</v>
          </cell>
          <cell r="W10">
            <v>0</v>
          </cell>
          <cell r="X10">
            <v>0</v>
          </cell>
        </row>
        <row r="11">
          <cell r="S11">
            <v>9</v>
          </cell>
          <cell r="T11" t="str">
            <v>ع.أمومة</v>
          </cell>
          <cell r="U11" t="str">
            <v>ش,م, بالمستشفى</v>
          </cell>
          <cell r="V11">
            <v>9</v>
          </cell>
          <cell r="W11">
            <v>0</v>
          </cell>
          <cell r="X11">
            <v>0</v>
          </cell>
        </row>
        <row r="12">
          <cell r="S12">
            <v>10</v>
          </cell>
          <cell r="T12" t="str">
            <v>ع.أبوية</v>
          </cell>
          <cell r="U12" t="str">
            <v>ش ط 15ي</v>
          </cell>
          <cell r="V12">
            <v>10</v>
          </cell>
          <cell r="W12">
            <v>0</v>
          </cell>
          <cell r="X12">
            <v>0</v>
          </cell>
        </row>
        <row r="13">
          <cell r="S13">
            <v>11</v>
          </cell>
          <cell r="T13" t="str">
            <v>منصب شاغر</v>
          </cell>
          <cell r="U13" t="str">
            <v>ش ط 30ي</v>
          </cell>
          <cell r="V13">
            <v>11</v>
          </cell>
          <cell r="W13">
            <v>0</v>
          </cell>
          <cell r="X13">
            <v>0</v>
          </cell>
        </row>
        <row r="14">
          <cell r="S14">
            <v>12</v>
          </cell>
          <cell r="T14" t="str">
            <v>بطلب</v>
          </cell>
          <cell r="U14" t="str">
            <v>طرد</v>
          </cell>
          <cell r="V14">
            <v>12</v>
          </cell>
          <cell r="W14">
            <v>0</v>
          </cell>
          <cell r="X14">
            <v>0</v>
          </cell>
        </row>
        <row r="15">
          <cell r="S15">
            <v>13</v>
          </cell>
          <cell r="T15" t="str">
            <v>ملتقى</v>
          </cell>
          <cell r="U15" t="str">
            <v>عقوبة</v>
          </cell>
          <cell r="V15">
            <v>13</v>
          </cell>
          <cell r="W15">
            <v>0</v>
          </cell>
        </row>
        <row r="16">
          <cell r="S16">
            <v>14</v>
          </cell>
          <cell r="T16" t="str">
            <v>ع /لجنة تثبيت</v>
          </cell>
          <cell r="U16" t="str">
            <v>ش.م.بالمستشفى</v>
          </cell>
          <cell r="V16">
            <v>14</v>
          </cell>
          <cell r="W16">
            <v>0</v>
          </cell>
        </row>
        <row r="17">
          <cell r="S17">
            <v>15</v>
          </cell>
          <cell r="T17" t="str">
            <v>وفاة</v>
          </cell>
          <cell r="U17" t="str">
            <v xml:space="preserve">ش ط </v>
          </cell>
          <cell r="V17">
            <v>15</v>
          </cell>
          <cell r="W17">
            <v>0</v>
          </cell>
        </row>
        <row r="18">
          <cell r="S18">
            <v>16</v>
          </cell>
          <cell r="T18" t="str">
            <v>وفـاة الام</v>
          </cell>
          <cell r="U18" t="str">
            <v>ش ط 15ي</v>
          </cell>
          <cell r="V18">
            <v>16</v>
          </cell>
          <cell r="W18">
            <v>0</v>
          </cell>
        </row>
        <row r="19">
          <cell r="S19">
            <v>17</v>
          </cell>
          <cell r="T19" t="str">
            <v>تعويض.أ.مغربي</v>
          </cell>
          <cell r="U19" t="str">
            <v>ش ط 60ي</v>
          </cell>
          <cell r="V19">
            <v>17</v>
          </cell>
          <cell r="W19">
            <v>0</v>
          </cell>
        </row>
        <row r="20">
          <cell r="S20">
            <v>18</v>
          </cell>
          <cell r="T20" t="str">
            <v>مع التعويض</v>
          </cell>
          <cell r="U20" t="str">
            <v>ش ط 21ي</v>
          </cell>
          <cell r="V20">
            <v>18</v>
          </cell>
          <cell r="W20">
            <v>0</v>
          </cell>
        </row>
        <row r="21">
          <cell r="S21">
            <v>19</v>
          </cell>
          <cell r="T21" t="str">
            <v>مرض</v>
          </cell>
          <cell r="U21" t="str">
            <v>ن ش ط 11/10</v>
          </cell>
          <cell r="V21">
            <v>19</v>
          </cell>
          <cell r="W21">
            <v>0</v>
          </cell>
        </row>
        <row r="22">
          <cell r="S22">
            <v>20</v>
          </cell>
          <cell r="T22" t="str">
            <v>وفاة الخال</v>
          </cell>
          <cell r="U22" t="str">
            <v>ش ط 15ي</v>
          </cell>
          <cell r="V22">
            <v>20</v>
          </cell>
          <cell r="W22">
            <v>0</v>
          </cell>
        </row>
        <row r="23">
          <cell r="S23">
            <v>21</v>
          </cell>
          <cell r="T23" t="str">
            <v>مناقشة</v>
          </cell>
          <cell r="U23" t="str">
            <v>ش ط 22ي</v>
          </cell>
          <cell r="V23">
            <v>21</v>
          </cell>
          <cell r="W23">
            <v>0</v>
          </cell>
        </row>
        <row r="24">
          <cell r="S24">
            <v>22</v>
          </cell>
          <cell r="T24" t="str">
            <v>موعد مع الطبيب</v>
          </cell>
          <cell r="U24" t="str">
            <v xml:space="preserve">هروب </v>
          </cell>
          <cell r="V24">
            <v>22</v>
          </cell>
          <cell r="W24">
            <v>0</v>
          </cell>
        </row>
        <row r="25">
          <cell r="S25">
            <v>23</v>
          </cell>
          <cell r="T25" t="str">
            <v>عوضت</v>
          </cell>
          <cell r="U25" t="str">
            <v>مرض الزكام</v>
          </cell>
          <cell r="V25">
            <v>0</v>
          </cell>
          <cell r="W25">
            <v>0</v>
          </cell>
        </row>
        <row r="26">
          <cell r="S26">
            <v>24</v>
          </cell>
          <cell r="T26" t="str">
            <v>منافسة رياضية</v>
          </cell>
          <cell r="U26">
            <v>0</v>
          </cell>
          <cell r="V26">
            <v>0</v>
          </cell>
          <cell r="W26">
            <v>0</v>
          </cell>
        </row>
        <row r="27"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  <sheetName val="f2"/>
      <sheetName val="الخارجية"/>
      <sheetName val="غ خارجية"/>
      <sheetName val="داخلية"/>
      <sheetName val="غ داخلية"/>
      <sheetName val="غيابات"/>
      <sheetName val="f3"/>
      <sheetName val="Feuil2"/>
      <sheetName val="Lang"/>
      <sheetName val="Fonc"/>
      <sheetName val="List (2)"/>
      <sheetName val="المفتش"/>
      <sheetName val="Feuil1 (2)"/>
      <sheetName val="Effec"/>
      <sheetName val="P.Cla (2)"/>
      <sheetName val="P.Pro (2)"/>
      <sheetName val="Parti1"/>
      <sheetName val="قائمة أ"/>
      <sheetName val="P.Cla"/>
      <sheetName val="Feuil7"/>
      <sheetName val="ح القسم (2)"/>
      <sheetName val="V.H"/>
      <sheetName val="قسم (2)"/>
      <sheetName val="تكنو"/>
      <sheetName val="إسناد"/>
      <sheetName val="Emploi"/>
      <sheetName val="T-P"/>
      <sheetName val="ح قسم"/>
      <sheetName val="Class"/>
      <sheetName val="P.Cla (3)"/>
      <sheetName val="ح الأستا"/>
      <sheetName val="Techno"/>
      <sheetName val="ح أستا"/>
      <sheetName val="P.PROF"/>
      <sheetName val="ح اختصاص"/>
      <sheetName val="متنقلة"/>
      <sheetName val="Feuil4"/>
      <sheetName val="ح قاعة"/>
      <sheetName val="Feuil8"/>
      <sheetName val="P.Pro"/>
      <sheetName val="تكنولو"/>
      <sheetName val="القوائم"/>
      <sheetName val="خدمات"/>
      <sheetName val="مواقيت"/>
      <sheetName val="Fonction"/>
      <sheetName val="Techno2"/>
      <sheetName val="أستا"/>
      <sheetName val="Feuil6"/>
      <sheetName val="خدمات-4"/>
      <sheetName val="خدمات+6"/>
      <sheetName val="13a"/>
      <sheetName val="تكنولوجيا (2)"/>
      <sheetName val="Techno1"/>
      <sheetName val="Feuil3"/>
      <sheetName val="Feuil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المواطبة"/>
      <sheetName val="f2"/>
      <sheetName val="الاحـــد"/>
      <sheetName val="غ خارجية"/>
      <sheetName val="داخلية"/>
      <sheetName val="غ داخلية"/>
      <sheetName val="اس"/>
      <sheetName val="Feuil3"/>
      <sheetName val="الاثنين"/>
      <sheetName val="اثلاثاء"/>
      <sheetName val="الاربعاء"/>
      <sheetName val="الخميس"/>
      <sheetName val="الرجوع"/>
      <sheetName val="Feuil2"/>
      <sheetName val="شطب"/>
    </sheetNames>
    <sheetDataSet>
      <sheetData sheetId="0"/>
      <sheetData sheetId="1">
        <row r="8">
          <cell r="A8">
            <v>1</v>
          </cell>
          <cell r="B8" t="str">
            <v>بكري  إلهام</v>
          </cell>
          <cell r="C8" t="str">
            <v>بكري</v>
          </cell>
          <cell r="D8" t="str">
            <v>إلهام</v>
          </cell>
          <cell r="E8">
            <v>36593</v>
          </cell>
          <cell r="F8" t="str">
            <v>س بلعباس</v>
          </cell>
          <cell r="G8" t="str">
            <v>3ت ر</v>
          </cell>
          <cell r="H8" t="str">
            <v>داخلية</v>
          </cell>
          <cell r="I8" t="str">
            <v>د</v>
          </cell>
          <cell r="J8" t="str">
            <v>عبدالقادر</v>
          </cell>
          <cell r="K8" t="str">
            <v>بكري  عبدالقادر</v>
          </cell>
          <cell r="L8" t="str">
            <v>بناء</v>
          </cell>
          <cell r="M8" t="str">
            <v>دوار الخلايطية تلموني</v>
          </cell>
          <cell r="N8" t="str">
            <v>بلعياشي زواوي</v>
          </cell>
          <cell r="O8" t="str">
            <v>حي27 سكن سفيزف</v>
          </cell>
        </row>
        <row r="9">
          <cell r="A9">
            <v>2</v>
          </cell>
          <cell r="B9" t="str">
            <v>عدوني  إكرام</v>
          </cell>
          <cell r="C9" t="str">
            <v>عدوني</v>
          </cell>
          <cell r="D9" t="str">
            <v>إكرام</v>
          </cell>
          <cell r="E9">
            <v>36896</v>
          </cell>
          <cell r="F9" t="str">
            <v>سفيزف</v>
          </cell>
          <cell r="G9" t="str">
            <v>3ت ر</v>
          </cell>
          <cell r="H9" t="str">
            <v>ن داخلية</v>
          </cell>
          <cell r="I9" t="str">
            <v>ن/د</v>
          </cell>
          <cell r="J9" t="str">
            <v>عبدالقادر</v>
          </cell>
          <cell r="K9" t="str">
            <v>عدوني  عبدالقادر</v>
          </cell>
          <cell r="L9" t="str">
            <v>لا شئ</v>
          </cell>
          <cell r="M9" t="str">
            <v>عين آدن</v>
          </cell>
        </row>
        <row r="10">
          <cell r="A10">
            <v>3</v>
          </cell>
          <cell r="B10" t="str">
            <v>العرباوي  نورالإيمان</v>
          </cell>
          <cell r="C10" t="str">
            <v>العرباوي</v>
          </cell>
          <cell r="D10" t="str">
            <v>نورالإيمان</v>
          </cell>
          <cell r="E10">
            <v>36810</v>
          </cell>
          <cell r="F10" t="str">
            <v>س بلعباس</v>
          </cell>
          <cell r="G10" t="str">
            <v>3ت ر</v>
          </cell>
          <cell r="H10" t="str">
            <v>خارجية</v>
          </cell>
          <cell r="I10" t="str">
            <v>خ</v>
          </cell>
          <cell r="J10" t="str">
            <v>بوعلام</v>
          </cell>
          <cell r="K10" t="str">
            <v>العرباوي  بوعلام</v>
          </cell>
          <cell r="L10" t="str">
            <v>لا شئ</v>
          </cell>
          <cell r="M10" t="str">
            <v>حي 27 سكن سفيزف</v>
          </cell>
        </row>
        <row r="11">
          <cell r="A11">
            <v>4</v>
          </cell>
          <cell r="B11" t="str">
            <v>بن كلخة  رجاء هبة الله</v>
          </cell>
          <cell r="C11" t="str">
            <v>بن كلخة</v>
          </cell>
          <cell r="D11" t="str">
            <v>رجاء هبة الله</v>
          </cell>
          <cell r="E11">
            <v>36910</v>
          </cell>
          <cell r="F11" t="str">
            <v>سفيزف</v>
          </cell>
          <cell r="G11" t="str">
            <v>3ت ر</v>
          </cell>
          <cell r="H11" t="str">
            <v>خارجية</v>
          </cell>
          <cell r="I11" t="str">
            <v>خ</v>
          </cell>
          <cell r="J11" t="str">
            <v>بومدين</v>
          </cell>
          <cell r="K11" t="str">
            <v>بن كلخة  بومدين</v>
          </cell>
          <cell r="L11" t="str">
            <v>متقاعد</v>
          </cell>
          <cell r="M11" t="str">
            <v>حي 27 سكن سفيزف</v>
          </cell>
        </row>
        <row r="12">
          <cell r="A12">
            <v>5</v>
          </cell>
          <cell r="B12" t="str">
            <v>كرناف  رجاء</v>
          </cell>
          <cell r="C12" t="str">
            <v>كرناف</v>
          </cell>
          <cell r="D12" t="str">
            <v>رجاء</v>
          </cell>
          <cell r="E12">
            <v>36795</v>
          </cell>
          <cell r="F12" t="str">
            <v>سفيزف</v>
          </cell>
          <cell r="G12" t="str">
            <v>3ت ر</v>
          </cell>
          <cell r="H12" t="str">
            <v>خارجية</v>
          </cell>
          <cell r="I12" t="str">
            <v>خ</v>
          </cell>
          <cell r="J12" t="str">
            <v>معاشو</v>
          </cell>
          <cell r="K12" t="str">
            <v>كرناف  معاشو</v>
          </cell>
          <cell r="L12" t="str">
            <v>ممرض</v>
          </cell>
          <cell r="M12" t="str">
            <v>حي 216 سكن سفيزف</v>
          </cell>
        </row>
        <row r="13">
          <cell r="A13">
            <v>6</v>
          </cell>
          <cell r="B13" t="str">
            <v>هلال  شيماء</v>
          </cell>
          <cell r="C13" t="str">
            <v>هلال</v>
          </cell>
          <cell r="D13" t="str">
            <v>شيماء</v>
          </cell>
          <cell r="E13">
            <v>36651</v>
          </cell>
          <cell r="F13" t="str">
            <v>وهران</v>
          </cell>
          <cell r="G13" t="str">
            <v>3ت ر</v>
          </cell>
          <cell r="H13" t="str">
            <v>خارجية</v>
          </cell>
          <cell r="I13" t="str">
            <v>خ</v>
          </cell>
          <cell r="J13" t="str">
            <v>عبدالقادر</v>
          </cell>
          <cell r="K13" t="str">
            <v>هلال  عبدالقادر</v>
          </cell>
          <cell r="L13" t="str">
            <v>عامل</v>
          </cell>
          <cell r="M13" t="str">
            <v>حي 216 سكن سفيزف</v>
          </cell>
        </row>
        <row r="14">
          <cell r="A14">
            <v>7</v>
          </cell>
          <cell r="B14" t="str">
            <v>بلفكرون  أيمن</v>
          </cell>
          <cell r="C14" t="str">
            <v>بلفكرون</v>
          </cell>
          <cell r="D14" t="str">
            <v>أيمن</v>
          </cell>
          <cell r="E14">
            <v>36736</v>
          </cell>
          <cell r="F14" t="str">
            <v>س بلعباس</v>
          </cell>
          <cell r="G14" t="str">
            <v>3ت ر</v>
          </cell>
          <cell r="H14" t="str">
            <v>خارجي</v>
          </cell>
          <cell r="I14" t="str">
            <v>خ</v>
          </cell>
          <cell r="J14" t="str">
            <v>أحمد</v>
          </cell>
          <cell r="K14" t="str">
            <v>بلفكرون  أحمد</v>
          </cell>
          <cell r="L14" t="str">
            <v>معلم</v>
          </cell>
          <cell r="M14" t="str">
            <v>حي 141 سكن سفيزف</v>
          </cell>
        </row>
        <row r="15">
          <cell r="A15">
            <v>8</v>
          </cell>
          <cell r="B15" t="str">
            <v>طالبي  محمد عبدالرحمان</v>
          </cell>
          <cell r="C15" t="str">
            <v>طالبي</v>
          </cell>
          <cell r="D15" t="str">
            <v>محمد عبدالرحمان</v>
          </cell>
          <cell r="E15">
            <v>36880</v>
          </cell>
          <cell r="F15" t="str">
            <v>سفيزف</v>
          </cell>
          <cell r="G15" t="str">
            <v>3ت ر</v>
          </cell>
          <cell r="H15" t="str">
            <v>خارجي</v>
          </cell>
          <cell r="I15" t="str">
            <v>خ</v>
          </cell>
          <cell r="J15" t="str">
            <v>خالد</v>
          </cell>
          <cell r="K15" t="str">
            <v>طالبي  خالد</v>
          </cell>
          <cell r="L15" t="str">
            <v>ممرض</v>
          </cell>
          <cell r="M15" t="str">
            <v>حي 216 سكن سفيزف</v>
          </cell>
        </row>
        <row r="16">
          <cell r="A16">
            <v>9</v>
          </cell>
          <cell r="B16" t="str">
            <v>مزيان  مصعب صلاح الدين</v>
          </cell>
          <cell r="C16" t="str">
            <v>مزيان</v>
          </cell>
          <cell r="D16" t="str">
            <v>مصعب صلاح الدين</v>
          </cell>
          <cell r="E16">
            <v>36898</v>
          </cell>
          <cell r="F16" t="str">
            <v>س بلعباس</v>
          </cell>
          <cell r="G16" t="str">
            <v>3ت ر</v>
          </cell>
          <cell r="H16" t="str">
            <v>خارجي</v>
          </cell>
          <cell r="I16" t="str">
            <v>خ</v>
          </cell>
          <cell r="J16" t="str">
            <v>بومدين</v>
          </cell>
          <cell r="K16" t="str">
            <v>مزيان  بومدين</v>
          </cell>
          <cell r="L16" t="str">
            <v>مدير</v>
          </cell>
          <cell r="M16" t="str">
            <v>متوسطة شباني عبدالقادر سفيزف</v>
          </cell>
          <cell r="O16" t="str">
            <v>غ/م08/10/2017</v>
          </cell>
        </row>
        <row r="17">
          <cell r="A17">
            <v>10</v>
          </cell>
          <cell r="B17" t="str">
            <v>عوني  عائشة نريمان</v>
          </cell>
          <cell r="C17" t="str">
            <v>عوني</v>
          </cell>
          <cell r="D17" t="str">
            <v>عائشة نريمان</v>
          </cell>
          <cell r="E17">
            <v>36819</v>
          </cell>
          <cell r="F17" t="str">
            <v>س بلعباس</v>
          </cell>
          <cell r="G17" t="str">
            <v>3ع ت1</v>
          </cell>
          <cell r="H17" t="str">
            <v>داخلية</v>
          </cell>
          <cell r="I17" t="str">
            <v>د</v>
          </cell>
          <cell r="J17" t="str">
            <v>مختار</v>
          </cell>
          <cell r="K17" t="str">
            <v>عوني  مختار</v>
          </cell>
          <cell r="L17" t="str">
            <v>لا شئ</v>
          </cell>
          <cell r="M17" t="str">
            <v>واد المبطوح</v>
          </cell>
          <cell r="N17" t="str">
            <v>شجعي ميلود</v>
          </cell>
          <cell r="O17" t="str">
            <v>حي 506 سكن سفيزف</v>
          </cell>
        </row>
        <row r="18">
          <cell r="A18">
            <v>11</v>
          </cell>
          <cell r="B18" t="str">
            <v>ميمون  سهام</v>
          </cell>
          <cell r="C18" t="str">
            <v>ميمون</v>
          </cell>
          <cell r="D18" t="str">
            <v>سهام</v>
          </cell>
          <cell r="E18">
            <v>36555</v>
          </cell>
          <cell r="F18" t="str">
            <v>س بلعباس</v>
          </cell>
          <cell r="G18" t="str">
            <v>3ع ت1</v>
          </cell>
          <cell r="H18" t="str">
            <v>داخلية</v>
          </cell>
          <cell r="I18" t="str">
            <v>د</v>
          </cell>
          <cell r="J18" t="str">
            <v>عبدالقادر</v>
          </cell>
          <cell r="K18" t="str">
            <v>ميمون  عبدالقادر</v>
          </cell>
          <cell r="L18" t="str">
            <v>بناء</v>
          </cell>
          <cell r="M18" t="str">
            <v>واد المبطوح</v>
          </cell>
          <cell r="N18" t="str">
            <v>عشي ميلود</v>
          </cell>
          <cell r="O18" t="str">
            <v>17نهج صلاة بومدين سفيزف</v>
          </cell>
        </row>
        <row r="19">
          <cell r="A19">
            <v>12</v>
          </cell>
          <cell r="B19" t="str">
            <v>البحري  أمينة</v>
          </cell>
          <cell r="C19" t="str">
            <v>البحري</v>
          </cell>
          <cell r="D19" t="str">
            <v>أمينة</v>
          </cell>
          <cell r="E19">
            <v>36372</v>
          </cell>
          <cell r="F19" t="str">
            <v>سفيزف</v>
          </cell>
          <cell r="G19" t="str">
            <v>3ع ت1</v>
          </cell>
          <cell r="H19" t="str">
            <v>ن داخلية</v>
          </cell>
          <cell r="I19" t="str">
            <v>ن/د</v>
          </cell>
          <cell r="J19" t="str">
            <v>عبدالرحمن</v>
          </cell>
          <cell r="K19" t="str">
            <v>البحري  عبدالرحمن</v>
          </cell>
          <cell r="L19" t="str">
            <v>لا شئ</v>
          </cell>
          <cell r="M19" t="str">
            <v>عين آدن</v>
          </cell>
        </row>
        <row r="20">
          <cell r="A20">
            <v>13</v>
          </cell>
          <cell r="B20" t="str">
            <v>بوهند  إكرام</v>
          </cell>
          <cell r="C20" t="str">
            <v>بوهند</v>
          </cell>
          <cell r="D20" t="str">
            <v>إكرام</v>
          </cell>
          <cell r="E20">
            <v>36840</v>
          </cell>
          <cell r="F20" t="str">
            <v>سفيزف</v>
          </cell>
          <cell r="G20" t="str">
            <v>3ع ت1</v>
          </cell>
          <cell r="H20" t="str">
            <v>ن داخلية</v>
          </cell>
          <cell r="I20" t="str">
            <v>ن/د</v>
          </cell>
          <cell r="J20" t="str">
            <v>مختار</v>
          </cell>
          <cell r="K20" t="str">
            <v>بوهند  مختار</v>
          </cell>
          <cell r="L20" t="str">
            <v>بناء</v>
          </cell>
          <cell r="M20" t="str">
            <v>عين آدن</v>
          </cell>
        </row>
        <row r="21">
          <cell r="A21">
            <v>14</v>
          </cell>
          <cell r="B21" t="str">
            <v>خيدي  عمارية</v>
          </cell>
          <cell r="C21" t="str">
            <v>خيدي</v>
          </cell>
          <cell r="D21" t="str">
            <v>عمارية</v>
          </cell>
          <cell r="E21">
            <v>36522</v>
          </cell>
          <cell r="F21" t="str">
            <v>بن باديس</v>
          </cell>
          <cell r="G21" t="str">
            <v>3ع ت1</v>
          </cell>
          <cell r="H21" t="str">
            <v>ن داخلية</v>
          </cell>
          <cell r="I21" t="str">
            <v>ن/د</v>
          </cell>
          <cell r="J21" t="str">
            <v>طبيب</v>
          </cell>
          <cell r="K21" t="str">
            <v>خيدي  طبيب</v>
          </cell>
          <cell r="L21" t="str">
            <v>متوفي</v>
          </cell>
          <cell r="M21" t="str">
            <v>مقطع دار سبع  عين ادن</v>
          </cell>
        </row>
        <row r="22">
          <cell r="A22">
            <v>15</v>
          </cell>
          <cell r="B22" t="str">
            <v>مطموس  جميلة</v>
          </cell>
          <cell r="C22" t="str">
            <v>مطموس</v>
          </cell>
          <cell r="D22" t="str">
            <v>جميلة</v>
          </cell>
          <cell r="E22">
            <v>36713</v>
          </cell>
          <cell r="F22" t="str">
            <v>سفيزف</v>
          </cell>
          <cell r="G22" t="str">
            <v>3ع ت1</v>
          </cell>
          <cell r="H22" t="str">
            <v>ن داخلية</v>
          </cell>
          <cell r="I22" t="str">
            <v>ن/د</v>
          </cell>
          <cell r="J22" t="str">
            <v>بن عمر</v>
          </cell>
          <cell r="K22" t="str">
            <v>مطموس  بن عمر</v>
          </cell>
          <cell r="L22" t="str">
            <v>تاجر</v>
          </cell>
          <cell r="M22" t="str">
            <v>عين آدن</v>
          </cell>
        </row>
        <row r="23">
          <cell r="A23">
            <v>16</v>
          </cell>
          <cell r="B23" t="str">
            <v>بركاني  مروة</v>
          </cell>
          <cell r="C23" t="str">
            <v>بركاني</v>
          </cell>
          <cell r="D23" t="str">
            <v>مروة</v>
          </cell>
          <cell r="E23">
            <v>36394</v>
          </cell>
          <cell r="F23" t="str">
            <v>سفيزف</v>
          </cell>
          <cell r="G23" t="str">
            <v>3ع ت1</v>
          </cell>
          <cell r="H23" t="str">
            <v>خارجية</v>
          </cell>
          <cell r="I23" t="str">
            <v>خ</v>
          </cell>
          <cell r="J23" t="str">
            <v>مختار</v>
          </cell>
          <cell r="K23" t="str">
            <v>بركاني  مختار</v>
          </cell>
          <cell r="L23" t="str">
            <v>عامل</v>
          </cell>
          <cell r="M23" t="str">
            <v>حي 214سكن سفيزف</v>
          </cell>
        </row>
        <row r="24">
          <cell r="A24">
            <v>17</v>
          </cell>
          <cell r="B24" t="str">
            <v>بلقمري  أحلام</v>
          </cell>
          <cell r="C24" t="str">
            <v>بلقمري</v>
          </cell>
          <cell r="D24" t="str">
            <v>أحلام</v>
          </cell>
          <cell r="E24">
            <v>36955</v>
          </cell>
          <cell r="F24" t="str">
            <v>سفيزف</v>
          </cell>
          <cell r="G24" t="str">
            <v>3ع ت1</v>
          </cell>
          <cell r="H24" t="str">
            <v>خارجية</v>
          </cell>
          <cell r="I24" t="str">
            <v>خ</v>
          </cell>
          <cell r="J24" t="str">
            <v>نورالدين</v>
          </cell>
          <cell r="K24" t="str">
            <v>بلقمري  نورالدين</v>
          </cell>
          <cell r="L24" t="str">
            <v>موظف</v>
          </cell>
          <cell r="M24" t="str">
            <v>حي 141 سكن سفيزف</v>
          </cell>
        </row>
        <row r="25">
          <cell r="A25">
            <v>18</v>
          </cell>
          <cell r="B25" t="str">
            <v>بوخالفة  هند رانيا</v>
          </cell>
          <cell r="C25" t="str">
            <v>بوخالفة</v>
          </cell>
          <cell r="D25" t="str">
            <v>هند رانيا</v>
          </cell>
          <cell r="E25">
            <v>36794</v>
          </cell>
          <cell r="F25" t="str">
            <v>وهران</v>
          </cell>
          <cell r="G25" t="str">
            <v>3ع ت1</v>
          </cell>
          <cell r="H25" t="str">
            <v>خارجية</v>
          </cell>
          <cell r="I25" t="str">
            <v>خ</v>
          </cell>
          <cell r="J25" t="str">
            <v>العربي</v>
          </cell>
          <cell r="K25" t="str">
            <v>بوخالفة  العربي</v>
          </cell>
          <cell r="L25" t="str">
            <v>متقاعد</v>
          </cell>
          <cell r="M25" t="str">
            <v>حي يملول حامد عمارة C سفيزف</v>
          </cell>
        </row>
        <row r="26">
          <cell r="A26">
            <v>19</v>
          </cell>
          <cell r="B26" t="str">
            <v>بوراس  ياسمين</v>
          </cell>
          <cell r="C26" t="str">
            <v>بوراس</v>
          </cell>
          <cell r="D26" t="str">
            <v>ياسمين</v>
          </cell>
          <cell r="E26">
            <v>36730</v>
          </cell>
          <cell r="F26" t="str">
            <v>سفيزف</v>
          </cell>
          <cell r="G26" t="str">
            <v>3ع ت1</v>
          </cell>
          <cell r="H26" t="str">
            <v>خارجية</v>
          </cell>
          <cell r="I26" t="str">
            <v>خ</v>
          </cell>
          <cell r="J26" t="str">
            <v>بلقاسم</v>
          </cell>
          <cell r="K26" t="str">
            <v>بوراس  بلقاسم</v>
          </cell>
          <cell r="L26" t="str">
            <v>أستاذ</v>
          </cell>
          <cell r="M26" t="str">
            <v>05 حي 27سكن سفيزف</v>
          </cell>
        </row>
        <row r="27">
          <cell r="A27">
            <v>20</v>
          </cell>
          <cell r="B27" t="str">
            <v>بوطريشة  إكرام</v>
          </cell>
          <cell r="C27" t="str">
            <v>بوطريشة</v>
          </cell>
          <cell r="D27" t="str">
            <v>إكرام</v>
          </cell>
          <cell r="E27">
            <v>36808</v>
          </cell>
          <cell r="F27" t="str">
            <v>سفيزف</v>
          </cell>
          <cell r="G27" t="str">
            <v>3ع ت1</v>
          </cell>
          <cell r="H27" t="str">
            <v>خارجية</v>
          </cell>
          <cell r="I27" t="str">
            <v>خ</v>
          </cell>
          <cell r="J27" t="str">
            <v>عبدالقادر</v>
          </cell>
          <cell r="K27" t="str">
            <v>بوطريشة  عبدالقادر</v>
          </cell>
          <cell r="L27" t="str">
            <v>متقاعد</v>
          </cell>
          <cell r="M27" t="str">
            <v>01شارع بنابي ع القادر سفيزف</v>
          </cell>
        </row>
        <row r="28">
          <cell r="A28">
            <v>21</v>
          </cell>
          <cell r="B28" t="str">
            <v>حفصي  إكرام</v>
          </cell>
          <cell r="C28" t="str">
            <v>حفصي</v>
          </cell>
          <cell r="D28" t="str">
            <v>إكرام</v>
          </cell>
          <cell r="E28">
            <v>36540</v>
          </cell>
          <cell r="F28" t="str">
            <v>سفيزف</v>
          </cell>
          <cell r="G28" t="str">
            <v>3ع ت1</v>
          </cell>
          <cell r="H28" t="str">
            <v>خارجية</v>
          </cell>
          <cell r="I28" t="str">
            <v>خ</v>
          </cell>
          <cell r="J28" t="str">
            <v>محمد</v>
          </cell>
          <cell r="K28" t="str">
            <v>حفصي  محمد</v>
          </cell>
          <cell r="L28" t="str">
            <v>موظف</v>
          </cell>
          <cell r="M28" t="str">
            <v>حي كشار صحراوي سفيزف</v>
          </cell>
        </row>
        <row r="29">
          <cell r="A29">
            <v>22</v>
          </cell>
          <cell r="B29" t="str">
            <v>خماس  نجاة</v>
          </cell>
          <cell r="C29" t="str">
            <v>خماس</v>
          </cell>
          <cell r="D29" t="str">
            <v>نجاة</v>
          </cell>
          <cell r="E29">
            <v>36709</v>
          </cell>
          <cell r="F29" t="str">
            <v>فرندة</v>
          </cell>
          <cell r="G29" t="str">
            <v>3ع ت1</v>
          </cell>
          <cell r="H29" t="str">
            <v>خارجية</v>
          </cell>
          <cell r="I29" t="str">
            <v>خ</v>
          </cell>
          <cell r="J29" t="str">
            <v>علال</v>
          </cell>
          <cell r="K29" t="str">
            <v>خماس  علال</v>
          </cell>
          <cell r="L29" t="str">
            <v>شرطي</v>
          </cell>
          <cell r="M29" t="str">
            <v>حي الشرطة سفيزف</v>
          </cell>
        </row>
        <row r="30">
          <cell r="A30">
            <v>23</v>
          </cell>
          <cell r="B30" t="str">
            <v>رخو   سناء</v>
          </cell>
          <cell r="C30" t="str">
            <v xml:space="preserve">رخو </v>
          </cell>
          <cell r="D30" t="str">
            <v>سناء</v>
          </cell>
          <cell r="E30">
            <v>36908</v>
          </cell>
          <cell r="F30" t="str">
            <v>سفيزف</v>
          </cell>
          <cell r="G30" t="str">
            <v>3ع ت1</v>
          </cell>
          <cell r="H30" t="str">
            <v>خارجية</v>
          </cell>
          <cell r="I30" t="str">
            <v>خ</v>
          </cell>
          <cell r="J30" t="str">
            <v>ميلود</v>
          </cell>
          <cell r="K30" t="str">
            <v>رخو   ميلود</v>
          </cell>
          <cell r="L30" t="str">
            <v>متقاعد</v>
          </cell>
          <cell r="M30" t="str">
            <v>حي 100 سكن سفيزف</v>
          </cell>
        </row>
        <row r="31">
          <cell r="A31">
            <v>24</v>
          </cell>
          <cell r="B31" t="str">
            <v>طيبي  فاطيمة زهرة</v>
          </cell>
          <cell r="C31" t="str">
            <v>طيبي</v>
          </cell>
          <cell r="D31" t="str">
            <v>فاطيمة زهرة</v>
          </cell>
          <cell r="E31">
            <v>35272</v>
          </cell>
          <cell r="F31" t="str">
            <v>السانية</v>
          </cell>
          <cell r="G31" t="str">
            <v>3ع ت1</v>
          </cell>
          <cell r="H31" t="str">
            <v>خارجية</v>
          </cell>
          <cell r="I31" t="str">
            <v>خ</v>
          </cell>
          <cell r="J31" t="str">
            <v>منور</v>
          </cell>
          <cell r="K31" t="str">
            <v>طيبي  منور</v>
          </cell>
          <cell r="L31" t="str">
            <v>متقاعد</v>
          </cell>
          <cell r="M31" t="str">
            <v>153حي السوريكورسفيزف</v>
          </cell>
        </row>
        <row r="32">
          <cell r="A32">
            <v>25</v>
          </cell>
          <cell r="B32" t="str">
            <v>غوبالي  فاطمة الزهرة</v>
          </cell>
          <cell r="C32" t="str">
            <v>غوبالي</v>
          </cell>
          <cell r="D32" t="str">
            <v>فاطمة الزهرة</v>
          </cell>
          <cell r="E32">
            <v>36688</v>
          </cell>
          <cell r="F32" t="str">
            <v>سفيزف</v>
          </cell>
          <cell r="G32" t="str">
            <v>3ع ت1</v>
          </cell>
          <cell r="H32" t="str">
            <v>خارجية</v>
          </cell>
          <cell r="I32" t="str">
            <v>خ</v>
          </cell>
          <cell r="J32" t="str">
            <v>عبدالقادر</v>
          </cell>
          <cell r="K32" t="str">
            <v>غوبالي  عبدالقادر</v>
          </cell>
          <cell r="L32" t="str">
            <v>متقاعد</v>
          </cell>
          <cell r="M32" t="str">
            <v>حي 68 سكن عمارة 64 سفيزف</v>
          </cell>
        </row>
        <row r="33">
          <cell r="A33">
            <v>26</v>
          </cell>
          <cell r="B33" t="str">
            <v>غيطاوي   سارة</v>
          </cell>
          <cell r="C33" t="str">
            <v xml:space="preserve">غيطاوي </v>
          </cell>
          <cell r="D33" t="str">
            <v>سارة</v>
          </cell>
          <cell r="E33">
            <v>36760</v>
          </cell>
          <cell r="F33" t="str">
            <v>سفيزف</v>
          </cell>
          <cell r="G33" t="str">
            <v>3ع ت1</v>
          </cell>
          <cell r="H33" t="str">
            <v>خارجية</v>
          </cell>
          <cell r="I33" t="str">
            <v>خ</v>
          </cell>
          <cell r="J33" t="str">
            <v>عيسى</v>
          </cell>
          <cell r="K33" t="str">
            <v>غيطاوي   عيسى</v>
          </cell>
          <cell r="L33" t="str">
            <v>متقاعد</v>
          </cell>
          <cell r="M33" t="str">
            <v>حي 506سكن سفيزف</v>
          </cell>
        </row>
        <row r="34">
          <cell r="A34">
            <v>27</v>
          </cell>
          <cell r="B34" t="str">
            <v>بوشريط  ياسين</v>
          </cell>
          <cell r="C34" t="str">
            <v>بوشريط</v>
          </cell>
          <cell r="D34" t="str">
            <v>ياسين</v>
          </cell>
          <cell r="E34">
            <v>36690</v>
          </cell>
          <cell r="F34" t="str">
            <v>س بلعباس</v>
          </cell>
          <cell r="G34" t="str">
            <v>3ع ت1</v>
          </cell>
          <cell r="H34" t="str">
            <v>خارجي</v>
          </cell>
          <cell r="I34" t="str">
            <v>خ</v>
          </cell>
          <cell r="J34" t="str">
            <v>احمد</v>
          </cell>
          <cell r="K34" t="str">
            <v>بوشريط  احمد</v>
          </cell>
          <cell r="L34" t="str">
            <v>مهندس</v>
          </cell>
          <cell r="M34" t="str">
            <v>حي 506 سكن سفيزف</v>
          </cell>
        </row>
        <row r="35">
          <cell r="A35">
            <v>28</v>
          </cell>
          <cell r="B35" t="str">
            <v>حفاظ  عيسي</v>
          </cell>
          <cell r="C35" t="str">
            <v>حفاظ</v>
          </cell>
          <cell r="D35" t="str">
            <v>عيسي</v>
          </cell>
          <cell r="E35">
            <v>35427</v>
          </cell>
          <cell r="F35" t="str">
            <v>سفيزف</v>
          </cell>
          <cell r="G35" t="str">
            <v>3ع ت1</v>
          </cell>
          <cell r="H35" t="str">
            <v>خارجي</v>
          </cell>
          <cell r="I35" t="str">
            <v>خ</v>
          </cell>
          <cell r="J35" t="str">
            <v>بوعلام</v>
          </cell>
          <cell r="K35" t="str">
            <v>حفاظ  بوعلام</v>
          </cell>
          <cell r="L35" t="str">
            <v>متوفي</v>
          </cell>
          <cell r="M35" t="str">
            <v>حي 100 سكن سفيزف</v>
          </cell>
        </row>
        <row r="36">
          <cell r="A36">
            <v>29</v>
          </cell>
          <cell r="B36" t="str">
            <v>دارسبع  ميلود</v>
          </cell>
          <cell r="C36" t="str">
            <v>دارسبع</v>
          </cell>
          <cell r="D36" t="str">
            <v>ميلود</v>
          </cell>
          <cell r="E36">
            <v>37080</v>
          </cell>
          <cell r="F36" t="str">
            <v>س بلعباس</v>
          </cell>
          <cell r="G36" t="str">
            <v>3ع ت1</v>
          </cell>
          <cell r="H36" t="str">
            <v>خارجي</v>
          </cell>
          <cell r="I36" t="str">
            <v>خ</v>
          </cell>
          <cell r="J36" t="str">
            <v>منور</v>
          </cell>
          <cell r="K36" t="str">
            <v>دارسبع  منور</v>
          </cell>
          <cell r="L36" t="str">
            <v>موظف</v>
          </cell>
          <cell r="M36" t="str">
            <v>عين آدن</v>
          </cell>
        </row>
        <row r="37">
          <cell r="A37">
            <v>30</v>
          </cell>
          <cell r="B37" t="str">
            <v>رمضاني  ياسين</v>
          </cell>
          <cell r="C37" t="str">
            <v>رمضاني</v>
          </cell>
          <cell r="D37" t="str">
            <v>ياسين</v>
          </cell>
          <cell r="E37">
            <v>36655</v>
          </cell>
          <cell r="F37" t="str">
            <v>سفيزف</v>
          </cell>
          <cell r="G37" t="str">
            <v>3ع ت1</v>
          </cell>
          <cell r="H37" t="str">
            <v>خارجي</v>
          </cell>
          <cell r="I37" t="str">
            <v>خ</v>
          </cell>
          <cell r="J37" t="str">
            <v>العربي</v>
          </cell>
          <cell r="K37" t="str">
            <v>رمضاني  العربي</v>
          </cell>
          <cell r="L37" t="str">
            <v>موظف</v>
          </cell>
          <cell r="M37" t="str">
            <v>حي 192مسكن سفيزف</v>
          </cell>
        </row>
        <row r="38">
          <cell r="A38">
            <v>31</v>
          </cell>
          <cell r="B38" t="str">
            <v>كركور  محمد أمين</v>
          </cell>
          <cell r="C38" t="str">
            <v>كركور</v>
          </cell>
          <cell r="D38" t="str">
            <v>محمد أمين</v>
          </cell>
          <cell r="E38">
            <v>36226</v>
          </cell>
          <cell r="F38" t="str">
            <v>س بلعباس</v>
          </cell>
          <cell r="G38" t="str">
            <v>3ع ت1</v>
          </cell>
          <cell r="H38" t="str">
            <v>خارجي</v>
          </cell>
          <cell r="I38" t="str">
            <v>خ</v>
          </cell>
          <cell r="J38" t="str">
            <v>عبدالقادر</v>
          </cell>
          <cell r="K38" t="str">
            <v>كركور  عبدالقادر</v>
          </cell>
          <cell r="L38" t="str">
            <v>سائق</v>
          </cell>
          <cell r="M38" t="str">
            <v>حي السوريكور سفيزف</v>
          </cell>
        </row>
        <row r="39">
          <cell r="A39">
            <v>32</v>
          </cell>
          <cell r="B39" t="str">
            <v>لواري  زكرياء</v>
          </cell>
          <cell r="C39" t="str">
            <v>لواري</v>
          </cell>
          <cell r="D39" t="str">
            <v>زكرياء</v>
          </cell>
          <cell r="E39">
            <v>36780</v>
          </cell>
          <cell r="F39" t="str">
            <v>سفيزف</v>
          </cell>
          <cell r="G39" t="str">
            <v>3ع ت1</v>
          </cell>
          <cell r="H39" t="str">
            <v>خارجي</v>
          </cell>
          <cell r="I39" t="str">
            <v>خ</v>
          </cell>
          <cell r="J39" t="str">
            <v>محمد</v>
          </cell>
          <cell r="K39" t="str">
            <v>لواري  محمد</v>
          </cell>
          <cell r="L39" t="str">
            <v>ممرض</v>
          </cell>
          <cell r="M39" t="str">
            <v>17شارع عيسات إدير سفيزف</v>
          </cell>
        </row>
        <row r="40">
          <cell r="A40">
            <v>33</v>
          </cell>
          <cell r="B40" t="str">
            <v>أمزيان  مريم أشواق</v>
          </cell>
          <cell r="C40" t="str">
            <v>أمزيان</v>
          </cell>
          <cell r="D40" t="str">
            <v>مريم أشواق</v>
          </cell>
          <cell r="E40">
            <v>36686</v>
          </cell>
          <cell r="F40" t="str">
            <v>سفيزف</v>
          </cell>
          <cell r="G40" t="str">
            <v>3ع ت2</v>
          </cell>
          <cell r="H40" t="str">
            <v>ن داخلية</v>
          </cell>
          <cell r="I40" t="str">
            <v>ن/د</v>
          </cell>
          <cell r="J40" t="str">
            <v>جمال</v>
          </cell>
          <cell r="K40" t="str">
            <v>أمزيان  جمال</v>
          </cell>
          <cell r="L40" t="str">
            <v>فلاح</v>
          </cell>
          <cell r="M40" t="str">
            <v>حي كشار صحراوي سفيزف</v>
          </cell>
        </row>
        <row r="41">
          <cell r="A41">
            <v>34</v>
          </cell>
          <cell r="B41" t="str">
            <v>فرحي  نريمان</v>
          </cell>
          <cell r="C41" t="str">
            <v>فرحي</v>
          </cell>
          <cell r="D41" t="str">
            <v>نريمان</v>
          </cell>
          <cell r="E41">
            <v>35974</v>
          </cell>
          <cell r="F41" t="str">
            <v>س بلعباس</v>
          </cell>
          <cell r="G41" t="str">
            <v>3ع ت2</v>
          </cell>
          <cell r="H41" t="str">
            <v>ن داخلية</v>
          </cell>
          <cell r="I41" t="str">
            <v>ن/د</v>
          </cell>
          <cell r="J41" t="str">
            <v>جمال</v>
          </cell>
          <cell r="K41" t="str">
            <v>فرحي  جمال</v>
          </cell>
          <cell r="L41" t="str">
            <v>أستاذ</v>
          </cell>
          <cell r="M41" t="str">
            <v>حي كشار صحراوي سفيزف</v>
          </cell>
        </row>
        <row r="42">
          <cell r="A42">
            <v>35</v>
          </cell>
          <cell r="B42" t="str">
            <v>لونيس  مريم الباتول</v>
          </cell>
          <cell r="C42" t="str">
            <v>لونيس</v>
          </cell>
          <cell r="D42" t="str">
            <v>مريم الباتول</v>
          </cell>
          <cell r="E42">
            <v>36992</v>
          </cell>
          <cell r="F42" t="str">
            <v>سفيزف</v>
          </cell>
          <cell r="G42" t="str">
            <v>3ع ت2</v>
          </cell>
          <cell r="H42" t="str">
            <v>ن داخلية</v>
          </cell>
          <cell r="I42" t="str">
            <v>ن/د</v>
          </cell>
          <cell r="J42" t="str">
            <v>الحاج</v>
          </cell>
          <cell r="K42" t="str">
            <v>لونيس  الحاج</v>
          </cell>
          <cell r="L42" t="str">
            <v>قيم</v>
          </cell>
          <cell r="M42" t="str">
            <v>قرية بني تالة سفيزف</v>
          </cell>
        </row>
        <row r="43">
          <cell r="A43">
            <v>36</v>
          </cell>
          <cell r="B43" t="str">
            <v>برفاس  نسرين نورالهدى</v>
          </cell>
          <cell r="C43" t="str">
            <v>برفاس</v>
          </cell>
          <cell r="D43" t="str">
            <v>نسرين نورالهدى</v>
          </cell>
          <cell r="E43">
            <v>35628</v>
          </cell>
          <cell r="F43" t="str">
            <v>س بلعباس</v>
          </cell>
          <cell r="G43" t="str">
            <v>3ع ت2</v>
          </cell>
          <cell r="H43" t="str">
            <v>خارجية</v>
          </cell>
          <cell r="I43" t="str">
            <v>خ</v>
          </cell>
          <cell r="J43" t="str">
            <v>يحي</v>
          </cell>
          <cell r="K43" t="str">
            <v>برفاس  يحي</v>
          </cell>
          <cell r="L43" t="str">
            <v>موظف</v>
          </cell>
          <cell r="M43" t="str">
            <v>28 حي 05 جويلية سفيزف</v>
          </cell>
        </row>
        <row r="44">
          <cell r="A44">
            <v>37</v>
          </cell>
          <cell r="B44" t="str">
            <v>بن خلف الله  مروة</v>
          </cell>
          <cell r="C44" t="str">
            <v>بن خلف الله</v>
          </cell>
          <cell r="D44" t="str">
            <v>مروة</v>
          </cell>
          <cell r="E44">
            <v>36630</v>
          </cell>
          <cell r="F44" t="str">
            <v>سفيزف</v>
          </cell>
          <cell r="G44" t="str">
            <v>3ع ت2</v>
          </cell>
          <cell r="H44" t="str">
            <v>خارجية</v>
          </cell>
          <cell r="I44" t="str">
            <v>خ</v>
          </cell>
          <cell r="J44" t="str">
            <v>بن عومر</v>
          </cell>
          <cell r="K44" t="str">
            <v>بن خلف الله  بن عومر</v>
          </cell>
          <cell r="L44" t="str">
            <v>مفتش</v>
          </cell>
          <cell r="M44" t="str">
            <v>حي 32 سكن-زبلاح سفيزف</v>
          </cell>
        </row>
        <row r="45">
          <cell r="A45">
            <v>38</v>
          </cell>
          <cell r="B45" t="str">
            <v>جفال  نجاة</v>
          </cell>
          <cell r="C45" t="str">
            <v>جفال</v>
          </cell>
          <cell r="D45" t="str">
            <v>نجاة</v>
          </cell>
          <cell r="E45">
            <v>36629</v>
          </cell>
          <cell r="F45" t="str">
            <v>سفيزف</v>
          </cell>
          <cell r="G45" t="str">
            <v>3ع ت2</v>
          </cell>
          <cell r="H45" t="str">
            <v>خارجية</v>
          </cell>
          <cell r="I45" t="str">
            <v>خ</v>
          </cell>
          <cell r="J45" t="str">
            <v>الهاشمي</v>
          </cell>
          <cell r="K45" t="str">
            <v>جفال  الهاشمي</v>
          </cell>
          <cell r="L45" t="str">
            <v>لحام</v>
          </cell>
          <cell r="M45" t="str">
            <v>حي 156سكن سفيزف</v>
          </cell>
        </row>
        <row r="46">
          <cell r="A46">
            <v>39</v>
          </cell>
          <cell r="B46" t="str">
            <v>جلال  فاطمة الزهرة</v>
          </cell>
          <cell r="C46" t="str">
            <v>جلال</v>
          </cell>
          <cell r="D46" t="str">
            <v>فاطمة الزهرة</v>
          </cell>
          <cell r="E46">
            <v>36623</v>
          </cell>
          <cell r="F46" t="str">
            <v>سفيزف</v>
          </cell>
          <cell r="G46" t="str">
            <v>3ع ت2</v>
          </cell>
          <cell r="H46" t="str">
            <v>خارجية</v>
          </cell>
          <cell r="I46" t="str">
            <v>خ</v>
          </cell>
          <cell r="J46" t="str">
            <v>بوعلام</v>
          </cell>
          <cell r="K46" t="str">
            <v>جلال  بوعلام</v>
          </cell>
          <cell r="L46" t="str">
            <v>م قرءان</v>
          </cell>
          <cell r="M46" t="str">
            <v>حي 156سكن سفيزف</v>
          </cell>
        </row>
        <row r="47">
          <cell r="A47">
            <v>40</v>
          </cell>
          <cell r="B47" t="str">
            <v>حداد  منال</v>
          </cell>
          <cell r="C47" t="str">
            <v>حداد</v>
          </cell>
          <cell r="D47" t="str">
            <v>منال</v>
          </cell>
          <cell r="E47">
            <v>36300</v>
          </cell>
          <cell r="F47" t="str">
            <v>سفيزف</v>
          </cell>
          <cell r="G47" t="str">
            <v>3ع ت2</v>
          </cell>
          <cell r="H47" t="str">
            <v>خارجية</v>
          </cell>
          <cell r="I47" t="str">
            <v>خ</v>
          </cell>
          <cell r="J47" t="str">
            <v>مختار</v>
          </cell>
          <cell r="K47" t="str">
            <v>حداد  مختار</v>
          </cell>
          <cell r="L47" t="str">
            <v>متقاعد</v>
          </cell>
          <cell r="M47" t="str">
            <v>حي 100 سكن سفيزف</v>
          </cell>
        </row>
        <row r="48">
          <cell r="A48">
            <v>41</v>
          </cell>
          <cell r="B48" t="str">
            <v>حميدة  عبلة</v>
          </cell>
          <cell r="C48" t="str">
            <v>حميدة</v>
          </cell>
          <cell r="D48" t="str">
            <v>عبلة</v>
          </cell>
          <cell r="E48">
            <v>36570</v>
          </cell>
          <cell r="F48" t="str">
            <v>سفيزف</v>
          </cell>
          <cell r="G48" t="str">
            <v>3ع ت2</v>
          </cell>
          <cell r="H48" t="str">
            <v>خارجية</v>
          </cell>
          <cell r="I48" t="str">
            <v>خ</v>
          </cell>
          <cell r="J48" t="str">
            <v>محمد</v>
          </cell>
          <cell r="K48" t="str">
            <v>حميدة  محمد</v>
          </cell>
          <cell r="L48" t="str">
            <v>متقاعد</v>
          </cell>
          <cell r="M48" t="str">
            <v>حي 506 سكن سفيزف</v>
          </cell>
        </row>
        <row r="49">
          <cell r="A49">
            <v>42</v>
          </cell>
          <cell r="B49" t="str">
            <v>زعتر  يمينة</v>
          </cell>
          <cell r="C49" t="str">
            <v>زعتر</v>
          </cell>
          <cell r="D49" t="str">
            <v>يمينة</v>
          </cell>
          <cell r="E49">
            <v>35817</v>
          </cell>
          <cell r="F49" t="str">
            <v>سفيزف</v>
          </cell>
          <cell r="G49" t="str">
            <v>3ع ت2</v>
          </cell>
          <cell r="H49" t="str">
            <v>خارجية</v>
          </cell>
          <cell r="I49" t="str">
            <v>خ</v>
          </cell>
          <cell r="J49" t="str">
            <v>بلاحة</v>
          </cell>
          <cell r="K49" t="str">
            <v>زعتر  بلاحة</v>
          </cell>
          <cell r="L49" t="str">
            <v>تاجر</v>
          </cell>
          <cell r="M49" t="str">
            <v>حي 100 سكن سفيزف</v>
          </cell>
        </row>
        <row r="50">
          <cell r="A50">
            <v>43</v>
          </cell>
          <cell r="B50" t="str">
            <v xml:space="preserve">زمالي  صارة  </v>
          </cell>
          <cell r="C50" t="str">
            <v>زمالي</v>
          </cell>
          <cell r="D50" t="str">
            <v xml:space="preserve">صارة  </v>
          </cell>
          <cell r="E50">
            <v>36454</v>
          </cell>
          <cell r="F50" t="str">
            <v>س بلعباس</v>
          </cell>
          <cell r="G50" t="str">
            <v>3ع ت2</v>
          </cell>
          <cell r="H50" t="str">
            <v>خارجية</v>
          </cell>
          <cell r="I50" t="str">
            <v>خ</v>
          </cell>
          <cell r="J50" t="str">
            <v>محمد</v>
          </cell>
          <cell r="K50" t="str">
            <v>زمالي  محمد</v>
          </cell>
          <cell r="L50" t="str">
            <v>فلاح</v>
          </cell>
          <cell r="M50" t="str">
            <v>حي سيدي يحي سفيزف</v>
          </cell>
        </row>
        <row r="51">
          <cell r="A51">
            <v>44</v>
          </cell>
          <cell r="B51" t="str">
            <v>غربي  ياسمين منال</v>
          </cell>
          <cell r="C51" t="str">
            <v>غربي</v>
          </cell>
          <cell r="D51" t="str">
            <v>ياسمين منال</v>
          </cell>
          <cell r="E51">
            <v>36905</v>
          </cell>
          <cell r="F51" t="str">
            <v>سفيزف</v>
          </cell>
          <cell r="G51" t="str">
            <v>3ع ت2</v>
          </cell>
          <cell r="H51" t="str">
            <v>خارجية</v>
          </cell>
          <cell r="I51" t="str">
            <v>خ</v>
          </cell>
          <cell r="J51" t="str">
            <v>لخضر</v>
          </cell>
          <cell r="K51" t="str">
            <v>غربي  لخضر</v>
          </cell>
          <cell r="L51" t="str">
            <v>لا شئ</v>
          </cell>
          <cell r="M51" t="str">
            <v>مدرسة شرفي محمد سفيزف</v>
          </cell>
        </row>
        <row r="52">
          <cell r="A52">
            <v>45</v>
          </cell>
          <cell r="B52" t="str">
            <v>فليو  شيفاء زهرة</v>
          </cell>
          <cell r="C52" t="str">
            <v>فليو</v>
          </cell>
          <cell r="D52" t="str">
            <v>شيفاء زهرة</v>
          </cell>
          <cell r="E52">
            <v>36003</v>
          </cell>
          <cell r="F52" t="str">
            <v>س بلعباس</v>
          </cell>
          <cell r="G52" t="str">
            <v>3ع ت2</v>
          </cell>
          <cell r="H52" t="str">
            <v>خارجية</v>
          </cell>
          <cell r="I52" t="str">
            <v>خ</v>
          </cell>
          <cell r="J52" t="str">
            <v>حبيب</v>
          </cell>
          <cell r="K52" t="str">
            <v>فليو  حبيب</v>
          </cell>
          <cell r="L52" t="str">
            <v>لا شئ</v>
          </cell>
          <cell r="M52" t="str">
            <v>حي 506 سكن سفيزف</v>
          </cell>
        </row>
        <row r="53">
          <cell r="A53">
            <v>46</v>
          </cell>
          <cell r="B53" t="str">
            <v>مسلم  خلود هناء</v>
          </cell>
          <cell r="C53" t="str">
            <v>مسلم</v>
          </cell>
          <cell r="D53" t="str">
            <v>خلود هناء</v>
          </cell>
          <cell r="E53">
            <v>36719</v>
          </cell>
          <cell r="F53" t="str">
            <v>س بلعباس</v>
          </cell>
          <cell r="G53" t="str">
            <v>3ع ت2</v>
          </cell>
          <cell r="H53" t="str">
            <v>خارجية</v>
          </cell>
          <cell r="I53" t="str">
            <v>خ</v>
          </cell>
          <cell r="J53" t="str">
            <v>عبدالقادر</v>
          </cell>
          <cell r="K53" t="str">
            <v>مسلم  عبدالقادر</v>
          </cell>
          <cell r="L53" t="str">
            <v>حداد</v>
          </cell>
          <cell r="M53" t="str">
            <v>حي 216 سكن سفيزف</v>
          </cell>
        </row>
        <row r="54">
          <cell r="A54">
            <v>47</v>
          </cell>
          <cell r="B54" t="str">
            <v>بلهادي  محمد مصطفى</v>
          </cell>
          <cell r="C54" t="str">
            <v>بلهادي</v>
          </cell>
          <cell r="D54" t="str">
            <v>محمد مصطفى</v>
          </cell>
          <cell r="E54">
            <v>36325</v>
          </cell>
          <cell r="F54" t="str">
            <v>مغنية</v>
          </cell>
          <cell r="G54" t="str">
            <v>3ع ت2</v>
          </cell>
          <cell r="H54" t="str">
            <v>خارجي</v>
          </cell>
          <cell r="I54" t="str">
            <v>خ</v>
          </cell>
          <cell r="J54" t="str">
            <v>حسين</v>
          </cell>
          <cell r="K54" t="str">
            <v>بلهادي  حسين</v>
          </cell>
          <cell r="L54" t="str">
            <v>أستاذ</v>
          </cell>
          <cell r="M54" t="str">
            <v>حي 32 سكن-زبلاح سفيزف</v>
          </cell>
        </row>
        <row r="55">
          <cell r="A55">
            <v>48</v>
          </cell>
          <cell r="B55" t="str">
            <v>بودور  عبد الصمد</v>
          </cell>
          <cell r="C55" t="str">
            <v>بودور</v>
          </cell>
          <cell r="D55" t="str">
            <v>عبد الصمد</v>
          </cell>
          <cell r="E55">
            <v>36311</v>
          </cell>
          <cell r="F55" t="str">
            <v>سفيزف</v>
          </cell>
          <cell r="G55" t="str">
            <v>3ع ت2</v>
          </cell>
          <cell r="H55" t="str">
            <v>خارجي</v>
          </cell>
          <cell r="I55" t="str">
            <v>خ</v>
          </cell>
          <cell r="J55" t="str">
            <v>محمد</v>
          </cell>
          <cell r="K55" t="str">
            <v>بودور  محمد</v>
          </cell>
          <cell r="L55" t="str">
            <v>ح مدنية</v>
          </cell>
          <cell r="M55" t="str">
            <v>حي 506 سكن سفيزف</v>
          </cell>
        </row>
        <row r="56">
          <cell r="A56">
            <v>49</v>
          </cell>
          <cell r="B56" t="str">
            <v>بوزيان  محمد مروان</v>
          </cell>
          <cell r="C56" t="str">
            <v>بوزيان</v>
          </cell>
          <cell r="D56" t="str">
            <v>محمد مروان</v>
          </cell>
          <cell r="E56">
            <v>36400</v>
          </cell>
          <cell r="F56" t="str">
            <v>سفيزف</v>
          </cell>
          <cell r="G56" t="str">
            <v>3ع ت2</v>
          </cell>
          <cell r="H56" t="str">
            <v>خارجي</v>
          </cell>
          <cell r="I56" t="str">
            <v>خ</v>
          </cell>
          <cell r="J56" t="str">
            <v>يحي</v>
          </cell>
          <cell r="K56" t="str">
            <v>بوزيان  يحي</v>
          </cell>
          <cell r="L56" t="str">
            <v>موظف</v>
          </cell>
          <cell r="M56" t="str">
            <v>حي 506 سكن سفيزف</v>
          </cell>
        </row>
        <row r="57">
          <cell r="A57">
            <v>50</v>
          </cell>
          <cell r="B57" t="str">
            <v>حافظ  عبدالمجيد الأمين</v>
          </cell>
          <cell r="C57" t="str">
            <v>حافظ</v>
          </cell>
          <cell r="D57" t="str">
            <v>عبدالمجيد الأمين</v>
          </cell>
          <cell r="E57">
            <v>36531</v>
          </cell>
          <cell r="F57" t="str">
            <v>سفيزف</v>
          </cell>
          <cell r="G57" t="str">
            <v>3ع ت2</v>
          </cell>
          <cell r="H57" t="str">
            <v>خارجي</v>
          </cell>
          <cell r="I57" t="str">
            <v>خ</v>
          </cell>
          <cell r="J57" t="str">
            <v>بومدين</v>
          </cell>
          <cell r="K57" t="str">
            <v>حافظ  بومدين</v>
          </cell>
          <cell r="L57" t="str">
            <v>متقاعد</v>
          </cell>
          <cell r="M57" t="str">
            <v>حي 506 سكن سفيزف</v>
          </cell>
        </row>
        <row r="58">
          <cell r="A58">
            <v>51</v>
          </cell>
          <cell r="B58" t="str">
            <v>خليفة  إلياس هواري</v>
          </cell>
          <cell r="C58" t="str">
            <v>خليفة</v>
          </cell>
          <cell r="D58" t="str">
            <v>إلياس هواري</v>
          </cell>
          <cell r="E58">
            <v>36258</v>
          </cell>
          <cell r="F58" t="str">
            <v>س بلعباس</v>
          </cell>
          <cell r="G58" t="str">
            <v>3ع ت2</v>
          </cell>
          <cell r="H58" t="str">
            <v>خارجي</v>
          </cell>
          <cell r="I58" t="str">
            <v>خ</v>
          </cell>
          <cell r="J58" t="str">
            <v>نورالدين</v>
          </cell>
          <cell r="K58" t="str">
            <v>خليفة  نورالدين</v>
          </cell>
          <cell r="L58" t="str">
            <v>مدير</v>
          </cell>
          <cell r="M58" t="str">
            <v>ثانوية بوخلدة عبد القادر</v>
          </cell>
        </row>
        <row r="59">
          <cell r="A59">
            <v>52</v>
          </cell>
          <cell r="B59" t="str">
            <v>ديداوي  مراد</v>
          </cell>
          <cell r="C59" t="str">
            <v>ديداوي</v>
          </cell>
          <cell r="D59" t="str">
            <v>مراد</v>
          </cell>
          <cell r="E59">
            <v>36823</v>
          </cell>
          <cell r="F59" t="str">
            <v>س بلعباس</v>
          </cell>
          <cell r="G59" t="str">
            <v>3ع ت2</v>
          </cell>
          <cell r="H59" t="str">
            <v>خارجي</v>
          </cell>
          <cell r="I59" t="str">
            <v>خ</v>
          </cell>
          <cell r="J59" t="str">
            <v>بلاحة</v>
          </cell>
          <cell r="K59" t="str">
            <v>ديداوي  بلاحة</v>
          </cell>
          <cell r="L59" t="str">
            <v>حارس</v>
          </cell>
          <cell r="M59" t="str">
            <v>حي بوهند يحي سفيزف</v>
          </cell>
        </row>
        <row r="60">
          <cell r="A60">
            <v>53</v>
          </cell>
          <cell r="B60" t="str">
            <v>فاسخ  أحمد فخرالدين</v>
          </cell>
          <cell r="C60" t="str">
            <v>فاسخ</v>
          </cell>
          <cell r="D60" t="str">
            <v>أحمد فخرالدين</v>
          </cell>
          <cell r="E60">
            <v>36679</v>
          </cell>
          <cell r="F60" t="str">
            <v>فرندة</v>
          </cell>
          <cell r="G60" t="str">
            <v>3ع ت2</v>
          </cell>
          <cell r="H60" t="str">
            <v>خارجي</v>
          </cell>
          <cell r="I60" t="str">
            <v>خ</v>
          </cell>
          <cell r="J60" t="str">
            <v>عمارة</v>
          </cell>
          <cell r="K60" t="str">
            <v>فاسخ  عمارة</v>
          </cell>
          <cell r="L60" t="str">
            <v>متقاعد</v>
          </cell>
          <cell r="M60" t="str">
            <v>حي 216سكن سفيزف</v>
          </cell>
        </row>
        <row r="61">
          <cell r="A61">
            <v>54</v>
          </cell>
          <cell r="B61" t="str">
            <v>محال  محمد أمين</v>
          </cell>
          <cell r="C61" t="str">
            <v>محال</v>
          </cell>
          <cell r="D61" t="str">
            <v>محمد أمين</v>
          </cell>
          <cell r="E61">
            <v>35932</v>
          </cell>
          <cell r="F61" t="str">
            <v>س بلعباس</v>
          </cell>
          <cell r="G61" t="str">
            <v>3ع ت2</v>
          </cell>
          <cell r="H61" t="str">
            <v>خارجي</v>
          </cell>
          <cell r="I61" t="str">
            <v>خ</v>
          </cell>
          <cell r="J61" t="str">
            <v>بن عمر</v>
          </cell>
          <cell r="K61" t="str">
            <v>محال  بن عمر</v>
          </cell>
          <cell r="L61" t="str">
            <v>لا شئ</v>
          </cell>
          <cell r="M61" t="str">
            <v xml:space="preserve">08حي 100 سكن سفيزف </v>
          </cell>
        </row>
        <row r="62">
          <cell r="A62">
            <v>55</v>
          </cell>
          <cell r="B62" t="str">
            <v>مروك   محمد</v>
          </cell>
          <cell r="C62" t="str">
            <v xml:space="preserve">مروك </v>
          </cell>
          <cell r="D62" t="str">
            <v>محمد</v>
          </cell>
          <cell r="E62">
            <v>35878</v>
          </cell>
          <cell r="F62" t="str">
            <v>سفيزف</v>
          </cell>
          <cell r="G62" t="str">
            <v>3ع ت2</v>
          </cell>
          <cell r="H62" t="str">
            <v>خارجي</v>
          </cell>
          <cell r="I62" t="str">
            <v>خ</v>
          </cell>
          <cell r="J62" t="str">
            <v>بوعلام</v>
          </cell>
          <cell r="K62" t="str">
            <v>مروك   بوعلام</v>
          </cell>
          <cell r="L62" t="str">
            <v>موظف</v>
          </cell>
          <cell r="M62" t="str">
            <v>حي سيدي بومدين سفيزف</v>
          </cell>
        </row>
        <row r="63">
          <cell r="A63">
            <v>56</v>
          </cell>
          <cell r="B63" t="str">
            <v>دار نموس  مامة</v>
          </cell>
          <cell r="C63" t="str">
            <v>دار نموس</v>
          </cell>
          <cell r="D63" t="str">
            <v>مامة</v>
          </cell>
          <cell r="E63">
            <v>36166</v>
          </cell>
          <cell r="F63" t="str">
            <v>م ب براهيم</v>
          </cell>
          <cell r="G63" t="str">
            <v>3ت واق</v>
          </cell>
          <cell r="H63" t="str">
            <v>ن داخلية</v>
          </cell>
          <cell r="I63" t="str">
            <v>ن/د</v>
          </cell>
          <cell r="J63" t="str">
            <v>حبيب</v>
          </cell>
          <cell r="K63" t="str">
            <v>دار نموس  حبيب</v>
          </cell>
          <cell r="L63" t="str">
            <v>لا شئ</v>
          </cell>
          <cell r="M63" t="str">
            <v>عين آدن</v>
          </cell>
        </row>
        <row r="64">
          <cell r="A64">
            <v>57</v>
          </cell>
          <cell r="B64" t="str">
            <v>فولاني  أمينة وئام</v>
          </cell>
          <cell r="C64" t="str">
            <v>فولاني</v>
          </cell>
          <cell r="D64" t="str">
            <v>أمينة وئام</v>
          </cell>
          <cell r="E64">
            <v>36423</v>
          </cell>
          <cell r="F64" t="str">
            <v>سفيزف</v>
          </cell>
          <cell r="G64" t="str">
            <v>3ت واق</v>
          </cell>
          <cell r="H64" t="str">
            <v>ن داخلية</v>
          </cell>
          <cell r="I64" t="str">
            <v>ن/د</v>
          </cell>
          <cell r="J64" t="str">
            <v>ميلود</v>
          </cell>
          <cell r="K64" t="str">
            <v>فولاني  ميلود</v>
          </cell>
          <cell r="L64" t="str">
            <v>عامل</v>
          </cell>
          <cell r="M64" t="str">
            <v>12 حي بن تخيسي العربي سفيزف</v>
          </cell>
        </row>
        <row r="65">
          <cell r="A65">
            <v>58</v>
          </cell>
          <cell r="B65" t="str">
            <v>لدمك  عباسية</v>
          </cell>
          <cell r="C65" t="str">
            <v>لدمك</v>
          </cell>
          <cell r="D65" t="str">
            <v>عباسية</v>
          </cell>
          <cell r="E65">
            <v>36782</v>
          </cell>
          <cell r="F65" t="str">
            <v>سفيزف</v>
          </cell>
          <cell r="G65" t="str">
            <v>3ت واق</v>
          </cell>
          <cell r="H65" t="str">
            <v>ن داخلية</v>
          </cell>
          <cell r="I65" t="str">
            <v>ن/د</v>
          </cell>
          <cell r="J65" t="str">
            <v>علي</v>
          </cell>
          <cell r="K65" t="str">
            <v>لدمك  علي</v>
          </cell>
          <cell r="L65" t="str">
            <v>متقاعد</v>
          </cell>
          <cell r="M65" t="str">
            <v>قرية بلبوش سفيزف</v>
          </cell>
        </row>
        <row r="66">
          <cell r="A66">
            <v>59</v>
          </cell>
          <cell r="B66" t="str">
            <v>لقجع جلول سايح  أمينة</v>
          </cell>
          <cell r="C66" t="str">
            <v>لقجع جلول سايح</v>
          </cell>
          <cell r="D66" t="str">
            <v>أمينة</v>
          </cell>
          <cell r="E66">
            <v>36599</v>
          </cell>
          <cell r="F66" t="str">
            <v>سفيزف</v>
          </cell>
          <cell r="G66" t="str">
            <v>3ت واق</v>
          </cell>
          <cell r="H66" t="str">
            <v>ن داخلية</v>
          </cell>
          <cell r="I66" t="str">
            <v>ن/د</v>
          </cell>
          <cell r="J66" t="str">
            <v>الطيب</v>
          </cell>
          <cell r="K66" t="str">
            <v>لقجع جلول سايح  الطيب</v>
          </cell>
          <cell r="L66" t="str">
            <v>لا شئ</v>
          </cell>
          <cell r="M66" t="str">
            <v>بني تالة سفيزف</v>
          </cell>
        </row>
        <row r="67">
          <cell r="A67">
            <v>60</v>
          </cell>
          <cell r="B67" t="str">
            <v>بوقبرين  حسين</v>
          </cell>
          <cell r="C67" t="str">
            <v>بوقبرين</v>
          </cell>
          <cell r="D67" t="str">
            <v>حسين</v>
          </cell>
          <cell r="E67">
            <v>36550</v>
          </cell>
          <cell r="F67" t="str">
            <v>ليبيا</v>
          </cell>
          <cell r="G67" t="str">
            <v>3ت واق</v>
          </cell>
          <cell r="H67" t="str">
            <v>ن داخلي</v>
          </cell>
          <cell r="I67" t="str">
            <v>ن/د</v>
          </cell>
          <cell r="J67" t="str">
            <v>حبيب</v>
          </cell>
          <cell r="K67" t="str">
            <v>بوقبرين  حبيب</v>
          </cell>
          <cell r="L67" t="str">
            <v>متقاعد</v>
          </cell>
          <cell r="M67" t="str">
            <v>حي 117سكن سفيزف</v>
          </cell>
        </row>
        <row r="68">
          <cell r="A68">
            <v>61</v>
          </cell>
          <cell r="B68" t="str">
            <v>برفاس  بشرى</v>
          </cell>
          <cell r="C68" t="str">
            <v>برفاس</v>
          </cell>
          <cell r="D68" t="str">
            <v>بشرى</v>
          </cell>
          <cell r="E68">
            <v>36820</v>
          </cell>
          <cell r="F68" t="str">
            <v>سفيزف</v>
          </cell>
          <cell r="G68" t="str">
            <v>3ت واق</v>
          </cell>
          <cell r="H68" t="str">
            <v>خارجية</v>
          </cell>
          <cell r="I68" t="str">
            <v>خ</v>
          </cell>
          <cell r="J68" t="str">
            <v>بقدور</v>
          </cell>
          <cell r="K68" t="str">
            <v>برفاس  بقدور</v>
          </cell>
          <cell r="L68" t="str">
            <v>متقاعد</v>
          </cell>
          <cell r="M68" t="str">
            <v>نهج مسمود بن ديدة سفيزف</v>
          </cell>
        </row>
        <row r="69">
          <cell r="A69">
            <v>62</v>
          </cell>
          <cell r="B69" t="str">
            <v>بغاديد  أسماء نورالهدى</v>
          </cell>
          <cell r="C69" t="str">
            <v>بغاديد</v>
          </cell>
          <cell r="D69" t="str">
            <v>أسماء نورالهدى</v>
          </cell>
          <cell r="E69">
            <v>36729</v>
          </cell>
          <cell r="F69" t="str">
            <v>سفيزف</v>
          </cell>
          <cell r="G69" t="str">
            <v>3ت واق</v>
          </cell>
          <cell r="H69" t="str">
            <v>خارجية</v>
          </cell>
          <cell r="I69" t="str">
            <v>خ</v>
          </cell>
          <cell r="J69" t="str">
            <v>احمد</v>
          </cell>
          <cell r="K69" t="str">
            <v>بغاديد  احمد</v>
          </cell>
          <cell r="L69" t="str">
            <v>لا شئ</v>
          </cell>
          <cell r="M69" t="str">
            <v>حي 506 سكن سفيزف</v>
          </cell>
        </row>
        <row r="70">
          <cell r="A70">
            <v>63</v>
          </cell>
          <cell r="B70" t="str">
            <v>بلعالية  أحلام</v>
          </cell>
          <cell r="C70" t="str">
            <v>بلعالية</v>
          </cell>
          <cell r="D70" t="str">
            <v>أحلام</v>
          </cell>
          <cell r="E70">
            <v>36855</v>
          </cell>
          <cell r="F70" t="str">
            <v>سفيزف</v>
          </cell>
          <cell r="G70" t="str">
            <v>3ت واق</v>
          </cell>
          <cell r="H70" t="str">
            <v>خارجية</v>
          </cell>
          <cell r="I70" t="str">
            <v>خ</v>
          </cell>
          <cell r="J70" t="str">
            <v>عبدالقادر</v>
          </cell>
          <cell r="K70" t="str">
            <v>بلعالية  عبدالقادر</v>
          </cell>
          <cell r="L70" t="str">
            <v>لا شئ</v>
          </cell>
          <cell r="M70" t="str">
            <v>حي 216 سكن سفيزف</v>
          </cell>
        </row>
        <row r="71">
          <cell r="A71">
            <v>64</v>
          </cell>
          <cell r="B71" t="str">
            <v>بن حميميدي  فاطمة الزهراء</v>
          </cell>
          <cell r="C71" t="str">
            <v>بن حميميدي</v>
          </cell>
          <cell r="D71" t="str">
            <v>فاطمة الزهراء</v>
          </cell>
          <cell r="E71">
            <v>36851</v>
          </cell>
          <cell r="F71" t="str">
            <v>سفيزف</v>
          </cell>
          <cell r="G71" t="str">
            <v>3ت واق</v>
          </cell>
          <cell r="H71" t="str">
            <v>خارجية</v>
          </cell>
          <cell r="I71" t="str">
            <v>خ</v>
          </cell>
          <cell r="J71" t="str">
            <v>جمال</v>
          </cell>
          <cell r="K71" t="str">
            <v>بن حميميدي  جمال</v>
          </cell>
          <cell r="L71" t="str">
            <v>متقاعد</v>
          </cell>
          <cell r="M71" t="str">
            <v>شارع جرموني محمد سفيزف</v>
          </cell>
        </row>
        <row r="72">
          <cell r="A72">
            <v>65</v>
          </cell>
          <cell r="B72" t="str">
            <v>بن عطيل  كوثر</v>
          </cell>
          <cell r="C72" t="str">
            <v>بن عطيل</v>
          </cell>
          <cell r="D72" t="str">
            <v>كوثر</v>
          </cell>
          <cell r="E72">
            <v>36083</v>
          </cell>
          <cell r="F72" t="str">
            <v>غليزان</v>
          </cell>
          <cell r="G72" t="str">
            <v>3ت واق</v>
          </cell>
          <cell r="H72" t="str">
            <v>خارجية</v>
          </cell>
          <cell r="I72" t="str">
            <v>خ</v>
          </cell>
          <cell r="J72" t="str">
            <v>بن ذهيبة</v>
          </cell>
          <cell r="K72" t="str">
            <v>بن عطيل  بن ذهيبة</v>
          </cell>
          <cell r="L72" t="str">
            <v>لا شئ</v>
          </cell>
          <cell r="M72" t="str">
            <v>شارع أمزيان بن عبدالله سفيزف</v>
          </cell>
        </row>
        <row r="73">
          <cell r="A73">
            <v>66</v>
          </cell>
          <cell r="B73" t="str">
            <v>بوداود  نبيلة</v>
          </cell>
          <cell r="C73" t="str">
            <v>بوداود</v>
          </cell>
          <cell r="D73" t="str">
            <v>نبيلة</v>
          </cell>
          <cell r="E73">
            <v>36751</v>
          </cell>
          <cell r="F73" t="str">
            <v>سفيزف</v>
          </cell>
          <cell r="G73" t="str">
            <v>3ت واق</v>
          </cell>
          <cell r="H73" t="str">
            <v>خارجية</v>
          </cell>
          <cell r="I73" t="str">
            <v>خ</v>
          </cell>
          <cell r="J73" t="str">
            <v>عبدالقادر</v>
          </cell>
          <cell r="K73" t="str">
            <v>بوداود  عبدالقادر</v>
          </cell>
          <cell r="L73" t="str">
            <v>لا شئ</v>
          </cell>
          <cell r="M73" t="str">
            <v>حي 156 سكن سفيزف</v>
          </cell>
        </row>
        <row r="74">
          <cell r="A74">
            <v>67</v>
          </cell>
          <cell r="B74" t="str">
            <v>بودور  سارة</v>
          </cell>
          <cell r="C74" t="str">
            <v>بودور</v>
          </cell>
          <cell r="D74" t="str">
            <v>سارة</v>
          </cell>
          <cell r="E74">
            <v>35823</v>
          </cell>
          <cell r="F74" t="str">
            <v>سفيزف</v>
          </cell>
          <cell r="G74" t="str">
            <v>3ت واق</v>
          </cell>
          <cell r="H74" t="str">
            <v>خارجية</v>
          </cell>
          <cell r="I74" t="str">
            <v>خ</v>
          </cell>
          <cell r="J74" t="str">
            <v>حنيفي</v>
          </cell>
          <cell r="K74" t="str">
            <v>بودور  حنيفي</v>
          </cell>
          <cell r="L74" t="str">
            <v>بناء</v>
          </cell>
          <cell r="M74" t="str">
            <v>حي 506 سكن سفيزف</v>
          </cell>
          <cell r="O74" t="str">
            <v>شطب 12/10/2017</v>
          </cell>
        </row>
        <row r="75">
          <cell r="A75">
            <v>68</v>
          </cell>
          <cell r="B75" t="str">
            <v>بوزيان  نور الهدى</v>
          </cell>
          <cell r="C75" t="str">
            <v>بوزيان</v>
          </cell>
          <cell r="D75" t="str">
            <v>نور الهدى</v>
          </cell>
          <cell r="E75">
            <v>36269</v>
          </cell>
          <cell r="F75" t="str">
            <v>س بلعباس</v>
          </cell>
          <cell r="G75" t="str">
            <v>3ت واق</v>
          </cell>
          <cell r="H75" t="str">
            <v>خارجية</v>
          </cell>
          <cell r="I75" t="str">
            <v>خ</v>
          </cell>
          <cell r="J75" t="str">
            <v>بوعلام</v>
          </cell>
          <cell r="K75" t="str">
            <v>بوزيان  بوعلام</v>
          </cell>
          <cell r="L75" t="str">
            <v>متقاعد</v>
          </cell>
          <cell r="M75" t="str">
            <v>8حي كشار صحراوي سفيزف</v>
          </cell>
        </row>
        <row r="76">
          <cell r="A76">
            <v>69</v>
          </cell>
          <cell r="B76" t="str">
            <v>بولنوار  أسماء</v>
          </cell>
          <cell r="C76" t="str">
            <v>بولنوار</v>
          </cell>
          <cell r="D76" t="str">
            <v>أسماء</v>
          </cell>
          <cell r="E76">
            <v>36667</v>
          </cell>
          <cell r="F76" t="str">
            <v>سفيزف</v>
          </cell>
          <cell r="G76" t="str">
            <v>3ت واق</v>
          </cell>
          <cell r="H76" t="str">
            <v>خارجية</v>
          </cell>
          <cell r="I76" t="str">
            <v>خ</v>
          </cell>
          <cell r="J76" t="str">
            <v>طيب</v>
          </cell>
          <cell r="K76" t="str">
            <v>بولنوار  طيب</v>
          </cell>
          <cell r="L76" t="str">
            <v>متوفي</v>
          </cell>
          <cell r="M76" t="str">
            <v>نهج كحل السن علي سفيزف</v>
          </cell>
        </row>
        <row r="77">
          <cell r="A77">
            <v>70</v>
          </cell>
          <cell r="B77" t="str">
            <v>توزالة  إيمان نور الهدى</v>
          </cell>
          <cell r="C77" t="str">
            <v>توزالة</v>
          </cell>
          <cell r="D77" t="str">
            <v>إيمان نور الهدى</v>
          </cell>
          <cell r="E77">
            <v>36843</v>
          </cell>
          <cell r="F77" t="str">
            <v>سفيزف</v>
          </cell>
          <cell r="G77" t="str">
            <v>3ت واق</v>
          </cell>
          <cell r="H77" t="str">
            <v>خارجية</v>
          </cell>
          <cell r="I77" t="str">
            <v>خ</v>
          </cell>
          <cell r="J77" t="str">
            <v>محمد</v>
          </cell>
          <cell r="K77" t="str">
            <v>توزالة  محمد</v>
          </cell>
          <cell r="L77" t="str">
            <v>تاجر</v>
          </cell>
          <cell r="M77" t="str">
            <v>شارع عمرون أحمد سفيزف</v>
          </cell>
        </row>
        <row r="78">
          <cell r="A78">
            <v>71</v>
          </cell>
          <cell r="B78" t="str">
            <v>تيرس  فاطمة زهرة منال</v>
          </cell>
          <cell r="C78" t="str">
            <v>تيرس</v>
          </cell>
          <cell r="D78" t="str">
            <v>فاطمة زهرة منال</v>
          </cell>
          <cell r="E78">
            <v>36340</v>
          </cell>
          <cell r="F78" t="str">
            <v>سفيزف</v>
          </cell>
          <cell r="G78" t="str">
            <v>3ت واق</v>
          </cell>
          <cell r="H78" t="str">
            <v>خارجية</v>
          </cell>
          <cell r="I78" t="str">
            <v>خ</v>
          </cell>
          <cell r="J78" t="str">
            <v>عبدالقادر</v>
          </cell>
          <cell r="K78" t="str">
            <v>تيرس  عبدالقادر</v>
          </cell>
          <cell r="L78" t="str">
            <v>متوفي</v>
          </cell>
          <cell r="M78" t="str">
            <v>حي 506سكن سفيزف</v>
          </cell>
        </row>
        <row r="79">
          <cell r="A79">
            <v>72</v>
          </cell>
          <cell r="B79" t="str">
            <v>حفاظ  بشرى</v>
          </cell>
          <cell r="C79" t="str">
            <v>حفاظ</v>
          </cell>
          <cell r="D79" t="str">
            <v>بشرى</v>
          </cell>
          <cell r="E79">
            <v>36814</v>
          </cell>
          <cell r="F79" t="str">
            <v>سفيزف</v>
          </cell>
          <cell r="G79" t="str">
            <v>3ت واق</v>
          </cell>
          <cell r="H79" t="str">
            <v>خارجية</v>
          </cell>
          <cell r="I79" t="str">
            <v>خ</v>
          </cell>
          <cell r="J79" t="str">
            <v>جلول</v>
          </cell>
          <cell r="K79" t="str">
            <v>حفاظ  جلول</v>
          </cell>
          <cell r="L79" t="str">
            <v>فلاح</v>
          </cell>
          <cell r="M79" t="str">
            <v>حي 506 سكن سفيزف</v>
          </cell>
        </row>
        <row r="80">
          <cell r="A80">
            <v>73</v>
          </cell>
          <cell r="B80" t="str">
            <v>زجين  سماح</v>
          </cell>
          <cell r="C80" t="str">
            <v>زجين</v>
          </cell>
          <cell r="D80" t="str">
            <v>سماح</v>
          </cell>
          <cell r="E80">
            <v>36804</v>
          </cell>
          <cell r="F80" t="str">
            <v>سفيزف</v>
          </cell>
          <cell r="G80" t="str">
            <v>3ت واق</v>
          </cell>
          <cell r="H80" t="str">
            <v>خارجية</v>
          </cell>
          <cell r="I80" t="str">
            <v>خ</v>
          </cell>
          <cell r="J80" t="str">
            <v>بن ع الله</v>
          </cell>
          <cell r="K80" t="str">
            <v>زجين  بن ع الله</v>
          </cell>
          <cell r="L80" t="str">
            <v>موظف</v>
          </cell>
          <cell r="M80" t="str">
            <v>حي هواري بومدين سفيزف</v>
          </cell>
        </row>
        <row r="81">
          <cell r="A81">
            <v>74</v>
          </cell>
          <cell r="B81" t="str">
            <v>قايد  فاطمة الزهرة</v>
          </cell>
          <cell r="C81" t="str">
            <v>قايد</v>
          </cell>
          <cell r="D81" t="str">
            <v>فاطمة الزهرة</v>
          </cell>
          <cell r="E81">
            <v>36852</v>
          </cell>
          <cell r="F81" t="str">
            <v>سفيزف</v>
          </cell>
          <cell r="G81" t="str">
            <v>3ت واق</v>
          </cell>
          <cell r="H81" t="str">
            <v>خارجية</v>
          </cell>
          <cell r="I81" t="str">
            <v>خ</v>
          </cell>
          <cell r="J81" t="str">
            <v>عبدالقادر</v>
          </cell>
          <cell r="K81" t="str">
            <v>قايد  عبدالقادر</v>
          </cell>
          <cell r="L81" t="str">
            <v>متقاعد</v>
          </cell>
          <cell r="M81" t="str">
            <v>54شارع عمرون احمد سفيزف</v>
          </cell>
        </row>
        <row r="82">
          <cell r="A82">
            <v>75</v>
          </cell>
          <cell r="B82" t="str">
            <v>كرير  إكرام ملوكة</v>
          </cell>
          <cell r="C82" t="str">
            <v>كرير</v>
          </cell>
          <cell r="D82" t="str">
            <v>إكرام ملوكة</v>
          </cell>
          <cell r="E82">
            <v>36515</v>
          </cell>
          <cell r="F82" t="str">
            <v>سفيزف</v>
          </cell>
          <cell r="G82" t="str">
            <v>3ت واق</v>
          </cell>
          <cell r="H82" t="str">
            <v>خارجية</v>
          </cell>
          <cell r="I82" t="str">
            <v>خ</v>
          </cell>
          <cell r="J82" t="str">
            <v>ميلود</v>
          </cell>
          <cell r="K82" t="str">
            <v>كرير  ميلود</v>
          </cell>
          <cell r="L82" t="str">
            <v>لا شئ</v>
          </cell>
          <cell r="M82" t="str">
            <v>حي 24سكن سفيزف</v>
          </cell>
        </row>
        <row r="83">
          <cell r="A83">
            <v>76</v>
          </cell>
          <cell r="B83" t="str">
            <v>مسعد  فاطيمة الزهرة جهاد</v>
          </cell>
          <cell r="C83" t="str">
            <v>مسعد</v>
          </cell>
          <cell r="D83" t="str">
            <v>فاطيمة الزهرة جهاد</v>
          </cell>
          <cell r="E83">
            <v>36528</v>
          </cell>
          <cell r="F83" t="str">
            <v>سفيزف</v>
          </cell>
          <cell r="G83" t="str">
            <v>3ت واق</v>
          </cell>
          <cell r="H83" t="str">
            <v>خارجية</v>
          </cell>
          <cell r="I83" t="str">
            <v>خ</v>
          </cell>
          <cell r="J83" t="str">
            <v>بغداد</v>
          </cell>
          <cell r="K83" t="str">
            <v>مسعد  بغداد</v>
          </cell>
          <cell r="L83" t="str">
            <v>متقاعد</v>
          </cell>
          <cell r="M83" t="str">
            <v>حي 506 سكن سفيزف</v>
          </cell>
        </row>
        <row r="84">
          <cell r="A84">
            <v>77</v>
          </cell>
          <cell r="B84" t="str">
            <v>مقام  هجيرة</v>
          </cell>
          <cell r="C84" t="str">
            <v>مقام</v>
          </cell>
          <cell r="D84" t="str">
            <v>هجيرة</v>
          </cell>
          <cell r="E84">
            <v>35138</v>
          </cell>
          <cell r="F84" t="str">
            <v>سفيزف</v>
          </cell>
          <cell r="G84" t="str">
            <v>3ت واق</v>
          </cell>
          <cell r="H84" t="str">
            <v>خارجية</v>
          </cell>
          <cell r="I84" t="str">
            <v>خ</v>
          </cell>
          <cell r="J84" t="str">
            <v>جلول</v>
          </cell>
          <cell r="K84" t="str">
            <v>مقام  جلول</v>
          </cell>
          <cell r="L84" t="str">
            <v>لا شئ</v>
          </cell>
          <cell r="M84" t="str">
            <v>حي كشار صحراوي سفيزف</v>
          </cell>
        </row>
        <row r="85">
          <cell r="A85">
            <v>78</v>
          </cell>
          <cell r="B85" t="str">
            <v>ملال  هبة الله</v>
          </cell>
          <cell r="C85" t="str">
            <v>ملال</v>
          </cell>
          <cell r="D85" t="str">
            <v>هبة الله</v>
          </cell>
          <cell r="E85">
            <v>36704</v>
          </cell>
          <cell r="F85" t="str">
            <v>سفيزف</v>
          </cell>
          <cell r="G85" t="str">
            <v>3ت واق</v>
          </cell>
          <cell r="H85" t="str">
            <v>خارجية</v>
          </cell>
          <cell r="I85" t="str">
            <v>خ</v>
          </cell>
          <cell r="J85" t="str">
            <v>احمد</v>
          </cell>
          <cell r="K85" t="str">
            <v>ملال  احمد</v>
          </cell>
          <cell r="L85" t="str">
            <v>لا شئ</v>
          </cell>
          <cell r="M85" t="str">
            <v>نهج حداد قادة سفيزف</v>
          </cell>
        </row>
        <row r="86">
          <cell r="A86">
            <v>79</v>
          </cell>
          <cell r="B86" t="str">
            <v>هازل  مروة فيروز</v>
          </cell>
          <cell r="C86" t="str">
            <v>هازل</v>
          </cell>
          <cell r="D86" t="str">
            <v>مروة فيروز</v>
          </cell>
          <cell r="E86">
            <v>36786</v>
          </cell>
          <cell r="F86" t="str">
            <v xml:space="preserve">سفيزف </v>
          </cell>
          <cell r="G86" t="str">
            <v>3ت واق</v>
          </cell>
          <cell r="H86" t="str">
            <v>خارجية</v>
          </cell>
          <cell r="I86" t="str">
            <v>خ</v>
          </cell>
          <cell r="J86" t="str">
            <v>نصرالدين</v>
          </cell>
          <cell r="K86" t="str">
            <v>هازل  نصرالدين</v>
          </cell>
          <cell r="L86" t="str">
            <v>متوفي</v>
          </cell>
          <cell r="M86" t="str">
            <v>حي 181 سكن سفيزف</v>
          </cell>
        </row>
        <row r="87">
          <cell r="A87">
            <v>80</v>
          </cell>
          <cell r="B87" t="str">
            <v>أوهيبة  بلال</v>
          </cell>
          <cell r="C87" t="str">
            <v>أوهيبة</v>
          </cell>
          <cell r="D87" t="str">
            <v>بلال</v>
          </cell>
          <cell r="E87">
            <v>36485</v>
          </cell>
          <cell r="F87" t="str">
            <v>سفيزف</v>
          </cell>
          <cell r="G87" t="str">
            <v>3ت واق</v>
          </cell>
          <cell r="H87" t="str">
            <v>خارجي</v>
          </cell>
          <cell r="I87" t="str">
            <v>خ</v>
          </cell>
          <cell r="J87" t="str">
            <v>زواوي</v>
          </cell>
          <cell r="K87" t="str">
            <v>أوهيبة  زواوي</v>
          </cell>
          <cell r="L87" t="str">
            <v>لا شئ</v>
          </cell>
          <cell r="M87" t="str">
            <v>حي بوهند يحي سفيزف</v>
          </cell>
        </row>
        <row r="88">
          <cell r="A88">
            <v>81</v>
          </cell>
          <cell r="B88" t="str">
            <v>بلخيري  غانم</v>
          </cell>
          <cell r="C88" t="str">
            <v>بلخيري</v>
          </cell>
          <cell r="D88" t="str">
            <v>غانم</v>
          </cell>
          <cell r="E88">
            <v>37048</v>
          </cell>
          <cell r="F88" t="str">
            <v>تيزي وزو</v>
          </cell>
          <cell r="G88" t="str">
            <v>3ت واق</v>
          </cell>
          <cell r="H88" t="str">
            <v>خارجي</v>
          </cell>
          <cell r="I88" t="str">
            <v>خ</v>
          </cell>
          <cell r="J88" t="str">
            <v>عبدالقادر</v>
          </cell>
          <cell r="K88" t="str">
            <v>بلخيري  عبدالقادر</v>
          </cell>
          <cell r="L88" t="str">
            <v>موظف</v>
          </cell>
          <cell r="M88" t="str">
            <v>02شارع قديح مهاجي سفيزف</v>
          </cell>
        </row>
        <row r="89">
          <cell r="A89">
            <v>82</v>
          </cell>
          <cell r="B89" t="str">
            <v>بلعيني  يحي</v>
          </cell>
          <cell r="C89" t="str">
            <v>بلعيني</v>
          </cell>
          <cell r="D89" t="str">
            <v>يحي</v>
          </cell>
          <cell r="E89">
            <v>36849</v>
          </cell>
          <cell r="F89" t="str">
            <v>سفيزف</v>
          </cell>
          <cell r="G89" t="str">
            <v>3ت واق</v>
          </cell>
          <cell r="H89" t="str">
            <v>خارجي</v>
          </cell>
          <cell r="I89" t="str">
            <v>خ</v>
          </cell>
          <cell r="J89" t="str">
            <v>يحي</v>
          </cell>
          <cell r="K89" t="str">
            <v>بلعيني  يحي</v>
          </cell>
          <cell r="L89" t="str">
            <v>متقاعد</v>
          </cell>
          <cell r="M89" t="str">
            <v>حي 506سكن سفيزف</v>
          </cell>
        </row>
        <row r="90">
          <cell r="A90">
            <v>83</v>
          </cell>
          <cell r="B90" t="str">
            <v>بن سجاد  عبدالرحمان</v>
          </cell>
          <cell r="C90" t="str">
            <v>بن سجاد</v>
          </cell>
          <cell r="D90" t="str">
            <v>عبدالرحمان</v>
          </cell>
          <cell r="E90">
            <v>36975</v>
          </cell>
          <cell r="F90" t="str">
            <v>س بلعباس</v>
          </cell>
          <cell r="G90" t="str">
            <v>3ت واق</v>
          </cell>
          <cell r="H90" t="str">
            <v>خارجي</v>
          </cell>
          <cell r="I90" t="str">
            <v>خ</v>
          </cell>
          <cell r="J90" t="str">
            <v>زواوي</v>
          </cell>
          <cell r="K90" t="str">
            <v>بن سجاد  زواوي</v>
          </cell>
          <cell r="L90" t="str">
            <v>متقاعد</v>
          </cell>
          <cell r="M90" t="str">
            <v>حي 506سكن سفيزف</v>
          </cell>
        </row>
        <row r="91">
          <cell r="A91">
            <v>84</v>
          </cell>
          <cell r="B91" t="str">
            <v>بوخالفة  علي</v>
          </cell>
          <cell r="C91" t="str">
            <v>بوخالفة</v>
          </cell>
          <cell r="D91" t="str">
            <v>علي</v>
          </cell>
          <cell r="E91">
            <v>35975</v>
          </cell>
          <cell r="F91" t="str">
            <v>سفيزف</v>
          </cell>
          <cell r="G91" t="str">
            <v>3ت واق</v>
          </cell>
          <cell r="H91" t="str">
            <v>خارجي</v>
          </cell>
          <cell r="I91" t="str">
            <v>خ</v>
          </cell>
          <cell r="J91" t="str">
            <v>محمد</v>
          </cell>
          <cell r="K91" t="str">
            <v>بوخالفة  محمد</v>
          </cell>
          <cell r="L91" t="str">
            <v>متقاعد</v>
          </cell>
          <cell r="M91" t="str">
            <v>شارع جافي يحي سفيزف</v>
          </cell>
        </row>
        <row r="92">
          <cell r="A92">
            <v>85</v>
          </cell>
          <cell r="B92" t="str">
            <v>بوسدرة  بوعلام</v>
          </cell>
          <cell r="C92" t="str">
            <v>بوسدرة</v>
          </cell>
          <cell r="D92" t="str">
            <v>بوعلام</v>
          </cell>
          <cell r="E92">
            <v>36169</v>
          </cell>
          <cell r="F92" t="str">
            <v>سفيزف</v>
          </cell>
          <cell r="G92" t="str">
            <v>3ت واق</v>
          </cell>
          <cell r="H92" t="str">
            <v>خارجي</v>
          </cell>
          <cell r="I92" t="str">
            <v>خ</v>
          </cell>
          <cell r="J92" t="str">
            <v>احمد</v>
          </cell>
          <cell r="K92" t="str">
            <v>بوسدرة  احمد</v>
          </cell>
          <cell r="L92" t="str">
            <v>فلاح</v>
          </cell>
          <cell r="M92" t="str">
            <v>بني تالة سفيزف</v>
          </cell>
        </row>
        <row r="93">
          <cell r="A93">
            <v>86</v>
          </cell>
          <cell r="B93" t="str">
            <v>بوقناية  عبدالله أنس</v>
          </cell>
          <cell r="C93" t="str">
            <v>بوقناية</v>
          </cell>
          <cell r="D93" t="str">
            <v>عبدالله أنس</v>
          </cell>
          <cell r="E93">
            <v>36529</v>
          </cell>
          <cell r="F93" t="str">
            <v>سفيزف</v>
          </cell>
          <cell r="G93" t="str">
            <v>3ت واق</v>
          </cell>
          <cell r="H93" t="str">
            <v>خارجي</v>
          </cell>
          <cell r="I93" t="str">
            <v>خ</v>
          </cell>
          <cell r="J93" t="str">
            <v>بلعباس</v>
          </cell>
          <cell r="K93" t="str">
            <v>بوقناية  بلعباس</v>
          </cell>
          <cell r="L93" t="str">
            <v>متقاعد</v>
          </cell>
          <cell r="M93" t="str">
            <v>حي 156 سكن سفيزف</v>
          </cell>
        </row>
        <row r="94">
          <cell r="A94">
            <v>87</v>
          </cell>
          <cell r="B94" t="str">
            <v>توزالة  ياسين الحبيب</v>
          </cell>
          <cell r="C94" t="str">
            <v>توزالة</v>
          </cell>
          <cell r="D94" t="str">
            <v>ياسين الحبيب</v>
          </cell>
          <cell r="E94">
            <v>36024</v>
          </cell>
          <cell r="F94" t="str">
            <v>سفيزف</v>
          </cell>
          <cell r="G94" t="str">
            <v>3ت واق</v>
          </cell>
          <cell r="H94" t="str">
            <v>خارجي</v>
          </cell>
          <cell r="I94" t="str">
            <v>خ</v>
          </cell>
          <cell r="J94" t="str">
            <v>محمد</v>
          </cell>
          <cell r="K94" t="str">
            <v>توزالة  محمد</v>
          </cell>
          <cell r="L94" t="str">
            <v>تاجر</v>
          </cell>
          <cell r="M94" t="str">
            <v>42شارع عمرون احمد سفيزف</v>
          </cell>
        </row>
        <row r="95">
          <cell r="A95">
            <v>88</v>
          </cell>
          <cell r="B95" t="str">
            <v>زحيل  هواري</v>
          </cell>
          <cell r="C95" t="str">
            <v>زحيل</v>
          </cell>
          <cell r="D95" t="str">
            <v>هواري</v>
          </cell>
          <cell r="E95">
            <v>36695</v>
          </cell>
          <cell r="F95" t="str">
            <v>وهران</v>
          </cell>
          <cell r="G95" t="str">
            <v>3ت واق</v>
          </cell>
          <cell r="H95" t="str">
            <v>خارجي</v>
          </cell>
          <cell r="I95" t="str">
            <v>خ</v>
          </cell>
          <cell r="J95" t="str">
            <v>بارودي</v>
          </cell>
          <cell r="K95" t="str">
            <v>زحيل  بارودي</v>
          </cell>
          <cell r="L95" t="str">
            <v>متوفي</v>
          </cell>
          <cell r="M95" t="str">
            <v>حي 60سكن سفيزف</v>
          </cell>
        </row>
        <row r="96">
          <cell r="A96">
            <v>89</v>
          </cell>
          <cell r="B96" t="str">
            <v>زمالي  يحي عبدالرحمن</v>
          </cell>
          <cell r="C96" t="str">
            <v>زمالي</v>
          </cell>
          <cell r="D96" t="str">
            <v>يحي عبدالرحمن</v>
          </cell>
          <cell r="E96">
            <v>35876</v>
          </cell>
          <cell r="F96" t="str">
            <v>م ب براهيم</v>
          </cell>
          <cell r="G96" t="str">
            <v>3ت واق</v>
          </cell>
          <cell r="H96" t="str">
            <v>خارجي</v>
          </cell>
          <cell r="I96" t="str">
            <v>خ</v>
          </cell>
          <cell r="J96" t="str">
            <v>لخضر</v>
          </cell>
          <cell r="K96" t="str">
            <v>زمالي  لخضر</v>
          </cell>
          <cell r="L96" t="str">
            <v>متقاعد</v>
          </cell>
          <cell r="M96" t="str">
            <v>حي كشار صحراوي سفيزف</v>
          </cell>
        </row>
        <row r="97">
          <cell r="A97">
            <v>90</v>
          </cell>
          <cell r="B97" t="str">
            <v>زوقاغ  محمد عدنان</v>
          </cell>
          <cell r="C97" t="str">
            <v>زوقاغ</v>
          </cell>
          <cell r="D97" t="str">
            <v>محمد عدنان</v>
          </cell>
          <cell r="E97">
            <v>36974</v>
          </cell>
          <cell r="F97" t="str">
            <v>س بلعباس</v>
          </cell>
          <cell r="G97" t="str">
            <v>3ت واق</v>
          </cell>
          <cell r="H97" t="str">
            <v>خارجي</v>
          </cell>
          <cell r="I97" t="str">
            <v>خ</v>
          </cell>
          <cell r="J97" t="str">
            <v>قادة</v>
          </cell>
          <cell r="K97" t="str">
            <v>زوقاغ  قادة</v>
          </cell>
          <cell r="L97" t="str">
            <v>م مدرسة</v>
          </cell>
          <cell r="M97" t="str">
            <v>حي 506 سكن سفيزف</v>
          </cell>
        </row>
        <row r="98">
          <cell r="A98">
            <v>91</v>
          </cell>
          <cell r="B98" t="str">
            <v>صابري  مروان عبداللطيف</v>
          </cell>
          <cell r="C98" t="str">
            <v>صابري</v>
          </cell>
          <cell r="D98" t="str">
            <v>مروان عبداللطيف</v>
          </cell>
          <cell r="E98">
            <v>36746</v>
          </cell>
          <cell r="F98" t="str">
            <v>س بلعباس</v>
          </cell>
          <cell r="G98" t="str">
            <v>3ت واق</v>
          </cell>
          <cell r="H98" t="str">
            <v>خارجي</v>
          </cell>
          <cell r="I98" t="str">
            <v>خ</v>
          </cell>
          <cell r="J98" t="str">
            <v>ميلود</v>
          </cell>
          <cell r="K98" t="str">
            <v>صابري  ميلود</v>
          </cell>
          <cell r="L98" t="str">
            <v>مدير</v>
          </cell>
          <cell r="M98" t="str">
            <v>حي 506 سكن سفيزف</v>
          </cell>
        </row>
        <row r="99">
          <cell r="A99">
            <v>92</v>
          </cell>
          <cell r="B99" t="str">
            <v>علواني  توفيق</v>
          </cell>
          <cell r="C99" t="str">
            <v>علواني</v>
          </cell>
          <cell r="D99" t="str">
            <v>توفيق</v>
          </cell>
          <cell r="E99">
            <v>35744</v>
          </cell>
          <cell r="F99" t="str">
            <v>م ب براهيم</v>
          </cell>
          <cell r="G99" t="str">
            <v>3ت واق</v>
          </cell>
          <cell r="H99" t="str">
            <v>خارجي</v>
          </cell>
          <cell r="I99" t="str">
            <v>خ</v>
          </cell>
          <cell r="J99" t="str">
            <v>علي</v>
          </cell>
          <cell r="K99" t="str">
            <v>علواني  علي</v>
          </cell>
          <cell r="L99" t="str">
            <v>معلم</v>
          </cell>
          <cell r="M99" t="str">
            <v>حي FNPOST سفيزف</v>
          </cell>
        </row>
        <row r="100">
          <cell r="A100">
            <v>93</v>
          </cell>
          <cell r="B100" t="str">
            <v>لصلح  حمزة</v>
          </cell>
          <cell r="C100" t="str">
            <v>لصلح</v>
          </cell>
          <cell r="D100" t="str">
            <v>حمزة</v>
          </cell>
          <cell r="E100">
            <v>35076</v>
          </cell>
          <cell r="F100" t="str">
            <v>تندوف</v>
          </cell>
          <cell r="G100" t="str">
            <v>3ت واق</v>
          </cell>
          <cell r="H100" t="str">
            <v>خارجي</v>
          </cell>
          <cell r="I100" t="str">
            <v>خ</v>
          </cell>
          <cell r="J100" t="str">
            <v>هاشمي</v>
          </cell>
          <cell r="K100" t="str">
            <v>لصلح  هاشمي</v>
          </cell>
          <cell r="L100" t="str">
            <v>متقاعد</v>
          </cell>
          <cell r="M100" t="str">
            <v>حي 506 سكن سفيزف</v>
          </cell>
        </row>
        <row r="101">
          <cell r="A101">
            <v>94</v>
          </cell>
          <cell r="B101" t="str">
            <v>مكيكة  يحي</v>
          </cell>
          <cell r="C101" t="str">
            <v>مكيكة</v>
          </cell>
          <cell r="D101" t="str">
            <v>يحي</v>
          </cell>
          <cell r="E101">
            <v>36266</v>
          </cell>
          <cell r="F101" t="str">
            <v>سفيزف</v>
          </cell>
          <cell r="G101" t="str">
            <v>3ت واق</v>
          </cell>
          <cell r="H101" t="str">
            <v>خارجي</v>
          </cell>
          <cell r="I101" t="str">
            <v>خ</v>
          </cell>
          <cell r="J101" t="str">
            <v>أحمد</v>
          </cell>
          <cell r="K101" t="str">
            <v>مكيكة  أحمد</v>
          </cell>
          <cell r="L101" t="str">
            <v>تاجر</v>
          </cell>
          <cell r="M101" t="str">
            <v>شارع الخطار بن علي سفيزف</v>
          </cell>
        </row>
        <row r="102">
          <cell r="A102">
            <v>95</v>
          </cell>
          <cell r="B102" t="str">
            <v>عربوز  إكرام</v>
          </cell>
          <cell r="C102" t="str">
            <v>عربوز</v>
          </cell>
          <cell r="D102" t="str">
            <v>إكرام</v>
          </cell>
          <cell r="E102">
            <v>36891</v>
          </cell>
          <cell r="F102" t="str">
            <v>سفيزف</v>
          </cell>
          <cell r="G102" t="str">
            <v>3آ ف</v>
          </cell>
          <cell r="H102" t="str">
            <v>داخلية</v>
          </cell>
          <cell r="I102" t="str">
            <v>د</v>
          </cell>
          <cell r="J102" t="str">
            <v>محمد</v>
          </cell>
          <cell r="K102" t="str">
            <v>عربوز  محمد</v>
          </cell>
          <cell r="L102" t="str">
            <v>عامل</v>
          </cell>
          <cell r="M102" t="str">
            <v>بوجبهة البرج</v>
          </cell>
          <cell r="N102" t="str">
            <v>بوجرارة قادة</v>
          </cell>
          <cell r="O102" t="str">
            <v>24عمرون احمد سفيزف</v>
          </cell>
        </row>
        <row r="103">
          <cell r="A103">
            <v>96</v>
          </cell>
          <cell r="B103" t="str">
            <v>محتوقي  حيزية</v>
          </cell>
          <cell r="C103" t="str">
            <v>محتوقي</v>
          </cell>
          <cell r="D103" t="str">
            <v>حيزية</v>
          </cell>
          <cell r="E103">
            <v>36818</v>
          </cell>
          <cell r="F103" t="str">
            <v>س بلعباس</v>
          </cell>
          <cell r="G103" t="str">
            <v>3آ ف</v>
          </cell>
          <cell r="H103" t="str">
            <v>داخلية</v>
          </cell>
          <cell r="I103" t="str">
            <v>د</v>
          </cell>
          <cell r="J103" t="str">
            <v>مختار</v>
          </cell>
          <cell r="K103" t="str">
            <v>محتوقي  مختار</v>
          </cell>
          <cell r="L103" t="str">
            <v>لا شئ</v>
          </cell>
          <cell r="M103" t="str">
            <v>بوجبهة البرج</v>
          </cell>
          <cell r="N103" t="str">
            <v>روان بن يامنة</v>
          </cell>
          <cell r="O103" t="str">
            <v>نهج بلخيري زيتوني سفيزف</v>
          </cell>
        </row>
        <row r="104">
          <cell r="A104">
            <v>97</v>
          </cell>
          <cell r="B104" t="str">
            <v>البحري  منية</v>
          </cell>
          <cell r="C104" t="str">
            <v>البحري</v>
          </cell>
          <cell r="D104" t="str">
            <v>منية</v>
          </cell>
          <cell r="E104">
            <v>34799</v>
          </cell>
          <cell r="F104" t="str">
            <v>سفيزف</v>
          </cell>
          <cell r="G104" t="str">
            <v>3آ ف</v>
          </cell>
          <cell r="H104" t="str">
            <v>ن داخلية</v>
          </cell>
          <cell r="I104" t="str">
            <v>ن/د</v>
          </cell>
          <cell r="J104" t="str">
            <v>احمد</v>
          </cell>
          <cell r="K104" t="str">
            <v>البحري  احمد</v>
          </cell>
          <cell r="L104" t="str">
            <v>متوفي</v>
          </cell>
          <cell r="M104" t="str">
            <v>مقطع دار سبع  عين ادن</v>
          </cell>
        </row>
        <row r="105">
          <cell r="A105">
            <v>98</v>
          </cell>
          <cell r="B105" t="str">
            <v>بوسطلة  شيماء</v>
          </cell>
          <cell r="C105" t="str">
            <v>بوسطلة</v>
          </cell>
          <cell r="D105" t="str">
            <v>شيماء</v>
          </cell>
          <cell r="E105">
            <v>36922</v>
          </cell>
          <cell r="F105" t="str">
            <v>سفيزف</v>
          </cell>
          <cell r="G105" t="str">
            <v>3آ ف</v>
          </cell>
          <cell r="H105" t="str">
            <v>ن داخلية</v>
          </cell>
          <cell r="I105" t="str">
            <v>ن/د</v>
          </cell>
          <cell r="J105" t="str">
            <v>قويدر</v>
          </cell>
          <cell r="K105" t="str">
            <v>بوسطلة  قويدر</v>
          </cell>
          <cell r="L105" t="str">
            <v>فلاح</v>
          </cell>
          <cell r="M105" t="str">
            <v>قرية بني تالة سفيزف</v>
          </cell>
        </row>
        <row r="106">
          <cell r="A106">
            <v>99</v>
          </cell>
          <cell r="B106" t="str">
            <v>بوشريط  رونق</v>
          </cell>
          <cell r="C106" t="str">
            <v>بوشريط</v>
          </cell>
          <cell r="D106" t="str">
            <v>رونق</v>
          </cell>
          <cell r="E106">
            <v>36358</v>
          </cell>
          <cell r="F106" t="str">
            <v>سيدي لحسن</v>
          </cell>
          <cell r="G106" t="str">
            <v>3آ ف</v>
          </cell>
          <cell r="H106" t="str">
            <v>ن داخلية</v>
          </cell>
          <cell r="I106" t="str">
            <v>ن/د</v>
          </cell>
          <cell r="J106" t="str">
            <v>معاشو</v>
          </cell>
          <cell r="K106" t="str">
            <v>بوشريط  معاشو</v>
          </cell>
          <cell r="L106" t="str">
            <v>لا شئ</v>
          </cell>
          <cell r="M106" t="str">
            <v>عين آدن</v>
          </cell>
        </row>
        <row r="107">
          <cell r="A107">
            <v>100</v>
          </cell>
          <cell r="B107" t="str">
            <v>عدوني  سحمادية</v>
          </cell>
          <cell r="C107" t="str">
            <v>عدوني</v>
          </cell>
          <cell r="D107" t="str">
            <v>سحمادية</v>
          </cell>
          <cell r="E107">
            <v>36446</v>
          </cell>
          <cell r="F107" t="str">
            <v>س بلعباس</v>
          </cell>
          <cell r="G107" t="str">
            <v>3آ ف</v>
          </cell>
          <cell r="H107" t="str">
            <v>ن داخلية</v>
          </cell>
          <cell r="I107" t="str">
            <v>ن/د</v>
          </cell>
          <cell r="J107" t="str">
            <v>يلاحة</v>
          </cell>
          <cell r="K107" t="str">
            <v>عدوني  يلاحة</v>
          </cell>
          <cell r="L107" t="str">
            <v>لا شئ</v>
          </cell>
          <cell r="M107" t="str">
            <v>عين آدن</v>
          </cell>
        </row>
        <row r="108">
          <cell r="A108">
            <v>101</v>
          </cell>
          <cell r="B108" t="str">
            <v>لنوار   منور</v>
          </cell>
          <cell r="C108" t="str">
            <v xml:space="preserve">لنوار </v>
          </cell>
          <cell r="D108" t="str">
            <v>منور</v>
          </cell>
          <cell r="E108">
            <v>36794</v>
          </cell>
          <cell r="F108" t="str">
            <v>س بلعباس</v>
          </cell>
          <cell r="G108" t="str">
            <v>3آ ف</v>
          </cell>
          <cell r="H108" t="str">
            <v>ن داخلي</v>
          </cell>
          <cell r="I108" t="str">
            <v>ن/د</v>
          </cell>
          <cell r="J108" t="str">
            <v>جلول</v>
          </cell>
          <cell r="K108" t="str">
            <v>لنوار   جلول</v>
          </cell>
          <cell r="L108" t="str">
            <v>موظف</v>
          </cell>
          <cell r="M108" t="str">
            <v>عين آدن</v>
          </cell>
        </row>
        <row r="109">
          <cell r="A109">
            <v>102</v>
          </cell>
          <cell r="B109" t="str">
            <v>مناد  خالد</v>
          </cell>
          <cell r="C109" t="str">
            <v>مناد</v>
          </cell>
          <cell r="D109" t="str">
            <v>خالد</v>
          </cell>
          <cell r="E109">
            <v>35482</v>
          </cell>
          <cell r="F109" t="str">
            <v>سفيزف</v>
          </cell>
          <cell r="G109" t="str">
            <v>3آ ف</v>
          </cell>
          <cell r="H109" t="str">
            <v>ن داخلي</v>
          </cell>
          <cell r="I109" t="str">
            <v>ن/د</v>
          </cell>
          <cell r="J109" t="str">
            <v>قادة</v>
          </cell>
          <cell r="K109" t="str">
            <v>مناد  قادة</v>
          </cell>
          <cell r="L109" t="str">
            <v>عامل</v>
          </cell>
          <cell r="M109" t="str">
            <v>قرية بلبوش سفيزف</v>
          </cell>
        </row>
        <row r="110">
          <cell r="A110">
            <v>103</v>
          </cell>
          <cell r="B110" t="str">
            <v>العسري  كوثر</v>
          </cell>
          <cell r="C110" t="str">
            <v>العسري</v>
          </cell>
          <cell r="D110" t="str">
            <v>كوثر</v>
          </cell>
          <cell r="E110">
            <v>36408</v>
          </cell>
          <cell r="F110" t="str">
            <v>سفيزف</v>
          </cell>
          <cell r="G110" t="str">
            <v>3آ ف</v>
          </cell>
          <cell r="H110" t="str">
            <v>خارجية</v>
          </cell>
          <cell r="I110" t="str">
            <v>خ</v>
          </cell>
          <cell r="J110" t="str">
            <v>براهيم</v>
          </cell>
          <cell r="K110" t="str">
            <v>العسري  براهيم</v>
          </cell>
          <cell r="L110" t="str">
            <v>موظف</v>
          </cell>
          <cell r="M110" t="str">
            <v>141حي 506 سكن سفيزف</v>
          </cell>
        </row>
        <row r="111">
          <cell r="A111">
            <v>104</v>
          </cell>
          <cell r="B111" t="str">
            <v>بلالة  بشرى وفاء</v>
          </cell>
          <cell r="C111" t="str">
            <v>بلالة</v>
          </cell>
          <cell r="D111" t="str">
            <v>بشرى وفاء</v>
          </cell>
          <cell r="E111">
            <v>36343</v>
          </cell>
          <cell r="F111" t="str">
            <v>سفيزف</v>
          </cell>
          <cell r="G111" t="str">
            <v>3آ ف</v>
          </cell>
          <cell r="H111" t="str">
            <v>خارجية</v>
          </cell>
          <cell r="I111" t="str">
            <v>خ</v>
          </cell>
          <cell r="J111" t="str">
            <v>يحي</v>
          </cell>
          <cell r="K111" t="str">
            <v>بلالة  يحي</v>
          </cell>
          <cell r="L111" t="str">
            <v>حارس</v>
          </cell>
          <cell r="M111" t="str">
            <v>02شارع بوتنزار محمد سفيزف</v>
          </cell>
        </row>
        <row r="112">
          <cell r="A112">
            <v>105</v>
          </cell>
          <cell r="B112" t="str">
            <v>بوسيف  شيماء</v>
          </cell>
          <cell r="C112" t="str">
            <v>بوسيف</v>
          </cell>
          <cell r="D112" t="str">
            <v>شيماء</v>
          </cell>
          <cell r="E112">
            <v>36889</v>
          </cell>
          <cell r="F112" t="str">
            <v>سفيزف</v>
          </cell>
          <cell r="G112" t="str">
            <v>3آ ف</v>
          </cell>
          <cell r="H112" t="str">
            <v>خارجية</v>
          </cell>
          <cell r="I112" t="str">
            <v>خ</v>
          </cell>
          <cell r="J112" t="str">
            <v>قادة</v>
          </cell>
          <cell r="K112" t="str">
            <v>بوسيف  قادة</v>
          </cell>
          <cell r="L112" t="str">
            <v>ح بلدي</v>
          </cell>
          <cell r="M112" t="str">
            <v>حي برباح مهاجي سفيزف</v>
          </cell>
        </row>
        <row r="113">
          <cell r="A113">
            <v>106</v>
          </cell>
          <cell r="B113" t="str">
            <v>رزوق  أسماء</v>
          </cell>
          <cell r="C113" t="str">
            <v>رزوق</v>
          </cell>
          <cell r="D113" t="str">
            <v>أسماء</v>
          </cell>
          <cell r="E113">
            <v>35808</v>
          </cell>
          <cell r="F113" t="str">
            <v>سفيزف</v>
          </cell>
          <cell r="G113" t="str">
            <v>3آ ف</v>
          </cell>
          <cell r="H113" t="str">
            <v>خارجية</v>
          </cell>
          <cell r="I113" t="str">
            <v>خ</v>
          </cell>
          <cell r="J113" t="str">
            <v>سحنون</v>
          </cell>
          <cell r="K113" t="str">
            <v>رزوق  سحنون</v>
          </cell>
          <cell r="L113" t="str">
            <v>متقاعد</v>
          </cell>
          <cell r="M113" t="str">
            <v>حي 506 سكن سفيزف</v>
          </cell>
        </row>
        <row r="114">
          <cell r="A114">
            <v>107</v>
          </cell>
          <cell r="B114" t="str">
            <v>صارنو  مروة</v>
          </cell>
          <cell r="C114" t="str">
            <v>صارنو</v>
          </cell>
          <cell r="D114" t="str">
            <v>مروة</v>
          </cell>
          <cell r="E114">
            <v>36884</v>
          </cell>
          <cell r="F114" t="str">
            <v>سفيزف</v>
          </cell>
          <cell r="G114" t="str">
            <v>3آ ف</v>
          </cell>
          <cell r="H114" t="str">
            <v>خارجية</v>
          </cell>
          <cell r="I114" t="str">
            <v>خ</v>
          </cell>
          <cell r="J114" t="str">
            <v>لخضر</v>
          </cell>
          <cell r="K114" t="str">
            <v>صارنو  لخضر</v>
          </cell>
          <cell r="L114" t="str">
            <v>متقاعد</v>
          </cell>
          <cell r="M114" t="str">
            <v>حي كشار صحراوي سفيزف</v>
          </cell>
        </row>
        <row r="115">
          <cell r="A115">
            <v>108</v>
          </cell>
          <cell r="B115" t="str">
            <v>قشيح  حنان</v>
          </cell>
          <cell r="C115" t="str">
            <v>قشيح</v>
          </cell>
          <cell r="D115" t="str">
            <v>حنان</v>
          </cell>
          <cell r="E115">
            <v>36086</v>
          </cell>
          <cell r="F115" t="str">
            <v>س بلعباس</v>
          </cell>
          <cell r="G115" t="str">
            <v>3آ ف</v>
          </cell>
          <cell r="H115" t="str">
            <v>خارجية</v>
          </cell>
          <cell r="I115" t="str">
            <v>خ</v>
          </cell>
          <cell r="J115" t="str">
            <v>عمر</v>
          </cell>
          <cell r="K115" t="str">
            <v>قشيح  عمر</v>
          </cell>
          <cell r="L115" t="str">
            <v>لا شئ</v>
          </cell>
          <cell r="M115" t="str">
            <v>نهج فريحي قادة سفيزف</v>
          </cell>
        </row>
        <row r="116">
          <cell r="A116">
            <v>109</v>
          </cell>
          <cell r="B116" t="str">
            <v>مالك  سعدية</v>
          </cell>
          <cell r="C116" t="str">
            <v>مالك</v>
          </cell>
          <cell r="D116" t="str">
            <v>سعدية</v>
          </cell>
          <cell r="E116">
            <v>36548</v>
          </cell>
          <cell r="F116" t="str">
            <v>سفيزف</v>
          </cell>
          <cell r="G116" t="str">
            <v>3آ ف</v>
          </cell>
          <cell r="H116" t="str">
            <v>خارجية</v>
          </cell>
          <cell r="I116" t="str">
            <v>خ</v>
          </cell>
          <cell r="J116" t="str">
            <v>ميسوم</v>
          </cell>
          <cell r="K116" t="str">
            <v>مالك  ميسوم</v>
          </cell>
          <cell r="L116" t="str">
            <v>لا شئ</v>
          </cell>
          <cell r="M116" t="str">
            <v>حي بوهند يحي سفيزف</v>
          </cell>
        </row>
        <row r="117">
          <cell r="A117">
            <v>110</v>
          </cell>
          <cell r="B117" t="str">
            <v>معاشو  خديجة</v>
          </cell>
          <cell r="C117" t="str">
            <v>معاشو</v>
          </cell>
          <cell r="D117" t="str">
            <v>خديجة</v>
          </cell>
          <cell r="E117">
            <v>36597</v>
          </cell>
          <cell r="F117" t="str">
            <v>سفيزف</v>
          </cell>
          <cell r="G117" t="str">
            <v>3آ ف</v>
          </cell>
          <cell r="H117" t="str">
            <v>خارجية</v>
          </cell>
          <cell r="I117" t="str">
            <v>خ</v>
          </cell>
          <cell r="J117" t="str">
            <v>سعيد</v>
          </cell>
          <cell r="K117" t="str">
            <v>معاشو  سعيد</v>
          </cell>
          <cell r="L117" t="str">
            <v>عامل</v>
          </cell>
          <cell r="M117" t="str">
            <v>شارع غليوني يوسف سفيزف</v>
          </cell>
        </row>
        <row r="118">
          <cell r="A118">
            <v>111</v>
          </cell>
          <cell r="B118" t="str">
            <v>براوي  الحاج عبد القادر</v>
          </cell>
          <cell r="C118" t="str">
            <v>براوي</v>
          </cell>
          <cell r="D118" t="str">
            <v>الحاج عبد القادر</v>
          </cell>
          <cell r="E118">
            <v>36579</v>
          </cell>
          <cell r="F118" t="str">
            <v>سفيزف</v>
          </cell>
          <cell r="G118" t="str">
            <v>3آ ف</v>
          </cell>
          <cell r="H118" t="str">
            <v>خارجي</v>
          </cell>
          <cell r="I118" t="str">
            <v>خ</v>
          </cell>
          <cell r="J118" t="str">
            <v>محمد</v>
          </cell>
          <cell r="K118" t="str">
            <v>براوي  محمد</v>
          </cell>
          <cell r="L118" t="str">
            <v>موظف</v>
          </cell>
          <cell r="M118" t="str">
            <v>حي 27 سكن سفيزف</v>
          </cell>
        </row>
        <row r="119">
          <cell r="A119">
            <v>112</v>
          </cell>
          <cell r="B119" t="str">
            <v>بلفكرون  ابو بكر الصديق</v>
          </cell>
          <cell r="C119" t="str">
            <v>بلفكرون</v>
          </cell>
          <cell r="D119" t="str">
            <v>ابو بكر الصديق</v>
          </cell>
          <cell r="E119">
            <v>35548</v>
          </cell>
          <cell r="F119" t="str">
            <v>سفيزف</v>
          </cell>
          <cell r="G119" t="str">
            <v>3آ ف</v>
          </cell>
          <cell r="H119" t="str">
            <v>خارجي</v>
          </cell>
          <cell r="I119" t="str">
            <v>خ</v>
          </cell>
          <cell r="J119" t="str">
            <v>جلول</v>
          </cell>
          <cell r="K119" t="str">
            <v>بلفكرون  جلول</v>
          </cell>
          <cell r="L119" t="str">
            <v>متقاعد</v>
          </cell>
          <cell r="M119" t="str">
            <v>حي 506 سكن  سفيزف</v>
          </cell>
        </row>
        <row r="120">
          <cell r="A120">
            <v>113</v>
          </cell>
          <cell r="B120" t="str">
            <v>بن شيخ  محمد أمين</v>
          </cell>
          <cell r="C120" t="str">
            <v>بن شيخ</v>
          </cell>
          <cell r="D120" t="str">
            <v>محمد أمين</v>
          </cell>
          <cell r="E120">
            <v>35919</v>
          </cell>
          <cell r="F120" t="str">
            <v>س بلعباس</v>
          </cell>
          <cell r="G120" t="str">
            <v>3آ ف</v>
          </cell>
          <cell r="H120" t="str">
            <v>خارجي</v>
          </cell>
          <cell r="I120" t="str">
            <v>خ</v>
          </cell>
          <cell r="J120" t="str">
            <v>قادة</v>
          </cell>
          <cell r="K120" t="str">
            <v>بن شيخ  قادة</v>
          </cell>
          <cell r="L120" t="str">
            <v>إداري</v>
          </cell>
          <cell r="M120" t="str">
            <v>حي20سكن  رقم20 سفيزف</v>
          </cell>
        </row>
        <row r="121">
          <cell r="A121">
            <v>114</v>
          </cell>
          <cell r="B121" t="str">
            <v>بن عربية  نجم الدين</v>
          </cell>
          <cell r="C121" t="str">
            <v>بن عربية</v>
          </cell>
          <cell r="D121" t="str">
            <v>نجم الدين</v>
          </cell>
          <cell r="E121">
            <v>36831</v>
          </cell>
          <cell r="F121" t="str">
            <v>سفيزف</v>
          </cell>
          <cell r="G121" t="str">
            <v>3آ ف</v>
          </cell>
          <cell r="H121" t="str">
            <v>خارجي</v>
          </cell>
          <cell r="I121" t="str">
            <v>خ</v>
          </cell>
          <cell r="J121" t="str">
            <v>رابح</v>
          </cell>
          <cell r="K121" t="str">
            <v>بن عربية  رابح</v>
          </cell>
          <cell r="L121" t="str">
            <v>لحام</v>
          </cell>
          <cell r="M121" t="str">
            <v>حي 506 سكن  سفيزف</v>
          </cell>
        </row>
        <row r="122">
          <cell r="A122">
            <v>115</v>
          </cell>
          <cell r="B122" t="str">
            <v>شباني  سليمان</v>
          </cell>
          <cell r="C122" t="str">
            <v>شباني</v>
          </cell>
          <cell r="D122" t="str">
            <v>سليمان</v>
          </cell>
          <cell r="E122">
            <v>35351</v>
          </cell>
          <cell r="F122" t="str">
            <v>سفيزف</v>
          </cell>
          <cell r="G122" t="str">
            <v>3آ ف</v>
          </cell>
          <cell r="H122" t="str">
            <v>خارجي</v>
          </cell>
          <cell r="I122" t="str">
            <v>خ</v>
          </cell>
          <cell r="J122" t="str">
            <v>عبد الله</v>
          </cell>
          <cell r="K122" t="str">
            <v>شباني  عبد الله</v>
          </cell>
          <cell r="L122" t="str">
            <v>م قرآن</v>
          </cell>
          <cell r="M122" t="str">
            <v>حي 192مسكن سفيزف</v>
          </cell>
          <cell r="O122" t="str">
            <v>شطب 22/10/2017</v>
          </cell>
        </row>
        <row r="123">
          <cell r="A123">
            <v>116</v>
          </cell>
          <cell r="B123" t="str">
            <v>شعيب  ميلود</v>
          </cell>
          <cell r="C123" t="str">
            <v>شعيب</v>
          </cell>
          <cell r="D123" t="str">
            <v>ميلود</v>
          </cell>
          <cell r="E123">
            <v>36852</v>
          </cell>
          <cell r="F123" t="str">
            <v>سفيزف</v>
          </cell>
          <cell r="G123" t="str">
            <v>3آ ف</v>
          </cell>
          <cell r="H123" t="str">
            <v>خارجي</v>
          </cell>
          <cell r="I123" t="str">
            <v>خ</v>
          </cell>
          <cell r="J123" t="str">
            <v>عبدالرحمن</v>
          </cell>
          <cell r="K123" t="str">
            <v>شعيب  عبدالرحمن</v>
          </cell>
          <cell r="L123" t="str">
            <v>متقاعد</v>
          </cell>
          <cell r="M123" t="str">
            <v>حي نواري بن عبدالله سفيزف</v>
          </cell>
        </row>
        <row r="124">
          <cell r="A124">
            <v>117</v>
          </cell>
          <cell r="B124" t="str">
            <v>عبد القادوري  كمال</v>
          </cell>
          <cell r="C124" t="str">
            <v>عبد القادوري</v>
          </cell>
          <cell r="D124" t="str">
            <v>كمال</v>
          </cell>
          <cell r="E124">
            <v>35996</v>
          </cell>
          <cell r="F124" t="str">
            <v>أدرار</v>
          </cell>
          <cell r="G124" t="str">
            <v>3آ ف</v>
          </cell>
          <cell r="H124" t="str">
            <v>خارجي</v>
          </cell>
          <cell r="I124" t="str">
            <v>خ</v>
          </cell>
          <cell r="J124" t="str">
            <v>يحي</v>
          </cell>
          <cell r="K124" t="str">
            <v>عبد القادوري  يحي</v>
          </cell>
          <cell r="L124" t="str">
            <v>متقاعد</v>
          </cell>
          <cell r="M124" t="str">
            <v>حي 181سكن سفيزف</v>
          </cell>
        </row>
        <row r="125">
          <cell r="A125">
            <v>118</v>
          </cell>
          <cell r="B125" t="str">
            <v>عويمر  ياسين</v>
          </cell>
          <cell r="C125" t="str">
            <v>عويمر</v>
          </cell>
          <cell r="D125" t="str">
            <v>ياسين</v>
          </cell>
          <cell r="E125">
            <v>35623</v>
          </cell>
          <cell r="F125" t="str">
            <v>سفيزف</v>
          </cell>
          <cell r="G125" t="str">
            <v>3آ ف</v>
          </cell>
          <cell r="H125" t="str">
            <v>خارجي</v>
          </cell>
          <cell r="I125" t="str">
            <v>خ</v>
          </cell>
          <cell r="J125" t="str">
            <v>لخضر</v>
          </cell>
          <cell r="K125" t="str">
            <v>عويمر  لخضر</v>
          </cell>
          <cell r="L125" t="str">
            <v>متقاعد</v>
          </cell>
          <cell r="M125" t="str">
            <v>حي السوريكور  سفيزف</v>
          </cell>
          <cell r="O125" t="str">
            <v>شطب 23/10/2017</v>
          </cell>
        </row>
        <row r="126">
          <cell r="A126">
            <v>119</v>
          </cell>
          <cell r="B126" t="str">
            <v>قداوي  حسان صلاح الدين</v>
          </cell>
          <cell r="C126" t="str">
            <v>قداوي</v>
          </cell>
          <cell r="D126" t="str">
            <v>حسان صلاح الدين</v>
          </cell>
          <cell r="E126">
            <v>36926</v>
          </cell>
          <cell r="F126" t="str">
            <v>سفيزف</v>
          </cell>
          <cell r="G126" t="str">
            <v>3آ ف</v>
          </cell>
          <cell r="H126" t="str">
            <v>خارجي</v>
          </cell>
          <cell r="I126" t="str">
            <v>خ</v>
          </cell>
          <cell r="J126" t="str">
            <v>زواوي</v>
          </cell>
          <cell r="K126" t="str">
            <v>قداوي  زواوي</v>
          </cell>
          <cell r="L126" t="str">
            <v>ممرض</v>
          </cell>
          <cell r="M126" t="str">
            <v>حي 141 سكن سفيزف</v>
          </cell>
        </row>
        <row r="127">
          <cell r="A127">
            <v>120</v>
          </cell>
          <cell r="B127" t="str">
            <v>مولاي سليمان  محمد حمزة</v>
          </cell>
          <cell r="C127" t="str">
            <v>مولاي سليمان</v>
          </cell>
          <cell r="D127" t="str">
            <v>محمد حمزة</v>
          </cell>
          <cell r="E127">
            <v>36172</v>
          </cell>
          <cell r="F127" t="str">
            <v>سفيزف</v>
          </cell>
          <cell r="G127" t="str">
            <v>3آ ف</v>
          </cell>
          <cell r="H127" t="str">
            <v>خارجي</v>
          </cell>
          <cell r="I127" t="str">
            <v>خ</v>
          </cell>
          <cell r="J127" t="str">
            <v>علي</v>
          </cell>
          <cell r="K127" t="str">
            <v>مولاي سليمان  علي</v>
          </cell>
          <cell r="L127" t="str">
            <v>متوفي</v>
          </cell>
          <cell r="M127" t="str">
            <v>حي 181سكن سفيزف</v>
          </cell>
        </row>
        <row r="128">
          <cell r="A128">
            <v>121</v>
          </cell>
          <cell r="B128" t="str">
            <v>نوالة   ياسين</v>
          </cell>
          <cell r="C128" t="str">
            <v xml:space="preserve">نوالة </v>
          </cell>
          <cell r="D128" t="str">
            <v>ياسين</v>
          </cell>
          <cell r="E128">
            <v>36728</v>
          </cell>
          <cell r="F128" t="str">
            <v>سفيزف</v>
          </cell>
          <cell r="G128" t="str">
            <v>3آ ف</v>
          </cell>
          <cell r="H128" t="str">
            <v>خارجي</v>
          </cell>
          <cell r="I128" t="str">
            <v>خ</v>
          </cell>
          <cell r="J128" t="str">
            <v>محمد</v>
          </cell>
          <cell r="K128" t="str">
            <v>نوالة   محمد</v>
          </cell>
          <cell r="L128" t="str">
            <v>موظف</v>
          </cell>
          <cell r="M128" t="str">
            <v>حي 506 سكن سفيزف</v>
          </cell>
        </row>
        <row r="129">
          <cell r="A129">
            <v>122</v>
          </cell>
          <cell r="B129" t="str">
            <v>مدوني  بشرى</v>
          </cell>
          <cell r="C129" t="str">
            <v>مدوني</v>
          </cell>
          <cell r="D129" t="str">
            <v>بشرى</v>
          </cell>
          <cell r="E129">
            <v>36790</v>
          </cell>
          <cell r="F129" t="str">
            <v>س بلعباس</v>
          </cell>
          <cell r="G129" t="str">
            <v>3ل أ</v>
          </cell>
          <cell r="H129" t="str">
            <v>داخلية</v>
          </cell>
          <cell r="I129" t="str">
            <v>د</v>
          </cell>
          <cell r="J129" t="str">
            <v>عبدالقادر</v>
          </cell>
          <cell r="K129" t="str">
            <v>مدوني  عبدالقادر</v>
          </cell>
          <cell r="L129" t="str">
            <v>متوفى</v>
          </cell>
          <cell r="M129" t="str">
            <v>بوجبهة البرج</v>
          </cell>
          <cell r="N129" t="str">
            <v>عصام ع القادر</v>
          </cell>
          <cell r="O129" t="str">
            <v>08بوسيف العربي سفيزف</v>
          </cell>
        </row>
        <row r="130">
          <cell r="A130">
            <v>123</v>
          </cell>
          <cell r="B130" t="str">
            <v>بوشتة  حليمة</v>
          </cell>
          <cell r="C130" t="str">
            <v>بوشتة</v>
          </cell>
          <cell r="D130" t="str">
            <v>حليمة</v>
          </cell>
          <cell r="E130">
            <v>36448</v>
          </cell>
          <cell r="F130" t="str">
            <v>سفيزف</v>
          </cell>
          <cell r="G130" t="str">
            <v>3ل أ</v>
          </cell>
          <cell r="H130" t="str">
            <v>ن داخلية</v>
          </cell>
          <cell r="I130" t="str">
            <v>ن/د</v>
          </cell>
          <cell r="J130" t="str">
            <v>محمد</v>
          </cell>
          <cell r="K130" t="str">
            <v>بوشتة  محمد</v>
          </cell>
          <cell r="L130" t="str">
            <v>سائق</v>
          </cell>
          <cell r="M130" t="str">
            <v>قرية بلبوش</v>
          </cell>
        </row>
        <row r="131">
          <cell r="A131">
            <v>124</v>
          </cell>
          <cell r="B131" t="str">
            <v>بوشريط  مروة</v>
          </cell>
          <cell r="C131" t="str">
            <v>بوشريط</v>
          </cell>
          <cell r="D131" t="str">
            <v>مروة</v>
          </cell>
          <cell r="E131">
            <v>36503</v>
          </cell>
          <cell r="F131" t="str">
            <v>سفيزف</v>
          </cell>
          <cell r="G131" t="str">
            <v>3ل أ</v>
          </cell>
          <cell r="H131" t="str">
            <v>ن داخلية</v>
          </cell>
          <cell r="I131" t="str">
            <v>ن/د</v>
          </cell>
          <cell r="J131" t="str">
            <v>عبدالقادر</v>
          </cell>
          <cell r="K131" t="str">
            <v>بوشريط  عبدالقادر</v>
          </cell>
          <cell r="L131" t="str">
            <v>لا شئ</v>
          </cell>
          <cell r="M131" t="str">
            <v>مقطع دارسبع عين آدن</v>
          </cell>
        </row>
        <row r="132">
          <cell r="A132">
            <v>125</v>
          </cell>
          <cell r="B132" t="str">
            <v>دادو  عين الناس</v>
          </cell>
          <cell r="C132" t="str">
            <v>دادو</v>
          </cell>
          <cell r="D132" t="str">
            <v>عين الناس</v>
          </cell>
          <cell r="E132">
            <v>36040</v>
          </cell>
          <cell r="F132" t="str">
            <v>وهران</v>
          </cell>
          <cell r="G132" t="str">
            <v>3ل أ</v>
          </cell>
          <cell r="H132" t="str">
            <v>ن داخلية</v>
          </cell>
          <cell r="I132" t="str">
            <v>ن/د</v>
          </cell>
          <cell r="J132" t="str">
            <v>جيلالي</v>
          </cell>
          <cell r="K132" t="str">
            <v>دادو  جيلالي</v>
          </cell>
          <cell r="L132" t="str">
            <v>لا شئ</v>
          </cell>
          <cell r="M132" t="str">
            <v>مقطع دار سبع  عين ادن</v>
          </cell>
        </row>
        <row r="133">
          <cell r="A133">
            <v>126</v>
          </cell>
          <cell r="B133" t="str">
            <v>سعدوني  فافة</v>
          </cell>
          <cell r="C133" t="str">
            <v>سعدوني</v>
          </cell>
          <cell r="D133" t="str">
            <v>فافة</v>
          </cell>
          <cell r="E133">
            <v>36140</v>
          </cell>
          <cell r="F133" t="str">
            <v>م ب براهيم</v>
          </cell>
          <cell r="G133" t="str">
            <v>3ل أ</v>
          </cell>
          <cell r="H133" t="str">
            <v>ن داخلية</v>
          </cell>
          <cell r="I133" t="str">
            <v>ن/د</v>
          </cell>
          <cell r="J133" t="str">
            <v>بلعباس</v>
          </cell>
          <cell r="K133" t="str">
            <v>سعدوني  بلعباس</v>
          </cell>
          <cell r="L133" t="str">
            <v>لا شئ</v>
          </cell>
          <cell r="M133" t="str">
            <v>عين آدن</v>
          </cell>
        </row>
        <row r="134">
          <cell r="A134">
            <v>127</v>
          </cell>
          <cell r="B134" t="str">
            <v>قندوسي  إبتسام</v>
          </cell>
          <cell r="C134" t="str">
            <v>قندوسي</v>
          </cell>
          <cell r="D134" t="str">
            <v>إبتسام</v>
          </cell>
          <cell r="E134">
            <v>36513</v>
          </cell>
          <cell r="F134" t="str">
            <v>سفيزف</v>
          </cell>
          <cell r="G134" t="str">
            <v>3ل أ</v>
          </cell>
          <cell r="H134" t="str">
            <v>ن داخلية</v>
          </cell>
          <cell r="I134" t="str">
            <v>ن/د</v>
          </cell>
          <cell r="J134" t="str">
            <v>ميلود</v>
          </cell>
          <cell r="K134" t="str">
            <v>قندوسي  ميلود</v>
          </cell>
          <cell r="L134" t="str">
            <v>حارس</v>
          </cell>
          <cell r="M134" t="str">
            <v xml:space="preserve"> عين آدن</v>
          </cell>
        </row>
        <row r="135">
          <cell r="A135">
            <v>128</v>
          </cell>
          <cell r="B135" t="str">
            <v>لكحل  سومية</v>
          </cell>
          <cell r="C135" t="str">
            <v>لكحل</v>
          </cell>
          <cell r="D135" t="str">
            <v>سومية</v>
          </cell>
          <cell r="E135">
            <v>36621</v>
          </cell>
          <cell r="F135" t="str">
            <v>عين تموشنت</v>
          </cell>
          <cell r="G135" t="str">
            <v>3ل أ</v>
          </cell>
          <cell r="H135" t="str">
            <v>ن داخلية</v>
          </cell>
          <cell r="I135" t="str">
            <v>ن/د</v>
          </cell>
          <cell r="J135" t="str">
            <v>عباس</v>
          </cell>
          <cell r="K135" t="str">
            <v>لكحل  عباس</v>
          </cell>
          <cell r="L135" t="str">
            <v>متقاعد</v>
          </cell>
          <cell r="M135" t="str">
            <v>مقطع دارسبع عين آدن</v>
          </cell>
        </row>
        <row r="136">
          <cell r="A136">
            <v>129</v>
          </cell>
          <cell r="B136" t="str">
            <v>بن قريرة  مريم</v>
          </cell>
          <cell r="C136" t="str">
            <v>بن قريرة</v>
          </cell>
          <cell r="D136" t="str">
            <v>مريم</v>
          </cell>
          <cell r="E136">
            <v>36622</v>
          </cell>
          <cell r="F136" t="str">
            <v>سفيزف</v>
          </cell>
          <cell r="G136" t="str">
            <v>3ل أ</v>
          </cell>
          <cell r="H136" t="str">
            <v>خارجية</v>
          </cell>
          <cell r="I136" t="str">
            <v>خ</v>
          </cell>
          <cell r="J136" t="str">
            <v>أيوب</v>
          </cell>
          <cell r="K136" t="str">
            <v>بن قريرة  أيوب</v>
          </cell>
          <cell r="L136" t="str">
            <v>مفتش</v>
          </cell>
          <cell r="M136" t="str">
            <v>حي 214سكن  سفيزف</v>
          </cell>
        </row>
        <row r="137">
          <cell r="A137">
            <v>130</v>
          </cell>
          <cell r="B137" t="str">
            <v>بوعلام  رشا وئام</v>
          </cell>
          <cell r="C137" t="str">
            <v>بوعلام</v>
          </cell>
          <cell r="D137" t="str">
            <v>رشا وئام</v>
          </cell>
          <cell r="E137">
            <v>36418</v>
          </cell>
          <cell r="F137" t="str">
            <v>الرمشي</v>
          </cell>
          <cell r="G137" t="str">
            <v>3ل أ</v>
          </cell>
          <cell r="H137" t="str">
            <v>خارجية</v>
          </cell>
          <cell r="I137" t="str">
            <v>خ</v>
          </cell>
          <cell r="J137" t="str">
            <v>منصور</v>
          </cell>
          <cell r="K137" t="str">
            <v>بوعلام  منصور</v>
          </cell>
          <cell r="L137" t="str">
            <v>متقاعد</v>
          </cell>
          <cell r="M137" t="str">
            <v>حي 141 سكن سفيزف</v>
          </cell>
        </row>
        <row r="138">
          <cell r="A138">
            <v>131</v>
          </cell>
          <cell r="B138" t="str">
            <v>حميدة  سعاد</v>
          </cell>
          <cell r="C138" t="str">
            <v>حميدة</v>
          </cell>
          <cell r="D138" t="str">
            <v>سعاد</v>
          </cell>
          <cell r="E138">
            <v>36812</v>
          </cell>
          <cell r="F138" t="str">
            <v>سفيزف</v>
          </cell>
          <cell r="G138" t="str">
            <v>3ل أ</v>
          </cell>
          <cell r="H138" t="str">
            <v>خارجية</v>
          </cell>
          <cell r="I138" t="str">
            <v>خ</v>
          </cell>
          <cell r="J138" t="str">
            <v>بن عيسى</v>
          </cell>
          <cell r="K138" t="str">
            <v>حميدة  بن عيسى</v>
          </cell>
          <cell r="L138" t="str">
            <v>شرطي</v>
          </cell>
          <cell r="M138" t="str">
            <v>حي 72 سكن سفيزف</v>
          </cell>
        </row>
        <row r="139">
          <cell r="A139">
            <v>132</v>
          </cell>
          <cell r="B139" t="str">
            <v>لعسل  كوثر</v>
          </cell>
          <cell r="C139" t="str">
            <v>لعسل</v>
          </cell>
          <cell r="D139" t="str">
            <v>كوثر</v>
          </cell>
          <cell r="E139">
            <v>36950</v>
          </cell>
          <cell r="F139" t="str">
            <v>سفيزف</v>
          </cell>
          <cell r="G139" t="str">
            <v>3ل أ</v>
          </cell>
          <cell r="H139" t="str">
            <v>خارجية</v>
          </cell>
          <cell r="I139" t="str">
            <v>خ</v>
          </cell>
          <cell r="J139" t="str">
            <v>محمد</v>
          </cell>
          <cell r="K139" t="str">
            <v>لعسل  محمد</v>
          </cell>
          <cell r="L139" t="str">
            <v>موظف</v>
          </cell>
          <cell r="M139" t="str">
            <v>حي32 سكن -زبلاح سفيزف</v>
          </cell>
        </row>
        <row r="140">
          <cell r="A140">
            <v>133</v>
          </cell>
          <cell r="B140" t="str">
            <v>بن يوسف  محمد أمين</v>
          </cell>
          <cell r="C140" t="str">
            <v>بن يوسف</v>
          </cell>
          <cell r="D140" t="str">
            <v>محمد أمين</v>
          </cell>
          <cell r="E140">
            <v>35725</v>
          </cell>
          <cell r="F140" t="str">
            <v>تندوف</v>
          </cell>
          <cell r="G140" t="str">
            <v>3ل أ</v>
          </cell>
          <cell r="H140" t="str">
            <v>خارجي</v>
          </cell>
          <cell r="I140" t="str">
            <v>خ</v>
          </cell>
          <cell r="J140" t="str">
            <v>باهي</v>
          </cell>
          <cell r="K140" t="str">
            <v>بن يوسف  باهي</v>
          </cell>
          <cell r="L140" t="str">
            <v>متقاعد</v>
          </cell>
          <cell r="M140" t="str">
            <v>حي 216 سكن  سفيزف</v>
          </cell>
        </row>
        <row r="141">
          <cell r="A141">
            <v>134</v>
          </cell>
          <cell r="B141" t="str">
            <v>بورزيق  محمد عبدالحميد</v>
          </cell>
          <cell r="C141" t="str">
            <v>بورزيق</v>
          </cell>
          <cell r="D141" t="str">
            <v>محمد عبدالحميد</v>
          </cell>
          <cell r="E141">
            <v>36824</v>
          </cell>
          <cell r="F141" t="str">
            <v>سفيزف</v>
          </cell>
          <cell r="G141" t="str">
            <v>3ل أ</v>
          </cell>
          <cell r="H141" t="str">
            <v>خارجي</v>
          </cell>
          <cell r="I141" t="str">
            <v>خ</v>
          </cell>
          <cell r="J141" t="str">
            <v>عبدالقادر</v>
          </cell>
          <cell r="K141" t="str">
            <v>بورزيق  عبدالقادر</v>
          </cell>
          <cell r="L141" t="str">
            <v>متقاعد</v>
          </cell>
          <cell r="M141" t="str">
            <v>7شارع الإخوة يملول سفيزف</v>
          </cell>
        </row>
        <row r="142">
          <cell r="A142">
            <v>135</v>
          </cell>
          <cell r="B142" t="str">
            <v>بحيري  حكيمة</v>
          </cell>
          <cell r="C142" t="str">
            <v>بحيري</v>
          </cell>
          <cell r="D142" t="str">
            <v>حكيمة</v>
          </cell>
          <cell r="E142">
            <v>37203</v>
          </cell>
          <cell r="F142" t="str">
            <v>سفيزف</v>
          </cell>
          <cell r="G142" t="str">
            <v>2ت ر</v>
          </cell>
          <cell r="H142" t="str">
            <v>ن داخلية</v>
          </cell>
          <cell r="I142" t="str">
            <v>ن/د</v>
          </cell>
          <cell r="J142" t="str">
            <v>أحمد</v>
          </cell>
          <cell r="K142" t="str">
            <v>بحيري  أحمد</v>
          </cell>
          <cell r="L142" t="str">
            <v>حارس</v>
          </cell>
          <cell r="M142" t="str">
            <v>عين أدن</v>
          </cell>
        </row>
        <row r="143">
          <cell r="A143">
            <v>136</v>
          </cell>
          <cell r="B143" t="str">
            <v>ضليمي  عبير مباركة</v>
          </cell>
          <cell r="C143" t="str">
            <v>ضليمي</v>
          </cell>
          <cell r="D143" t="str">
            <v>عبير مباركة</v>
          </cell>
          <cell r="E143">
            <v>37242</v>
          </cell>
          <cell r="F143" t="str">
            <v>س بلعباس</v>
          </cell>
          <cell r="G143" t="str">
            <v>2ت ر</v>
          </cell>
          <cell r="H143" t="str">
            <v>ن داخلية</v>
          </cell>
          <cell r="I143" t="str">
            <v>ن/د</v>
          </cell>
          <cell r="J143" t="str">
            <v xml:space="preserve">أحمد </v>
          </cell>
          <cell r="K143" t="str">
            <v xml:space="preserve">ضليمي  أحمد </v>
          </cell>
          <cell r="L143" t="str">
            <v>موظف</v>
          </cell>
          <cell r="M143" t="str">
            <v>عين أدن</v>
          </cell>
        </row>
        <row r="144">
          <cell r="A144">
            <v>137</v>
          </cell>
          <cell r="B144" t="str">
            <v>العكرمي  فاطمة الزهراء</v>
          </cell>
          <cell r="C144" t="str">
            <v>العكرمي</v>
          </cell>
          <cell r="D144" t="str">
            <v>فاطمة الزهراء</v>
          </cell>
          <cell r="E144">
            <v>37044</v>
          </cell>
          <cell r="F144" t="str">
            <v>س بلعباس</v>
          </cell>
          <cell r="G144" t="str">
            <v>2ت ر</v>
          </cell>
          <cell r="H144" t="str">
            <v>خارجية</v>
          </cell>
          <cell r="I144" t="str">
            <v>خ</v>
          </cell>
          <cell r="J144" t="str">
            <v>محمد</v>
          </cell>
          <cell r="K144" t="str">
            <v>العكرمي  محمد</v>
          </cell>
          <cell r="L144" t="str">
            <v>متقاعد</v>
          </cell>
          <cell r="M144" t="str">
            <v>1حي سيدي بومدين سفيزف</v>
          </cell>
        </row>
        <row r="145">
          <cell r="A145">
            <v>138</v>
          </cell>
          <cell r="B145" t="str">
            <v>بوتنزار  أسماء</v>
          </cell>
          <cell r="C145" t="str">
            <v>بوتنزار</v>
          </cell>
          <cell r="D145" t="str">
            <v>أسماء</v>
          </cell>
          <cell r="E145">
            <v>37138</v>
          </cell>
          <cell r="F145" t="str">
            <v>سفيزف</v>
          </cell>
          <cell r="G145" t="str">
            <v>2ت ر</v>
          </cell>
          <cell r="H145" t="str">
            <v>خارجية</v>
          </cell>
          <cell r="I145" t="str">
            <v>خ</v>
          </cell>
          <cell r="J145" t="str">
            <v>الطيب</v>
          </cell>
          <cell r="K145" t="str">
            <v>بوتنزار  الطيب</v>
          </cell>
          <cell r="L145" t="str">
            <v>موظف</v>
          </cell>
          <cell r="M145" t="str">
            <v>حي 27سكن سفيزف</v>
          </cell>
        </row>
        <row r="146">
          <cell r="A146">
            <v>139</v>
          </cell>
          <cell r="B146" t="str">
            <v>بوعود  بشرى</v>
          </cell>
          <cell r="C146" t="str">
            <v>بوعود</v>
          </cell>
          <cell r="D146" t="str">
            <v>بشرى</v>
          </cell>
          <cell r="E146">
            <v>37059</v>
          </cell>
          <cell r="F146" t="str">
            <v>سفيزف</v>
          </cell>
          <cell r="G146" t="str">
            <v>2ت ر</v>
          </cell>
          <cell r="H146" t="str">
            <v>خارجية</v>
          </cell>
          <cell r="I146" t="str">
            <v>خ</v>
          </cell>
          <cell r="J146" t="str">
            <v>عبدالقادر</v>
          </cell>
          <cell r="K146" t="str">
            <v>بوعود  عبدالقادر</v>
          </cell>
          <cell r="L146" t="str">
            <v>متقاعد</v>
          </cell>
          <cell r="M146" t="str">
            <v>حي 141سكن سفيزف</v>
          </cell>
        </row>
        <row r="147">
          <cell r="A147">
            <v>140</v>
          </cell>
          <cell r="B147" t="str">
            <v>طيبي  إبتسام</v>
          </cell>
          <cell r="C147" t="str">
            <v>طيبي</v>
          </cell>
          <cell r="D147" t="str">
            <v>إبتسام</v>
          </cell>
          <cell r="E147">
            <v>37398</v>
          </cell>
          <cell r="F147" t="str">
            <v>س بلعباس</v>
          </cell>
          <cell r="G147" t="str">
            <v>2ت ر</v>
          </cell>
          <cell r="H147" t="str">
            <v>خارجية</v>
          </cell>
          <cell r="I147" t="str">
            <v>خ</v>
          </cell>
          <cell r="J147" t="str">
            <v>نصر الدين زواوي</v>
          </cell>
          <cell r="K147" t="str">
            <v>طيبي  نصر الدين زواوي</v>
          </cell>
          <cell r="L147" t="str">
            <v>أستاذ</v>
          </cell>
          <cell r="M147" t="str">
            <v>حي 214سكن سفيزف</v>
          </cell>
        </row>
        <row r="148">
          <cell r="A148">
            <v>141</v>
          </cell>
          <cell r="B148" t="str">
            <v>عمرون  مريم</v>
          </cell>
          <cell r="C148" t="str">
            <v>عمرون</v>
          </cell>
          <cell r="D148" t="str">
            <v>مريم</v>
          </cell>
          <cell r="E148">
            <v>37341</v>
          </cell>
          <cell r="F148" t="str">
            <v>سفيزف</v>
          </cell>
          <cell r="G148" t="str">
            <v>2ت ر</v>
          </cell>
          <cell r="H148" t="str">
            <v>خارجية</v>
          </cell>
          <cell r="I148" t="str">
            <v>خ</v>
          </cell>
          <cell r="J148" t="str">
            <v>بن يمينة</v>
          </cell>
          <cell r="K148" t="str">
            <v>عمرون  بن يمينة</v>
          </cell>
          <cell r="L148" t="str">
            <v>متقاعد</v>
          </cell>
          <cell r="M148" t="str">
            <v>حي 181سكن سفيزف</v>
          </cell>
        </row>
        <row r="149">
          <cell r="A149">
            <v>142</v>
          </cell>
          <cell r="B149" t="str">
            <v>منصورة  إكرام</v>
          </cell>
          <cell r="C149" t="str">
            <v>منصورة</v>
          </cell>
          <cell r="D149" t="str">
            <v>إكرام</v>
          </cell>
          <cell r="E149">
            <v>37035</v>
          </cell>
          <cell r="F149" t="str">
            <v>سفيزف</v>
          </cell>
          <cell r="G149" t="str">
            <v>2ت ر</v>
          </cell>
          <cell r="H149" t="str">
            <v>خارجية</v>
          </cell>
          <cell r="I149" t="str">
            <v>خ</v>
          </cell>
          <cell r="J149" t="str">
            <v>مهاجي</v>
          </cell>
          <cell r="K149" t="str">
            <v>منصورة  مهاجي</v>
          </cell>
          <cell r="L149" t="str">
            <v>متقاعد</v>
          </cell>
          <cell r="M149" t="str">
            <v>حي 117سكن مرابط بومدين سفيزف</v>
          </cell>
        </row>
        <row r="150">
          <cell r="A150">
            <v>143</v>
          </cell>
          <cell r="B150" t="str">
            <v>بلجريوات  بوعلام</v>
          </cell>
          <cell r="C150" t="str">
            <v>بلجريوات</v>
          </cell>
          <cell r="D150" t="str">
            <v>بوعلام</v>
          </cell>
          <cell r="E150">
            <v>37267</v>
          </cell>
          <cell r="F150" t="str">
            <v>سفيزف</v>
          </cell>
          <cell r="G150" t="str">
            <v>2ت ر</v>
          </cell>
          <cell r="H150" t="str">
            <v>خارجي</v>
          </cell>
          <cell r="I150" t="str">
            <v>خ</v>
          </cell>
          <cell r="J150" t="str">
            <v>الحبيب</v>
          </cell>
          <cell r="K150" t="str">
            <v>بلجريوات  الحبيب</v>
          </cell>
          <cell r="L150" t="str">
            <v>ممرض</v>
          </cell>
          <cell r="M150" t="str">
            <v>شارع  عمرون يحي سفيزف</v>
          </cell>
        </row>
        <row r="151">
          <cell r="A151">
            <v>144</v>
          </cell>
          <cell r="B151" t="str">
            <v>بن أحمد  محمد أمين</v>
          </cell>
          <cell r="C151" t="str">
            <v>بن أحمد</v>
          </cell>
          <cell r="D151" t="str">
            <v>محمد أمين</v>
          </cell>
          <cell r="E151">
            <v>37421</v>
          </cell>
          <cell r="F151" t="str">
            <v>س بلعباس</v>
          </cell>
          <cell r="G151" t="str">
            <v>2ت ر</v>
          </cell>
          <cell r="H151" t="str">
            <v>خارجي</v>
          </cell>
          <cell r="I151" t="str">
            <v>خ</v>
          </cell>
          <cell r="J151" t="str">
            <v>أحمد</v>
          </cell>
          <cell r="K151" t="str">
            <v>بن أحمد  أحمد</v>
          </cell>
          <cell r="L151" t="str">
            <v>مدير مؤس</v>
          </cell>
          <cell r="M151" t="str">
            <v>حي 506سكن سفيزف</v>
          </cell>
        </row>
        <row r="152">
          <cell r="A152">
            <v>145</v>
          </cell>
          <cell r="B152" t="str">
            <v>بن قانة  أيمن</v>
          </cell>
          <cell r="C152" t="str">
            <v>بن قانة</v>
          </cell>
          <cell r="D152" t="str">
            <v>أيمن</v>
          </cell>
          <cell r="E152">
            <v>37277</v>
          </cell>
          <cell r="F152" t="str">
            <v>سفيزف</v>
          </cell>
          <cell r="G152" t="str">
            <v>2ت ر</v>
          </cell>
          <cell r="H152" t="str">
            <v>خارجي</v>
          </cell>
          <cell r="I152" t="str">
            <v>خ</v>
          </cell>
          <cell r="J152" t="str">
            <v>بن دحو</v>
          </cell>
          <cell r="K152" t="str">
            <v>بن قانة  بن دحو</v>
          </cell>
          <cell r="L152" t="str">
            <v>لا شئ</v>
          </cell>
          <cell r="M152" t="str">
            <v>حي 506سكن سفيزف</v>
          </cell>
        </row>
        <row r="153">
          <cell r="A153">
            <v>146</v>
          </cell>
          <cell r="B153" t="str">
            <v>ترزي  مصطفى أحمد</v>
          </cell>
          <cell r="C153" t="str">
            <v>ترزي</v>
          </cell>
          <cell r="D153" t="str">
            <v>مصطفى أحمد</v>
          </cell>
          <cell r="E153">
            <v>37041</v>
          </cell>
          <cell r="F153" t="str">
            <v>سفيزف</v>
          </cell>
          <cell r="G153" t="str">
            <v>2ت ر</v>
          </cell>
          <cell r="H153" t="str">
            <v>خارجي</v>
          </cell>
          <cell r="I153" t="str">
            <v>خ</v>
          </cell>
          <cell r="J153" t="str">
            <v>الجيلالي</v>
          </cell>
          <cell r="K153" t="str">
            <v>ترزي  الجيلالي</v>
          </cell>
          <cell r="L153" t="str">
            <v>متقاعد</v>
          </cell>
          <cell r="M153" t="str">
            <v>حي32سكن سفيزف</v>
          </cell>
        </row>
        <row r="154">
          <cell r="A154">
            <v>147</v>
          </cell>
          <cell r="B154" t="str">
            <v xml:space="preserve">جرموني  معاذ </v>
          </cell>
          <cell r="C154" t="str">
            <v>جرموني</v>
          </cell>
          <cell r="D154" t="str">
            <v xml:space="preserve">معاذ </v>
          </cell>
          <cell r="E154">
            <v>36995</v>
          </cell>
          <cell r="F154" t="str">
            <v>سفيزف</v>
          </cell>
          <cell r="G154" t="str">
            <v>2ت ر</v>
          </cell>
          <cell r="H154" t="str">
            <v>خارجي</v>
          </cell>
          <cell r="I154" t="str">
            <v>خ</v>
          </cell>
          <cell r="J154" t="str">
            <v>عمر</v>
          </cell>
          <cell r="K154" t="str">
            <v>جرموني  عمر</v>
          </cell>
          <cell r="L154" t="str">
            <v>لا شئ</v>
          </cell>
          <cell r="M154" t="str">
            <v>حي 100سكن المشتلة سفيزف</v>
          </cell>
        </row>
        <row r="155">
          <cell r="A155">
            <v>148</v>
          </cell>
          <cell r="B155" t="str">
            <v>ريغي  رفيق حسان</v>
          </cell>
          <cell r="C155" t="str">
            <v>ريغي</v>
          </cell>
          <cell r="D155" t="str">
            <v>رفيق حسان</v>
          </cell>
          <cell r="E155">
            <v>37449</v>
          </cell>
          <cell r="F155" t="str">
            <v>س بلعباس</v>
          </cell>
          <cell r="G155" t="str">
            <v>2ت ر</v>
          </cell>
          <cell r="H155" t="str">
            <v>خارجي</v>
          </cell>
          <cell r="I155" t="str">
            <v>خ</v>
          </cell>
          <cell r="J155" t="str">
            <v>عبدالقادر</v>
          </cell>
          <cell r="K155" t="str">
            <v>ريغي  عبدالقادر</v>
          </cell>
          <cell r="L155" t="str">
            <v>متقاعد</v>
          </cell>
          <cell r="M155" t="str">
            <v>حي 156سكن سفيزف</v>
          </cell>
        </row>
        <row r="156">
          <cell r="A156">
            <v>149</v>
          </cell>
          <cell r="B156" t="str">
            <v>زعقوق  عبدالحكيم</v>
          </cell>
          <cell r="C156" t="str">
            <v>زعقوق</v>
          </cell>
          <cell r="D156" t="str">
            <v>عبدالحكيم</v>
          </cell>
          <cell r="E156">
            <v>37156</v>
          </cell>
          <cell r="F156" t="str">
            <v>سفيزف</v>
          </cell>
          <cell r="G156" t="str">
            <v>2ت ر</v>
          </cell>
          <cell r="H156" t="str">
            <v>خارجي</v>
          </cell>
          <cell r="I156" t="str">
            <v>خ</v>
          </cell>
          <cell r="J156" t="str">
            <v>عيسى</v>
          </cell>
          <cell r="K156" t="str">
            <v>زعقوق  عيسى</v>
          </cell>
          <cell r="L156" t="str">
            <v>موظف</v>
          </cell>
          <cell r="M156" t="str">
            <v>حي 40سكن بوهند يحي سفيزف</v>
          </cell>
        </row>
        <row r="157">
          <cell r="A157">
            <v>150</v>
          </cell>
          <cell r="B157" t="str">
            <v>طيبي  هشام</v>
          </cell>
          <cell r="C157" t="str">
            <v>طيبي</v>
          </cell>
          <cell r="D157" t="str">
            <v>هشام</v>
          </cell>
          <cell r="E157">
            <v>37375</v>
          </cell>
          <cell r="F157" t="str">
            <v>سفيزف</v>
          </cell>
          <cell r="G157" t="str">
            <v>2ت ر</v>
          </cell>
          <cell r="H157" t="str">
            <v>خارجي</v>
          </cell>
          <cell r="I157" t="str">
            <v>خ</v>
          </cell>
          <cell r="J157" t="str">
            <v>مولاي</v>
          </cell>
          <cell r="K157" t="str">
            <v>طيبي  مولاي</v>
          </cell>
          <cell r="L157" t="str">
            <v>لا شئ</v>
          </cell>
          <cell r="M157" t="str">
            <v>حي 181سكن سفيزف</v>
          </cell>
        </row>
        <row r="158">
          <cell r="A158">
            <v>151</v>
          </cell>
          <cell r="B158" t="str">
            <v>معمر   محمد الأمين</v>
          </cell>
          <cell r="C158" t="str">
            <v xml:space="preserve">معمر </v>
          </cell>
          <cell r="D158" t="str">
            <v>محمد الأمين</v>
          </cell>
          <cell r="E158">
            <v>36906</v>
          </cell>
          <cell r="F158" t="str">
            <v>سفيزف</v>
          </cell>
          <cell r="G158" t="str">
            <v>2ت ر</v>
          </cell>
          <cell r="H158" t="str">
            <v>خارجي</v>
          </cell>
          <cell r="I158" t="str">
            <v>خ</v>
          </cell>
          <cell r="J158" t="str">
            <v>أحمد</v>
          </cell>
          <cell r="K158" t="str">
            <v>معمر   أحمد</v>
          </cell>
          <cell r="L158" t="str">
            <v>متقاعد</v>
          </cell>
          <cell r="M158" t="str">
            <v>شارع عربوز عبد القادر سفيزف</v>
          </cell>
        </row>
        <row r="159">
          <cell r="A159">
            <v>152</v>
          </cell>
          <cell r="B159" t="str">
            <v>بكري  أسماء</v>
          </cell>
          <cell r="C159" t="str">
            <v>بكري</v>
          </cell>
          <cell r="D159" t="str">
            <v>أسماء</v>
          </cell>
          <cell r="E159">
            <v>37298</v>
          </cell>
          <cell r="F159" t="str">
            <v>س بلعباس</v>
          </cell>
          <cell r="G159" t="str">
            <v>2ع ت1</v>
          </cell>
          <cell r="H159" t="str">
            <v>داخلية</v>
          </cell>
          <cell r="I159" t="str">
            <v>د</v>
          </cell>
          <cell r="J159" t="str">
            <v>عبدالقادر</v>
          </cell>
          <cell r="K159" t="str">
            <v>بكري  عبدالقادر</v>
          </cell>
          <cell r="L159" t="str">
            <v>لا شئ</v>
          </cell>
          <cell r="M159" t="str">
            <v>درار الخلايفية تلموني</v>
          </cell>
          <cell r="N159" t="str">
            <v xml:space="preserve">بلعاشي زواوي </v>
          </cell>
          <cell r="O159" t="str">
            <v>ثانوية بوخلدة ع القادر سفيزف</v>
          </cell>
        </row>
        <row r="160">
          <cell r="A160">
            <v>153</v>
          </cell>
          <cell r="B160" t="str">
            <v>فكروني  حكيمة</v>
          </cell>
          <cell r="C160" t="str">
            <v>فكروني</v>
          </cell>
          <cell r="D160" t="str">
            <v>حكيمة</v>
          </cell>
          <cell r="E160">
            <v>37210</v>
          </cell>
          <cell r="F160" t="str">
            <v>س بلعباس</v>
          </cell>
          <cell r="G160" t="str">
            <v>2ع ت1</v>
          </cell>
          <cell r="H160" t="str">
            <v>داخلية</v>
          </cell>
          <cell r="I160" t="str">
            <v>د</v>
          </cell>
          <cell r="J160" t="str">
            <v>محتار</v>
          </cell>
          <cell r="K160" t="str">
            <v>فكروني  محتار</v>
          </cell>
          <cell r="L160" t="str">
            <v>موظف</v>
          </cell>
          <cell r="M160" t="str">
            <v>حي 24 سكن واد المبطوح</v>
          </cell>
          <cell r="N160" t="str">
            <v>عرباوي ميلود</v>
          </cell>
          <cell r="O160" t="str">
            <v>برباح حبيب رقم 5 سفيزف</v>
          </cell>
        </row>
        <row r="161">
          <cell r="A161">
            <v>154</v>
          </cell>
          <cell r="B161" t="str">
            <v>غوبالي  إلياس</v>
          </cell>
          <cell r="C161" t="str">
            <v>غوبالي</v>
          </cell>
          <cell r="D161" t="str">
            <v>إلياس</v>
          </cell>
          <cell r="E161">
            <v>37050</v>
          </cell>
          <cell r="F161" t="str">
            <v>سفيزف</v>
          </cell>
          <cell r="G161" t="str">
            <v>2ع ت1</v>
          </cell>
          <cell r="H161" t="str">
            <v>ن داخلي</v>
          </cell>
          <cell r="I161" t="str">
            <v>ن/د</v>
          </cell>
          <cell r="J161" t="str">
            <v>محمد</v>
          </cell>
          <cell r="K161" t="str">
            <v>غوبالي  محمد</v>
          </cell>
          <cell r="L161" t="str">
            <v>متقاعد</v>
          </cell>
          <cell r="M161" t="str">
            <v>ش زلماط قادة المسيد</v>
          </cell>
        </row>
        <row r="162">
          <cell r="A162">
            <v>155</v>
          </cell>
          <cell r="B162" t="str">
            <v>العرباوي  نهاد</v>
          </cell>
          <cell r="C162" t="str">
            <v>العرباوي</v>
          </cell>
          <cell r="D162" t="str">
            <v>نهاد</v>
          </cell>
          <cell r="E162">
            <v>37194</v>
          </cell>
          <cell r="F162" t="str">
            <v>س بلعباس</v>
          </cell>
          <cell r="G162" t="str">
            <v>2ع ت1</v>
          </cell>
          <cell r="H162" t="str">
            <v>خارجية</v>
          </cell>
          <cell r="I162" t="str">
            <v>خ</v>
          </cell>
          <cell r="J162" t="str">
            <v>يحي</v>
          </cell>
          <cell r="K162" t="str">
            <v>العرباوي  يحي</v>
          </cell>
          <cell r="L162" t="str">
            <v>متقاعد</v>
          </cell>
          <cell r="M162" t="str">
            <v>حي 141سكن رقم 17 سفيزف</v>
          </cell>
        </row>
        <row r="163">
          <cell r="A163">
            <v>156</v>
          </cell>
          <cell r="B163" t="str">
            <v>برباح  شيماء</v>
          </cell>
          <cell r="C163" t="str">
            <v>برباح</v>
          </cell>
          <cell r="D163" t="str">
            <v>شيماء</v>
          </cell>
          <cell r="E163">
            <v>37356</v>
          </cell>
          <cell r="F163" t="str">
            <v>الأغواط</v>
          </cell>
          <cell r="G163" t="str">
            <v>2ع ت1</v>
          </cell>
          <cell r="H163" t="str">
            <v>خارجية</v>
          </cell>
          <cell r="I163" t="str">
            <v>خ</v>
          </cell>
          <cell r="J163" t="str">
            <v>الحاج</v>
          </cell>
          <cell r="K163" t="str">
            <v>برباح  الحاج</v>
          </cell>
          <cell r="L163" t="str">
            <v>متقاعد</v>
          </cell>
          <cell r="M163" t="str">
            <v>حي 506سكن سفيزف</v>
          </cell>
        </row>
        <row r="164">
          <cell r="A164">
            <v>157</v>
          </cell>
          <cell r="B164" t="str">
            <v>بنابي  فريال هبة</v>
          </cell>
          <cell r="C164" t="str">
            <v>بنابي</v>
          </cell>
          <cell r="D164" t="str">
            <v>فريال هبة</v>
          </cell>
          <cell r="E164">
            <v>37387</v>
          </cell>
          <cell r="F164" t="str">
            <v>سفيزف</v>
          </cell>
          <cell r="G164" t="str">
            <v>2ع ت1</v>
          </cell>
          <cell r="H164" t="str">
            <v>خارجية</v>
          </cell>
          <cell r="I164" t="str">
            <v>خ</v>
          </cell>
          <cell r="J164" t="str">
            <v>بن عبد الله</v>
          </cell>
          <cell r="K164" t="str">
            <v>بنابي  بن عبد الله</v>
          </cell>
          <cell r="L164" t="str">
            <v>موظف</v>
          </cell>
          <cell r="M164" t="str">
            <v>حي 27 سكن سفيزف</v>
          </cell>
        </row>
        <row r="165">
          <cell r="A165">
            <v>158</v>
          </cell>
          <cell r="B165" t="str">
            <v>تيرس  إيمان</v>
          </cell>
          <cell r="C165" t="str">
            <v>تيرس</v>
          </cell>
          <cell r="D165" t="str">
            <v>إيمان</v>
          </cell>
          <cell r="E165">
            <v>37099</v>
          </cell>
          <cell r="F165" t="str">
            <v>س بلعباس</v>
          </cell>
          <cell r="G165" t="str">
            <v>2ع ت1</v>
          </cell>
          <cell r="H165" t="str">
            <v>خارجية</v>
          </cell>
          <cell r="I165" t="str">
            <v>خ</v>
          </cell>
          <cell r="J165" t="str">
            <v>بلاحة</v>
          </cell>
          <cell r="K165" t="str">
            <v>تيرس  بلاحة</v>
          </cell>
          <cell r="L165" t="str">
            <v>موظف</v>
          </cell>
          <cell r="M165" t="str">
            <v>03حي 141سكن سفيزف</v>
          </cell>
        </row>
        <row r="166">
          <cell r="A166">
            <v>159</v>
          </cell>
          <cell r="B166" t="str">
            <v>حسان دواجي  رحمة</v>
          </cell>
          <cell r="C166" t="str">
            <v>حسان دواجي</v>
          </cell>
          <cell r="D166" t="str">
            <v>رحمة</v>
          </cell>
          <cell r="E166">
            <v>37249</v>
          </cell>
          <cell r="F166" t="str">
            <v>سفيزف</v>
          </cell>
          <cell r="G166" t="str">
            <v>2ع ت1</v>
          </cell>
          <cell r="H166" t="str">
            <v>خارجية</v>
          </cell>
          <cell r="I166" t="str">
            <v>خ</v>
          </cell>
          <cell r="J166" t="str">
            <v>محمد</v>
          </cell>
          <cell r="K166" t="str">
            <v>حسان دواجي  محمد</v>
          </cell>
          <cell r="L166" t="str">
            <v>متقاعد</v>
          </cell>
          <cell r="M166" t="str">
            <v>حي 156سكن سفيزف</v>
          </cell>
        </row>
        <row r="167">
          <cell r="A167">
            <v>160</v>
          </cell>
          <cell r="B167" t="str">
            <v>خليل  أحلام جمعية</v>
          </cell>
          <cell r="C167" t="str">
            <v>خليل</v>
          </cell>
          <cell r="D167" t="str">
            <v>أحلام جمعية</v>
          </cell>
          <cell r="E167">
            <v>37059</v>
          </cell>
          <cell r="F167" t="str">
            <v>سفيزف</v>
          </cell>
          <cell r="G167" t="str">
            <v>2ع ت1</v>
          </cell>
          <cell r="H167" t="str">
            <v>خارجية</v>
          </cell>
          <cell r="I167" t="str">
            <v>خ</v>
          </cell>
          <cell r="J167" t="str">
            <v>خليل</v>
          </cell>
          <cell r="K167" t="str">
            <v>خليل  خليل</v>
          </cell>
          <cell r="L167" t="str">
            <v>لا شئ</v>
          </cell>
          <cell r="M167" t="str">
            <v>حي السوريكور سفيزف</v>
          </cell>
        </row>
        <row r="168">
          <cell r="A168">
            <v>161</v>
          </cell>
          <cell r="B168" t="str">
            <v>زمعلاش  نسيمة</v>
          </cell>
          <cell r="C168" t="str">
            <v>زمعلاش</v>
          </cell>
          <cell r="D168" t="str">
            <v>نسيمة</v>
          </cell>
          <cell r="E168">
            <v>36526</v>
          </cell>
          <cell r="F168" t="str">
            <v>سفيزف</v>
          </cell>
          <cell r="G168" t="str">
            <v>2ع ت1</v>
          </cell>
          <cell r="H168" t="str">
            <v>خارجية</v>
          </cell>
          <cell r="I168" t="str">
            <v>خ</v>
          </cell>
          <cell r="J168" t="str">
            <v>بوعلام</v>
          </cell>
          <cell r="K168" t="str">
            <v>زمعلاش  بوعلام</v>
          </cell>
          <cell r="L168" t="str">
            <v>موظف</v>
          </cell>
          <cell r="M168" t="str">
            <v>شارع بنابي ع القادر سفيزف</v>
          </cell>
        </row>
        <row r="169">
          <cell r="A169">
            <v>162</v>
          </cell>
          <cell r="B169" t="str">
            <v>ساكت  سماح</v>
          </cell>
          <cell r="C169" t="str">
            <v>ساكت</v>
          </cell>
          <cell r="D169" t="str">
            <v>سماح</v>
          </cell>
          <cell r="E169">
            <v>37218</v>
          </cell>
          <cell r="F169" t="str">
            <v>سفيزف</v>
          </cell>
          <cell r="G169" t="str">
            <v>2ع ت1</v>
          </cell>
          <cell r="H169" t="str">
            <v>خارجية</v>
          </cell>
          <cell r="I169" t="str">
            <v>خ</v>
          </cell>
          <cell r="J169" t="str">
            <v>بلحول</v>
          </cell>
          <cell r="K169" t="str">
            <v>ساكت  بلحول</v>
          </cell>
          <cell r="L169" t="str">
            <v>متوفي</v>
          </cell>
          <cell r="M169" t="str">
            <v>4حي 141سكن سفيزف</v>
          </cell>
        </row>
        <row r="170">
          <cell r="A170">
            <v>163</v>
          </cell>
          <cell r="B170" t="str">
            <v>فوغالي  منال</v>
          </cell>
          <cell r="C170" t="str">
            <v>فوغالي</v>
          </cell>
          <cell r="D170" t="str">
            <v>منال</v>
          </cell>
          <cell r="E170">
            <v>37207</v>
          </cell>
          <cell r="F170" t="str">
            <v>سفيزف</v>
          </cell>
          <cell r="G170" t="str">
            <v>2ع ت1</v>
          </cell>
          <cell r="H170" t="str">
            <v>خارجية</v>
          </cell>
          <cell r="I170" t="str">
            <v>خ</v>
          </cell>
          <cell r="J170" t="str">
            <v>لخضر</v>
          </cell>
          <cell r="K170" t="str">
            <v>فوغالي  لخضر</v>
          </cell>
          <cell r="L170" t="str">
            <v>موظف</v>
          </cell>
          <cell r="M170" t="str">
            <v>حي141سكن سفيزف</v>
          </cell>
        </row>
        <row r="171">
          <cell r="A171">
            <v>164</v>
          </cell>
          <cell r="B171" t="str">
            <v>قناوي  ياسمين ياقوت</v>
          </cell>
          <cell r="C171" t="str">
            <v>قناوي</v>
          </cell>
          <cell r="D171" t="str">
            <v>ياسمين ياقوت</v>
          </cell>
          <cell r="E171">
            <v>37492</v>
          </cell>
          <cell r="F171" t="str">
            <v>سفيزف</v>
          </cell>
          <cell r="G171" t="str">
            <v>2ع ت1</v>
          </cell>
          <cell r="H171" t="str">
            <v>خارجية</v>
          </cell>
          <cell r="I171" t="str">
            <v>خ</v>
          </cell>
          <cell r="J171" t="str">
            <v>محمد</v>
          </cell>
          <cell r="K171" t="str">
            <v>قناوي  محمد</v>
          </cell>
          <cell r="L171" t="str">
            <v>مدير مد</v>
          </cell>
          <cell r="M171" t="str">
            <v>ش محتوقي محمد سفيزف</v>
          </cell>
        </row>
        <row r="172">
          <cell r="A172">
            <v>165</v>
          </cell>
          <cell r="B172" t="str">
            <v>ولدخدة  سمية</v>
          </cell>
          <cell r="C172" t="str">
            <v>ولدخدة</v>
          </cell>
          <cell r="D172" t="str">
            <v>سمية</v>
          </cell>
          <cell r="E172">
            <v>37287</v>
          </cell>
          <cell r="F172" t="str">
            <v>سفيزف</v>
          </cell>
          <cell r="G172" t="str">
            <v>2ع ت1</v>
          </cell>
          <cell r="H172" t="str">
            <v>خارجية</v>
          </cell>
          <cell r="I172" t="str">
            <v>خ</v>
          </cell>
          <cell r="J172" t="str">
            <v>علي</v>
          </cell>
          <cell r="K172" t="str">
            <v>ولدخدة  علي</v>
          </cell>
          <cell r="L172" t="str">
            <v>متقاعد</v>
          </cell>
          <cell r="M172" t="str">
            <v>ش مروك ميلود سفيزف</v>
          </cell>
        </row>
        <row r="173">
          <cell r="A173">
            <v>166</v>
          </cell>
          <cell r="B173" t="str">
            <v>بكار  محمد عبدالرحيم</v>
          </cell>
          <cell r="C173" t="str">
            <v>بكار</v>
          </cell>
          <cell r="D173" t="str">
            <v>محمد عبدالرحيم</v>
          </cell>
          <cell r="E173">
            <v>37250</v>
          </cell>
          <cell r="F173" t="str">
            <v>سفيزف</v>
          </cell>
          <cell r="G173" t="str">
            <v>2ع ت1</v>
          </cell>
          <cell r="H173" t="str">
            <v>خارجي</v>
          </cell>
          <cell r="I173" t="str">
            <v>خ</v>
          </cell>
          <cell r="J173" t="str">
            <v>محمود</v>
          </cell>
          <cell r="K173" t="str">
            <v>بكار  محمود</v>
          </cell>
          <cell r="L173" t="str">
            <v>متقاعد</v>
          </cell>
          <cell r="M173" t="str">
            <v>42 حي بوخنفوس محمد سفيزف</v>
          </cell>
        </row>
        <row r="174">
          <cell r="A174">
            <v>167</v>
          </cell>
          <cell r="B174" t="str">
            <v>بلقمري  أيمن شرف الدين</v>
          </cell>
          <cell r="C174" t="str">
            <v>بلقمري</v>
          </cell>
          <cell r="D174" t="str">
            <v>أيمن شرف الدين</v>
          </cell>
          <cell r="E174">
            <v>37403</v>
          </cell>
          <cell r="F174" t="str">
            <v>سفيزف</v>
          </cell>
          <cell r="G174" t="str">
            <v>2ع ت1</v>
          </cell>
          <cell r="H174" t="str">
            <v>خارجي</v>
          </cell>
          <cell r="I174" t="str">
            <v>خ</v>
          </cell>
          <cell r="J174" t="str">
            <v>نور الدين</v>
          </cell>
          <cell r="K174" t="str">
            <v>بلقمري  نور الدين</v>
          </cell>
          <cell r="L174" t="str">
            <v>موظف</v>
          </cell>
          <cell r="M174" t="str">
            <v>حي 141سكن سفيزف</v>
          </cell>
        </row>
        <row r="175">
          <cell r="A175">
            <v>168</v>
          </cell>
          <cell r="B175" t="str">
            <v>بن بارك  مهاجي</v>
          </cell>
          <cell r="C175" t="str">
            <v>بن بارك</v>
          </cell>
          <cell r="D175" t="str">
            <v>مهاجي</v>
          </cell>
          <cell r="E175">
            <v>36755</v>
          </cell>
          <cell r="F175" t="str">
            <v>س بلعباس</v>
          </cell>
          <cell r="G175" t="str">
            <v>2ع ت1</v>
          </cell>
          <cell r="H175" t="str">
            <v>خارجي</v>
          </cell>
          <cell r="I175" t="str">
            <v>خ</v>
          </cell>
          <cell r="J175" t="str">
            <v>عبدالقادر</v>
          </cell>
          <cell r="K175" t="str">
            <v>بن بارك  عبدالقادر</v>
          </cell>
          <cell r="L175" t="str">
            <v>حارس</v>
          </cell>
          <cell r="M175" t="str">
            <v>حي بوهند يحي سفيزف</v>
          </cell>
        </row>
        <row r="176">
          <cell r="A176">
            <v>169</v>
          </cell>
          <cell r="B176" t="str">
            <v>بوقبرين  أبوبكر الصديق</v>
          </cell>
          <cell r="C176" t="str">
            <v>بوقبرين</v>
          </cell>
          <cell r="D176" t="str">
            <v>أبوبكر الصديق</v>
          </cell>
          <cell r="E176">
            <v>36639</v>
          </cell>
          <cell r="F176" t="str">
            <v>سفيزف</v>
          </cell>
          <cell r="G176" t="str">
            <v>2ع ت1</v>
          </cell>
          <cell r="H176" t="str">
            <v>خارجي</v>
          </cell>
          <cell r="I176" t="str">
            <v>خ</v>
          </cell>
          <cell r="J176" t="str">
            <v>قادة</v>
          </cell>
          <cell r="K176" t="str">
            <v>بوقبرين  قادة</v>
          </cell>
          <cell r="L176" t="str">
            <v>لا شئ</v>
          </cell>
          <cell r="M176" t="str">
            <v>شارع بنابي ع القادر سفيزف</v>
          </cell>
        </row>
        <row r="177">
          <cell r="A177">
            <v>170</v>
          </cell>
          <cell r="B177" t="str">
            <v>حري  مصطفى مروان</v>
          </cell>
          <cell r="C177" t="str">
            <v>حري</v>
          </cell>
          <cell r="D177" t="str">
            <v>مصطفى مروان</v>
          </cell>
          <cell r="E177">
            <v>36602</v>
          </cell>
          <cell r="F177" t="str">
            <v>سفيزف</v>
          </cell>
          <cell r="G177" t="str">
            <v>2ع ت1</v>
          </cell>
          <cell r="H177" t="str">
            <v>خارجي</v>
          </cell>
          <cell r="I177" t="str">
            <v>خ</v>
          </cell>
          <cell r="J177" t="str">
            <v>محمد</v>
          </cell>
          <cell r="K177" t="str">
            <v>حري  محمد</v>
          </cell>
          <cell r="L177" t="str">
            <v>تقني</v>
          </cell>
          <cell r="M177" t="str">
            <v>حي 100 سكن سفيزف</v>
          </cell>
        </row>
        <row r="178">
          <cell r="A178">
            <v>171</v>
          </cell>
          <cell r="B178" t="str">
            <v>حسان دواجي  يوسف عبد الغاني</v>
          </cell>
          <cell r="C178" t="str">
            <v>حسان دواجي</v>
          </cell>
          <cell r="D178" t="str">
            <v>يوسف عبد الغاني</v>
          </cell>
          <cell r="E178">
            <v>36703</v>
          </cell>
          <cell r="F178" t="str">
            <v>سفيزف</v>
          </cell>
          <cell r="G178" t="str">
            <v>2ع ت1</v>
          </cell>
          <cell r="H178" t="str">
            <v>خارجي</v>
          </cell>
          <cell r="I178" t="str">
            <v>خ</v>
          </cell>
          <cell r="J178" t="str">
            <v>عبدالقادر</v>
          </cell>
          <cell r="K178" t="str">
            <v>حسان دواجي  عبدالقادر</v>
          </cell>
          <cell r="L178" t="str">
            <v>ممرض</v>
          </cell>
          <cell r="M178" t="str">
            <v>حي 100 سكن سفيزف</v>
          </cell>
        </row>
        <row r="179">
          <cell r="A179">
            <v>172</v>
          </cell>
          <cell r="B179" t="str">
            <v>سلام  محمد</v>
          </cell>
          <cell r="C179" t="str">
            <v>سلام</v>
          </cell>
          <cell r="D179" t="str">
            <v>محمد</v>
          </cell>
          <cell r="E179">
            <v>37102</v>
          </cell>
          <cell r="F179" t="str">
            <v>سفيزف</v>
          </cell>
          <cell r="G179" t="str">
            <v>2ع ت1</v>
          </cell>
          <cell r="H179" t="str">
            <v>خارجي</v>
          </cell>
          <cell r="I179" t="str">
            <v>خ</v>
          </cell>
          <cell r="J179" t="str">
            <v>تامي</v>
          </cell>
          <cell r="K179" t="str">
            <v>سلام  تامي</v>
          </cell>
          <cell r="L179" t="str">
            <v>متقاعد</v>
          </cell>
          <cell r="M179" t="str">
            <v>حي27سكن رقم 10سفيزف</v>
          </cell>
        </row>
        <row r="180">
          <cell r="A180">
            <v>173</v>
          </cell>
          <cell r="B180" t="str">
            <v>عمرون   إلياس</v>
          </cell>
          <cell r="C180" t="str">
            <v xml:space="preserve">عمرون </v>
          </cell>
          <cell r="D180" t="str">
            <v>إلياس</v>
          </cell>
          <cell r="E180">
            <v>37257</v>
          </cell>
          <cell r="F180" t="str">
            <v>سفيزف</v>
          </cell>
          <cell r="G180" t="str">
            <v>2ع ت1</v>
          </cell>
          <cell r="H180" t="str">
            <v>خارجي</v>
          </cell>
          <cell r="I180" t="str">
            <v>خ</v>
          </cell>
          <cell r="J180" t="str">
            <v>محمد</v>
          </cell>
          <cell r="K180" t="str">
            <v>عمرون   محمد</v>
          </cell>
          <cell r="L180" t="str">
            <v>ممرض</v>
          </cell>
          <cell r="M180" t="str">
            <v>حي 506سكن سفيزف</v>
          </cell>
        </row>
        <row r="181">
          <cell r="A181">
            <v>174</v>
          </cell>
          <cell r="B181" t="str">
            <v>غربي  أحمد رفيق</v>
          </cell>
          <cell r="C181" t="str">
            <v>غربي</v>
          </cell>
          <cell r="D181" t="str">
            <v>أحمد رفيق</v>
          </cell>
          <cell r="E181">
            <v>37398</v>
          </cell>
          <cell r="F181" t="str">
            <v>س بلعباس</v>
          </cell>
          <cell r="G181" t="str">
            <v>2ع ت1</v>
          </cell>
          <cell r="H181" t="str">
            <v>خارجي</v>
          </cell>
          <cell r="I181" t="str">
            <v>خ</v>
          </cell>
          <cell r="J181" t="str">
            <v>لخضر</v>
          </cell>
          <cell r="K181" t="str">
            <v>غربي  لخضر</v>
          </cell>
          <cell r="L181" t="str">
            <v>متقاعد</v>
          </cell>
          <cell r="M181" t="str">
            <v>حي141سكن سفيزف</v>
          </cell>
        </row>
        <row r="182">
          <cell r="A182">
            <v>175</v>
          </cell>
          <cell r="B182" t="str">
            <v>كريم  عبدو نورالدين</v>
          </cell>
          <cell r="C182" t="str">
            <v>كريم</v>
          </cell>
          <cell r="D182" t="str">
            <v>عبدو نورالدين</v>
          </cell>
          <cell r="E182">
            <v>36661</v>
          </cell>
          <cell r="F182" t="str">
            <v>سفيزف</v>
          </cell>
          <cell r="G182" t="str">
            <v>2ع ت1</v>
          </cell>
          <cell r="H182" t="str">
            <v>خارجي</v>
          </cell>
          <cell r="I182" t="str">
            <v>خ</v>
          </cell>
          <cell r="J182" t="str">
            <v>يحي</v>
          </cell>
          <cell r="K182" t="str">
            <v>كريم  يحي</v>
          </cell>
          <cell r="L182" t="str">
            <v>متقاعد</v>
          </cell>
          <cell r="M182" t="str">
            <v>حي 506سكن سفيزف</v>
          </cell>
        </row>
        <row r="183">
          <cell r="A183">
            <v>176</v>
          </cell>
          <cell r="B183" t="str">
            <v>غالوني  فريال</v>
          </cell>
          <cell r="C183" t="str">
            <v>غالوني</v>
          </cell>
          <cell r="D183" t="str">
            <v>فريال</v>
          </cell>
          <cell r="E183">
            <v>36901</v>
          </cell>
          <cell r="F183" t="str">
            <v>سفيزف</v>
          </cell>
          <cell r="G183" t="str">
            <v>2ع ت2</v>
          </cell>
          <cell r="H183" t="str">
            <v>ن داخلية</v>
          </cell>
          <cell r="I183" t="str">
            <v>ن/د</v>
          </cell>
          <cell r="J183" t="str">
            <v>فضيل</v>
          </cell>
          <cell r="K183" t="str">
            <v>غالوني  فضيل</v>
          </cell>
          <cell r="L183" t="str">
            <v>فلاح</v>
          </cell>
          <cell r="M183" t="str">
            <v>عين آدن</v>
          </cell>
        </row>
        <row r="184">
          <cell r="A184">
            <v>177</v>
          </cell>
          <cell r="B184" t="str">
            <v>العرباوي  حليمة عبير</v>
          </cell>
          <cell r="C184" t="str">
            <v>العرباوي</v>
          </cell>
          <cell r="D184" t="str">
            <v>حليمة عبير</v>
          </cell>
          <cell r="E184">
            <v>37183</v>
          </cell>
          <cell r="F184" t="str">
            <v>سفيزف</v>
          </cell>
          <cell r="G184" t="str">
            <v>2ع ت2</v>
          </cell>
          <cell r="H184" t="str">
            <v>خارجية</v>
          </cell>
          <cell r="I184" t="str">
            <v>خ</v>
          </cell>
          <cell r="J184" t="str">
            <v>عزيز</v>
          </cell>
          <cell r="K184" t="str">
            <v>العرباوي  عزيز</v>
          </cell>
          <cell r="L184" t="str">
            <v>موظف</v>
          </cell>
          <cell r="M184" t="str">
            <v>حي إيختار بن علي سفيزف</v>
          </cell>
        </row>
        <row r="185">
          <cell r="A185">
            <v>178</v>
          </cell>
          <cell r="B185" t="str">
            <v>باحة  سليمة</v>
          </cell>
          <cell r="C185" t="str">
            <v>باحة</v>
          </cell>
          <cell r="D185" t="str">
            <v>سليمة</v>
          </cell>
          <cell r="E185">
            <v>37090</v>
          </cell>
          <cell r="F185" t="str">
            <v>س بلعباس</v>
          </cell>
          <cell r="G185" t="str">
            <v>2ع ت2</v>
          </cell>
          <cell r="H185" t="str">
            <v>خارجية</v>
          </cell>
          <cell r="I185" t="str">
            <v>خ</v>
          </cell>
          <cell r="J185" t="str">
            <v>هواري</v>
          </cell>
          <cell r="K185" t="str">
            <v>باحة  هواري</v>
          </cell>
          <cell r="L185" t="str">
            <v>مهندس</v>
          </cell>
          <cell r="M185" t="str">
            <v>حي 506سكن سفيزف</v>
          </cell>
        </row>
        <row r="186">
          <cell r="A186">
            <v>179</v>
          </cell>
          <cell r="B186" t="str">
            <v>بلمختار  فاطمة الزهراء</v>
          </cell>
          <cell r="C186" t="str">
            <v>بلمختار</v>
          </cell>
          <cell r="D186" t="str">
            <v>فاطمة الزهراء</v>
          </cell>
          <cell r="E186">
            <v>37313</v>
          </cell>
          <cell r="F186" t="str">
            <v>سفيزف</v>
          </cell>
          <cell r="G186" t="str">
            <v>2ع ت2</v>
          </cell>
          <cell r="H186" t="str">
            <v>خارجية</v>
          </cell>
          <cell r="I186" t="str">
            <v>خ</v>
          </cell>
          <cell r="J186" t="str">
            <v>عباس</v>
          </cell>
          <cell r="K186" t="str">
            <v>بلمختار  عباس</v>
          </cell>
          <cell r="L186" t="str">
            <v>متقاعد</v>
          </cell>
          <cell r="M186" t="str">
            <v>حي 156سكن سفيزف</v>
          </cell>
        </row>
        <row r="187">
          <cell r="A187">
            <v>180</v>
          </cell>
          <cell r="B187" t="str">
            <v>بن بارك  زينب إحسان</v>
          </cell>
          <cell r="C187" t="str">
            <v>بن بارك</v>
          </cell>
          <cell r="D187" t="str">
            <v>زينب إحسان</v>
          </cell>
          <cell r="E187">
            <v>37458</v>
          </cell>
          <cell r="F187" t="str">
            <v>سفيزف</v>
          </cell>
          <cell r="G187" t="str">
            <v>2ع ت2</v>
          </cell>
          <cell r="H187" t="str">
            <v>خارجية</v>
          </cell>
          <cell r="I187" t="str">
            <v>خ</v>
          </cell>
          <cell r="J187" t="str">
            <v>حمة</v>
          </cell>
          <cell r="K187" t="str">
            <v>بن بارك  حمة</v>
          </cell>
          <cell r="L187" t="str">
            <v>أستاذ ج</v>
          </cell>
          <cell r="M187" t="str">
            <v>06حي جرموني محمد سفيزف</v>
          </cell>
        </row>
        <row r="188">
          <cell r="A188">
            <v>181</v>
          </cell>
          <cell r="B188" t="str">
            <v>بوسطلة   نور الهدى</v>
          </cell>
          <cell r="C188" t="str">
            <v xml:space="preserve">بوسطلة </v>
          </cell>
          <cell r="D188" t="str">
            <v>نور الهدى</v>
          </cell>
          <cell r="E188">
            <v>37129</v>
          </cell>
          <cell r="F188" t="str">
            <v>سفيزف</v>
          </cell>
          <cell r="G188" t="str">
            <v>2ع ت2</v>
          </cell>
          <cell r="H188" t="str">
            <v>خارجية</v>
          </cell>
          <cell r="I188" t="str">
            <v>خ</v>
          </cell>
          <cell r="J188" t="str">
            <v>جيلالي</v>
          </cell>
          <cell r="K188" t="str">
            <v>بوسطلة   جيلالي</v>
          </cell>
          <cell r="L188" t="str">
            <v>حارس</v>
          </cell>
          <cell r="M188" t="str">
            <v>29حي بوخنفوس مختار عمارة c سفيزف</v>
          </cell>
        </row>
        <row r="189">
          <cell r="A189">
            <v>182</v>
          </cell>
          <cell r="B189" t="str">
            <v>بيوض  كنزة</v>
          </cell>
          <cell r="C189" t="str">
            <v>بيوض</v>
          </cell>
          <cell r="D189" t="str">
            <v>كنزة</v>
          </cell>
          <cell r="E189">
            <v>37206</v>
          </cell>
          <cell r="F189" t="str">
            <v>قالمة</v>
          </cell>
          <cell r="G189" t="str">
            <v>2ع ت2</v>
          </cell>
          <cell r="H189" t="str">
            <v>خارجية</v>
          </cell>
          <cell r="I189" t="str">
            <v>خ</v>
          </cell>
          <cell r="J189" t="str">
            <v>سليمان</v>
          </cell>
          <cell r="K189" t="str">
            <v>بيوض  سليمان</v>
          </cell>
          <cell r="L189" t="str">
            <v>متقاعد</v>
          </cell>
          <cell r="M189" t="str">
            <v>حي 141سكن سفيزف</v>
          </cell>
        </row>
        <row r="190">
          <cell r="A190">
            <v>183</v>
          </cell>
          <cell r="B190" t="str">
            <v>تيرس  عدن</v>
          </cell>
          <cell r="C190" t="str">
            <v>تيرس</v>
          </cell>
          <cell r="D190" t="str">
            <v>عدن</v>
          </cell>
          <cell r="E190">
            <v>36963</v>
          </cell>
          <cell r="F190" t="str">
            <v>سفيزف</v>
          </cell>
          <cell r="G190" t="str">
            <v>2ع ت2</v>
          </cell>
          <cell r="H190" t="str">
            <v>خارجية</v>
          </cell>
          <cell r="I190" t="str">
            <v>خ</v>
          </cell>
          <cell r="J190" t="str">
            <v>قويدر</v>
          </cell>
          <cell r="K190" t="str">
            <v>تيرس  قويدر</v>
          </cell>
          <cell r="L190" t="str">
            <v>لا شئ</v>
          </cell>
          <cell r="M190" t="str">
            <v>حي 506سكن سفيزف</v>
          </cell>
        </row>
        <row r="191">
          <cell r="A191">
            <v>184</v>
          </cell>
          <cell r="B191" t="str">
            <v>خليفة  منال</v>
          </cell>
          <cell r="C191" t="str">
            <v>خليفة</v>
          </cell>
          <cell r="D191" t="str">
            <v>منال</v>
          </cell>
          <cell r="E191">
            <v>37327</v>
          </cell>
          <cell r="F191" t="str">
            <v>س بلعباس</v>
          </cell>
          <cell r="G191" t="str">
            <v>2ع ت2</v>
          </cell>
          <cell r="H191" t="str">
            <v>خارجية</v>
          </cell>
          <cell r="I191" t="str">
            <v>خ</v>
          </cell>
          <cell r="J191" t="str">
            <v>نور الدين</v>
          </cell>
          <cell r="K191" t="str">
            <v>خليفة  نور الدين</v>
          </cell>
          <cell r="L191" t="str">
            <v>مدير</v>
          </cell>
          <cell r="M191" t="str">
            <v>ثانوية بوخلدة ع القادر سفيزف</v>
          </cell>
        </row>
        <row r="192">
          <cell r="A192">
            <v>185</v>
          </cell>
          <cell r="B192" t="str">
            <v>دلاني  فايزة</v>
          </cell>
          <cell r="C192" t="str">
            <v>دلاني</v>
          </cell>
          <cell r="D192" t="str">
            <v>فايزة</v>
          </cell>
          <cell r="E192">
            <v>37081</v>
          </cell>
          <cell r="F192" t="str">
            <v>سفيزف</v>
          </cell>
          <cell r="G192" t="str">
            <v>2ع ت2</v>
          </cell>
          <cell r="H192" t="str">
            <v>خارجية</v>
          </cell>
          <cell r="I192" t="str">
            <v>خ</v>
          </cell>
          <cell r="J192" t="str">
            <v>بن ويس</v>
          </cell>
          <cell r="K192" t="str">
            <v>دلاني  بن ويس</v>
          </cell>
          <cell r="L192" t="str">
            <v>متقاعد</v>
          </cell>
          <cell r="M192" t="str">
            <v>شارع هواري بومدين سفيزف</v>
          </cell>
        </row>
        <row r="193">
          <cell r="A193">
            <v>186</v>
          </cell>
          <cell r="B193" t="str">
            <v>دوالي  خيرة</v>
          </cell>
          <cell r="C193" t="str">
            <v>دوالي</v>
          </cell>
          <cell r="D193" t="str">
            <v>خيرة</v>
          </cell>
          <cell r="E193">
            <v>37191</v>
          </cell>
          <cell r="F193" t="str">
            <v>سفيزف</v>
          </cell>
          <cell r="G193" t="str">
            <v>2ع ت2</v>
          </cell>
          <cell r="H193" t="str">
            <v>خارجية</v>
          </cell>
          <cell r="I193" t="str">
            <v>خ</v>
          </cell>
          <cell r="J193" t="str">
            <v>أحمد</v>
          </cell>
          <cell r="K193" t="str">
            <v>دوالي  أحمد</v>
          </cell>
          <cell r="L193" t="str">
            <v>بناء</v>
          </cell>
          <cell r="M193" t="str">
            <v>حي 156سكن بوتنزار محمد سفيزف</v>
          </cell>
        </row>
        <row r="194">
          <cell r="A194">
            <v>187</v>
          </cell>
          <cell r="B194" t="str">
            <v>صحبي  أمينة</v>
          </cell>
          <cell r="C194" t="str">
            <v>صحبي</v>
          </cell>
          <cell r="D194" t="str">
            <v>أمينة</v>
          </cell>
          <cell r="E194">
            <v>36720</v>
          </cell>
          <cell r="F194" t="str">
            <v>سفيزف</v>
          </cell>
          <cell r="G194" t="str">
            <v>2ع ت2</v>
          </cell>
          <cell r="H194" t="str">
            <v>خارجية</v>
          </cell>
          <cell r="I194" t="str">
            <v>خ</v>
          </cell>
          <cell r="J194" t="str">
            <v>قدور</v>
          </cell>
          <cell r="K194" t="str">
            <v>صحبي  قدور</v>
          </cell>
          <cell r="L194" t="str">
            <v>حارس</v>
          </cell>
          <cell r="M194" t="str">
            <v>حي 60 مسكن سفيزف</v>
          </cell>
        </row>
        <row r="195">
          <cell r="A195">
            <v>188</v>
          </cell>
          <cell r="B195" t="str">
            <v>عربوز  رجاء</v>
          </cell>
          <cell r="C195" t="str">
            <v>عربوز</v>
          </cell>
          <cell r="D195" t="str">
            <v>رجاء</v>
          </cell>
          <cell r="E195">
            <v>37067</v>
          </cell>
          <cell r="F195" t="str">
            <v>س بلعباس</v>
          </cell>
          <cell r="G195" t="str">
            <v>2ع ت2</v>
          </cell>
          <cell r="H195" t="str">
            <v>خارجية</v>
          </cell>
          <cell r="I195" t="str">
            <v>خ</v>
          </cell>
          <cell r="J195" t="str">
            <v>محمد</v>
          </cell>
          <cell r="K195" t="str">
            <v>عربوز  محمد</v>
          </cell>
          <cell r="L195" t="str">
            <v>ممرض</v>
          </cell>
          <cell r="M195" t="str">
            <v>حي 72سكن سفيزف</v>
          </cell>
        </row>
        <row r="196">
          <cell r="A196">
            <v>189</v>
          </cell>
          <cell r="B196" t="str">
            <v>غربي   نور الهدى</v>
          </cell>
          <cell r="C196" t="str">
            <v xml:space="preserve">غربي </v>
          </cell>
          <cell r="D196" t="str">
            <v>نور الهدى</v>
          </cell>
          <cell r="E196">
            <v>37106</v>
          </cell>
          <cell r="F196" t="str">
            <v>سفيزف</v>
          </cell>
          <cell r="G196" t="str">
            <v>2ع ت2</v>
          </cell>
          <cell r="H196" t="str">
            <v>خارجية</v>
          </cell>
          <cell r="I196" t="str">
            <v>خ</v>
          </cell>
          <cell r="J196" t="str">
            <v>جيلالي</v>
          </cell>
          <cell r="K196" t="str">
            <v>غربي   جيلالي</v>
          </cell>
          <cell r="L196" t="str">
            <v>فلاح</v>
          </cell>
          <cell r="M196" t="str">
            <v>20شارع  برني أحمد سفيزف</v>
          </cell>
        </row>
        <row r="197">
          <cell r="A197">
            <v>190</v>
          </cell>
          <cell r="B197" t="str">
            <v>مزهود  عواطف نهال</v>
          </cell>
          <cell r="C197" t="str">
            <v>مزهود</v>
          </cell>
          <cell r="D197" t="str">
            <v>عواطف نهال</v>
          </cell>
          <cell r="E197">
            <v>37380</v>
          </cell>
          <cell r="F197" t="str">
            <v>س بلعباس</v>
          </cell>
          <cell r="G197" t="str">
            <v>2ع ت2</v>
          </cell>
          <cell r="H197" t="str">
            <v>خارجية</v>
          </cell>
          <cell r="I197" t="str">
            <v>خ</v>
          </cell>
          <cell r="J197" t="str">
            <v>محمد</v>
          </cell>
          <cell r="K197" t="str">
            <v>مزهود  محمد</v>
          </cell>
          <cell r="L197" t="str">
            <v>متقاعد</v>
          </cell>
          <cell r="M197" t="str">
            <v>حي بوخنفوس مختار سفيزف</v>
          </cell>
        </row>
        <row r="198">
          <cell r="A198">
            <v>191</v>
          </cell>
          <cell r="B198" t="str">
            <v>هلال  مروة</v>
          </cell>
          <cell r="C198" t="str">
            <v>هلال</v>
          </cell>
          <cell r="D198" t="str">
            <v>مروة</v>
          </cell>
          <cell r="E198">
            <v>37156</v>
          </cell>
          <cell r="F198" t="str">
            <v>سفيزف</v>
          </cell>
          <cell r="G198" t="str">
            <v>2ع ت2</v>
          </cell>
          <cell r="H198" t="str">
            <v>خارجية</v>
          </cell>
          <cell r="I198" t="str">
            <v>خ</v>
          </cell>
          <cell r="J198" t="str">
            <v>قدور</v>
          </cell>
          <cell r="K198" t="str">
            <v>هلال  قدور</v>
          </cell>
          <cell r="L198" t="str">
            <v>متقاعد</v>
          </cell>
          <cell r="M198" t="str">
            <v>حي 100سكن طريق بوحنفية سفيزف</v>
          </cell>
        </row>
        <row r="199">
          <cell r="A199">
            <v>192</v>
          </cell>
          <cell r="B199" t="str">
            <v>العرباوي  عبدالواحد حبيب</v>
          </cell>
          <cell r="C199" t="str">
            <v>العرباوي</v>
          </cell>
          <cell r="D199" t="str">
            <v>عبدالواحد حبيب</v>
          </cell>
          <cell r="E199">
            <v>37224</v>
          </cell>
          <cell r="F199" t="str">
            <v>س بلعباس</v>
          </cell>
          <cell r="G199" t="str">
            <v>2ع ت2</v>
          </cell>
          <cell r="H199" t="str">
            <v>خارجي</v>
          </cell>
          <cell r="I199" t="str">
            <v>خ</v>
          </cell>
          <cell r="J199" t="str">
            <v>أحمد</v>
          </cell>
          <cell r="K199" t="str">
            <v>العرباوي  أحمد</v>
          </cell>
          <cell r="L199" t="str">
            <v>مفتش</v>
          </cell>
          <cell r="M199" t="str">
            <v>حي بوخنفوس مختار سفيزف</v>
          </cell>
        </row>
        <row r="200">
          <cell r="A200">
            <v>193</v>
          </cell>
          <cell r="B200" t="str">
            <v>بن حويدقة  عبدالقادر</v>
          </cell>
          <cell r="C200" t="str">
            <v>بن حويدقة</v>
          </cell>
          <cell r="D200" t="str">
            <v>عبدالقادر</v>
          </cell>
          <cell r="E200">
            <v>37236</v>
          </cell>
          <cell r="F200" t="str">
            <v>رأس الماء</v>
          </cell>
          <cell r="G200" t="str">
            <v>2ع ت2</v>
          </cell>
          <cell r="H200" t="str">
            <v>خارجي</v>
          </cell>
          <cell r="I200" t="str">
            <v>خ</v>
          </cell>
          <cell r="J200" t="str">
            <v>عيسى</v>
          </cell>
          <cell r="K200" t="str">
            <v>بن حويدقة  عيسى</v>
          </cell>
          <cell r="L200" t="str">
            <v>أستاذ</v>
          </cell>
          <cell r="M200" t="str">
            <v>حي 216سكن سفيزف</v>
          </cell>
        </row>
        <row r="201">
          <cell r="A201">
            <v>194</v>
          </cell>
          <cell r="B201" t="str">
            <v>بولعرج  بن يامنة</v>
          </cell>
          <cell r="C201" t="str">
            <v>بولعرج</v>
          </cell>
          <cell r="D201" t="str">
            <v>بن يامنة</v>
          </cell>
          <cell r="E201">
            <v>37149</v>
          </cell>
          <cell r="F201" t="str">
            <v>سفيزف</v>
          </cell>
          <cell r="G201" t="str">
            <v>2ع ت2</v>
          </cell>
          <cell r="H201" t="str">
            <v>خارجي</v>
          </cell>
          <cell r="I201" t="str">
            <v>خ</v>
          </cell>
          <cell r="J201" t="str">
            <v>مختار</v>
          </cell>
          <cell r="K201" t="str">
            <v>بولعرج  مختار</v>
          </cell>
          <cell r="L201" t="str">
            <v>تاجر</v>
          </cell>
          <cell r="M201" t="str">
            <v>حي 117سكن سفيزف</v>
          </cell>
        </row>
        <row r="202">
          <cell r="A202">
            <v>195</v>
          </cell>
          <cell r="B202" t="str">
            <v>توسار  وليد</v>
          </cell>
          <cell r="C202" t="str">
            <v>توسار</v>
          </cell>
          <cell r="D202" t="str">
            <v>وليد</v>
          </cell>
          <cell r="E202">
            <v>37324</v>
          </cell>
          <cell r="F202" t="str">
            <v>س بلعباس</v>
          </cell>
          <cell r="G202" t="str">
            <v>2ع ت2</v>
          </cell>
          <cell r="H202" t="str">
            <v>خارجي</v>
          </cell>
          <cell r="I202" t="str">
            <v>خ</v>
          </cell>
          <cell r="J202" t="str">
            <v>عبدالقادر</v>
          </cell>
          <cell r="K202" t="str">
            <v>توسار  عبدالقادر</v>
          </cell>
          <cell r="L202" t="str">
            <v>متقاعد</v>
          </cell>
          <cell r="M202" t="str">
            <v>حي 156 سكن سفيزف</v>
          </cell>
        </row>
        <row r="203">
          <cell r="A203">
            <v>196</v>
          </cell>
          <cell r="B203" t="str">
            <v>تيرس  عبد الخالق</v>
          </cell>
          <cell r="C203" t="str">
            <v>تيرس</v>
          </cell>
          <cell r="D203" t="str">
            <v>عبد الخالق</v>
          </cell>
          <cell r="E203">
            <v>36596</v>
          </cell>
          <cell r="F203" t="str">
            <v>س بلعباس</v>
          </cell>
          <cell r="G203" t="str">
            <v>2ع ت2</v>
          </cell>
          <cell r="H203" t="str">
            <v>خارجي</v>
          </cell>
          <cell r="I203" t="str">
            <v>خ</v>
          </cell>
          <cell r="J203" t="str">
            <v>بلاحة</v>
          </cell>
          <cell r="K203" t="str">
            <v>تيرس  بلاحة</v>
          </cell>
          <cell r="L203" t="str">
            <v>متقاعد</v>
          </cell>
          <cell r="M203" t="str">
            <v>حي 141 سكن سفيزف</v>
          </cell>
        </row>
        <row r="204">
          <cell r="A204">
            <v>197</v>
          </cell>
          <cell r="B204" t="str">
            <v>جرموني  يوسف عز الدين</v>
          </cell>
          <cell r="C204" t="str">
            <v>جرموني</v>
          </cell>
          <cell r="D204" t="str">
            <v>يوسف عز الدين</v>
          </cell>
          <cell r="E204">
            <v>36850</v>
          </cell>
          <cell r="F204" t="str">
            <v>سفيزف</v>
          </cell>
          <cell r="G204" t="str">
            <v>2ع ت2</v>
          </cell>
          <cell r="H204" t="str">
            <v>خارجي</v>
          </cell>
          <cell r="I204" t="str">
            <v>خ</v>
          </cell>
          <cell r="J204" t="str">
            <v>عبدالقادر</v>
          </cell>
          <cell r="K204" t="str">
            <v>جرموني  عبدالقادر</v>
          </cell>
          <cell r="L204" t="str">
            <v>محاسب</v>
          </cell>
          <cell r="M204" t="str">
            <v>حي 200سكن سفيزف</v>
          </cell>
        </row>
        <row r="205">
          <cell r="A205">
            <v>198</v>
          </cell>
          <cell r="B205" t="str">
            <v>شيهب  فارس عبدالقادر</v>
          </cell>
          <cell r="C205" t="str">
            <v>شيهب</v>
          </cell>
          <cell r="D205" t="str">
            <v>فارس عبدالقادر</v>
          </cell>
          <cell r="E205">
            <v>36941</v>
          </cell>
          <cell r="F205" t="str">
            <v>سفيزف</v>
          </cell>
          <cell r="G205" t="str">
            <v>2ع ت2</v>
          </cell>
          <cell r="H205" t="str">
            <v>خارجي</v>
          </cell>
          <cell r="I205" t="str">
            <v>خ</v>
          </cell>
          <cell r="J205" t="str">
            <v>محمد نورالدين</v>
          </cell>
          <cell r="K205" t="str">
            <v>شيهب  محمد نورالدين</v>
          </cell>
          <cell r="L205" t="str">
            <v>موظف</v>
          </cell>
          <cell r="M205" t="str">
            <v>49سكن حي بوهند يحي سفيزف</v>
          </cell>
        </row>
        <row r="206">
          <cell r="A206">
            <v>199</v>
          </cell>
          <cell r="B206" t="str">
            <v>عصام  يحي</v>
          </cell>
          <cell r="C206" t="str">
            <v>عصام</v>
          </cell>
          <cell r="D206" t="str">
            <v>يحي</v>
          </cell>
          <cell r="E206">
            <v>37070</v>
          </cell>
          <cell r="F206" t="str">
            <v>سفيزف</v>
          </cell>
          <cell r="G206" t="str">
            <v>2ع ت2</v>
          </cell>
          <cell r="H206" t="str">
            <v>خارجي</v>
          </cell>
          <cell r="I206" t="str">
            <v>خ</v>
          </cell>
          <cell r="J206" t="str">
            <v>قادة</v>
          </cell>
          <cell r="K206" t="str">
            <v>عصام  قادة</v>
          </cell>
          <cell r="L206" t="str">
            <v>متقاعد</v>
          </cell>
          <cell r="M206" t="str">
            <v>24شارع بنابي أحمد سفيزف</v>
          </cell>
        </row>
        <row r="207">
          <cell r="A207">
            <v>200</v>
          </cell>
          <cell r="B207" t="str">
            <v>محال  أبوبكر الصديق</v>
          </cell>
          <cell r="C207" t="str">
            <v>محال</v>
          </cell>
          <cell r="D207" t="str">
            <v>أبوبكر الصديق</v>
          </cell>
          <cell r="E207">
            <v>36853</v>
          </cell>
          <cell r="F207" t="str">
            <v>س بلعباس</v>
          </cell>
          <cell r="G207" t="str">
            <v>2ع ت2</v>
          </cell>
          <cell r="H207" t="str">
            <v>خارجي</v>
          </cell>
          <cell r="I207" t="str">
            <v>خ</v>
          </cell>
          <cell r="J207" t="str">
            <v>بن عمر</v>
          </cell>
          <cell r="K207" t="str">
            <v>محال  بن عمر</v>
          </cell>
          <cell r="L207" t="str">
            <v>لاشيء</v>
          </cell>
          <cell r="M207" t="str">
            <v>حي 100 سكن سفيزف</v>
          </cell>
        </row>
        <row r="208">
          <cell r="A208">
            <v>201</v>
          </cell>
          <cell r="B208" t="str">
            <v>مسمود   محمد المختار ربيع</v>
          </cell>
          <cell r="C208" t="str">
            <v xml:space="preserve">مسمود </v>
          </cell>
          <cell r="D208" t="str">
            <v>محمد المختار ربيع</v>
          </cell>
          <cell r="E208">
            <v>37045</v>
          </cell>
          <cell r="F208" t="str">
            <v>س بلعباس</v>
          </cell>
          <cell r="G208" t="str">
            <v>2ع ت2</v>
          </cell>
          <cell r="H208" t="str">
            <v>خارجي</v>
          </cell>
          <cell r="I208" t="str">
            <v>خ</v>
          </cell>
          <cell r="J208" t="str">
            <v>بلاحة</v>
          </cell>
          <cell r="K208" t="str">
            <v>مسمود   بلاحة</v>
          </cell>
          <cell r="L208" t="str">
            <v>متقاعد</v>
          </cell>
          <cell r="M208" t="str">
            <v>02حي 141سكن سفيزف</v>
          </cell>
        </row>
        <row r="209">
          <cell r="A209">
            <v>202</v>
          </cell>
          <cell r="B209" t="str">
            <v>منصور  عبدالرحيم</v>
          </cell>
          <cell r="C209" t="str">
            <v>منصور</v>
          </cell>
          <cell r="D209" t="str">
            <v>عبدالرحيم</v>
          </cell>
          <cell r="E209">
            <v>37064</v>
          </cell>
          <cell r="F209" t="str">
            <v>سفيزف</v>
          </cell>
          <cell r="G209" t="str">
            <v>2ع ت2</v>
          </cell>
          <cell r="H209" t="str">
            <v>خارجي</v>
          </cell>
          <cell r="I209" t="str">
            <v>خ</v>
          </cell>
          <cell r="J209" t="str">
            <v>ع الدايم</v>
          </cell>
          <cell r="K209" t="str">
            <v>منصور  ع الدايم</v>
          </cell>
          <cell r="L209" t="str">
            <v>أستاذ</v>
          </cell>
          <cell r="M209" t="str">
            <v>9حي 216سكن السوريكور سفيزف</v>
          </cell>
        </row>
        <row r="210">
          <cell r="A210">
            <v>203</v>
          </cell>
          <cell r="B210" t="str">
            <v>بن عياد  زينب</v>
          </cell>
          <cell r="C210" t="str">
            <v>بن عياد</v>
          </cell>
          <cell r="D210" t="str">
            <v>زينب</v>
          </cell>
          <cell r="E210">
            <v>36863</v>
          </cell>
          <cell r="F210" t="str">
            <v>س بلعباس</v>
          </cell>
          <cell r="G210" t="str">
            <v>2ت واق</v>
          </cell>
          <cell r="H210" t="str">
            <v>داخلية</v>
          </cell>
          <cell r="I210" t="str">
            <v>د</v>
          </cell>
          <cell r="J210" t="str">
            <v xml:space="preserve">الهاشمي </v>
          </cell>
          <cell r="K210" t="str">
            <v xml:space="preserve">بن عياد  الهاشمي </v>
          </cell>
          <cell r="L210" t="str">
            <v>متوفي</v>
          </cell>
          <cell r="M210" t="str">
            <v>واد المبطوح بوجبهة البرج</v>
          </cell>
          <cell r="N210" t="str">
            <v>سعدوني سيدأحمد</v>
          </cell>
          <cell r="O210" t="str">
            <v>ثانوية بوخلدة ع القادر سفيزف</v>
          </cell>
        </row>
        <row r="211">
          <cell r="A211">
            <v>204</v>
          </cell>
          <cell r="B211" t="str">
            <v>برينيس  مليكة نورالهدى</v>
          </cell>
          <cell r="C211" t="str">
            <v>برينيس</v>
          </cell>
          <cell r="D211" t="str">
            <v>مليكة نورالهدى</v>
          </cell>
          <cell r="E211">
            <v>37032</v>
          </cell>
          <cell r="F211" t="str">
            <v>م ب براهيم</v>
          </cell>
          <cell r="G211" t="str">
            <v>2ت واق</v>
          </cell>
          <cell r="H211" t="str">
            <v>ن داخلية</v>
          </cell>
          <cell r="I211" t="str">
            <v>ن/د</v>
          </cell>
          <cell r="J211" t="str">
            <v>بن سرحان</v>
          </cell>
          <cell r="K211" t="str">
            <v>برينيس  بن سرحان</v>
          </cell>
          <cell r="L211" t="str">
            <v>موظف</v>
          </cell>
          <cell r="M211" t="str">
            <v>شارع بوطالب جيلالي م ب براهيم</v>
          </cell>
        </row>
        <row r="212">
          <cell r="A212">
            <v>205</v>
          </cell>
          <cell r="B212" t="str">
            <v>بوراس  رقية</v>
          </cell>
          <cell r="C212" t="str">
            <v>بوراس</v>
          </cell>
          <cell r="D212" t="str">
            <v>رقية</v>
          </cell>
          <cell r="E212">
            <v>36964</v>
          </cell>
          <cell r="F212" t="str">
            <v>س بلعباس</v>
          </cell>
          <cell r="G212" t="str">
            <v>2ت واق</v>
          </cell>
          <cell r="H212" t="str">
            <v>ن داخلية</v>
          </cell>
          <cell r="I212" t="str">
            <v>ن/د</v>
          </cell>
          <cell r="J212" t="str">
            <v>محمد</v>
          </cell>
          <cell r="K212" t="str">
            <v>بوراس  محمد</v>
          </cell>
          <cell r="L212" t="str">
            <v>متوفي</v>
          </cell>
          <cell r="M212" t="str">
            <v>عين أدن</v>
          </cell>
        </row>
        <row r="213">
          <cell r="A213">
            <v>206</v>
          </cell>
          <cell r="B213" t="str">
            <v>زعقوق  ملوكة</v>
          </cell>
          <cell r="C213" t="str">
            <v>زعقوق</v>
          </cell>
          <cell r="D213" t="str">
            <v>ملوكة</v>
          </cell>
          <cell r="E213">
            <v>36209</v>
          </cell>
          <cell r="F213" t="str">
            <v>س بلعباس</v>
          </cell>
          <cell r="G213" t="str">
            <v>2ت واق</v>
          </cell>
          <cell r="H213" t="str">
            <v>ن داخلية</v>
          </cell>
          <cell r="I213" t="str">
            <v>ن/د</v>
          </cell>
          <cell r="J213" t="str">
            <v>سحنون</v>
          </cell>
          <cell r="K213" t="str">
            <v>زعقوق  سحنون</v>
          </cell>
          <cell r="L213" t="str">
            <v>متقاعد</v>
          </cell>
          <cell r="M213" t="str">
            <v>حي 117سكن سفيزف</v>
          </cell>
        </row>
        <row r="214">
          <cell r="A214">
            <v>207</v>
          </cell>
          <cell r="B214" t="str">
            <v>قسوم  فاطمة الزهرة</v>
          </cell>
          <cell r="C214" t="str">
            <v>قسوم</v>
          </cell>
          <cell r="D214" t="str">
            <v>فاطمة الزهرة</v>
          </cell>
          <cell r="E214">
            <v>36522</v>
          </cell>
          <cell r="F214" t="str">
            <v>سفيزف</v>
          </cell>
          <cell r="G214" t="str">
            <v>2ت واق</v>
          </cell>
          <cell r="H214" t="str">
            <v>ن داخلية</v>
          </cell>
          <cell r="I214" t="str">
            <v>ن/د</v>
          </cell>
          <cell r="J214" t="str">
            <v>لعرج</v>
          </cell>
          <cell r="K214" t="str">
            <v>قسوم  لعرج</v>
          </cell>
          <cell r="L214" t="str">
            <v>ممرض</v>
          </cell>
          <cell r="M214" t="str">
            <v>عين آدن</v>
          </cell>
          <cell r="O214" t="str">
            <v>شطب 12/10/2017</v>
          </cell>
        </row>
        <row r="215">
          <cell r="A215">
            <v>208</v>
          </cell>
          <cell r="B215" t="str">
            <v>دارسبع  سيدأحمد</v>
          </cell>
          <cell r="C215" t="str">
            <v>دارسبع</v>
          </cell>
          <cell r="D215" t="str">
            <v>سيدأحمد</v>
          </cell>
          <cell r="E215">
            <v>35974</v>
          </cell>
          <cell r="F215" t="str">
            <v>س بلعباس</v>
          </cell>
          <cell r="G215" t="str">
            <v>2ت واق</v>
          </cell>
          <cell r="H215" t="str">
            <v>ن داخلي</v>
          </cell>
          <cell r="I215" t="str">
            <v>ن/د</v>
          </cell>
          <cell r="J215" t="str">
            <v>بوزيان</v>
          </cell>
          <cell r="K215" t="str">
            <v>دارسبع  بوزيان</v>
          </cell>
          <cell r="L215" t="str">
            <v>لاشيئ</v>
          </cell>
          <cell r="M215" t="str">
            <v>حي برني أحمد عين أدن</v>
          </cell>
        </row>
        <row r="216">
          <cell r="A216">
            <v>209</v>
          </cell>
          <cell r="B216" t="str">
            <v>سعدوني  يونس</v>
          </cell>
          <cell r="C216" t="str">
            <v>سعدوني</v>
          </cell>
          <cell r="D216" t="str">
            <v>يونس</v>
          </cell>
          <cell r="E216">
            <v>36576</v>
          </cell>
          <cell r="F216" t="str">
            <v>سفيزف</v>
          </cell>
          <cell r="G216" t="str">
            <v>2ت واق</v>
          </cell>
          <cell r="H216" t="str">
            <v>ن داخلي</v>
          </cell>
          <cell r="I216" t="str">
            <v>ن/د</v>
          </cell>
          <cell r="J216" t="str">
            <v>يحي</v>
          </cell>
          <cell r="K216" t="str">
            <v>سعدوني  يحي</v>
          </cell>
          <cell r="L216" t="str">
            <v>متوفي</v>
          </cell>
          <cell r="M216" t="str">
            <v>عين آدن</v>
          </cell>
        </row>
        <row r="217">
          <cell r="A217">
            <v>210</v>
          </cell>
          <cell r="B217" t="str">
            <v>بن عطية  أميمة</v>
          </cell>
          <cell r="C217" t="str">
            <v>بن عطية</v>
          </cell>
          <cell r="D217" t="str">
            <v>أميمة</v>
          </cell>
          <cell r="E217">
            <v>37337</v>
          </cell>
          <cell r="F217" t="str">
            <v>سفيزف</v>
          </cell>
          <cell r="G217" t="str">
            <v>2ت واق</v>
          </cell>
          <cell r="H217" t="str">
            <v>خارجية</v>
          </cell>
          <cell r="I217" t="str">
            <v>خ</v>
          </cell>
          <cell r="J217" t="str">
            <v>فؤاد عبدو</v>
          </cell>
          <cell r="K217" t="str">
            <v>بن عطية  فؤاد عبدو</v>
          </cell>
          <cell r="L217" t="str">
            <v>متوفي</v>
          </cell>
          <cell r="M217" t="str">
            <v>شارع إيحتار بن علي سفيزف</v>
          </cell>
        </row>
        <row r="218">
          <cell r="A218">
            <v>211</v>
          </cell>
          <cell r="B218" t="str">
            <v>بن يوسف  هبة</v>
          </cell>
          <cell r="C218" t="str">
            <v>بن يوسف</v>
          </cell>
          <cell r="D218" t="str">
            <v>هبة</v>
          </cell>
          <cell r="E218">
            <v>37108</v>
          </cell>
          <cell r="F218" t="str">
            <v>س بلعباس</v>
          </cell>
          <cell r="G218" t="str">
            <v>2ت واق</v>
          </cell>
          <cell r="H218" t="str">
            <v>خارجية</v>
          </cell>
          <cell r="I218" t="str">
            <v>خ</v>
          </cell>
          <cell r="J218" t="str">
            <v>بوعلام</v>
          </cell>
          <cell r="K218" t="str">
            <v>بن يوسف  بوعلام</v>
          </cell>
          <cell r="L218" t="str">
            <v>موظف</v>
          </cell>
          <cell r="M218" t="str">
            <v>141سكن كناب سفيزف</v>
          </cell>
        </row>
        <row r="219">
          <cell r="A219">
            <v>212</v>
          </cell>
          <cell r="B219" t="str">
            <v>بوخريز  أميرة</v>
          </cell>
          <cell r="C219" t="str">
            <v>بوخريز</v>
          </cell>
          <cell r="D219" t="str">
            <v>أميرة</v>
          </cell>
          <cell r="E219">
            <v>37060</v>
          </cell>
          <cell r="F219" t="str">
            <v>سفيزف</v>
          </cell>
          <cell r="G219" t="str">
            <v>2ت واق</v>
          </cell>
          <cell r="H219" t="str">
            <v>خارجية</v>
          </cell>
          <cell r="I219" t="str">
            <v>خ</v>
          </cell>
          <cell r="J219" t="str">
            <v>عباس</v>
          </cell>
          <cell r="K219" t="str">
            <v>بوخريز  عباس</v>
          </cell>
          <cell r="L219" t="str">
            <v>متقاعد</v>
          </cell>
          <cell r="M219" t="str">
            <v>حي نواري بن عبدالله سفيزف</v>
          </cell>
        </row>
        <row r="220">
          <cell r="A220">
            <v>213</v>
          </cell>
          <cell r="B220" t="str">
            <v>ثامري  أحلام</v>
          </cell>
          <cell r="C220" t="str">
            <v>ثامري</v>
          </cell>
          <cell r="D220" t="str">
            <v>أحلام</v>
          </cell>
          <cell r="E220">
            <v>36336</v>
          </cell>
          <cell r="F220" t="str">
            <v>س بلعباس</v>
          </cell>
          <cell r="G220" t="str">
            <v>2ت واق</v>
          </cell>
          <cell r="H220" t="str">
            <v>خارجية</v>
          </cell>
          <cell r="I220" t="str">
            <v>خ</v>
          </cell>
          <cell r="J220" t="str">
            <v>خروبي</v>
          </cell>
          <cell r="K220" t="str">
            <v>ثامري  خروبي</v>
          </cell>
          <cell r="L220" t="str">
            <v>موظف</v>
          </cell>
          <cell r="M220" t="str">
            <v>حي 214 سكن سفيزف</v>
          </cell>
        </row>
        <row r="221">
          <cell r="A221">
            <v>214</v>
          </cell>
          <cell r="B221" t="str">
            <v>حجاج  صارة</v>
          </cell>
          <cell r="C221" t="str">
            <v>حجاج</v>
          </cell>
          <cell r="D221" t="str">
            <v>صارة</v>
          </cell>
          <cell r="E221">
            <v>36739</v>
          </cell>
          <cell r="F221" t="str">
            <v>سفيزف</v>
          </cell>
          <cell r="G221" t="str">
            <v>2ت واق</v>
          </cell>
          <cell r="H221" t="str">
            <v>خارجية</v>
          </cell>
          <cell r="I221" t="str">
            <v>خ</v>
          </cell>
          <cell r="J221" t="str">
            <v>قدور</v>
          </cell>
          <cell r="K221" t="str">
            <v>حجاج  قدور</v>
          </cell>
          <cell r="L221" t="str">
            <v>ممرض</v>
          </cell>
          <cell r="M221" t="str">
            <v>حي 506 سكن سفيزف</v>
          </cell>
        </row>
        <row r="222">
          <cell r="A222">
            <v>215</v>
          </cell>
          <cell r="B222" t="str">
            <v>سلام  هبة</v>
          </cell>
          <cell r="C222" t="str">
            <v>سلام</v>
          </cell>
          <cell r="D222" t="str">
            <v>هبة</v>
          </cell>
          <cell r="E222">
            <v>37083</v>
          </cell>
          <cell r="F222" t="str">
            <v>سفيزف</v>
          </cell>
          <cell r="G222" t="str">
            <v>2ت واق</v>
          </cell>
          <cell r="H222" t="str">
            <v>خارجية</v>
          </cell>
          <cell r="I222" t="str">
            <v>خ</v>
          </cell>
          <cell r="J222" t="str">
            <v>قادة</v>
          </cell>
          <cell r="K222" t="str">
            <v>سلام  قادة</v>
          </cell>
          <cell r="L222" t="str">
            <v>متقاعد</v>
          </cell>
          <cell r="M222" t="str">
            <v>حي 506سكن سفيزف</v>
          </cell>
        </row>
        <row r="223">
          <cell r="A223">
            <v>216</v>
          </cell>
          <cell r="B223" t="str">
            <v>طلاح  فاطمة الزهرة</v>
          </cell>
          <cell r="C223" t="str">
            <v>طلاح</v>
          </cell>
          <cell r="D223" t="str">
            <v>فاطمة الزهرة</v>
          </cell>
          <cell r="E223">
            <v>37015</v>
          </cell>
          <cell r="F223" t="str">
            <v>سفيزف</v>
          </cell>
          <cell r="G223" t="str">
            <v>2ت واق</v>
          </cell>
          <cell r="H223" t="str">
            <v>خارجية</v>
          </cell>
          <cell r="I223" t="str">
            <v>خ</v>
          </cell>
          <cell r="J223" t="str">
            <v>أحمد</v>
          </cell>
          <cell r="K223" t="str">
            <v>طلاح  أحمد</v>
          </cell>
          <cell r="L223" t="str">
            <v>تاجر</v>
          </cell>
          <cell r="M223" t="str">
            <v xml:space="preserve"> حي50سكن طريق بوحنفية سفيزف</v>
          </cell>
        </row>
        <row r="224">
          <cell r="A224">
            <v>217</v>
          </cell>
          <cell r="B224" t="str">
            <v>عدوني  أسماء</v>
          </cell>
          <cell r="C224" t="str">
            <v>عدوني</v>
          </cell>
          <cell r="D224" t="str">
            <v>أسماء</v>
          </cell>
          <cell r="E224">
            <v>36224</v>
          </cell>
          <cell r="F224" t="str">
            <v>سفيزف</v>
          </cell>
          <cell r="G224" t="str">
            <v>2ت واق</v>
          </cell>
          <cell r="H224" t="str">
            <v>خارجية</v>
          </cell>
          <cell r="I224" t="str">
            <v>خ</v>
          </cell>
          <cell r="J224" t="str">
            <v>عبدالقادر</v>
          </cell>
          <cell r="K224" t="str">
            <v>عدوني  عبدالقادر</v>
          </cell>
          <cell r="L224" t="str">
            <v>نجار</v>
          </cell>
          <cell r="M224" t="str">
            <v>حي117سكن عراس محي الدين سفيزف</v>
          </cell>
        </row>
        <row r="225">
          <cell r="A225">
            <v>218</v>
          </cell>
          <cell r="B225" t="str">
            <v xml:space="preserve">عربوش  فاطيمة  </v>
          </cell>
          <cell r="C225" t="str">
            <v>عربوش</v>
          </cell>
          <cell r="D225" t="str">
            <v xml:space="preserve">فاطيمة  </v>
          </cell>
          <cell r="E225">
            <v>36909</v>
          </cell>
          <cell r="F225" t="str">
            <v>سفيزف</v>
          </cell>
          <cell r="G225" t="str">
            <v>2ت واق</v>
          </cell>
          <cell r="H225" t="str">
            <v>خارجية</v>
          </cell>
          <cell r="I225" t="str">
            <v>خ</v>
          </cell>
          <cell r="J225" t="str">
            <v>عبدالقادر</v>
          </cell>
          <cell r="K225" t="str">
            <v>عربوش  عبدالقادر</v>
          </cell>
          <cell r="L225" t="str">
            <v>سائق</v>
          </cell>
          <cell r="M225" t="str">
            <v>نهج إختار علي سفيزف</v>
          </cell>
        </row>
        <row r="226">
          <cell r="A226">
            <v>219</v>
          </cell>
          <cell r="B226" t="str">
            <v>فسيح  كوثر</v>
          </cell>
          <cell r="C226" t="str">
            <v>فسيح</v>
          </cell>
          <cell r="D226" t="str">
            <v>كوثر</v>
          </cell>
          <cell r="E226">
            <v>37006</v>
          </cell>
          <cell r="F226" t="str">
            <v>سفيزف</v>
          </cell>
          <cell r="G226" t="str">
            <v>2ت واق</v>
          </cell>
          <cell r="H226" t="str">
            <v>خارجية</v>
          </cell>
          <cell r="I226" t="str">
            <v>خ</v>
          </cell>
          <cell r="J226" t="str">
            <v>مختار</v>
          </cell>
          <cell r="K226" t="str">
            <v>فسيح  مختار</v>
          </cell>
          <cell r="L226" t="str">
            <v>متقاعد</v>
          </cell>
          <cell r="M226" t="str">
            <v>حي 216سكن سوريكور سفيزف</v>
          </cell>
        </row>
        <row r="227">
          <cell r="A227">
            <v>220</v>
          </cell>
          <cell r="B227" t="str">
            <v>معروف  نورة</v>
          </cell>
          <cell r="C227" t="str">
            <v>معروف</v>
          </cell>
          <cell r="D227" t="str">
            <v>نورة</v>
          </cell>
          <cell r="E227">
            <v>36522</v>
          </cell>
          <cell r="F227" t="str">
            <v>سفيزف</v>
          </cell>
          <cell r="G227" t="str">
            <v>2ت واق</v>
          </cell>
          <cell r="H227" t="str">
            <v>خارجية</v>
          </cell>
          <cell r="I227" t="str">
            <v>خ</v>
          </cell>
          <cell r="J227" t="str">
            <v>طيب</v>
          </cell>
          <cell r="K227" t="str">
            <v>معروف  طيب</v>
          </cell>
          <cell r="L227" t="str">
            <v>بناء</v>
          </cell>
          <cell r="M227" t="str">
            <v>حي 140سكن سفيزف</v>
          </cell>
        </row>
        <row r="228">
          <cell r="A228">
            <v>221</v>
          </cell>
          <cell r="B228" t="str">
            <v>معطا الله  سعاد</v>
          </cell>
          <cell r="C228" t="str">
            <v>معطا الله</v>
          </cell>
          <cell r="D228" t="str">
            <v>سعاد</v>
          </cell>
          <cell r="E228">
            <v>35814</v>
          </cell>
          <cell r="F228" t="str">
            <v>سعيدة</v>
          </cell>
          <cell r="G228" t="str">
            <v>2ت واق</v>
          </cell>
          <cell r="H228" t="str">
            <v>خارجية</v>
          </cell>
          <cell r="I228" t="str">
            <v>خ</v>
          </cell>
          <cell r="J228" t="str">
            <v>جيلالي</v>
          </cell>
          <cell r="K228" t="str">
            <v>معطا الله  جيلالي</v>
          </cell>
          <cell r="L228" t="str">
            <v>لاشيء</v>
          </cell>
          <cell r="M228" t="str">
            <v>حي بوهند يحي سفيزف</v>
          </cell>
        </row>
        <row r="229">
          <cell r="A229">
            <v>222</v>
          </cell>
          <cell r="B229" t="str">
            <v>منصوري  فضيلة</v>
          </cell>
          <cell r="C229" t="str">
            <v>منصوري</v>
          </cell>
          <cell r="D229" t="str">
            <v>فضيلة</v>
          </cell>
          <cell r="E229">
            <v>36804</v>
          </cell>
          <cell r="F229" t="str">
            <v>س بلعباس</v>
          </cell>
          <cell r="G229" t="str">
            <v>2ت واق</v>
          </cell>
          <cell r="H229" t="str">
            <v>خارجية</v>
          </cell>
          <cell r="I229" t="str">
            <v>خ</v>
          </cell>
          <cell r="J229" t="str">
            <v>عبدالقادر</v>
          </cell>
          <cell r="K229" t="str">
            <v>منصوري  عبدالقادر</v>
          </cell>
          <cell r="L229" t="str">
            <v>بناء</v>
          </cell>
          <cell r="M229" t="str">
            <v>حي 100سكن سفيزف</v>
          </cell>
        </row>
        <row r="230">
          <cell r="A230">
            <v>223</v>
          </cell>
          <cell r="B230" t="str">
            <v>نوالة  بدرة</v>
          </cell>
          <cell r="C230" t="str">
            <v>نوالة</v>
          </cell>
          <cell r="D230" t="str">
            <v>بدرة</v>
          </cell>
          <cell r="E230">
            <v>37145</v>
          </cell>
          <cell r="F230" t="str">
            <v>سفيزف</v>
          </cell>
          <cell r="G230" t="str">
            <v>2ت واق</v>
          </cell>
          <cell r="H230" t="str">
            <v>خارجية</v>
          </cell>
          <cell r="I230" t="str">
            <v>خ</v>
          </cell>
          <cell r="J230" t="str">
            <v>ميلود</v>
          </cell>
          <cell r="K230" t="str">
            <v>نوالة  ميلود</v>
          </cell>
          <cell r="L230" t="str">
            <v>حارس</v>
          </cell>
          <cell r="M230" t="str">
            <v>حي 100سكن سفيزف</v>
          </cell>
        </row>
        <row r="231">
          <cell r="A231">
            <v>224</v>
          </cell>
          <cell r="B231" t="str">
            <v>بكار  عبدالقادر</v>
          </cell>
          <cell r="C231" t="str">
            <v>بكار</v>
          </cell>
          <cell r="D231" t="str">
            <v>عبدالقادر</v>
          </cell>
          <cell r="E231">
            <v>36694</v>
          </cell>
          <cell r="F231" t="str">
            <v>سفيزف</v>
          </cell>
          <cell r="G231" t="str">
            <v>2ت واق</v>
          </cell>
          <cell r="H231" t="str">
            <v>خارجي</v>
          </cell>
          <cell r="I231" t="str">
            <v>خ</v>
          </cell>
          <cell r="J231" t="str">
            <v>يحي</v>
          </cell>
          <cell r="K231" t="str">
            <v>بكار  يحي</v>
          </cell>
          <cell r="L231" t="str">
            <v>لاشيء</v>
          </cell>
          <cell r="M231" t="str">
            <v>شارع بوتنزار محمد سفيزف</v>
          </cell>
        </row>
        <row r="232">
          <cell r="A232">
            <v>225</v>
          </cell>
          <cell r="B232" t="str">
            <v>بن حويدقة  خالد ضياء الدين</v>
          </cell>
          <cell r="C232" t="str">
            <v>بن حويدقة</v>
          </cell>
          <cell r="D232" t="str">
            <v>خالد ضياء الدين</v>
          </cell>
          <cell r="E232">
            <v>36941</v>
          </cell>
          <cell r="F232" t="str">
            <v>سفيزف</v>
          </cell>
          <cell r="G232" t="str">
            <v>2ت واق</v>
          </cell>
          <cell r="H232" t="str">
            <v>خارجي</v>
          </cell>
          <cell r="I232" t="str">
            <v>خ</v>
          </cell>
          <cell r="J232" t="str">
            <v>عبدالقادر</v>
          </cell>
          <cell r="K232" t="str">
            <v>بن حويدقة  عبدالقادر</v>
          </cell>
          <cell r="L232" t="str">
            <v>لحام</v>
          </cell>
          <cell r="M232" t="str">
            <v>شارع معطى الله بومدين سفيزف</v>
          </cell>
        </row>
        <row r="233">
          <cell r="A233">
            <v>226</v>
          </cell>
          <cell r="B233" t="str">
            <v>بوزوينة  إسلام</v>
          </cell>
          <cell r="C233" t="str">
            <v>بوزوينة</v>
          </cell>
          <cell r="D233" t="str">
            <v>إسلام</v>
          </cell>
          <cell r="E233">
            <v>37220</v>
          </cell>
          <cell r="F233" t="str">
            <v>سفيزف</v>
          </cell>
          <cell r="G233" t="str">
            <v>2ت واق</v>
          </cell>
          <cell r="H233" t="str">
            <v>خارجي</v>
          </cell>
          <cell r="I233" t="str">
            <v>خ</v>
          </cell>
          <cell r="J233" t="str">
            <v>أحمد</v>
          </cell>
          <cell r="K233" t="str">
            <v>بوزوينة  أحمد</v>
          </cell>
          <cell r="L233" t="str">
            <v>بناء</v>
          </cell>
          <cell r="M233" t="str">
            <v>حي506سكن سفيزف</v>
          </cell>
        </row>
        <row r="234">
          <cell r="A234">
            <v>227</v>
          </cell>
          <cell r="B234" t="str">
            <v>تيرس  خالد يحي</v>
          </cell>
          <cell r="C234" t="str">
            <v>تيرس</v>
          </cell>
          <cell r="D234" t="str">
            <v>خالد يحي</v>
          </cell>
          <cell r="E234">
            <v>37094</v>
          </cell>
          <cell r="F234" t="str">
            <v>سفيزف</v>
          </cell>
          <cell r="G234" t="str">
            <v>2ت واق</v>
          </cell>
          <cell r="H234" t="str">
            <v>خارجي</v>
          </cell>
          <cell r="I234" t="str">
            <v>خ</v>
          </cell>
          <cell r="J234" t="str">
            <v>عبدالقادر</v>
          </cell>
          <cell r="K234" t="str">
            <v>تيرس  عبدالقادر</v>
          </cell>
          <cell r="L234" t="str">
            <v>عون أمن</v>
          </cell>
          <cell r="M234" t="str">
            <v>حي 100سكن عمارة د سفيزف</v>
          </cell>
        </row>
        <row r="235">
          <cell r="A235">
            <v>228</v>
          </cell>
          <cell r="B235" t="str">
            <v>جرموني  إلياس عبدالغاني</v>
          </cell>
          <cell r="C235" t="str">
            <v>جرموني</v>
          </cell>
          <cell r="D235" t="str">
            <v>إلياس عبدالغاني</v>
          </cell>
          <cell r="E235">
            <v>37171</v>
          </cell>
          <cell r="F235" t="str">
            <v>سفيزف</v>
          </cell>
          <cell r="G235" t="str">
            <v>2ت واق</v>
          </cell>
          <cell r="H235" t="str">
            <v>خارجي</v>
          </cell>
          <cell r="I235" t="str">
            <v>خ</v>
          </cell>
          <cell r="J235" t="str">
            <v>محمد</v>
          </cell>
          <cell r="K235" t="str">
            <v>جرموني  محمد</v>
          </cell>
          <cell r="L235" t="str">
            <v>متوفي</v>
          </cell>
          <cell r="M235" t="str">
            <v>43ش جرموني محمد سفيزف</v>
          </cell>
        </row>
        <row r="236">
          <cell r="A236">
            <v>229</v>
          </cell>
          <cell r="B236" t="str">
            <v>ضليمي  عبدالجليل</v>
          </cell>
          <cell r="C236" t="str">
            <v>ضليمي</v>
          </cell>
          <cell r="D236" t="str">
            <v>عبدالجليل</v>
          </cell>
          <cell r="E236">
            <v>36893</v>
          </cell>
          <cell r="F236" t="str">
            <v>سفيزف</v>
          </cell>
          <cell r="G236" t="str">
            <v>2ت واق</v>
          </cell>
          <cell r="H236" t="str">
            <v>خارجي</v>
          </cell>
          <cell r="I236" t="str">
            <v>خ</v>
          </cell>
          <cell r="J236" t="str">
            <v>عمر</v>
          </cell>
          <cell r="K236" t="str">
            <v>ضليمي  عمر</v>
          </cell>
          <cell r="L236" t="str">
            <v>تاجر</v>
          </cell>
          <cell r="M236" t="str">
            <v>شارع العربي بن مهيدي سفيزف</v>
          </cell>
        </row>
        <row r="237">
          <cell r="A237">
            <v>230</v>
          </cell>
          <cell r="B237" t="str">
            <v>طيبي   علاء الدين</v>
          </cell>
          <cell r="C237" t="str">
            <v xml:space="preserve">طيبي </v>
          </cell>
          <cell r="D237" t="str">
            <v>علاء الدين</v>
          </cell>
          <cell r="E237">
            <v>36572</v>
          </cell>
          <cell r="F237" t="str">
            <v>أدرار</v>
          </cell>
          <cell r="G237" t="str">
            <v>2ت واق</v>
          </cell>
          <cell r="H237" t="str">
            <v>خارجي</v>
          </cell>
          <cell r="I237" t="str">
            <v>خ</v>
          </cell>
          <cell r="J237" t="str">
            <v>منور</v>
          </cell>
          <cell r="K237" t="str">
            <v>طيبي   منور</v>
          </cell>
          <cell r="L237" t="str">
            <v>متقاعد</v>
          </cell>
          <cell r="M237" t="str">
            <v>حي 216سكن سوريكور سفيزف</v>
          </cell>
        </row>
        <row r="238">
          <cell r="A238">
            <v>231</v>
          </cell>
          <cell r="B238" t="str">
            <v>عبدالواحد  محمد</v>
          </cell>
          <cell r="C238" t="str">
            <v>عبدالواحد</v>
          </cell>
          <cell r="D238" t="str">
            <v>محمد</v>
          </cell>
          <cell r="E238">
            <v>35973</v>
          </cell>
          <cell r="F238" t="str">
            <v>وهران</v>
          </cell>
          <cell r="G238" t="str">
            <v>2ت واق</v>
          </cell>
          <cell r="H238" t="str">
            <v>خارجي</v>
          </cell>
          <cell r="I238" t="str">
            <v>خ</v>
          </cell>
          <cell r="J238" t="str">
            <v>عبد النبي</v>
          </cell>
          <cell r="K238" t="str">
            <v>عبدالواحد  عبد النبي</v>
          </cell>
          <cell r="L238" t="str">
            <v>موظف</v>
          </cell>
          <cell r="M238" t="str">
            <v>حي 506سكن سفيزف</v>
          </cell>
        </row>
        <row r="239">
          <cell r="A239">
            <v>232</v>
          </cell>
          <cell r="B239" t="str">
            <v>مالكي  علاء الدين</v>
          </cell>
          <cell r="C239" t="str">
            <v>مالكي</v>
          </cell>
          <cell r="D239" t="str">
            <v>علاء الدين</v>
          </cell>
          <cell r="E239">
            <v>37237</v>
          </cell>
          <cell r="F239" t="str">
            <v>سفيزف</v>
          </cell>
          <cell r="G239" t="str">
            <v>2ت واق</v>
          </cell>
          <cell r="H239" t="str">
            <v>خارجي</v>
          </cell>
          <cell r="I239" t="str">
            <v>خ</v>
          </cell>
          <cell r="J239" t="str">
            <v>ع المالك</v>
          </cell>
          <cell r="K239" t="str">
            <v>مالكي  ع المالك</v>
          </cell>
          <cell r="L239" t="str">
            <v>طبيب</v>
          </cell>
          <cell r="M239" t="str">
            <v>حي 27سكن سفيزف</v>
          </cell>
        </row>
        <row r="240">
          <cell r="A240">
            <v>233</v>
          </cell>
          <cell r="B240" t="str">
            <v>هبري  يحي عبدالواحد</v>
          </cell>
          <cell r="C240" t="str">
            <v>هبري</v>
          </cell>
          <cell r="D240" t="str">
            <v>يحي عبدالواحد</v>
          </cell>
          <cell r="E240">
            <v>37120</v>
          </cell>
          <cell r="F240" t="str">
            <v>سفيزف</v>
          </cell>
          <cell r="G240" t="str">
            <v>2ت واق</v>
          </cell>
          <cell r="H240" t="str">
            <v>خارجي</v>
          </cell>
          <cell r="I240" t="str">
            <v>خ</v>
          </cell>
          <cell r="J240" t="str">
            <v>عيسى</v>
          </cell>
          <cell r="K240" t="str">
            <v>هبري  عيسى</v>
          </cell>
          <cell r="L240" t="str">
            <v>موظف</v>
          </cell>
          <cell r="M240" t="str">
            <v>حي100سكن سفيزف</v>
          </cell>
        </row>
        <row r="241">
          <cell r="A241">
            <v>234</v>
          </cell>
          <cell r="B241" t="str">
            <v>بسباسي  حليمة</v>
          </cell>
          <cell r="C241" t="str">
            <v>بسباسي</v>
          </cell>
          <cell r="D241" t="str">
            <v>حليمة</v>
          </cell>
          <cell r="E241">
            <v>36705</v>
          </cell>
          <cell r="F241" t="str">
            <v>عين البرد</v>
          </cell>
          <cell r="G241" t="str">
            <v>2آ ف</v>
          </cell>
          <cell r="H241" t="str">
            <v>داخلية</v>
          </cell>
          <cell r="I241" t="str">
            <v>د</v>
          </cell>
          <cell r="J241" t="str">
            <v>ميلود</v>
          </cell>
          <cell r="K241" t="str">
            <v>بسباسي  ميلود</v>
          </cell>
          <cell r="L241" t="str">
            <v>متقاعد</v>
          </cell>
          <cell r="M241" t="str">
            <v>بوجبهة البرج</v>
          </cell>
          <cell r="N241" t="str">
            <v>محوش بن رضوان</v>
          </cell>
          <cell r="O241" t="str">
            <v>25ش إخوة حجال وهران</v>
          </cell>
        </row>
        <row r="242">
          <cell r="A242">
            <v>235</v>
          </cell>
          <cell r="B242" t="str">
            <v>عوني  عائشة</v>
          </cell>
          <cell r="C242" t="str">
            <v>عوني</v>
          </cell>
          <cell r="D242" t="str">
            <v>عائشة</v>
          </cell>
          <cell r="E242">
            <v>36722</v>
          </cell>
          <cell r="F242" t="str">
            <v>س بلعباس</v>
          </cell>
          <cell r="G242" t="str">
            <v>2آ ف</v>
          </cell>
          <cell r="H242" t="str">
            <v>داخلية</v>
          </cell>
          <cell r="I242" t="str">
            <v>د</v>
          </cell>
          <cell r="J242" t="str">
            <v>بن عبد الله</v>
          </cell>
          <cell r="K242" t="str">
            <v>عوني  بن عبد الله</v>
          </cell>
          <cell r="L242" t="str">
            <v>فلاح</v>
          </cell>
          <cell r="M242" t="str">
            <v>واد المبطوح</v>
          </cell>
          <cell r="N242" t="str">
            <v>كشار الحبيب</v>
          </cell>
          <cell r="O242" t="str">
            <v>شارع دلاني الحبيب سفيزف</v>
          </cell>
        </row>
        <row r="243">
          <cell r="A243">
            <v>236</v>
          </cell>
          <cell r="B243" t="str">
            <v>لونيسي  خلود</v>
          </cell>
          <cell r="C243" t="str">
            <v>لونيسي</v>
          </cell>
          <cell r="D243" t="str">
            <v>خلود</v>
          </cell>
          <cell r="E243">
            <v>37466</v>
          </cell>
          <cell r="F243" t="str">
            <v>تلاغ</v>
          </cell>
          <cell r="G243" t="str">
            <v>2آ ف</v>
          </cell>
          <cell r="H243" t="str">
            <v>داخلية</v>
          </cell>
          <cell r="I243" t="str">
            <v>د</v>
          </cell>
          <cell r="J243" t="str">
            <v>مهاجي</v>
          </cell>
          <cell r="K243" t="str">
            <v>لونيسي  مهاجي</v>
          </cell>
          <cell r="L243" t="str">
            <v>متقاعد</v>
          </cell>
          <cell r="M243" t="str">
            <v>مركز الكوانين</v>
          </cell>
          <cell r="N243" t="str">
            <v>جليد نعيم</v>
          </cell>
          <cell r="O243" t="str">
            <v>72حي 100سكن سفيزف</v>
          </cell>
        </row>
        <row r="244">
          <cell r="A244">
            <v>237</v>
          </cell>
          <cell r="B244" t="str">
            <v>محتوقي  أحلام</v>
          </cell>
          <cell r="C244" t="str">
            <v>محتوقي</v>
          </cell>
          <cell r="D244" t="str">
            <v>أحلام</v>
          </cell>
          <cell r="E244">
            <v>36154</v>
          </cell>
          <cell r="F244" t="str">
            <v>سفيزف</v>
          </cell>
          <cell r="G244" t="str">
            <v>2آ ف</v>
          </cell>
          <cell r="H244" t="str">
            <v>داخلية</v>
          </cell>
          <cell r="I244" t="str">
            <v>د</v>
          </cell>
          <cell r="J244" t="str">
            <v>جلول</v>
          </cell>
          <cell r="K244" t="str">
            <v>محتوقي  جلول</v>
          </cell>
          <cell r="L244" t="str">
            <v>سائق</v>
          </cell>
          <cell r="M244" t="str">
            <v>بوجبهة البرج</v>
          </cell>
          <cell r="N244" t="str">
            <v>محتوقي عباس</v>
          </cell>
          <cell r="O244" t="str">
            <v>حي 506 سكن سفيزف</v>
          </cell>
        </row>
        <row r="245">
          <cell r="A245">
            <v>238</v>
          </cell>
          <cell r="B245" t="str">
            <v>مطهري  فادية</v>
          </cell>
          <cell r="C245" t="str">
            <v>مطهري</v>
          </cell>
          <cell r="D245" t="str">
            <v>فادية</v>
          </cell>
          <cell r="E245">
            <v>37025</v>
          </cell>
          <cell r="F245" t="str">
            <v>س بلعباس</v>
          </cell>
          <cell r="G245" t="str">
            <v>2آ ف</v>
          </cell>
          <cell r="H245" t="str">
            <v>داخلية</v>
          </cell>
          <cell r="I245" t="str">
            <v>د</v>
          </cell>
          <cell r="J245" t="str">
            <v>عباس</v>
          </cell>
          <cell r="K245" t="str">
            <v>مطهري  عباس</v>
          </cell>
          <cell r="L245" t="str">
            <v>أستاذ</v>
          </cell>
          <cell r="M245" t="str">
            <v>واد المبطوح</v>
          </cell>
          <cell r="N245" t="str">
            <v xml:space="preserve">بلجة محمد </v>
          </cell>
          <cell r="O245" t="str">
            <v>شارع سي بومدين سفيزف</v>
          </cell>
        </row>
        <row r="246">
          <cell r="A246">
            <v>239</v>
          </cell>
          <cell r="B246" t="str">
            <v>بكوري  إكرام</v>
          </cell>
          <cell r="C246" t="str">
            <v>بكوري</v>
          </cell>
          <cell r="D246" t="str">
            <v>إكرام</v>
          </cell>
          <cell r="E246">
            <v>36829</v>
          </cell>
          <cell r="F246" t="str">
            <v>سفيزف</v>
          </cell>
          <cell r="G246" t="str">
            <v>2آ ف</v>
          </cell>
          <cell r="H246" t="str">
            <v>ن داخلية</v>
          </cell>
          <cell r="I246" t="str">
            <v>ن/د</v>
          </cell>
          <cell r="J246" t="str">
            <v>محمد</v>
          </cell>
          <cell r="K246" t="str">
            <v>بكوري  محمد</v>
          </cell>
          <cell r="L246" t="str">
            <v>بناء</v>
          </cell>
          <cell r="M246" t="str">
            <v>عين آدن</v>
          </cell>
        </row>
        <row r="247">
          <cell r="A247">
            <v>240</v>
          </cell>
          <cell r="B247" t="str">
            <v>بلوحي  أحلام</v>
          </cell>
          <cell r="C247" t="str">
            <v>بلوحي</v>
          </cell>
          <cell r="D247" t="str">
            <v>أحلام</v>
          </cell>
          <cell r="E247">
            <v>36821</v>
          </cell>
          <cell r="F247" t="str">
            <v>سفيزف</v>
          </cell>
          <cell r="G247" t="str">
            <v>2آ ف</v>
          </cell>
          <cell r="H247" t="str">
            <v>ن داخلية</v>
          </cell>
          <cell r="I247" t="str">
            <v>ن/د</v>
          </cell>
          <cell r="J247" t="str">
            <v>يحي</v>
          </cell>
          <cell r="K247" t="str">
            <v>بلوحي  يحي</v>
          </cell>
          <cell r="L247" t="str">
            <v>بناء</v>
          </cell>
          <cell r="M247" t="str">
            <v>عين أدن</v>
          </cell>
        </row>
        <row r="248">
          <cell r="A248">
            <v>241</v>
          </cell>
          <cell r="B248" t="str">
            <v>دار الناموس  نسرين</v>
          </cell>
          <cell r="C248" t="str">
            <v>دار الناموس</v>
          </cell>
          <cell r="D248" t="str">
            <v>نسرين</v>
          </cell>
          <cell r="E248">
            <v>36758</v>
          </cell>
          <cell r="F248" t="str">
            <v>معسكر</v>
          </cell>
          <cell r="G248" t="str">
            <v>2آ ف</v>
          </cell>
          <cell r="H248" t="str">
            <v>ن داخلية</v>
          </cell>
          <cell r="I248" t="str">
            <v>ن/د</v>
          </cell>
          <cell r="J248" t="str">
            <v>محمد</v>
          </cell>
          <cell r="K248" t="str">
            <v>دار الناموس  محمد</v>
          </cell>
          <cell r="L248" t="str">
            <v>لاشيئ</v>
          </cell>
          <cell r="M248" t="str">
            <v>عين آدن</v>
          </cell>
        </row>
        <row r="249">
          <cell r="A249">
            <v>242</v>
          </cell>
          <cell r="B249" t="str">
            <v>رمدوم  إيمان</v>
          </cell>
          <cell r="C249" t="str">
            <v>رمدوم</v>
          </cell>
          <cell r="D249" t="str">
            <v>إيمان</v>
          </cell>
          <cell r="E249">
            <v>36180</v>
          </cell>
          <cell r="F249" t="str">
            <v>سفيزف</v>
          </cell>
          <cell r="G249" t="str">
            <v>2آ ف</v>
          </cell>
          <cell r="H249" t="str">
            <v>ن داخلية</v>
          </cell>
          <cell r="I249" t="str">
            <v>ن/د</v>
          </cell>
          <cell r="J249" t="str">
            <v xml:space="preserve">احمد </v>
          </cell>
          <cell r="K249" t="str">
            <v xml:space="preserve">رمدوم  احمد </v>
          </cell>
          <cell r="L249" t="str">
            <v>متقاعد</v>
          </cell>
          <cell r="M249" t="str">
            <v>قرية بني تالة سفيزف</v>
          </cell>
        </row>
        <row r="250">
          <cell r="A250">
            <v>243</v>
          </cell>
          <cell r="B250" t="str">
            <v>زجين   سمراء</v>
          </cell>
          <cell r="C250" t="str">
            <v xml:space="preserve">زجين </v>
          </cell>
          <cell r="D250" t="str">
            <v>سمراء</v>
          </cell>
          <cell r="E250">
            <v>36622</v>
          </cell>
          <cell r="F250" t="str">
            <v>سفيزف</v>
          </cell>
          <cell r="G250" t="str">
            <v>2آ ف</v>
          </cell>
          <cell r="H250" t="str">
            <v>ن داخلية</v>
          </cell>
          <cell r="I250" t="str">
            <v>ن/د</v>
          </cell>
          <cell r="J250" t="str">
            <v>قدور</v>
          </cell>
          <cell r="K250" t="str">
            <v>زجين   قدور</v>
          </cell>
          <cell r="L250" t="str">
            <v>حارس</v>
          </cell>
          <cell r="M250" t="str">
            <v>دوار صوابرية</v>
          </cell>
        </row>
        <row r="251">
          <cell r="A251">
            <v>244</v>
          </cell>
          <cell r="B251" t="str">
            <v>شايع  شهرزاد</v>
          </cell>
          <cell r="C251" t="str">
            <v>شايع</v>
          </cell>
          <cell r="D251" t="str">
            <v>شهرزاد</v>
          </cell>
          <cell r="E251">
            <v>37152</v>
          </cell>
          <cell r="F251" t="str">
            <v>سفيزف</v>
          </cell>
          <cell r="G251" t="str">
            <v>2آ ف</v>
          </cell>
          <cell r="H251" t="str">
            <v>ن داخلية</v>
          </cell>
          <cell r="I251" t="str">
            <v>ن/د</v>
          </cell>
          <cell r="J251" t="str">
            <v>أحمد</v>
          </cell>
          <cell r="K251" t="str">
            <v>شايع  أحمد</v>
          </cell>
          <cell r="L251" t="str">
            <v>متقاعد</v>
          </cell>
          <cell r="M251" t="str">
            <v>حي 15سكن عين أدن</v>
          </cell>
        </row>
        <row r="252">
          <cell r="A252">
            <v>245</v>
          </cell>
          <cell r="B252" t="str">
            <v>ظافري  صابرينة</v>
          </cell>
          <cell r="C252" t="str">
            <v>ظافري</v>
          </cell>
          <cell r="D252" t="str">
            <v>صابرينة</v>
          </cell>
          <cell r="E252">
            <v>37108</v>
          </cell>
          <cell r="F252" t="str">
            <v>سفيزف</v>
          </cell>
          <cell r="G252" t="str">
            <v>2آ ف</v>
          </cell>
          <cell r="H252" t="str">
            <v>ن داخلية</v>
          </cell>
          <cell r="I252" t="str">
            <v>ن/د</v>
          </cell>
          <cell r="J252" t="str">
            <v>ناصر</v>
          </cell>
          <cell r="K252" t="str">
            <v>ظافري  ناصر</v>
          </cell>
          <cell r="L252" t="str">
            <v>لاشيئ</v>
          </cell>
          <cell r="M252" t="str">
            <v>حي 140سكن سفيزف</v>
          </cell>
        </row>
        <row r="253">
          <cell r="A253">
            <v>246</v>
          </cell>
          <cell r="B253" t="str">
            <v>قرقيط   فاطمة</v>
          </cell>
          <cell r="C253" t="str">
            <v xml:space="preserve">قرقيط </v>
          </cell>
          <cell r="D253" t="str">
            <v>فاطمة</v>
          </cell>
          <cell r="E253">
            <v>36336</v>
          </cell>
          <cell r="F253" t="str">
            <v>سفيزف</v>
          </cell>
          <cell r="G253" t="str">
            <v>2آ ف</v>
          </cell>
          <cell r="H253" t="str">
            <v>ن داخلية</v>
          </cell>
          <cell r="I253" t="str">
            <v>ن/د</v>
          </cell>
          <cell r="J253" t="str">
            <v>قادة</v>
          </cell>
          <cell r="K253" t="str">
            <v>قرقيط   قادة</v>
          </cell>
          <cell r="L253" t="str">
            <v>موال</v>
          </cell>
          <cell r="M253" t="str">
            <v>بني تالة</v>
          </cell>
        </row>
        <row r="254">
          <cell r="A254">
            <v>247</v>
          </cell>
          <cell r="B254" t="str">
            <v>لصلح  مروان</v>
          </cell>
          <cell r="C254" t="str">
            <v>لصلح</v>
          </cell>
          <cell r="D254" t="str">
            <v>مروان</v>
          </cell>
          <cell r="E254">
            <v>37066</v>
          </cell>
          <cell r="F254" t="str">
            <v>سفيزف</v>
          </cell>
          <cell r="G254" t="str">
            <v>2آ ف</v>
          </cell>
          <cell r="H254" t="str">
            <v>ن داخلي</v>
          </cell>
          <cell r="I254" t="str">
            <v>ن/د</v>
          </cell>
          <cell r="J254" t="str">
            <v>مهاجي</v>
          </cell>
          <cell r="K254" t="str">
            <v>لصلح  مهاجي</v>
          </cell>
          <cell r="L254" t="str">
            <v>لاشيئ</v>
          </cell>
          <cell r="M254" t="str">
            <v>قرية بلبوش</v>
          </cell>
        </row>
        <row r="255">
          <cell r="A255">
            <v>248</v>
          </cell>
          <cell r="B255" t="str">
            <v>برباح  منال</v>
          </cell>
          <cell r="C255" t="str">
            <v>برباح</v>
          </cell>
          <cell r="D255" t="str">
            <v>منال</v>
          </cell>
          <cell r="E255">
            <v>36495</v>
          </cell>
          <cell r="F255" t="str">
            <v>سفيزف</v>
          </cell>
          <cell r="G255" t="str">
            <v>2آ ف</v>
          </cell>
          <cell r="H255" t="str">
            <v>خارجية</v>
          </cell>
          <cell r="I255" t="str">
            <v>خ</v>
          </cell>
          <cell r="J255" t="str">
            <v>الحاج</v>
          </cell>
          <cell r="K255" t="str">
            <v>برباح  الحاج</v>
          </cell>
          <cell r="L255" t="str">
            <v>متقاعد</v>
          </cell>
          <cell r="M255" t="str">
            <v>حي 506 سكن سفيزف</v>
          </cell>
        </row>
        <row r="256">
          <cell r="A256">
            <v>249</v>
          </cell>
          <cell r="B256" t="str">
            <v>بوخالفة  الحاجة فاطمة</v>
          </cell>
          <cell r="C256" t="str">
            <v>بوخالفة</v>
          </cell>
          <cell r="D256" t="str">
            <v>الحاجة فاطمة</v>
          </cell>
          <cell r="E256">
            <v>36619</v>
          </cell>
          <cell r="F256" t="str">
            <v>سفيزف</v>
          </cell>
          <cell r="G256" t="str">
            <v>2آ ف</v>
          </cell>
          <cell r="H256" t="str">
            <v>خارجية</v>
          </cell>
          <cell r="I256" t="str">
            <v>خ</v>
          </cell>
          <cell r="J256" t="str">
            <v>ميلود</v>
          </cell>
          <cell r="K256" t="str">
            <v>بوخالفة  ميلود</v>
          </cell>
          <cell r="L256" t="str">
            <v>متقاعد</v>
          </cell>
          <cell r="M256" t="str">
            <v>حي كشار صحراوي سفيزف</v>
          </cell>
        </row>
        <row r="257">
          <cell r="A257">
            <v>250</v>
          </cell>
          <cell r="B257" t="str">
            <v>بومسجد  عائشة إيمان</v>
          </cell>
          <cell r="C257" t="str">
            <v>بومسجد</v>
          </cell>
          <cell r="D257" t="str">
            <v>عائشة إيمان</v>
          </cell>
          <cell r="E257">
            <v>36928</v>
          </cell>
          <cell r="F257" t="str">
            <v>س بلعباس</v>
          </cell>
          <cell r="G257" t="str">
            <v>2آ ف</v>
          </cell>
          <cell r="H257" t="str">
            <v>خارجية</v>
          </cell>
          <cell r="I257" t="str">
            <v>خ</v>
          </cell>
          <cell r="J257" t="str">
            <v>بوعزة</v>
          </cell>
          <cell r="K257" t="str">
            <v>بومسجد  بوعزة</v>
          </cell>
          <cell r="L257" t="str">
            <v>مهندس</v>
          </cell>
          <cell r="M257" t="str">
            <v>حي كشار صحراوي سفيزف</v>
          </cell>
        </row>
        <row r="258">
          <cell r="A258">
            <v>251</v>
          </cell>
          <cell r="B258" t="str">
            <v>جلال  عائشة</v>
          </cell>
          <cell r="C258" t="str">
            <v>جلال</v>
          </cell>
          <cell r="D258" t="str">
            <v>عائشة</v>
          </cell>
          <cell r="E258">
            <v>36964</v>
          </cell>
          <cell r="F258" t="str">
            <v>غريس</v>
          </cell>
          <cell r="G258" t="str">
            <v>2آ ف</v>
          </cell>
          <cell r="H258" t="str">
            <v>خارجية</v>
          </cell>
          <cell r="I258" t="str">
            <v>خ</v>
          </cell>
          <cell r="J258" t="str">
            <v>بلقاسم</v>
          </cell>
          <cell r="K258" t="str">
            <v>جلال  بلقاسم</v>
          </cell>
          <cell r="L258" t="str">
            <v>متقاعد</v>
          </cell>
          <cell r="M258" t="str">
            <v>حي 117سكن سفيزف</v>
          </cell>
        </row>
        <row r="259">
          <cell r="A259">
            <v>252</v>
          </cell>
          <cell r="B259" t="str">
            <v>حميدي  إكرام</v>
          </cell>
          <cell r="C259" t="str">
            <v>حميدي</v>
          </cell>
          <cell r="D259" t="str">
            <v>إكرام</v>
          </cell>
          <cell r="E259">
            <v>37254</v>
          </cell>
          <cell r="F259" t="str">
            <v>سفيزف</v>
          </cell>
          <cell r="G259" t="str">
            <v>2آ ف</v>
          </cell>
          <cell r="H259" t="str">
            <v>خارجية</v>
          </cell>
          <cell r="I259" t="str">
            <v>خ</v>
          </cell>
          <cell r="J259" t="str">
            <v>لعرج</v>
          </cell>
          <cell r="K259" t="str">
            <v>حميدي  لعرج</v>
          </cell>
          <cell r="L259" t="str">
            <v>متقاعد</v>
          </cell>
          <cell r="M259" t="str">
            <v>21ش كشار صحراوي سفيزف</v>
          </cell>
        </row>
        <row r="260">
          <cell r="A260">
            <v>253</v>
          </cell>
          <cell r="B260" t="str">
            <v>حميدي  سهام</v>
          </cell>
          <cell r="C260" t="str">
            <v>حميدي</v>
          </cell>
          <cell r="D260" t="str">
            <v>سهام</v>
          </cell>
          <cell r="E260">
            <v>37089</v>
          </cell>
          <cell r="F260" t="str">
            <v>سفيزف</v>
          </cell>
          <cell r="G260" t="str">
            <v>2آ ف</v>
          </cell>
          <cell r="H260" t="str">
            <v>خارجية</v>
          </cell>
          <cell r="I260" t="str">
            <v>خ</v>
          </cell>
          <cell r="J260" t="str">
            <v>العربي</v>
          </cell>
          <cell r="K260" t="str">
            <v>حميدي  العربي</v>
          </cell>
          <cell r="L260" t="str">
            <v>لاشيئ</v>
          </cell>
          <cell r="M260" t="str">
            <v>حي 506سكن سفيزف</v>
          </cell>
        </row>
        <row r="261">
          <cell r="A261">
            <v>254</v>
          </cell>
          <cell r="B261" t="str">
            <v>زنازل   بشرى</v>
          </cell>
          <cell r="C261" t="str">
            <v xml:space="preserve">زنازل </v>
          </cell>
          <cell r="D261" t="str">
            <v>بشرى</v>
          </cell>
          <cell r="E261">
            <v>37160</v>
          </cell>
          <cell r="F261" t="str">
            <v>سفيزف</v>
          </cell>
          <cell r="G261" t="str">
            <v>2آ ف</v>
          </cell>
          <cell r="H261" t="str">
            <v>خارجية</v>
          </cell>
          <cell r="I261" t="str">
            <v>خ</v>
          </cell>
          <cell r="J261" t="str">
            <v>شعيب</v>
          </cell>
          <cell r="K261" t="str">
            <v>زنازل   شعيب</v>
          </cell>
          <cell r="L261" t="str">
            <v>لاشيئ</v>
          </cell>
          <cell r="M261" t="str">
            <v>حي 141سكن سفيزف</v>
          </cell>
        </row>
        <row r="262">
          <cell r="A262">
            <v>255</v>
          </cell>
          <cell r="B262" t="str">
            <v>صحراوي  نعيمة</v>
          </cell>
          <cell r="C262" t="str">
            <v>صحراوي</v>
          </cell>
          <cell r="D262" t="str">
            <v>نعيمة</v>
          </cell>
          <cell r="E262">
            <v>37028</v>
          </cell>
          <cell r="F262" t="str">
            <v>سفيزف</v>
          </cell>
          <cell r="G262" t="str">
            <v>2آ ف</v>
          </cell>
          <cell r="H262" t="str">
            <v>خارجية</v>
          </cell>
          <cell r="I262" t="str">
            <v>خ</v>
          </cell>
          <cell r="J262" t="str">
            <v>ميلود</v>
          </cell>
          <cell r="K262" t="str">
            <v>صحراوي  ميلود</v>
          </cell>
          <cell r="L262" t="str">
            <v>متقاعد</v>
          </cell>
          <cell r="M262" t="str">
            <v>طريق بوحنفية سفيزف</v>
          </cell>
        </row>
        <row r="263">
          <cell r="A263">
            <v>256</v>
          </cell>
          <cell r="B263" t="str">
            <v>عميري  أحلام</v>
          </cell>
          <cell r="C263" t="str">
            <v>عميري</v>
          </cell>
          <cell r="D263" t="str">
            <v>أحلام</v>
          </cell>
          <cell r="E263">
            <v>37249</v>
          </cell>
          <cell r="F263" t="str">
            <v>سفيزف</v>
          </cell>
          <cell r="G263" t="str">
            <v>2آ ف</v>
          </cell>
          <cell r="H263" t="str">
            <v>خارجية</v>
          </cell>
          <cell r="I263" t="str">
            <v>خ</v>
          </cell>
          <cell r="J263" t="str">
            <v>محمد</v>
          </cell>
          <cell r="K263" t="str">
            <v>عميري  محمد</v>
          </cell>
          <cell r="L263" t="str">
            <v>متوفي</v>
          </cell>
          <cell r="M263" t="str">
            <v>حي كشار صحراوي سفيزف</v>
          </cell>
        </row>
        <row r="264">
          <cell r="A264">
            <v>257</v>
          </cell>
          <cell r="B264" t="str">
            <v>فوغالي  مروة</v>
          </cell>
          <cell r="C264" t="str">
            <v>فوغالي</v>
          </cell>
          <cell r="D264" t="str">
            <v>مروة</v>
          </cell>
          <cell r="E264">
            <v>36281</v>
          </cell>
          <cell r="F264" t="str">
            <v>سفيزف</v>
          </cell>
          <cell r="G264" t="str">
            <v>2آ ف</v>
          </cell>
          <cell r="H264" t="str">
            <v>خارجية</v>
          </cell>
          <cell r="I264" t="str">
            <v>خ</v>
          </cell>
          <cell r="J264" t="str">
            <v>محمد خميستي</v>
          </cell>
          <cell r="K264" t="str">
            <v>فوغالي  محمد خميستي</v>
          </cell>
          <cell r="L264" t="str">
            <v>لاشيء</v>
          </cell>
          <cell r="M264" t="str">
            <v>حي 506 سكن سفيزف</v>
          </cell>
        </row>
        <row r="265">
          <cell r="A265">
            <v>258</v>
          </cell>
          <cell r="B265" t="str">
            <v>قشاش  أحلام</v>
          </cell>
          <cell r="C265" t="str">
            <v>قشاش</v>
          </cell>
          <cell r="D265" t="str">
            <v>أحلام</v>
          </cell>
          <cell r="E265">
            <v>36975</v>
          </cell>
          <cell r="F265" t="str">
            <v>سفيزف</v>
          </cell>
          <cell r="G265" t="str">
            <v>2آ ف</v>
          </cell>
          <cell r="H265" t="str">
            <v>خارجية</v>
          </cell>
          <cell r="I265" t="str">
            <v>خ</v>
          </cell>
          <cell r="J265" t="str">
            <v>عبدالقادر</v>
          </cell>
          <cell r="K265" t="str">
            <v>قشاش  عبدالقادر</v>
          </cell>
          <cell r="L265" t="str">
            <v>متقاعد</v>
          </cell>
          <cell r="M265" t="str">
            <v>مشتلة رقم 2 سفيزف</v>
          </cell>
        </row>
        <row r="266">
          <cell r="A266">
            <v>259</v>
          </cell>
          <cell r="B266" t="str">
            <v>قلاليز  سعيدة</v>
          </cell>
          <cell r="C266" t="str">
            <v>قلاليز</v>
          </cell>
          <cell r="D266" t="str">
            <v>سعيدة</v>
          </cell>
          <cell r="E266">
            <v>37048</v>
          </cell>
          <cell r="F266" t="str">
            <v>سفيزف</v>
          </cell>
          <cell r="G266" t="str">
            <v>2آ ف</v>
          </cell>
          <cell r="H266" t="str">
            <v>خارجية</v>
          </cell>
          <cell r="I266" t="str">
            <v>خ</v>
          </cell>
          <cell r="J266" t="str">
            <v>عبد الله</v>
          </cell>
          <cell r="K266" t="str">
            <v>قلاليز  عبد الله</v>
          </cell>
          <cell r="L266" t="str">
            <v>تاجر</v>
          </cell>
          <cell r="M266" t="str">
            <v>حي 214سكن سفيزف</v>
          </cell>
        </row>
        <row r="267">
          <cell r="A267">
            <v>260</v>
          </cell>
          <cell r="B267" t="str">
            <v>كرزازي  حنان</v>
          </cell>
          <cell r="C267" t="str">
            <v>كرزازي</v>
          </cell>
          <cell r="D267" t="str">
            <v>حنان</v>
          </cell>
          <cell r="E267">
            <v>37302</v>
          </cell>
          <cell r="F267" t="str">
            <v>سفيزف</v>
          </cell>
          <cell r="G267" t="str">
            <v>2آ ف</v>
          </cell>
          <cell r="H267" t="str">
            <v>خارجية</v>
          </cell>
          <cell r="I267" t="str">
            <v>خ</v>
          </cell>
          <cell r="J267" t="str">
            <v>يحي</v>
          </cell>
          <cell r="K267" t="str">
            <v>كرزازي  يحي</v>
          </cell>
          <cell r="L267" t="str">
            <v>موظف</v>
          </cell>
          <cell r="M267" t="str">
            <v>حي بوخنفوس مختار سفيزف</v>
          </cell>
        </row>
        <row r="268">
          <cell r="A268">
            <v>261</v>
          </cell>
          <cell r="B268" t="str">
            <v>لعسل  أسماء</v>
          </cell>
          <cell r="C268" t="str">
            <v>لعسل</v>
          </cell>
          <cell r="D268" t="str">
            <v>أسماء</v>
          </cell>
          <cell r="E268">
            <v>37112</v>
          </cell>
          <cell r="F268" t="str">
            <v>سفيزف</v>
          </cell>
          <cell r="G268" t="str">
            <v>2آ ف</v>
          </cell>
          <cell r="H268" t="str">
            <v>خارجية</v>
          </cell>
          <cell r="I268" t="str">
            <v>خ</v>
          </cell>
          <cell r="J268" t="str">
            <v>ضاوي</v>
          </cell>
          <cell r="K268" t="str">
            <v>لعسل  ضاوي</v>
          </cell>
          <cell r="L268" t="str">
            <v>متقاعد</v>
          </cell>
          <cell r="M268" t="str">
            <v>09شارع شباني لحسن سفيزف</v>
          </cell>
        </row>
        <row r="269">
          <cell r="A269">
            <v>262</v>
          </cell>
          <cell r="B269" t="str">
            <v>مكيكة  خديجة</v>
          </cell>
          <cell r="C269" t="str">
            <v>مكيكة</v>
          </cell>
          <cell r="D269" t="str">
            <v>خديجة</v>
          </cell>
          <cell r="E269">
            <v>36721</v>
          </cell>
          <cell r="F269" t="str">
            <v>سفيزف</v>
          </cell>
          <cell r="G269" t="str">
            <v>2آ ف</v>
          </cell>
          <cell r="H269" t="str">
            <v>خارجية</v>
          </cell>
          <cell r="I269" t="str">
            <v>خ</v>
          </cell>
          <cell r="J269" t="str">
            <v>عبدالقادر</v>
          </cell>
          <cell r="K269" t="str">
            <v>مكيكة  عبدالقادر</v>
          </cell>
          <cell r="L269" t="str">
            <v>متقاعد</v>
          </cell>
          <cell r="M269" t="str">
            <v>شارع عيسات إدير سفيزف</v>
          </cell>
        </row>
        <row r="270">
          <cell r="A270">
            <v>263</v>
          </cell>
          <cell r="B270" t="str">
            <v>مكيكة  شهيرة</v>
          </cell>
          <cell r="C270" t="str">
            <v>مكيكة</v>
          </cell>
          <cell r="D270" t="str">
            <v>شهيرة</v>
          </cell>
          <cell r="E270">
            <v>36233</v>
          </cell>
          <cell r="F270" t="str">
            <v>سفيزف</v>
          </cell>
          <cell r="G270" t="str">
            <v>2آ ف</v>
          </cell>
          <cell r="H270" t="str">
            <v>خارجية</v>
          </cell>
          <cell r="I270" t="str">
            <v>خ</v>
          </cell>
          <cell r="J270" t="str">
            <v>عبدالقادر</v>
          </cell>
          <cell r="K270" t="str">
            <v>مكيكة  عبدالقادر</v>
          </cell>
          <cell r="L270" t="str">
            <v>متقاعد</v>
          </cell>
          <cell r="M270" t="str">
            <v>شارع عيسات ايدير سفيزف</v>
          </cell>
        </row>
        <row r="271">
          <cell r="A271">
            <v>264</v>
          </cell>
          <cell r="B271" t="str">
            <v>وسواس  حنان</v>
          </cell>
          <cell r="C271" t="str">
            <v>وسواس</v>
          </cell>
          <cell r="D271" t="str">
            <v>حنان</v>
          </cell>
          <cell r="E271">
            <v>36605</v>
          </cell>
          <cell r="F271" t="str">
            <v>سفيزف</v>
          </cell>
          <cell r="G271" t="str">
            <v>2آ ف</v>
          </cell>
          <cell r="H271" t="str">
            <v>خارجية</v>
          </cell>
          <cell r="I271" t="str">
            <v>خ</v>
          </cell>
          <cell r="J271" t="str">
            <v>أحمد</v>
          </cell>
          <cell r="K271" t="str">
            <v>وسواس  أحمد</v>
          </cell>
          <cell r="L271" t="str">
            <v>تاجر</v>
          </cell>
          <cell r="M271" t="str">
            <v>7حي 214سكن سفيزف</v>
          </cell>
        </row>
        <row r="272">
          <cell r="A272">
            <v>265</v>
          </cell>
          <cell r="B272" t="str">
            <v>بلفكرون  محمد يوسف</v>
          </cell>
          <cell r="C272" t="str">
            <v>بلفكرون</v>
          </cell>
          <cell r="D272" t="str">
            <v>محمد يوسف</v>
          </cell>
          <cell r="E272">
            <v>36864</v>
          </cell>
          <cell r="F272" t="str">
            <v>سفيزف</v>
          </cell>
          <cell r="G272" t="str">
            <v>2آ ف</v>
          </cell>
          <cell r="H272" t="str">
            <v>خارجي</v>
          </cell>
          <cell r="I272" t="str">
            <v>خ</v>
          </cell>
          <cell r="J272" t="str">
            <v>أحمد</v>
          </cell>
          <cell r="K272" t="str">
            <v>بلفكرون  أحمد</v>
          </cell>
          <cell r="L272" t="str">
            <v>متقاعد</v>
          </cell>
          <cell r="M272" t="str">
            <v>حي141سكن سفيزف</v>
          </cell>
        </row>
        <row r="273">
          <cell r="A273">
            <v>266</v>
          </cell>
          <cell r="B273" t="str">
            <v>بن بغداد  توفيق إلياس</v>
          </cell>
          <cell r="C273" t="str">
            <v>بن بغداد</v>
          </cell>
          <cell r="D273" t="str">
            <v>توفيق إلياس</v>
          </cell>
          <cell r="E273">
            <v>36989</v>
          </cell>
          <cell r="F273" t="str">
            <v>س بلعباس</v>
          </cell>
          <cell r="G273" t="str">
            <v>2آ ف</v>
          </cell>
          <cell r="H273" t="str">
            <v>خارجي</v>
          </cell>
          <cell r="I273" t="str">
            <v>خ</v>
          </cell>
          <cell r="J273" t="str">
            <v>نور الدين</v>
          </cell>
          <cell r="K273" t="str">
            <v>بن بغداد  نور الدين</v>
          </cell>
          <cell r="L273" t="str">
            <v>موظف</v>
          </cell>
          <cell r="M273" t="str">
            <v>حي 24فبراير سفيزف</v>
          </cell>
        </row>
        <row r="274">
          <cell r="A274">
            <v>267</v>
          </cell>
          <cell r="B274" t="str">
            <v>بوسنة  يوسف</v>
          </cell>
          <cell r="C274" t="str">
            <v>بوسنة</v>
          </cell>
          <cell r="D274" t="str">
            <v>يوسف</v>
          </cell>
          <cell r="E274">
            <v>36893</v>
          </cell>
          <cell r="F274" t="str">
            <v>سفيزف</v>
          </cell>
          <cell r="G274" t="str">
            <v>2آ ف</v>
          </cell>
          <cell r="H274" t="str">
            <v>خارجي</v>
          </cell>
          <cell r="I274" t="str">
            <v>خ</v>
          </cell>
          <cell r="J274" t="str">
            <v>محمد</v>
          </cell>
          <cell r="K274" t="str">
            <v>بوسنة  محمد</v>
          </cell>
          <cell r="L274" t="str">
            <v>رصاص</v>
          </cell>
          <cell r="M274" t="str">
            <v>حي 100 سكن سفيزف</v>
          </cell>
        </row>
        <row r="275">
          <cell r="A275">
            <v>268</v>
          </cell>
          <cell r="B275" t="str">
            <v>حامق   محمد الأمين</v>
          </cell>
          <cell r="C275" t="str">
            <v xml:space="preserve">حامق </v>
          </cell>
          <cell r="D275" t="str">
            <v>محمد الأمين</v>
          </cell>
          <cell r="E275">
            <v>37285</v>
          </cell>
          <cell r="F275" t="str">
            <v>سفيزف</v>
          </cell>
          <cell r="G275" t="str">
            <v>2آ ف</v>
          </cell>
          <cell r="H275" t="str">
            <v>خارجي</v>
          </cell>
          <cell r="I275" t="str">
            <v>خ</v>
          </cell>
          <cell r="J275" t="str">
            <v>علي</v>
          </cell>
          <cell r="K275" t="str">
            <v>حامق   علي</v>
          </cell>
          <cell r="L275" t="str">
            <v>حارس</v>
          </cell>
          <cell r="M275" t="str">
            <v>14ش عيسات أيدير سفيزف</v>
          </cell>
        </row>
        <row r="276">
          <cell r="A276">
            <v>269</v>
          </cell>
          <cell r="B276" t="str">
            <v>حميدة  محمد نذير</v>
          </cell>
          <cell r="C276" t="str">
            <v>حميدة</v>
          </cell>
          <cell r="D276" t="str">
            <v>محمد نذير</v>
          </cell>
          <cell r="E276">
            <v>36533</v>
          </cell>
          <cell r="F276" t="str">
            <v>سفيزف</v>
          </cell>
          <cell r="G276" t="str">
            <v>2آ ف</v>
          </cell>
          <cell r="H276" t="str">
            <v>خارجي</v>
          </cell>
          <cell r="I276" t="str">
            <v>خ</v>
          </cell>
          <cell r="J276" t="str">
            <v>محمد</v>
          </cell>
          <cell r="K276" t="str">
            <v>حميدة  محمد</v>
          </cell>
          <cell r="L276" t="str">
            <v>سائق</v>
          </cell>
          <cell r="M276" t="str">
            <v>حي للإحوة بالسيني سفيزف</v>
          </cell>
        </row>
        <row r="277">
          <cell r="A277">
            <v>270</v>
          </cell>
          <cell r="B277" t="str">
            <v>داودي  جلال سعيد</v>
          </cell>
          <cell r="C277" t="str">
            <v>داودي</v>
          </cell>
          <cell r="D277" t="str">
            <v>جلال سعيد</v>
          </cell>
          <cell r="E277">
            <v>35989</v>
          </cell>
          <cell r="F277" t="str">
            <v>س بلعباس</v>
          </cell>
          <cell r="G277" t="str">
            <v>2آ ف</v>
          </cell>
          <cell r="H277" t="str">
            <v>خارجي</v>
          </cell>
          <cell r="I277" t="str">
            <v>خ</v>
          </cell>
          <cell r="J277" t="str">
            <v>لخضر</v>
          </cell>
          <cell r="K277" t="str">
            <v>داودي  لخضر</v>
          </cell>
          <cell r="L277" t="str">
            <v>متقاعد</v>
          </cell>
          <cell r="M277" t="str">
            <v>حي 216 سكن سفيزف</v>
          </cell>
        </row>
        <row r="278">
          <cell r="A278">
            <v>271</v>
          </cell>
          <cell r="B278" t="str">
            <v>ساكت  محمد</v>
          </cell>
          <cell r="C278" t="str">
            <v>ساكت</v>
          </cell>
          <cell r="D278" t="str">
            <v>محمد</v>
          </cell>
          <cell r="E278">
            <v>36800</v>
          </cell>
          <cell r="F278" t="str">
            <v>ع وسارة</v>
          </cell>
          <cell r="G278" t="str">
            <v>2آ ف</v>
          </cell>
          <cell r="H278" t="str">
            <v>خارجي</v>
          </cell>
          <cell r="I278" t="str">
            <v>خ</v>
          </cell>
          <cell r="J278" t="str">
            <v xml:space="preserve">عمر </v>
          </cell>
          <cell r="K278" t="str">
            <v xml:space="preserve">ساكت  عمر </v>
          </cell>
          <cell r="L278" t="str">
            <v>متقاعد</v>
          </cell>
          <cell r="M278" t="str">
            <v>ش الأوراسي سفيزف</v>
          </cell>
        </row>
        <row r="279">
          <cell r="A279">
            <v>272</v>
          </cell>
          <cell r="B279" t="str">
            <v>عفان  محمد المختار</v>
          </cell>
          <cell r="C279" t="str">
            <v>عفان</v>
          </cell>
          <cell r="D279" t="str">
            <v>محمد المختار</v>
          </cell>
          <cell r="E279">
            <v>37048</v>
          </cell>
          <cell r="F279" t="str">
            <v>سفيزف</v>
          </cell>
          <cell r="G279" t="str">
            <v>2آ ف</v>
          </cell>
          <cell r="H279" t="str">
            <v>خارجي</v>
          </cell>
          <cell r="I279" t="str">
            <v>خ</v>
          </cell>
          <cell r="J279" t="str">
            <v>بن ذهبية</v>
          </cell>
          <cell r="K279" t="str">
            <v>عفان  بن ذهبية</v>
          </cell>
          <cell r="L279" t="str">
            <v>لاشيئ</v>
          </cell>
          <cell r="M279" t="str">
            <v>11حي 100سكن سفيزف</v>
          </cell>
        </row>
        <row r="280">
          <cell r="A280">
            <v>273</v>
          </cell>
          <cell r="B280" t="str">
            <v>غالي  سيدأحمد</v>
          </cell>
          <cell r="C280" t="str">
            <v>غالي</v>
          </cell>
          <cell r="D280" t="str">
            <v>سيدأحمد</v>
          </cell>
          <cell r="E280">
            <v>36921</v>
          </cell>
          <cell r="F280" t="str">
            <v>سفيزف</v>
          </cell>
          <cell r="G280" t="str">
            <v>2آ ف</v>
          </cell>
          <cell r="H280" t="str">
            <v>خارجي</v>
          </cell>
          <cell r="I280" t="str">
            <v>خ</v>
          </cell>
          <cell r="J280" t="str">
            <v>ميلود</v>
          </cell>
          <cell r="K280" t="str">
            <v>غالي  ميلود</v>
          </cell>
          <cell r="L280" t="str">
            <v>بناء</v>
          </cell>
          <cell r="M280" t="str">
            <v>حي عربوز عبد القادر سفيزف</v>
          </cell>
        </row>
        <row r="281">
          <cell r="A281">
            <v>274</v>
          </cell>
          <cell r="B281" t="str">
            <v>لقجع جلول سايح  مدني</v>
          </cell>
          <cell r="C281" t="str">
            <v>لقجع جلول سايح</v>
          </cell>
          <cell r="D281" t="str">
            <v>مدني</v>
          </cell>
          <cell r="E281">
            <v>37135</v>
          </cell>
          <cell r="F281" t="str">
            <v>سفيزف</v>
          </cell>
          <cell r="G281" t="str">
            <v>2آ ف</v>
          </cell>
          <cell r="H281" t="str">
            <v>خارجي</v>
          </cell>
          <cell r="I281" t="str">
            <v>خ</v>
          </cell>
          <cell r="J281" t="str">
            <v>محمد</v>
          </cell>
          <cell r="K281" t="str">
            <v>لقجع جلول سايح  محمد</v>
          </cell>
          <cell r="L281" t="str">
            <v>موظف</v>
          </cell>
          <cell r="M281" t="str">
            <v>حي مرابطين بومدين سفيزف</v>
          </cell>
        </row>
        <row r="282">
          <cell r="A282">
            <v>275</v>
          </cell>
          <cell r="B282" t="str">
            <v>لكحل  هشام</v>
          </cell>
          <cell r="C282" t="str">
            <v>لكحل</v>
          </cell>
          <cell r="D282" t="str">
            <v>هشام</v>
          </cell>
          <cell r="E282">
            <v>36125</v>
          </cell>
          <cell r="F282" t="str">
            <v>س بلعباس</v>
          </cell>
          <cell r="G282" t="str">
            <v>2آ ف</v>
          </cell>
          <cell r="H282" t="str">
            <v>خارجي</v>
          </cell>
          <cell r="I282" t="str">
            <v>خ</v>
          </cell>
          <cell r="J282" t="str">
            <v>مختار</v>
          </cell>
          <cell r="K282" t="str">
            <v>لكحل  مختار</v>
          </cell>
          <cell r="L282" t="str">
            <v>لاشيء</v>
          </cell>
          <cell r="M282" t="str">
            <v>شارع حداد قادة سفيزف</v>
          </cell>
        </row>
        <row r="283">
          <cell r="A283">
            <v>276</v>
          </cell>
          <cell r="B283" t="str">
            <v>مكيكة  محمد عبدالرحمان</v>
          </cell>
          <cell r="C283" t="str">
            <v>مكيكة</v>
          </cell>
          <cell r="D283" t="str">
            <v>محمد عبدالرحمان</v>
          </cell>
          <cell r="E283">
            <v>36709</v>
          </cell>
          <cell r="F283" t="str">
            <v>سفيزف</v>
          </cell>
          <cell r="G283" t="str">
            <v>2آ ف</v>
          </cell>
          <cell r="H283" t="str">
            <v>خارجي</v>
          </cell>
          <cell r="I283" t="str">
            <v>خ</v>
          </cell>
          <cell r="J283" t="str">
            <v>احمد</v>
          </cell>
          <cell r="K283" t="str">
            <v>مكيكة  احمد</v>
          </cell>
          <cell r="L283" t="str">
            <v>متقاعد</v>
          </cell>
          <cell r="M283" t="str">
            <v>حي 506 سكن سفيزف</v>
          </cell>
        </row>
        <row r="284">
          <cell r="A284">
            <v>277</v>
          </cell>
          <cell r="B284" t="str">
            <v>البحري  رشيدة</v>
          </cell>
          <cell r="C284" t="str">
            <v>البحري</v>
          </cell>
          <cell r="D284" t="str">
            <v>رشيدة</v>
          </cell>
          <cell r="E284">
            <v>36871</v>
          </cell>
          <cell r="F284" t="str">
            <v>سفيزف</v>
          </cell>
          <cell r="G284" t="str">
            <v>2ل أ</v>
          </cell>
          <cell r="H284" t="str">
            <v>ن داخلية</v>
          </cell>
          <cell r="I284" t="str">
            <v>ن/د</v>
          </cell>
          <cell r="J284" t="str">
            <v>مصطفى</v>
          </cell>
          <cell r="K284" t="str">
            <v>البحري  مصطفى</v>
          </cell>
          <cell r="L284" t="str">
            <v>لاشيئ</v>
          </cell>
          <cell r="M284" t="str">
            <v>عين أدن</v>
          </cell>
        </row>
        <row r="285">
          <cell r="A285">
            <v>278</v>
          </cell>
          <cell r="B285" t="str">
            <v>الميلودي  مروة</v>
          </cell>
          <cell r="C285" t="str">
            <v>الميلودي</v>
          </cell>
          <cell r="D285" t="str">
            <v>مروة</v>
          </cell>
          <cell r="E285">
            <v>36620</v>
          </cell>
          <cell r="F285" t="str">
            <v>عين أدن</v>
          </cell>
          <cell r="G285" t="str">
            <v>2ل أ</v>
          </cell>
          <cell r="H285" t="str">
            <v>ن داخلية</v>
          </cell>
          <cell r="I285" t="str">
            <v>ن/د</v>
          </cell>
          <cell r="J285" t="str">
            <v>عبدالقادر</v>
          </cell>
          <cell r="K285" t="str">
            <v>الميلودي  عبدالقادر</v>
          </cell>
          <cell r="L285" t="str">
            <v>فلاح</v>
          </cell>
          <cell r="M285" t="str">
            <v xml:space="preserve"> عين أدن</v>
          </cell>
        </row>
        <row r="286">
          <cell r="A286">
            <v>279</v>
          </cell>
          <cell r="B286" t="str">
            <v>حملات  بشرى</v>
          </cell>
          <cell r="C286" t="str">
            <v>حملات</v>
          </cell>
          <cell r="D286" t="str">
            <v>بشرى</v>
          </cell>
          <cell r="E286">
            <v>37083</v>
          </cell>
          <cell r="F286" t="str">
            <v>سفيزف</v>
          </cell>
          <cell r="G286" t="str">
            <v>2ل أ</v>
          </cell>
          <cell r="H286" t="str">
            <v>ن داخلية</v>
          </cell>
          <cell r="I286" t="str">
            <v>ن/د</v>
          </cell>
          <cell r="J286" t="str">
            <v>عبدالقادر</v>
          </cell>
          <cell r="K286" t="str">
            <v>حملات  عبدالقادر</v>
          </cell>
          <cell r="L286" t="str">
            <v>فلاح</v>
          </cell>
          <cell r="M286" t="str">
            <v>قرية بلبوش</v>
          </cell>
        </row>
        <row r="287">
          <cell r="A287">
            <v>280</v>
          </cell>
          <cell r="B287" t="str">
            <v>دباب  مروة</v>
          </cell>
          <cell r="C287" t="str">
            <v>دباب</v>
          </cell>
          <cell r="D287" t="str">
            <v>مروة</v>
          </cell>
          <cell r="E287">
            <v>37295</v>
          </cell>
          <cell r="F287" t="str">
            <v>سفيزف</v>
          </cell>
          <cell r="G287" t="str">
            <v>2ل أ</v>
          </cell>
          <cell r="H287" t="str">
            <v>ن داخلية</v>
          </cell>
          <cell r="I287" t="str">
            <v>ن/د</v>
          </cell>
          <cell r="J287" t="str">
            <v>أحمد</v>
          </cell>
          <cell r="K287" t="str">
            <v>دباب  أحمد</v>
          </cell>
          <cell r="L287" t="str">
            <v>لاشيئ</v>
          </cell>
          <cell r="M287" t="str">
            <v>مقطع دار اسبع عين أدن</v>
          </cell>
        </row>
        <row r="288">
          <cell r="A288">
            <v>281</v>
          </cell>
          <cell r="B288" t="str">
            <v>لعسل  بسمة عيشة</v>
          </cell>
          <cell r="C288" t="str">
            <v>لعسل</v>
          </cell>
          <cell r="D288" t="str">
            <v>بسمة عيشة</v>
          </cell>
          <cell r="E288">
            <v>37224</v>
          </cell>
          <cell r="F288" t="str">
            <v>س بلعباس</v>
          </cell>
          <cell r="G288" t="str">
            <v>2ل أ</v>
          </cell>
          <cell r="H288" t="str">
            <v>ن داخلية</v>
          </cell>
          <cell r="I288" t="str">
            <v>ن/د</v>
          </cell>
          <cell r="J288" t="str">
            <v>نصر الدين</v>
          </cell>
          <cell r="K288" t="str">
            <v>لعسل  نصر الدين</v>
          </cell>
          <cell r="L288" t="str">
            <v>لاشيئ</v>
          </cell>
          <cell r="M288" t="str">
            <v>عين أدن</v>
          </cell>
        </row>
        <row r="289">
          <cell r="A289">
            <v>282</v>
          </cell>
          <cell r="B289" t="str">
            <v>ملالي  يمينة</v>
          </cell>
          <cell r="C289" t="str">
            <v>ملالي</v>
          </cell>
          <cell r="D289" t="str">
            <v>يمينة</v>
          </cell>
          <cell r="E289">
            <v>36989</v>
          </cell>
          <cell r="F289" t="str">
            <v>سفيزف</v>
          </cell>
          <cell r="G289" t="str">
            <v>2ل أ</v>
          </cell>
          <cell r="H289" t="str">
            <v>ن داخلية</v>
          </cell>
          <cell r="I289" t="str">
            <v>ن/د</v>
          </cell>
          <cell r="J289" t="str">
            <v>محمد</v>
          </cell>
          <cell r="K289" t="str">
            <v>ملالي  محمد</v>
          </cell>
          <cell r="L289" t="str">
            <v>سائق</v>
          </cell>
          <cell r="M289" t="str">
            <v>قرية بلبوش سفيزف</v>
          </cell>
        </row>
        <row r="290">
          <cell r="A290">
            <v>283</v>
          </cell>
          <cell r="B290" t="str">
            <v>يحياوي  وهيبة</v>
          </cell>
          <cell r="C290" t="str">
            <v>يحياوي</v>
          </cell>
          <cell r="D290" t="str">
            <v>وهيبة</v>
          </cell>
          <cell r="E290">
            <v>37353</v>
          </cell>
          <cell r="F290" t="str">
            <v>سبدو</v>
          </cell>
          <cell r="G290" t="str">
            <v>2ل أ</v>
          </cell>
          <cell r="H290" t="str">
            <v>ن داخلية</v>
          </cell>
          <cell r="I290" t="str">
            <v>ن/د</v>
          </cell>
          <cell r="J290" t="str">
            <v>طيب</v>
          </cell>
          <cell r="K290" t="str">
            <v>يحياوي  طيب</v>
          </cell>
          <cell r="L290" t="str">
            <v>لاشيئ</v>
          </cell>
          <cell r="M290" t="str">
            <v>قرية بلبوش</v>
          </cell>
        </row>
        <row r="291">
          <cell r="A291">
            <v>284</v>
          </cell>
          <cell r="B291" t="str">
            <v>بوجلال  صارة</v>
          </cell>
          <cell r="C291" t="str">
            <v>بوجلال</v>
          </cell>
          <cell r="D291" t="str">
            <v>صارة</v>
          </cell>
          <cell r="E291">
            <v>37162</v>
          </cell>
          <cell r="F291" t="str">
            <v>س بلعباس</v>
          </cell>
          <cell r="G291" t="str">
            <v>2ل أ</v>
          </cell>
          <cell r="H291" t="str">
            <v>خارجية</v>
          </cell>
          <cell r="I291" t="str">
            <v>خ</v>
          </cell>
          <cell r="J291" t="str">
            <v>ع النعيم</v>
          </cell>
          <cell r="K291" t="str">
            <v>بوجلال  ع النعيم</v>
          </cell>
          <cell r="L291" t="str">
            <v>لاشيئ</v>
          </cell>
          <cell r="M291" t="str">
            <v>حي 68سكن رقم 1عمارة أسفيزف</v>
          </cell>
        </row>
        <row r="292">
          <cell r="A292">
            <v>285</v>
          </cell>
          <cell r="B292" t="str">
            <v>بومزراق  أمينة</v>
          </cell>
          <cell r="C292" t="str">
            <v>بومزراق</v>
          </cell>
          <cell r="D292" t="str">
            <v>أمينة</v>
          </cell>
          <cell r="E292">
            <v>37085</v>
          </cell>
          <cell r="F292" t="str">
            <v>سفيزف</v>
          </cell>
          <cell r="G292" t="str">
            <v>2ل أ</v>
          </cell>
          <cell r="H292" t="str">
            <v>خارجية</v>
          </cell>
          <cell r="I292" t="str">
            <v>خ</v>
          </cell>
          <cell r="J292" t="str">
            <v>لعبان</v>
          </cell>
          <cell r="K292" t="str">
            <v>بومزراق  لعبان</v>
          </cell>
          <cell r="L292" t="str">
            <v>متقاعد</v>
          </cell>
          <cell r="M292" t="str">
            <v>حي100سكن عمارة E سفيزف</v>
          </cell>
        </row>
        <row r="293">
          <cell r="A293">
            <v>286</v>
          </cell>
          <cell r="B293" t="str">
            <v>حجين  شريفة</v>
          </cell>
          <cell r="C293" t="str">
            <v>حجين</v>
          </cell>
          <cell r="D293" t="str">
            <v>شريفة</v>
          </cell>
          <cell r="E293">
            <v>37332</v>
          </cell>
          <cell r="F293" t="str">
            <v>سفيزف</v>
          </cell>
          <cell r="G293" t="str">
            <v>2ل أ</v>
          </cell>
          <cell r="H293" t="str">
            <v>خارجية</v>
          </cell>
          <cell r="I293" t="str">
            <v>خ</v>
          </cell>
          <cell r="J293" t="str">
            <v>العربي</v>
          </cell>
          <cell r="K293" t="str">
            <v>حجين  العربي</v>
          </cell>
          <cell r="L293" t="str">
            <v>متقاعد</v>
          </cell>
          <cell r="M293" t="str">
            <v>حي141سكن سفيزف</v>
          </cell>
        </row>
        <row r="294">
          <cell r="A294">
            <v>287</v>
          </cell>
          <cell r="B294" t="str">
            <v>حميدة  سمية</v>
          </cell>
          <cell r="C294" t="str">
            <v>حميدة</v>
          </cell>
          <cell r="D294" t="str">
            <v>سمية</v>
          </cell>
          <cell r="E294">
            <v>36713</v>
          </cell>
          <cell r="F294" t="str">
            <v>سفيزف</v>
          </cell>
          <cell r="G294" t="str">
            <v>2ل أ</v>
          </cell>
          <cell r="H294" t="str">
            <v>خارجية</v>
          </cell>
          <cell r="I294" t="str">
            <v>خ</v>
          </cell>
          <cell r="J294" t="str">
            <v>صالح</v>
          </cell>
          <cell r="K294" t="str">
            <v>حميدة  صالح</v>
          </cell>
          <cell r="L294" t="str">
            <v>تاجر</v>
          </cell>
          <cell r="M294" t="str">
            <v>37 شارع الاخوة بن تخيسي سفيزف</v>
          </cell>
        </row>
        <row r="295">
          <cell r="A295">
            <v>288</v>
          </cell>
          <cell r="B295" t="str">
            <v>روبحي   جميلة</v>
          </cell>
          <cell r="C295" t="str">
            <v xml:space="preserve">روبحي </v>
          </cell>
          <cell r="D295" t="str">
            <v>جميلة</v>
          </cell>
          <cell r="E295">
            <v>36641</v>
          </cell>
          <cell r="F295" t="str">
            <v>سفيزف</v>
          </cell>
          <cell r="G295" t="str">
            <v>2ل أ</v>
          </cell>
          <cell r="H295" t="str">
            <v>خارجية</v>
          </cell>
          <cell r="I295" t="str">
            <v>خ</v>
          </cell>
          <cell r="J295" t="str">
            <v>جمال</v>
          </cell>
          <cell r="K295" t="str">
            <v>روبحي   جمال</v>
          </cell>
          <cell r="L295" t="str">
            <v>متوفي</v>
          </cell>
          <cell r="M295" t="str">
            <v>حي 181 سكن كشار صحراوي سفيزف</v>
          </cell>
        </row>
        <row r="296">
          <cell r="A296">
            <v>289</v>
          </cell>
          <cell r="B296" t="str">
            <v>سعيداني  نورالهدى</v>
          </cell>
          <cell r="C296" t="str">
            <v>سعيداني</v>
          </cell>
          <cell r="D296" t="str">
            <v>نورالهدى</v>
          </cell>
          <cell r="E296">
            <v>36971</v>
          </cell>
          <cell r="F296" t="str">
            <v>تلمسان</v>
          </cell>
          <cell r="G296" t="str">
            <v>2ل أ</v>
          </cell>
          <cell r="H296" t="str">
            <v>خارجية</v>
          </cell>
          <cell r="I296" t="str">
            <v>خ</v>
          </cell>
          <cell r="J296" t="str">
            <v>نورالدين</v>
          </cell>
          <cell r="K296" t="str">
            <v>سعيداني  نورالدين</v>
          </cell>
          <cell r="L296" t="str">
            <v>رئيس دائرة</v>
          </cell>
          <cell r="M296" t="str">
            <v>دائرة سفيزف</v>
          </cell>
        </row>
        <row r="297">
          <cell r="A297">
            <v>290</v>
          </cell>
          <cell r="B297" t="str">
            <v>طعيوش  دنيا</v>
          </cell>
          <cell r="C297" t="str">
            <v>طعيوش</v>
          </cell>
          <cell r="D297" t="str">
            <v>دنيا</v>
          </cell>
          <cell r="E297">
            <v>37222</v>
          </cell>
          <cell r="F297" t="str">
            <v>سفيزف</v>
          </cell>
          <cell r="G297" t="str">
            <v>2ل أ</v>
          </cell>
          <cell r="H297" t="str">
            <v>خارجية</v>
          </cell>
          <cell r="I297" t="str">
            <v>خ</v>
          </cell>
          <cell r="J297" t="str">
            <v>لحسن</v>
          </cell>
          <cell r="K297" t="str">
            <v>طعيوش  لحسن</v>
          </cell>
          <cell r="L297" t="str">
            <v>لاشيئ</v>
          </cell>
          <cell r="M297" t="str">
            <v>حي بوعسريةبشير  عمارةaرقم07 سفيزف</v>
          </cell>
        </row>
        <row r="298">
          <cell r="A298">
            <v>291</v>
          </cell>
          <cell r="B298" t="str">
            <v>عقبي  إيمان حورية</v>
          </cell>
          <cell r="C298" t="str">
            <v>عقبي</v>
          </cell>
          <cell r="D298" t="str">
            <v>إيمان حورية</v>
          </cell>
          <cell r="E298">
            <v>36712</v>
          </cell>
          <cell r="F298" t="str">
            <v>سفيزف</v>
          </cell>
          <cell r="G298" t="str">
            <v>2ل أ</v>
          </cell>
          <cell r="H298" t="str">
            <v>خارجية</v>
          </cell>
          <cell r="I298" t="str">
            <v>خ</v>
          </cell>
          <cell r="J298" t="str">
            <v>زواوي</v>
          </cell>
          <cell r="K298" t="str">
            <v>عقبي  زواوي</v>
          </cell>
          <cell r="L298" t="str">
            <v>جزار</v>
          </cell>
          <cell r="M298" t="str">
            <v>عمارةEرقيم72 سفيزف</v>
          </cell>
        </row>
        <row r="299">
          <cell r="A299">
            <v>292</v>
          </cell>
          <cell r="B299" t="str">
            <v>مدوني  سارة</v>
          </cell>
          <cell r="C299" t="str">
            <v>مدوني</v>
          </cell>
          <cell r="D299" t="str">
            <v>سارة</v>
          </cell>
          <cell r="E299">
            <v>36835</v>
          </cell>
          <cell r="F299" t="str">
            <v>س بلعباس</v>
          </cell>
          <cell r="G299" t="str">
            <v>2ل أ</v>
          </cell>
          <cell r="H299" t="str">
            <v>خارجية</v>
          </cell>
          <cell r="I299" t="str">
            <v>خ</v>
          </cell>
          <cell r="J299" t="str">
            <v>سيدأحمد</v>
          </cell>
          <cell r="K299" t="str">
            <v>مدوني  سيدأحمد</v>
          </cell>
          <cell r="L299" t="str">
            <v>سائق</v>
          </cell>
          <cell r="M299" t="str">
            <v>10شارع الإحوة درو سفيزف</v>
          </cell>
        </row>
        <row r="300">
          <cell r="A300">
            <v>293</v>
          </cell>
          <cell r="B300" t="str">
            <v>بن حفصة  ياسر عبدالصمد</v>
          </cell>
          <cell r="C300" t="str">
            <v>بن حفصة</v>
          </cell>
          <cell r="D300" t="str">
            <v>ياسر عبدالصمد</v>
          </cell>
          <cell r="E300">
            <v>37073</v>
          </cell>
          <cell r="F300" t="str">
            <v>سفيزف</v>
          </cell>
          <cell r="G300" t="str">
            <v>2ل أ</v>
          </cell>
          <cell r="H300" t="str">
            <v>خارجي</v>
          </cell>
          <cell r="I300" t="str">
            <v>خ</v>
          </cell>
          <cell r="J300" t="str">
            <v>ميلود</v>
          </cell>
          <cell r="K300" t="str">
            <v>بن حفصة  ميلود</v>
          </cell>
          <cell r="L300" t="str">
            <v>متقاعد</v>
          </cell>
          <cell r="M300" t="str">
            <v>حي 216سكن سفيزف</v>
          </cell>
        </row>
        <row r="301">
          <cell r="A301">
            <v>294</v>
          </cell>
          <cell r="B301" t="str">
            <v>بن يوسف  إسحاق</v>
          </cell>
          <cell r="C301" t="str">
            <v>بن يوسف</v>
          </cell>
          <cell r="D301" t="str">
            <v>إسحاق</v>
          </cell>
          <cell r="E301">
            <v>36894</v>
          </cell>
          <cell r="F301" t="str">
            <v>سفيزف</v>
          </cell>
          <cell r="G301" t="str">
            <v>2ل أ</v>
          </cell>
          <cell r="H301" t="str">
            <v>خارجي</v>
          </cell>
          <cell r="I301" t="str">
            <v>خ</v>
          </cell>
          <cell r="J301" t="str">
            <v>أحمد</v>
          </cell>
          <cell r="K301" t="str">
            <v>بن يوسف  أحمد</v>
          </cell>
          <cell r="L301" t="str">
            <v>لاشيئ</v>
          </cell>
          <cell r="M301" t="str">
            <v>حي هواري بومدين سفيزف</v>
          </cell>
        </row>
        <row r="302">
          <cell r="A302">
            <v>295</v>
          </cell>
          <cell r="B302" t="str">
            <v>عبدلي  علاء الدين</v>
          </cell>
          <cell r="C302" t="str">
            <v>عبدلي</v>
          </cell>
          <cell r="D302" t="str">
            <v>علاء الدين</v>
          </cell>
          <cell r="E302">
            <v>36370</v>
          </cell>
          <cell r="F302" t="str">
            <v>سفيزف</v>
          </cell>
          <cell r="G302" t="str">
            <v>2ل أ</v>
          </cell>
          <cell r="H302" t="str">
            <v>خارجي</v>
          </cell>
          <cell r="I302" t="str">
            <v>خ</v>
          </cell>
          <cell r="J302" t="str">
            <v>ع الله</v>
          </cell>
          <cell r="K302" t="str">
            <v>عبدلي  ع الله</v>
          </cell>
          <cell r="L302" t="str">
            <v>مقاول</v>
          </cell>
          <cell r="M302" t="str">
            <v>حي 506سكن سفيزف</v>
          </cell>
        </row>
        <row r="303">
          <cell r="A303">
            <v>296</v>
          </cell>
          <cell r="B303" t="str">
            <v>لواري  محمد أيمن</v>
          </cell>
          <cell r="C303" t="str">
            <v>لواري</v>
          </cell>
          <cell r="D303" t="str">
            <v>محمد أيمن</v>
          </cell>
          <cell r="E303">
            <v>37282</v>
          </cell>
          <cell r="F303" t="str">
            <v>سفيزف</v>
          </cell>
          <cell r="G303" t="str">
            <v>2ل أ</v>
          </cell>
          <cell r="H303" t="str">
            <v>خارجي</v>
          </cell>
          <cell r="I303" t="str">
            <v>خ</v>
          </cell>
          <cell r="J303" t="str">
            <v>ميلود</v>
          </cell>
          <cell r="K303" t="str">
            <v>لواري  ميلود</v>
          </cell>
          <cell r="L303" t="str">
            <v>موظف</v>
          </cell>
          <cell r="M303" t="str">
            <v>حي 506سكن سفيزف</v>
          </cell>
        </row>
        <row r="304">
          <cell r="A304">
            <v>297</v>
          </cell>
          <cell r="B304" t="str">
            <v>بن عتو  ياسمبن</v>
          </cell>
          <cell r="C304" t="str">
            <v>بن عتو</v>
          </cell>
          <cell r="D304" t="str">
            <v>ياسمبن</v>
          </cell>
          <cell r="E304">
            <v>37298</v>
          </cell>
          <cell r="F304" t="str">
            <v>س بلعباس</v>
          </cell>
          <cell r="G304" t="str">
            <v>1ج م ع1</v>
          </cell>
          <cell r="H304" t="str">
            <v>داخلية</v>
          </cell>
          <cell r="I304" t="str">
            <v>د</v>
          </cell>
          <cell r="J304" t="str">
            <v>حبيب</v>
          </cell>
          <cell r="K304" t="str">
            <v>بن عتو  حبيب</v>
          </cell>
          <cell r="L304" t="str">
            <v>لاشيئ</v>
          </cell>
          <cell r="M304" t="str">
            <v>بوجبهة البرج</v>
          </cell>
          <cell r="N304" t="str">
            <v xml:space="preserve">عدوني يحي </v>
          </cell>
          <cell r="O304" t="str">
            <v>ش زيغوت يوسف سفيزف</v>
          </cell>
        </row>
        <row r="305">
          <cell r="A305">
            <v>298</v>
          </cell>
          <cell r="B305" t="str">
            <v>بوشنافي  أمينة</v>
          </cell>
          <cell r="C305" t="str">
            <v>بوشنافي</v>
          </cell>
          <cell r="D305" t="str">
            <v>أمينة</v>
          </cell>
          <cell r="E305">
            <v>37564</v>
          </cell>
          <cell r="F305" t="str">
            <v>س بلعباس</v>
          </cell>
          <cell r="G305" t="str">
            <v>1ج م ع1</v>
          </cell>
          <cell r="H305" t="str">
            <v>داخلية</v>
          </cell>
          <cell r="I305" t="str">
            <v>د</v>
          </cell>
          <cell r="J305" t="str">
            <v>ميلود</v>
          </cell>
          <cell r="K305" t="str">
            <v>بوشنافي  ميلود</v>
          </cell>
          <cell r="L305" t="str">
            <v>فلاح</v>
          </cell>
          <cell r="M305" t="str">
            <v>واد المبطوح</v>
          </cell>
          <cell r="N305" t="str">
            <v>قادمي قادة</v>
          </cell>
          <cell r="O305" t="str">
            <v>شارع ديدان بن ديدة سفيزف</v>
          </cell>
        </row>
        <row r="306">
          <cell r="A306">
            <v>299</v>
          </cell>
          <cell r="B306" t="str">
            <v>محتوقي  إكرام</v>
          </cell>
          <cell r="C306" t="str">
            <v>محتوقي</v>
          </cell>
          <cell r="D306" t="str">
            <v>إكرام</v>
          </cell>
          <cell r="E306">
            <v>37556</v>
          </cell>
          <cell r="F306" t="str">
            <v>سفيزف</v>
          </cell>
          <cell r="G306" t="str">
            <v>1ج م ع1</v>
          </cell>
          <cell r="H306" t="str">
            <v>داخلية</v>
          </cell>
          <cell r="I306" t="str">
            <v>د</v>
          </cell>
          <cell r="J306" t="str">
            <v>جلول</v>
          </cell>
          <cell r="K306" t="str">
            <v>محتوقي  جلول</v>
          </cell>
          <cell r="L306" t="str">
            <v>لا شئ</v>
          </cell>
          <cell r="M306" t="str">
            <v>بوجبهة البرج</v>
          </cell>
          <cell r="N306" t="str">
            <v>محتوقي عباس</v>
          </cell>
          <cell r="O306" t="str">
            <v>حي 506 سكن سفيزف</v>
          </cell>
        </row>
        <row r="307">
          <cell r="A307">
            <v>300</v>
          </cell>
          <cell r="B307" t="str">
            <v>مقدم  عائشة</v>
          </cell>
          <cell r="C307" t="str">
            <v>مقدم</v>
          </cell>
          <cell r="D307" t="str">
            <v>عائشة</v>
          </cell>
          <cell r="E307">
            <v>37426</v>
          </cell>
          <cell r="F307" t="str">
            <v>سفيزف</v>
          </cell>
          <cell r="G307" t="str">
            <v>1ج م ع1</v>
          </cell>
          <cell r="H307" t="str">
            <v>داخلية</v>
          </cell>
          <cell r="I307" t="str">
            <v>د</v>
          </cell>
          <cell r="J307" t="str">
            <v>العربي</v>
          </cell>
          <cell r="K307" t="str">
            <v>مقدم  العربي</v>
          </cell>
          <cell r="L307" t="str">
            <v>متقاعد</v>
          </cell>
          <cell r="M307" t="str">
            <v>بوجبهة البرج</v>
          </cell>
          <cell r="N307" t="str">
            <v>كشار عبدالقادر</v>
          </cell>
          <cell r="O307" t="str">
            <v>دوار القصير</v>
          </cell>
        </row>
        <row r="308">
          <cell r="A308">
            <v>301</v>
          </cell>
          <cell r="B308" t="str">
            <v>الميلودي  منيرة آسيا</v>
          </cell>
          <cell r="C308" t="str">
            <v>الميلودي</v>
          </cell>
          <cell r="D308" t="str">
            <v>منيرة آسيا</v>
          </cell>
          <cell r="E308">
            <v>37693</v>
          </cell>
          <cell r="F308" t="str">
            <v>سفيزف</v>
          </cell>
          <cell r="G308" t="str">
            <v>1ج م ع1</v>
          </cell>
          <cell r="H308" t="str">
            <v>ن داخلية</v>
          </cell>
          <cell r="I308" t="str">
            <v>ن/د</v>
          </cell>
          <cell r="J308" t="str">
            <v>الحاج</v>
          </cell>
          <cell r="K308" t="str">
            <v>الميلودي  الحاج</v>
          </cell>
          <cell r="L308" t="str">
            <v>نجار</v>
          </cell>
          <cell r="M308" t="str">
            <v>عين أدن</v>
          </cell>
        </row>
        <row r="309">
          <cell r="A309">
            <v>302</v>
          </cell>
          <cell r="B309" t="str">
            <v>بن أحمد  ياسمين</v>
          </cell>
          <cell r="C309" t="str">
            <v>بن أحمد</v>
          </cell>
          <cell r="D309" t="str">
            <v>ياسمين</v>
          </cell>
          <cell r="E309">
            <v>37676</v>
          </cell>
          <cell r="F309" t="str">
            <v>سفيزف</v>
          </cell>
          <cell r="G309" t="str">
            <v>1ج م ع1</v>
          </cell>
          <cell r="H309" t="str">
            <v>ن داخلية</v>
          </cell>
          <cell r="I309" t="str">
            <v>ن/د</v>
          </cell>
          <cell r="J309" t="str">
            <v>منور</v>
          </cell>
          <cell r="K309" t="str">
            <v>بن أحمد  منور</v>
          </cell>
          <cell r="L309" t="str">
            <v>معلم</v>
          </cell>
          <cell r="M309" t="str">
            <v>قرية بلبوش</v>
          </cell>
        </row>
        <row r="310">
          <cell r="A310">
            <v>303</v>
          </cell>
          <cell r="B310" t="str">
            <v>دوكالي  خيرة رانيا</v>
          </cell>
          <cell r="C310" t="str">
            <v>دوكالي</v>
          </cell>
          <cell r="D310" t="str">
            <v>خيرة رانيا</v>
          </cell>
          <cell r="E310">
            <v>37104</v>
          </cell>
          <cell r="F310" t="str">
            <v>س بلعباس</v>
          </cell>
          <cell r="G310" t="str">
            <v>1ج م ع1</v>
          </cell>
          <cell r="H310" t="str">
            <v>ن داخلية</v>
          </cell>
          <cell r="I310" t="str">
            <v>ن/د</v>
          </cell>
          <cell r="J310" t="str">
            <v>بن عومر</v>
          </cell>
          <cell r="K310" t="str">
            <v>دوكالي  بن عومر</v>
          </cell>
          <cell r="L310" t="str">
            <v>متقاعد</v>
          </cell>
          <cell r="M310" t="str">
            <v>عين أدن</v>
          </cell>
        </row>
        <row r="311">
          <cell r="A311">
            <v>304</v>
          </cell>
          <cell r="B311" t="str">
            <v>ضليمي  مروة</v>
          </cell>
          <cell r="C311" t="str">
            <v>ضليمي</v>
          </cell>
          <cell r="D311" t="str">
            <v>مروة</v>
          </cell>
          <cell r="E311">
            <v>37084</v>
          </cell>
          <cell r="F311" t="str">
            <v>سفيزف</v>
          </cell>
          <cell r="G311" t="str">
            <v>1ج م ع1</v>
          </cell>
          <cell r="H311" t="str">
            <v>ن داخلية</v>
          </cell>
          <cell r="I311" t="str">
            <v>ن/د</v>
          </cell>
          <cell r="J311" t="str">
            <v>عبدالقادر</v>
          </cell>
          <cell r="K311" t="str">
            <v>ضليمي  عبدالقادر</v>
          </cell>
          <cell r="L311" t="str">
            <v>موظف</v>
          </cell>
          <cell r="M311" t="str">
            <v>عين آدن</v>
          </cell>
        </row>
        <row r="312">
          <cell r="A312">
            <v>305</v>
          </cell>
          <cell r="B312" t="str">
            <v xml:space="preserve">قضات  خيرة </v>
          </cell>
          <cell r="C312" t="str">
            <v>قضات</v>
          </cell>
          <cell r="D312" t="str">
            <v xml:space="preserve">خيرة </v>
          </cell>
          <cell r="E312">
            <v>37092</v>
          </cell>
          <cell r="F312" t="str">
            <v>س بلعباس</v>
          </cell>
          <cell r="G312" t="str">
            <v>1ج م ع1</v>
          </cell>
          <cell r="H312" t="str">
            <v>ن داخلية</v>
          </cell>
          <cell r="I312" t="str">
            <v>ن/د</v>
          </cell>
          <cell r="J312" t="str">
            <v>عبدالقادر</v>
          </cell>
          <cell r="K312" t="str">
            <v>قضات  عبدالقادر</v>
          </cell>
          <cell r="L312" t="str">
            <v>بناء</v>
          </cell>
          <cell r="M312" t="str">
            <v>عين أدن</v>
          </cell>
        </row>
        <row r="313">
          <cell r="A313">
            <v>306</v>
          </cell>
          <cell r="B313" t="str">
            <v>لحمر  إكرام</v>
          </cell>
          <cell r="C313" t="str">
            <v>لحمر</v>
          </cell>
          <cell r="D313" t="str">
            <v>إكرام</v>
          </cell>
          <cell r="E313">
            <v>37526</v>
          </cell>
          <cell r="F313" t="str">
            <v>م.ب.ب</v>
          </cell>
          <cell r="G313" t="str">
            <v>1ج م ع1</v>
          </cell>
          <cell r="H313" t="str">
            <v>ن داخلية</v>
          </cell>
          <cell r="I313" t="str">
            <v>ن/د</v>
          </cell>
          <cell r="J313" t="str">
            <v>عبدالقادر</v>
          </cell>
          <cell r="K313" t="str">
            <v>لحمر  عبدالقادر</v>
          </cell>
          <cell r="L313" t="str">
            <v>لا شئ</v>
          </cell>
          <cell r="M313" t="str">
            <v>عين أدن</v>
          </cell>
        </row>
        <row r="314">
          <cell r="A314">
            <v>307</v>
          </cell>
          <cell r="B314" t="str">
            <v>لكحل  نائلة إكرام</v>
          </cell>
          <cell r="C314" t="str">
            <v>لكحل</v>
          </cell>
          <cell r="D314" t="str">
            <v>نائلة إكرام</v>
          </cell>
          <cell r="E314">
            <v>37592</v>
          </cell>
          <cell r="F314" t="str">
            <v>سفيزف</v>
          </cell>
          <cell r="G314" t="str">
            <v>1ج م ع1</v>
          </cell>
          <cell r="H314" t="str">
            <v>ن داخلية</v>
          </cell>
          <cell r="I314" t="str">
            <v>ن/د</v>
          </cell>
          <cell r="J314" t="str">
            <v>مولاي</v>
          </cell>
          <cell r="K314" t="str">
            <v>لكحل  مولاي</v>
          </cell>
          <cell r="L314" t="str">
            <v>متقاعد</v>
          </cell>
          <cell r="M314" t="str">
            <v>عين أدن</v>
          </cell>
        </row>
        <row r="315">
          <cell r="A315">
            <v>308</v>
          </cell>
          <cell r="B315" t="str">
            <v>ملاس  أمينة سمية</v>
          </cell>
          <cell r="C315" t="str">
            <v>ملاس</v>
          </cell>
          <cell r="D315" t="str">
            <v>أمينة سمية</v>
          </cell>
          <cell r="E315">
            <v>37394</v>
          </cell>
          <cell r="F315" t="str">
            <v>سفيزف</v>
          </cell>
          <cell r="G315" t="str">
            <v>1ج م ع1</v>
          </cell>
          <cell r="H315" t="str">
            <v>ن داخلية</v>
          </cell>
          <cell r="I315" t="str">
            <v>ن/د</v>
          </cell>
          <cell r="J315" t="str">
            <v>قادة</v>
          </cell>
          <cell r="K315" t="str">
            <v>ملاس  قادة</v>
          </cell>
          <cell r="L315" t="str">
            <v>بناء</v>
          </cell>
          <cell r="M315" t="str">
            <v>مزرعة أوهيبة محي الدين سفيزف</v>
          </cell>
        </row>
        <row r="316">
          <cell r="A316">
            <v>309</v>
          </cell>
          <cell r="B316" t="str">
            <v>زعتر  محمد الحبيب</v>
          </cell>
          <cell r="C316" t="str">
            <v>زعتر</v>
          </cell>
          <cell r="D316" t="str">
            <v>محمد الحبيب</v>
          </cell>
          <cell r="E316">
            <v>36587</v>
          </cell>
          <cell r="F316" t="str">
            <v>سفيزف</v>
          </cell>
          <cell r="G316" t="str">
            <v>1ج م ع1</v>
          </cell>
          <cell r="H316" t="str">
            <v>ن داخلي</v>
          </cell>
          <cell r="I316" t="str">
            <v>ن/د</v>
          </cell>
          <cell r="J316" t="str">
            <v>محمد</v>
          </cell>
          <cell r="K316" t="str">
            <v>زعتر  محمد</v>
          </cell>
          <cell r="L316" t="str">
            <v>لا شئ</v>
          </cell>
          <cell r="M316" t="str">
            <v>عين أدن</v>
          </cell>
        </row>
        <row r="317">
          <cell r="A317">
            <v>310</v>
          </cell>
          <cell r="B317" t="str">
            <v>موحوش  شكري</v>
          </cell>
          <cell r="C317" t="str">
            <v>موحوش</v>
          </cell>
          <cell r="D317" t="str">
            <v>شكري</v>
          </cell>
          <cell r="E317">
            <v>36710</v>
          </cell>
          <cell r="F317" t="str">
            <v>س بلعباس</v>
          </cell>
          <cell r="G317" t="str">
            <v>1ج م ع1</v>
          </cell>
          <cell r="H317" t="str">
            <v>ن داخلي</v>
          </cell>
          <cell r="I317" t="str">
            <v>ن/د</v>
          </cell>
          <cell r="J317" t="str">
            <v>مختار</v>
          </cell>
          <cell r="K317" t="str">
            <v>موحوش  مختار</v>
          </cell>
          <cell r="L317" t="str">
            <v>فلاح</v>
          </cell>
          <cell r="M317" t="str">
            <v>مزرعة أوهيبة محي الدين سفيزف</v>
          </cell>
        </row>
        <row r="318">
          <cell r="A318">
            <v>311</v>
          </cell>
          <cell r="B318" t="str">
            <v>بلجة  نورالهدى</v>
          </cell>
          <cell r="C318" t="str">
            <v>بلجة</v>
          </cell>
          <cell r="D318" t="str">
            <v>نورالهدى</v>
          </cell>
          <cell r="E318">
            <v>36762</v>
          </cell>
          <cell r="F318" t="str">
            <v>سفيزف</v>
          </cell>
          <cell r="G318" t="str">
            <v>1ج م ع1</v>
          </cell>
          <cell r="H318" t="str">
            <v>خارجية</v>
          </cell>
          <cell r="I318" t="str">
            <v>خ</v>
          </cell>
          <cell r="J318" t="str">
            <v>يحي</v>
          </cell>
          <cell r="K318" t="str">
            <v>بلجة  يحي</v>
          </cell>
          <cell r="L318" t="str">
            <v>موظف</v>
          </cell>
          <cell r="M318" t="str">
            <v>41حي 506 سكن سفيزف</v>
          </cell>
        </row>
        <row r="319">
          <cell r="A319">
            <v>312</v>
          </cell>
          <cell r="B319" t="str">
            <v>بلعباس  فاطمة</v>
          </cell>
          <cell r="C319" t="str">
            <v>بلعباس</v>
          </cell>
          <cell r="D319" t="str">
            <v>فاطمة</v>
          </cell>
          <cell r="E319">
            <v>37461</v>
          </cell>
          <cell r="F319" t="str">
            <v>بني سليمان المدية</v>
          </cell>
          <cell r="G319" t="str">
            <v>1ج م ع1</v>
          </cell>
          <cell r="H319" t="str">
            <v>خارجية</v>
          </cell>
          <cell r="I319" t="str">
            <v>خ</v>
          </cell>
          <cell r="J319" t="str">
            <v>قادة بن جيلالي</v>
          </cell>
          <cell r="K319" t="str">
            <v>بلعباس  قادة بن جيلالي</v>
          </cell>
          <cell r="L319" t="str">
            <v>متقاعد</v>
          </cell>
          <cell r="M319" t="str">
            <v>حي115 سكن سفيزف</v>
          </cell>
        </row>
        <row r="320">
          <cell r="A320">
            <v>313</v>
          </cell>
          <cell r="B320" t="str">
            <v xml:space="preserve">بلفكرون  آسيا </v>
          </cell>
          <cell r="C320" t="str">
            <v>بلفكرون</v>
          </cell>
          <cell r="D320" t="str">
            <v xml:space="preserve">آسيا </v>
          </cell>
          <cell r="E320">
            <v>37474</v>
          </cell>
          <cell r="F320" t="str">
            <v>سفيزف</v>
          </cell>
          <cell r="G320" t="str">
            <v>1ج م ع1</v>
          </cell>
          <cell r="H320" t="str">
            <v>خارجية</v>
          </cell>
          <cell r="I320" t="str">
            <v>خ</v>
          </cell>
          <cell r="J320" t="str">
            <v>بلعباس</v>
          </cell>
          <cell r="K320" t="str">
            <v>بلفكرون  بلعباس</v>
          </cell>
          <cell r="L320" t="str">
            <v>بقال</v>
          </cell>
          <cell r="M320" t="str">
            <v>بوجبهة البرج</v>
          </cell>
        </row>
        <row r="321">
          <cell r="A321">
            <v>314</v>
          </cell>
          <cell r="B321" t="str">
            <v>بن حميميدي  فاطمة</v>
          </cell>
          <cell r="C321" t="str">
            <v>بن حميميدي</v>
          </cell>
          <cell r="D321" t="str">
            <v>فاطمة</v>
          </cell>
          <cell r="E321">
            <v>37440</v>
          </cell>
          <cell r="F321" t="str">
            <v>س بلعباس</v>
          </cell>
          <cell r="G321" t="str">
            <v>1ج م ع1</v>
          </cell>
          <cell r="H321" t="str">
            <v>خارجية</v>
          </cell>
          <cell r="I321" t="str">
            <v>خ</v>
          </cell>
          <cell r="J321" t="str">
            <v>العربي</v>
          </cell>
          <cell r="K321" t="str">
            <v>بن حميميدي  العربي</v>
          </cell>
          <cell r="L321" t="str">
            <v>سائق</v>
          </cell>
          <cell r="M321" t="str">
            <v>81 شارع عبان رمضان سفيزف</v>
          </cell>
        </row>
        <row r="322">
          <cell r="A322">
            <v>315</v>
          </cell>
          <cell r="B322" t="str">
            <v>بوسطلة   فاطمة الزهراء</v>
          </cell>
          <cell r="C322" t="str">
            <v xml:space="preserve">بوسطلة </v>
          </cell>
          <cell r="D322" t="str">
            <v>فاطمة الزهراء</v>
          </cell>
          <cell r="E322">
            <v>37619</v>
          </cell>
          <cell r="F322" t="str">
            <v>سفيزف</v>
          </cell>
          <cell r="G322" t="str">
            <v>1ج م ع1</v>
          </cell>
          <cell r="H322" t="str">
            <v>خارجية</v>
          </cell>
          <cell r="I322" t="str">
            <v>خ</v>
          </cell>
          <cell r="J322" t="str">
            <v>العربي</v>
          </cell>
          <cell r="K322" t="str">
            <v>بوسطلة   العربي</v>
          </cell>
          <cell r="L322" t="str">
            <v>متقاعد</v>
          </cell>
          <cell r="M322" t="str">
            <v>01 شارع ملاتي عبدالقادر سفيزف</v>
          </cell>
        </row>
        <row r="323">
          <cell r="A323">
            <v>316</v>
          </cell>
          <cell r="B323" t="str">
            <v>بوشريط  فاطمة الزهرة</v>
          </cell>
          <cell r="C323" t="str">
            <v>بوشريط</v>
          </cell>
          <cell r="D323" t="str">
            <v>فاطمة الزهرة</v>
          </cell>
          <cell r="E323">
            <v>37226</v>
          </cell>
          <cell r="F323" t="str">
            <v>سفيزف</v>
          </cell>
          <cell r="G323" t="str">
            <v>1ج م ع1</v>
          </cell>
          <cell r="H323" t="str">
            <v>خارجية</v>
          </cell>
          <cell r="I323" t="str">
            <v>خ</v>
          </cell>
          <cell r="J323" t="str">
            <v>أحمد</v>
          </cell>
          <cell r="K323" t="str">
            <v>بوشريط  أحمد</v>
          </cell>
          <cell r="L323" t="str">
            <v>متقاعد</v>
          </cell>
          <cell r="M323" t="str">
            <v>حي 141سكن سفيزف</v>
          </cell>
        </row>
        <row r="324">
          <cell r="A324">
            <v>317</v>
          </cell>
          <cell r="B324" t="str">
            <v>بوشفرة  صابرينة</v>
          </cell>
          <cell r="C324" t="str">
            <v>بوشفرة</v>
          </cell>
          <cell r="D324" t="str">
            <v>صابرينة</v>
          </cell>
          <cell r="E324">
            <v>36721</v>
          </cell>
          <cell r="F324" t="str">
            <v>سفيزف</v>
          </cell>
          <cell r="G324" t="str">
            <v>1ج م ع1</v>
          </cell>
          <cell r="H324" t="str">
            <v>خارجية</v>
          </cell>
          <cell r="I324" t="str">
            <v>خ</v>
          </cell>
          <cell r="J324" t="str">
            <v>قادة</v>
          </cell>
          <cell r="K324" t="str">
            <v>بوشفرة  قادة</v>
          </cell>
          <cell r="L324" t="str">
            <v>متقاعد</v>
          </cell>
          <cell r="M324" t="str">
            <v>حي مسقم محمد سفيزف</v>
          </cell>
        </row>
        <row r="325">
          <cell r="A325">
            <v>318</v>
          </cell>
          <cell r="B325" t="str">
            <v>بوهند  إيمان</v>
          </cell>
          <cell r="C325" t="str">
            <v>بوهند</v>
          </cell>
          <cell r="D325" t="str">
            <v>إيمان</v>
          </cell>
          <cell r="E325" t="str">
            <v>24//04/2002</v>
          </cell>
          <cell r="F325" t="str">
            <v>س بلعباس</v>
          </cell>
          <cell r="G325" t="str">
            <v>1ج م ع1</v>
          </cell>
          <cell r="H325" t="str">
            <v>خارجية</v>
          </cell>
          <cell r="I325" t="str">
            <v>خ</v>
          </cell>
          <cell r="J325" t="str">
            <v>بلقاسم</v>
          </cell>
          <cell r="K325" t="str">
            <v>بوهند  بلقاسم</v>
          </cell>
          <cell r="L325" t="str">
            <v>متقاعد</v>
          </cell>
          <cell r="M325" t="str">
            <v>حي 506 سكن سفيزف</v>
          </cell>
        </row>
        <row r="326">
          <cell r="A326">
            <v>319</v>
          </cell>
          <cell r="B326" t="str">
            <v>تيرس  نهاد جميلة</v>
          </cell>
          <cell r="C326" t="str">
            <v>تيرس</v>
          </cell>
          <cell r="D326" t="str">
            <v>نهاد جميلة</v>
          </cell>
          <cell r="E326">
            <v>37839</v>
          </cell>
          <cell r="F326" t="str">
            <v>س بلعباس</v>
          </cell>
          <cell r="G326" t="str">
            <v>1ج م ع1</v>
          </cell>
          <cell r="H326" t="str">
            <v>خارجية</v>
          </cell>
          <cell r="I326" t="str">
            <v>خ</v>
          </cell>
          <cell r="J326" t="str">
            <v>عبدالله</v>
          </cell>
          <cell r="K326" t="str">
            <v>تيرس  عبدالله</v>
          </cell>
          <cell r="L326" t="str">
            <v>تاجر</v>
          </cell>
          <cell r="M326" t="str">
            <v>50شارع عمرون أحمد سفيزف</v>
          </cell>
        </row>
        <row r="327">
          <cell r="A327">
            <v>320</v>
          </cell>
          <cell r="B327" t="str">
            <v>جلالي  آمال</v>
          </cell>
          <cell r="C327" t="str">
            <v>جلالي</v>
          </cell>
          <cell r="D327" t="str">
            <v>آمال</v>
          </cell>
          <cell r="E327" t="str">
            <v>31/04/2001</v>
          </cell>
          <cell r="F327" t="str">
            <v>سفيزف</v>
          </cell>
          <cell r="G327" t="str">
            <v>1ج م ع1</v>
          </cell>
          <cell r="H327" t="str">
            <v>خارجية</v>
          </cell>
          <cell r="I327" t="str">
            <v>خ</v>
          </cell>
          <cell r="J327" t="str">
            <v>مختار</v>
          </cell>
          <cell r="K327" t="str">
            <v>جلالي  مختار</v>
          </cell>
          <cell r="L327" t="str">
            <v>موظف</v>
          </cell>
          <cell r="M327" t="str">
            <v>حي 140سكن سفيزف</v>
          </cell>
        </row>
        <row r="328">
          <cell r="A328">
            <v>321</v>
          </cell>
          <cell r="B328" t="str">
            <v>حميدة  فاطيمة باسمة</v>
          </cell>
          <cell r="C328" t="str">
            <v>حميدة</v>
          </cell>
          <cell r="D328" t="str">
            <v>فاطيمة باسمة</v>
          </cell>
          <cell r="E328">
            <v>37706</v>
          </cell>
          <cell r="F328" t="str">
            <v>سفيزف</v>
          </cell>
          <cell r="G328" t="str">
            <v>1ج م ع1</v>
          </cell>
          <cell r="H328" t="str">
            <v>خارجية</v>
          </cell>
          <cell r="I328" t="str">
            <v>خ</v>
          </cell>
          <cell r="J328" t="str">
            <v>الطاهر</v>
          </cell>
          <cell r="K328" t="str">
            <v>حميدة  الطاهر</v>
          </cell>
          <cell r="L328" t="str">
            <v>موظف</v>
          </cell>
          <cell r="M328" t="str">
            <v xml:space="preserve"> 01حي 214سكن سفيزف</v>
          </cell>
        </row>
        <row r="329">
          <cell r="A329">
            <v>322</v>
          </cell>
          <cell r="B329" t="str">
            <v>داعي  لمياء</v>
          </cell>
          <cell r="C329" t="str">
            <v>داعي</v>
          </cell>
          <cell r="D329" t="str">
            <v>لمياء</v>
          </cell>
          <cell r="E329">
            <v>37500</v>
          </cell>
          <cell r="F329" t="str">
            <v>سفيزف</v>
          </cell>
          <cell r="G329" t="str">
            <v>1ج م ع1</v>
          </cell>
          <cell r="H329" t="str">
            <v>خارجية</v>
          </cell>
          <cell r="I329" t="str">
            <v>خ</v>
          </cell>
          <cell r="J329" t="str">
            <v>مختار</v>
          </cell>
          <cell r="K329" t="str">
            <v>داعي  مختار</v>
          </cell>
          <cell r="L329" t="str">
            <v>متقاعد</v>
          </cell>
          <cell r="M329" t="str">
            <v>شارع مصطفى بن بولعيد سفيزف</v>
          </cell>
        </row>
        <row r="330">
          <cell r="A330">
            <v>323</v>
          </cell>
          <cell r="B330" t="str">
            <v>دحاوي  حورية</v>
          </cell>
          <cell r="C330" t="str">
            <v>دحاوي</v>
          </cell>
          <cell r="D330" t="str">
            <v>حورية</v>
          </cell>
          <cell r="E330">
            <v>37561</v>
          </cell>
          <cell r="F330" t="str">
            <v>س بلعباس</v>
          </cell>
          <cell r="G330" t="str">
            <v>1ج م ع1</v>
          </cell>
          <cell r="H330" t="str">
            <v>خارجية</v>
          </cell>
          <cell r="I330" t="str">
            <v>خ</v>
          </cell>
          <cell r="J330" t="str">
            <v>محمد</v>
          </cell>
          <cell r="K330" t="str">
            <v>دحاوي  محمد</v>
          </cell>
          <cell r="L330" t="str">
            <v>متقاعد</v>
          </cell>
          <cell r="M330" t="str">
            <v>حي هواري بومدين سفيزف</v>
          </cell>
        </row>
        <row r="331">
          <cell r="A331">
            <v>324</v>
          </cell>
          <cell r="B331" t="str">
            <v>سنوسي عنتر  فاطمة</v>
          </cell>
          <cell r="C331" t="str">
            <v>سنوسي عنتر</v>
          </cell>
          <cell r="D331" t="str">
            <v>فاطمة</v>
          </cell>
          <cell r="E331">
            <v>37710</v>
          </cell>
          <cell r="F331" t="str">
            <v>س بلعباس</v>
          </cell>
          <cell r="G331" t="str">
            <v>1ج م ع1</v>
          </cell>
          <cell r="H331" t="str">
            <v>خارجية</v>
          </cell>
          <cell r="I331" t="str">
            <v>خ</v>
          </cell>
          <cell r="J331" t="str">
            <v>جلول</v>
          </cell>
          <cell r="K331" t="str">
            <v>سنوسي عنتر  جلول</v>
          </cell>
          <cell r="L331" t="str">
            <v>تاجر</v>
          </cell>
          <cell r="M331" t="str">
            <v>شارع بوخلخال الحبيب سفيزف</v>
          </cell>
        </row>
        <row r="332">
          <cell r="A332">
            <v>325</v>
          </cell>
          <cell r="B332" t="str">
            <v>سكون   منال</v>
          </cell>
          <cell r="C332" t="str">
            <v xml:space="preserve">سكون </v>
          </cell>
          <cell r="D332" t="str">
            <v>منال</v>
          </cell>
          <cell r="E332">
            <v>37640</v>
          </cell>
          <cell r="F332" t="str">
            <v>سفيزف</v>
          </cell>
          <cell r="G332" t="str">
            <v>1ج م ع1</v>
          </cell>
          <cell r="H332" t="str">
            <v>خارجية</v>
          </cell>
          <cell r="I332" t="str">
            <v>خ</v>
          </cell>
          <cell r="J332" t="str">
            <v>توسارة حكيمة</v>
          </cell>
          <cell r="K332" t="str">
            <v>سكون   توسارة حكيمة</v>
          </cell>
          <cell r="L332" t="str">
            <v>ع.إداري</v>
          </cell>
          <cell r="M332" t="str">
            <v>حي 214 سكن سفيزف</v>
          </cell>
        </row>
        <row r="333">
          <cell r="A333">
            <v>326</v>
          </cell>
          <cell r="B333" t="str">
            <v>معروف  عايدة</v>
          </cell>
          <cell r="C333" t="str">
            <v>معروف</v>
          </cell>
          <cell r="D333" t="str">
            <v>عايدة</v>
          </cell>
          <cell r="E333">
            <v>37376</v>
          </cell>
          <cell r="F333" t="str">
            <v>سفيزف</v>
          </cell>
          <cell r="G333" t="str">
            <v>1ج م ع1</v>
          </cell>
          <cell r="H333" t="str">
            <v>خارجية</v>
          </cell>
          <cell r="I333" t="str">
            <v>خ</v>
          </cell>
          <cell r="J333" t="str">
            <v>الطيب</v>
          </cell>
          <cell r="K333" t="str">
            <v>معروف  الطيب</v>
          </cell>
          <cell r="L333" t="str">
            <v>بناء</v>
          </cell>
          <cell r="M333" t="str">
            <v>شارع بوهند يحي سفيزف</v>
          </cell>
        </row>
        <row r="334">
          <cell r="A334">
            <v>327</v>
          </cell>
          <cell r="B334" t="str">
            <v>مقران  إيمان</v>
          </cell>
          <cell r="C334" t="str">
            <v>مقران</v>
          </cell>
          <cell r="D334" t="str">
            <v>إيمان</v>
          </cell>
          <cell r="E334">
            <v>37589</v>
          </cell>
          <cell r="F334" t="str">
            <v>سفيزف</v>
          </cell>
          <cell r="G334" t="str">
            <v>1ج م ع1</v>
          </cell>
          <cell r="H334" t="str">
            <v>خارجية</v>
          </cell>
          <cell r="I334" t="str">
            <v>خ</v>
          </cell>
          <cell r="J334" t="str">
            <v>ميلود</v>
          </cell>
          <cell r="K334" t="str">
            <v>مقران  ميلود</v>
          </cell>
          <cell r="L334" t="str">
            <v>بناء</v>
          </cell>
          <cell r="M334" t="str">
            <v>حي كشار الحبيب سفيزف</v>
          </cell>
        </row>
        <row r="335">
          <cell r="A335">
            <v>328</v>
          </cell>
          <cell r="B335" t="str">
            <v>هلال  أحلام فاطمة</v>
          </cell>
          <cell r="C335" t="str">
            <v>هلال</v>
          </cell>
          <cell r="D335" t="str">
            <v>أحلام فاطمة</v>
          </cell>
          <cell r="E335">
            <v>37621</v>
          </cell>
          <cell r="F335" t="str">
            <v>سفيزف</v>
          </cell>
          <cell r="G335" t="str">
            <v>1ج م ع1</v>
          </cell>
          <cell r="H335" t="str">
            <v>خارجية</v>
          </cell>
          <cell r="I335" t="str">
            <v>خ</v>
          </cell>
          <cell r="J335" t="str">
            <v>منور</v>
          </cell>
          <cell r="K335" t="str">
            <v>هلال  منور</v>
          </cell>
          <cell r="L335" t="str">
            <v>صيدلي</v>
          </cell>
          <cell r="M335" t="str">
            <v>شارع بوخلخال الحبيب سفيزف</v>
          </cell>
        </row>
        <row r="336">
          <cell r="A336">
            <v>329</v>
          </cell>
          <cell r="B336" t="str">
            <v>بن داحة   سفيان</v>
          </cell>
          <cell r="C336" t="str">
            <v xml:space="preserve">بن داحة </v>
          </cell>
          <cell r="D336" t="str">
            <v>سفيان</v>
          </cell>
          <cell r="E336">
            <v>37332</v>
          </cell>
          <cell r="F336" t="str">
            <v>سفيزف</v>
          </cell>
          <cell r="G336" t="str">
            <v>1ج م ع1</v>
          </cell>
          <cell r="H336" t="str">
            <v>خارجي</v>
          </cell>
          <cell r="I336" t="str">
            <v>خ</v>
          </cell>
          <cell r="J336" t="str">
            <v>نابي</v>
          </cell>
          <cell r="K336" t="str">
            <v>بن داحة   نابي</v>
          </cell>
          <cell r="L336" t="str">
            <v>سائق</v>
          </cell>
          <cell r="M336" t="str">
            <v>حي نواري بن عبدالله سفيزف</v>
          </cell>
        </row>
        <row r="337">
          <cell r="A337">
            <v>330</v>
          </cell>
          <cell r="B337" t="str">
            <v>بوراس  عبدالحفيظ إلياس</v>
          </cell>
          <cell r="C337" t="str">
            <v>بوراس</v>
          </cell>
          <cell r="D337" t="str">
            <v>عبدالحفيظ إلياس</v>
          </cell>
          <cell r="E337">
            <v>37461</v>
          </cell>
          <cell r="F337" t="str">
            <v>س بلعباس</v>
          </cell>
          <cell r="G337" t="str">
            <v>1ج م ع1</v>
          </cell>
          <cell r="H337" t="str">
            <v>خارجي</v>
          </cell>
          <cell r="I337" t="str">
            <v>خ</v>
          </cell>
          <cell r="J337" t="str">
            <v>عبدالقادر</v>
          </cell>
          <cell r="K337" t="str">
            <v>بوراس  عبدالقادر</v>
          </cell>
          <cell r="L337" t="str">
            <v>استاد</v>
          </cell>
          <cell r="M337" t="str">
            <v>حي 50 سكن سفيزف</v>
          </cell>
        </row>
        <row r="338">
          <cell r="A338">
            <v>331</v>
          </cell>
          <cell r="B338" t="str">
            <v>بوهنت  منصف ياسين</v>
          </cell>
          <cell r="C338" t="str">
            <v>بوهنت</v>
          </cell>
          <cell r="D338" t="str">
            <v>منصف ياسين</v>
          </cell>
          <cell r="E338">
            <v>37081</v>
          </cell>
          <cell r="F338" t="str">
            <v>س بلعباس</v>
          </cell>
          <cell r="G338" t="str">
            <v>1ج م ع1</v>
          </cell>
          <cell r="H338" t="str">
            <v>خارجي</v>
          </cell>
          <cell r="I338" t="str">
            <v>خ</v>
          </cell>
          <cell r="J338" t="str">
            <v>سيد أحمد</v>
          </cell>
          <cell r="K338" t="str">
            <v>بوهنت  سيد أحمد</v>
          </cell>
          <cell r="L338" t="str">
            <v>ممرض</v>
          </cell>
          <cell r="M338" t="str">
            <v>حي كشار صحراوي سفيزف</v>
          </cell>
        </row>
        <row r="339">
          <cell r="A339">
            <v>332</v>
          </cell>
          <cell r="B339" t="str">
            <v>جفال   علي</v>
          </cell>
          <cell r="C339" t="str">
            <v xml:space="preserve">جفال </v>
          </cell>
          <cell r="D339" t="str">
            <v>علي</v>
          </cell>
          <cell r="E339">
            <v>37488</v>
          </cell>
          <cell r="F339" t="str">
            <v>سفيزف</v>
          </cell>
          <cell r="G339" t="str">
            <v>1ج م ع1</v>
          </cell>
          <cell r="H339" t="str">
            <v>خارجي</v>
          </cell>
          <cell r="I339" t="str">
            <v>خ</v>
          </cell>
          <cell r="J339" t="str">
            <v>الهاشمي</v>
          </cell>
          <cell r="K339" t="str">
            <v>جفال   الهاشمي</v>
          </cell>
          <cell r="L339" t="str">
            <v>لا شئ</v>
          </cell>
          <cell r="M339" t="str">
            <v>حي 156 سكن سفيزف</v>
          </cell>
        </row>
        <row r="340">
          <cell r="A340">
            <v>333</v>
          </cell>
          <cell r="B340" t="str">
            <v>خليج  عادل حمزة</v>
          </cell>
          <cell r="C340" t="str">
            <v>خليج</v>
          </cell>
          <cell r="D340" t="str">
            <v>عادل حمزة</v>
          </cell>
          <cell r="E340">
            <v>37636</v>
          </cell>
          <cell r="F340" t="str">
            <v>تلاغ</v>
          </cell>
          <cell r="G340" t="str">
            <v>1ج م ع1</v>
          </cell>
          <cell r="H340" t="str">
            <v>خارجي</v>
          </cell>
          <cell r="I340" t="str">
            <v>خ</v>
          </cell>
          <cell r="J340" t="str">
            <v>محمد</v>
          </cell>
          <cell r="K340" t="str">
            <v>خليج  محمد</v>
          </cell>
          <cell r="L340" t="str">
            <v>متقاعد</v>
          </cell>
          <cell r="M340" t="str">
            <v>حي 181 سكن سفيزف</v>
          </cell>
        </row>
        <row r="341">
          <cell r="A341">
            <v>334</v>
          </cell>
          <cell r="B341" t="str">
            <v>خوجة  الحاج يحي</v>
          </cell>
          <cell r="C341" t="str">
            <v>خوجة</v>
          </cell>
          <cell r="D341" t="str">
            <v>الحاج يحي</v>
          </cell>
          <cell r="E341">
            <v>36691</v>
          </cell>
          <cell r="F341" t="str">
            <v>سفيزف</v>
          </cell>
          <cell r="G341" t="str">
            <v>1ج م ع1</v>
          </cell>
          <cell r="H341" t="str">
            <v>خارجي</v>
          </cell>
          <cell r="I341" t="str">
            <v>خ</v>
          </cell>
          <cell r="J341" t="str">
            <v>جيلالي</v>
          </cell>
          <cell r="K341" t="str">
            <v>خوجة  جيلالي</v>
          </cell>
          <cell r="L341" t="str">
            <v>متقاعد</v>
          </cell>
          <cell r="M341" t="str">
            <v>حي 506 سكن سفيزف</v>
          </cell>
        </row>
        <row r="342">
          <cell r="A342">
            <v>335</v>
          </cell>
          <cell r="B342" t="str">
            <v>رمدوم  يونس إلياس</v>
          </cell>
          <cell r="C342" t="str">
            <v>رمدوم</v>
          </cell>
          <cell r="D342" t="str">
            <v>يونس إلياس</v>
          </cell>
          <cell r="E342">
            <v>37263</v>
          </cell>
          <cell r="F342" t="str">
            <v>سفيزف</v>
          </cell>
          <cell r="G342" t="str">
            <v>1ج م ع1</v>
          </cell>
          <cell r="H342" t="str">
            <v>خارجي</v>
          </cell>
          <cell r="I342" t="str">
            <v>خ</v>
          </cell>
          <cell r="J342" t="str">
            <v>محمد</v>
          </cell>
          <cell r="K342" t="str">
            <v>رمدوم  محمد</v>
          </cell>
          <cell r="L342" t="str">
            <v>متقاعد</v>
          </cell>
          <cell r="M342" t="str">
            <v>حي 117 سكن سفيزف</v>
          </cell>
        </row>
        <row r="343">
          <cell r="A343">
            <v>336</v>
          </cell>
          <cell r="B343" t="str">
            <v>لصلح  يحي</v>
          </cell>
          <cell r="C343" t="str">
            <v>لصلح</v>
          </cell>
          <cell r="D343" t="str">
            <v>يحي</v>
          </cell>
          <cell r="E343">
            <v>36417</v>
          </cell>
          <cell r="F343" t="str">
            <v>سفيزف</v>
          </cell>
          <cell r="G343" t="str">
            <v>1ج م ع1</v>
          </cell>
          <cell r="H343" t="str">
            <v>خارجي</v>
          </cell>
          <cell r="I343" t="str">
            <v>خ</v>
          </cell>
          <cell r="J343" t="str">
            <v>قاسم</v>
          </cell>
          <cell r="K343" t="str">
            <v>لصلح  قاسم</v>
          </cell>
          <cell r="L343" t="str">
            <v>متقاعد</v>
          </cell>
          <cell r="M343" t="str">
            <v>حي 5جويلية سفيزف</v>
          </cell>
        </row>
        <row r="344">
          <cell r="A344">
            <v>337</v>
          </cell>
          <cell r="B344" t="str">
            <v>برحو  هاجر</v>
          </cell>
          <cell r="C344" t="str">
            <v>برحو</v>
          </cell>
          <cell r="D344" t="str">
            <v>هاجر</v>
          </cell>
          <cell r="E344">
            <v>37591</v>
          </cell>
          <cell r="F344" t="str">
            <v>بوجبهة</v>
          </cell>
          <cell r="G344" t="str">
            <v>1ج م ع2</v>
          </cell>
          <cell r="H344" t="str">
            <v>داخلية</v>
          </cell>
          <cell r="I344" t="str">
            <v>د</v>
          </cell>
          <cell r="J344" t="str">
            <v>مصطفى</v>
          </cell>
          <cell r="K344" t="str">
            <v>برحو  مصطفى</v>
          </cell>
          <cell r="L344" t="str">
            <v>ممرض</v>
          </cell>
          <cell r="M344" t="str">
            <v>بوجبهة البرج</v>
          </cell>
          <cell r="N344" t="str">
            <v>بوعسرية عبدالله</v>
          </cell>
          <cell r="O344" t="str">
            <v>حي181سكن سفيزف</v>
          </cell>
        </row>
        <row r="345">
          <cell r="A345">
            <v>338</v>
          </cell>
          <cell r="B345" t="str">
            <v>بوشريط  يمينة</v>
          </cell>
          <cell r="C345" t="str">
            <v>بوشريط</v>
          </cell>
          <cell r="D345" t="str">
            <v>يمينة</v>
          </cell>
          <cell r="E345">
            <v>37027</v>
          </cell>
          <cell r="F345" t="str">
            <v>س بلعباس</v>
          </cell>
          <cell r="G345" t="str">
            <v>1ج م ع2</v>
          </cell>
          <cell r="H345" t="str">
            <v>داخلية</v>
          </cell>
          <cell r="I345" t="str">
            <v>د</v>
          </cell>
          <cell r="J345" t="str">
            <v>مختار</v>
          </cell>
          <cell r="K345" t="str">
            <v>بوشريط  مختار</v>
          </cell>
          <cell r="L345" t="str">
            <v>لاشيئ</v>
          </cell>
          <cell r="M345" t="str">
            <v>بوجبهة البرج</v>
          </cell>
          <cell r="N345" t="str">
            <v>بومسجد بوبكر</v>
          </cell>
          <cell r="O345" t="str">
            <v>حي أوهيبة ع القادر سفيزف</v>
          </cell>
        </row>
        <row r="346">
          <cell r="A346">
            <v>339</v>
          </cell>
          <cell r="B346" t="str">
            <v>بولوحة  خديجة</v>
          </cell>
          <cell r="C346" t="str">
            <v>بولوحة</v>
          </cell>
          <cell r="D346" t="str">
            <v>خديجة</v>
          </cell>
          <cell r="E346">
            <v>37424</v>
          </cell>
          <cell r="F346" t="str">
            <v>س بلعباس</v>
          </cell>
          <cell r="G346" t="str">
            <v>1ج م ع2</v>
          </cell>
          <cell r="H346" t="str">
            <v>داخلية</v>
          </cell>
          <cell r="I346" t="str">
            <v>د</v>
          </cell>
          <cell r="J346" t="str">
            <v>محمد</v>
          </cell>
          <cell r="K346" t="str">
            <v>بولوحة  محمد</v>
          </cell>
          <cell r="L346" t="str">
            <v>لا شئ</v>
          </cell>
          <cell r="M346" t="str">
            <v>بوجبهة البرج</v>
          </cell>
          <cell r="N346" t="str">
            <v>شباني محمد</v>
          </cell>
          <cell r="O346" t="str">
            <v>حي30سكن المشتلة سفيزف</v>
          </cell>
        </row>
        <row r="347">
          <cell r="A347">
            <v>340</v>
          </cell>
          <cell r="B347" t="str">
            <v>جفال   هاجر</v>
          </cell>
          <cell r="C347" t="str">
            <v xml:space="preserve">جفال </v>
          </cell>
          <cell r="D347" t="str">
            <v>هاجر</v>
          </cell>
          <cell r="E347">
            <v>37564</v>
          </cell>
          <cell r="F347" t="str">
            <v>سفيزف</v>
          </cell>
          <cell r="G347" t="str">
            <v>1ج م ع2</v>
          </cell>
          <cell r="H347" t="str">
            <v>داخلية</v>
          </cell>
          <cell r="I347" t="str">
            <v>د</v>
          </cell>
          <cell r="J347" t="str">
            <v>مختار</v>
          </cell>
          <cell r="K347" t="str">
            <v>جفال   مختار</v>
          </cell>
          <cell r="L347" t="str">
            <v>فلاح</v>
          </cell>
          <cell r="M347" t="str">
            <v>بوجبهة البرج</v>
          </cell>
          <cell r="N347" t="str">
            <v>بوشريط أحمد</v>
          </cell>
          <cell r="O347" t="str">
            <v>حي هواري بومدين سفيزف</v>
          </cell>
        </row>
        <row r="348">
          <cell r="A348">
            <v>341</v>
          </cell>
          <cell r="B348" t="str">
            <v>عربوز  منال</v>
          </cell>
          <cell r="C348" t="str">
            <v>عربوز</v>
          </cell>
          <cell r="D348" t="str">
            <v>منال</v>
          </cell>
          <cell r="E348">
            <v>37472</v>
          </cell>
          <cell r="F348" t="str">
            <v>سفيزف</v>
          </cell>
          <cell r="G348" t="str">
            <v>1ج م ع2</v>
          </cell>
          <cell r="H348" t="str">
            <v>داخلية</v>
          </cell>
          <cell r="I348" t="str">
            <v>د</v>
          </cell>
          <cell r="J348" t="str">
            <v>محمد</v>
          </cell>
          <cell r="K348" t="str">
            <v>عربوز  محمد</v>
          </cell>
          <cell r="L348" t="str">
            <v>لا شئ</v>
          </cell>
          <cell r="M348" t="str">
            <v>بوجبهة البرج</v>
          </cell>
          <cell r="N348" t="str">
            <v>دحاوي عبدالقادر</v>
          </cell>
          <cell r="O348" t="str">
            <v>حي181سكن سفيزف</v>
          </cell>
        </row>
        <row r="349">
          <cell r="A349">
            <v>342</v>
          </cell>
          <cell r="B349" t="str">
            <v>عياد   أحلام</v>
          </cell>
          <cell r="C349" t="str">
            <v xml:space="preserve">عياد </v>
          </cell>
          <cell r="D349" t="str">
            <v>أحلام</v>
          </cell>
          <cell r="E349">
            <v>37383</v>
          </cell>
          <cell r="F349" t="str">
            <v>س بلعباس</v>
          </cell>
          <cell r="G349" t="str">
            <v>1ج م ع2</v>
          </cell>
          <cell r="H349" t="str">
            <v>داخلية</v>
          </cell>
          <cell r="I349" t="str">
            <v>د</v>
          </cell>
          <cell r="J349" t="str">
            <v>علي</v>
          </cell>
          <cell r="K349" t="str">
            <v>عياد   علي</v>
          </cell>
          <cell r="L349" t="str">
            <v>لا شئ</v>
          </cell>
          <cell r="M349" t="str">
            <v>واد المبطوح</v>
          </cell>
          <cell r="N349" t="str">
            <v>بصافي عبدالقادر</v>
          </cell>
          <cell r="O349" t="str">
            <v>حي 506 سكن سفيزف</v>
          </cell>
        </row>
        <row r="350">
          <cell r="A350">
            <v>343</v>
          </cell>
          <cell r="B350" t="str">
            <v>بلبركاني  فافة</v>
          </cell>
          <cell r="C350" t="str">
            <v>بلبركاني</v>
          </cell>
          <cell r="D350" t="str">
            <v>فافة</v>
          </cell>
          <cell r="E350">
            <v>36110</v>
          </cell>
          <cell r="F350" t="str">
            <v>س بلعباس</v>
          </cell>
          <cell r="G350" t="str">
            <v>1ج م ع2</v>
          </cell>
          <cell r="H350" t="str">
            <v>ن داخلية</v>
          </cell>
          <cell r="I350" t="str">
            <v>ن/د</v>
          </cell>
          <cell r="J350" t="str">
            <v>أحمد</v>
          </cell>
          <cell r="K350" t="str">
            <v>بلبركاني  أحمد</v>
          </cell>
          <cell r="L350" t="str">
            <v>متقاعد</v>
          </cell>
          <cell r="M350" t="str">
            <v>مقطع دار السبع عين آدن</v>
          </cell>
        </row>
        <row r="351">
          <cell r="A351">
            <v>344</v>
          </cell>
          <cell r="B351" t="str">
            <v>جبلي  آية شهرزاد</v>
          </cell>
          <cell r="C351" t="str">
            <v>جبلي</v>
          </cell>
          <cell r="D351" t="str">
            <v>آية شهرزاد</v>
          </cell>
          <cell r="E351">
            <v>37607</v>
          </cell>
          <cell r="F351" t="str">
            <v>بوحنيفية</v>
          </cell>
          <cell r="G351" t="str">
            <v>1ج م ع2</v>
          </cell>
          <cell r="H351" t="str">
            <v>ن داخلية</v>
          </cell>
          <cell r="I351" t="str">
            <v>ن/د</v>
          </cell>
          <cell r="J351" t="str">
            <v>الطاهر</v>
          </cell>
          <cell r="K351" t="str">
            <v>جبلي  الطاهر</v>
          </cell>
          <cell r="L351" t="str">
            <v>مقاول</v>
          </cell>
          <cell r="M351" t="str">
            <v>عين آدن</v>
          </cell>
        </row>
        <row r="352">
          <cell r="A352">
            <v>345</v>
          </cell>
          <cell r="B352" t="str">
            <v>دار سبع   خولة</v>
          </cell>
          <cell r="C352" t="str">
            <v xml:space="preserve">دار سبع </v>
          </cell>
          <cell r="D352" t="str">
            <v>خولة</v>
          </cell>
          <cell r="E352">
            <v>37707</v>
          </cell>
          <cell r="F352" t="str">
            <v>سفيزف</v>
          </cell>
          <cell r="G352" t="str">
            <v>1ج م ع2</v>
          </cell>
          <cell r="H352" t="str">
            <v>ن داخلية</v>
          </cell>
          <cell r="I352" t="str">
            <v>ن/د</v>
          </cell>
          <cell r="J352" t="str">
            <v>لخضر</v>
          </cell>
          <cell r="K352" t="str">
            <v>دار سبع   لخضر</v>
          </cell>
          <cell r="L352" t="str">
            <v>متقاعد</v>
          </cell>
          <cell r="M352" t="str">
            <v>عين آدن</v>
          </cell>
        </row>
        <row r="353">
          <cell r="A353">
            <v>346</v>
          </cell>
          <cell r="B353" t="str">
            <v>زواوي  رقية</v>
          </cell>
          <cell r="C353" t="str">
            <v>زواوي</v>
          </cell>
          <cell r="D353" t="str">
            <v>رقية</v>
          </cell>
          <cell r="E353">
            <v>37019</v>
          </cell>
          <cell r="F353" t="str">
            <v>الحاج المشري</v>
          </cell>
          <cell r="G353" t="str">
            <v>1ج م ع2</v>
          </cell>
          <cell r="H353" t="str">
            <v>ن داخلية</v>
          </cell>
          <cell r="I353" t="str">
            <v>ن/د</v>
          </cell>
          <cell r="J353" t="str">
            <v>عبدالقادر</v>
          </cell>
          <cell r="K353" t="str">
            <v>زواوي  عبدالقادر</v>
          </cell>
          <cell r="L353" t="str">
            <v>لا شئ</v>
          </cell>
          <cell r="M353" t="str">
            <v>بني تالة</v>
          </cell>
        </row>
        <row r="354">
          <cell r="A354">
            <v>347</v>
          </cell>
          <cell r="B354" t="str">
            <v>العرباوي  ياسمين</v>
          </cell>
          <cell r="C354" t="str">
            <v>العرباوي</v>
          </cell>
          <cell r="D354" t="str">
            <v>ياسمين</v>
          </cell>
          <cell r="E354">
            <v>37234</v>
          </cell>
          <cell r="F354" t="str">
            <v>سفيزف</v>
          </cell>
          <cell r="G354" t="str">
            <v>1ج م ع2</v>
          </cell>
          <cell r="H354" t="str">
            <v>خارجية</v>
          </cell>
          <cell r="I354" t="str">
            <v>خ</v>
          </cell>
          <cell r="J354" t="str">
            <v>أحمد</v>
          </cell>
          <cell r="K354" t="str">
            <v>العرباوي  أحمد</v>
          </cell>
          <cell r="L354" t="str">
            <v>متقاعد</v>
          </cell>
          <cell r="M354" t="str">
            <v>حي214سكن سفيزف</v>
          </cell>
        </row>
        <row r="355">
          <cell r="A355">
            <v>348</v>
          </cell>
          <cell r="B355" t="str">
            <v>براهمي  أمينة</v>
          </cell>
          <cell r="C355" t="str">
            <v>براهمي</v>
          </cell>
          <cell r="D355" t="str">
            <v>أمينة</v>
          </cell>
          <cell r="E355">
            <v>37694</v>
          </cell>
          <cell r="F355" t="str">
            <v>سفيزف</v>
          </cell>
          <cell r="G355" t="str">
            <v>1ج م ع2</v>
          </cell>
          <cell r="H355" t="str">
            <v>خارجية</v>
          </cell>
          <cell r="I355" t="str">
            <v>خ</v>
          </cell>
          <cell r="J355" t="str">
            <v>أحمد</v>
          </cell>
          <cell r="K355" t="str">
            <v>براهمي  أحمد</v>
          </cell>
          <cell r="L355" t="str">
            <v>تاجر</v>
          </cell>
          <cell r="M355" t="str">
            <v>حي 181 سكن سفيزف</v>
          </cell>
        </row>
        <row r="356">
          <cell r="A356">
            <v>349</v>
          </cell>
          <cell r="B356" t="str">
            <v>بن سجاد  وسام</v>
          </cell>
          <cell r="C356" t="str">
            <v>بن سجاد</v>
          </cell>
          <cell r="D356" t="str">
            <v>وسام</v>
          </cell>
          <cell r="E356">
            <v>37627</v>
          </cell>
          <cell r="F356" t="str">
            <v>سفيزف</v>
          </cell>
          <cell r="G356" t="str">
            <v>1ج م ع2</v>
          </cell>
          <cell r="H356" t="str">
            <v>خارجية</v>
          </cell>
          <cell r="I356" t="str">
            <v>خ</v>
          </cell>
          <cell r="J356" t="str">
            <v>زواوي</v>
          </cell>
          <cell r="K356" t="str">
            <v>بن سجاد  زواوي</v>
          </cell>
          <cell r="L356" t="str">
            <v>متقاعد</v>
          </cell>
          <cell r="M356" t="str">
            <v>شارع أوهيبة ميلود سفيزف</v>
          </cell>
        </row>
        <row r="357">
          <cell r="A357">
            <v>350</v>
          </cell>
          <cell r="B357" t="str">
            <v>بودور  زهرة</v>
          </cell>
          <cell r="C357" t="str">
            <v>بودور</v>
          </cell>
          <cell r="D357" t="str">
            <v>زهرة</v>
          </cell>
          <cell r="E357">
            <v>37598</v>
          </cell>
          <cell r="F357" t="str">
            <v>سفيزف</v>
          </cell>
          <cell r="G357" t="str">
            <v>1ج م ع2</v>
          </cell>
          <cell r="H357" t="str">
            <v>خارجية</v>
          </cell>
          <cell r="I357" t="str">
            <v>خ</v>
          </cell>
          <cell r="J357" t="str">
            <v>محمد</v>
          </cell>
          <cell r="K357" t="str">
            <v>بودور  محمد</v>
          </cell>
          <cell r="L357" t="str">
            <v>موظف</v>
          </cell>
          <cell r="M357" t="str">
            <v>حي هواري بومدين سفيزف</v>
          </cell>
        </row>
        <row r="358">
          <cell r="A358">
            <v>351</v>
          </cell>
          <cell r="B358" t="str">
            <v>بوهند   إيمان</v>
          </cell>
          <cell r="C358" t="str">
            <v xml:space="preserve">بوهند </v>
          </cell>
          <cell r="D358" t="str">
            <v>إيمان</v>
          </cell>
          <cell r="E358">
            <v>37661</v>
          </cell>
          <cell r="F358" t="str">
            <v>س بلعباس</v>
          </cell>
          <cell r="G358" t="str">
            <v>1ج م ع2</v>
          </cell>
          <cell r="H358" t="str">
            <v>خارجية</v>
          </cell>
          <cell r="I358" t="str">
            <v>خ</v>
          </cell>
          <cell r="J358" t="str">
            <v>خميستي</v>
          </cell>
          <cell r="K358" t="str">
            <v>بوهند   خميستي</v>
          </cell>
          <cell r="L358" t="str">
            <v>موظف</v>
          </cell>
          <cell r="M358" t="str">
            <v>حي27سكن سفيزف</v>
          </cell>
        </row>
        <row r="359">
          <cell r="A359">
            <v>352</v>
          </cell>
          <cell r="B359" t="str">
            <v>حداد  فاطمة</v>
          </cell>
          <cell r="C359" t="str">
            <v>حداد</v>
          </cell>
          <cell r="D359" t="str">
            <v>فاطمة</v>
          </cell>
          <cell r="E359">
            <v>37383</v>
          </cell>
          <cell r="F359" t="str">
            <v>سفيزف</v>
          </cell>
          <cell r="G359" t="str">
            <v>1ج م ع2</v>
          </cell>
          <cell r="H359" t="str">
            <v>خارجية</v>
          </cell>
          <cell r="I359" t="str">
            <v>خ</v>
          </cell>
          <cell r="J359" t="str">
            <v>محمد</v>
          </cell>
          <cell r="K359" t="str">
            <v>حداد  محمد</v>
          </cell>
          <cell r="L359" t="str">
            <v>موظف</v>
          </cell>
          <cell r="M359" t="str">
            <v>حي كشار صحراوي سفيزف</v>
          </cell>
        </row>
        <row r="360">
          <cell r="A360">
            <v>353</v>
          </cell>
          <cell r="B360" t="str">
            <v>حمادن   إسمهان</v>
          </cell>
          <cell r="C360" t="str">
            <v xml:space="preserve">حمادن </v>
          </cell>
          <cell r="D360" t="str">
            <v>إسمهان</v>
          </cell>
          <cell r="E360">
            <v>37249</v>
          </cell>
          <cell r="F360" t="str">
            <v>سفيزف</v>
          </cell>
          <cell r="G360" t="str">
            <v>1ج م ع2</v>
          </cell>
          <cell r="H360" t="str">
            <v>خارجية</v>
          </cell>
          <cell r="I360" t="str">
            <v>خ</v>
          </cell>
          <cell r="J360" t="str">
            <v>بن جلول</v>
          </cell>
          <cell r="K360" t="str">
            <v>حمادن   بن جلول</v>
          </cell>
          <cell r="L360" t="str">
            <v>موظف</v>
          </cell>
          <cell r="M360" t="str">
            <v>شارع طيبي عبدالقادر سفيزف</v>
          </cell>
        </row>
        <row r="361">
          <cell r="A361">
            <v>354</v>
          </cell>
          <cell r="B361" t="str">
            <v>دلال  صارة</v>
          </cell>
          <cell r="C361" t="str">
            <v>دلال</v>
          </cell>
          <cell r="D361" t="str">
            <v>صارة</v>
          </cell>
          <cell r="E361">
            <v>37202</v>
          </cell>
          <cell r="F361" t="str">
            <v>سفيزف</v>
          </cell>
          <cell r="G361" t="str">
            <v>1ج م ع2</v>
          </cell>
          <cell r="H361" t="str">
            <v>خارجية</v>
          </cell>
          <cell r="I361" t="str">
            <v>خ</v>
          </cell>
          <cell r="J361" t="str">
            <v>مفلح</v>
          </cell>
          <cell r="K361" t="str">
            <v>دلال  مفلح</v>
          </cell>
          <cell r="L361" t="str">
            <v>نجار</v>
          </cell>
          <cell r="M361" t="str">
            <v>حي 506 سكن سفيزف</v>
          </cell>
        </row>
        <row r="362">
          <cell r="A362">
            <v>355</v>
          </cell>
          <cell r="B362" t="str">
            <v>صغير  خديجة</v>
          </cell>
          <cell r="C362" t="str">
            <v>صغير</v>
          </cell>
          <cell r="D362" t="str">
            <v>خديجة</v>
          </cell>
          <cell r="E362">
            <v>37533</v>
          </cell>
          <cell r="F362" t="str">
            <v>س بلعباس</v>
          </cell>
          <cell r="G362" t="str">
            <v>1ج م ع2</v>
          </cell>
          <cell r="H362" t="str">
            <v>خارجية</v>
          </cell>
          <cell r="I362" t="str">
            <v>خ</v>
          </cell>
          <cell r="J362" t="str">
            <v>محمد</v>
          </cell>
          <cell r="K362" t="str">
            <v>صغير  محمد</v>
          </cell>
          <cell r="L362" t="str">
            <v>موظف</v>
          </cell>
          <cell r="M362" t="str">
            <v>شارع عراس رقية سفيزف</v>
          </cell>
        </row>
        <row r="363">
          <cell r="A363">
            <v>356</v>
          </cell>
          <cell r="B363" t="str">
            <v>عدة  شيماء</v>
          </cell>
          <cell r="C363" t="str">
            <v>عدة</v>
          </cell>
          <cell r="D363" t="str">
            <v>شيماء</v>
          </cell>
          <cell r="E363">
            <v>37420</v>
          </cell>
          <cell r="F363" t="str">
            <v>سفيزف</v>
          </cell>
          <cell r="G363" t="str">
            <v>1ج م ع2</v>
          </cell>
          <cell r="H363" t="str">
            <v>خارجية</v>
          </cell>
          <cell r="I363" t="str">
            <v>خ</v>
          </cell>
          <cell r="J363" t="str">
            <v>أحمد</v>
          </cell>
          <cell r="K363" t="str">
            <v>عدة  أحمد</v>
          </cell>
          <cell r="L363" t="str">
            <v>إطفائي</v>
          </cell>
          <cell r="M363" t="str">
            <v>حي 100 سكن سفيزف</v>
          </cell>
        </row>
        <row r="364">
          <cell r="A364">
            <v>357</v>
          </cell>
          <cell r="B364" t="str">
            <v>عثماني  تقوى بثينة</v>
          </cell>
          <cell r="C364" t="str">
            <v>عثماني</v>
          </cell>
          <cell r="D364" t="str">
            <v>تقوى بثينة</v>
          </cell>
          <cell r="E364">
            <v>37514</v>
          </cell>
          <cell r="F364" t="str">
            <v>م.ب.ب</v>
          </cell>
          <cell r="G364" t="str">
            <v>1ج م ع2</v>
          </cell>
          <cell r="H364" t="str">
            <v>خارجية</v>
          </cell>
          <cell r="I364" t="str">
            <v>خ</v>
          </cell>
          <cell r="J364" t="str">
            <v>بوراس</v>
          </cell>
          <cell r="K364" t="str">
            <v>عثماني  بوراس</v>
          </cell>
          <cell r="L364" t="str">
            <v>متقاعد</v>
          </cell>
          <cell r="M364" t="str">
            <v>حي صلاة محمد سفيزف</v>
          </cell>
        </row>
        <row r="365">
          <cell r="A365">
            <v>358</v>
          </cell>
          <cell r="B365" t="str">
            <v>قضاة  أمال</v>
          </cell>
          <cell r="C365" t="str">
            <v>قضاة</v>
          </cell>
          <cell r="D365" t="str">
            <v>أمال</v>
          </cell>
          <cell r="E365">
            <v>37571</v>
          </cell>
          <cell r="F365" t="str">
            <v>س بلعباس</v>
          </cell>
          <cell r="G365" t="str">
            <v>1ج م ع2</v>
          </cell>
          <cell r="H365" t="str">
            <v>خارجية</v>
          </cell>
          <cell r="I365" t="str">
            <v>خ</v>
          </cell>
          <cell r="J365" t="str">
            <v>عبدالقادر</v>
          </cell>
          <cell r="K365" t="str">
            <v>قضاة  عبدالقادر</v>
          </cell>
          <cell r="L365" t="str">
            <v>متوفي</v>
          </cell>
          <cell r="M365" t="str">
            <v>حي60سكن سفيزف</v>
          </cell>
        </row>
        <row r="366">
          <cell r="A366">
            <v>359</v>
          </cell>
          <cell r="B366" t="str">
            <v>كرفاش  خديجة</v>
          </cell>
          <cell r="C366" t="str">
            <v>كرفاش</v>
          </cell>
          <cell r="D366" t="str">
            <v>خديجة</v>
          </cell>
          <cell r="E366">
            <v>37563</v>
          </cell>
          <cell r="F366" t="str">
            <v>وهران</v>
          </cell>
          <cell r="G366" t="str">
            <v>1ج م ع2</v>
          </cell>
          <cell r="H366" t="str">
            <v>خارجية</v>
          </cell>
          <cell r="I366" t="str">
            <v>خ</v>
          </cell>
          <cell r="J366" t="str">
            <v>جيلالي</v>
          </cell>
          <cell r="K366" t="str">
            <v>كرفاش  جيلالي</v>
          </cell>
          <cell r="L366" t="str">
            <v>لا شئ</v>
          </cell>
          <cell r="M366" t="str">
            <v>حي كشار صحراوي سفيزف</v>
          </cell>
        </row>
        <row r="367">
          <cell r="A367">
            <v>360</v>
          </cell>
          <cell r="B367" t="str">
            <v>لعسل  عائشة</v>
          </cell>
          <cell r="C367" t="str">
            <v>لعسل</v>
          </cell>
          <cell r="D367" t="str">
            <v>عائشة</v>
          </cell>
          <cell r="E367">
            <v>37617</v>
          </cell>
          <cell r="F367" t="str">
            <v>سفيزف</v>
          </cell>
          <cell r="G367" t="str">
            <v>1ج م ع2</v>
          </cell>
          <cell r="H367" t="str">
            <v>خارجية</v>
          </cell>
          <cell r="I367" t="str">
            <v>خ</v>
          </cell>
          <cell r="J367" t="str">
            <v>عبدالرحمن</v>
          </cell>
          <cell r="K367" t="str">
            <v>لعسل  عبدالرحمن</v>
          </cell>
          <cell r="L367" t="str">
            <v>معلم قرآن</v>
          </cell>
          <cell r="M367" t="str">
            <v>شارع عمرون أحمد سفيزف</v>
          </cell>
        </row>
        <row r="368">
          <cell r="A368">
            <v>361</v>
          </cell>
          <cell r="B368" t="str">
            <v>مالك  مروة</v>
          </cell>
          <cell r="C368" t="str">
            <v>مالك</v>
          </cell>
          <cell r="D368" t="str">
            <v>مروة</v>
          </cell>
          <cell r="E368">
            <v>36901</v>
          </cell>
          <cell r="F368" t="str">
            <v>سفيزف</v>
          </cell>
          <cell r="G368" t="str">
            <v>1ج م ع2</v>
          </cell>
          <cell r="H368" t="str">
            <v>خارجية</v>
          </cell>
          <cell r="I368" t="str">
            <v>خ</v>
          </cell>
          <cell r="J368" t="str">
            <v>طاهر</v>
          </cell>
          <cell r="K368" t="str">
            <v>مالك  طاهر</v>
          </cell>
          <cell r="L368" t="str">
            <v>متقاعد</v>
          </cell>
          <cell r="M368" t="str">
            <v>حي 32 سكن سفيزف</v>
          </cell>
        </row>
        <row r="369">
          <cell r="A369">
            <v>362</v>
          </cell>
          <cell r="B369" t="str">
            <v>نسناس  آية حنان</v>
          </cell>
          <cell r="C369" t="str">
            <v>نسناس</v>
          </cell>
          <cell r="D369" t="str">
            <v>آية حنان</v>
          </cell>
          <cell r="E369">
            <v>37358</v>
          </cell>
          <cell r="F369" t="str">
            <v>سفيزف</v>
          </cell>
          <cell r="G369" t="str">
            <v>1ج م ع2</v>
          </cell>
          <cell r="H369" t="str">
            <v>خارجية</v>
          </cell>
          <cell r="I369" t="str">
            <v>خ</v>
          </cell>
          <cell r="J369" t="str">
            <v>علال</v>
          </cell>
          <cell r="K369" t="str">
            <v>نسناس  علال</v>
          </cell>
          <cell r="L369" t="str">
            <v>ممرض</v>
          </cell>
          <cell r="M369" t="str">
            <v>طريق بوحنفية سفيزف</v>
          </cell>
        </row>
        <row r="370">
          <cell r="A370">
            <v>363</v>
          </cell>
          <cell r="B370" t="str">
            <v>العسري  ياسين العربي</v>
          </cell>
          <cell r="C370" t="str">
            <v>العسري</v>
          </cell>
          <cell r="D370" t="str">
            <v>ياسين العربي</v>
          </cell>
          <cell r="E370">
            <v>37452</v>
          </cell>
          <cell r="F370" t="str">
            <v>س بلعباس</v>
          </cell>
          <cell r="G370" t="str">
            <v>1ج م ع2</v>
          </cell>
          <cell r="H370" t="str">
            <v>خارجي</v>
          </cell>
          <cell r="I370" t="str">
            <v>خ</v>
          </cell>
          <cell r="J370" t="str">
            <v>ميلود</v>
          </cell>
          <cell r="K370" t="str">
            <v>العسري  ميلود</v>
          </cell>
          <cell r="L370" t="str">
            <v>تاجر</v>
          </cell>
          <cell r="M370" t="str">
            <v>حي 214 سكن سفيزف</v>
          </cell>
        </row>
        <row r="371">
          <cell r="A371">
            <v>364</v>
          </cell>
          <cell r="B371" t="str">
            <v>بن حميميدي  علي عبد الاله</v>
          </cell>
          <cell r="C371" t="str">
            <v>بن حميميدي</v>
          </cell>
          <cell r="D371" t="str">
            <v>علي عبد الاله</v>
          </cell>
          <cell r="E371">
            <v>37503</v>
          </cell>
          <cell r="F371" t="str">
            <v>س بلعباس</v>
          </cell>
          <cell r="G371" t="str">
            <v>1ج م ع2</v>
          </cell>
          <cell r="H371" t="str">
            <v>خارجي</v>
          </cell>
          <cell r="I371" t="str">
            <v>خ</v>
          </cell>
          <cell r="J371" t="str">
            <v>عبدالقادر</v>
          </cell>
          <cell r="K371" t="str">
            <v>بن حميميدي  عبدالقادر</v>
          </cell>
          <cell r="L371" t="str">
            <v>متقاعد</v>
          </cell>
          <cell r="M371" t="str">
            <v>حي بوهند يحي 140سكن سفيزف</v>
          </cell>
        </row>
        <row r="372">
          <cell r="A372">
            <v>365</v>
          </cell>
          <cell r="B372" t="str">
            <v>بورحلة  ياسين</v>
          </cell>
          <cell r="C372" t="str">
            <v>بورحلة</v>
          </cell>
          <cell r="D372" t="str">
            <v>ياسين</v>
          </cell>
          <cell r="E372">
            <v>37689</v>
          </cell>
          <cell r="F372" t="str">
            <v>س بلعباس</v>
          </cell>
          <cell r="G372" t="str">
            <v>1ج م ع2</v>
          </cell>
          <cell r="H372" t="str">
            <v>خارجي</v>
          </cell>
          <cell r="I372" t="str">
            <v>خ</v>
          </cell>
          <cell r="J372" t="str">
            <v>مهاجي</v>
          </cell>
          <cell r="K372" t="str">
            <v>بورحلة  مهاجي</v>
          </cell>
          <cell r="L372" t="str">
            <v>متقاعد</v>
          </cell>
          <cell r="M372" t="str">
            <v>حي بوخنفوس مختار سفيزف</v>
          </cell>
        </row>
        <row r="373">
          <cell r="A373">
            <v>366</v>
          </cell>
          <cell r="B373" t="str">
            <v>ترزي   محمد عبد الحفيظ</v>
          </cell>
          <cell r="C373" t="str">
            <v xml:space="preserve">ترزي </v>
          </cell>
          <cell r="D373" t="str">
            <v>محمد عبد الحفيظ</v>
          </cell>
          <cell r="E373">
            <v>37616</v>
          </cell>
          <cell r="F373" t="str">
            <v>سفيزف</v>
          </cell>
          <cell r="G373" t="str">
            <v>1ج م ع2</v>
          </cell>
          <cell r="H373" t="str">
            <v>خارجي</v>
          </cell>
          <cell r="I373" t="str">
            <v>خ</v>
          </cell>
          <cell r="J373" t="str">
            <v>جيلالي</v>
          </cell>
          <cell r="K373" t="str">
            <v>ترزي   جيلالي</v>
          </cell>
          <cell r="L373" t="str">
            <v>متقاعد</v>
          </cell>
          <cell r="M373" t="str">
            <v>حي 32 سكن سفيزف</v>
          </cell>
        </row>
        <row r="374">
          <cell r="A374">
            <v>367</v>
          </cell>
          <cell r="B374" t="str">
            <v>صحبي  العربي</v>
          </cell>
          <cell r="C374" t="str">
            <v>صحبي</v>
          </cell>
          <cell r="D374" t="str">
            <v>العربي</v>
          </cell>
          <cell r="E374">
            <v>36896</v>
          </cell>
          <cell r="F374" t="str">
            <v>سفيزف</v>
          </cell>
          <cell r="G374" t="str">
            <v>1ج م ع2</v>
          </cell>
          <cell r="H374" t="str">
            <v>خارجي</v>
          </cell>
          <cell r="I374" t="str">
            <v>خ</v>
          </cell>
          <cell r="J374" t="str">
            <v>بومدين</v>
          </cell>
          <cell r="K374" t="str">
            <v>صحبي  بومدين</v>
          </cell>
          <cell r="L374" t="str">
            <v>متقاعد</v>
          </cell>
          <cell r="M374" t="str">
            <v>حي60سكن سفيزف</v>
          </cell>
        </row>
        <row r="375">
          <cell r="A375">
            <v>368</v>
          </cell>
          <cell r="B375" t="str">
            <v>عبوني  عثمان</v>
          </cell>
          <cell r="C375" t="str">
            <v>عبوني</v>
          </cell>
          <cell r="D375" t="str">
            <v>عثمان</v>
          </cell>
          <cell r="E375">
            <v>37115</v>
          </cell>
          <cell r="F375" t="str">
            <v>سفيزف</v>
          </cell>
          <cell r="G375" t="str">
            <v>1ج م ع2</v>
          </cell>
          <cell r="H375" t="str">
            <v>خارجي</v>
          </cell>
          <cell r="I375" t="str">
            <v>خ</v>
          </cell>
          <cell r="J375" t="str">
            <v>ميلود</v>
          </cell>
          <cell r="K375" t="str">
            <v>عبوني  ميلود</v>
          </cell>
          <cell r="L375" t="str">
            <v>فلاح</v>
          </cell>
          <cell r="M375" t="str">
            <v>حي كشار صحراوي سفيزف</v>
          </cell>
        </row>
        <row r="376">
          <cell r="A376">
            <v>369</v>
          </cell>
          <cell r="B376" t="str">
            <v>عويمر   محمد</v>
          </cell>
          <cell r="C376" t="str">
            <v xml:space="preserve">عويمر </v>
          </cell>
          <cell r="D376" t="str">
            <v>محمد</v>
          </cell>
          <cell r="E376">
            <v>37313</v>
          </cell>
          <cell r="F376" t="str">
            <v>سفيزف</v>
          </cell>
          <cell r="G376" t="str">
            <v>1ج م ع2</v>
          </cell>
          <cell r="H376" t="str">
            <v>خارجي</v>
          </cell>
          <cell r="I376" t="str">
            <v>خ</v>
          </cell>
          <cell r="J376" t="str">
            <v>عبدالقادر</v>
          </cell>
          <cell r="K376" t="str">
            <v>عويمر   عبدالقادر</v>
          </cell>
          <cell r="L376" t="str">
            <v>متقاعد</v>
          </cell>
          <cell r="M376" t="str">
            <v>حي 100 سكن سفيزف</v>
          </cell>
        </row>
        <row r="377">
          <cell r="A377">
            <v>370</v>
          </cell>
          <cell r="B377" t="str">
            <v>فسيح  الحسين</v>
          </cell>
          <cell r="C377" t="str">
            <v>فسيح</v>
          </cell>
          <cell r="D377" t="str">
            <v>الحسين</v>
          </cell>
          <cell r="E377">
            <v>37006</v>
          </cell>
          <cell r="F377" t="str">
            <v>سفيزف</v>
          </cell>
          <cell r="G377" t="str">
            <v>1ج م ع2</v>
          </cell>
          <cell r="H377" t="str">
            <v>خارجي</v>
          </cell>
          <cell r="I377" t="str">
            <v>خ</v>
          </cell>
          <cell r="J377" t="str">
            <v>مختار</v>
          </cell>
          <cell r="K377" t="str">
            <v>فسيح  مختار</v>
          </cell>
          <cell r="L377" t="str">
            <v>متقاعد</v>
          </cell>
          <cell r="M377" t="str">
            <v>حي 216 سكن سفيزف</v>
          </cell>
        </row>
        <row r="378">
          <cell r="A378">
            <v>371</v>
          </cell>
          <cell r="B378" t="str">
            <v>مغراوي  زكرياء طاهر</v>
          </cell>
          <cell r="C378" t="str">
            <v>مغراوي</v>
          </cell>
          <cell r="D378" t="str">
            <v>زكرياء طاهر</v>
          </cell>
          <cell r="E378">
            <v>37095</v>
          </cell>
          <cell r="F378" t="str">
            <v>سفيزف</v>
          </cell>
          <cell r="G378" t="str">
            <v>1ج م ع2</v>
          </cell>
          <cell r="H378" t="str">
            <v>خارجي</v>
          </cell>
          <cell r="I378" t="str">
            <v>خ</v>
          </cell>
          <cell r="J378" t="str">
            <v>طاهر</v>
          </cell>
          <cell r="K378" t="str">
            <v>مغراوي  طاهر</v>
          </cell>
          <cell r="L378" t="str">
            <v>متقاعد</v>
          </cell>
          <cell r="M378" t="str">
            <v>12 شارع مصطفى بن بولعيد سفيزف</v>
          </cell>
        </row>
        <row r="379">
          <cell r="A379">
            <v>372</v>
          </cell>
          <cell r="B379" t="str">
            <v>مقام  محمد سيف الدين</v>
          </cell>
          <cell r="C379" t="str">
            <v>مقام</v>
          </cell>
          <cell r="D379" t="str">
            <v>محمد سيف الدين</v>
          </cell>
          <cell r="E379">
            <v>37423</v>
          </cell>
          <cell r="F379" t="str">
            <v>س بلعباس</v>
          </cell>
          <cell r="G379" t="str">
            <v>1ج م ع2</v>
          </cell>
          <cell r="H379" t="str">
            <v>خارجي</v>
          </cell>
          <cell r="I379" t="str">
            <v>خ</v>
          </cell>
          <cell r="J379" t="str">
            <v>بن ديدة</v>
          </cell>
          <cell r="K379" t="str">
            <v>مقام  بن ديدة</v>
          </cell>
          <cell r="L379" t="str">
            <v>حارس</v>
          </cell>
          <cell r="M379" t="str">
            <v>حي 506 سكن سفيزف</v>
          </cell>
        </row>
        <row r="380">
          <cell r="A380">
            <v>373</v>
          </cell>
          <cell r="B380" t="str">
            <v>مهادن   العربي</v>
          </cell>
          <cell r="C380" t="str">
            <v xml:space="preserve">مهادن </v>
          </cell>
          <cell r="D380" t="str">
            <v>العربي</v>
          </cell>
          <cell r="E380">
            <v>37377</v>
          </cell>
          <cell r="F380" t="str">
            <v>سفيزف</v>
          </cell>
          <cell r="G380" t="str">
            <v>1ج م ع2</v>
          </cell>
          <cell r="H380" t="str">
            <v>خارجي</v>
          </cell>
          <cell r="I380" t="str">
            <v>خ</v>
          </cell>
          <cell r="J380" t="str">
            <v>عبدالكريم</v>
          </cell>
          <cell r="K380" t="str">
            <v>مهادن   عبدالكريم</v>
          </cell>
          <cell r="L380" t="str">
            <v>تاجر</v>
          </cell>
          <cell r="M380" t="str">
            <v>شارع بوسطلة لحسن سفيزف</v>
          </cell>
        </row>
        <row r="381">
          <cell r="A381">
            <v>374</v>
          </cell>
          <cell r="B381" t="str">
            <v>ميموني  يوسف</v>
          </cell>
          <cell r="C381" t="str">
            <v>ميموني</v>
          </cell>
          <cell r="D381" t="str">
            <v>يوسف</v>
          </cell>
          <cell r="E381">
            <v>37365</v>
          </cell>
          <cell r="F381" t="str">
            <v>سفيزف</v>
          </cell>
          <cell r="G381" t="str">
            <v>1ج م ع2</v>
          </cell>
          <cell r="H381" t="str">
            <v>خارجي</v>
          </cell>
          <cell r="I381" t="str">
            <v>خ</v>
          </cell>
          <cell r="J381" t="str">
            <v>بن عومر</v>
          </cell>
          <cell r="K381" t="str">
            <v>ميموني  بن عومر</v>
          </cell>
          <cell r="L381" t="str">
            <v>متقاعد</v>
          </cell>
          <cell r="M381" t="str">
            <v>حي هواري بومدين سفيزف</v>
          </cell>
        </row>
        <row r="382">
          <cell r="A382">
            <v>375</v>
          </cell>
          <cell r="B382" t="str">
            <v>بلاوي  خديجة</v>
          </cell>
          <cell r="C382" t="str">
            <v>بلاوي</v>
          </cell>
          <cell r="D382" t="str">
            <v>خديجة</v>
          </cell>
          <cell r="E382">
            <v>37435</v>
          </cell>
          <cell r="F382" t="str">
            <v>س بلعباس</v>
          </cell>
          <cell r="G382" t="str">
            <v>1ج م ع3</v>
          </cell>
          <cell r="H382" t="str">
            <v>داخلية</v>
          </cell>
          <cell r="I382" t="str">
            <v>د</v>
          </cell>
          <cell r="J382" t="str">
            <v>جلول</v>
          </cell>
          <cell r="K382" t="str">
            <v>بلاوي  جلول</v>
          </cell>
          <cell r="L382" t="str">
            <v>فلاح</v>
          </cell>
          <cell r="M382" t="str">
            <v>وادالمبطوح</v>
          </cell>
          <cell r="N382" t="str">
            <v>شعيب عبدالقادر</v>
          </cell>
          <cell r="O382" t="str">
            <v>حي كشار صحراوي سفيزف</v>
          </cell>
        </row>
        <row r="383">
          <cell r="A383">
            <v>376</v>
          </cell>
          <cell r="B383" t="str">
            <v>عبد القادر رياشي  هيبة</v>
          </cell>
          <cell r="C383" t="str">
            <v>عبد القادر رياشي</v>
          </cell>
          <cell r="D383" t="str">
            <v>هيبة</v>
          </cell>
          <cell r="E383">
            <v>37550</v>
          </cell>
          <cell r="F383" t="str">
            <v>سيق</v>
          </cell>
          <cell r="G383" t="str">
            <v>1ج م ع3</v>
          </cell>
          <cell r="H383" t="str">
            <v>داخلية</v>
          </cell>
          <cell r="I383" t="str">
            <v>د</v>
          </cell>
          <cell r="J383" t="str">
            <v>ميلود</v>
          </cell>
          <cell r="K383" t="str">
            <v>عبد القادر رياشي  ميلود</v>
          </cell>
          <cell r="L383" t="str">
            <v>متقاعد</v>
          </cell>
          <cell r="M383" t="str">
            <v>بوجبهة البرج</v>
          </cell>
          <cell r="N383" t="str">
            <v>دواجي بلاحة</v>
          </cell>
          <cell r="O383" t="str">
            <v>حي 20 سكن سفيزف</v>
          </cell>
        </row>
        <row r="384">
          <cell r="A384">
            <v>377</v>
          </cell>
          <cell r="B384" t="str">
            <v>العرابي  سمية</v>
          </cell>
          <cell r="C384" t="str">
            <v>العرابي</v>
          </cell>
          <cell r="D384" t="str">
            <v>سمية</v>
          </cell>
          <cell r="E384">
            <v>37573</v>
          </cell>
          <cell r="F384" t="str">
            <v>سفيزف</v>
          </cell>
          <cell r="G384" t="str">
            <v>1ج م ع3</v>
          </cell>
          <cell r="H384" t="str">
            <v>ن داخلية</v>
          </cell>
          <cell r="I384" t="str">
            <v>ن/د</v>
          </cell>
          <cell r="J384" t="str">
            <v>رمضان</v>
          </cell>
          <cell r="K384" t="str">
            <v>العرابي  رمضان</v>
          </cell>
          <cell r="L384" t="str">
            <v>إمام</v>
          </cell>
          <cell r="M384" t="str">
            <v>بني تالة</v>
          </cell>
        </row>
        <row r="385">
          <cell r="A385">
            <v>378</v>
          </cell>
          <cell r="B385" t="str">
            <v>بوشتة  أسماء</v>
          </cell>
          <cell r="C385" t="str">
            <v>بوشتة</v>
          </cell>
          <cell r="D385" t="str">
            <v>أسماء</v>
          </cell>
          <cell r="E385">
            <v>37687</v>
          </cell>
          <cell r="F385" t="str">
            <v>سفيزف</v>
          </cell>
          <cell r="G385" t="str">
            <v>1ج م ع3</v>
          </cell>
          <cell r="H385" t="str">
            <v>ن داخلية</v>
          </cell>
          <cell r="I385" t="str">
            <v>ن/د</v>
          </cell>
          <cell r="J385" t="str">
            <v>أحمد</v>
          </cell>
          <cell r="K385" t="str">
            <v>بوشتة  أحمد</v>
          </cell>
          <cell r="L385" t="str">
            <v>فلاح</v>
          </cell>
          <cell r="M385" t="str">
            <v>قر ية بلبوش</v>
          </cell>
        </row>
        <row r="386">
          <cell r="A386">
            <v>379</v>
          </cell>
          <cell r="B386" t="str">
            <v>شريفي  نجاح</v>
          </cell>
          <cell r="C386" t="str">
            <v>شريفي</v>
          </cell>
          <cell r="D386" t="str">
            <v>نجاح</v>
          </cell>
          <cell r="E386">
            <v>37635</v>
          </cell>
          <cell r="F386" t="str">
            <v>سيق</v>
          </cell>
          <cell r="G386" t="str">
            <v>1ج م ع3</v>
          </cell>
          <cell r="H386" t="str">
            <v>ن داخلية</v>
          </cell>
          <cell r="I386" t="str">
            <v>ن/د</v>
          </cell>
          <cell r="J386" t="str">
            <v>أحمد</v>
          </cell>
          <cell r="K386" t="str">
            <v>شريفي  أحمد</v>
          </cell>
          <cell r="L386" t="str">
            <v>بناء</v>
          </cell>
          <cell r="M386" t="str">
            <v>عين آدن</v>
          </cell>
        </row>
        <row r="387">
          <cell r="A387">
            <v>380</v>
          </cell>
          <cell r="B387" t="str">
            <v>عدوني  أسماء</v>
          </cell>
          <cell r="C387" t="str">
            <v>عدوني</v>
          </cell>
          <cell r="D387" t="str">
            <v>أسماء</v>
          </cell>
          <cell r="E387">
            <v>37442</v>
          </cell>
          <cell r="F387" t="str">
            <v>سفيزف</v>
          </cell>
          <cell r="G387" t="str">
            <v>1ج م ع3</v>
          </cell>
          <cell r="H387" t="str">
            <v>ن داخلية</v>
          </cell>
          <cell r="I387" t="str">
            <v>ن/د</v>
          </cell>
          <cell r="J387" t="str">
            <v>أحمد</v>
          </cell>
          <cell r="K387" t="str">
            <v>عدوني  أحمد</v>
          </cell>
          <cell r="L387" t="str">
            <v>بناء</v>
          </cell>
          <cell r="M387" t="str">
            <v>عين آدن</v>
          </cell>
        </row>
        <row r="388">
          <cell r="A388">
            <v>381</v>
          </cell>
          <cell r="B388" t="str">
            <v>ملاتي   حليمة</v>
          </cell>
          <cell r="C388" t="str">
            <v xml:space="preserve">ملاتي </v>
          </cell>
          <cell r="D388" t="str">
            <v>حليمة</v>
          </cell>
          <cell r="E388">
            <v>37149</v>
          </cell>
          <cell r="F388" t="str">
            <v>س بلعباس</v>
          </cell>
          <cell r="G388" t="str">
            <v>1ج م ع3</v>
          </cell>
          <cell r="H388" t="str">
            <v>ن داخلية</v>
          </cell>
          <cell r="I388" t="str">
            <v>ن/د</v>
          </cell>
          <cell r="J388" t="str">
            <v>محمد</v>
          </cell>
          <cell r="K388" t="str">
            <v>ملاتي   محمد</v>
          </cell>
          <cell r="L388" t="str">
            <v>فلاح</v>
          </cell>
          <cell r="M388" t="str">
            <v>بني تالة</v>
          </cell>
        </row>
        <row r="389">
          <cell r="A389">
            <v>382</v>
          </cell>
          <cell r="B389" t="str">
            <v>أمزيان  يسرى ابتهال</v>
          </cell>
          <cell r="C389" t="str">
            <v>أمزيان</v>
          </cell>
          <cell r="D389" t="str">
            <v>يسرى ابتهال</v>
          </cell>
          <cell r="E389">
            <v>37263</v>
          </cell>
          <cell r="F389" t="str">
            <v>سفيزف</v>
          </cell>
          <cell r="G389" t="str">
            <v>1ج م ع3</v>
          </cell>
          <cell r="H389" t="str">
            <v>خارجية</v>
          </cell>
          <cell r="I389" t="str">
            <v>خ</v>
          </cell>
          <cell r="J389" t="str">
            <v>صحبي</v>
          </cell>
          <cell r="K389" t="str">
            <v>أمزيان  صحبي</v>
          </cell>
          <cell r="L389" t="str">
            <v>لا شئ</v>
          </cell>
          <cell r="M389" t="str">
            <v>حي نواري بن عبدالله سفيزف</v>
          </cell>
        </row>
        <row r="390">
          <cell r="A390">
            <v>383</v>
          </cell>
          <cell r="B390" t="str">
            <v>بالسيني  غادة إشراق</v>
          </cell>
          <cell r="C390" t="str">
            <v>بالسيني</v>
          </cell>
          <cell r="D390" t="str">
            <v>غادة إشراق</v>
          </cell>
          <cell r="E390">
            <v>37360</v>
          </cell>
          <cell r="F390" t="str">
            <v>سفيزف</v>
          </cell>
          <cell r="G390" t="str">
            <v>1ج م ع3</v>
          </cell>
          <cell r="H390" t="str">
            <v>خارجية</v>
          </cell>
          <cell r="I390" t="str">
            <v>خ</v>
          </cell>
          <cell r="J390" t="str">
            <v>يحي</v>
          </cell>
          <cell r="K390" t="str">
            <v>بالسيني  يحي</v>
          </cell>
          <cell r="L390" t="str">
            <v>متقاعد</v>
          </cell>
          <cell r="M390" t="str">
            <v>حي السوريكور سفيزف</v>
          </cell>
        </row>
        <row r="391">
          <cell r="A391">
            <v>384</v>
          </cell>
          <cell r="B391" t="str">
            <v>بن شيخ  مروة</v>
          </cell>
          <cell r="C391" t="str">
            <v>بن شيخ</v>
          </cell>
          <cell r="D391" t="str">
            <v>مروة</v>
          </cell>
          <cell r="E391">
            <v>36909</v>
          </cell>
          <cell r="F391" t="str">
            <v>سفيزف</v>
          </cell>
          <cell r="G391" t="str">
            <v>1ج م ع3</v>
          </cell>
          <cell r="H391" t="str">
            <v>خارجية</v>
          </cell>
          <cell r="I391" t="str">
            <v>خ</v>
          </cell>
          <cell r="J391" t="str">
            <v>سنوسي</v>
          </cell>
          <cell r="K391" t="str">
            <v>بن شيخ  سنوسي</v>
          </cell>
          <cell r="L391" t="str">
            <v>متقاعد</v>
          </cell>
          <cell r="M391" t="str">
            <v>حي كشار صحراوي سفيزف</v>
          </cell>
        </row>
        <row r="392">
          <cell r="A392">
            <v>385</v>
          </cell>
          <cell r="B392" t="str">
            <v>بوداود  هاجر</v>
          </cell>
          <cell r="C392" t="str">
            <v>بوداود</v>
          </cell>
          <cell r="D392" t="str">
            <v>هاجر</v>
          </cell>
          <cell r="E392">
            <v>37548</v>
          </cell>
          <cell r="F392" t="str">
            <v>سفيزف</v>
          </cell>
          <cell r="G392" t="str">
            <v>1ج م ع3</v>
          </cell>
          <cell r="H392" t="str">
            <v>خارجية</v>
          </cell>
          <cell r="I392" t="str">
            <v>خ</v>
          </cell>
          <cell r="J392" t="str">
            <v>علي</v>
          </cell>
          <cell r="K392" t="str">
            <v>بوداود  علي</v>
          </cell>
          <cell r="L392" t="str">
            <v>مدير</v>
          </cell>
          <cell r="M392" t="str">
            <v>حي 506 سكن سفيزف</v>
          </cell>
        </row>
        <row r="393">
          <cell r="A393">
            <v>386</v>
          </cell>
          <cell r="B393" t="str">
            <v>بوديسة   سهام</v>
          </cell>
          <cell r="C393" t="str">
            <v xml:space="preserve">بوديسة </v>
          </cell>
          <cell r="D393" t="str">
            <v>سهام</v>
          </cell>
          <cell r="E393">
            <v>37527</v>
          </cell>
          <cell r="F393" t="str">
            <v>سفيزف</v>
          </cell>
          <cell r="G393" t="str">
            <v>1ج م ع3</v>
          </cell>
          <cell r="H393" t="str">
            <v>خارجية</v>
          </cell>
          <cell r="I393" t="str">
            <v>خ</v>
          </cell>
          <cell r="J393" t="str">
            <v>محمد</v>
          </cell>
          <cell r="K393" t="str">
            <v>بوديسة   محمد</v>
          </cell>
          <cell r="L393" t="str">
            <v>موظف</v>
          </cell>
          <cell r="M393" t="str">
            <v>حي 181 سكن سفيزف</v>
          </cell>
        </row>
        <row r="394">
          <cell r="A394">
            <v>387</v>
          </cell>
          <cell r="B394" t="str">
            <v>بورزيق   هبة الله ندى</v>
          </cell>
          <cell r="C394" t="str">
            <v xml:space="preserve">بورزيق </v>
          </cell>
          <cell r="D394" t="str">
            <v>هبة الله ندى</v>
          </cell>
          <cell r="E394">
            <v>37690</v>
          </cell>
          <cell r="F394" t="str">
            <v>س بلعباس</v>
          </cell>
          <cell r="G394" t="str">
            <v>1ج م ع3</v>
          </cell>
          <cell r="H394" t="str">
            <v>خارجية</v>
          </cell>
          <cell r="I394" t="str">
            <v>خ</v>
          </cell>
          <cell r="J394" t="str">
            <v>الحبيب</v>
          </cell>
          <cell r="K394" t="str">
            <v>بورزيق   الحبيب</v>
          </cell>
          <cell r="L394" t="str">
            <v>لا شئ</v>
          </cell>
          <cell r="M394" t="str">
            <v>حي نواري عبدالله سفيزف</v>
          </cell>
        </row>
        <row r="395">
          <cell r="A395">
            <v>388</v>
          </cell>
          <cell r="B395" t="str">
            <v>بوهند   ندى</v>
          </cell>
          <cell r="C395" t="str">
            <v xml:space="preserve">بوهند </v>
          </cell>
          <cell r="D395" t="str">
            <v>ندى</v>
          </cell>
          <cell r="E395">
            <v>37432</v>
          </cell>
          <cell r="F395" t="str">
            <v>سفيزف</v>
          </cell>
          <cell r="G395" t="str">
            <v>1ج م ع3</v>
          </cell>
          <cell r="H395" t="str">
            <v>خارجية</v>
          </cell>
          <cell r="I395" t="str">
            <v>خ</v>
          </cell>
          <cell r="J395" t="str">
            <v>أحمد</v>
          </cell>
          <cell r="K395" t="str">
            <v>بوهند   أحمد</v>
          </cell>
          <cell r="L395" t="str">
            <v>متقاعد</v>
          </cell>
          <cell r="M395" t="str">
            <v>حي 117 سكن سفيزف</v>
          </cell>
        </row>
        <row r="396">
          <cell r="A396">
            <v>389</v>
          </cell>
          <cell r="B396" t="str">
            <v>درار  كوثر</v>
          </cell>
          <cell r="C396" t="str">
            <v>درار</v>
          </cell>
          <cell r="D396" t="str">
            <v>كوثر</v>
          </cell>
          <cell r="E396">
            <v>37285</v>
          </cell>
          <cell r="F396" t="str">
            <v>سفيزف</v>
          </cell>
          <cell r="G396" t="str">
            <v>1ج م ع3</v>
          </cell>
          <cell r="H396" t="str">
            <v>خارجية</v>
          </cell>
          <cell r="I396" t="str">
            <v>خ</v>
          </cell>
          <cell r="J396" t="str">
            <v>عبدالقادر</v>
          </cell>
          <cell r="K396" t="str">
            <v>درار  عبدالقادر</v>
          </cell>
          <cell r="L396" t="str">
            <v>متقاعد</v>
          </cell>
          <cell r="M396" t="str">
            <v>20 شارع الإخوة معطى الله سفيزف</v>
          </cell>
        </row>
        <row r="397">
          <cell r="A397">
            <v>390</v>
          </cell>
          <cell r="B397" t="str">
            <v>سوقمي  إيمان هوارية</v>
          </cell>
          <cell r="C397" t="str">
            <v>سوقمي</v>
          </cell>
          <cell r="D397" t="str">
            <v>إيمان هوارية</v>
          </cell>
          <cell r="E397">
            <v>37244</v>
          </cell>
          <cell r="F397" t="str">
            <v>سفيزف</v>
          </cell>
          <cell r="G397" t="str">
            <v>1ج م ع3</v>
          </cell>
          <cell r="H397" t="str">
            <v>خارجية</v>
          </cell>
          <cell r="I397" t="str">
            <v>خ</v>
          </cell>
          <cell r="J397" t="str">
            <v>ميلود</v>
          </cell>
          <cell r="K397" t="str">
            <v>سوقمي  ميلود</v>
          </cell>
          <cell r="L397" t="str">
            <v>متقاعد</v>
          </cell>
          <cell r="M397" t="str">
            <v>حي27 سكن سفيزف</v>
          </cell>
        </row>
        <row r="398">
          <cell r="A398">
            <v>391</v>
          </cell>
          <cell r="B398" t="str">
            <v>طيبي   دنيا</v>
          </cell>
          <cell r="C398" t="str">
            <v xml:space="preserve">طيبي </v>
          </cell>
          <cell r="D398" t="str">
            <v>دنيا</v>
          </cell>
          <cell r="E398">
            <v>37237</v>
          </cell>
          <cell r="F398" t="str">
            <v>سفيزف</v>
          </cell>
          <cell r="G398" t="str">
            <v>1ج م ع3</v>
          </cell>
          <cell r="H398" t="str">
            <v>خارجية</v>
          </cell>
          <cell r="I398" t="str">
            <v>خ</v>
          </cell>
          <cell r="J398" t="str">
            <v>محمد</v>
          </cell>
          <cell r="K398" t="str">
            <v>طيبي   محمد</v>
          </cell>
          <cell r="L398" t="str">
            <v>متقاعد</v>
          </cell>
          <cell r="M398" t="str">
            <v>شارع بنابي ع القادر سفيزف</v>
          </cell>
        </row>
        <row r="399">
          <cell r="A399">
            <v>392</v>
          </cell>
          <cell r="B399" t="str">
            <v>طيبي  نورهان</v>
          </cell>
          <cell r="C399" t="str">
            <v>طيبي</v>
          </cell>
          <cell r="D399" t="str">
            <v>نورهان</v>
          </cell>
          <cell r="E399">
            <v>37499</v>
          </cell>
          <cell r="F399" t="str">
            <v>س بلعباس</v>
          </cell>
          <cell r="G399" t="str">
            <v>1ج م ع3</v>
          </cell>
          <cell r="H399" t="str">
            <v>خارجية</v>
          </cell>
          <cell r="I399" t="str">
            <v>خ</v>
          </cell>
          <cell r="J399" t="str">
            <v>أحمد</v>
          </cell>
          <cell r="K399" t="str">
            <v>طيبي  أحمد</v>
          </cell>
          <cell r="L399" t="str">
            <v>لا شئ</v>
          </cell>
          <cell r="M399" t="str">
            <v>شارع عمرون أحمد سفيزف</v>
          </cell>
        </row>
        <row r="400">
          <cell r="A400">
            <v>393</v>
          </cell>
          <cell r="B400" t="str">
            <v>فرقوق  خيرة وفاء</v>
          </cell>
          <cell r="C400" t="str">
            <v>فرقوق</v>
          </cell>
          <cell r="D400" t="str">
            <v>خيرة وفاء</v>
          </cell>
          <cell r="E400">
            <v>37391</v>
          </cell>
          <cell r="F400" t="str">
            <v>عين أفكان</v>
          </cell>
          <cell r="G400" t="str">
            <v>1ج م ع3</v>
          </cell>
          <cell r="H400" t="str">
            <v>خارجية</v>
          </cell>
          <cell r="I400" t="str">
            <v>خ</v>
          </cell>
          <cell r="J400" t="str">
            <v>الحبيب</v>
          </cell>
          <cell r="K400" t="str">
            <v>فرقوق  الحبيب</v>
          </cell>
          <cell r="L400" t="str">
            <v>موظف</v>
          </cell>
          <cell r="M400" t="str">
            <v>حي طيبي عبدالقادر عمارة B  سفيزف</v>
          </cell>
        </row>
        <row r="401">
          <cell r="A401">
            <v>394</v>
          </cell>
          <cell r="B401" t="str">
            <v>كريم  مروة</v>
          </cell>
          <cell r="C401" t="str">
            <v>كريم</v>
          </cell>
          <cell r="D401" t="str">
            <v>مروة</v>
          </cell>
          <cell r="E401">
            <v>37315</v>
          </cell>
          <cell r="F401" t="str">
            <v>سفيزف</v>
          </cell>
          <cell r="G401" t="str">
            <v>1ج م ع3</v>
          </cell>
          <cell r="H401" t="str">
            <v>خارجية</v>
          </cell>
          <cell r="I401" t="str">
            <v>خ</v>
          </cell>
          <cell r="J401" t="str">
            <v>يحي</v>
          </cell>
          <cell r="K401" t="str">
            <v>كريم  يحي</v>
          </cell>
          <cell r="L401" t="str">
            <v>متقاعد</v>
          </cell>
          <cell r="M401" t="str">
            <v>حي 506 سكن سفيزف</v>
          </cell>
        </row>
        <row r="402">
          <cell r="A402">
            <v>395</v>
          </cell>
          <cell r="B402" t="str">
            <v>كشار  سناء</v>
          </cell>
          <cell r="C402" t="str">
            <v>كشار</v>
          </cell>
          <cell r="D402" t="str">
            <v>سناء</v>
          </cell>
          <cell r="E402">
            <v>37711</v>
          </cell>
          <cell r="F402" t="str">
            <v>سفيزف</v>
          </cell>
          <cell r="G402" t="str">
            <v>1ج م ع3</v>
          </cell>
          <cell r="H402" t="str">
            <v>خارجية</v>
          </cell>
          <cell r="I402" t="str">
            <v>خ</v>
          </cell>
          <cell r="J402" t="str">
            <v>بوجمعة</v>
          </cell>
          <cell r="K402" t="str">
            <v>كشار  بوجمعة</v>
          </cell>
          <cell r="L402" t="str">
            <v>متقاعد</v>
          </cell>
          <cell r="M402" t="str">
            <v>حي156سكن سفيزف</v>
          </cell>
        </row>
        <row r="403">
          <cell r="A403">
            <v>396</v>
          </cell>
          <cell r="B403" t="str">
            <v>نحال   أسماء</v>
          </cell>
          <cell r="C403" t="str">
            <v xml:space="preserve">نحال </v>
          </cell>
          <cell r="D403" t="str">
            <v>أسماء</v>
          </cell>
          <cell r="E403">
            <v>37650</v>
          </cell>
          <cell r="F403" t="str">
            <v>سفيزف</v>
          </cell>
          <cell r="G403" t="str">
            <v>1ج م ع3</v>
          </cell>
          <cell r="H403" t="str">
            <v>خارجية</v>
          </cell>
          <cell r="I403" t="str">
            <v>خ</v>
          </cell>
          <cell r="J403" t="str">
            <v>لخضر</v>
          </cell>
          <cell r="K403" t="str">
            <v>نحال   لخضر</v>
          </cell>
          <cell r="L403" t="str">
            <v>فلاح</v>
          </cell>
          <cell r="M403" t="str">
            <v>شارع بنابي ع القادر سفيزف</v>
          </cell>
        </row>
        <row r="404">
          <cell r="A404">
            <v>397</v>
          </cell>
          <cell r="B404" t="str">
            <v>نوالة  خلود شهيناز</v>
          </cell>
          <cell r="C404" t="str">
            <v>نوالة</v>
          </cell>
          <cell r="D404" t="str">
            <v>خلود شهيناز</v>
          </cell>
          <cell r="E404">
            <v>37364</v>
          </cell>
          <cell r="F404" t="str">
            <v>س بلعباس</v>
          </cell>
          <cell r="G404" t="str">
            <v>1ج م ع3</v>
          </cell>
          <cell r="H404" t="str">
            <v>خارجية</v>
          </cell>
          <cell r="I404" t="str">
            <v>خ</v>
          </cell>
          <cell r="J404" t="str">
            <v>مصطفى</v>
          </cell>
          <cell r="K404" t="str">
            <v>نوالة  مصطفى</v>
          </cell>
          <cell r="L404" t="str">
            <v>سائق</v>
          </cell>
          <cell r="M404" t="str">
            <v>06 حي نواري بن عبدالله سفيزف</v>
          </cell>
        </row>
        <row r="405">
          <cell r="A405">
            <v>398</v>
          </cell>
          <cell r="B405" t="str">
            <v>هلال  ليلى</v>
          </cell>
          <cell r="C405" t="str">
            <v>هلال</v>
          </cell>
          <cell r="D405" t="str">
            <v>ليلى</v>
          </cell>
          <cell r="E405">
            <v>37300</v>
          </cell>
          <cell r="F405" t="str">
            <v>سفيزف</v>
          </cell>
          <cell r="G405" t="str">
            <v>1ج م ع3</v>
          </cell>
          <cell r="H405" t="str">
            <v>خارجية</v>
          </cell>
          <cell r="I405" t="str">
            <v>خ</v>
          </cell>
          <cell r="J405" t="str">
            <v>عبدالقادر</v>
          </cell>
          <cell r="K405" t="str">
            <v>هلال  عبدالقادر</v>
          </cell>
          <cell r="L405" t="str">
            <v>لحام</v>
          </cell>
          <cell r="M405" t="str">
            <v>حي 216سكن سفيزف</v>
          </cell>
        </row>
        <row r="406">
          <cell r="A406">
            <v>399</v>
          </cell>
          <cell r="B406" t="str">
            <v>العسري  آدم</v>
          </cell>
          <cell r="C406" t="str">
            <v>العسري</v>
          </cell>
          <cell r="D406" t="str">
            <v>آدم</v>
          </cell>
          <cell r="E406">
            <v>36699</v>
          </cell>
          <cell r="F406" t="str">
            <v>سفيزف</v>
          </cell>
          <cell r="G406" t="str">
            <v>1ج م ع3</v>
          </cell>
          <cell r="H406" t="str">
            <v>خارجي</v>
          </cell>
          <cell r="I406" t="str">
            <v>خ</v>
          </cell>
          <cell r="J406" t="str">
            <v>أحمد</v>
          </cell>
          <cell r="K406" t="str">
            <v>العسري  أحمد</v>
          </cell>
          <cell r="L406" t="str">
            <v>تاجر</v>
          </cell>
          <cell r="M406" t="str">
            <v>05 شارع مدوني عبدالقادر سفيزف</v>
          </cell>
        </row>
        <row r="407">
          <cell r="A407">
            <v>400</v>
          </cell>
          <cell r="B407" t="str">
            <v>بن حميميدي  عبد الوهاب</v>
          </cell>
          <cell r="C407" t="str">
            <v>بن حميميدي</v>
          </cell>
          <cell r="D407" t="str">
            <v>عبد الوهاب</v>
          </cell>
          <cell r="E407">
            <v>37556</v>
          </cell>
          <cell r="F407" t="str">
            <v>سفيزف</v>
          </cell>
          <cell r="G407" t="str">
            <v>1ج م ع3</v>
          </cell>
          <cell r="H407" t="str">
            <v>خارجي</v>
          </cell>
          <cell r="I407" t="str">
            <v>خ</v>
          </cell>
          <cell r="J407" t="str">
            <v>جلول</v>
          </cell>
          <cell r="K407" t="str">
            <v>بن حميميدي  جلول</v>
          </cell>
          <cell r="L407" t="str">
            <v>متقاعد</v>
          </cell>
          <cell r="M407" t="str">
            <v>شارع حداد قادة سفيزف</v>
          </cell>
        </row>
        <row r="408">
          <cell r="A408">
            <v>401</v>
          </cell>
          <cell r="B408" t="str">
            <v>بن سجاد  ياسر محمد الأمين</v>
          </cell>
          <cell r="C408" t="str">
            <v>بن سجاد</v>
          </cell>
          <cell r="D408" t="str">
            <v>ياسر محمد الأمين</v>
          </cell>
          <cell r="E408">
            <v>37499</v>
          </cell>
          <cell r="F408" t="str">
            <v>سفيزف</v>
          </cell>
          <cell r="G408" t="str">
            <v>1ج م ع3</v>
          </cell>
          <cell r="H408" t="str">
            <v>خارجي</v>
          </cell>
          <cell r="I408" t="str">
            <v>خ</v>
          </cell>
          <cell r="J408" t="str">
            <v>حبيب</v>
          </cell>
          <cell r="K408" t="str">
            <v>بن سجاد  حبيب</v>
          </cell>
          <cell r="L408" t="str">
            <v>عامل</v>
          </cell>
          <cell r="M408" t="str">
            <v>06 حي 50 سكن سفيزف</v>
          </cell>
        </row>
        <row r="409">
          <cell r="A409">
            <v>402</v>
          </cell>
          <cell r="B409" t="str">
            <v>بودينار  ابراهيم</v>
          </cell>
          <cell r="C409" t="str">
            <v>بودينار</v>
          </cell>
          <cell r="D409" t="str">
            <v>ابراهيم</v>
          </cell>
          <cell r="E409">
            <v>37504</v>
          </cell>
          <cell r="F409" t="str">
            <v>سفيزف</v>
          </cell>
          <cell r="G409" t="str">
            <v>1ج م ع3</v>
          </cell>
          <cell r="H409" t="str">
            <v>خارجي</v>
          </cell>
          <cell r="I409" t="str">
            <v>خ</v>
          </cell>
          <cell r="J409" t="str">
            <v>قويدر</v>
          </cell>
          <cell r="K409" t="str">
            <v>بودينار  قويدر</v>
          </cell>
          <cell r="L409" t="str">
            <v>متقاعد</v>
          </cell>
          <cell r="M409" t="str">
            <v>شارع سي بومدين سفيزف</v>
          </cell>
        </row>
        <row r="410">
          <cell r="A410">
            <v>403</v>
          </cell>
          <cell r="B410" t="str">
            <v>ثامري  محمد الأمين</v>
          </cell>
          <cell r="C410" t="str">
            <v>ثامري</v>
          </cell>
          <cell r="D410" t="str">
            <v>محمد الأمين</v>
          </cell>
          <cell r="E410">
            <v>37322</v>
          </cell>
          <cell r="F410" t="str">
            <v>س بلعباس</v>
          </cell>
          <cell r="G410" t="str">
            <v>1ج م ع3</v>
          </cell>
          <cell r="H410" t="str">
            <v>خارجي</v>
          </cell>
          <cell r="I410" t="str">
            <v>خ</v>
          </cell>
          <cell r="J410" t="str">
            <v>خروبي</v>
          </cell>
          <cell r="K410" t="str">
            <v>ثامري  خروبي</v>
          </cell>
          <cell r="L410" t="str">
            <v>موظف</v>
          </cell>
          <cell r="M410" t="str">
            <v>حي بوخنفوس مختار سفيزف</v>
          </cell>
        </row>
        <row r="411">
          <cell r="A411">
            <v>404</v>
          </cell>
          <cell r="B411" t="str">
            <v>دريدك  مهاجي</v>
          </cell>
          <cell r="C411" t="str">
            <v>دريدك</v>
          </cell>
          <cell r="D411" t="str">
            <v>مهاجي</v>
          </cell>
          <cell r="E411">
            <v>36300</v>
          </cell>
          <cell r="F411" t="str">
            <v>سفيزف</v>
          </cell>
          <cell r="G411" t="str">
            <v>1ج م ع3</v>
          </cell>
          <cell r="H411" t="str">
            <v>خارجي</v>
          </cell>
          <cell r="I411" t="str">
            <v>خ</v>
          </cell>
          <cell r="J411" t="str">
            <v>قدور</v>
          </cell>
          <cell r="K411" t="str">
            <v>دريدك  قدور</v>
          </cell>
          <cell r="L411" t="str">
            <v>لاشيئ</v>
          </cell>
          <cell r="M411" t="str">
            <v>حي مصطفى بن بولعيد سفيزف</v>
          </cell>
        </row>
        <row r="412">
          <cell r="A412">
            <v>405</v>
          </cell>
          <cell r="B412" t="str">
            <v>رمدوم  محمد إلياس</v>
          </cell>
          <cell r="C412" t="str">
            <v>رمدوم</v>
          </cell>
          <cell r="D412" t="str">
            <v>محمد إلياس</v>
          </cell>
          <cell r="E412">
            <v>37195</v>
          </cell>
          <cell r="F412" t="str">
            <v>س بلعباس</v>
          </cell>
          <cell r="G412" t="str">
            <v>1ج م ع3</v>
          </cell>
          <cell r="H412" t="str">
            <v>خارجي</v>
          </cell>
          <cell r="I412" t="str">
            <v>خ</v>
          </cell>
          <cell r="J412" t="str">
            <v>قدور</v>
          </cell>
          <cell r="K412" t="str">
            <v>رمدوم  قدور</v>
          </cell>
          <cell r="L412" t="str">
            <v>متقاعد</v>
          </cell>
          <cell r="M412" t="str">
            <v>حي السوريكور سفيزف</v>
          </cell>
        </row>
        <row r="413">
          <cell r="A413">
            <v>406</v>
          </cell>
          <cell r="B413" t="str">
            <v>شادلي  هشام أسامة</v>
          </cell>
          <cell r="C413" t="str">
            <v>شادلي</v>
          </cell>
          <cell r="D413" t="str">
            <v>هشام أسامة</v>
          </cell>
          <cell r="E413">
            <v>37511</v>
          </cell>
          <cell r="F413" t="str">
            <v>سفيزف</v>
          </cell>
          <cell r="G413" t="str">
            <v>1ج م ع3</v>
          </cell>
          <cell r="H413" t="str">
            <v>خارجي</v>
          </cell>
          <cell r="I413" t="str">
            <v>خ</v>
          </cell>
          <cell r="J413" t="str">
            <v>عبدالرحمن</v>
          </cell>
          <cell r="K413" t="str">
            <v>شادلي  عبدالرحمن</v>
          </cell>
          <cell r="L413" t="str">
            <v>مفتش</v>
          </cell>
          <cell r="M413" t="str">
            <v>حي بوخنفوس مختار سفيزف</v>
          </cell>
        </row>
        <row r="414">
          <cell r="A414">
            <v>407</v>
          </cell>
          <cell r="B414" t="str">
            <v>عقابي  محمد إسلام</v>
          </cell>
          <cell r="C414" t="str">
            <v>عقابي</v>
          </cell>
          <cell r="D414" t="str">
            <v>محمد إسلام</v>
          </cell>
          <cell r="E414">
            <v>37279</v>
          </cell>
          <cell r="F414" t="str">
            <v>سفيزف</v>
          </cell>
          <cell r="G414" t="str">
            <v>1ج م ع3</v>
          </cell>
          <cell r="H414" t="str">
            <v>خارجي</v>
          </cell>
          <cell r="I414" t="str">
            <v>خ</v>
          </cell>
          <cell r="J414" t="str">
            <v>فاتح</v>
          </cell>
          <cell r="K414" t="str">
            <v>عقابي  فاتح</v>
          </cell>
          <cell r="L414" t="str">
            <v>معلم</v>
          </cell>
          <cell r="M414" t="str">
            <v>46حي 24 فبراير سفيزف</v>
          </cell>
        </row>
        <row r="415">
          <cell r="A415">
            <v>408</v>
          </cell>
          <cell r="B415" t="str">
            <v>فليو  ريان عبدالصمد</v>
          </cell>
          <cell r="C415" t="str">
            <v>فليو</v>
          </cell>
          <cell r="D415" t="str">
            <v>ريان عبدالصمد</v>
          </cell>
          <cell r="E415">
            <v>37195</v>
          </cell>
          <cell r="F415" t="str">
            <v>س بلعباس</v>
          </cell>
          <cell r="G415" t="str">
            <v>1ج م ع3</v>
          </cell>
          <cell r="H415" t="str">
            <v>خارجي</v>
          </cell>
          <cell r="I415" t="str">
            <v>خ</v>
          </cell>
          <cell r="J415" t="str">
            <v>ميلود</v>
          </cell>
          <cell r="K415" t="str">
            <v>فليو  ميلود</v>
          </cell>
          <cell r="L415" t="str">
            <v>متقاعد</v>
          </cell>
          <cell r="M415" t="str">
            <v>حي اللوز 72 سكن سفيزف</v>
          </cell>
        </row>
        <row r="416">
          <cell r="A416">
            <v>409</v>
          </cell>
          <cell r="B416" t="str">
            <v>لعسل  عبد المجيد</v>
          </cell>
          <cell r="C416" t="str">
            <v>لعسل</v>
          </cell>
          <cell r="D416" t="str">
            <v>عبد المجيد</v>
          </cell>
          <cell r="E416">
            <v>37381</v>
          </cell>
          <cell r="F416" t="str">
            <v>سفيزف</v>
          </cell>
          <cell r="G416" t="str">
            <v>1ج م ع3</v>
          </cell>
          <cell r="H416" t="str">
            <v>خارجي</v>
          </cell>
          <cell r="I416" t="str">
            <v>خ</v>
          </cell>
          <cell r="J416" t="str">
            <v>يحي</v>
          </cell>
          <cell r="K416" t="str">
            <v>لعسل  يحي</v>
          </cell>
          <cell r="L416" t="str">
            <v>بناء</v>
          </cell>
          <cell r="M416" t="str">
            <v>شارع حداد قادة سفيزف</v>
          </cell>
        </row>
        <row r="417">
          <cell r="A417">
            <v>410</v>
          </cell>
          <cell r="B417" t="str">
            <v>لنوار  عبد الإله</v>
          </cell>
          <cell r="C417" t="str">
            <v>لنوار</v>
          </cell>
          <cell r="D417" t="str">
            <v>عبد الإله</v>
          </cell>
          <cell r="E417">
            <v>37730</v>
          </cell>
          <cell r="F417" t="str">
            <v>س بلعباس</v>
          </cell>
          <cell r="G417" t="str">
            <v>1ج م ع3</v>
          </cell>
          <cell r="H417" t="str">
            <v>خارجي</v>
          </cell>
          <cell r="I417" t="str">
            <v>خ</v>
          </cell>
          <cell r="J417" t="str">
            <v>بن عتو</v>
          </cell>
          <cell r="K417" t="str">
            <v>لنوار  بن عتو</v>
          </cell>
          <cell r="L417" t="str">
            <v>حارس</v>
          </cell>
          <cell r="M417" t="str">
            <v>حي 216 سكن سفيزف</v>
          </cell>
        </row>
        <row r="418">
          <cell r="A418">
            <v>411</v>
          </cell>
          <cell r="B418" t="str">
            <v>مكيكة  إسماعيل</v>
          </cell>
          <cell r="C418" t="str">
            <v>مكيكة</v>
          </cell>
          <cell r="D418" t="str">
            <v>إسماعيل</v>
          </cell>
          <cell r="E418">
            <v>37292</v>
          </cell>
          <cell r="F418" t="str">
            <v>سفيزف</v>
          </cell>
          <cell r="G418" t="str">
            <v>1ج م ع3</v>
          </cell>
          <cell r="H418" t="str">
            <v>خارجي</v>
          </cell>
          <cell r="I418" t="str">
            <v>خ</v>
          </cell>
          <cell r="J418" t="str">
            <v>لحسن</v>
          </cell>
          <cell r="K418" t="str">
            <v>مكيكة  لحسن</v>
          </cell>
          <cell r="L418" t="str">
            <v>تاجر</v>
          </cell>
          <cell r="M418" t="str">
            <v>حي 24 فبراير سفيزف</v>
          </cell>
        </row>
        <row r="419">
          <cell r="A419">
            <v>412</v>
          </cell>
          <cell r="B419" t="str">
            <v>ملاتي   عبدالنور</v>
          </cell>
          <cell r="C419" t="str">
            <v xml:space="preserve">ملاتي </v>
          </cell>
          <cell r="D419" t="str">
            <v>عبدالنور</v>
          </cell>
          <cell r="E419">
            <v>37501</v>
          </cell>
          <cell r="F419" t="str">
            <v>سفيزف</v>
          </cell>
          <cell r="G419" t="str">
            <v>1ج م ع3</v>
          </cell>
          <cell r="H419" t="str">
            <v>خارجي</v>
          </cell>
          <cell r="I419" t="str">
            <v>خ</v>
          </cell>
          <cell r="J419" t="str">
            <v>عبدالقادر</v>
          </cell>
          <cell r="K419" t="str">
            <v>ملاتي   عبدالقادر</v>
          </cell>
          <cell r="L419" t="str">
            <v>عامل</v>
          </cell>
          <cell r="M419" t="str">
            <v>08 شارع بوخنفوس مختار سفيزف</v>
          </cell>
        </row>
        <row r="420">
          <cell r="A420">
            <v>413</v>
          </cell>
          <cell r="B420" t="str">
            <v>وذان  محمد</v>
          </cell>
          <cell r="C420" t="str">
            <v>وذان</v>
          </cell>
          <cell r="D420" t="str">
            <v>محمد</v>
          </cell>
          <cell r="E420">
            <v>37306</v>
          </cell>
          <cell r="F420" t="str">
            <v>سفيزف</v>
          </cell>
          <cell r="G420" t="str">
            <v>1ج م ع3</v>
          </cell>
          <cell r="H420" t="str">
            <v>خارجي</v>
          </cell>
          <cell r="I420" t="str">
            <v>خ</v>
          </cell>
          <cell r="J420" t="str">
            <v>بن عامر</v>
          </cell>
          <cell r="K420" t="str">
            <v>وذان  بن عامر</v>
          </cell>
          <cell r="L420" t="str">
            <v>متقاعد</v>
          </cell>
          <cell r="M420" t="str">
            <v>حي 117سكن شباني لحسن سفيزف</v>
          </cell>
        </row>
        <row r="421">
          <cell r="A421">
            <v>414</v>
          </cell>
          <cell r="B421" t="str">
            <v>تازيني  إكرام</v>
          </cell>
          <cell r="C421" t="str">
            <v>تازيني</v>
          </cell>
          <cell r="D421" t="str">
            <v>إكرام</v>
          </cell>
          <cell r="E421">
            <v>37592</v>
          </cell>
          <cell r="F421" t="str">
            <v>وهران</v>
          </cell>
          <cell r="G421" t="str">
            <v>1ج م ع4</v>
          </cell>
          <cell r="H421" t="str">
            <v>ن داخلية</v>
          </cell>
          <cell r="I421" t="str">
            <v>ن/د</v>
          </cell>
          <cell r="J421" t="str">
            <v>سيداحمد</v>
          </cell>
          <cell r="K421" t="str">
            <v>تازيني  سيداحمد</v>
          </cell>
          <cell r="L421" t="str">
            <v>لا شئ</v>
          </cell>
          <cell r="M421" t="str">
            <v>عين آدن</v>
          </cell>
        </row>
        <row r="422">
          <cell r="A422">
            <v>415</v>
          </cell>
          <cell r="B422" t="str">
            <v>طلحة  ريم</v>
          </cell>
          <cell r="C422" t="str">
            <v>طلحة</v>
          </cell>
          <cell r="D422" t="str">
            <v>ريم</v>
          </cell>
          <cell r="E422">
            <v>37712</v>
          </cell>
          <cell r="F422" t="str">
            <v>سفيزف</v>
          </cell>
          <cell r="G422" t="str">
            <v>1ج م ع4</v>
          </cell>
          <cell r="H422" t="str">
            <v>ن داخلية</v>
          </cell>
          <cell r="I422" t="str">
            <v>ن/د</v>
          </cell>
          <cell r="J422" t="str">
            <v>محمد</v>
          </cell>
          <cell r="K422" t="str">
            <v>طلحة  محمد</v>
          </cell>
          <cell r="L422" t="str">
            <v>متقاعد</v>
          </cell>
          <cell r="M422" t="str">
            <v>مقطع دار اسبع عين أدن</v>
          </cell>
        </row>
        <row r="423">
          <cell r="A423">
            <v>416</v>
          </cell>
          <cell r="B423" t="str">
            <v>بحيري  محمد</v>
          </cell>
          <cell r="C423" t="str">
            <v>بحيري</v>
          </cell>
          <cell r="D423" t="str">
            <v>محمد</v>
          </cell>
          <cell r="E423">
            <v>37646</v>
          </cell>
          <cell r="F423" t="str">
            <v>سفيزف</v>
          </cell>
          <cell r="G423" t="str">
            <v>1ج م ع4</v>
          </cell>
          <cell r="H423" t="str">
            <v>ن داخلي</v>
          </cell>
          <cell r="I423" t="str">
            <v>ن/د</v>
          </cell>
          <cell r="J423" t="str">
            <v>سليمان</v>
          </cell>
          <cell r="K423" t="str">
            <v>بحيري  سليمان</v>
          </cell>
          <cell r="L423" t="str">
            <v>لا شئ</v>
          </cell>
          <cell r="M423" t="str">
            <v>عين آدن</v>
          </cell>
        </row>
        <row r="424">
          <cell r="A424">
            <v>417</v>
          </cell>
          <cell r="B424" t="str">
            <v>عبداوي  عبدالإله</v>
          </cell>
          <cell r="C424" t="str">
            <v>عبداوي</v>
          </cell>
          <cell r="D424" t="str">
            <v>عبدالإله</v>
          </cell>
          <cell r="E424">
            <v>36740</v>
          </cell>
          <cell r="F424" t="str">
            <v>م ب براهيم</v>
          </cell>
          <cell r="G424" t="str">
            <v>1ج م ع4</v>
          </cell>
          <cell r="H424" t="str">
            <v>ن داخلي</v>
          </cell>
          <cell r="I424" t="str">
            <v>ن/د</v>
          </cell>
          <cell r="J424" t="str">
            <v>رابح</v>
          </cell>
          <cell r="K424" t="str">
            <v>عبداوي  رابح</v>
          </cell>
          <cell r="L424" t="str">
            <v>موطف</v>
          </cell>
          <cell r="M424" t="str">
            <v>شارع جلال عبدالقادر م ب ابراهيم</v>
          </cell>
        </row>
        <row r="425">
          <cell r="A425">
            <v>418</v>
          </cell>
          <cell r="B425" t="str">
            <v>المهدي  خيرة</v>
          </cell>
          <cell r="C425" t="str">
            <v>المهدي</v>
          </cell>
          <cell r="D425" t="str">
            <v>خيرة</v>
          </cell>
          <cell r="E425">
            <v>36779</v>
          </cell>
          <cell r="F425" t="str">
            <v>تيزي</v>
          </cell>
          <cell r="G425" t="str">
            <v>1ج م ع4</v>
          </cell>
          <cell r="H425" t="str">
            <v>خارجية</v>
          </cell>
          <cell r="I425" t="str">
            <v>خ</v>
          </cell>
          <cell r="J425" t="str">
            <v>قدور</v>
          </cell>
          <cell r="K425" t="str">
            <v>المهدي  قدور</v>
          </cell>
          <cell r="L425" t="str">
            <v>بناء</v>
          </cell>
          <cell r="M425" t="str">
            <v>حي 60 سكن سفيزف</v>
          </cell>
        </row>
        <row r="426">
          <cell r="A426">
            <v>419</v>
          </cell>
          <cell r="B426" t="str">
            <v>بن حميميدي  إكرام</v>
          </cell>
          <cell r="C426" t="str">
            <v>بن حميميدي</v>
          </cell>
          <cell r="D426" t="str">
            <v>إكرام</v>
          </cell>
          <cell r="E426">
            <v>37428</v>
          </cell>
          <cell r="F426" t="str">
            <v>سفيزف</v>
          </cell>
          <cell r="G426" t="str">
            <v>1ج م ع4</v>
          </cell>
          <cell r="H426" t="str">
            <v>خارجية</v>
          </cell>
          <cell r="I426" t="str">
            <v>خ</v>
          </cell>
          <cell r="J426" t="str">
            <v>جمال</v>
          </cell>
          <cell r="K426" t="str">
            <v>بن حميميدي  جمال</v>
          </cell>
          <cell r="L426" t="str">
            <v>متقاعد</v>
          </cell>
          <cell r="M426" t="str">
            <v>حي 214 سكن سفيزف</v>
          </cell>
        </row>
        <row r="427">
          <cell r="A427">
            <v>420</v>
          </cell>
          <cell r="B427" t="str">
            <v>بن شيخ  وئام</v>
          </cell>
          <cell r="C427" t="str">
            <v>بن شيخ</v>
          </cell>
          <cell r="D427" t="str">
            <v>وئام</v>
          </cell>
          <cell r="E427">
            <v>37460</v>
          </cell>
          <cell r="F427" t="str">
            <v>سفيزف</v>
          </cell>
          <cell r="G427" t="str">
            <v>1ج م ع4</v>
          </cell>
          <cell r="H427" t="str">
            <v>خارجية</v>
          </cell>
          <cell r="I427" t="str">
            <v>خ</v>
          </cell>
          <cell r="J427" t="str">
            <v>قادة</v>
          </cell>
          <cell r="K427" t="str">
            <v>بن شيخ  قادة</v>
          </cell>
          <cell r="L427" t="str">
            <v>موظف</v>
          </cell>
          <cell r="M427" t="str">
            <v>حي نواري بن عبدالله سفيزف</v>
          </cell>
        </row>
        <row r="428">
          <cell r="A428">
            <v>421</v>
          </cell>
          <cell r="B428" t="str">
            <v>بوقبرين  إكرام</v>
          </cell>
          <cell r="C428" t="str">
            <v>بوقبرين</v>
          </cell>
          <cell r="D428" t="str">
            <v>إكرام</v>
          </cell>
          <cell r="E428">
            <v>37103</v>
          </cell>
          <cell r="F428" t="str">
            <v>س بلعباس</v>
          </cell>
          <cell r="G428" t="str">
            <v>1ج م ع4</v>
          </cell>
          <cell r="H428" t="str">
            <v>خارجية</v>
          </cell>
          <cell r="I428" t="str">
            <v>خ</v>
          </cell>
          <cell r="J428" t="str">
            <v>ع الرحمن</v>
          </cell>
          <cell r="K428" t="str">
            <v>بوقبرين  ع الرحمن</v>
          </cell>
          <cell r="L428" t="str">
            <v>مفتش</v>
          </cell>
          <cell r="M428" t="str">
            <v>حي 141سكن سفيزف</v>
          </cell>
        </row>
        <row r="429">
          <cell r="A429">
            <v>422</v>
          </cell>
          <cell r="B429" t="str">
            <v>بومسجد  شيماء</v>
          </cell>
          <cell r="C429" t="str">
            <v>بومسجد</v>
          </cell>
          <cell r="D429" t="str">
            <v>شيماء</v>
          </cell>
          <cell r="E429">
            <v>37692</v>
          </cell>
          <cell r="F429" t="str">
            <v>سفيزف</v>
          </cell>
          <cell r="G429" t="str">
            <v>1ج م ع4</v>
          </cell>
          <cell r="H429" t="str">
            <v>خارجية</v>
          </cell>
          <cell r="I429" t="str">
            <v>خ</v>
          </cell>
          <cell r="J429" t="str">
            <v>عبدالقادر</v>
          </cell>
          <cell r="K429" t="str">
            <v>بومسجد  عبدالقادر</v>
          </cell>
          <cell r="L429" t="str">
            <v>فلاح</v>
          </cell>
          <cell r="M429" t="str">
            <v>حي 27 سكن سفيزف</v>
          </cell>
        </row>
        <row r="430">
          <cell r="A430">
            <v>423</v>
          </cell>
          <cell r="B430" t="str">
            <v>بوهند  نور الهدى</v>
          </cell>
          <cell r="C430" t="str">
            <v>بوهند</v>
          </cell>
          <cell r="D430" t="str">
            <v>نور الهدى</v>
          </cell>
          <cell r="E430">
            <v>37391</v>
          </cell>
          <cell r="F430" t="str">
            <v>س بلعباس</v>
          </cell>
          <cell r="G430" t="str">
            <v>1ج م ع4</v>
          </cell>
          <cell r="H430" t="str">
            <v>خارجية</v>
          </cell>
          <cell r="I430" t="str">
            <v>خ</v>
          </cell>
          <cell r="J430" t="str">
            <v>محمد</v>
          </cell>
          <cell r="K430" t="str">
            <v>بوهند  محمد</v>
          </cell>
          <cell r="L430" t="str">
            <v>عامل</v>
          </cell>
          <cell r="M430" t="str">
            <v>09شارع العربي بن مهيدي سفيزف</v>
          </cell>
        </row>
        <row r="431">
          <cell r="A431">
            <v>424</v>
          </cell>
          <cell r="B431" t="str">
            <v>توزالة  إيمان</v>
          </cell>
          <cell r="C431" t="str">
            <v>توزالة</v>
          </cell>
          <cell r="D431" t="str">
            <v>إيمان</v>
          </cell>
          <cell r="E431">
            <v>37620</v>
          </cell>
          <cell r="F431" t="str">
            <v>س بلعباس</v>
          </cell>
          <cell r="G431" t="str">
            <v>1ج م ع4</v>
          </cell>
          <cell r="H431" t="str">
            <v>خارجية</v>
          </cell>
          <cell r="I431" t="str">
            <v>خ</v>
          </cell>
          <cell r="J431" t="str">
            <v>بن عيسى</v>
          </cell>
          <cell r="K431" t="str">
            <v>توزالة  بن عيسى</v>
          </cell>
          <cell r="L431" t="str">
            <v>تاجر</v>
          </cell>
          <cell r="M431" t="str">
            <v>شارع عبدلي عبدالقادر سفيزف</v>
          </cell>
        </row>
        <row r="432">
          <cell r="A432">
            <v>425</v>
          </cell>
          <cell r="B432" t="str">
            <v>جفال   مريم</v>
          </cell>
          <cell r="C432" t="str">
            <v xml:space="preserve">جفال </v>
          </cell>
          <cell r="D432" t="str">
            <v>مريم</v>
          </cell>
          <cell r="E432">
            <v>37159</v>
          </cell>
          <cell r="F432" t="str">
            <v>سفيزف</v>
          </cell>
          <cell r="G432" t="str">
            <v>1ج م ع4</v>
          </cell>
          <cell r="H432" t="str">
            <v>خارجية</v>
          </cell>
          <cell r="I432" t="str">
            <v>خ</v>
          </cell>
          <cell r="J432" t="str">
            <v>عبدالقادر</v>
          </cell>
          <cell r="K432" t="str">
            <v>جفال   عبدالقادر</v>
          </cell>
          <cell r="L432" t="str">
            <v>لحام</v>
          </cell>
          <cell r="M432" t="str">
            <v>حي 156سكن سفيزف</v>
          </cell>
        </row>
        <row r="433">
          <cell r="A433">
            <v>426</v>
          </cell>
          <cell r="B433" t="str">
            <v xml:space="preserve">حفاظ  فاطيمة </v>
          </cell>
          <cell r="C433" t="str">
            <v>حفاظ</v>
          </cell>
          <cell r="D433" t="str">
            <v xml:space="preserve">فاطيمة </v>
          </cell>
          <cell r="E433">
            <v>37581</v>
          </cell>
          <cell r="F433" t="str">
            <v>سفيزف</v>
          </cell>
          <cell r="G433" t="str">
            <v>1ج م ع4</v>
          </cell>
          <cell r="H433" t="str">
            <v>خارجية</v>
          </cell>
          <cell r="I433" t="str">
            <v>خ</v>
          </cell>
          <cell r="J433" t="str">
            <v>جلول</v>
          </cell>
          <cell r="K433" t="str">
            <v>حفاظ  جلول</v>
          </cell>
          <cell r="L433" t="str">
            <v>معلم قرآن</v>
          </cell>
          <cell r="M433" t="str">
            <v>حي 506 سكن سفيزف</v>
          </cell>
        </row>
        <row r="434">
          <cell r="A434">
            <v>427</v>
          </cell>
          <cell r="B434" t="str">
            <v>حمودة  إسمهان</v>
          </cell>
          <cell r="C434" t="str">
            <v>حمودة</v>
          </cell>
          <cell r="D434" t="str">
            <v>إسمهان</v>
          </cell>
          <cell r="E434">
            <v>36970</v>
          </cell>
          <cell r="F434" t="str">
            <v>فرندة</v>
          </cell>
          <cell r="G434" t="str">
            <v>1ج م ع4</v>
          </cell>
          <cell r="H434" t="str">
            <v>خارجية</v>
          </cell>
          <cell r="I434" t="str">
            <v>خ</v>
          </cell>
          <cell r="J434" t="str">
            <v>عبدالرحيم</v>
          </cell>
          <cell r="K434" t="str">
            <v>حمودة  عبدالرحيم</v>
          </cell>
          <cell r="L434" t="str">
            <v>موظف</v>
          </cell>
          <cell r="M434" t="str">
            <v>شارع بوخنفوس مختار سفيزف</v>
          </cell>
        </row>
        <row r="435">
          <cell r="A435">
            <v>428</v>
          </cell>
          <cell r="B435" t="str">
            <v>ديدان  جيهان</v>
          </cell>
          <cell r="C435" t="str">
            <v>ديدان</v>
          </cell>
          <cell r="D435" t="str">
            <v>جيهان</v>
          </cell>
          <cell r="E435">
            <v>37831</v>
          </cell>
          <cell r="F435" t="str">
            <v>س بلعباس</v>
          </cell>
          <cell r="G435" t="str">
            <v>1ج م ع4</v>
          </cell>
          <cell r="H435" t="str">
            <v>خارجية</v>
          </cell>
          <cell r="I435" t="str">
            <v>خ</v>
          </cell>
          <cell r="J435" t="str">
            <v>أمحمد</v>
          </cell>
          <cell r="K435" t="str">
            <v>ديدان  أمحمد</v>
          </cell>
          <cell r="L435" t="str">
            <v>إطار سامي</v>
          </cell>
          <cell r="M435" t="str">
            <v>حي بوخنفوس مختار سفيزف</v>
          </cell>
          <cell r="O435" t="str">
            <v>شطب 12/10/2017</v>
          </cell>
        </row>
        <row r="436">
          <cell r="A436">
            <v>429</v>
          </cell>
          <cell r="B436" t="str">
            <v>زنازل  سماح</v>
          </cell>
          <cell r="C436" t="str">
            <v>زنازل</v>
          </cell>
          <cell r="D436" t="str">
            <v>سماح</v>
          </cell>
          <cell r="E436">
            <v>37426</v>
          </cell>
          <cell r="F436" t="str">
            <v>سفيزف</v>
          </cell>
          <cell r="G436" t="str">
            <v>1ج م ع4</v>
          </cell>
          <cell r="H436" t="str">
            <v>خارجية</v>
          </cell>
          <cell r="I436" t="str">
            <v>خ</v>
          </cell>
          <cell r="J436" t="str">
            <v>بخدة</v>
          </cell>
          <cell r="K436" t="str">
            <v>زنازل  بخدة</v>
          </cell>
          <cell r="L436" t="str">
            <v>ممرض</v>
          </cell>
          <cell r="M436" t="str">
            <v>حي 216 سكن سفيزف</v>
          </cell>
        </row>
        <row r="437">
          <cell r="A437">
            <v>430</v>
          </cell>
          <cell r="B437" t="str">
            <v>زناسني  بشرى كريمة</v>
          </cell>
          <cell r="C437" t="str">
            <v>زناسني</v>
          </cell>
          <cell r="D437" t="str">
            <v>بشرى كريمة</v>
          </cell>
          <cell r="E437">
            <v>37486</v>
          </cell>
          <cell r="F437" t="str">
            <v>بشار</v>
          </cell>
          <cell r="G437" t="str">
            <v>1ج م ع4</v>
          </cell>
          <cell r="H437" t="str">
            <v>خارجية</v>
          </cell>
          <cell r="I437" t="str">
            <v>خ</v>
          </cell>
          <cell r="J437" t="str">
            <v>رمضان</v>
          </cell>
          <cell r="K437" t="str">
            <v>زناسني  رمضان</v>
          </cell>
          <cell r="L437" t="str">
            <v>متقاعد</v>
          </cell>
          <cell r="M437" t="str">
            <v>القرايعية</v>
          </cell>
        </row>
        <row r="438">
          <cell r="A438">
            <v>431</v>
          </cell>
          <cell r="B438" t="str">
            <v>سوقمي  شيماء</v>
          </cell>
          <cell r="C438" t="str">
            <v>سوقمي</v>
          </cell>
          <cell r="D438" t="str">
            <v>شيماء</v>
          </cell>
          <cell r="E438">
            <v>37023</v>
          </cell>
          <cell r="F438" t="str">
            <v>س بلعباس</v>
          </cell>
          <cell r="G438" t="str">
            <v>1ج م ع4</v>
          </cell>
          <cell r="H438" t="str">
            <v>خارجية</v>
          </cell>
          <cell r="I438" t="str">
            <v>خ</v>
          </cell>
          <cell r="J438" t="str">
            <v>سحنون</v>
          </cell>
          <cell r="K438" t="str">
            <v>سوقمي  سحنون</v>
          </cell>
          <cell r="L438" t="str">
            <v>لا شئ</v>
          </cell>
          <cell r="M438" t="str">
            <v>حي طيبي عبدالقادر سفيزف</v>
          </cell>
        </row>
        <row r="439">
          <cell r="A439">
            <v>432</v>
          </cell>
          <cell r="B439" t="str">
            <v>عدوني  مريم</v>
          </cell>
          <cell r="C439" t="str">
            <v>عدوني</v>
          </cell>
          <cell r="D439" t="str">
            <v>مريم</v>
          </cell>
          <cell r="E439">
            <v>36828</v>
          </cell>
          <cell r="F439" t="str">
            <v>سفيزف</v>
          </cell>
          <cell r="G439" t="str">
            <v>1ج م ع4</v>
          </cell>
          <cell r="H439" t="str">
            <v>خارجية</v>
          </cell>
          <cell r="I439" t="str">
            <v>خ</v>
          </cell>
          <cell r="J439" t="str">
            <v>عبدالقادر</v>
          </cell>
          <cell r="K439" t="str">
            <v>عدوني  عبدالقادر</v>
          </cell>
          <cell r="L439" t="str">
            <v>نجار</v>
          </cell>
          <cell r="M439" t="str">
            <v>حي117سكن  سفيزف</v>
          </cell>
        </row>
        <row r="440">
          <cell r="A440">
            <v>433</v>
          </cell>
          <cell r="B440" t="str">
            <v>عمريو  إناس</v>
          </cell>
          <cell r="C440" t="str">
            <v>عمريو</v>
          </cell>
          <cell r="D440" t="str">
            <v>إناس</v>
          </cell>
          <cell r="E440">
            <v>37467</v>
          </cell>
          <cell r="F440" t="str">
            <v>الشلف</v>
          </cell>
          <cell r="G440" t="str">
            <v>1ج م ع4</v>
          </cell>
          <cell r="H440" t="str">
            <v>خارجية</v>
          </cell>
          <cell r="I440" t="str">
            <v>خ</v>
          </cell>
          <cell r="J440" t="str">
            <v>جيلالي</v>
          </cell>
          <cell r="K440" t="str">
            <v>عمريو  جيلالي</v>
          </cell>
          <cell r="L440" t="str">
            <v>موظف</v>
          </cell>
          <cell r="M440" t="str">
            <v>حي 20مسكن الشرطة سفيزف</v>
          </cell>
        </row>
        <row r="441">
          <cell r="A441">
            <v>434</v>
          </cell>
          <cell r="B441" t="str">
            <v>عياشي  خيرة</v>
          </cell>
          <cell r="C441" t="str">
            <v>عياشي</v>
          </cell>
          <cell r="D441" t="str">
            <v>خيرة</v>
          </cell>
          <cell r="E441">
            <v>37431</v>
          </cell>
          <cell r="F441" t="str">
            <v>سفيزف</v>
          </cell>
          <cell r="G441" t="str">
            <v>1ج م ع4</v>
          </cell>
          <cell r="H441" t="str">
            <v>خارجية</v>
          </cell>
          <cell r="I441" t="str">
            <v>خ</v>
          </cell>
          <cell r="J441" t="str">
            <v>جلول</v>
          </cell>
          <cell r="K441" t="str">
            <v>عياشي  جلول</v>
          </cell>
          <cell r="L441" t="str">
            <v>موظف</v>
          </cell>
          <cell r="M441" t="str">
            <v>حي شهداء تويلة سفيزف</v>
          </cell>
        </row>
        <row r="442">
          <cell r="A442">
            <v>435</v>
          </cell>
          <cell r="B442" t="str">
            <v>قندوسي  فاطمة</v>
          </cell>
          <cell r="C442" t="str">
            <v>قندوسي</v>
          </cell>
          <cell r="D442" t="str">
            <v>فاطمة</v>
          </cell>
          <cell r="E442">
            <v>37642</v>
          </cell>
          <cell r="F442" t="str">
            <v>سفيزف</v>
          </cell>
          <cell r="G442" t="str">
            <v>1ج م ع4</v>
          </cell>
          <cell r="H442" t="str">
            <v>خارجية</v>
          </cell>
          <cell r="I442" t="str">
            <v>خ</v>
          </cell>
          <cell r="J442" t="str">
            <v>احمد</v>
          </cell>
          <cell r="K442" t="str">
            <v>قندوسي  احمد</v>
          </cell>
          <cell r="L442" t="str">
            <v>فلاح</v>
          </cell>
          <cell r="M442" t="str">
            <v>حي 24 فبراير سفيزف</v>
          </cell>
        </row>
        <row r="443">
          <cell r="A443">
            <v>436</v>
          </cell>
          <cell r="B443" t="str">
            <v>لكحل  بثينة خيرة</v>
          </cell>
          <cell r="C443" t="str">
            <v>لكحل</v>
          </cell>
          <cell r="D443" t="str">
            <v>بثينة خيرة</v>
          </cell>
          <cell r="E443">
            <v>37551</v>
          </cell>
          <cell r="F443" t="str">
            <v>س بلعباس</v>
          </cell>
          <cell r="G443" t="str">
            <v>1ج م ع4</v>
          </cell>
          <cell r="H443" t="str">
            <v>خارجية</v>
          </cell>
          <cell r="I443" t="str">
            <v>خ</v>
          </cell>
          <cell r="J443" t="str">
            <v>سحنون</v>
          </cell>
          <cell r="K443" t="str">
            <v>لكحل  سحنون</v>
          </cell>
          <cell r="L443" t="str">
            <v>شرطي</v>
          </cell>
          <cell r="M443" t="str">
            <v>حي السوريكور سفيزف</v>
          </cell>
        </row>
        <row r="444">
          <cell r="A444">
            <v>437</v>
          </cell>
          <cell r="B444" t="str">
            <v>منصورة  مروة</v>
          </cell>
          <cell r="C444" t="str">
            <v>منصورة</v>
          </cell>
          <cell r="D444" t="str">
            <v>مروة</v>
          </cell>
          <cell r="E444">
            <v>37486</v>
          </cell>
          <cell r="F444" t="str">
            <v>سفيزف</v>
          </cell>
          <cell r="G444" t="str">
            <v>1ج م ع4</v>
          </cell>
          <cell r="H444" t="str">
            <v>خارجية</v>
          </cell>
          <cell r="I444" t="str">
            <v>خ</v>
          </cell>
          <cell r="J444" t="str">
            <v>بشير</v>
          </cell>
          <cell r="K444" t="str">
            <v>منصورة  بشير</v>
          </cell>
          <cell r="L444" t="str">
            <v>متقاعد</v>
          </cell>
          <cell r="M444" t="str">
            <v>شارع شباني احمد سفيزف</v>
          </cell>
        </row>
        <row r="445">
          <cell r="A445">
            <v>438</v>
          </cell>
          <cell r="B445" t="str">
            <v>نواري  مروة</v>
          </cell>
          <cell r="C445" t="str">
            <v>نواري</v>
          </cell>
          <cell r="D445" t="str">
            <v>مروة</v>
          </cell>
          <cell r="E445">
            <v>37444</v>
          </cell>
          <cell r="F445" t="str">
            <v>سفيزف</v>
          </cell>
          <cell r="G445" t="str">
            <v>1ج م ع4</v>
          </cell>
          <cell r="H445" t="str">
            <v>خارجية</v>
          </cell>
          <cell r="I445" t="str">
            <v>خ</v>
          </cell>
          <cell r="J445" t="str">
            <v>احمد</v>
          </cell>
          <cell r="K445" t="str">
            <v>نواري  احمد</v>
          </cell>
          <cell r="L445" t="str">
            <v>استاد</v>
          </cell>
          <cell r="M445" t="str">
            <v>حي 141 سكن سفيزف</v>
          </cell>
        </row>
        <row r="446">
          <cell r="A446">
            <v>439</v>
          </cell>
          <cell r="B446" t="str">
            <v>بلفكرون  موسى</v>
          </cell>
          <cell r="C446" t="str">
            <v>بلفكرون</v>
          </cell>
          <cell r="D446" t="str">
            <v>موسى</v>
          </cell>
          <cell r="E446">
            <v>37610</v>
          </cell>
          <cell r="F446" t="str">
            <v>سفيزف</v>
          </cell>
          <cell r="G446" t="str">
            <v>1ج م ع4</v>
          </cell>
          <cell r="H446" t="str">
            <v>خارجي</v>
          </cell>
          <cell r="I446" t="str">
            <v>خ</v>
          </cell>
          <cell r="J446" t="str">
            <v>جلول</v>
          </cell>
          <cell r="K446" t="str">
            <v>بلفكرون  جلول</v>
          </cell>
          <cell r="L446" t="str">
            <v>متقاعد</v>
          </cell>
          <cell r="M446" t="str">
            <v>41 حي 506 سكن سفيز(ف</v>
          </cell>
        </row>
        <row r="447">
          <cell r="A447">
            <v>440</v>
          </cell>
          <cell r="B447" t="str">
            <v>تشمون  مروان</v>
          </cell>
          <cell r="C447" t="str">
            <v>تشمون</v>
          </cell>
          <cell r="D447" t="str">
            <v>مروان</v>
          </cell>
          <cell r="E447">
            <v>37540</v>
          </cell>
          <cell r="F447" t="str">
            <v>سفيزف</v>
          </cell>
          <cell r="G447" t="str">
            <v>1ج م ع4</v>
          </cell>
          <cell r="H447" t="str">
            <v>خارجي</v>
          </cell>
          <cell r="I447" t="str">
            <v>خ</v>
          </cell>
          <cell r="J447" t="str">
            <v>محمد</v>
          </cell>
          <cell r="K447" t="str">
            <v>تشمون  محمد</v>
          </cell>
          <cell r="L447" t="str">
            <v>متقاعد</v>
          </cell>
          <cell r="M447" t="str">
            <v>حي 506 سكن سفيزف</v>
          </cell>
        </row>
        <row r="448">
          <cell r="A448">
            <v>441</v>
          </cell>
          <cell r="B448" t="str">
            <v>جلال   عبد الرحمن</v>
          </cell>
          <cell r="C448" t="str">
            <v xml:space="preserve">جلال </v>
          </cell>
          <cell r="D448" t="str">
            <v>عبد الرحمن</v>
          </cell>
          <cell r="E448">
            <v>37488</v>
          </cell>
          <cell r="F448" t="str">
            <v>س بلعباس</v>
          </cell>
          <cell r="G448" t="str">
            <v>1ج م ع4</v>
          </cell>
          <cell r="H448" t="str">
            <v>خارجي</v>
          </cell>
          <cell r="I448" t="str">
            <v>خ</v>
          </cell>
          <cell r="J448" t="str">
            <v>محمد</v>
          </cell>
          <cell r="K448" t="str">
            <v>جلال   محمد</v>
          </cell>
          <cell r="L448" t="str">
            <v>شرطي</v>
          </cell>
          <cell r="M448" t="str">
            <v xml:space="preserve">حي 20 سكن سفيزف </v>
          </cell>
        </row>
        <row r="449">
          <cell r="A449">
            <v>442</v>
          </cell>
          <cell r="B449" t="str">
            <v>حفاظ  محمد إلياس</v>
          </cell>
          <cell r="C449" t="str">
            <v>حفاظ</v>
          </cell>
          <cell r="D449" t="str">
            <v>محمد إلياس</v>
          </cell>
          <cell r="E449">
            <v>37457</v>
          </cell>
          <cell r="F449" t="str">
            <v>سفيزف</v>
          </cell>
          <cell r="G449" t="str">
            <v>1ج م ع4</v>
          </cell>
          <cell r="H449" t="str">
            <v>خارجي</v>
          </cell>
          <cell r="I449" t="str">
            <v>خ</v>
          </cell>
          <cell r="J449" t="str">
            <v>جيلالي</v>
          </cell>
          <cell r="K449" t="str">
            <v>حفاظ  جيلالي</v>
          </cell>
          <cell r="L449" t="str">
            <v>تاجر</v>
          </cell>
          <cell r="M449" t="str">
            <v>01حي156سكن سفيزف</v>
          </cell>
        </row>
        <row r="450">
          <cell r="A450">
            <v>443</v>
          </cell>
          <cell r="B450" t="str">
            <v xml:space="preserve">حلوش  أحمد </v>
          </cell>
          <cell r="C450" t="str">
            <v>حلوش</v>
          </cell>
          <cell r="D450" t="str">
            <v xml:space="preserve">أحمد </v>
          </cell>
          <cell r="E450">
            <v>37328</v>
          </cell>
          <cell r="F450" t="str">
            <v>سفيزف</v>
          </cell>
          <cell r="G450" t="str">
            <v>1ج م ع4</v>
          </cell>
          <cell r="H450" t="str">
            <v>خارجي</v>
          </cell>
          <cell r="I450" t="str">
            <v>خ</v>
          </cell>
          <cell r="J450" t="str">
            <v>عبدالقادر</v>
          </cell>
          <cell r="K450" t="str">
            <v>حلوش  عبدالقادر</v>
          </cell>
          <cell r="L450" t="str">
            <v>متقاعد</v>
          </cell>
          <cell r="M450" t="str">
            <v>حي 181 سكن سفيزف</v>
          </cell>
        </row>
        <row r="451">
          <cell r="A451">
            <v>444</v>
          </cell>
          <cell r="B451" t="str">
            <v>خليج  محمد الأمين</v>
          </cell>
          <cell r="C451" t="str">
            <v>خليج</v>
          </cell>
          <cell r="D451" t="str">
            <v>محمد الأمين</v>
          </cell>
          <cell r="E451">
            <v>37007</v>
          </cell>
          <cell r="F451" t="str">
            <v>سفيزف</v>
          </cell>
          <cell r="G451" t="str">
            <v>1ج م ع4</v>
          </cell>
          <cell r="H451" t="str">
            <v>خارجي</v>
          </cell>
          <cell r="I451" t="str">
            <v>خ</v>
          </cell>
          <cell r="J451" t="str">
            <v>ابراهيم</v>
          </cell>
          <cell r="K451" t="str">
            <v>خليج  ابراهيم</v>
          </cell>
          <cell r="L451" t="str">
            <v>متقاعد</v>
          </cell>
          <cell r="M451" t="str">
            <v>حي 141سكن سفيزف</v>
          </cell>
        </row>
        <row r="452">
          <cell r="A452">
            <v>445</v>
          </cell>
          <cell r="B452" t="str">
            <v>زمالي  أيمن</v>
          </cell>
          <cell r="C452" t="str">
            <v>زمالي</v>
          </cell>
          <cell r="D452" t="str">
            <v>أيمن</v>
          </cell>
          <cell r="E452">
            <v>37385</v>
          </cell>
          <cell r="F452" t="str">
            <v>سفيزف</v>
          </cell>
          <cell r="G452" t="str">
            <v>1ج م ع4</v>
          </cell>
          <cell r="H452" t="str">
            <v>خارجي</v>
          </cell>
          <cell r="I452" t="str">
            <v>خ</v>
          </cell>
          <cell r="J452" t="str">
            <v>مهاجي</v>
          </cell>
          <cell r="K452" t="str">
            <v>زمالي  مهاجي</v>
          </cell>
          <cell r="L452" t="str">
            <v>لا شئ</v>
          </cell>
          <cell r="M452" t="str">
            <v>حي 214 سكن سفيزف</v>
          </cell>
        </row>
        <row r="453">
          <cell r="A453">
            <v>446</v>
          </cell>
          <cell r="B453" t="str">
            <v>فريحي  مختار محمد أمين</v>
          </cell>
          <cell r="C453" t="str">
            <v>فريحي</v>
          </cell>
          <cell r="D453" t="str">
            <v>مختار محمد أمين</v>
          </cell>
          <cell r="E453">
            <v>37329</v>
          </cell>
          <cell r="F453" t="str">
            <v>س بلعباس</v>
          </cell>
          <cell r="G453" t="str">
            <v>1ج م ع4</v>
          </cell>
          <cell r="H453" t="str">
            <v>خارجي</v>
          </cell>
          <cell r="I453" t="str">
            <v>خ</v>
          </cell>
          <cell r="J453" t="str">
            <v>محمد</v>
          </cell>
          <cell r="K453" t="str">
            <v>فريحي  محمد</v>
          </cell>
          <cell r="L453" t="str">
            <v>شرطي</v>
          </cell>
          <cell r="M453" t="str">
            <v>حي 181سكن سفيزف</v>
          </cell>
        </row>
        <row r="454">
          <cell r="A454">
            <v>447</v>
          </cell>
          <cell r="B454" t="str">
            <v>قشاش  محمد الأمين</v>
          </cell>
          <cell r="C454" t="str">
            <v>قشاش</v>
          </cell>
          <cell r="D454" t="str">
            <v>محمد الأمين</v>
          </cell>
          <cell r="E454">
            <v>37256</v>
          </cell>
          <cell r="F454" t="str">
            <v>سفيزف</v>
          </cell>
          <cell r="G454" t="str">
            <v>1ج م ع4</v>
          </cell>
          <cell r="H454" t="str">
            <v>خارجي</v>
          </cell>
          <cell r="I454" t="str">
            <v>خ</v>
          </cell>
          <cell r="J454" t="str">
            <v>إبراهيم</v>
          </cell>
          <cell r="K454" t="str">
            <v>قشاش  إبراهيم</v>
          </cell>
          <cell r="L454" t="str">
            <v>موظف</v>
          </cell>
          <cell r="M454" t="str">
            <v>حي 181سكن سفيزف</v>
          </cell>
        </row>
        <row r="455">
          <cell r="A455">
            <v>448</v>
          </cell>
          <cell r="B455" t="str">
            <v>لعسل   محمد هشام</v>
          </cell>
          <cell r="C455" t="str">
            <v xml:space="preserve">لعسل </v>
          </cell>
          <cell r="D455" t="str">
            <v>محمد هشام</v>
          </cell>
          <cell r="E455">
            <v>37336</v>
          </cell>
          <cell r="F455" t="str">
            <v>س بلعباس</v>
          </cell>
          <cell r="G455" t="str">
            <v>1ج م ع4</v>
          </cell>
          <cell r="H455" t="str">
            <v>خارجي</v>
          </cell>
          <cell r="I455" t="str">
            <v>خ</v>
          </cell>
          <cell r="J455" t="str">
            <v>عبدالله</v>
          </cell>
          <cell r="K455" t="str">
            <v>لعسل   عبدالله</v>
          </cell>
          <cell r="L455" t="str">
            <v>لا شئ</v>
          </cell>
          <cell r="M455" t="str">
            <v>حي 214 سكن سفيزف</v>
          </cell>
        </row>
        <row r="456">
          <cell r="A456">
            <v>449</v>
          </cell>
          <cell r="B456" t="str">
            <v>مبسوط  محمد</v>
          </cell>
          <cell r="C456" t="str">
            <v>مبسوط</v>
          </cell>
          <cell r="D456" t="str">
            <v>محمد</v>
          </cell>
          <cell r="E456">
            <v>37216</v>
          </cell>
          <cell r="F456" t="str">
            <v>سفيزف</v>
          </cell>
          <cell r="G456" t="str">
            <v>1ج م ع4</v>
          </cell>
          <cell r="H456" t="str">
            <v>خارجي</v>
          </cell>
          <cell r="I456" t="str">
            <v>خ</v>
          </cell>
          <cell r="J456" t="str">
            <v>علي</v>
          </cell>
          <cell r="K456" t="str">
            <v>مبسوط  علي</v>
          </cell>
          <cell r="L456" t="str">
            <v>متقاعد</v>
          </cell>
          <cell r="M456" t="str">
            <v>حي نواري بن عبدالله سفيزف</v>
          </cell>
        </row>
        <row r="457">
          <cell r="A457">
            <v>450</v>
          </cell>
          <cell r="B457" t="str">
            <v>منصورة  عبد المغيث</v>
          </cell>
          <cell r="C457" t="str">
            <v>منصورة</v>
          </cell>
          <cell r="D457" t="str">
            <v>عبد المغيث</v>
          </cell>
          <cell r="E457">
            <v>37552</v>
          </cell>
          <cell r="F457" t="str">
            <v>سفيزف</v>
          </cell>
          <cell r="G457" t="str">
            <v>1ج م ع4</v>
          </cell>
          <cell r="H457" t="str">
            <v>خارجي</v>
          </cell>
          <cell r="I457" t="str">
            <v>خ</v>
          </cell>
          <cell r="J457" t="str">
            <v>قادة</v>
          </cell>
          <cell r="K457" t="str">
            <v>منصورة  قادة</v>
          </cell>
          <cell r="L457" t="str">
            <v>متقاعد</v>
          </cell>
          <cell r="M457" t="str">
            <v>حي 27 سكن سفيزف</v>
          </cell>
        </row>
        <row r="458">
          <cell r="A458">
            <v>451</v>
          </cell>
          <cell r="B458" t="str">
            <v>مولقعدة  محمد أمين</v>
          </cell>
          <cell r="C458" t="str">
            <v>مولقعدة</v>
          </cell>
          <cell r="D458" t="str">
            <v>محمد أمين</v>
          </cell>
          <cell r="E458">
            <v>37549</v>
          </cell>
          <cell r="F458" t="str">
            <v>سفيزف</v>
          </cell>
          <cell r="G458" t="str">
            <v>1ج م ع4</v>
          </cell>
          <cell r="H458" t="str">
            <v>خارجي</v>
          </cell>
          <cell r="I458" t="str">
            <v>خ</v>
          </cell>
          <cell r="J458" t="str">
            <v>طيب</v>
          </cell>
          <cell r="K458" t="str">
            <v>مولقعدة  طيب</v>
          </cell>
          <cell r="L458" t="str">
            <v>تاجر</v>
          </cell>
          <cell r="M458" t="str">
            <v>حي 216 سكن سفيزف</v>
          </cell>
        </row>
        <row r="459">
          <cell r="A459">
            <v>452</v>
          </cell>
          <cell r="B459" t="str">
            <v>بوزوينة  هبة</v>
          </cell>
          <cell r="C459" t="str">
            <v>بوزوينة</v>
          </cell>
          <cell r="D459" t="str">
            <v>هبة</v>
          </cell>
          <cell r="E459">
            <v>37035</v>
          </cell>
          <cell r="F459" t="str">
            <v>س بلعباس</v>
          </cell>
          <cell r="G459" t="str">
            <v>1ج م آ1</v>
          </cell>
          <cell r="H459" t="str">
            <v>داخلية</v>
          </cell>
          <cell r="I459" t="str">
            <v>د</v>
          </cell>
          <cell r="J459" t="str">
            <v>دحمان</v>
          </cell>
          <cell r="K459" t="str">
            <v>بوزوينة  دحمان</v>
          </cell>
          <cell r="L459" t="str">
            <v>لا شئ</v>
          </cell>
          <cell r="M459" t="str">
            <v>بوجبهة البرج</v>
          </cell>
          <cell r="N459" t="str">
            <v>دلاني يوب</v>
          </cell>
          <cell r="O459" t="str">
            <v>حي 05 جويلية سفيزف</v>
          </cell>
        </row>
        <row r="460">
          <cell r="A460">
            <v>453</v>
          </cell>
          <cell r="B460" t="str">
            <v>بلقايدي  أمينة</v>
          </cell>
          <cell r="C460" t="str">
            <v>بلقايدي</v>
          </cell>
          <cell r="D460" t="str">
            <v>أمينة</v>
          </cell>
          <cell r="E460">
            <v>37348</v>
          </cell>
          <cell r="F460" t="str">
            <v>س بلعباس</v>
          </cell>
          <cell r="G460" t="str">
            <v>1ج م آ1</v>
          </cell>
          <cell r="H460" t="str">
            <v>داخلية</v>
          </cell>
          <cell r="I460" t="str">
            <v>د</v>
          </cell>
          <cell r="J460" t="str">
            <v>محمد</v>
          </cell>
          <cell r="K460" t="str">
            <v>بلقايدي  محمد</v>
          </cell>
          <cell r="L460" t="str">
            <v>فلاح</v>
          </cell>
          <cell r="M460" t="str">
            <v>وادالمبطوح</v>
          </cell>
          <cell r="N460" t="str">
            <v>ترزي احمد</v>
          </cell>
          <cell r="O460" t="str">
            <v>شارع الاخوة اوهيبة سفيزف</v>
          </cell>
        </row>
        <row r="461">
          <cell r="A461">
            <v>454</v>
          </cell>
          <cell r="B461" t="str">
            <v>محتوقي   إكرام</v>
          </cell>
          <cell r="C461" t="str">
            <v xml:space="preserve">محتوقي </v>
          </cell>
          <cell r="D461" t="str">
            <v>إكرام</v>
          </cell>
          <cell r="E461">
            <v>37545</v>
          </cell>
          <cell r="F461" t="str">
            <v>سفيزف</v>
          </cell>
          <cell r="G461" t="str">
            <v>1ج م آ1</v>
          </cell>
          <cell r="H461" t="str">
            <v>داخلية</v>
          </cell>
          <cell r="I461" t="str">
            <v>د</v>
          </cell>
          <cell r="J461" t="str">
            <v>محمد</v>
          </cell>
          <cell r="K461" t="str">
            <v>محتوقي   محمد</v>
          </cell>
          <cell r="L461" t="str">
            <v>حارس</v>
          </cell>
          <cell r="M461" t="str">
            <v>بوجبهة البرج</v>
          </cell>
          <cell r="N461" t="str">
            <v>حبيبس نورالدين</v>
          </cell>
          <cell r="O461" t="str">
            <v>حي العمارات الوسطى سفيزف</v>
          </cell>
        </row>
        <row r="462">
          <cell r="A462">
            <v>455</v>
          </cell>
          <cell r="B462" t="str">
            <v>مقدم  خديجة</v>
          </cell>
          <cell r="C462" t="str">
            <v>مقدم</v>
          </cell>
          <cell r="D462" t="str">
            <v>خديجة</v>
          </cell>
          <cell r="E462">
            <v>36886</v>
          </cell>
          <cell r="F462" t="str">
            <v>سفيزف</v>
          </cell>
          <cell r="G462" t="str">
            <v>1ج م آ1</v>
          </cell>
          <cell r="H462" t="str">
            <v>داخلية</v>
          </cell>
          <cell r="I462" t="str">
            <v>د</v>
          </cell>
          <cell r="J462" t="str">
            <v>بلاحة</v>
          </cell>
          <cell r="K462" t="str">
            <v>مقدم  بلاحة</v>
          </cell>
          <cell r="L462" t="str">
            <v>متقاعد</v>
          </cell>
          <cell r="M462" t="str">
            <v>بوجبهة البرج</v>
          </cell>
          <cell r="N462" t="str">
            <v>قلاليز مصطفى</v>
          </cell>
          <cell r="O462" t="str">
            <v>شارع أوهيبة ميلود سفيزف</v>
          </cell>
        </row>
        <row r="463">
          <cell r="A463">
            <v>456</v>
          </cell>
          <cell r="B463" t="str">
            <v>البحري   نسرين</v>
          </cell>
          <cell r="C463" t="str">
            <v xml:space="preserve">البحري </v>
          </cell>
          <cell r="D463" t="str">
            <v>نسرين</v>
          </cell>
          <cell r="E463">
            <v>36231</v>
          </cell>
          <cell r="F463" t="str">
            <v>سفيزف</v>
          </cell>
          <cell r="G463" t="str">
            <v>1ج م آ1</v>
          </cell>
          <cell r="H463" t="str">
            <v>ن داخلية</v>
          </cell>
          <cell r="I463" t="str">
            <v>ن/د</v>
          </cell>
          <cell r="J463" t="str">
            <v>محمد</v>
          </cell>
          <cell r="K463" t="str">
            <v>البحري   محمد</v>
          </cell>
          <cell r="L463" t="str">
            <v>حارس</v>
          </cell>
          <cell r="M463" t="str">
            <v>عين آدن</v>
          </cell>
        </row>
        <row r="464">
          <cell r="A464">
            <v>457</v>
          </cell>
          <cell r="B464" t="str">
            <v>دار سبع  مونة</v>
          </cell>
          <cell r="C464" t="str">
            <v>دار سبع</v>
          </cell>
          <cell r="D464" t="str">
            <v>مونة</v>
          </cell>
          <cell r="E464">
            <v>37491</v>
          </cell>
          <cell r="F464" t="str">
            <v>سفيزف</v>
          </cell>
          <cell r="G464" t="str">
            <v>1ج م آ1</v>
          </cell>
          <cell r="H464" t="str">
            <v>ن داخلية</v>
          </cell>
          <cell r="I464" t="str">
            <v>ن/د</v>
          </cell>
          <cell r="J464" t="str">
            <v>عبدالقادر</v>
          </cell>
          <cell r="K464" t="str">
            <v>دار سبع  عبدالقادر</v>
          </cell>
          <cell r="L464" t="str">
            <v>موظف</v>
          </cell>
          <cell r="M464" t="str">
            <v>عين آدن</v>
          </cell>
        </row>
        <row r="465">
          <cell r="A465">
            <v>458</v>
          </cell>
          <cell r="B465" t="str">
            <v>كدومي  يسرى</v>
          </cell>
          <cell r="C465" t="str">
            <v>كدومي</v>
          </cell>
          <cell r="D465" t="str">
            <v>يسرى</v>
          </cell>
          <cell r="E465">
            <v>36575</v>
          </cell>
          <cell r="F465" t="str">
            <v>سفيزف</v>
          </cell>
          <cell r="G465" t="str">
            <v>1ج م آ1</v>
          </cell>
          <cell r="H465" t="str">
            <v>ن داخلية</v>
          </cell>
          <cell r="I465" t="str">
            <v>ن/د</v>
          </cell>
          <cell r="J465" t="str">
            <v>أحمد</v>
          </cell>
          <cell r="K465" t="str">
            <v>كدومي  أحمد</v>
          </cell>
          <cell r="L465" t="str">
            <v>متقاعد</v>
          </cell>
          <cell r="M465" t="str">
            <v>عين أدن</v>
          </cell>
        </row>
        <row r="466">
          <cell r="A466">
            <v>459</v>
          </cell>
          <cell r="B466" t="str">
            <v>لومي  كنزة</v>
          </cell>
          <cell r="C466" t="str">
            <v>لومي</v>
          </cell>
          <cell r="D466" t="str">
            <v>كنزة</v>
          </cell>
          <cell r="E466">
            <v>37265</v>
          </cell>
          <cell r="F466" t="str">
            <v>سفيزف</v>
          </cell>
          <cell r="G466" t="str">
            <v>1ج م آ1</v>
          </cell>
          <cell r="H466" t="str">
            <v>ن داخلية</v>
          </cell>
          <cell r="I466" t="str">
            <v>ن/د</v>
          </cell>
          <cell r="J466" t="str">
            <v>أحمد</v>
          </cell>
          <cell r="K466" t="str">
            <v>لومي  أحمد</v>
          </cell>
          <cell r="L466" t="str">
            <v>مدير</v>
          </cell>
          <cell r="M466" t="str">
            <v>عين آدن</v>
          </cell>
        </row>
        <row r="467">
          <cell r="A467">
            <v>460</v>
          </cell>
          <cell r="B467" t="str">
            <v>بلفكرون  محمدالأمين</v>
          </cell>
          <cell r="C467" t="str">
            <v>بلفكرون</v>
          </cell>
          <cell r="D467" t="str">
            <v>محمدالأمين</v>
          </cell>
          <cell r="E467">
            <v>37166</v>
          </cell>
          <cell r="F467" t="str">
            <v>سفيزف</v>
          </cell>
          <cell r="G467" t="str">
            <v>1ج م آ1</v>
          </cell>
          <cell r="H467" t="str">
            <v>ن داخلي</v>
          </cell>
          <cell r="I467" t="str">
            <v>ن/د</v>
          </cell>
          <cell r="J467" t="str">
            <v>محمد</v>
          </cell>
          <cell r="K467" t="str">
            <v>بلفكرون  محمد</v>
          </cell>
          <cell r="L467" t="str">
            <v>متقاعد</v>
          </cell>
          <cell r="M467" t="str">
            <v>مقطع دار اسبع عين أدن</v>
          </cell>
        </row>
        <row r="468">
          <cell r="A468">
            <v>461</v>
          </cell>
          <cell r="B468" t="str">
            <v>بن تخيسي  أسماء سمية</v>
          </cell>
          <cell r="C468" t="str">
            <v>بن تخيسي</v>
          </cell>
          <cell r="D468" t="str">
            <v>أسماء سمية</v>
          </cell>
          <cell r="E468">
            <v>37497</v>
          </cell>
          <cell r="F468" t="str">
            <v>سفيزف</v>
          </cell>
          <cell r="G468" t="str">
            <v>1ج م آ1</v>
          </cell>
          <cell r="H468" t="str">
            <v>خارجية</v>
          </cell>
          <cell r="I468" t="str">
            <v>خ</v>
          </cell>
          <cell r="J468" t="str">
            <v>أمحمد</v>
          </cell>
          <cell r="K468" t="str">
            <v>بن تخيسي  أمحمد</v>
          </cell>
          <cell r="L468" t="str">
            <v>متقاعد</v>
          </cell>
          <cell r="M468" t="str">
            <v>25شارع احمد زبانة سفيزف</v>
          </cell>
        </row>
        <row r="469">
          <cell r="A469">
            <v>462</v>
          </cell>
          <cell r="B469" t="str">
            <v>حديد   نجاة</v>
          </cell>
          <cell r="C469" t="str">
            <v xml:space="preserve">حديد </v>
          </cell>
          <cell r="D469" t="str">
            <v>نجاة</v>
          </cell>
          <cell r="E469">
            <v>37449</v>
          </cell>
          <cell r="F469" t="str">
            <v>سفيزف</v>
          </cell>
          <cell r="G469" t="str">
            <v>1ج م آ1</v>
          </cell>
          <cell r="H469" t="str">
            <v>خارجية</v>
          </cell>
          <cell r="I469" t="str">
            <v>خ</v>
          </cell>
          <cell r="J469" t="str">
            <v>عيسى</v>
          </cell>
          <cell r="K469" t="str">
            <v>حديد   عيسى</v>
          </cell>
          <cell r="L469" t="str">
            <v>متقاعد</v>
          </cell>
          <cell r="M469" t="str">
            <v>حي30سكن المشتلة سفيزف</v>
          </cell>
        </row>
        <row r="470">
          <cell r="A470">
            <v>463</v>
          </cell>
          <cell r="B470" t="str">
            <v>حملات   عبير</v>
          </cell>
          <cell r="C470" t="str">
            <v xml:space="preserve">حملات </v>
          </cell>
          <cell r="D470" t="str">
            <v>عبير</v>
          </cell>
          <cell r="E470">
            <v>37168</v>
          </cell>
          <cell r="F470" t="str">
            <v>سفيزف</v>
          </cell>
          <cell r="G470" t="str">
            <v>1ج م آ1</v>
          </cell>
          <cell r="H470" t="str">
            <v>خارجية</v>
          </cell>
          <cell r="I470" t="str">
            <v>خ</v>
          </cell>
          <cell r="J470" t="str">
            <v>محمد</v>
          </cell>
          <cell r="K470" t="str">
            <v>حملات   محمد</v>
          </cell>
          <cell r="L470" t="str">
            <v>لا شئ</v>
          </cell>
          <cell r="M470" t="str">
            <v>شارع بوخلخال الحبيب سفيزف</v>
          </cell>
        </row>
        <row r="471">
          <cell r="A471">
            <v>464</v>
          </cell>
          <cell r="B471" t="str">
            <v>حميدة  أماني عائشة</v>
          </cell>
          <cell r="C471" t="str">
            <v>حميدة</v>
          </cell>
          <cell r="D471" t="str">
            <v>أماني عائشة</v>
          </cell>
          <cell r="E471">
            <v>37588</v>
          </cell>
          <cell r="F471" t="str">
            <v>س بلعباس</v>
          </cell>
          <cell r="G471" t="str">
            <v>1ج م آ1</v>
          </cell>
          <cell r="H471" t="str">
            <v>خارجية</v>
          </cell>
          <cell r="I471" t="str">
            <v>خ</v>
          </cell>
          <cell r="J471" t="str">
            <v>ياسين</v>
          </cell>
          <cell r="K471" t="str">
            <v>حميدة  ياسين</v>
          </cell>
          <cell r="L471" t="str">
            <v>تاجر</v>
          </cell>
          <cell r="M471" t="str">
            <v>حي نواري بن عبدالله سفيزف</v>
          </cell>
        </row>
        <row r="472">
          <cell r="A472">
            <v>465</v>
          </cell>
          <cell r="B472" t="str">
            <v>ديدة  سناء</v>
          </cell>
          <cell r="C472" t="str">
            <v>ديدة</v>
          </cell>
          <cell r="D472" t="str">
            <v>سناء</v>
          </cell>
          <cell r="E472">
            <v>36356</v>
          </cell>
          <cell r="F472" t="str">
            <v>سفيزف</v>
          </cell>
          <cell r="G472" t="str">
            <v>1ج م آ1</v>
          </cell>
          <cell r="H472" t="str">
            <v>خارجية</v>
          </cell>
          <cell r="I472" t="str">
            <v>خ</v>
          </cell>
          <cell r="J472" t="str">
            <v>عبدالله</v>
          </cell>
          <cell r="K472" t="str">
            <v>ديدة  عبدالله</v>
          </cell>
          <cell r="L472" t="str">
            <v>متقاعد</v>
          </cell>
          <cell r="M472" t="str">
            <v>حي 506سكن سفيزف</v>
          </cell>
        </row>
        <row r="473">
          <cell r="A473">
            <v>466</v>
          </cell>
          <cell r="B473" t="str">
            <v>رحموني  مروة</v>
          </cell>
          <cell r="C473" t="str">
            <v>رحموني</v>
          </cell>
          <cell r="D473" t="str">
            <v>مروة</v>
          </cell>
          <cell r="E473">
            <v>37552</v>
          </cell>
          <cell r="F473" t="str">
            <v>سفيزف</v>
          </cell>
          <cell r="G473" t="str">
            <v>1ج م آ1</v>
          </cell>
          <cell r="H473" t="str">
            <v>خارجية</v>
          </cell>
          <cell r="I473" t="str">
            <v>خ</v>
          </cell>
          <cell r="J473" t="str">
            <v>عبدالرحمان</v>
          </cell>
          <cell r="K473" t="str">
            <v>رحموني  عبدالرحمان</v>
          </cell>
          <cell r="L473" t="str">
            <v>متقاعد</v>
          </cell>
          <cell r="M473" t="str">
            <v>شارع اوهيبة ميلود سفيزف</v>
          </cell>
        </row>
        <row r="474">
          <cell r="A474">
            <v>467</v>
          </cell>
          <cell r="B474" t="str">
            <v>رمضاني  بدرة</v>
          </cell>
          <cell r="C474" t="str">
            <v>رمضاني</v>
          </cell>
          <cell r="D474" t="str">
            <v>بدرة</v>
          </cell>
          <cell r="E474">
            <v>37508</v>
          </cell>
          <cell r="F474" t="str">
            <v>سفيزف</v>
          </cell>
          <cell r="G474" t="str">
            <v>1ج م آ1</v>
          </cell>
          <cell r="H474" t="str">
            <v>خارجية</v>
          </cell>
          <cell r="I474" t="str">
            <v>خ</v>
          </cell>
          <cell r="J474" t="str">
            <v>عبدالقادر</v>
          </cell>
          <cell r="K474" t="str">
            <v>رمضاني  عبدالقادر</v>
          </cell>
          <cell r="L474" t="str">
            <v>متقاعد</v>
          </cell>
          <cell r="M474" t="str">
            <v>55حي صلاة محمد سفيزف</v>
          </cell>
        </row>
        <row r="475">
          <cell r="A475">
            <v>468</v>
          </cell>
          <cell r="B475" t="str">
            <v>شرفي   أسماء</v>
          </cell>
          <cell r="C475" t="str">
            <v xml:space="preserve">شرفي </v>
          </cell>
          <cell r="D475" t="str">
            <v>أسماء</v>
          </cell>
          <cell r="E475">
            <v>36563</v>
          </cell>
          <cell r="F475" t="str">
            <v>سفيزف</v>
          </cell>
          <cell r="G475" t="str">
            <v>1ج م آ1</v>
          </cell>
          <cell r="H475" t="str">
            <v>خارجية</v>
          </cell>
          <cell r="I475" t="str">
            <v>خ</v>
          </cell>
          <cell r="J475" t="str">
            <v>جيلالي</v>
          </cell>
          <cell r="K475" t="str">
            <v>شرفي   جيلالي</v>
          </cell>
          <cell r="L475" t="str">
            <v>سائق</v>
          </cell>
          <cell r="M475" t="str">
            <v>حي بوهند يحي سفيزف</v>
          </cell>
        </row>
        <row r="476">
          <cell r="A476">
            <v>469</v>
          </cell>
          <cell r="B476" t="str">
            <v>طالبي  سمية</v>
          </cell>
          <cell r="C476" t="str">
            <v>طالبي</v>
          </cell>
          <cell r="D476" t="str">
            <v>سمية</v>
          </cell>
          <cell r="E476">
            <v>36623</v>
          </cell>
          <cell r="F476" t="str">
            <v>سفيزف</v>
          </cell>
          <cell r="G476" t="str">
            <v>1ج م آ1</v>
          </cell>
          <cell r="H476" t="str">
            <v>خارجية</v>
          </cell>
          <cell r="I476" t="str">
            <v>خ</v>
          </cell>
          <cell r="J476" t="str">
            <v>بن عمر</v>
          </cell>
          <cell r="K476" t="str">
            <v>طالبي  بن عمر</v>
          </cell>
          <cell r="L476" t="str">
            <v>لاشيء</v>
          </cell>
          <cell r="M476" t="str">
            <v>حي 100سكن المشتلة سفيزف</v>
          </cell>
        </row>
        <row r="477">
          <cell r="A477">
            <v>470</v>
          </cell>
          <cell r="B477" t="str">
            <v>عمريس  إبتسام</v>
          </cell>
          <cell r="C477" t="str">
            <v>عمريس</v>
          </cell>
          <cell r="D477" t="str">
            <v>إبتسام</v>
          </cell>
          <cell r="E477">
            <v>37580</v>
          </cell>
          <cell r="F477" t="str">
            <v>سفيزف</v>
          </cell>
          <cell r="G477" t="str">
            <v>1ج م آ1</v>
          </cell>
          <cell r="H477" t="str">
            <v>خارجية</v>
          </cell>
          <cell r="I477" t="str">
            <v>خ</v>
          </cell>
          <cell r="J477" t="str">
            <v>محمد</v>
          </cell>
          <cell r="K477" t="str">
            <v>عمريس  محمد</v>
          </cell>
          <cell r="L477" t="str">
            <v>متقاعد</v>
          </cell>
          <cell r="M477" t="str">
            <v>حي141سكن سفيزف</v>
          </cell>
        </row>
        <row r="478">
          <cell r="A478">
            <v>471</v>
          </cell>
          <cell r="B478" t="str">
            <v>فارسي   رحاب يمينة</v>
          </cell>
          <cell r="C478" t="str">
            <v xml:space="preserve">فارسي </v>
          </cell>
          <cell r="D478" t="str">
            <v>رحاب يمينة</v>
          </cell>
          <cell r="E478">
            <v>37327</v>
          </cell>
          <cell r="F478" t="str">
            <v>سفيزف</v>
          </cell>
          <cell r="G478" t="str">
            <v>1ج م آ1</v>
          </cell>
          <cell r="H478" t="str">
            <v>خارجية</v>
          </cell>
          <cell r="I478" t="str">
            <v>خ</v>
          </cell>
          <cell r="J478" t="str">
            <v>عبدالرزاق</v>
          </cell>
          <cell r="K478" t="str">
            <v>فارسي   عبدالرزاق</v>
          </cell>
          <cell r="L478" t="str">
            <v>لا شئ</v>
          </cell>
          <cell r="M478" t="str">
            <v>حي 100سكن  سفيزف</v>
          </cell>
        </row>
        <row r="479">
          <cell r="A479">
            <v>472</v>
          </cell>
          <cell r="B479" t="str">
            <v>قاسمي  فريال نرجس</v>
          </cell>
          <cell r="C479" t="str">
            <v>قاسمي</v>
          </cell>
          <cell r="D479" t="str">
            <v>فريال نرجس</v>
          </cell>
          <cell r="E479">
            <v>36571</v>
          </cell>
          <cell r="F479" t="str">
            <v>س بلعباس</v>
          </cell>
          <cell r="G479" t="str">
            <v>1ج م آ1</v>
          </cell>
          <cell r="H479" t="str">
            <v>خارجية</v>
          </cell>
          <cell r="I479" t="str">
            <v>خ</v>
          </cell>
          <cell r="J479" t="str">
            <v>عبدالخالق</v>
          </cell>
          <cell r="K479" t="str">
            <v>قاسمي  عبدالخالق</v>
          </cell>
          <cell r="L479" t="str">
            <v>سائق</v>
          </cell>
          <cell r="M479" t="str">
            <v>حي كشار صحراوي سفيزف</v>
          </cell>
        </row>
        <row r="480">
          <cell r="A480">
            <v>473</v>
          </cell>
          <cell r="B480" t="str">
            <v>قسوم  رجاء فاطمة</v>
          </cell>
          <cell r="C480" t="str">
            <v>قسوم</v>
          </cell>
          <cell r="D480" t="str">
            <v>رجاء فاطمة</v>
          </cell>
          <cell r="E480">
            <v>37566</v>
          </cell>
          <cell r="F480" t="str">
            <v>سفيزف</v>
          </cell>
          <cell r="G480" t="str">
            <v>1ج م آ1</v>
          </cell>
          <cell r="H480" t="str">
            <v>خارجية</v>
          </cell>
          <cell r="I480" t="str">
            <v>خ</v>
          </cell>
          <cell r="J480" t="str">
            <v>مختار</v>
          </cell>
          <cell r="K480" t="str">
            <v>قسوم  مختار</v>
          </cell>
          <cell r="L480" t="str">
            <v>متقاعد</v>
          </cell>
          <cell r="M480" t="str">
            <v>حي كشار صحراوي سفيزف</v>
          </cell>
        </row>
        <row r="481">
          <cell r="A481">
            <v>474</v>
          </cell>
          <cell r="B481" t="str">
            <v>مزوني  منال</v>
          </cell>
          <cell r="C481" t="str">
            <v>مزوني</v>
          </cell>
          <cell r="D481" t="str">
            <v>منال</v>
          </cell>
          <cell r="E481">
            <v>37281</v>
          </cell>
          <cell r="F481" t="str">
            <v>سفيزف</v>
          </cell>
          <cell r="G481" t="str">
            <v>1ج م آ1</v>
          </cell>
          <cell r="H481" t="str">
            <v>خارجية</v>
          </cell>
          <cell r="I481" t="str">
            <v>خ</v>
          </cell>
          <cell r="J481" t="str">
            <v>بقدور</v>
          </cell>
          <cell r="K481" t="str">
            <v>مزوني  بقدور</v>
          </cell>
          <cell r="L481" t="str">
            <v>تاجر</v>
          </cell>
          <cell r="M481" t="str">
            <v>حي هواري بومدين سفيزف</v>
          </cell>
        </row>
        <row r="482">
          <cell r="A482">
            <v>475</v>
          </cell>
          <cell r="B482" t="str">
            <v>مالك  فايزة</v>
          </cell>
          <cell r="C482" t="str">
            <v>مالك</v>
          </cell>
          <cell r="D482" t="str">
            <v>فايزة</v>
          </cell>
          <cell r="E482">
            <v>37340</v>
          </cell>
          <cell r="F482" t="str">
            <v>س بلعباس</v>
          </cell>
          <cell r="G482" t="str">
            <v>1ج م آ1</v>
          </cell>
          <cell r="H482" t="str">
            <v>خارجية</v>
          </cell>
          <cell r="I482" t="str">
            <v>خ</v>
          </cell>
          <cell r="J482" t="str">
            <v>ميسوم</v>
          </cell>
          <cell r="K482" t="str">
            <v>مالك  ميسوم</v>
          </cell>
          <cell r="L482" t="str">
            <v>عامل</v>
          </cell>
          <cell r="M482" t="str">
            <v>حي 141 سكن سفيزف</v>
          </cell>
        </row>
        <row r="483">
          <cell r="A483">
            <v>476</v>
          </cell>
          <cell r="B483" t="str">
            <v>مسعد  شيماء ريم</v>
          </cell>
          <cell r="C483" t="str">
            <v>مسعد</v>
          </cell>
          <cell r="D483" t="str">
            <v>شيماء ريم</v>
          </cell>
          <cell r="E483">
            <v>37041</v>
          </cell>
          <cell r="F483" t="str">
            <v>س بلعباس</v>
          </cell>
          <cell r="G483" t="str">
            <v>1ج م آ1</v>
          </cell>
          <cell r="H483" t="str">
            <v>خارجية</v>
          </cell>
          <cell r="I483" t="str">
            <v>خ</v>
          </cell>
          <cell r="J483" t="str">
            <v>عبدالقادر</v>
          </cell>
          <cell r="K483" t="str">
            <v>مسعد  عبدالقادر</v>
          </cell>
          <cell r="L483" t="str">
            <v>شرطي</v>
          </cell>
          <cell r="M483" t="str">
            <v>10شارع بوخلخال الحبيب سفيزف</v>
          </cell>
        </row>
        <row r="484">
          <cell r="A484">
            <v>477</v>
          </cell>
          <cell r="B484" t="str">
            <v>مسمود   ياسمين</v>
          </cell>
          <cell r="C484" t="str">
            <v xml:space="preserve">مسمود </v>
          </cell>
          <cell r="D484" t="str">
            <v>ياسمين</v>
          </cell>
          <cell r="E484">
            <v>37640</v>
          </cell>
          <cell r="F484" t="str">
            <v>س بلعباس</v>
          </cell>
          <cell r="G484" t="str">
            <v>1ج م آ1</v>
          </cell>
          <cell r="H484" t="str">
            <v>خارجية</v>
          </cell>
          <cell r="I484" t="str">
            <v>خ</v>
          </cell>
          <cell r="J484" t="str">
            <v>بلاحة</v>
          </cell>
          <cell r="K484" t="str">
            <v>مسمود   بلاحة</v>
          </cell>
          <cell r="L484" t="str">
            <v>متقاعد</v>
          </cell>
          <cell r="M484" t="str">
            <v>حي 141 سكن سفيزف</v>
          </cell>
        </row>
        <row r="485">
          <cell r="A485">
            <v>478</v>
          </cell>
          <cell r="B485" t="str">
            <v>بن حويدقة  أحمد علي الدين</v>
          </cell>
          <cell r="C485" t="str">
            <v>بن حويدقة</v>
          </cell>
          <cell r="D485" t="str">
            <v>أحمد علي الدين</v>
          </cell>
          <cell r="E485">
            <v>37636</v>
          </cell>
          <cell r="F485" t="str">
            <v>سفيزف</v>
          </cell>
          <cell r="G485" t="str">
            <v>1ج م آ1</v>
          </cell>
          <cell r="H485" t="str">
            <v>خارجي</v>
          </cell>
          <cell r="I485" t="str">
            <v>خ</v>
          </cell>
          <cell r="J485" t="str">
            <v>عبدالقادر</v>
          </cell>
          <cell r="K485" t="str">
            <v>بن حويدقة  عبدالقادر</v>
          </cell>
          <cell r="L485" t="str">
            <v>موظف</v>
          </cell>
          <cell r="M485" t="str">
            <v>حي 24سكن  سفيزف</v>
          </cell>
        </row>
        <row r="486">
          <cell r="A486">
            <v>479</v>
          </cell>
          <cell r="B486" t="str">
            <v>بن هادي  مصطفى</v>
          </cell>
          <cell r="C486" t="str">
            <v>بن هادي</v>
          </cell>
          <cell r="D486" t="str">
            <v>مصطفى</v>
          </cell>
          <cell r="E486">
            <v>36967</v>
          </cell>
          <cell r="F486" t="str">
            <v>سفيزف</v>
          </cell>
          <cell r="G486" t="str">
            <v>1ج م آ1</v>
          </cell>
          <cell r="H486" t="str">
            <v>خارجي</v>
          </cell>
          <cell r="I486" t="str">
            <v>خ</v>
          </cell>
          <cell r="J486" t="str">
            <v>عبدالرحمن</v>
          </cell>
          <cell r="K486" t="str">
            <v>بن هادي  عبدالرحمن</v>
          </cell>
          <cell r="L486" t="str">
            <v>موظف</v>
          </cell>
          <cell r="M486" t="str">
            <v>حي كشار صحراوي سفيزف</v>
          </cell>
        </row>
        <row r="487">
          <cell r="A487">
            <v>480</v>
          </cell>
          <cell r="B487" t="str">
            <v>بوخريز  محمد الأمين</v>
          </cell>
          <cell r="C487" t="str">
            <v>بوخريز</v>
          </cell>
          <cell r="D487" t="str">
            <v>محمد الأمين</v>
          </cell>
          <cell r="E487">
            <v>37163</v>
          </cell>
          <cell r="F487" t="str">
            <v>س بلعباس</v>
          </cell>
          <cell r="G487" t="str">
            <v>1ج م آ1</v>
          </cell>
          <cell r="H487" t="str">
            <v>خارجي</v>
          </cell>
          <cell r="I487" t="str">
            <v>خ</v>
          </cell>
          <cell r="J487" t="str">
            <v>بوعلام</v>
          </cell>
          <cell r="K487" t="str">
            <v>بوخريز  بوعلام</v>
          </cell>
          <cell r="L487" t="str">
            <v>سائق</v>
          </cell>
          <cell r="M487" t="str">
            <v>حي 60سكن سفيزف</v>
          </cell>
        </row>
        <row r="488">
          <cell r="A488">
            <v>481</v>
          </cell>
          <cell r="B488" t="str">
            <v>بوهند  حمزة</v>
          </cell>
          <cell r="C488" t="str">
            <v>بوهند</v>
          </cell>
          <cell r="D488" t="str">
            <v>حمزة</v>
          </cell>
          <cell r="E488">
            <v>36826</v>
          </cell>
          <cell r="F488" t="str">
            <v>س بلعباس</v>
          </cell>
          <cell r="G488" t="str">
            <v>1ج م آ1</v>
          </cell>
          <cell r="H488" t="str">
            <v>خارجي</v>
          </cell>
          <cell r="I488" t="str">
            <v>خ</v>
          </cell>
          <cell r="J488" t="str">
            <v>عبدالنعيم</v>
          </cell>
          <cell r="K488" t="str">
            <v>بوهند  عبدالنعيم</v>
          </cell>
          <cell r="L488" t="str">
            <v>حارس</v>
          </cell>
          <cell r="M488" t="str">
            <v>حي كشار صحراوي سفيزف</v>
          </cell>
        </row>
        <row r="489">
          <cell r="A489">
            <v>482</v>
          </cell>
          <cell r="B489" t="str">
            <v>حامق  أحمد جواد</v>
          </cell>
          <cell r="C489" t="str">
            <v>حامق</v>
          </cell>
          <cell r="D489" t="str">
            <v>أحمد جواد</v>
          </cell>
          <cell r="E489">
            <v>37216</v>
          </cell>
          <cell r="F489" t="str">
            <v>س بلعباس</v>
          </cell>
          <cell r="G489" t="str">
            <v>1ج م آ1</v>
          </cell>
          <cell r="H489" t="str">
            <v>خارجي</v>
          </cell>
          <cell r="I489" t="str">
            <v>خ</v>
          </cell>
          <cell r="J489" t="str">
            <v>يحي</v>
          </cell>
          <cell r="K489" t="str">
            <v>حامق  يحي</v>
          </cell>
          <cell r="L489" t="str">
            <v>شرطي</v>
          </cell>
          <cell r="M489" t="str">
            <v>حي 117 سكن سفيزف</v>
          </cell>
        </row>
        <row r="490">
          <cell r="A490">
            <v>483</v>
          </cell>
          <cell r="B490" t="str">
            <v>زعتر  محمد زهير أيمن</v>
          </cell>
          <cell r="C490" t="str">
            <v>زعتر</v>
          </cell>
          <cell r="D490" t="str">
            <v>محمد زهير أيمن</v>
          </cell>
          <cell r="E490">
            <v>37161</v>
          </cell>
          <cell r="F490" t="str">
            <v>تلمسان</v>
          </cell>
          <cell r="G490" t="str">
            <v>1ج م آ1</v>
          </cell>
          <cell r="H490" t="str">
            <v>خارجي</v>
          </cell>
          <cell r="I490" t="str">
            <v>خ</v>
          </cell>
          <cell r="J490" t="str">
            <v>سحنون</v>
          </cell>
          <cell r="K490" t="str">
            <v>زعتر  سحنون</v>
          </cell>
          <cell r="L490" t="str">
            <v>موظف</v>
          </cell>
          <cell r="M490" t="str">
            <v>حي كشار صحراوي سفيزف</v>
          </cell>
        </row>
        <row r="491">
          <cell r="A491">
            <v>484</v>
          </cell>
          <cell r="B491" t="str">
            <v>شيهب  فتحي</v>
          </cell>
          <cell r="C491" t="str">
            <v>شيهب</v>
          </cell>
          <cell r="D491" t="str">
            <v>فتحي</v>
          </cell>
          <cell r="E491">
            <v>36540</v>
          </cell>
          <cell r="F491" t="str">
            <v>سفيزف</v>
          </cell>
          <cell r="G491" t="str">
            <v>1ج م آ1</v>
          </cell>
          <cell r="H491" t="str">
            <v>خارجي</v>
          </cell>
          <cell r="I491" t="str">
            <v>خ</v>
          </cell>
          <cell r="J491" t="str">
            <v>يحي</v>
          </cell>
          <cell r="K491" t="str">
            <v>شيهب  يحي</v>
          </cell>
          <cell r="L491" t="str">
            <v>بناء</v>
          </cell>
          <cell r="M491" t="str">
            <v>شارع حداد قادة سفيزف</v>
          </cell>
        </row>
        <row r="492">
          <cell r="A492">
            <v>485</v>
          </cell>
          <cell r="B492" t="str">
            <v>طيبي  علاء الدين</v>
          </cell>
          <cell r="C492" t="str">
            <v>طيبي</v>
          </cell>
          <cell r="D492" t="str">
            <v>علاء الدين</v>
          </cell>
          <cell r="E492">
            <v>36273</v>
          </cell>
          <cell r="F492" t="str">
            <v>س بلعباس</v>
          </cell>
          <cell r="G492" t="str">
            <v>1ج م آ1</v>
          </cell>
          <cell r="H492" t="str">
            <v>خارجي</v>
          </cell>
          <cell r="I492" t="str">
            <v>خ</v>
          </cell>
          <cell r="J492" t="str">
            <v>أحمد</v>
          </cell>
          <cell r="K492" t="str">
            <v>طيبي  أحمد</v>
          </cell>
          <cell r="L492" t="str">
            <v>أستاذ</v>
          </cell>
          <cell r="M492" t="str">
            <v>حي117سكن سوريكور سفيزف</v>
          </cell>
        </row>
        <row r="493">
          <cell r="A493">
            <v>486</v>
          </cell>
          <cell r="B493" t="str">
            <v xml:space="preserve">عدوني   يحي </v>
          </cell>
          <cell r="C493" t="str">
            <v xml:space="preserve">عدوني </v>
          </cell>
          <cell r="D493" t="str">
            <v xml:space="preserve">يحي </v>
          </cell>
          <cell r="E493">
            <v>37607</v>
          </cell>
          <cell r="F493" t="str">
            <v>سفيزف</v>
          </cell>
          <cell r="G493" t="str">
            <v>1ج م آ1</v>
          </cell>
          <cell r="H493" t="str">
            <v>خارجي</v>
          </cell>
          <cell r="I493" t="str">
            <v>خ</v>
          </cell>
          <cell r="J493" t="str">
            <v>أحمد</v>
          </cell>
          <cell r="K493" t="str">
            <v>عدوني   أحمد</v>
          </cell>
          <cell r="L493" t="str">
            <v>تاجر</v>
          </cell>
          <cell r="M493" t="str">
            <v>حي 214 سكن سفيزف</v>
          </cell>
        </row>
        <row r="494">
          <cell r="A494">
            <v>487</v>
          </cell>
          <cell r="B494" t="str">
            <v>معرف  أسامة</v>
          </cell>
          <cell r="C494" t="str">
            <v>معرف</v>
          </cell>
          <cell r="D494" t="str">
            <v>أسامة</v>
          </cell>
          <cell r="E494">
            <v>36738</v>
          </cell>
          <cell r="F494" t="str">
            <v>سفيزف</v>
          </cell>
          <cell r="G494" t="str">
            <v>1ج م آ1</v>
          </cell>
          <cell r="H494" t="str">
            <v>خارجي</v>
          </cell>
          <cell r="I494" t="str">
            <v>خ</v>
          </cell>
          <cell r="J494" t="str">
            <v>الحاج</v>
          </cell>
          <cell r="K494" t="str">
            <v>معرف  الحاج</v>
          </cell>
          <cell r="L494" t="str">
            <v>متقاعد</v>
          </cell>
          <cell r="M494" t="str">
            <v>حي 216 سكن سفيزف</v>
          </cell>
        </row>
        <row r="495">
          <cell r="A495">
            <v>488</v>
          </cell>
          <cell r="B495" t="str">
            <v>مقسم   مصطفى</v>
          </cell>
          <cell r="C495" t="str">
            <v xml:space="preserve">مقسم </v>
          </cell>
          <cell r="D495" t="str">
            <v>مصطفى</v>
          </cell>
          <cell r="E495">
            <v>36594</v>
          </cell>
          <cell r="F495" t="str">
            <v>سفيزف</v>
          </cell>
          <cell r="G495" t="str">
            <v>1ج م آ1</v>
          </cell>
          <cell r="H495" t="str">
            <v>خارجي</v>
          </cell>
          <cell r="I495" t="str">
            <v>خ</v>
          </cell>
          <cell r="J495" t="str">
            <v>محمد</v>
          </cell>
          <cell r="K495" t="str">
            <v>مقسم   محمد</v>
          </cell>
          <cell r="L495" t="str">
            <v>متقاعد</v>
          </cell>
          <cell r="M495" t="str">
            <v>حي 506 سكن سفيزف</v>
          </cell>
        </row>
        <row r="496">
          <cell r="A496">
            <v>489</v>
          </cell>
          <cell r="B496" t="str">
            <v>ملاتي   وائل</v>
          </cell>
          <cell r="C496" t="str">
            <v xml:space="preserve">ملاتي </v>
          </cell>
          <cell r="D496" t="str">
            <v>وائل</v>
          </cell>
          <cell r="E496">
            <v>37440</v>
          </cell>
          <cell r="F496" t="str">
            <v>س بلعباس</v>
          </cell>
          <cell r="G496" t="str">
            <v>1ج م آ1</v>
          </cell>
          <cell r="H496" t="str">
            <v>خارجي</v>
          </cell>
          <cell r="I496" t="str">
            <v>خ</v>
          </cell>
          <cell r="J496" t="str">
            <v>حاج</v>
          </cell>
          <cell r="K496" t="str">
            <v>ملاتي   حاج</v>
          </cell>
          <cell r="L496" t="str">
            <v>متقاعد</v>
          </cell>
          <cell r="M496" t="str">
            <v>59 شارع جرموني محمد سفيزف</v>
          </cell>
        </row>
        <row r="497">
          <cell r="A497">
            <v>490</v>
          </cell>
          <cell r="B497" t="str">
            <v>بن عبد المومن  مريم</v>
          </cell>
          <cell r="C497" t="str">
            <v>بن عبد المومن</v>
          </cell>
          <cell r="D497" t="str">
            <v>مريم</v>
          </cell>
          <cell r="E497">
            <v>36554</v>
          </cell>
          <cell r="F497" t="str">
            <v>غيليزان</v>
          </cell>
          <cell r="G497" t="str">
            <v>1ج م آ2</v>
          </cell>
          <cell r="H497" t="str">
            <v>داخلية</v>
          </cell>
          <cell r="I497" t="str">
            <v>د</v>
          </cell>
          <cell r="J497" t="str">
            <v>معمر</v>
          </cell>
          <cell r="K497" t="str">
            <v>بن عبد المومن  معمر</v>
          </cell>
          <cell r="L497" t="str">
            <v>إمام</v>
          </cell>
          <cell r="M497" t="str">
            <v>بوجبهة البرج</v>
          </cell>
          <cell r="N497" t="str">
            <v>نحال عباس</v>
          </cell>
          <cell r="O497" t="str">
            <v>15شارع بنابي احمد سفيزف</v>
          </cell>
        </row>
        <row r="498">
          <cell r="A498">
            <v>491</v>
          </cell>
          <cell r="B498" t="str">
            <v>بوزوينة  هاجر سمية</v>
          </cell>
          <cell r="C498" t="str">
            <v>بوزوينة</v>
          </cell>
          <cell r="D498" t="str">
            <v>هاجر سمية</v>
          </cell>
          <cell r="E498">
            <v>37558</v>
          </cell>
          <cell r="F498" t="str">
            <v>س بلعباس</v>
          </cell>
          <cell r="G498" t="str">
            <v>1ج م آ2</v>
          </cell>
          <cell r="H498" t="str">
            <v>داخلية</v>
          </cell>
          <cell r="I498" t="str">
            <v>د</v>
          </cell>
          <cell r="J498" t="str">
            <v>محمد</v>
          </cell>
          <cell r="K498" t="str">
            <v>بوزوينة  محمد</v>
          </cell>
          <cell r="L498" t="str">
            <v>بواب</v>
          </cell>
          <cell r="M498" t="str">
            <v>بوجبهة البرج</v>
          </cell>
          <cell r="N498" t="str">
            <v>بوزوينة حسان</v>
          </cell>
          <cell r="O498" t="str">
            <v>شارع بوسيف العربي سفيزف</v>
          </cell>
        </row>
        <row r="499">
          <cell r="A499">
            <v>492</v>
          </cell>
          <cell r="B499" t="str">
            <v>زليفي  أمال</v>
          </cell>
          <cell r="C499" t="str">
            <v>زليفي</v>
          </cell>
          <cell r="D499" t="str">
            <v>أمال</v>
          </cell>
          <cell r="E499">
            <v>37443</v>
          </cell>
          <cell r="F499" t="str">
            <v>س بلعباس</v>
          </cell>
          <cell r="G499" t="str">
            <v>1ج م آ2</v>
          </cell>
          <cell r="H499" t="str">
            <v>داخلية</v>
          </cell>
          <cell r="I499" t="str">
            <v>د</v>
          </cell>
          <cell r="J499" t="str">
            <v>العربي</v>
          </cell>
          <cell r="K499" t="str">
            <v>زليفي  العربي</v>
          </cell>
          <cell r="L499" t="str">
            <v>متقاعد</v>
          </cell>
          <cell r="M499" t="str">
            <v>بوجبهة البرج</v>
          </cell>
          <cell r="N499" t="str">
            <v>رمدوم الحبيب</v>
          </cell>
          <cell r="O499" t="str">
            <v>حي هواري بومدين سفيزف</v>
          </cell>
        </row>
        <row r="500">
          <cell r="A500">
            <v>493</v>
          </cell>
          <cell r="B500" t="str">
            <v>زواق  خولة</v>
          </cell>
          <cell r="C500" t="str">
            <v>زواق</v>
          </cell>
          <cell r="D500" t="str">
            <v>خولة</v>
          </cell>
          <cell r="E500">
            <v>36908</v>
          </cell>
          <cell r="F500" t="str">
            <v>س بلعباس</v>
          </cell>
          <cell r="G500" t="str">
            <v>1ج م آ2</v>
          </cell>
          <cell r="H500" t="str">
            <v>داخلية</v>
          </cell>
          <cell r="I500" t="str">
            <v>د</v>
          </cell>
          <cell r="J500" t="str">
            <v>محمد</v>
          </cell>
          <cell r="K500" t="str">
            <v>زواق  محمد</v>
          </cell>
          <cell r="L500" t="str">
            <v>متقاعد</v>
          </cell>
          <cell r="M500" t="str">
            <v>وادالمبطوح</v>
          </cell>
          <cell r="N500" t="str">
            <v>بلجة محمد</v>
          </cell>
          <cell r="O500" t="str">
            <v>شارع سي بومدين سفيزف</v>
          </cell>
        </row>
        <row r="501">
          <cell r="A501">
            <v>494</v>
          </cell>
          <cell r="B501" t="str">
            <v>عوني   مريم</v>
          </cell>
          <cell r="C501" t="str">
            <v xml:space="preserve">عوني </v>
          </cell>
          <cell r="D501" t="str">
            <v>مريم</v>
          </cell>
          <cell r="E501">
            <v>36993</v>
          </cell>
          <cell r="F501" t="str">
            <v>س بلعباس</v>
          </cell>
          <cell r="G501" t="str">
            <v>1ج م آ2</v>
          </cell>
          <cell r="H501" t="str">
            <v>داخلية</v>
          </cell>
          <cell r="I501" t="str">
            <v>د</v>
          </cell>
          <cell r="J501" t="str">
            <v>قادة</v>
          </cell>
          <cell r="K501" t="str">
            <v>عوني   قادة</v>
          </cell>
          <cell r="L501" t="str">
            <v>لا شئ</v>
          </cell>
          <cell r="M501" t="str">
            <v>وادالمبطوح</v>
          </cell>
          <cell r="N501" t="str">
            <v>مصباحي مصباح</v>
          </cell>
          <cell r="O501" t="str">
            <v>حي 214 سكن سفيزف</v>
          </cell>
        </row>
        <row r="502">
          <cell r="A502">
            <v>495</v>
          </cell>
          <cell r="B502" t="str">
            <v>البحري  فاطمة</v>
          </cell>
          <cell r="C502" t="str">
            <v>البحري</v>
          </cell>
          <cell r="D502" t="str">
            <v>فاطمة</v>
          </cell>
          <cell r="E502">
            <v>37016</v>
          </cell>
          <cell r="F502" t="str">
            <v>سفيزف</v>
          </cell>
          <cell r="G502" t="str">
            <v>1ج م آ2</v>
          </cell>
          <cell r="H502" t="str">
            <v>ن داخلية</v>
          </cell>
          <cell r="I502" t="str">
            <v>ن/د</v>
          </cell>
          <cell r="J502" t="str">
            <v>ميلود</v>
          </cell>
          <cell r="K502" t="str">
            <v>البحري  ميلود</v>
          </cell>
          <cell r="L502" t="str">
            <v>متقاعد</v>
          </cell>
          <cell r="M502" t="str">
            <v>مقطع دار اسبع عين أدن</v>
          </cell>
        </row>
        <row r="503">
          <cell r="A503">
            <v>496</v>
          </cell>
          <cell r="B503" t="str">
            <v>دار سبع  مروة</v>
          </cell>
          <cell r="C503" t="str">
            <v>دار سبع</v>
          </cell>
          <cell r="D503" t="str">
            <v>مروة</v>
          </cell>
          <cell r="E503">
            <v>37517</v>
          </cell>
          <cell r="F503" t="str">
            <v>سفيزف</v>
          </cell>
          <cell r="G503" t="str">
            <v>1ج م آ2</v>
          </cell>
          <cell r="H503" t="str">
            <v>ن داخلية</v>
          </cell>
          <cell r="I503" t="str">
            <v>ن/د</v>
          </cell>
          <cell r="J503" t="str">
            <v>جيلالي</v>
          </cell>
          <cell r="K503" t="str">
            <v>دار سبع  جيلالي</v>
          </cell>
          <cell r="L503" t="str">
            <v>لا شئ</v>
          </cell>
          <cell r="M503" t="str">
            <v>عين أدن</v>
          </cell>
        </row>
        <row r="504">
          <cell r="A504">
            <v>497</v>
          </cell>
          <cell r="B504" t="str">
            <v>ضليمي  فاطيمة زهرة</v>
          </cell>
          <cell r="C504" t="str">
            <v>ضليمي</v>
          </cell>
          <cell r="D504" t="str">
            <v>فاطيمة زهرة</v>
          </cell>
          <cell r="E504">
            <v>36961</v>
          </cell>
          <cell r="F504" t="str">
            <v>عين آدن</v>
          </cell>
          <cell r="G504" t="str">
            <v>1ج م آ2</v>
          </cell>
          <cell r="H504" t="str">
            <v>ن داخلية</v>
          </cell>
          <cell r="I504" t="str">
            <v>ن/د</v>
          </cell>
          <cell r="J504" t="str">
            <v>محمد</v>
          </cell>
          <cell r="K504" t="str">
            <v>ضليمي  محمد</v>
          </cell>
          <cell r="L504" t="str">
            <v>فلاح</v>
          </cell>
          <cell r="M504" t="str">
            <v>عين آدن</v>
          </cell>
        </row>
        <row r="505">
          <cell r="A505">
            <v>498</v>
          </cell>
          <cell r="B505" t="str">
            <v>عشي   أسماء</v>
          </cell>
          <cell r="C505" t="str">
            <v xml:space="preserve">عشي </v>
          </cell>
          <cell r="D505" t="str">
            <v>أسماء</v>
          </cell>
          <cell r="E505">
            <v>36479</v>
          </cell>
          <cell r="F505" t="str">
            <v>سفيزف</v>
          </cell>
          <cell r="G505" t="str">
            <v>1ج م آ2</v>
          </cell>
          <cell r="H505" t="str">
            <v>ن داخلية</v>
          </cell>
          <cell r="I505" t="str">
            <v>ن/د</v>
          </cell>
          <cell r="J505" t="str">
            <v>عبدالقادر</v>
          </cell>
          <cell r="K505" t="str">
            <v>عشي   عبدالقادر</v>
          </cell>
          <cell r="L505" t="str">
            <v>متقاعد</v>
          </cell>
          <cell r="M505" t="str">
            <v>عين أدن</v>
          </cell>
        </row>
        <row r="506">
          <cell r="A506">
            <v>499</v>
          </cell>
          <cell r="B506" t="str">
            <v>لدمك  مليكة</v>
          </cell>
          <cell r="C506" t="str">
            <v>لدمك</v>
          </cell>
          <cell r="D506" t="str">
            <v>مليكة</v>
          </cell>
          <cell r="E506">
            <v>37641</v>
          </cell>
          <cell r="F506" t="str">
            <v>سفيزف</v>
          </cell>
          <cell r="G506" t="str">
            <v>1ج م آ2</v>
          </cell>
          <cell r="H506" t="str">
            <v>ن داخلية</v>
          </cell>
          <cell r="I506" t="str">
            <v>ن/د</v>
          </cell>
          <cell r="J506" t="str">
            <v>علي</v>
          </cell>
          <cell r="K506" t="str">
            <v>لدمك  علي</v>
          </cell>
          <cell r="L506" t="str">
            <v>متقاعد</v>
          </cell>
          <cell r="M506" t="str">
            <v>قرية بلبوش</v>
          </cell>
        </row>
        <row r="507">
          <cell r="A507">
            <v>500</v>
          </cell>
          <cell r="B507" t="str">
            <v>مدوناري  نجمة</v>
          </cell>
          <cell r="C507" t="str">
            <v>مدوناري</v>
          </cell>
          <cell r="D507" t="str">
            <v>نجمة</v>
          </cell>
          <cell r="E507">
            <v>36572</v>
          </cell>
          <cell r="F507" t="str">
            <v>سفيزف</v>
          </cell>
          <cell r="G507" t="str">
            <v>1ج م آ2</v>
          </cell>
          <cell r="H507" t="str">
            <v>ن داخلية</v>
          </cell>
          <cell r="I507" t="str">
            <v>ن/د</v>
          </cell>
          <cell r="J507" t="str">
            <v>بوزيان</v>
          </cell>
          <cell r="K507" t="str">
            <v>مدوناري  بوزيان</v>
          </cell>
          <cell r="L507" t="str">
            <v>لا شئ</v>
          </cell>
          <cell r="M507" t="str">
            <v>عين أدن</v>
          </cell>
        </row>
        <row r="508">
          <cell r="A508">
            <v>501</v>
          </cell>
          <cell r="B508" t="str">
            <v>بن قريرة  محمد عبدالصمد</v>
          </cell>
          <cell r="C508" t="str">
            <v>بن قريرة</v>
          </cell>
          <cell r="D508" t="str">
            <v>محمد عبدالصمد</v>
          </cell>
          <cell r="E508">
            <v>37178</v>
          </cell>
          <cell r="F508" t="str">
            <v>سفيزف</v>
          </cell>
          <cell r="G508" t="str">
            <v>1ج م آ2</v>
          </cell>
          <cell r="H508" t="str">
            <v>ن داخلي</v>
          </cell>
          <cell r="I508" t="str">
            <v>ن/د</v>
          </cell>
          <cell r="J508" t="str">
            <v>مختار</v>
          </cell>
          <cell r="K508" t="str">
            <v>بن قريرة  مختار</v>
          </cell>
          <cell r="L508" t="str">
            <v>تاجر</v>
          </cell>
          <cell r="M508" t="str">
            <v>عين افرص</v>
          </cell>
        </row>
        <row r="509">
          <cell r="A509">
            <v>502</v>
          </cell>
          <cell r="B509" t="str">
            <v>لدمك  أسامة</v>
          </cell>
          <cell r="C509" t="str">
            <v>لدمك</v>
          </cell>
          <cell r="D509" t="str">
            <v>أسامة</v>
          </cell>
          <cell r="E509">
            <v>37183</v>
          </cell>
          <cell r="F509" t="str">
            <v>سفيزف</v>
          </cell>
          <cell r="G509" t="str">
            <v>1ج م آ2</v>
          </cell>
          <cell r="H509" t="str">
            <v>ن داخلي</v>
          </cell>
          <cell r="I509" t="str">
            <v>ن/د</v>
          </cell>
          <cell r="J509" t="str">
            <v>جلول</v>
          </cell>
          <cell r="K509" t="str">
            <v>لدمك  جلول</v>
          </cell>
          <cell r="L509" t="str">
            <v>فلاح</v>
          </cell>
          <cell r="M509" t="str">
            <v>مزرعة أوهيبة محي الدين سفيزف</v>
          </cell>
        </row>
        <row r="510">
          <cell r="A510">
            <v>503</v>
          </cell>
          <cell r="B510" t="str">
            <v>بكار  ربيعة</v>
          </cell>
          <cell r="C510" t="str">
            <v>بكار</v>
          </cell>
          <cell r="D510" t="str">
            <v>ربيعة</v>
          </cell>
          <cell r="E510">
            <v>36611</v>
          </cell>
          <cell r="F510" t="str">
            <v>سفيزف</v>
          </cell>
          <cell r="G510" t="str">
            <v>1ج م آ2</v>
          </cell>
          <cell r="H510" t="str">
            <v>خارجية</v>
          </cell>
          <cell r="I510" t="str">
            <v>خ</v>
          </cell>
          <cell r="J510" t="str">
            <v>قويدر</v>
          </cell>
          <cell r="K510" t="str">
            <v>بكار  قويدر</v>
          </cell>
          <cell r="L510" t="str">
            <v>فلاح</v>
          </cell>
          <cell r="M510" t="str">
            <v>حي 117 سكن سفيزف</v>
          </cell>
        </row>
        <row r="511">
          <cell r="A511">
            <v>504</v>
          </cell>
          <cell r="B511" t="str">
            <v>بوشيحة  نسيبة منال</v>
          </cell>
          <cell r="C511" t="str">
            <v>بوشيحة</v>
          </cell>
          <cell r="D511" t="str">
            <v>نسيبة منال</v>
          </cell>
          <cell r="E511">
            <v>37625</v>
          </cell>
          <cell r="F511" t="str">
            <v>سفيزف</v>
          </cell>
          <cell r="G511" t="str">
            <v>1ج م آ2</v>
          </cell>
          <cell r="H511" t="str">
            <v>خارجية</v>
          </cell>
          <cell r="I511" t="str">
            <v>خ</v>
          </cell>
          <cell r="J511" t="str">
            <v>مختار</v>
          </cell>
          <cell r="K511" t="str">
            <v>بوشيحة  مختار</v>
          </cell>
          <cell r="L511" t="str">
            <v>متقاعد</v>
          </cell>
          <cell r="M511" t="str">
            <v>حي 216 سكن سفيزف</v>
          </cell>
        </row>
        <row r="512">
          <cell r="A512">
            <v>505</v>
          </cell>
          <cell r="B512" t="str">
            <v>بومسجد   وفاء</v>
          </cell>
          <cell r="C512" t="str">
            <v xml:space="preserve">بومسجد </v>
          </cell>
          <cell r="D512" t="str">
            <v>وفاء</v>
          </cell>
          <cell r="E512">
            <v>37592</v>
          </cell>
          <cell r="F512" t="str">
            <v>سفيزف</v>
          </cell>
          <cell r="G512" t="str">
            <v>1ج م آ2</v>
          </cell>
          <cell r="H512" t="str">
            <v>خارجية</v>
          </cell>
          <cell r="I512" t="str">
            <v>خ</v>
          </cell>
          <cell r="J512" t="str">
            <v>عامر</v>
          </cell>
          <cell r="K512" t="str">
            <v>بومسجد   عامر</v>
          </cell>
          <cell r="L512" t="str">
            <v>متوفي</v>
          </cell>
          <cell r="M512" t="str">
            <v>شارع عمرون أحمد سفيزف</v>
          </cell>
        </row>
        <row r="513">
          <cell r="A513">
            <v>506</v>
          </cell>
          <cell r="B513" t="str">
            <v>بونية  عائشة</v>
          </cell>
          <cell r="C513" t="str">
            <v>بونية</v>
          </cell>
          <cell r="D513" t="str">
            <v>عائشة</v>
          </cell>
          <cell r="E513">
            <v>37399</v>
          </cell>
          <cell r="F513" t="str">
            <v>سفيزف</v>
          </cell>
          <cell r="G513" t="str">
            <v>1ج م آ2</v>
          </cell>
          <cell r="H513" t="str">
            <v>خارجية</v>
          </cell>
          <cell r="I513" t="str">
            <v>خ</v>
          </cell>
          <cell r="J513" t="str">
            <v>الجيلالي</v>
          </cell>
          <cell r="K513" t="str">
            <v>بونية  الجيلالي</v>
          </cell>
          <cell r="L513" t="str">
            <v>متقاعد</v>
          </cell>
          <cell r="M513" t="str">
            <v>حي 506 سكن سفيزف</v>
          </cell>
        </row>
        <row r="514">
          <cell r="A514">
            <v>507</v>
          </cell>
          <cell r="B514" t="str">
            <v>جلاب  خيرة</v>
          </cell>
          <cell r="C514" t="str">
            <v>جلاب</v>
          </cell>
          <cell r="D514" t="str">
            <v>خيرة</v>
          </cell>
          <cell r="E514">
            <v>37020</v>
          </cell>
          <cell r="F514" t="str">
            <v>س بلعباس</v>
          </cell>
          <cell r="G514" t="str">
            <v>1ج م آ2</v>
          </cell>
          <cell r="H514" t="str">
            <v>خارجية</v>
          </cell>
          <cell r="I514" t="str">
            <v>خ</v>
          </cell>
          <cell r="J514" t="str">
            <v>عبدالقادر</v>
          </cell>
          <cell r="K514" t="str">
            <v>جلاب  عبدالقادر</v>
          </cell>
          <cell r="L514" t="str">
            <v>متقاعد</v>
          </cell>
          <cell r="M514" t="str">
            <v>حي صلاة الحبيب سفيزف</v>
          </cell>
        </row>
        <row r="515">
          <cell r="A515">
            <v>508</v>
          </cell>
          <cell r="B515" t="str">
            <v>دارنموس  زنجبيل</v>
          </cell>
          <cell r="C515" t="str">
            <v>دارنموس</v>
          </cell>
          <cell r="D515" t="str">
            <v>زنجبيل</v>
          </cell>
          <cell r="E515">
            <v>36874</v>
          </cell>
          <cell r="F515" t="str">
            <v>سفيزف</v>
          </cell>
          <cell r="G515" t="str">
            <v>1ج م آ2</v>
          </cell>
          <cell r="H515" t="str">
            <v>خارجية</v>
          </cell>
          <cell r="I515" t="str">
            <v>خ</v>
          </cell>
          <cell r="J515" t="str">
            <v>بوزيان</v>
          </cell>
          <cell r="K515" t="str">
            <v>دارنموس  بوزيان</v>
          </cell>
          <cell r="L515" t="str">
            <v>لا شئ</v>
          </cell>
          <cell r="M515" t="str">
            <v>حي100سكن سفيزف</v>
          </cell>
        </row>
        <row r="516">
          <cell r="A516">
            <v>509</v>
          </cell>
          <cell r="B516" t="str">
            <v>زمعلاش  أسماء</v>
          </cell>
          <cell r="C516" t="str">
            <v>زمعلاش</v>
          </cell>
          <cell r="D516" t="str">
            <v>أسماء</v>
          </cell>
          <cell r="E516">
            <v>37384</v>
          </cell>
          <cell r="F516" t="str">
            <v>س بلعباس</v>
          </cell>
          <cell r="G516" t="str">
            <v>1ج م آ2</v>
          </cell>
          <cell r="H516" t="str">
            <v>خارجية</v>
          </cell>
          <cell r="I516" t="str">
            <v>خ</v>
          </cell>
          <cell r="J516" t="str">
            <v>ملوكة</v>
          </cell>
          <cell r="K516" t="str">
            <v>زمعلاش  ملوكة</v>
          </cell>
          <cell r="L516" t="str">
            <v>حلاقة</v>
          </cell>
          <cell r="M516" t="str">
            <v>07 شارع بوشنتوف قويدر سفيزف</v>
          </cell>
        </row>
        <row r="517">
          <cell r="A517">
            <v>510</v>
          </cell>
          <cell r="B517" t="str">
            <v>شادلي   أحلام</v>
          </cell>
          <cell r="C517" t="str">
            <v xml:space="preserve">شادلي </v>
          </cell>
          <cell r="D517" t="str">
            <v>أحلام</v>
          </cell>
          <cell r="E517">
            <v>37490</v>
          </cell>
          <cell r="F517" t="str">
            <v>س بلعباس</v>
          </cell>
          <cell r="G517" t="str">
            <v>1ج م آ2</v>
          </cell>
          <cell r="H517" t="str">
            <v>خارجية</v>
          </cell>
          <cell r="I517" t="str">
            <v>خ</v>
          </cell>
          <cell r="J517" t="str">
            <v>لخضر</v>
          </cell>
          <cell r="K517" t="str">
            <v>شادلي   لخضر</v>
          </cell>
          <cell r="L517" t="str">
            <v>موظف</v>
          </cell>
          <cell r="M517" t="str">
            <v>حي 156 سكن سفيزف</v>
          </cell>
        </row>
        <row r="518">
          <cell r="A518">
            <v>511</v>
          </cell>
          <cell r="B518" t="str">
            <v>شباني  دنيا</v>
          </cell>
          <cell r="C518" t="str">
            <v>شباني</v>
          </cell>
          <cell r="D518" t="str">
            <v>دنيا</v>
          </cell>
          <cell r="E518">
            <v>37162</v>
          </cell>
          <cell r="F518" t="str">
            <v>وهران</v>
          </cell>
          <cell r="G518" t="str">
            <v>1ج م آ2</v>
          </cell>
          <cell r="H518" t="str">
            <v>خارجية</v>
          </cell>
          <cell r="I518" t="str">
            <v>خ</v>
          </cell>
          <cell r="J518" t="str">
            <v>جيلالي</v>
          </cell>
          <cell r="K518" t="str">
            <v>شباني  جيلالي</v>
          </cell>
          <cell r="L518" t="str">
            <v>بناء</v>
          </cell>
          <cell r="M518" t="str">
            <v>حي كشار صحراوي سفيزف</v>
          </cell>
        </row>
        <row r="519">
          <cell r="A519">
            <v>512</v>
          </cell>
          <cell r="B519" t="str">
            <v>عقاب  فاطمة الزهراء</v>
          </cell>
          <cell r="C519" t="str">
            <v>عقاب</v>
          </cell>
          <cell r="D519" t="str">
            <v>فاطمة الزهراء</v>
          </cell>
          <cell r="E519">
            <v>37311</v>
          </cell>
          <cell r="F519" t="str">
            <v>سفيزف</v>
          </cell>
          <cell r="G519" t="str">
            <v>1ج م آ2</v>
          </cell>
          <cell r="H519" t="str">
            <v>خارجية</v>
          </cell>
          <cell r="I519" t="str">
            <v>خ</v>
          </cell>
          <cell r="J519" t="str">
            <v>بن فريحة</v>
          </cell>
          <cell r="K519" t="str">
            <v>عقاب  بن فريحة</v>
          </cell>
          <cell r="L519" t="str">
            <v>لحام</v>
          </cell>
          <cell r="M519" t="str">
            <v>شارع مشرف عدة سفيزف</v>
          </cell>
        </row>
        <row r="520">
          <cell r="A520">
            <v>513</v>
          </cell>
          <cell r="B520" t="str">
            <v>وسواس  أسماء</v>
          </cell>
          <cell r="C520" t="str">
            <v>وسواس</v>
          </cell>
          <cell r="D520" t="str">
            <v>أسماء</v>
          </cell>
          <cell r="E520">
            <v>37408</v>
          </cell>
          <cell r="F520" t="str">
            <v>سفيزف</v>
          </cell>
          <cell r="G520" t="str">
            <v>1ج م آ2</v>
          </cell>
          <cell r="H520" t="str">
            <v>خارجية</v>
          </cell>
          <cell r="I520" t="str">
            <v>خ</v>
          </cell>
          <cell r="J520" t="str">
            <v>أحمد</v>
          </cell>
          <cell r="K520" t="str">
            <v>وسواس  أحمد</v>
          </cell>
          <cell r="L520" t="str">
            <v>تاجر</v>
          </cell>
          <cell r="M520" t="str">
            <v>شارع بوسطلة لحسن سفيزف</v>
          </cell>
        </row>
        <row r="521">
          <cell r="A521">
            <v>514</v>
          </cell>
          <cell r="B521" t="str">
            <v>بلفكرون  محمد علاء الدين</v>
          </cell>
          <cell r="C521" t="str">
            <v>بلفكرون</v>
          </cell>
          <cell r="D521" t="str">
            <v>محمد علاء الدين</v>
          </cell>
          <cell r="E521">
            <v>36963</v>
          </cell>
          <cell r="F521" t="str">
            <v>سفيزف</v>
          </cell>
          <cell r="G521" t="str">
            <v>1ج م آ2</v>
          </cell>
          <cell r="H521" t="str">
            <v>خارجي</v>
          </cell>
          <cell r="I521" t="str">
            <v>خ</v>
          </cell>
          <cell r="J521" t="str">
            <v>الحاج</v>
          </cell>
          <cell r="K521" t="str">
            <v>بلفكرون  الحاج</v>
          </cell>
          <cell r="L521" t="str">
            <v>موظف</v>
          </cell>
          <cell r="M521" t="str">
            <v>شارع يملول حامد سفيزف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tat"/>
      <sheetName val="Lists"/>
      <sheetName val="سبتمبر"/>
      <sheetName val="داخلية"/>
      <sheetName val="اكتوبر"/>
      <sheetName val="نوفمبر"/>
      <sheetName val="ديسمبر"/>
      <sheetName val="جانفي"/>
      <sheetName val="فبراير"/>
      <sheetName val="مارس"/>
      <sheetName val="افريل"/>
      <sheetName val="ماي"/>
      <sheetName val="جوان"/>
      <sheetName val="plan"/>
      <sheetName val="تعداد"/>
      <sheetName val="كشف"/>
      <sheetName val="المصدر"/>
    </sheetNames>
    <sheetDataSet>
      <sheetData sheetId="0">
        <row r="1">
          <cell r="A1">
            <v>0</v>
          </cell>
        </row>
        <row r="2">
          <cell r="A2">
            <v>0</v>
          </cell>
        </row>
        <row r="3">
          <cell r="A3" t="str">
            <v xml:space="preserve"> مـديـريـة  الـتـربـية  لـولايــة سـيدي  بـلـعـباس</v>
          </cell>
          <cell r="P3" t="str">
            <v>السنة الدراسية :2023/2022</v>
          </cell>
        </row>
        <row r="4">
          <cell r="A4" t="str">
            <v>ثانوية بوخـلـدة عـبد الـقادر سفيزف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1">
    <tabColor rgb="FFFFFF00"/>
  </sheetPr>
  <dimension ref="A1:AC187"/>
  <sheetViews>
    <sheetView showZeros="0" rightToLeft="1" topLeftCell="A60" zoomScaleNormal="100" workbookViewId="0">
      <selection activeCell="N65" sqref="N65"/>
    </sheetView>
  </sheetViews>
  <sheetFormatPr baseColWidth="10" defaultRowHeight="15"/>
  <cols>
    <col min="1" max="1" width="6.85546875" style="855" customWidth="1"/>
    <col min="2" max="2" width="11.42578125" style="22" customWidth="1"/>
    <col min="3" max="3" width="13.28515625" style="22" customWidth="1"/>
    <col min="4" max="4" width="8.7109375" style="22" customWidth="1"/>
    <col min="5" max="5" width="14" style="22" customWidth="1"/>
    <col min="6" max="6" width="9.85546875" style="22" customWidth="1"/>
    <col min="7" max="7" width="12" style="23" customWidth="1"/>
    <col min="8" max="8" width="9.42578125" style="23" customWidth="1"/>
    <col min="9" max="9" width="7.5703125" style="23" customWidth="1"/>
    <col min="10" max="10" width="14.28515625" style="23" customWidth="1"/>
    <col min="11" max="11" width="25" style="23" customWidth="1"/>
    <col min="12" max="12" width="14.5703125" style="23" hidden="1" customWidth="1"/>
    <col min="13" max="13" width="4.140625" style="22" customWidth="1"/>
    <col min="14" max="14" width="11.42578125" style="22"/>
    <col min="15" max="15" width="9.85546875" style="22" bestFit="1" customWidth="1"/>
    <col min="16" max="16" width="8.85546875" style="22" customWidth="1"/>
    <col min="17" max="20" width="11.42578125" style="22" customWidth="1"/>
    <col min="21" max="21" width="17.7109375" style="22" customWidth="1"/>
    <col min="22" max="23" width="11.42578125" style="22" customWidth="1"/>
    <col min="24" max="24" width="11.42578125" style="22"/>
    <col min="25" max="25" width="12.28515625" style="22" bestFit="1" customWidth="1"/>
    <col min="26" max="26" width="11.42578125" style="22"/>
    <col min="27" max="27" width="23.28515625" style="22" customWidth="1"/>
    <col min="28" max="28" width="18.140625" style="22" customWidth="1"/>
    <col min="29" max="29" width="37.5703125" style="22" customWidth="1"/>
    <col min="30" max="16384" width="11.42578125" style="22"/>
  </cols>
  <sheetData>
    <row r="1" spans="1:15" ht="20.25" customHeight="1">
      <c r="A1" s="1263" t="s">
        <v>207</v>
      </c>
      <c r="B1" s="1263"/>
      <c r="C1" s="1263"/>
      <c r="D1" s="1263"/>
      <c r="E1" s="1263"/>
      <c r="F1" s="323"/>
      <c r="G1" s="1266" t="s">
        <v>207</v>
      </c>
      <c r="H1" s="1267"/>
      <c r="I1" s="1267"/>
      <c r="J1" s="1267"/>
      <c r="K1" s="1267"/>
      <c r="L1" s="1267"/>
      <c r="M1" s="1267"/>
    </row>
    <row r="2" spans="1:15" ht="20.25" customHeight="1">
      <c r="A2" s="325" t="s">
        <v>215</v>
      </c>
      <c r="B2" s="325"/>
      <c r="C2" s="325"/>
      <c r="D2" s="325"/>
      <c r="E2" s="325"/>
      <c r="F2" s="323"/>
      <c r="G2" s="1266" t="s">
        <v>215</v>
      </c>
      <c r="H2" s="1263"/>
      <c r="I2" s="1263"/>
      <c r="J2" s="1263"/>
      <c r="K2" s="1263"/>
      <c r="L2" s="1263"/>
      <c r="M2" s="324"/>
      <c r="O2" s="327" t="s">
        <v>496</v>
      </c>
    </row>
    <row r="3" spans="1:15" ht="20.25" customHeight="1">
      <c r="A3" s="328"/>
      <c r="B3" s="324"/>
      <c r="C3" s="324"/>
      <c r="D3" s="324"/>
      <c r="E3" s="324"/>
      <c r="F3" s="323"/>
      <c r="G3" s="326"/>
      <c r="H3" s="324"/>
      <c r="I3" s="324"/>
      <c r="J3" s="324"/>
      <c r="K3" s="324"/>
      <c r="L3" s="324"/>
      <c r="M3" s="324"/>
    </row>
    <row r="4" spans="1:15" ht="20.25" customHeight="1">
      <c r="A4" s="328" t="s">
        <v>203</v>
      </c>
      <c r="B4" s="324"/>
      <c r="C4" s="324"/>
      <c r="D4" s="324"/>
      <c r="E4" s="324"/>
      <c r="F4" s="323"/>
      <c r="G4" s="326" t="s">
        <v>203</v>
      </c>
      <c r="H4" s="324"/>
      <c r="I4" s="324"/>
      <c r="J4" s="324"/>
      <c r="K4" s="324"/>
      <c r="L4" s="324"/>
      <c r="M4" s="324"/>
      <c r="O4" s="897">
        <v>2</v>
      </c>
    </row>
    <row r="5" spans="1:15" ht="20.25" customHeight="1">
      <c r="A5" s="328" t="s">
        <v>148</v>
      </c>
      <c r="B5" s="324"/>
      <c r="C5" s="324"/>
      <c r="D5" s="324"/>
      <c r="E5" s="324"/>
      <c r="F5" s="323"/>
      <c r="G5" s="326" t="s">
        <v>148</v>
      </c>
      <c r="H5" s="324"/>
      <c r="I5" s="324"/>
      <c r="J5" s="324"/>
      <c r="K5" s="324"/>
      <c r="L5" s="324"/>
      <c r="M5" s="324"/>
    </row>
    <row r="6" spans="1:15" ht="20.25" customHeight="1">
      <c r="A6" s="328"/>
      <c r="B6" s="324"/>
      <c r="C6" s="23"/>
      <c r="D6" s="879" t="s">
        <v>216</v>
      </c>
      <c r="E6" s="355" t="str">
        <f>IF(O4&lt;&gt;"",VLOOKUP(O4,etat!$A$9:$O$923,15,FALSE),"")</f>
        <v xml:space="preserve">بلفكرون  محمد </v>
      </c>
      <c r="F6" s="1018"/>
      <c r="G6" s="326"/>
      <c r="H6" s="324"/>
      <c r="J6" s="879" t="s">
        <v>216</v>
      </c>
      <c r="K6" s="328" t="str">
        <f>E6</f>
        <v xml:space="preserve">بلفكرون  محمد </v>
      </c>
      <c r="L6" s="324"/>
      <c r="M6" s="324"/>
    </row>
    <row r="7" spans="1:15" ht="20.25" customHeight="1">
      <c r="A7" s="324"/>
      <c r="B7" s="324"/>
      <c r="C7" s="1263" t="str">
        <f>IF(O4&lt;&gt;"",VLOOKUP(O4,etat!$A$9:$O$813,12,FALSE),"")</f>
        <v xml:space="preserve">رقم02 معاشو بوحريز -مصطفى بن ابراهيم- </v>
      </c>
      <c r="D7" s="1263"/>
      <c r="E7" s="1263"/>
      <c r="F7" s="1264"/>
      <c r="G7" s="329"/>
      <c r="H7" s="324"/>
      <c r="J7" s="1259" t="str">
        <f>C7</f>
        <v xml:space="preserve">رقم02 معاشو بوحريز -مصطفى بن ابراهيم- </v>
      </c>
      <c r="K7" s="1259"/>
      <c r="L7" s="324"/>
      <c r="M7" s="324"/>
    </row>
    <row r="8" spans="1:15" ht="20.25" customHeight="1">
      <c r="A8" s="324"/>
      <c r="B8" s="324"/>
      <c r="C8" s="23"/>
      <c r="D8" s="324"/>
      <c r="E8" s="879"/>
      <c r="F8" s="323"/>
      <c r="G8" s="329"/>
      <c r="H8" s="324"/>
      <c r="J8" s="324"/>
      <c r="K8" s="879"/>
      <c r="L8" s="324"/>
      <c r="M8" s="324"/>
      <c r="N8" s="330"/>
    </row>
    <row r="9" spans="1:15" ht="20.25" customHeight="1">
      <c r="A9" s="328"/>
      <c r="B9" s="331" t="s">
        <v>2244</v>
      </c>
      <c r="C9" s="324"/>
      <c r="D9" s="324"/>
      <c r="E9" s="324"/>
      <c r="F9" s="323"/>
      <c r="G9" s="1268" t="str">
        <f>+B9</f>
        <v>الرقم:......./2025</v>
      </c>
      <c r="H9" s="1269"/>
      <c r="I9" s="1269"/>
      <c r="J9" s="324"/>
      <c r="K9" s="324"/>
      <c r="L9" s="324"/>
      <c r="M9" s="324"/>
    </row>
    <row r="10" spans="1:15" ht="20.25" customHeight="1">
      <c r="A10" s="328"/>
      <c r="B10" s="328" t="s">
        <v>251</v>
      </c>
      <c r="C10" s="324"/>
      <c r="D10" s="332" t="s">
        <v>252</v>
      </c>
      <c r="E10" s="324"/>
      <c r="F10" s="323"/>
      <c r="G10" s="326" t="s">
        <v>251</v>
      </c>
      <c r="H10" s="324"/>
      <c r="I10" s="324"/>
      <c r="J10" s="332" t="str">
        <f>D10</f>
        <v>الثاني</v>
      </c>
      <c r="K10" s="324"/>
      <c r="L10" s="324"/>
      <c r="M10" s="324"/>
      <c r="O10" s="333" t="s">
        <v>250</v>
      </c>
    </row>
    <row r="11" spans="1:15" ht="20.25" customHeight="1">
      <c r="A11" s="328" t="s">
        <v>209</v>
      </c>
      <c r="B11" s="324"/>
      <c r="C11" s="324"/>
      <c r="D11" s="324"/>
      <c r="E11" s="324"/>
      <c r="F11" s="323"/>
      <c r="G11" s="326" t="s">
        <v>209</v>
      </c>
      <c r="H11" s="324"/>
      <c r="I11" s="324"/>
      <c r="J11" s="324"/>
      <c r="K11" s="324"/>
      <c r="L11" s="324"/>
      <c r="M11" s="324"/>
      <c r="O11" s="333" t="s">
        <v>252</v>
      </c>
    </row>
    <row r="12" spans="1:15" ht="20.25" customHeight="1">
      <c r="A12" s="328" t="s">
        <v>208</v>
      </c>
      <c r="B12" s="324"/>
      <c r="C12" s="324"/>
      <c r="D12" s="324"/>
      <c r="E12" s="324"/>
      <c r="F12" s="323"/>
      <c r="G12" s="326" t="s">
        <v>208</v>
      </c>
      <c r="H12" s="324"/>
      <c r="I12" s="324"/>
      <c r="J12" s="324"/>
      <c r="K12" s="324"/>
      <c r="L12" s="324"/>
      <c r="M12" s="324"/>
    </row>
    <row r="13" spans="1:15" ht="20.25" customHeight="1">
      <c r="A13" s="328" t="s">
        <v>204</v>
      </c>
      <c r="B13" s="324"/>
      <c r="C13" s="324"/>
      <c r="D13" s="324"/>
      <c r="E13" s="324"/>
      <c r="F13" s="323"/>
      <c r="G13" s="326" t="s">
        <v>204</v>
      </c>
      <c r="H13" s="324"/>
      <c r="I13" s="324"/>
      <c r="J13" s="324"/>
      <c r="K13" s="324"/>
      <c r="L13" s="324"/>
      <c r="M13" s="324"/>
    </row>
    <row r="14" spans="1:15" ht="20.25" customHeight="1">
      <c r="A14" s="328" t="s">
        <v>217</v>
      </c>
      <c r="B14" s="324"/>
      <c r="C14" s="328">
        <f>IF($O$4&lt;&gt;"",VLOOKUP($O$4,etat!$A$9:$O$813,2,FALSE),"")</f>
        <v>0</v>
      </c>
      <c r="D14" s="324"/>
      <c r="E14" s="324"/>
      <c r="F14" s="323"/>
      <c r="G14" s="326" t="s">
        <v>217</v>
      </c>
      <c r="H14" s="324"/>
      <c r="I14" s="328">
        <f>C14</f>
        <v>0</v>
      </c>
      <c r="J14" s="324"/>
      <c r="K14" s="324"/>
      <c r="L14" s="324"/>
      <c r="M14" s="324"/>
    </row>
    <row r="15" spans="1:15" ht="20.25" customHeight="1">
      <c r="A15" s="328"/>
      <c r="B15" s="328" t="s">
        <v>218</v>
      </c>
      <c r="C15" s="328" t="str">
        <f>IF($O$4&lt;&gt;"",VLOOKUP($O$4,etat!$A$9:$O$813,7,FALSE),"")</f>
        <v xml:space="preserve"> 3ت ر كه </v>
      </c>
      <c r="D15" s="324"/>
      <c r="E15" s="324"/>
      <c r="F15" s="323"/>
      <c r="G15" s="326" t="s">
        <v>218</v>
      </c>
      <c r="H15" s="328" t="str">
        <f>C15</f>
        <v xml:space="preserve"> 3ت ر كه </v>
      </c>
      <c r="I15" s="324"/>
      <c r="J15" s="324"/>
      <c r="K15" s="324"/>
      <c r="L15" s="324"/>
      <c r="M15" s="324"/>
    </row>
    <row r="16" spans="1:15" ht="20.25" customHeight="1">
      <c r="A16" s="328"/>
      <c r="B16" s="885" t="s">
        <v>2105</v>
      </c>
      <c r="C16" s="1265">
        <v>45776</v>
      </c>
      <c r="D16" s="1265"/>
      <c r="E16" s="886"/>
      <c r="F16" s="323"/>
      <c r="G16" s="335" t="str">
        <f>B16</f>
        <v>الغائب(ة) منذ:</v>
      </c>
      <c r="H16" s="324"/>
      <c r="I16" s="1265">
        <f>C16</f>
        <v>45776</v>
      </c>
      <c r="J16" s="1265"/>
      <c r="K16" s="324"/>
      <c r="L16" s="324"/>
      <c r="M16" s="324"/>
    </row>
    <row r="17" spans="1:15" ht="20.25" customHeight="1">
      <c r="A17" s="328" t="s">
        <v>205</v>
      </c>
      <c r="B17" s="324"/>
      <c r="C17" s="324"/>
      <c r="D17" s="324"/>
      <c r="E17" s="324"/>
      <c r="F17" s="323"/>
      <c r="G17" s="326" t="s">
        <v>205</v>
      </c>
      <c r="H17" s="324"/>
      <c r="I17" s="324"/>
      <c r="J17" s="324"/>
      <c r="K17" s="324"/>
      <c r="L17" s="324"/>
      <c r="M17" s="324"/>
    </row>
    <row r="18" spans="1:15" ht="20.25" customHeight="1">
      <c r="A18" s="328" t="s">
        <v>212</v>
      </c>
      <c r="B18" s="324"/>
      <c r="C18" s="324"/>
      <c r="D18" s="324"/>
      <c r="E18" s="324"/>
      <c r="F18" s="323"/>
      <c r="G18" s="326" t="s">
        <v>212</v>
      </c>
      <c r="H18" s="324"/>
      <c r="I18" s="324"/>
      <c r="J18" s="324"/>
      <c r="K18" s="324"/>
      <c r="L18" s="324"/>
      <c r="M18" s="324"/>
    </row>
    <row r="19" spans="1:15" ht="20.25" customHeight="1">
      <c r="A19" s="328" t="s">
        <v>211</v>
      </c>
      <c r="B19" s="324"/>
      <c r="C19" s="324"/>
      <c r="D19" s="324"/>
      <c r="E19" s="324"/>
      <c r="F19" s="323"/>
      <c r="G19" s="326" t="s">
        <v>211</v>
      </c>
      <c r="H19" s="324"/>
      <c r="I19" s="324"/>
      <c r="J19" s="324"/>
      <c r="K19" s="324"/>
      <c r="L19" s="324"/>
      <c r="M19" s="324"/>
    </row>
    <row r="20" spans="1:15" ht="20.25" customHeight="1">
      <c r="A20" s="328" t="s">
        <v>214</v>
      </c>
      <c r="B20" s="324"/>
      <c r="C20" s="324"/>
      <c r="D20" s="324"/>
      <c r="E20" s="324"/>
      <c r="F20" s="323"/>
      <c r="G20" s="326" t="s">
        <v>214</v>
      </c>
      <c r="H20" s="324"/>
      <c r="I20" s="324"/>
      <c r="J20" s="324"/>
      <c r="K20" s="324"/>
      <c r="L20" s="324"/>
      <c r="M20" s="324"/>
    </row>
    <row r="21" spans="1:15" ht="20.25" customHeight="1">
      <c r="A21" s="328" t="s">
        <v>213</v>
      </c>
      <c r="B21" s="324"/>
      <c r="C21" s="324"/>
      <c r="D21" s="324"/>
      <c r="E21" s="324"/>
      <c r="F21" s="323"/>
      <c r="G21" s="326" t="s">
        <v>213</v>
      </c>
      <c r="H21" s="324"/>
      <c r="I21" s="324"/>
      <c r="J21" s="324"/>
      <c r="K21" s="324"/>
      <c r="L21" s="324"/>
      <c r="M21" s="324"/>
    </row>
    <row r="22" spans="1:15" ht="20.25" customHeight="1">
      <c r="A22" s="884" t="s">
        <v>206</v>
      </c>
      <c r="B22" s="324"/>
      <c r="C22" s="23"/>
      <c r="D22" s="336" t="s">
        <v>219</v>
      </c>
      <c r="E22" s="1265">
        <v>45785</v>
      </c>
      <c r="F22" s="1270"/>
      <c r="G22" s="337" t="s">
        <v>206</v>
      </c>
      <c r="H22" s="324"/>
      <c r="J22" s="336" t="s">
        <v>219</v>
      </c>
      <c r="K22" s="871">
        <f>E22</f>
        <v>45785</v>
      </c>
      <c r="L22" s="871"/>
      <c r="M22" s="324"/>
    </row>
    <row r="23" spans="1:15" ht="20.25" customHeight="1">
      <c r="A23" s="324"/>
      <c r="B23" s="324"/>
      <c r="C23" s="23"/>
      <c r="D23" s="324"/>
      <c r="E23" s="328" t="s">
        <v>210</v>
      </c>
      <c r="F23" s="877"/>
      <c r="G23" s="329"/>
      <c r="H23" s="324"/>
      <c r="J23" s="324"/>
      <c r="K23" s="328" t="s">
        <v>210</v>
      </c>
      <c r="L23" s="324"/>
      <c r="M23" s="324"/>
    </row>
    <row r="24" spans="1:15" ht="20.25" customHeight="1">
      <c r="A24" s="852"/>
      <c r="B24" s="324"/>
      <c r="C24" s="324"/>
      <c r="D24" s="324"/>
      <c r="E24" s="324"/>
      <c r="F24" s="323"/>
      <c r="G24" s="326"/>
      <c r="H24" s="324"/>
      <c r="I24" s="324"/>
      <c r="J24" s="324"/>
      <c r="K24" s="324"/>
      <c r="L24" s="324"/>
      <c r="M24" s="324"/>
    </row>
    <row r="25" spans="1:15" ht="20.25" customHeight="1">
      <c r="A25" s="852"/>
      <c r="B25" s="324"/>
      <c r="C25" s="324"/>
      <c r="D25" s="324"/>
      <c r="E25" s="324"/>
      <c r="F25" s="323"/>
      <c r="G25" s="326"/>
      <c r="H25" s="324"/>
      <c r="I25" s="324"/>
      <c r="J25" s="324"/>
      <c r="K25" s="324"/>
      <c r="L25" s="324"/>
      <c r="M25" s="324"/>
    </row>
    <row r="26" spans="1:15" ht="20.25" customHeight="1">
      <c r="A26" s="852"/>
      <c r="B26" s="324"/>
      <c r="C26" s="324"/>
      <c r="D26" s="324"/>
      <c r="E26" s="324"/>
      <c r="F26" s="323"/>
      <c r="G26" s="337"/>
      <c r="H26" s="324"/>
      <c r="J26" s="336"/>
      <c r="K26" s="850"/>
      <c r="L26" s="850"/>
      <c r="M26" s="324"/>
    </row>
    <row r="27" spans="1:15" ht="20.25" customHeight="1">
      <c r="A27" s="794"/>
      <c r="B27" s="23"/>
      <c r="C27" s="23"/>
      <c r="D27" s="23"/>
      <c r="E27" s="23"/>
      <c r="F27" s="873"/>
      <c r="G27" s="329"/>
      <c r="H27" s="324"/>
      <c r="J27" s="324"/>
      <c r="K27" s="328"/>
      <c r="L27" s="324"/>
      <c r="M27" s="324"/>
    </row>
    <row r="28" spans="1:15" ht="17.45" customHeight="1">
      <c r="A28" s="1263" t="s">
        <v>207</v>
      </c>
      <c r="B28" s="1263"/>
      <c r="C28" s="1263"/>
      <c r="D28" s="1263"/>
      <c r="E28" s="1263"/>
      <c r="F28" s="1264"/>
      <c r="G28" s="1266" t="s">
        <v>207</v>
      </c>
      <c r="H28" s="1263"/>
      <c r="I28" s="1263"/>
      <c r="J28" s="1263"/>
      <c r="K28" s="1263"/>
      <c r="L28" s="324"/>
      <c r="M28" s="324"/>
    </row>
    <row r="29" spans="1:15" ht="17.45" customHeight="1">
      <c r="A29" s="1263" t="s">
        <v>79</v>
      </c>
      <c r="B29" s="1263"/>
      <c r="C29" s="1263"/>
      <c r="D29" s="1263"/>
      <c r="E29" s="1263"/>
      <c r="F29" s="1264"/>
      <c r="G29" s="1266" t="s">
        <v>79</v>
      </c>
      <c r="H29" s="1263"/>
      <c r="I29" s="1263"/>
      <c r="J29" s="1263"/>
      <c r="K29" s="1263"/>
      <c r="L29" s="324"/>
      <c r="M29" s="324"/>
    </row>
    <row r="30" spans="1:15" ht="17.45" customHeight="1">
      <c r="A30" s="794"/>
      <c r="B30" s="328"/>
      <c r="C30" s="23"/>
      <c r="D30" s="23"/>
      <c r="E30" s="23"/>
      <c r="F30" s="873"/>
      <c r="G30" s="339"/>
      <c r="H30" s="328"/>
      <c r="L30" s="324"/>
      <c r="M30" s="324"/>
    </row>
    <row r="31" spans="1:15" ht="17.45" customHeight="1">
      <c r="A31" s="325" t="s">
        <v>220</v>
      </c>
      <c r="B31" s="23"/>
      <c r="C31" s="23"/>
      <c r="D31" s="23"/>
      <c r="E31" s="23"/>
      <c r="F31" s="873"/>
      <c r="G31" s="326" t="s">
        <v>220</v>
      </c>
      <c r="L31" s="324"/>
      <c r="M31" s="324"/>
    </row>
    <row r="32" spans="1:15" ht="22.5" customHeight="1">
      <c r="A32" s="325" t="s">
        <v>221</v>
      </c>
      <c r="B32" s="23"/>
      <c r="C32" s="23"/>
      <c r="D32" s="23"/>
      <c r="E32" s="23"/>
      <c r="F32" s="873"/>
      <c r="G32" s="326" t="s">
        <v>221</v>
      </c>
      <c r="L32" s="324"/>
      <c r="M32" s="324"/>
      <c r="O32" s="895"/>
    </row>
    <row r="33" spans="1:15" ht="8.25" customHeight="1">
      <c r="A33" s="325"/>
      <c r="B33" s="23"/>
      <c r="C33" s="23"/>
      <c r="D33" s="23"/>
      <c r="E33" s="23"/>
      <c r="F33" s="873"/>
      <c r="G33" s="326"/>
      <c r="M33" s="23"/>
    </row>
    <row r="34" spans="1:15" ht="17.45" customHeight="1">
      <c r="A34" s="325"/>
      <c r="B34" s="23"/>
      <c r="C34" s="23"/>
      <c r="D34" s="872" t="s">
        <v>216</v>
      </c>
      <c r="E34" s="328" t="str">
        <f>IF($L$35&lt;&gt;"",VLOOKUP($L$35,etat!$A$9:$O$813,15,FALSE),"")</f>
        <v xml:space="preserve">بلفكرون  محمد </v>
      </c>
      <c r="F34" s="341"/>
      <c r="G34" s="342"/>
      <c r="J34" s="879" t="s">
        <v>216</v>
      </c>
      <c r="K34" s="328" t="str">
        <f>IF(L35&lt;&gt;"",VLOOKUP(L35,etat!$A$9:$O$813,15,FALSE),"")</f>
        <v xml:space="preserve">بلفكرون  محمد </v>
      </c>
      <c r="M34" s="23"/>
      <c r="N34" s="23"/>
      <c r="O34" s="23"/>
    </row>
    <row r="35" spans="1:15" ht="17.45" customHeight="1">
      <c r="A35" s="325"/>
      <c r="B35" s="23"/>
      <c r="C35" s="23"/>
      <c r="D35" s="325" t="str">
        <f>IF($L$35&lt;&gt;"",VLOOKUP($L$35,etat!$A$9:$O$813,12,FALSE),"")</f>
        <v xml:space="preserve">رقم02 معاشو بوحريز -مصطفى بن ابراهيم- </v>
      </c>
      <c r="E35" s="325"/>
      <c r="F35" s="986"/>
      <c r="G35" s="326"/>
      <c r="J35" s="1259" t="str">
        <f>IF(L35&lt;&gt;"",VLOOKUP(L35,etat!$A$9:$N$813,12,FALSE),"")</f>
        <v xml:space="preserve">رقم02 معاشو بوحريز -مصطفى بن ابراهيم- </v>
      </c>
      <c r="K35" s="1259"/>
      <c r="L35" s="957">
        <v>2</v>
      </c>
      <c r="M35" s="23"/>
    </row>
    <row r="36" spans="1:15" ht="17.45" customHeight="1">
      <c r="A36" s="325"/>
      <c r="B36" s="23"/>
      <c r="C36" s="23"/>
      <c r="D36" s="872"/>
      <c r="E36" s="23"/>
      <c r="F36" s="343"/>
      <c r="G36" s="326"/>
      <c r="J36" s="879"/>
      <c r="M36" s="23"/>
      <c r="O36" s="23"/>
    </row>
    <row r="37" spans="1:15" ht="21.75" customHeight="1">
      <c r="A37" s="796" t="s">
        <v>2245</v>
      </c>
      <c r="B37" s="23"/>
      <c r="C37" s="23"/>
      <c r="D37" s="324"/>
      <c r="E37" s="872"/>
      <c r="F37" s="343"/>
      <c r="G37" s="888" t="str">
        <f>+A37</f>
        <v>الرقم:,,,,,,,/2025</v>
      </c>
      <c r="H37" s="878"/>
      <c r="I37" s="878"/>
      <c r="J37" s="324"/>
      <c r="K37" s="879"/>
      <c r="M37" s="23"/>
      <c r="N37" s="23"/>
      <c r="O37" s="23"/>
    </row>
    <row r="38" spans="1:15" ht="17.45" customHeight="1">
      <c r="A38" s="325" t="s">
        <v>222</v>
      </c>
      <c r="B38" s="23"/>
      <c r="C38" s="23"/>
      <c r="D38" s="23"/>
      <c r="E38" s="23"/>
      <c r="F38" s="873"/>
      <c r="G38" s="326" t="s">
        <v>222</v>
      </c>
      <c r="M38" s="23"/>
      <c r="N38" s="23"/>
      <c r="O38" s="23"/>
    </row>
    <row r="39" spans="1:15" ht="17.45" customHeight="1">
      <c r="A39" s="325" t="s">
        <v>950</v>
      </c>
      <c r="B39" s="23"/>
      <c r="C39" s="23"/>
      <c r="D39" s="23"/>
      <c r="E39" s="23"/>
      <c r="F39" s="873"/>
      <c r="G39" s="326" t="s">
        <v>950</v>
      </c>
      <c r="M39" s="23"/>
      <c r="N39" s="23"/>
      <c r="O39" s="23"/>
    </row>
    <row r="40" spans="1:15" ht="17.45" customHeight="1">
      <c r="A40" s="325" t="s">
        <v>230</v>
      </c>
      <c r="B40" s="23"/>
      <c r="C40" s="23"/>
      <c r="D40" s="23"/>
      <c r="E40" s="23"/>
      <c r="F40" s="873"/>
      <c r="G40" s="326" t="s">
        <v>230</v>
      </c>
      <c r="L40" s="328"/>
      <c r="M40" s="23"/>
      <c r="N40" s="23"/>
      <c r="O40" s="23"/>
    </row>
    <row r="41" spans="1:15" ht="17.45" customHeight="1">
      <c r="A41" s="325" t="s">
        <v>223</v>
      </c>
      <c r="B41" s="23"/>
      <c r="C41" s="23"/>
      <c r="D41" s="23"/>
      <c r="E41" s="23"/>
      <c r="F41" s="873"/>
      <c r="G41" s="326" t="s">
        <v>223</v>
      </c>
      <c r="L41" s="356"/>
      <c r="M41" s="23"/>
      <c r="N41" s="23"/>
      <c r="O41" s="23"/>
    </row>
    <row r="42" spans="1:15" ht="17.45" customHeight="1">
      <c r="A42" s="325" t="s">
        <v>217</v>
      </c>
      <c r="B42" s="324"/>
      <c r="C42" s="900">
        <f>IF($L$35&lt;&gt;"",VLOOKUP($L$35,etat!$A$9:$N$813,2,FALSE),"")</f>
        <v>0</v>
      </c>
      <c r="D42" s="324"/>
      <c r="E42" s="23"/>
      <c r="F42" s="873"/>
      <c r="G42" s="326" t="s">
        <v>217</v>
      </c>
      <c r="H42" s="324"/>
      <c r="I42" s="328">
        <f>IF($L$35&lt;&gt;"",VLOOKUP($L$35,etat!$A$9:$N$813,2,FALSE),"")</f>
        <v>0</v>
      </c>
      <c r="J42" s="324"/>
      <c r="L42" s="396"/>
      <c r="M42" s="23"/>
      <c r="N42" s="23"/>
      <c r="O42" s="23"/>
    </row>
    <row r="43" spans="1:15" ht="17.45" customHeight="1">
      <c r="A43" s="325"/>
      <c r="B43" s="328" t="s">
        <v>218</v>
      </c>
      <c r="C43" s="328" t="str">
        <f>IF($L$35&lt;&gt;"",VLOOKUP($L$35,etat!$A$9:$O$813,7,FALSE),"")</f>
        <v xml:space="preserve"> 3ت ر كه </v>
      </c>
      <c r="D43" s="324"/>
      <c r="E43" s="23"/>
      <c r="F43" s="873"/>
      <c r="G43" s="326" t="s">
        <v>218</v>
      </c>
      <c r="H43" s="328" t="str">
        <f>C43</f>
        <v xml:space="preserve"> 3ت ر كه </v>
      </c>
      <c r="I43" s="324"/>
      <c r="J43" s="324"/>
      <c r="L43" s="396"/>
      <c r="M43" s="23"/>
      <c r="N43" s="23"/>
      <c r="O43" s="23"/>
    </row>
    <row r="44" spans="1:15" ht="17.45" customHeight="1">
      <c r="A44" s="325"/>
      <c r="B44" s="334" t="s">
        <v>2105</v>
      </c>
      <c r="C44" s="344"/>
      <c r="D44" s="1255">
        <v>45767</v>
      </c>
      <c r="E44" s="1255"/>
      <c r="F44" s="873"/>
      <c r="G44" s="334" t="s">
        <v>2105</v>
      </c>
      <c r="H44" s="344"/>
      <c r="I44" s="1255">
        <f>D44</f>
        <v>45767</v>
      </c>
      <c r="J44" s="1255"/>
      <c r="M44" s="23"/>
      <c r="N44" s="23"/>
      <c r="O44" s="23"/>
    </row>
    <row r="45" spans="1:15" ht="17.45" customHeight="1">
      <c r="A45" s="325"/>
      <c r="B45" s="23"/>
      <c r="C45" s="23"/>
      <c r="D45" s="23"/>
      <c r="E45" s="23"/>
      <c r="F45" s="873"/>
      <c r="G45" s="326"/>
      <c r="M45" s="23"/>
      <c r="N45" s="23"/>
      <c r="O45" s="23"/>
    </row>
    <row r="46" spans="1:15" ht="17.45" customHeight="1">
      <c r="A46" s="853" t="s">
        <v>231</v>
      </c>
      <c r="B46" s="23"/>
      <c r="C46" s="23"/>
      <c r="D46" s="23"/>
      <c r="E46" s="23"/>
      <c r="F46" s="873"/>
      <c r="G46" s="345" t="s">
        <v>224</v>
      </c>
      <c r="M46" s="23"/>
      <c r="N46" s="23"/>
      <c r="O46" s="23"/>
    </row>
    <row r="47" spans="1:15" ht="17.45" customHeight="1">
      <c r="A47" s="853" t="s">
        <v>225</v>
      </c>
      <c r="B47" s="23"/>
      <c r="C47" s="23"/>
      <c r="D47" s="23"/>
      <c r="E47" s="23"/>
      <c r="F47" s="873"/>
      <c r="G47" s="345" t="s">
        <v>225</v>
      </c>
      <c r="M47" s="23"/>
      <c r="N47" s="23"/>
      <c r="O47" s="23"/>
    </row>
    <row r="48" spans="1:15" ht="17.45" customHeight="1">
      <c r="A48" s="853" t="s">
        <v>232</v>
      </c>
      <c r="B48" s="23"/>
      <c r="C48" s="23"/>
      <c r="D48" s="23"/>
      <c r="E48" s="23"/>
      <c r="F48" s="873"/>
      <c r="G48" s="345" t="s">
        <v>226</v>
      </c>
      <c r="M48" s="23"/>
      <c r="N48" s="23"/>
      <c r="O48" s="23"/>
    </row>
    <row r="49" spans="1:29" ht="17.45" customHeight="1">
      <c r="A49" s="853" t="s">
        <v>227</v>
      </c>
      <c r="B49" s="23"/>
      <c r="C49" s="23"/>
      <c r="D49" s="23"/>
      <c r="E49" s="23"/>
      <c r="F49" s="873"/>
      <c r="G49" s="345" t="s">
        <v>227</v>
      </c>
      <c r="M49" s="23"/>
      <c r="N49" s="23"/>
      <c r="O49" s="23"/>
    </row>
    <row r="50" spans="1:29" ht="17.45" customHeight="1">
      <c r="A50" s="325"/>
      <c r="B50" s="23"/>
      <c r="C50" s="23"/>
      <c r="D50" s="23"/>
      <c r="E50" s="23"/>
      <c r="F50" s="873"/>
      <c r="G50" s="342"/>
      <c r="M50" s="23"/>
      <c r="N50" s="23"/>
      <c r="O50" s="23"/>
    </row>
    <row r="51" spans="1:29" ht="17.45" customHeight="1">
      <c r="A51" s="794"/>
      <c r="B51" s="23"/>
      <c r="C51" s="346" t="s">
        <v>228</v>
      </c>
      <c r="D51" s="1255">
        <v>45783</v>
      </c>
      <c r="E51" s="1255"/>
      <c r="F51" s="347"/>
      <c r="G51" s="339"/>
      <c r="J51" s="346" t="s">
        <v>228</v>
      </c>
      <c r="K51" s="850">
        <f>D51</f>
        <v>45783</v>
      </c>
      <c r="M51" s="23"/>
      <c r="N51" s="23"/>
      <c r="O51" s="23"/>
    </row>
    <row r="52" spans="1:29" ht="17.45" customHeight="1">
      <c r="A52" s="854"/>
      <c r="B52" s="23"/>
      <c r="C52" s="23"/>
      <c r="D52" s="23"/>
      <c r="E52" s="23"/>
      <c r="F52" s="873"/>
      <c r="G52" s="349"/>
      <c r="M52" s="23"/>
      <c r="N52" s="23"/>
      <c r="O52" s="23"/>
    </row>
    <row r="53" spans="1:29" ht="17.45" customHeight="1">
      <c r="A53" s="794"/>
      <c r="B53" s="23"/>
      <c r="C53" s="23"/>
      <c r="D53" s="350" t="s">
        <v>229</v>
      </c>
      <c r="E53" s="23"/>
      <c r="F53" s="873"/>
      <c r="G53" s="339"/>
      <c r="J53" s="350" t="s">
        <v>229</v>
      </c>
      <c r="M53" s="23"/>
      <c r="N53" s="23"/>
      <c r="O53" s="23"/>
    </row>
    <row r="54" spans="1:29" ht="17.45" customHeight="1">
      <c r="A54" s="325"/>
      <c r="B54" s="23"/>
      <c r="C54" s="23"/>
      <c r="D54" s="23"/>
      <c r="E54" s="23"/>
      <c r="F54" s="873"/>
      <c r="M54" s="23"/>
      <c r="N54" s="23"/>
      <c r="O54" s="23"/>
    </row>
    <row r="55" spans="1:29" ht="15.75" customHeight="1">
      <c r="A55" s="325"/>
      <c r="B55" s="23"/>
      <c r="C55" s="23"/>
      <c r="D55" s="23"/>
      <c r="E55" s="23"/>
      <c r="F55" s="873"/>
      <c r="M55" s="23"/>
      <c r="N55" s="23"/>
      <c r="O55" s="23"/>
    </row>
    <row r="56" spans="1:29" ht="17.45" customHeight="1">
      <c r="A56" s="325"/>
      <c r="B56" s="23"/>
      <c r="C56" s="23"/>
      <c r="D56" s="23"/>
      <c r="E56" s="23"/>
      <c r="F56" s="873"/>
      <c r="M56" s="23"/>
      <c r="N56" s="23"/>
      <c r="O56" s="23"/>
    </row>
    <row r="57" spans="1:29" ht="17.45" customHeight="1">
      <c r="A57" s="794"/>
      <c r="B57" s="23"/>
      <c r="C57" s="23"/>
      <c r="D57" s="23"/>
      <c r="E57" s="23"/>
      <c r="F57" s="873"/>
      <c r="L57" s="850"/>
      <c r="M57" s="23"/>
      <c r="O57" s="348"/>
      <c r="P57" s="23"/>
    </row>
    <row r="58" spans="1:29" ht="17.45" customHeight="1">
      <c r="A58" s="794"/>
      <c r="B58" s="23"/>
      <c r="C58" s="23"/>
      <c r="D58" s="23"/>
      <c r="E58" s="23"/>
      <c r="F58" s="873"/>
      <c r="M58" s="23"/>
      <c r="O58" s="23"/>
    </row>
    <row r="59" spans="1:29" ht="17.45" customHeight="1">
      <c r="A59" s="874"/>
      <c r="B59" s="875"/>
      <c r="C59" s="875"/>
      <c r="D59" s="875"/>
      <c r="E59" s="875"/>
      <c r="F59" s="876"/>
      <c r="M59" s="23"/>
      <c r="O59" s="23"/>
    </row>
    <row r="60" spans="1:29" ht="21.75" customHeight="1">
      <c r="A60" s="1276" t="s">
        <v>78</v>
      </c>
      <c r="B60" s="1276"/>
      <c r="C60" s="1276"/>
      <c r="D60" s="1276"/>
      <c r="E60" s="1276"/>
      <c r="F60" s="1277"/>
      <c r="G60" s="1278" t="s">
        <v>78</v>
      </c>
      <c r="H60" s="1276"/>
      <c r="I60" s="1276"/>
      <c r="J60" s="1276"/>
      <c r="K60" s="1276"/>
      <c r="L60" s="851"/>
      <c r="M60" s="23"/>
      <c r="AA60" s="321" t="s">
        <v>741</v>
      </c>
      <c r="AB60" s="321"/>
      <c r="AC60" s="214" t="str">
        <f t="shared" ref="AC60:AC62" si="0">(AA60&amp;"  "&amp;AB60)</f>
        <v xml:space="preserve">المدير  </v>
      </c>
    </row>
    <row r="61" spans="1:29" ht="17.45" customHeight="1">
      <c r="A61" s="1271" t="s">
        <v>1971</v>
      </c>
      <c r="B61" s="1271"/>
      <c r="C61" s="1271"/>
      <c r="D61" s="1271"/>
      <c r="E61" s="1271"/>
      <c r="F61" s="1272"/>
      <c r="G61" s="889" t="s">
        <v>2106</v>
      </c>
      <c r="H61" s="382"/>
      <c r="I61" s="382"/>
      <c r="J61" s="382"/>
      <c r="K61" s="382"/>
      <c r="L61" s="382"/>
      <c r="AA61" s="321" t="s">
        <v>740</v>
      </c>
      <c r="AB61" s="321"/>
      <c r="AC61" s="214" t="str">
        <f t="shared" si="0"/>
        <v xml:space="preserve">الناظر  </v>
      </c>
    </row>
    <row r="62" spans="1:29" ht="13.5" customHeight="1" thickBot="1">
      <c r="G62" s="889"/>
      <c r="H62" s="382"/>
      <c r="I62" s="382"/>
      <c r="J62" s="382"/>
      <c r="K62" s="382"/>
      <c r="L62" s="382"/>
      <c r="M62" s="23"/>
      <c r="AA62" s="321" t="s">
        <v>832</v>
      </c>
      <c r="AB62" s="321"/>
      <c r="AC62" s="214" t="str">
        <f t="shared" si="0"/>
        <v xml:space="preserve"> مستشار التربية     </v>
      </c>
    </row>
    <row r="63" spans="1:29" ht="12.75" customHeight="1" thickTop="1" thickBot="1">
      <c r="A63" s="794"/>
      <c r="B63" s="382"/>
      <c r="C63" s="794"/>
      <c r="D63" s="794"/>
      <c r="E63" s="794"/>
      <c r="F63" s="890"/>
      <c r="G63" s="891"/>
      <c r="H63" s="382"/>
      <c r="I63" s="794"/>
      <c r="J63" s="794"/>
      <c r="K63" s="794"/>
      <c r="L63" s="794"/>
      <c r="M63" s="23"/>
      <c r="X63" s="243" t="s">
        <v>609</v>
      </c>
      <c r="Y63" s="353" t="s">
        <v>1538</v>
      </c>
      <c r="Z63" s="354">
        <v>1</v>
      </c>
      <c r="AA63" s="286" t="s">
        <v>272</v>
      </c>
      <c r="AB63" s="1143" t="s">
        <v>262</v>
      </c>
      <c r="AC63" s="214" t="str">
        <f>(AA63&amp;"  "&amp;AB63)</f>
        <v>فارحي مامة  رياضيات</v>
      </c>
    </row>
    <row r="64" spans="1:29" ht="17.45" customHeight="1" thickTop="1" thickBot="1">
      <c r="A64" s="382" t="s">
        <v>233</v>
      </c>
      <c r="B64" s="794"/>
      <c r="C64" s="794"/>
      <c r="D64" s="794"/>
      <c r="E64" s="794"/>
      <c r="F64" s="890"/>
      <c r="G64" s="382" t="s">
        <v>233</v>
      </c>
      <c r="H64" s="794"/>
      <c r="I64" s="794"/>
      <c r="J64" s="794"/>
      <c r="K64" s="794"/>
      <c r="L64" s="794"/>
      <c r="M64" s="23"/>
      <c r="X64" s="243" t="s">
        <v>610</v>
      </c>
      <c r="Y64" s="353" t="s">
        <v>1539</v>
      </c>
      <c r="Z64" s="354">
        <v>2</v>
      </c>
      <c r="AA64" s="363" t="s">
        <v>274</v>
      </c>
      <c r="AB64" s="1143" t="s">
        <v>262</v>
      </c>
      <c r="AC64" s="214" t="str">
        <f t="shared" ref="AC64:AC66" si="1">(AA64&amp;"  "&amp;AB64)</f>
        <v>خشعي فتيحة  رياضيات</v>
      </c>
    </row>
    <row r="65" spans="1:29" ht="24.75" customHeight="1" thickTop="1" thickBot="1">
      <c r="A65" s="325" t="s">
        <v>3882</v>
      </c>
      <c r="B65" s="794"/>
      <c r="C65" s="794"/>
      <c r="D65" s="794"/>
      <c r="E65" s="794"/>
      <c r="F65" s="890"/>
      <c r="G65" s="1166" t="str">
        <f>A65:A66</f>
        <v xml:space="preserve">ثانوية بتالوتي عبد المالك *مصطفى بن براهيم*                   </v>
      </c>
      <c r="H65" s="794"/>
      <c r="I65" s="794"/>
      <c r="J65" s="794"/>
      <c r="K65" s="794"/>
      <c r="L65" s="794"/>
      <c r="M65" s="23"/>
      <c r="X65" s="243" t="s">
        <v>611</v>
      </c>
      <c r="Y65" s="353" t="s">
        <v>1540</v>
      </c>
      <c r="Z65" s="354">
        <v>3</v>
      </c>
      <c r="AA65" s="286" t="s">
        <v>427</v>
      </c>
      <c r="AB65" s="1143" t="s">
        <v>262</v>
      </c>
      <c r="AC65" s="214" t="str">
        <f t="shared" si="1"/>
        <v>ضليمي محمد  رياضيات</v>
      </c>
    </row>
    <row r="66" spans="1:29" ht="30" customHeight="1" thickTop="1" thickBot="1">
      <c r="A66" s="382"/>
      <c r="B66" s="794"/>
      <c r="C66" s="794"/>
      <c r="D66" s="794"/>
      <c r="E66" s="794"/>
      <c r="F66" s="890"/>
      <c r="G66" s="889"/>
      <c r="H66" s="794"/>
      <c r="I66" s="794"/>
      <c r="J66" s="794"/>
      <c r="K66" s="794"/>
      <c r="L66" s="794"/>
      <c r="M66" s="23"/>
      <c r="O66" s="897">
        <v>175</v>
      </c>
      <c r="X66" s="358" t="s">
        <v>612</v>
      </c>
      <c r="Y66" s="353" t="s">
        <v>1541</v>
      </c>
      <c r="Z66" s="354">
        <v>4</v>
      </c>
      <c r="AA66" s="286" t="s">
        <v>1943</v>
      </c>
      <c r="AB66" s="1143" t="s">
        <v>262</v>
      </c>
      <c r="AC66" s="214" t="str">
        <f t="shared" si="1"/>
        <v>العرباوي هبة  رياضيات</v>
      </c>
    </row>
    <row r="67" spans="1:29" ht="30" customHeight="1" thickTop="1" thickBot="1">
      <c r="A67" s="794"/>
      <c r="B67" s="794"/>
      <c r="C67" s="794"/>
      <c r="D67" s="427" t="s">
        <v>238</v>
      </c>
      <c r="E67" s="1263" t="str">
        <f>IF($O$66&lt;&gt;"",VLOOKUP($O$66,etat!$A$9:$O$813,15,FALSE),"")</f>
        <v xml:space="preserve">هريوي  محمد </v>
      </c>
      <c r="F67" s="1264"/>
      <c r="G67" s="891"/>
      <c r="H67" s="794"/>
      <c r="I67" s="794"/>
      <c r="J67" s="382" t="s">
        <v>238</v>
      </c>
      <c r="K67" s="325" t="str">
        <f>E67</f>
        <v xml:space="preserve">هريوي  محمد </v>
      </c>
      <c r="L67" s="794"/>
      <c r="M67" s="23"/>
      <c r="X67" s="358" t="s">
        <v>613</v>
      </c>
      <c r="Y67" s="353" t="s">
        <v>1542</v>
      </c>
      <c r="Z67" s="354">
        <v>5</v>
      </c>
      <c r="AA67" s="286" t="s">
        <v>1220</v>
      </c>
      <c r="AB67" s="1143" t="s">
        <v>262</v>
      </c>
      <c r="AC67" s="214" t="str">
        <f t="shared" ref="AC67:AC81" si="2">(AA67&amp;"  "&amp;AB67)</f>
        <v>مدين سيف الدين  رياضيات</v>
      </c>
    </row>
    <row r="68" spans="1:29" ht="16.5" customHeight="1" thickTop="1" thickBot="1">
      <c r="A68" s="794"/>
      <c r="B68" s="794"/>
      <c r="C68" s="794"/>
      <c r="D68" s="325" t="str">
        <f>IF($O$66&lt;&gt;"",VLOOKUP($O$66,etat!$A$9:$O$813,12,FALSE),"")</f>
        <v xml:space="preserve">رقم 144 حي 19 جوان مصطفى بن براهيم </v>
      </c>
      <c r="E68" s="325"/>
      <c r="F68" s="896"/>
      <c r="G68" s="891"/>
      <c r="H68" s="794"/>
      <c r="I68" s="325"/>
      <c r="J68" s="1259" t="str">
        <f>D68</f>
        <v xml:space="preserve">رقم 144 حي 19 جوان مصطفى بن براهيم </v>
      </c>
      <c r="K68" s="1259"/>
      <c r="L68" s="325"/>
      <c r="M68" s="23"/>
      <c r="X68" s="243" t="s">
        <v>836</v>
      </c>
      <c r="Y68" s="353" t="s">
        <v>1543</v>
      </c>
      <c r="Z68" s="354">
        <v>6</v>
      </c>
      <c r="AA68" s="286" t="s">
        <v>1219</v>
      </c>
      <c r="AB68" s="1143" t="s">
        <v>262</v>
      </c>
      <c r="AC68" s="214" t="str">
        <f t="shared" si="2"/>
        <v>مدينة فاطمة الزهراء  رياضيات</v>
      </c>
    </row>
    <row r="69" spans="1:29" ht="30" customHeight="1" thickTop="1" thickBot="1">
      <c r="A69" s="794"/>
      <c r="B69" s="794"/>
      <c r="C69" s="794"/>
      <c r="D69" s="795" t="s">
        <v>234</v>
      </c>
      <c r="E69" s="794"/>
      <c r="F69" s="890"/>
      <c r="G69" s="891"/>
      <c r="H69" s="794"/>
      <c r="I69" s="795" t="s">
        <v>234</v>
      </c>
      <c r="J69" s="794"/>
      <c r="K69" s="794"/>
      <c r="L69" s="794"/>
      <c r="M69" s="23"/>
      <c r="X69" s="358"/>
      <c r="Y69" s="353" t="s">
        <v>1544</v>
      </c>
      <c r="Z69" s="354">
        <v>7</v>
      </c>
      <c r="AA69" s="286" t="s">
        <v>808</v>
      </c>
      <c r="AB69" s="362" t="s">
        <v>270</v>
      </c>
      <c r="AC69" s="214" t="str">
        <f t="shared" si="2"/>
        <v>بن ويس مختارية  فيزياء</v>
      </c>
    </row>
    <row r="70" spans="1:29" ht="30" customHeight="1" thickTop="1" thickBot="1">
      <c r="A70" s="796" t="s">
        <v>2248</v>
      </c>
      <c r="B70" s="794"/>
      <c r="C70" s="794"/>
      <c r="D70" s="794"/>
      <c r="E70" s="794"/>
      <c r="F70" s="890"/>
      <c r="G70" s="1273" t="str">
        <f>+A70</f>
        <v>الرقم:......../2025</v>
      </c>
      <c r="H70" s="1274"/>
      <c r="I70" s="1274"/>
      <c r="J70" s="794"/>
      <c r="K70" s="794"/>
      <c r="L70" s="794" t="s">
        <v>2213</v>
      </c>
      <c r="M70" s="23"/>
      <c r="X70" s="358"/>
      <c r="Y70" s="353" t="s">
        <v>1561</v>
      </c>
      <c r="Z70" s="354">
        <v>8</v>
      </c>
      <c r="AA70" s="286" t="s">
        <v>955</v>
      </c>
      <c r="AB70" s="362" t="s">
        <v>270</v>
      </c>
      <c r="AC70" s="214" t="str">
        <f t="shared" si="2"/>
        <v>مهرى جويدة  فيزياء</v>
      </c>
    </row>
    <row r="71" spans="1:29" ht="19.5" customHeight="1" thickTop="1" thickBot="1">
      <c r="A71" s="382" t="s">
        <v>235</v>
      </c>
      <c r="B71" s="794"/>
      <c r="C71" s="794"/>
      <c r="D71" s="794"/>
      <c r="E71" s="794"/>
      <c r="F71" s="890"/>
      <c r="G71" s="889" t="s">
        <v>235</v>
      </c>
      <c r="H71" s="794"/>
      <c r="I71" s="794"/>
      <c r="J71" s="794"/>
      <c r="K71" s="794"/>
      <c r="L71" s="794"/>
      <c r="M71" s="23"/>
      <c r="Y71" s="353" t="s">
        <v>2109</v>
      </c>
      <c r="Z71" s="354">
        <v>9</v>
      </c>
      <c r="AA71" s="286" t="s">
        <v>1250</v>
      </c>
      <c r="AB71" s="362" t="s">
        <v>270</v>
      </c>
      <c r="AC71" s="214" t="str">
        <f t="shared" si="2"/>
        <v>خليل فاطمة الزهراء  فيزياء</v>
      </c>
    </row>
    <row r="72" spans="1:29" ht="17.45" customHeight="1" thickTop="1" thickBot="1">
      <c r="A72" s="382" t="s">
        <v>236</v>
      </c>
      <c r="B72" s="794"/>
      <c r="C72" s="794"/>
      <c r="D72" s="794"/>
      <c r="E72" s="794"/>
      <c r="F72" s="890"/>
      <c r="G72" s="889" t="s">
        <v>236</v>
      </c>
      <c r="H72" s="794"/>
      <c r="I72" s="794"/>
      <c r="J72" s="794"/>
      <c r="K72" s="794"/>
      <c r="L72" s="794"/>
      <c r="M72" s="23"/>
      <c r="Y72" s="353" t="s">
        <v>2109</v>
      </c>
      <c r="Z72" s="354">
        <v>10</v>
      </c>
      <c r="AA72" s="286" t="s">
        <v>1221</v>
      </c>
      <c r="AB72" s="362" t="s">
        <v>270</v>
      </c>
      <c r="AC72" s="214" t="str">
        <f t="shared" si="2"/>
        <v>توات الطيب  فيزياء</v>
      </c>
    </row>
    <row r="73" spans="1:29" ht="17.45" customHeight="1" thickBot="1">
      <c r="A73" s="382" t="s">
        <v>830</v>
      </c>
      <c r="B73" s="801"/>
      <c r="C73" s="1275">
        <v>45931</v>
      </c>
      <c r="D73" s="1275"/>
      <c r="E73" s="794"/>
      <c r="F73" s="890"/>
      <c r="G73" s="898">
        <f>B73</f>
        <v>0</v>
      </c>
      <c r="H73" s="1275">
        <f>C73</f>
        <v>45931</v>
      </c>
      <c r="I73" s="1275"/>
      <c r="J73" s="974"/>
      <c r="K73" s="794"/>
      <c r="L73" s="794"/>
      <c r="M73" s="23"/>
      <c r="O73" s="1275"/>
      <c r="P73" s="1275"/>
      <c r="Y73" s="909"/>
      <c r="Z73" s="354">
        <v>11</v>
      </c>
      <c r="AA73" s="512" t="s">
        <v>941</v>
      </c>
      <c r="AB73" s="362" t="s">
        <v>270</v>
      </c>
      <c r="AC73" s="214" t="str">
        <f t="shared" si="2"/>
        <v>منصورة عائشة  فيزياء</v>
      </c>
    </row>
    <row r="74" spans="1:29" ht="21.75" thickBot="1">
      <c r="A74" s="382" t="s">
        <v>831</v>
      </c>
      <c r="B74" s="794"/>
      <c r="C74" s="1040" t="s">
        <v>1539</v>
      </c>
      <c r="D74" s="794"/>
      <c r="E74" s="794"/>
      <c r="F74" s="890"/>
      <c r="G74" s="889" t="s">
        <v>831</v>
      </c>
      <c r="H74" s="794"/>
      <c r="I74" s="870" t="str">
        <f>C74</f>
        <v>09سا00د</v>
      </c>
      <c r="J74" s="794"/>
      <c r="K74" s="794"/>
      <c r="L74" s="794"/>
      <c r="M74" s="23"/>
      <c r="P74" s="360"/>
      <c r="Y74" s="361"/>
      <c r="Z74" s="354">
        <v>12</v>
      </c>
      <c r="AA74" s="512" t="s">
        <v>811</v>
      </c>
      <c r="AB74" s="362" t="s">
        <v>408</v>
      </c>
      <c r="AC74" s="214" t="str">
        <f t="shared" si="2"/>
        <v>مغربي عمر  ع طبيعية</v>
      </c>
    </row>
    <row r="75" spans="1:29" ht="21.75" thickBot="1">
      <c r="A75" s="1271" t="s">
        <v>2107</v>
      </c>
      <c r="B75" s="1271"/>
      <c r="C75" s="1271"/>
      <c r="D75" s="1263">
        <f>IF($O$66&lt;&gt;"",VLOOKUP($O$66,etat!$A$9:$O$813,2,FALSE),"")</f>
        <v>0</v>
      </c>
      <c r="E75" s="1263"/>
      <c r="F75" s="1264"/>
      <c r="G75" s="889" t="s">
        <v>245</v>
      </c>
      <c r="H75" s="794"/>
      <c r="I75" s="794"/>
      <c r="J75" s="794"/>
      <c r="K75" s="879">
        <f>D75</f>
        <v>0</v>
      </c>
      <c r="L75" s="794"/>
      <c r="M75" s="23"/>
      <c r="Y75" s="361"/>
      <c r="Z75" s="354">
        <v>13</v>
      </c>
      <c r="AA75" s="286" t="s">
        <v>1222</v>
      </c>
      <c r="AB75" s="362" t="s">
        <v>408</v>
      </c>
      <c r="AC75" s="214" t="str">
        <f t="shared" si="2"/>
        <v>عتو  فاطمة  ع طبيعية</v>
      </c>
    </row>
    <row r="76" spans="1:29" ht="21.75" thickBot="1">
      <c r="A76" s="382" t="s">
        <v>237</v>
      </c>
      <c r="B76" s="794"/>
      <c r="C76" s="1286" t="str">
        <f>IF($O$66&lt;&gt;"",VLOOKUP($O$66,etat!$A$9:$O$813,7,FALSE),"")</f>
        <v>3أ ف2</v>
      </c>
      <c r="D76" s="1286"/>
      <c r="E76" s="1286"/>
      <c r="F76" s="890"/>
      <c r="G76" s="889" t="s">
        <v>237</v>
      </c>
      <c r="H76" s="794"/>
      <c r="I76" s="325" t="str">
        <f>C76</f>
        <v>3أ ف2</v>
      </c>
      <c r="J76" s="794"/>
      <c r="K76" s="794"/>
      <c r="L76" s="794"/>
      <c r="M76" s="23"/>
      <c r="Y76" s="361"/>
      <c r="Z76" s="354">
        <v>14</v>
      </c>
      <c r="AA76" s="286" t="s">
        <v>812</v>
      </c>
      <c r="AB76" s="362" t="s">
        <v>408</v>
      </c>
      <c r="AC76" s="214" t="str">
        <f t="shared" si="2"/>
        <v>بن شيخ زهرة  ع طبيعية</v>
      </c>
    </row>
    <row r="77" spans="1:29" ht="21.75" thickBot="1">
      <c r="A77" s="382"/>
      <c r="B77" s="794"/>
      <c r="C77" s="1285" t="s">
        <v>2293</v>
      </c>
      <c r="D77" s="1285"/>
      <c r="E77" s="1285"/>
      <c r="F77" s="892"/>
      <c r="G77" s="889"/>
      <c r="H77" s="794"/>
      <c r="I77" s="1094" t="str">
        <f>C77</f>
        <v xml:space="preserve">المدير  </v>
      </c>
      <c r="J77" s="1094"/>
      <c r="K77" s="1040"/>
      <c r="L77" s="870"/>
      <c r="M77" s="23"/>
      <c r="Y77" s="361"/>
      <c r="Z77" s="354">
        <v>15</v>
      </c>
      <c r="AA77" s="286" t="s">
        <v>2233</v>
      </c>
      <c r="AB77" s="362" t="s">
        <v>408</v>
      </c>
      <c r="AC77" s="214" t="str">
        <f t="shared" si="2"/>
        <v>ولد خدة نبيلة  ع طبيعية</v>
      </c>
    </row>
    <row r="78" spans="1:29" ht="21.75" thickBot="1">
      <c r="A78" s="794"/>
      <c r="B78" s="382"/>
      <c r="C78" s="1074"/>
      <c r="D78" s="1075"/>
      <c r="E78" s="794"/>
      <c r="F78" s="890"/>
      <c r="G78" s="891"/>
      <c r="H78" s="1074"/>
      <c r="I78" s="1075"/>
      <c r="J78" s="794"/>
      <c r="K78" s="794"/>
      <c r="L78" s="794"/>
      <c r="M78" s="23"/>
      <c r="Y78" s="361"/>
      <c r="Z78" s="354">
        <v>16</v>
      </c>
      <c r="AA78" s="286" t="s">
        <v>1964</v>
      </c>
      <c r="AB78" s="362" t="s">
        <v>408</v>
      </c>
      <c r="AC78" s="214" t="str">
        <f t="shared" si="2"/>
        <v>دلاوي هاجر  ع طبيعية</v>
      </c>
    </row>
    <row r="79" spans="1:29" ht="21.75" thickBot="1">
      <c r="A79" s="794"/>
      <c r="B79" s="794"/>
      <c r="C79" s="1271" t="s">
        <v>3347</v>
      </c>
      <c r="D79" s="1271"/>
      <c r="E79" s="1255">
        <v>45960</v>
      </c>
      <c r="F79" s="1255"/>
      <c r="G79" s="891"/>
      <c r="H79" s="794"/>
      <c r="I79" s="1271" t="s">
        <v>3347</v>
      </c>
      <c r="J79" s="1271"/>
      <c r="K79" s="871">
        <f>E79</f>
        <v>45960</v>
      </c>
      <c r="L79" s="871"/>
      <c r="M79" s="23"/>
      <c r="Y79" s="361"/>
      <c r="Z79" s="354">
        <v>17</v>
      </c>
      <c r="AA79" s="286" t="s">
        <v>283</v>
      </c>
      <c r="AB79" s="362" t="s">
        <v>1948</v>
      </c>
      <c r="AC79" s="214" t="str">
        <f t="shared" si="2"/>
        <v>رماصي محمد  ع.اسلامية</v>
      </c>
    </row>
    <row r="80" spans="1:29" ht="21.75" thickBot="1">
      <c r="A80" s="794"/>
      <c r="B80" s="382"/>
      <c r="C80" s="794"/>
      <c r="D80" s="1275"/>
      <c r="E80" s="1275"/>
      <c r="F80" s="890"/>
      <c r="G80" s="891"/>
      <c r="H80" s="382"/>
      <c r="I80" s="794"/>
      <c r="J80" s="794"/>
      <c r="K80" s="794"/>
      <c r="L80" s="794"/>
      <c r="M80" s="23"/>
      <c r="Y80" s="361"/>
      <c r="Z80" s="354">
        <v>18</v>
      </c>
      <c r="AA80" s="286" t="s">
        <v>1965</v>
      </c>
      <c r="AB80" s="362" t="s">
        <v>1948</v>
      </c>
      <c r="AC80" s="214" t="str">
        <f t="shared" si="2"/>
        <v>بوقبرين نعيمة  ع.اسلامية</v>
      </c>
    </row>
    <row r="81" spans="1:29" ht="21.75" thickBot="1">
      <c r="A81" s="382" t="s">
        <v>2108</v>
      </c>
      <c r="B81" s="794"/>
      <c r="C81" s="794"/>
      <c r="D81" s="794"/>
      <c r="E81" s="794"/>
      <c r="F81" s="890"/>
      <c r="G81" s="889" t="str">
        <f>A81</f>
        <v xml:space="preserve">   مستشار التربية          الناظر             المدير</v>
      </c>
      <c r="H81" s="794"/>
      <c r="I81" s="794"/>
      <c r="J81" s="794"/>
      <c r="K81" s="794"/>
      <c r="L81" s="794"/>
      <c r="M81" s="23"/>
      <c r="Y81" s="361"/>
      <c r="Z81" s="354">
        <v>19</v>
      </c>
      <c r="AA81" s="510" t="s">
        <v>2111</v>
      </c>
      <c r="AB81" s="362" t="s">
        <v>1948</v>
      </c>
      <c r="AC81" s="214" t="str">
        <f t="shared" si="2"/>
        <v>حرير نبيل  ع.اسلامية</v>
      </c>
    </row>
    <row r="82" spans="1:29" ht="21.75" thickBot="1">
      <c r="A82" s="794"/>
      <c r="B82" s="382"/>
      <c r="C82" s="794"/>
      <c r="D82" s="794"/>
      <c r="E82" s="794"/>
      <c r="F82" s="890"/>
      <c r="G82" s="891"/>
      <c r="H82" s="382"/>
      <c r="I82" s="794"/>
      <c r="J82" s="794"/>
      <c r="K82" s="794"/>
      <c r="L82" s="794"/>
      <c r="M82" s="23"/>
      <c r="Y82" s="361"/>
      <c r="Z82" s="354">
        <v>20</v>
      </c>
      <c r="AA82" s="286" t="s">
        <v>942</v>
      </c>
      <c r="AB82" s="362" t="s">
        <v>279</v>
      </c>
      <c r="AC82" s="214" t="str">
        <f t="shared" ref="AC82:AC93" si="3">(AA82&amp;"  "&amp;AB82)</f>
        <v>ملالي سميرة  فلسفة</v>
      </c>
    </row>
    <row r="83" spans="1:29" ht="21.75" thickBot="1">
      <c r="A83" s="794"/>
      <c r="B83" s="382"/>
      <c r="C83" s="794"/>
      <c r="D83" s="794"/>
      <c r="E83" s="794"/>
      <c r="F83" s="890"/>
      <c r="G83" s="891"/>
      <c r="H83" s="382"/>
      <c r="I83" s="794"/>
      <c r="J83" s="794"/>
      <c r="K83" s="794"/>
      <c r="L83" s="794"/>
      <c r="M83" s="23"/>
      <c r="Y83" s="361"/>
      <c r="Z83" s="354">
        <v>21</v>
      </c>
      <c r="AA83" s="510" t="s">
        <v>278</v>
      </c>
      <c r="AB83" s="362" t="s">
        <v>279</v>
      </c>
      <c r="AC83" s="214" t="str">
        <f t="shared" si="3"/>
        <v>فليو احمد  فلسفة</v>
      </c>
    </row>
    <row r="84" spans="1:29" ht="21.75" thickBot="1">
      <c r="A84" s="794"/>
      <c r="B84" s="382"/>
      <c r="C84" s="794"/>
      <c r="D84" s="794"/>
      <c r="E84" s="794"/>
      <c r="F84" s="890"/>
      <c r="G84" s="891"/>
      <c r="H84" s="382"/>
      <c r="I84" s="794"/>
      <c r="J84" s="794"/>
      <c r="K84" s="794"/>
      <c r="L84" s="794"/>
      <c r="M84" s="899"/>
      <c r="Y84" s="361"/>
      <c r="Z84" s="354">
        <v>22</v>
      </c>
      <c r="AA84" s="510" t="s">
        <v>2219</v>
      </c>
      <c r="AB84" s="362" t="s">
        <v>270</v>
      </c>
      <c r="AC84" s="214" t="str">
        <f t="shared" si="3"/>
        <v>بوسطلة توفيق  فيزياء</v>
      </c>
    </row>
    <row r="85" spans="1:29" ht="29.25" customHeight="1" thickBot="1">
      <c r="A85" s="1036"/>
      <c r="B85" s="1034"/>
      <c r="C85" s="1033" t="s">
        <v>249</v>
      </c>
      <c r="D85" s="1036"/>
      <c r="E85" s="1036"/>
      <c r="F85" s="1037"/>
      <c r="G85" s="339"/>
      <c r="H85" s="332"/>
      <c r="I85" s="879" t="s">
        <v>249</v>
      </c>
      <c r="M85" s="23"/>
      <c r="Y85" s="361"/>
      <c r="Z85" s="354">
        <v>23</v>
      </c>
      <c r="AA85" s="286" t="s">
        <v>2247</v>
      </c>
      <c r="AB85" s="362" t="s">
        <v>279</v>
      </c>
      <c r="AC85" s="214" t="str">
        <f t="shared" si="3"/>
        <v>برنو عبدالقادر  فلسفة</v>
      </c>
    </row>
    <row r="86" spans="1:29" ht="35.25" thickTop="1" thickBot="1">
      <c r="A86" s="23"/>
      <c r="B86" s="357"/>
      <c r="C86" s="23"/>
      <c r="D86" s="346" t="s">
        <v>79</v>
      </c>
      <c r="E86" s="23"/>
      <c r="F86" s="877"/>
      <c r="G86" s="339"/>
      <c r="H86" s="357"/>
      <c r="J86" s="346" t="s">
        <v>79</v>
      </c>
      <c r="M86" s="23"/>
      <c r="Y86" s="353"/>
      <c r="Z86" s="354">
        <v>24</v>
      </c>
      <c r="AA86" s="512" t="s">
        <v>1205</v>
      </c>
      <c r="AB86" s="362" t="s">
        <v>1202</v>
      </c>
      <c r="AC86" s="214" t="str">
        <f t="shared" si="3"/>
        <v>عمرون فاطمة  أدب عربي</v>
      </c>
    </row>
    <row r="87" spans="1:29" ht="21.75" customHeight="1" thickBot="1">
      <c r="A87" s="328" t="s">
        <v>220</v>
      </c>
      <c r="B87" s="331"/>
      <c r="C87" s="23"/>
      <c r="D87" s="23"/>
      <c r="E87" s="23"/>
      <c r="F87" s="877"/>
      <c r="G87" s="326" t="s">
        <v>220</v>
      </c>
      <c r="H87" s="331"/>
      <c r="M87" s="23"/>
      <c r="Z87" s="354">
        <v>25</v>
      </c>
      <c r="AA87" s="512" t="s">
        <v>286</v>
      </c>
      <c r="AB87" s="362" t="s">
        <v>1202</v>
      </c>
      <c r="AC87" s="214" t="str">
        <f t="shared" si="3"/>
        <v>بوترعة سحنونية  أدب عربي</v>
      </c>
    </row>
    <row r="88" spans="1:29" ht="21.75" thickBot="1">
      <c r="A88" s="328" t="s">
        <v>239</v>
      </c>
      <c r="B88" s="332"/>
      <c r="C88" s="23"/>
      <c r="D88" s="23"/>
      <c r="E88" s="23"/>
      <c r="F88" s="877"/>
      <c r="G88" s="326" t="s">
        <v>239</v>
      </c>
      <c r="H88" s="332"/>
      <c r="M88" s="23"/>
      <c r="Z88" s="354">
        <v>26</v>
      </c>
      <c r="AA88" s="512" t="s">
        <v>287</v>
      </c>
      <c r="AB88" s="362" t="s">
        <v>1202</v>
      </c>
      <c r="AC88" s="214" t="str">
        <f t="shared" si="3"/>
        <v>جرموني زرقة  أدب عربي</v>
      </c>
    </row>
    <row r="89" spans="1:29" ht="21.75" thickBot="1">
      <c r="A89" s="23"/>
      <c r="B89" s="332"/>
      <c r="C89" s="332" t="s">
        <v>238</v>
      </c>
      <c r="D89" s="328" t="str">
        <f>IF($O$89&lt;&gt;"",VLOOKUP($O$89,etat!$A$9:$O$813,15,FALSE),"")</f>
        <v xml:space="preserve">بلعربي  محمد </v>
      </c>
      <c r="F89" s="877"/>
      <c r="G89" s="339"/>
      <c r="H89" s="332" t="s">
        <v>238</v>
      </c>
      <c r="I89" s="22"/>
      <c r="J89" s="328" t="str">
        <f>D89</f>
        <v xml:space="preserve">بلعربي  محمد </v>
      </c>
      <c r="K89" s="22"/>
      <c r="M89" s="23"/>
      <c r="O89" s="897">
        <v>1</v>
      </c>
      <c r="Z89" s="354">
        <v>27</v>
      </c>
      <c r="AA89" s="512" t="s">
        <v>284</v>
      </c>
      <c r="AB89" s="362" t="s">
        <v>1202</v>
      </c>
      <c r="AC89" s="214" t="str">
        <f t="shared" si="3"/>
        <v>بوعلي حنيفي مريم  أدب عربي</v>
      </c>
    </row>
    <row r="90" spans="1:29" ht="21.75" thickBot="1">
      <c r="A90" s="23"/>
      <c r="B90" s="332"/>
      <c r="C90" s="356"/>
      <c r="D90" s="346" t="str">
        <f>IF($O$89&lt;&gt;"",VLOOKUP($O$89,etat!$A$9:$O$813,12,FALSE),"")</f>
        <v xml:space="preserve">رقم 13 حي 60 مسكن مصطفى بن براهيم </v>
      </c>
      <c r="E90" s="356"/>
      <c r="F90" s="896"/>
      <c r="G90" s="339"/>
      <c r="H90" s="332"/>
      <c r="I90" s="356"/>
      <c r="J90" s="328" t="str">
        <f>D90</f>
        <v xml:space="preserve">رقم 13 حي 60 مسكن مصطفى بن براهيم </v>
      </c>
      <c r="K90" s="356"/>
      <c r="L90" s="356"/>
      <c r="M90" s="23"/>
      <c r="Z90" s="354">
        <v>28</v>
      </c>
      <c r="AA90" s="512" t="s">
        <v>1228</v>
      </c>
      <c r="AB90" s="362" t="s">
        <v>1202</v>
      </c>
      <c r="AC90" s="214" t="str">
        <f t="shared" si="3"/>
        <v>اوهيبة هجيرة  أدب عربي</v>
      </c>
    </row>
    <row r="91" spans="1:29" ht="21.75" thickBot="1">
      <c r="A91" s="331" t="s">
        <v>2246</v>
      </c>
      <c r="B91" s="332"/>
      <c r="C91" s="23"/>
      <c r="D91" s="23"/>
      <c r="E91" s="23"/>
      <c r="F91" s="877"/>
      <c r="G91" s="331" t="str">
        <f>+A91</f>
        <v>الرقم:........./2025</v>
      </c>
      <c r="H91" s="332"/>
      <c r="M91" s="23"/>
      <c r="Z91" s="354">
        <v>29</v>
      </c>
      <c r="AA91" s="512" t="s">
        <v>1510</v>
      </c>
      <c r="AB91" s="362" t="s">
        <v>1202</v>
      </c>
      <c r="AC91" s="214" t="str">
        <f t="shared" si="3"/>
        <v>بويعقوب زينة  أدب عربي</v>
      </c>
    </row>
    <row r="92" spans="1:29" ht="24" thickBot="1">
      <c r="A92" s="893" t="s">
        <v>1970</v>
      </c>
      <c r="B92" s="332"/>
      <c r="C92" s="23"/>
      <c r="D92" s="23"/>
      <c r="E92" s="23"/>
      <c r="F92" s="877"/>
      <c r="G92" s="366" t="s">
        <v>240</v>
      </c>
      <c r="H92" s="332"/>
      <c r="M92" s="23"/>
      <c r="Z92" s="354">
        <v>30</v>
      </c>
      <c r="AA92" s="286" t="s">
        <v>271</v>
      </c>
      <c r="AB92" s="362" t="s">
        <v>1949</v>
      </c>
      <c r="AC92" s="214" t="str">
        <f t="shared" si="3"/>
        <v>بلوحي لخضر  ت.ج</v>
      </c>
    </row>
    <row r="93" spans="1:29" ht="21.75" thickBot="1">
      <c r="A93" s="328" t="s">
        <v>243</v>
      </c>
      <c r="B93" s="332"/>
      <c r="C93" s="23"/>
      <c r="D93" s="23"/>
      <c r="E93" s="23"/>
      <c r="F93" s="877"/>
      <c r="G93" s="326" t="s">
        <v>243</v>
      </c>
      <c r="H93" s="332"/>
      <c r="M93" s="23"/>
      <c r="O93" s="367"/>
      <c r="Z93" s="354">
        <v>31</v>
      </c>
      <c r="AA93" s="363" t="s">
        <v>944</v>
      </c>
      <c r="AB93" s="362" t="s">
        <v>1949</v>
      </c>
      <c r="AC93" s="214" t="str">
        <f t="shared" si="3"/>
        <v>مرابطين خيرة  ت.ج</v>
      </c>
    </row>
    <row r="94" spans="1:29" ht="21.75" thickBot="1">
      <c r="A94" s="328" t="s">
        <v>244</v>
      </c>
      <c r="B94" s="881"/>
      <c r="C94" s="23"/>
      <c r="D94" s="23"/>
      <c r="E94" s="23"/>
      <c r="F94" s="877"/>
      <c r="G94" s="326" t="s">
        <v>244</v>
      </c>
      <c r="H94" s="881"/>
      <c r="M94" s="23"/>
      <c r="Z94" s="354">
        <v>32</v>
      </c>
      <c r="AA94" s="286" t="s">
        <v>1218</v>
      </c>
      <c r="AB94" s="362" t="s">
        <v>1949</v>
      </c>
      <c r="AC94" s="214" t="str">
        <f>(AA94&amp;"  "&amp;AB94)</f>
        <v>بونية كلثوم  ت.ج</v>
      </c>
    </row>
    <row r="95" spans="1:29" ht="21.75" thickBot="1">
      <c r="A95" s="328" t="s">
        <v>1251</v>
      </c>
      <c r="B95" s="351"/>
      <c r="C95" s="23"/>
      <c r="D95" s="23"/>
      <c r="E95" s="23"/>
      <c r="F95" s="877"/>
      <c r="G95" s="326" t="s">
        <v>1251</v>
      </c>
      <c r="H95" s="351"/>
      <c r="M95" s="23"/>
      <c r="Z95" s="354">
        <v>33</v>
      </c>
      <c r="AA95" s="286" t="s">
        <v>1230</v>
      </c>
      <c r="AB95" s="362" t="s">
        <v>1949</v>
      </c>
      <c r="AC95" s="214" t="str">
        <f t="shared" ref="AC95:AC116" si="4">(AA95&amp;"  "&amp;AB95)</f>
        <v>اوهيبة يمينة  ت.ج</v>
      </c>
    </row>
    <row r="96" spans="1:29" ht="21.75" thickBot="1">
      <c r="A96" s="328" t="s">
        <v>246</v>
      </c>
      <c r="B96" s="23"/>
      <c r="C96" s="328">
        <f>IF($O$89&lt;&gt;"",VLOOKUP($O$89,etat!$A$9:$O$813,2,FALSE),"")</f>
        <v>0</v>
      </c>
      <c r="D96" s="325"/>
      <c r="E96" s="325"/>
      <c r="F96" s="877"/>
      <c r="G96" s="326" t="s">
        <v>246</v>
      </c>
      <c r="H96" s="328">
        <f>C96</f>
        <v>0</v>
      </c>
      <c r="M96" s="23"/>
      <c r="Z96" s="354">
        <v>34</v>
      </c>
      <c r="AA96" s="286" t="s">
        <v>1945</v>
      </c>
      <c r="AB96" s="362" t="s">
        <v>1949</v>
      </c>
      <c r="AC96" s="214" t="str">
        <f t="shared" si="4"/>
        <v>رمضاني الحبيب  ت.ج</v>
      </c>
    </row>
    <row r="97" spans="1:29" ht="21.75" thickBot="1">
      <c r="A97" s="328" t="s">
        <v>247</v>
      </c>
      <c r="B97" s="23"/>
      <c r="C97" s="328" t="str">
        <f>IF($O$89&lt;&gt;"",VLOOKUP($O$89,etat!$A$9:$O$813,7,FALSE),"")</f>
        <v xml:space="preserve"> 3ت ر كه </v>
      </c>
      <c r="D97" s="23"/>
      <c r="E97" s="23"/>
      <c r="F97" s="877"/>
      <c r="G97" s="326" t="s">
        <v>247</v>
      </c>
      <c r="H97" s="328" t="str">
        <f>C97</f>
        <v xml:space="preserve"> 3ت ر كه </v>
      </c>
      <c r="M97" s="23"/>
      <c r="Z97" s="354">
        <v>35</v>
      </c>
      <c r="AA97" s="286" t="s">
        <v>396</v>
      </c>
      <c r="AB97" s="362" t="s">
        <v>290</v>
      </c>
      <c r="AC97" s="214" t="str">
        <f t="shared" si="4"/>
        <v>بن ترات آمال  فرنسية</v>
      </c>
    </row>
    <row r="98" spans="1:29" ht="21.75" thickBot="1">
      <c r="A98" s="328" t="s">
        <v>2110</v>
      </c>
      <c r="B98" s="881"/>
      <c r="C98" s="1255">
        <v>45719</v>
      </c>
      <c r="D98" s="1256"/>
      <c r="E98" s="23"/>
      <c r="F98" s="877"/>
      <c r="G98" s="326" t="str">
        <f>A98</f>
        <v xml:space="preserve">الغائب(ة) منذ: </v>
      </c>
      <c r="H98" s="881"/>
      <c r="I98" s="1255">
        <f>C98</f>
        <v>45719</v>
      </c>
      <c r="J98" s="1256"/>
      <c r="M98" s="23"/>
      <c r="Z98" s="354">
        <v>36</v>
      </c>
      <c r="AA98" s="286" t="s">
        <v>291</v>
      </c>
      <c r="AB98" s="362" t="s">
        <v>290</v>
      </c>
      <c r="AC98" s="214" t="str">
        <f t="shared" si="4"/>
        <v>بدراني الحاج  فرنسية</v>
      </c>
    </row>
    <row r="99" spans="1:29" ht="21.75" thickBot="1">
      <c r="A99" s="328" t="s">
        <v>241</v>
      </c>
      <c r="B99" s="351"/>
      <c r="C99" s="23"/>
      <c r="D99" s="23"/>
      <c r="E99" s="23"/>
      <c r="F99" s="877"/>
      <c r="G99" s="326" t="s">
        <v>241</v>
      </c>
      <c r="H99" s="351"/>
      <c r="L99" s="1035"/>
      <c r="M99" s="23"/>
      <c r="Z99" s="354">
        <v>37</v>
      </c>
      <c r="AA99" s="512" t="s">
        <v>2094</v>
      </c>
      <c r="AB99" s="362" t="s">
        <v>290</v>
      </c>
      <c r="AC99" s="214" t="str">
        <f t="shared" si="4"/>
        <v>بوفريوة حياة  فرنسية</v>
      </c>
    </row>
    <row r="100" spans="1:29" ht="21.75" thickBot="1">
      <c r="A100" s="1102" t="s">
        <v>2270</v>
      </c>
      <c r="B100" s="23"/>
      <c r="C100" s="23"/>
      <c r="D100" s="23"/>
      <c r="E100" s="23"/>
      <c r="F100" s="877"/>
      <c r="G100" s="1102" t="s">
        <v>2270</v>
      </c>
      <c r="H100" s="1035"/>
      <c r="I100" s="1035"/>
      <c r="J100" s="1035"/>
      <c r="K100" s="1035"/>
      <c r="L100" s="1035"/>
      <c r="M100" s="23"/>
      <c r="Z100" s="354">
        <v>38</v>
      </c>
      <c r="AA100" s="512" t="s">
        <v>1958</v>
      </c>
      <c r="AB100" s="362" t="s">
        <v>290</v>
      </c>
      <c r="AC100" s="214" t="str">
        <f t="shared" si="4"/>
        <v>مرزوقي هاجر  فرنسية</v>
      </c>
    </row>
    <row r="101" spans="1:29" ht="21.75" thickBot="1">
      <c r="A101" s="1102" t="s">
        <v>2271</v>
      </c>
      <c r="B101" s="23"/>
      <c r="C101" s="23"/>
      <c r="D101" s="23"/>
      <c r="E101" s="23"/>
      <c r="F101" s="877"/>
      <c r="G101" s="1102" t="s">
        <v>2271</v>
      </c>
      <c r="H101" s="1035"/>
      <c r="I101" s="1035"/>
      <c r="J101" s="1035"/>
      <c r="K101" s="1035"/>
      <c r="L101" s="1035"/>
      <c r="M101" s="23"/>
      <c r="Z101" s="354">
        <v>39</v>
      </c>
      <c r="AA101" s="512" t="s">
        <v>1536</v>
      </c>
      <c r="AB101" s="362" t="s">
        <v>290</v>
      </c>
      <c r="AC101" s="214" t="str">
        <f t="shared" si="4"/>
        <v>المغراوي نسرين  فرنسية</v>
      </c>
    </row>
    <row r="102" spans="1:29" ht="21.75" thickBot="1">
      <c r="A102" s="1102" t="s">
        <v>2272</v>
      </c>
      <c r="B102" s="23"/>
      <c r="C102" s="23"/>
      <c r="D102" s="23"/>
      <c r="E102" s="23"/>
      <c r="F102" s="877"/>
      <c r="G102" s="1102" t="s">
        <v>2272</v>
      </c>
      <c r="H102" s="1035"/>
      <c r="I102" s="1035"/>
      <c r="J102" s="1035"/>
      <c r="K102" s="1035"/>
      <c r="L102" s="1035"/>
      <c r="M102" s="23"/>
      <c r="Z102" s="354">
        <v>40</v>
      </c>
      <c r="AA102" s="286" t="s">
        <v>296</v>
      </c>
      <c r="AB102" s="362" t="s">
        <v>1206</v>
      </c>
      <c r="AC102" s="214" t="str">
        <f t="shared" si="4"/>
        <v>العرباوي مليكة  انجليزية</v>
      </c>
    </row>
    <row r="103" spans="1:29" ht="21.75" thickBot="1">
      <c r="A103" s="340"/>
      <c r="B103" s="23"/>
      <c r="C103" s="23"/>
      <c r="D103" s="23"/>
      <c r="E103" s="23"/>
      <c r="F103" s="877"/>
      <c r="G103" s="342"/>
      <c r="L103" s="1035"/>
      <c r="M103" s="23"/>
      <c r="Z103" s="354">
        <v>41</v>
      </c>
      <c r="AA103" s="286" t="s">
        <v>1946</v>
      </c>
      <c r="AB103" s="362" t="s">
        <v>1206</v>
      </c>
      <c r="AC103" s="214" t="str">
        <f t="shared" si="4"/>
        <v>بوجلال ريمة  انجليزية</v>
      </c>
    </row>
    <row r="104" spans="1:29" ht="21.75" thickBot="1">
      <c r="A104" s="23"/>
      <c r="B104" s="23"/>
      <c r="C104" s="23"/>
      <c r="D104" s="346" t="s">
        <v>248</v>
      </c>
      <c r="E104" s="1255">
        <v>45768</v>
      </c>
      <c r="F104" s="1283"/>
      <c r="G104" s="342"/>
      <c r="J104" s="346" t="s">
        <v>248</v>
      </c>
      <c r="K104" s="887">
        <f>E104</f>
        <v>45768</v>
      </c>
      <c r="L104" s="887"/>
      <c r="M104" s="23"/>
      <c r="Z104" s="354">
        <v>42</v>
      </c>
      <c r="AA104" s="286" t="s">
        <v>640</v>
      </c>
      <c r="AB104" s="362" t="s">
        <v>1206</v>
      </c>
      <c r="AC104" s="214" t="str">
        <f t="shared" si="4"/>
        <v>بار بن عمر حسيبة  انجليزية</v>
      </c>
    </row>
    <row r="105" spans="1:29" ht="21.75" thickBot="1">
      <c r="A105" s="340"/>
      <c r="B105" s="23"/>
      <c r="C105" s="23"/>
      <c r="D105" s="328" t="s">
        <v>242</v>
      </c>
      <c r="E105" s="23"/>
      <c r="F105" s="877"/>
      <c r="G105" s="342"/>
      <c r="J105" s="328" t="s">
        <v>242</v>
      </c>
      <c r="M105" s="23"/>
      <c r="Z105" s="354">
        <v>43</v>
      </c>
      <c r="AA105" s="286" t="s">
        <v>1537</v>
      </c>
      <c r="AB105" s="362" t="s">
        <v>1206</v>
      </c>
      <c r="AC105" s="214" t="str">
        <f t="shared" si="4"/>
        <v>مريجة أسماء  انجليزية</v>
      </c>
    </row>
    <row r="106" spans="1:29" ht="21.75" thickBot="1">
      <c r="A106" s="340"/>
      <c r="B106" s="23"/>
      <c r="C106" s="23"/>
      <c r="D106" s="340"/>
      <c r="E106" s="23"/>
      <c r="F106" s="877"/>
      <c r="G106" s="342"/>
      <c r="J106" s="340"/>
      <c r="M106" s="23"/>
      <c r="Z106" s="354">
        <v>44</v>
      </c>
      <c r="AA106" s="286" t="s">
        <v>1232</v>
      </c>
      <c r="AB106" s="362" t="s">
        <v>1206</v>
      </c>
      <c r="AC106" s="214" t="str">
        <f t="shared" si="4"/>
        <v>ساكت عبدالقادر  انجليزية</v>
      </c>
    </row>
    <row r="107" spans="1:29" ht="21.75" thickBot="1">
      <c r="A107" s="340"/>
      <c r="B107" s="23"/>
      <c r="C107" s="23"/>
      <c r="D107" s="340"/>
      <c r="E107" s="23"/>
      <c r="F107" s="877"/>
      <c r="G107" s="342"/>
      <c r="J107" s="340"/>
      <c r="M107" s="23"/>
      <c r="Z107" s="354">
        <v>45</v>
      </c>
      <c r="AA107" s="286" t="s">
        <v>1502</v>
      </c>
      <c r="AB107" s="1144" t="s">
        <v>1950</v>
      </c>
      <c r="AC107" s="214" t="str">
        <f t="shared" si="4"/>
        <v>سليلي حسنة  محاسبة</v>
      </c>
    </row>
    <row r="108" spans="1:29" ht="21.75" thickBot="1">
      <c r="A108" s="340"/>
      <c r="B108" s="23"/>
      <c r="C108" s="23"/>
      <c r="D108" s="340"/>
      <c r="E108" s="23"/>
      <c r="F108" s="877"/>
      <c r="G108" s="342"/>
      <c r="J108" s="340"/>
      <c r="M108" s="23"/>
      <c r="Z108" s="354">
        <v>46</v>
      </c>
      <c r="AA108" s="286" t="s">
        <v>2097</v>
      </c>
      <c r="AB108" s="1144" t="s">
        <v>1950</v>
      </c>
      <c r="AC108" s="214" t="str">
        <f t="shared" si="4"/>
        <v>هلال مختار  محاسبة</v>
      </c>
    </row>
    <row r="109" spans="1:29" ht="24.75" customHeight="1" thickBot="1">
      <c r="A109" s="340"/>
      <c r="B109" s="23"/>
      <c r="C109" s="23"/>
      <c r="D109" s="340"/>
      <c r="E109" s="23"/>
      <c r="F109" s="877"/>
      <c r="G109" s="342"/>
      <c r="J109" s="340"/>
      <c r="M109" s="23"/>
      <c r="Z109" s="354">
        <v>47</v>
      </c>
      <c r="AA109" s="286" t="s">
        <v>1947</v>
      </c>
      <c r="AB109" s="454" t="s">
        <v>1951</v>
      </c>
      <c r="AC109" s="214" t="str">
        <f t="shared" si="4"/>
        <v>حمداد سيرين  اسبانيا</v>
      </c>
    </row>
    <row r="110" spans="1:29" ht="24.75" customHeight="1" thickBot="1">
      <c r="A110" s="23"/>
      <c r="B110" s="1253" t="s">
        <v>78</v>
      </c>
      <c r="C110" s="1253"/>
      <c r="D110" s="1253"/>
      <c r="E110" s="1253"/>
      <c r="F110" s="1284"/>
      <c r="G110" s="1252" t="s">
        <v>78</v>
      </c>
      <c r="H110" s="1253"/>
      <c r="I110" s="1253"/>
      <c r="J110" s="1253"/>
      <c r="K110" s="1253"/>
      <c r="L110" s="1253"/>
      <c r="M110" s="23"/>
      <c r="Z110" s="354">
        <v>48</v>
      </c>
      <c r="AA110" s="286" t="s">
        <v>1236</v>
      </c>
      <c r="AB110" s="454" t="s">
        <v>435</v>
      </c>
      <c r="AC110" s="214" t="str">
        <f t="shared" si="4"/>
        <v>صلاة عبدالقادر  إعلام آلي</v>
      </c>
    </row>
    <row r="111" spans="1:29" ht="23.25" customHeight="1" thickBot="1">
      <c r="A111" s="23"/>
      <c r="B111" s="23"/>
      <c r="C111" s="364"/>
      <c r="D111" s="882" t="s">
        <v>79</v>
      </c>
      <c r="E111" s="364"/>
      <c r="F111" s="369"/>
      <c r="G111" s="1252" t="s">
        <v>79</v>
      </c>
      <c r="H111" s="1253"/>
      <c r="I111" s="1253"/>
      <c r="J111" s="1253"/>
      <c r="K111" s="1253"/>
      <c r="L111" s="364"/>
      <c r="M111" s="23"/>
      <c r="N111" s="368"/>
      <c r="O111" s="368"/>
      <c r="P111" s="368"/>
      <c r="Q111" s="368"/>
      <c r="R111" s="368"/>
      <c r="S111" s="368"/>
      <c r="T111" s="368"/>
      <c r="Z111" s="354">
        <v>49</v>
      </c>
      <c r="AA111" s="286" t="s">
        <v>2095</v>
      </c>
      <c r="AB111" s="454" t="s">
        <v>308</v>
      </c>
      <c r="AC111" s="214" t="str">
        <f t="shared" si="4"/>
        <v>بن حمودة  تكنولوجيا</v>
      </c>
    </row>
    <row r="112" spans="1:29" ht="23.25" customHeight="1" thickBot="1">
      <c r="A112" s="23"/>
      <c r="B112" s="149" t="s">
        <v>220</v>
      </c>
      <c r="C112" s="364"/>
      <c r="D112" s="364"/>
      <c r="E112" s="364"/>
      <c r="F112" s="369"/>
      <c r="G112" s="370" t="s">
        <v>220</v>
      </c>
      <c r="H112" s="364"/>
      <c r="I112" s="364"/>
      <c r="J112" s="364"/>
      <c r="K112" s="364"/>
      <c r="L112" s="364"/>
      <c r="M112" s="23"/>
      <c r="N112" s="368"/>
      <c r="O112" s="368"/>
      <c r="P112" s="368"/>
      <c r="Q112" s="368"/>
      <c r="R112" s="368"/>
      <c r="S112" s="368"/>
      <c r="T112" s="368"/>
      <c r="Z112" s="354">
        <v>50</v>
      </c>
      <c r="AA112" s="286" t="s">
        <v>314</v>
      </c>
      <c r="AB112" s="454" t="s">
        <v>1952</v>
      </c>
      <c r="AC112" s="214" t="str">
        <f t="shared" si="4"/>
        <v>بنابي الغوثي  ت.بدنية</v>
      </c>
    </row>
    <row r="113" spans="1:29" ht="23.25" customHeight="1" thickBot="1">
      <c r="A113" s="23"/>
      <c r="B113" s="364" t="s">
        <v>148</v>
      </c>
      <c r="C113" s="364"/>
      <c r="D113" s="364"/>
      <c r="E113" s="364"/>
      <c r="F113" s="369"/>
      <c r="G113" s="370" t="s">
        <v>148</v>
      </c>
      <c r="H113" s="364"/>
      <c r="I113" s="364"/>
      <c r="J113" s="364"/>
      <c r="K113" s="364"/>
      <c r="L113" s="364"/>
      <c r="M113" s="23"/>
      <c r="N113" s="368"/>
      <c r="O113" s="368"/>
      <c r="P113" s="368"/>
      <c r="Q113" s="368"/>
      <c r="R113" s="368"/>
      <c r="S113" s="368"/>
      <c r="T113" s="368"/>
      <c r="Z113" s="354">
        <v>51</v>
      </c>
      <c r="AA113" s="286" t="s">
        <v>1239</v>
      </c>
      <c r="AB113" s="454" t="s">
        <v>1952</v>
      </c>
      <c r="AC113" s="214" t="str">
        <f t="shared" si="4"/>
        <v>حمداد سيداحمد  ت.بدنية</v>
      </c>
    </row>
    <row r="114" spans="1:29" ht="23.25" customHeight="1" thickBot="1">
      <c r="A114" s="23"/>
      <c r="B114" s="364"/>
      <c r="C114" s="371" t="s">
        <v>629</v>
      </c>
      <c r="D114" s="364"/>
      <c r="E114" s="364"/>
      <c r="F114" s="369"/>
      <c r="G114" s="370"/>
      <c r="H114" s="371" t="s">
        <v>629</v>
      </c>
      <c r="I114" s="364"/>
      <c r="J114" s="364"/>
      <c r="K114" s="364"/>
      <c r="L114" s="364"/>
      <c r="M114" s="23"/>
      <c r="N114" s="368"/>
      <c r="O114" s="368"/>
      <c r="P114" s="368"/>
      <c r="Q114" s="368"/>
      <c r="R114" s="368"/>
      <c r="S114" s="368"/>
      <c r="T114" s="368"/>
      <c r="Z114" s="354">
        <v>52</v>
      </c>
      <c r="AA114" s="284" t="s">
        <v>1240</v>
      </c>
      <c r="AB114" s="454" t="s">
        <v>1952</v>
      </c>
      <c r="AC114" s="214" t="str">
        <f t="shared" si="4"/>
        <v>بوهند حمزة  ت.بدنية</v>
      </c>
    </row>
    <row r="115" spans="1:29" ht="30.75" customHeight="1" thickBot="1">
      <c r="A115" s="23"/>
      <c r="B115" s="364" t="s">
        <v>671</v>
      </c>
      <c r="C115" s="364"/>
      <c r="D115" s="1254">
        <f ca="1">NOW()</f>
        <v>45944.941684375</v>
      </c>
      <c r="E115" s="1254"/>
      <c r="F115" s="877"/>
      <c r="G115" s="370" t="s">
        <v>671</v>
      </c>
      <c r="H115" s="364"/>
      <c r="I115" s="883">
        <f ca="1">NOW()</f>
        <v>45944.941684375</v>
      </c>
      <c r="J115" s="364"/>
      <c r="K115" s="364"/>
      <c r="L115" s="364"/>
      <c r="M115" s="23"/>
      <c r="N115" s="368"/>
      <c r="O115" s="368"/>
      <c r="P115" s="368"/>
      <c r="Q115" s="368"/>
      <c r="R115" s="368"/>
      <c r="S115" s="368"/>
      <c r="T115" s="368"/>
      <c r="Z115" s="354">
        <v>53</v>
      </c>
      <c r="AA115" s="284" t="s">
        <v>1237</v>
      </c>
      <c r="AB115" s="454" t="s">
        <v>435</v>
      </c>
      <c r="AC115" s="214" t="str">
        <f t="shared" si="4"/>
        <v>سعدوني عبدالقادر  إعلام آلي</v>
      </c>
    </row>
    <row r="116" spans="1:29" ht="23.25" customHeight="1" thickBot="1">
      <c r="A116" s="23"/>
      <c r="B116" s="364"/>
      <c r="C116" s="364"/>
      <c r="D116" s="364"/>
      <c r="E116" s="364"/>
      <c r="F116" s="369"/>
      <c r="G116" s="370"/>
      <c r="H116" s="364"/>
      <c r="I116" s="364"/>
      <c r="J116" s="364"/>
      <c r="K116" s="364"/>
      <c r="L116" s="364"/>
      <c r="M116" s="23"/>
      <c r="N116" s="368"/>
      <c r="O116" s="368"/>
      <c r="P116" s="368"/>
      <c r="Q116" s="368"/>
      <c r="R116" s="368"/>
      <c r="S116" s="368"/>
      <c r="T116" s="368"/>
      <c r="Z116" s="354">
        <v>54</v>
      </c>
      <c r="AA116" s="284" t="s">
        <v>2219</v>
      </c>
      <c r="AB116" s="362" t="s">
        <v>270</v>
      </c>
      <c r="AC116" s="214" t="str">
        <f t="shared" si="4"/>
        <v>بوسطلة توفيق  فيزياء</v>
      </c>
    </row>
    <row r="117" spans="1:29" ht="23.25" customHeight="1" thickBot="1">
      <c r="A117" s="23"/>
      <c r="B117" s="364" t="s">
        <v>583</v>
      </c>
      <c r="C117" s="364"/>
      <c r="D117" s="364"/>
      <c r="E117" s="364"/>
      <c r="F117" s="369"/>
      <c r="G117" s="370" t="s">
        <v>583</v>
      </c>
      <c r="H117" s="364"/>
      <c r="I117" s="364"/>
      <c r="J117" s="364"/>
      <c r="K117" s="364"/>
      <c r="L117" s="364"/>
      <c r="M117" s="23"/>
      <c r="N117" s="368"/>
      <c r="O117" s="368"/>
      <c r="P117" s="368"/>
      <c r="Q117" s="368"/>
      <c r="R117" s="368"/>
      <c r="S117" s="368"/>
      <c r="T117" s="368"/>
      <c r="Z117" s="354">
        <v>55</v>
      </c>
      <c r="AA117" s="284" t="s">
        <v>2263</v>
      </c>
      <c r="AB117" s="454" t="s">
        <v>833</v>
      </c>
      <c r="AC117" s="214" t="str">
        <f t="shared" ref="AC117:AC122" si="5">(AA117&amp;"  "&amp;AB117)</f>
        <v>بن يوسف فاطمة  مشرف (ة)تربوي رئيسي</v>
      </c>
    </row>
    <row r="118" spans="1:29" ht="23.25" customHeight="1" thickTop="1" thickBot="1">
      <c r="A118" s="23"/>
      <c r="B118" s="364" t="s">
        <v>584</v>
      </c>
      <c r="C118" s="328" t="str">
        <f>IF($O$118,VLOOKUP($O$118,[1]etat!$A$9:$O$607,3,FALSE),"")</f>
        <v xml:space="preserve">بركاني </v>
      </c>
      <c r="D118" s="364"/>
      <c r="E118" s="374" t="s">
        <v>585</v>
      </c>
      <c r="F118" s="341" t="str">
        <f>IF($O$118,VLOOKUP($O$118,[1]etat!$A$9:$O$607,4,FALSE),"")</f>
        <v xml:space="preserve"> سليمة</v>
      </c>
      <c r="G118" s="370" t="s">
        <v>584</v>
      </c>
      <c r="H118" s="879" t="str">
        <f>IF(P117,VLOOKUP($P$118,[1]etat!$A$9:$O$607,3,FALSE),"")</f>
        <v/>
      </c>
      <c r="I118" s="364"/>
      <c r="J118" s="364" t="s">
        <v>585</v>
      </c>
      <c r="K118" s="1261" t="str">
        <f>IF($P$118,VLOOKUP($P$118,[1]etat!$A$9:$O$607,4,FALSE),"")</f>
        <v xml:space="preserve"> سليمة</v>
      </c>
      <c r="L118" s="1261"/>
      <c r="M118" s="23"/>
      <c r="N118" s="368"/>
      <c r="O118" s="372">
        <v>2</v>
      </c>
      <c r="P118" s="372">
        <v>2</v>
      </c>
      <c r="R118" s="373">
        <v>1</v>
      </c>
      <c r="S118" s="373" t="s">
        <v>500</v>
      </c>
      <c r="T118" s="373" t="s">
        <v>545</v>
      </c>
      <c r="U118" s="373"/>
      <c r="V118" s="373"/>
      <c r="Z118" s="354">
        <v>56</v>
      </c>
      <c r="AA118" s="284" t="s">
        <v>2296</v>
      </c>
      <c r="AB118" s="454" t="s">
        <v>833</v>
      </c>
      <c r="AC118" s="214" t="str">
        <f t="shared" si="5"/>
        <v>مراطين مختارية  مشرف (ة)تربوي رئيسي</v>
      </c>
    </row>
    <row r="119" spans="1:29" ht="23.25" customHeight="1" thickTop="1" thickBot="1">
      <c r="A119" s="23"/>
      <c r="B119" s="364" t="s">
        <v>587</v>
      </c>
      <c r="C119" s="364"/>
      <c r="D119" s="1280">
        <f>IF($O$118,VLOOKUP($O$118,[1]etat!$A$9:$O$607,5,FALSE),"")</f>
        <v>39028</v>
      </c>
      <c r="E119" s="1280"/>
      <c r="F119" s="880" t="str">
        <f>IF($O$118,VLOOKUP($O$118,[1]etat!$A$9:$O$607,6,FALSE),"")</f>
        <v>سفيزف</v>
      </c>
      <c r="G119" s="370" t="s">
        <v>587</v>
      </c>
      <c r="H119" s="364"/>
      <c r="I119" s="1280" t="str">
        <f>IF(P117,VLOOKUP($P$118,[1]etat!$A$9:$O$607,5,FALSE),"")</f>
        <v/>
      </c>
      <c r="J119" s="1280"/>
      <c r="K119" s="871" t="str">
        <f>IF(P117,VLOOKUP($P$118,[1]etat!$A$9:$O$607,6,FALSE),"")</f>
        <v/>
      </c>
      <c r="L119" s="871"/>
      <c r="M119" s="23"/>
      <c r="N119" s="368"/>
      <c r="O119" s="368">
        <v>76</v>
      </c>
      <c r="R119" s="368">
        <v>2</v>
      </c>
      <c r="S119" s="368" t="s">
        <v>586</v>
      </c>
      <c r="T119" s="368" t="s">
        <v>545</v>
      </c>
      <c r="U119" s="368"/>
      <c r="V119" s="368"/>
      <c r="Z119" s="354">
        <v>57</v>
      </c>
      <c r="AA119" s="284" t="s">
        <v>940</v>
      </c>
      <c r="AB119" s="454" t="s">
        <v>833</v>
      </c>
      <c r="AC119" s="214" t="str">
        <f t="shared" si="5"/>
        <v>تيرس جميلة  مشرف (ة)تربوي رئيسي</v>
      </c>
    </row>
    <row r="120" spans="1:29" ht="23.25" customHeight="1" thickBot="1">
      <c r="A120" s="23"/>
      <c r="B120" s="364" t="s">
        <v>598</v>
      </c>
      <c r="C120" s="364"/>
      <c r="D120" s="364"/>
      <c r="E120" s="364"/>
      <c r="F120" s="369"/>
      <c r="G120" s="370" t="s">
        <v>598</v>
      </c>
      <c r="H120" s="364"/>
      <c r="I120" s="364"/>
      <c r="J120" s="364"/>
      <c r="K120" s="364"/>
      <c r="L120" s="364"/>
      <c r="M120" s="23"/>
      <c r="N120" s="368"/>
      <c r="O120" s="368"/>
      <c r="R120" s="368">
        <v>3</v>
      </c>
      <c r="S120" s="368" t="s">
        <v>546</v>
      </c>
      <c r="T120" s="368" t="s">
        <v>547</v>
      </c>
      <c r="U120" s="368"/>
      <c r="V120" s="368"/>
      <c r="Z120" s="354">
        <v>58</v>
      </c>
      <c r="AA120" s="284" t="s">
        <v>625</v>
      </c>
      <c r="AB120" s="454" t="s">
        <v>833</v>
      </c>
      <c r="AC120" s="214" t="str">
        <f t="shared" si="5"/>
        <v>رزوق نسيمة  مشرف (ة)تربوي رئيسي</v>
      </c>
    </row>
    <row r="121" spans="1:29" ht="23.25" customHeight="1" thickBot="1">
      <c r="A121" s="23"/>
      <c r="B121" s="364" t="s">
        <v>588</v>
      </c>
      <c r="C121" s="364"/>
      <c r="D121" s="364" t="s">
        <v>239</v>
      </c>
      <c r="E121" s="364"/>
      <c r="F121" s="369"/>
      <c r="G121" s="370" t="s">
        <v>588</v>
      </c>
      <c r="H121" s="364"/>
      <c r="I121" s="364" t="s">
        <v>239</v>
      </c>
      <c r="J121" s="364"/>
      <c r="K121" s="364"/>
      <c r="L121" s="364"/>
      <c r="M121" s="23"/>
      <c r="N121" s="368"/>
      <c r="O121" s="368"/>
      <c r="R121" s="368">
        <v>4</v>
      </c>
      <c r="S121" s="368" t="s">
        <v>0</v>
      </c>
      <c r="T121" s="368" t="s">
        <v>547</v>
      </c>
      <c r="U121" s="368"/>
      <c r="V121" s="368"/>
      <c r="Z121" s="354">
        <v>59</v>
      </c>
      <c r="AA121" s="284" t="s">
        <v>1953</v>
      </c>
      <c r="AB121" s="454" t="s">
        <v>833</v>
      </c>
      <c r="AC121" s="214" t="str">
        <f t="shared" si="5"/>
        <v>مرداس عبدالقادر  مشرف (ة)تربوي رئيسي</v>
      </c>
    </row>
    <row r="122" spans="1:29" ht="23.25" customHeight="1" thickBot="1">
      <c r="A122" s="23"/>
      <c r="B122" s="375" t="s">
        <v>589</v>
      </c>
      <c r="C122" s="1281" t="str">
        <f>IF(ISERROR(VLOOKUP($F$123,$S$118:$U$157,2,0)),"",VLOOKUP($F$123,$S$118:$U$157,2,0))</f>
        <v/>
      </c>
      <c r="D122" s="1281"/>
      <c r="E122" s="1281"/>
      <c r="F122" s="341" t="str">
        <f>IF(O117,VLOOKUP($O$118,[1]etat!$A$9:$O$607,7,FALSE),"")</f>
        <v/>
      </c>
      <c r="G122" s="370" t="s">
        <v>589</v>
      </c>
      <c r="H122" s="1281" t="str">
        <f>IF(ISERROR(VLOOKUP($L$123,$S$118:$U$157,2,0)),"",VLOOKUP($L$123,$S$118:$U$157,2,0))</f>
        <v/>
      </c>
      <c r="I122" s="1281"/>
      <c r="J122" s="1281"/>
      <c r="K122" s="1281"/>
      <c r="L122" s="328" t="str">
        <f>IF($P$118,VLOOKUP($P$118,[1]etat!$A$9:$O$607,7,FALSE),"")</f>
        <v>3ت ر</v>
      </c>
      <c r="M122" s="23"/>
      <c r="N122" s="368"/>
      <c r="O122" s="368"/>
      <c r="R122" s="368">
        <v>5</v>
      </c>
      <c r="S122" s="368" t="s">
        <v>1</v>
      </c>
      <c r="T122" s="368" t="s">
        <v>547</v>
      </c>
      <c r="U122" s="368"/>
      <c r="V122" s="368"/>
      <c r="Z122" s="354">
        <v>60</v>
      </c>
      <c r="AA122" s="284" t="s">
        <v>2200</v>
      </c>
      <c r="AB122" s="454" t="s">
        <v>833</v>
      </c>
      <c r="AC122" s="214" t="str">
        <f t="shared" si="5"/>
        <v>بن يوسف سيداحمد  مشرف (ة)تربوي رئيسي</v>
      </c>
    </row>
    <row r="123" spans="1:29" ht="23.25" customHeight="1" thickBot="1">
      <c r="A123" s="23"/>
      <c r="B123" s="364"/>
      <c r="C123" s="364"/>
      <c r="D123" s="364"/>
      <c r="E123" s="364"/>
      <c r="F123" s="877"/>
      <c r="G123" s="370"/>
      <c r="H123" s="364"/>
      <c r="I123" s="364"/>
      <c r="J123" s="364"/>
      <c r="K123" s="328"/>
      <c r="M123" s="23"/>
      <c r="N123" s="368"/>
      <c r="O123" s="368"/>
      <c r="R123" s="368">
        <v>6</v>
      </c>
      <c r="S123" s="368" t="s">
        <v>548</v>
      </c>
      <c r="T123" s="368" t="s">
        <v>547</v>
      </c>
      <c r="U123" s="368"/>
      <c r="V123" s="368"/>
      <c r="Z123" s="354">
        <v>61</v>
      </c>
      <c r="AA123" s="284" t="s">
        <v>2297</v>
      </c>
      <c r="AB123" s="454" t="s">
        <v>833</v>
      </c>
      <c r="AC123" s="214" t="str">
        <f t="shared" ref="AC123" si="6">(AA123&amp;"  "&amp;AB123)</f>
        <v>مولقعدة سميرة توفيق  مشرف (ة)تربوي رئيسي</v>
      </c>
    </row>
    <row r="124" spans="1:29" ht="23.25" customHeight="1" thickBot="1">
      <c r="A124" s="23"/>
      <c r="B124" s="364" t="s">
        <v>590</v>
      </c>
      <c r="C124" s="364"/>
      <c r="D124" s="1253" t="s">
        <v>782</v>
      </c>
      <c r="E124" s="1253"/>
      <c r="F124" s="369"/>
      <c r="G124" s="376" t="s">
        <v>590</v>
      </c>
      <c r="H124" s="377"/>
      <c r="I124" s="1253" t="s">
        <v>782</v>
      </c>
      <c r="J124" s="1253"/>
      <c r="K124" s="1253"/>
      <c r="L124" s="364"/>
      <c r="M124" s="23"/>
      <c r="N124" s="368"/>
      <c r="O124" s="368"/>
      <c r="R124" s="368">
        <v>7</v>
      </c>
      <c r="S124" s="368" t="s">
        <v>549</v>
      </c>
      <c r="T124" s="368" t="s">
        <v>547</v>
      </c>
      <c r="U124" s="368"/>
      <c r="V124" s="368"/>
      <c r="Z124" s="354">
        <v>62</v>
      </c>
      <c r="AA124" s="284" t="s">
        <v>2104</v>
      </c>
      <c r="AB124" s="454" t="s">
        <v>833</v>
      </c>
      <c r="AC124" s="214" t="str">
        <f t="shared" ref="AC124" si="7">(AA124&amp;"  "&amp;AB124)</f>
        <v>بن قريع نورة  مشرف (ة)تربوي رئيسي</v>
      </c>
    </row>
    <row r="125" spans="1:29" ht="23.25" customHeight="1">
      <c r="A125" s="23"/>
      <c r="B125" s="364" t="s">
        <v>591</v>
      </c>
      <c r="C125" s="307"/>
      <c r="D125" s="328">
        <f>IF($O$118,VLOOKUP($O$118,[1]etat!$A$9:$O$607,1,FALSE),"")</f>
        <v>2</v>
      </c>
      <c r="E125" s="359" t="s">
        <v>592</v>
      </c>
      <c r="F125" s="378" t="s">
        <v>829</v>
      </c>
      <c r="G125" s="572" t="s">
        <v>591</v>
      </c>
      <c r="H125" s="364"/>
      <c r="I125" s="879">
        <f>IF($P$118,VLOOKUP($P$118,[1]etat!$A$9:$O$607,1,FALSE),"")</f>
        <v>2</v>
      </c>
      <c r="J125" s="359" t="s">
        <v>592</v>
      </c>
      <c r="K125" s="379" t="s">
        <v>829</v>
      </c>
      <c r="L125" s="398"/>
      <c r="M125" s="23"/>
      <c r="N125" s="368"/>
      <c r="O125" s="368"/>
      <c r="R125" s="368">
        <v>8</v>
      </c>
      <c r="S125" s="368" t="s">
        <v>19</v>
      </c>
      <c r="T125" s="368" t="s">
        <v>550</v>
      </c>
      <c r="U125" s="368"/>
      <c r="V125" s="368"/>
    </row>
    <row r="126" spans="1:29" ht="23.25" customHeight="1">
      <c r="A126" s="23"/>
      <c r="B126" s="364" t="s">
        <v>593</v>
      </c>
      <c r="C126" s="364"/>
      <c r="D126" s="364"/>
      <c r="E126" s="364"/>
      <c r="F126" s="369"/>
      <c r="G126" s="370" t="s">
        <v>593</v>
      </c>
      <c r="H126" s="364"/>
      <c r="I126" s="364"/>
      <c r="J126" s="364"/>
      <c r="K126" s="364"/>
      <c r="L126" s="364"/>
      <c r="M126" s="23"/>
      <c r="N126" s="368"/>
      <c r="O126" s="368"/>
      <c r="R126" s="368">
        <v>9</v>
      </c>
      <c r="S126" s="368" t="s">
        <v>551</v>
      </c>
      <c r="T126" s="368" t="s">
        <v>550</v>
      </c>
      <c r="U126" s="368"/>
      <c r="V126" s="368"/>
    </row>
    <row r="127" spans="1:29" ht="23.25" customHeight="1">
      <c r="A127" s="23"/>
      <c r="B127" s="364"/>
      <c r="C127" s="364"/>
      <c r="D127" s="364"/>
      <c r="E127" s="364"/>
      <c r="F127" s="369"/>
      <c r="G127" s="370"/>
      <c r="H127" s="364"/>
      <c r="I127" s="364"/>
      <c r="J127" s="364"/>
      <c r="K127" s="364"/>
      <c r="L127" s="399"/>
      <c r="M127" s="23"/>
      <c r="N127" s="368"/>
      <c r="O127" s="368"/>
      <c r="R127" s="368">
        <v>10</v>
      </c>
      <c r="S127" s="368" t="s">
        <v>552</v>
      </c>
      <c r="T127" s="368" t="s">
        <v>550</v>
      </c>
      <c r="U127" s="368"/>
      <c r="V127" s="368"/>
    </row>
    <row r="128" spans="1:29" ht="23.25" customHeight="1">
      <c r="A128" s="23"/>
      <c r="B128" s="364"/>
      <c r="C128" s="364"/>
      <c r="D128" s="364"/>
      <c r="E128" s="374" t="s">
        <v>594</v>
      </c>
      <c r="F128" s="380" t="s">
        <v>90</v>
      </c>
      <c r="G128" s="370"/>
      <c r="H128" s="364"/>
      <c r="I128" s="364"/>
      <c r="J128" s="364" t="s">
        <v>594</v>
      </c>
      <c r="K128" s="364" t="s">
        <v>90</v>
      </c>
      <c r="L128" s="364"/>
      <c r="M128" s="23"/>
      <c r="N128" s="368"/>
      <c r="O128" s="368"/>
      <c r="R128" s="368">
        <v>11</v>
      </c>
      <c r="S128" s="368" t="s">
        <v>22</v>
      </c>
      <c r="T128" s="368" t="s">
        <v>553</v>
      </c>
      <c r="U128" s="368"/>
      <c r="V128" s="368"/>
    </row>
    <row r="129" spans="1:22" ht="23.25" customHeight="1">
      <c r="A129" s="23"/>
      <c r="B129" s="364"/>
      <c r="C129" s="364"/>
      <c r="D129" s="374" t="s">
        <v>595</v>
      </c>
      <c r="E129" s="1257">
        <f ca="1">NOW()</f>
        <v>45944.941684375</v>
      </c>
      <c r="F129" s="1258"/>
      <c r="G129" s="370"/>
      <c r="H129" s="364"/>
      <c r="I129" s="364"/>
      <c r="J129" s="374" t="s">
        <v>595</v>
      </c>
      <c r="K129" s="1257">
        <f ca="1">NOW()</f>
        <v>45944.941684375</v>
      </c>
      <c r="L129" s="1257"/>
      <c r="M129" s="23"/>
      <c r="N129" s="368"/>
      <c r="O129" s="368"/>
      <c r="R129" s="368">
        <v>12</v>
      </c>
      <c r="S129" s="368" t="s">
        <v>554</v>
      </c>
      <c r="T129" s="368" t="s">
        <v>553</v>
      </c>
      <c r="U129" s="368"/>
      <c r="V129" s="368"/>
    </row>
    <row r="130" spans="1:22" ht="23.25" customHeight="1">
      <c r="A130" s="23"/>
      <c r="B130" s="364"/>
      <c r="C130" s="364"/>
      <c r="D130" s="364"/>
      <c r="E130" s="364" t="s">
        <v>596</v>
      </c>
      <c r="F130" s="369"/>
      <c r="G130" s="370"/>
      <c r="H130" s="364"/>
      <c r="I130" s="364"/>
      <c r="J130" s="364" t="s">
        <v>596</v>
      </c>
      <c r="K130" s="364"/>
      <c r="L130" s="364"/>
      <c r="M130" s="23"/>
      <c r="N130" s="368"/>
      <c r="O130" s="368"/>
      <c r="R130" s="368">
        <v>13</v>
      </c>
      <c r="S130" s="368" t="s">
        <v>555</v>
      </c>
      <c r="T130" s="368" t="s">
        <v>553</v>
      </c>
      <c r="U130" s="368"/>
      <c r="V130" s="368"/>
    </row>
    <row r="131" spans="1:22" ht="23.25" customHeight="1">
      <c r="A131" s="23"/>
      <c r="B131" s="332"/>
      <c r="C131" s="879" t="s">
        <v>249</v>
      </c>
      <c r="D131" s="23"/>
      <c r="E131" s="23"/>
      <c r="F131" s="23"/>
      <c r="G131" s="339"/>
      <c r="M131" s="23"/>
      <c r="N131" s="368"/>
      <c r="O131" s="368"/>
      <c r="R131" s="368">
        <v>14</v>
      </c>
      <c r="S131" s="368" t="s">
        <v>556</v>
      </c>
      <c r="T131" s="368" t="s">
        <v>553</v>
      </c>
      <c r="U131" s="368"/>
      <c r="V131" s="368"/>
    </row>
    <row r="132" spans="1:22" ht="23.25" customHeight="1">
      <c r="A132" s="23"/>
      <c r="B132" s="357"/>
      <c r="C132" s="23"/>
      <c r="D132" s="346" t="s">
        <v>79</v>
      </c>
      <c r="E132" s="23"/>
      <c r="F132" s="23"/>
      <c r="G132" s="339"/>
      <c r="M132" s="23"/>
      <c r="N132" s="368"/>
      <c r="O132" s="368"/>
      <c r="R132" s="368">
        <v>16</v>
      </c>
      <c r="S132" s="368" t="s">
        <v>558</v>
      </c>
      <c r="T132" s="368" t="s">
        <v>557</v>
      </c>
      <c r="U132" s="368"/>
      <c r="V132" s="368"/>
    </row>
    <row r="133" spans="1:22" ht="21">
      <c r="A133" s="328" t="s">
        <v>220</v>
      </c>
      <c r="B133" s="331"/>
      <c r="C133" s="23"/>
      <c r="D133" s="23"/>
      <c r="E133" s="23"/>
      <c r="F133" s="23"/>
      <c r="G133" s="339"/>
      <c r="M133" s="23"/>
      <c r="N133" s="368"/>
      <c r="O133" s="368"/>
      <c r="R133" s="368">
        <v>17</v>
      </c>
      <c r="S133" s="368" t="s">
        <v>6</v>
      </c>
      <c r="T133" s="368" t="s">
        <v>559</v>
      </c>
      <c r="U133" s="368"/>
      <c r="V133" s="368"/>
    </row>
    <row r="134" spans="1:22" ht="21">
      <c r="A134" s="328" t="s">
        <v>239</v>
      </c>
      <c r="B134" s="332"/>
      <c r="C134" s="23"/>
      <c r="D134" s="23"/>
      <c r="E134" s="23"/>
      <c r="F134" s="23"/>
      <c r="G134" s="339"/>
      <c r="M134" s="23"/>
      <c r="N134" s="368"/>
      <c r="O134" s="368"/>
      <c r="R134" s="368">
        <v>18</v>
      </c>
      <c r="S134" s="368" t="s">
        <v>560</v>
      </c>
      <c r="T134" s="368" t="s">
        <v>559</v>
      </c>
      <c r="U134" s="368"/>
      <c r="V134" s="368"/>
    </row>
    <row r="135" spans="1:22" ht="21">
      <c r="A135" s="23"/>
      <c r="B135" s="332"/>
      <c r="C135" s="23"/>
      <c r="D135" s="427" t="s">
        <v>238</v>
      </c>
      <c r="E135" s="328" t="str">
        <f>IF(O134&lt;&gt;"",VLOOKUP(O134,[1]etat!$A$9:$O$563,15,FALSE),"")</f>
        <v/>
      </c>
      <c r="F135" s="23"/>
      <c r="G135" s="339"/>
      <c r="M135" s="23"/>
      <c r="N135" s="368"/>
      <c r="O135" s="368"/>
      <c r="R135" s="368">
        <v>19</v>
      </c>
      <c r="S135" s="368" t="s">
        <v>561</v>
      </c>
      <c r="T135" s="368" t="s">
        <v>562</v>
      </c>
      <c r="U135" s="368"/>
      <c r="V135" s="368"/>
    </row>
    <row r="136" spans="1:22" ht="21">
      <c r="A136" s="23"/>
      <c r="B136" s="332"/>
      <c r="C136" s="1259" t="str">
        <f>IF(O134&lt;&gt;"",VLOOKUP(O134,[1]etat!$A$9:$N$563,12,FALSE),"")</f>
        <v/>
      </c>
      <c r="D136" s="1259"/>
      <c r="E136" s="1259"/>
      <c r="F136" s="23"/>
      <c r="G136" s="339"/>
      <c r="M136" s="23"/>
      <c r="N136" s="368"/>
      <c r="O136" s="368"/>
      <c r="R136" s="368">
        <v>20</v>
      </c>
      <c r="S136" s="368" t="s">
        <v>2</v>
      </c>
      <c r="T136" s="368" t="s">
        <v>562</v>
      </c>
      <c r="U136" s="368"/>
      <c r="V136" s="368"/>
    </row>
    <row r="137" spans="1:22" ht="21">
      <c r="A137" s="331" t="s">
        <v>1966</v>
      </c>
      <c r="B137" s="332"/>
      <c r="C137" s="23"/>
      <c r="D137" s="23"/>
      <c r="E137" s="23"/>
      <c r="F137" s="23"/>
      <c r="G137" s="339"/>
      <c r="M137" s="23"/>
      <c r="N137" s="368"/>
      <c r="O137" s="368"/>
      <c r="R137" s="368">
        <v>21</v>
      </c>
      <c r="S137" s="368" t="s">
        <v>3</v>
      </c>
      <c r="T137" s="368" t="s">
        <v>562</v>
      </c>
      <c r="U137" s="368"/>
      <c r="V137" s="368"/>
    </row>
    <row r="138" spans="1:22" ht="21">
      <c r="A138" s="23"/>
      <c r="B138" s="23"/>
      <c r="C138" s="23"/>
      <c r="D138" s="23"/>
      <c r="E138" s="23"/>
      <c r="F138" s="23"/>
      <c r="M138" s="23"/>
      <c r="N138" s="368"/>
      <c r="O138" s="368"/>
      <c r="R138" s="368">
        <v>22</v>
      </c>
      <c r="S138" s="368" t="s">
        <v>563</v>
      </c>
      <c r="T138" s="368" t="s">
        <v>562</v>
      </c>
      <c r="U138" s="368"/>
      <c r="V138" s="368"/>
    </row>
    <row r="139" spans="1:22" ht="21">
      <c r="A139" s="23"/>
      <c r="B139" s="23"/>
      <c r="C139" s="23"/>
      <c r="D139" s="23"/>
      <c r="E139" s="23"/>
      <c r="F139" s="23"/>
      <c r="M139" s="23"/>
      <c r="N139" s="368"/>
      <c r="O139" s="368"/>
      <c r="R139" s="368">
        <v>23</v>
      </c>
      <c r="S139" s="368" t="s">
        <v>564</v>
      </c>
      <c r="T139" s="368" t="s">
        <v>562</v>
      </c>
      <c r="U139" s="368"/>
      <c r="V139" s="368"/>
    </row>
    <row r="140" spans="1:22" ht="27">
      <c r="A140" s="894" t="s">
        <v>846</v>
      </c>
      <c r="B140" s="23"/>
      <c r="C140" s="23"/>
      <c r="D140" s="23"/>
      <c r="E140" s="23"/>
      <c r="F140" s="23"/>
      <c r="M140" s="23"/>
      <c r="N140" s="368"/>
      <c r="O140" s="368"/>
      <c r="R140" s="368">
        <v>24</v>
      </c>
      <c r="S140" s="368" t="s">
        <v>50</v>
      </c>
      <c r="T140" s="368" t="s">
        <v>565</v>
      </c>
      <c r="U140" s="368"/>
      <c r="V140" s="368"/>
    </row>
    <row r="141" spans="1:22" ht="21">
      <c r="A141" s="23"/>
      <c r="B141" s="23"/>
      <c r="C141" s="23"/>
      <c r="D141" s="23"/>
      <c r="E141" s="23"/>
      <c r="F141" s="23"/>
      <c r="M141" s="23"/>
      <c r="N141" s="368"/>
      <c r="O141" s="368"/>
      <c r="R141" s="368">
        <v>25</v>
      </c>
      <c r="S141" s="368" t="s">
        <v>566</v>
      </c>
      <c r="T141" s="368" t="s">
        <v>565</v>
      </c>
      <c r="U141" s="368"/>
      <c r="V141" s="368"/>
    </row>
    <row r="142" spans="1:22" ht="21">
      <c r="A142" s="894" t="s">
        <v>843</v>
      </c>
      <c r="B142" s="23"/>
      <c r="C142" s="23"/>
      <c r="D142" s="23"/>
      <c r="E142" s="23"/>
      <c r="F142" s="23"/>
      <c r="M142" s="23"/>
      <c r="N142" s="368"/>
      <c r="O142" s="368"/>
      <c r="R142" s="368">
        <v>26</v>
      </c>
      <c r="S142" s="368" t="s">
        <v>567</v>
      </c>
      <c r="T142" s="368" t="s">
        <v>565</v>
      </c>
      <c r="U142" s="368"/>
      <c r="V142" s="368"/>
    </row>
    <row r="143" spans="1:22" ht="21">
      <c r="A143" s="381" t="s">
        <v>838</v>
      </c>
      <c r="B143" s="23"/>
      <c r="C143" s="23"/>
      <c r="D143" s="23"/>
      <c r="E143" s="23"/>
      <c r="F143" s="23"/>
      <c r="M143" s="23"/>
      <c r="N143" s="368"/>
      <c r="O143" s="368"/>
      <c r="R143" s="368">
        <v>27</v>
      </c>
      <c r="S143" s="368" t="s">
        <v>13</v>
      </c>
      <c r="T143" s="368" t="s">
        <v>568</v>
      </c>
      <c r="U143" s="368"/>
      <c r="V143" s="368"/>
    </row>
    <row r="144" spans="1:22" ht="21">
      <c r="A144" s="381" t="s">
        <v>844</v>
      </c>
      <c r="B144" s="23"/>
      <c r="C144" s="23"/>
      <c r="D144" s="23"/>
      <c r="E144" s="23"/>
      <c r="F144" s="23"/>
      <c r="M144" s="23"/>
      <c r="N144" s="368"/>
      <c r="O144" s="368"/>
      <c r="R144" s="368">
        <v>28</v>
      </c>
      <c r="S144" s="368" t="s">
        <v>569</v>
      </c>
      <c r="T144" s="368" t="s">
        <v>568</v>
      </c>
      <c r="U144" s="368"/>
      <c r="V144" s="368"/>
    </row>
    <row r="145" spans="1:22" ht="21">
      <c r="A145" s="381" t="s">
        <v>845</v>
      </c>
      <c r="B145" s="23"/>
      <c r="C145" s="23"/>
      <c r="D145" s="23"/>
      <c r="E145" s="23"/>
      <c r="F145" s="23"/>
      <c r="M145" s="23"/>
      <c r="N145" s="368"/>
      <c r="O145" s="368"/>
      <c r="R145" s="368">
        <v>29</v>
      </c>
      <c r="S145" s="368" t="s">
        <v>570</v>
      </c>
      <c r="T145" s="368" t="s">
        <v>568</v>
      </c>
      <c r="U145" s="368"/>
      <c r="V145" s="368"/>
    </row>
    <row r="146" spans="1:22" ht="21">
      <c r="A146" s="381" t="s">
        <v>839</v>
      </c>
      <c r="B146" s="381">
        <v>1</v>
      </c>
      <c r="C146" s="23"/>
      <c r="D146" s="23"/>
      <c r="E146" s="23"/>
      <c r="F146" s="23"/>
      <c r="M146" s="23"/>
      <c r="N146" s="368"/>
      <c r="O146" s="368"/>
      <c r="R146" s="368">
        <v>30</v>
      </c>
      <c r="S146" s="368" t="s">
        <v>571</v>
      </c>
      <c r="T146" s="368" t="s">
        <v>568</v>
      </c>
      <c r="U146" s="368"/>
      <c r="V146" s="368"/>
    </row>
    <row r="147" spans="1:22" ht="21">
      <c r="A147" s="23"/>
      <c r="B147" s="381">
        <v>2</v>
      </c>
      <c r="C147" s="23"/>
      <c r="D147" s="23"/>
      <c r="E147" s="23"/>
      <c r="F147" s="23"/>
      <c r="M147" s="23"/>
      <c r="N147" s="368"/>
      <c r="O147" s="368"/>
      <c r="R147" s="368">
        <v>31</v>
      </c>
      <c r="S147" s="368" t="s">
        <v>572</v>
      </c>
      <c r="T147" s="368" t="s">
        <v>568</v>
      </c>
      <c r="U147" s="368"/>
      <c r="V147" s="368"/>
    </row>
    <row r="148" spans="1:22" ht="21">
      <c r="A148" s="23"/>
      <c r="B148" s="381">
        <v>3</v>
      </c>
      <c r="C148" s="23"/>
      <c r="D148" s="23"/>
      <c r="E148" s="23"/>
      <c r="F148" s="23"/>
      <c r="M148" s="23"/>
      <c r="N148" s="368"/>
      <c r="O148" s="368"/>
      <c r="R148" s="368">
        <v>32</v>
      </c>
      <c r="S148" s="368" t="s">
        <v>4</v>
      </c>
      <c r="T148" s="368" t="s">
        <v>573</v>
      </c>
      <c r="U148" s="368"/>
      <c r="V148" s="368"/>
    </row>
    <row r="149" spans="1:22" ht="21">
      <c r="A149" s="23"/>
      <c r="B149" s="381">
        <v>4</v>
      </c>
      <c r="C149" s="23"/>
      <c r="D149" s="23"/>
      <c r="E149" s="23"/>
      <c r="F149" s="23"/>
      <c r="M149" s="23"/>
      <c r="N149" s="368"/>
      <c r="O149" s="368"/>
      <c r="R149" s="368">
        <v>33</v>
      </c>
      <c r="S149" s="368" t="s">
        <v>574</v>
      </c>
      <c r="T149" s="368" t="s">
        <v>573</v>
      </c>
      <c r="U149" s="368"/>
      <c r="V149" s="368"/>
    </row>
    <row r="150" spans="1:22" ht="21">
      <c r="A150" s="23"/>
      <c r="B150" s="381">
        <v>5</v>
      </c>
      <c r="C150" s="23"/>
      <c r="D150" s="23"/>
      <c r="E150" s="23"/>
      <c r="F150" s="23"/>
      <c r="M150" s="23"/>
      <c r="N150" s="368"/>
      <c r="O150" s="368"/>
      <c r="R150" s="368">
        <v>34</v>
      </c>
      <c r="S150" s="368" t="s">
        <v>10</v>
      </c>
      <c r="T150" s="368" t="s">
        <v>575</v>
      </c>
      <c r="U150" s="368"/>
      <c r="V150" s="368"/>
    </row>
    <row r="151" spans="1:22" ht="21">
      <c r="A151" s="23"/>
      <c r="B151" s="381">
        <v>6</v>
      </c>
      <c r="C151" s="23"/>
      <c r="D151" s="23"/>
      <c r="E151" s="23"/>
      <c r="F151" s="23"/>
      <c r="M151" s="23"/>
      <c r="N151" s="368"/>
      <c r="O151" s="368"/>
      <c r="R151" s="368">
        <v>35</v>
      </c>
      <c r="S151" s="368" t="s">
        <v>11</v>
      </c>
      <c r="T151" s="368" t="s">
        <v>575</v>
      </c>
      <c r="U151" s="368"/>
      <c r="V151" s="368"/>
    </row>
    <row r="152" spans="1:22" ht="21">
      <c r="A152" s="894" t="s">
        <v>840</v>
      </c>
      <c r="B152" s="381"/>
      <c r="C152" s="23"/>
      <c r="D152" s="23"/>
      <c r="E152" s="23"/>
      <c r="F152" s="23"/>
      <c r="M152" s="23"/>
      <c r="N152" s="368"/>
      <c r="O152" s="368"/>
      <c r="R152" s="368">
        <v>36</v>
      </c>
      <c r="S152" s="368" t="s">
        <v>8</v>
      </c>
      <c r="T152" s="368" t="s">
        <v>575</v>
      </c>
      <c r="U152" s="368"/>
      <c r="V152" s="368"/>
    </row>
    <row r="153" spans="1:22" ht="21">
      <c r="A153" s="381" t="s">
        <v>841</v>
      </c>
      <c r="B153" s="23"/>
      <c r="C153" s="23"/>
      <c r="D153" s="23"/>
      <c r="E153" s="23"/>
      <c r="F153" s="23"/>
      <c r="M153" s="23"/>
      <c r="N153" s="368"/>
      <c r="O153" s="368"/>
      <c r="R153" s="368">
        <v>37</v>
      </c>
      <c r="S153" s="368" t="s">
        <v>525</v>
      </c>
      <c r="T153" s="368" t="s">
        <v>575</v>
      </c>
      <c r="U153" s="368"/>
      <c r="V153" s="368"/>
    </row>
    <row r="154" spans="1:22" ht="21">
      <c r="A154" s="381" t="s">
        <v>842</v>
      </c>
      <c r="B154" s="23"/>
      <c r="C154" s="23"/>
      <c r="D154" s="23"/>
      <c r="E154" s="23"/>
      <c r="F154" s="23"/>
      <c r="M154" s="23"/>
      <c r="N154" s="368"/>
      <c r="O154" s="368"/>
      <c r="R154" s="368">
        <v>38</v>
      </c>
      <c r="S154" s="368" t="s">
        <v>576</v>
      </c>
      <c r="T154" s="368" t="s">
        <v>575</v>
      </c>
      <c r="U154" s="368"/>
      <c r="V154" s="368"/>
    </row>
    <row r="155" spans="1:22" ht="64.5" customHeight="1">
      <c r="A155" s="1271"/>
      <c r="B155" s="1271"/>
      <c r="C155" s="1271"/>
      <c r="D155" s="1271"/>
      <c r="E155" s="1271"/>
      <c r="F155" s="1271"/>
      <c r="G155" s="1271"/>
      <c r="H155" s="1271"/>
      <c r="I155" s="1271"/>
      <c r="J155" s="1271"/>
      <c r="K155" s="1271"/>
      <c r="L155" s="1271"/>
      <c r="M155" s="23"/>
      <c r="N155" s="368"/>
      <c r="O155" s="368"/>
      <c r="R155" s="368">
        <v>39</v>
      </c>
      <c r="S155" s="368" t="s">
        <v>577</v>
      </c>
      <c r="T155" s="368" t="s">
        <v>575</v>
      </c>
      <c r="U155" s="368"/>
      <c r="V155" s="368"/>
    </row>
    <row r="156" spans="1:22" ht="21">
      <c r="A156" s="1260" t="s">
        <v>78</v>
      </c>
      <c r="B156" s="1261"/>
      <c r="C156" s="1261"/>
      <c r="D156" s="1261"/>
      <c r="E156" s="1261"/>
      <c r="F156" s="1262"/>
      <c r="G156" s="1260" t="s">
        <v>78</v>
      </c>
      <c r="H156" s="1261"/>
      <c r="I156" s="1261"/>
      <c r="J156" s="1261"/>
      <c r="K156" s="1261"/>
      <c r="L156" s="1262"/>
      <c r="M156" s="23"/>
      <c r="R156" s="368">
        <v>45</v>
      </c>
      <c r="S156" s="368" t="s">
        <v>581</v>
      </c>
      <c r="T156" s="368" t="s">
        <v>578</v>
      </c>
      <c r="U156" s="368"/>
      <c r="V156" s="368"/>
    </row>
    <row r="157" spans="1:22" ht="21">
      <c r="A157" s="23"/>
      <c r="B157" s="351"/>
      <c r="C157" s="23"/>
      <c r="D157" s="307" t="s">
        <v>79</v>
      </c>
      <c r="E157" s="23"/>
      <c r="F157" s="877"/>
      <c r="G157" s="339"/>
      <c r="H157" s="351"/>
      <c r="J157" s="307" t="s">
        <v>79</v>
      </c>
      <c r="L157" s="430"/>
      <c r="M157" s="23"/>
      <c r="R157" s="368"/>
      <c r="S157" s="368"/>
      <c r="T157" s="368"/>
      <c r="U157" s="368"/>
      <c r="V157" s="368"/>
    </row>
    <row r="158" spans="1:22" ht="30" customHeight="1">
      <c r="A158" s="332" t="s">
        <v>233</v>
      </c>
      <c r="B158" s="23"/>
      <c r="C158" s="23"/>
      <c r="D158" s="23"/>
      <c r="E158" s="23"/>
      <c r="F158" s="877"/>
      <c r="G158" s="352" t="s">
        <v>233</v>
      </c>
      <c r="L158" s="430"/>
      <c r="M158" s="23"/>
      <c r="R158" s="368">
        <v>46</v>
      </c>
      <c r="S158" s="368" t="s">
        <v>582</v>
      </c>
      <c r="T158" s="368" t="s">
        <v>578</v>
      </c>
      <c r="U158" s="368"/>
      <c r="V158" s="368"/>
    </row>
    <row r="159" spans="1:22" ht="20.25">
      <c r="A159" s="332" t="s">
        <v>3880</v>
      </c>
      <c r="B159" s="23"/>
      <c r="C159" s="23"/>
      <c r="D159" s="23"/>
      <c r="E159" s="23"/>
      <c r="F159" s="877"/>
      <c r="G159" s="332" t="s">
        <v>3880</v>
      </c>
      <c r="L159" s="430"/>
      <c r="M159" s="23"/>
    </row>
    <row r="160" spans="1:22" ht="20.25">
      <c r="A160" s="332"/>
      <c r="B160" s="23"/>
      <c r="C160" s="23"/>
      <c r="D160" s="23"/>
      <c r="E160" s="23"/>
      <c r="F160" s="877"/>
      <c r="G160" s="352"/>
      <c r="L160" s="430"/>
      <c r="M160" s="23"/>
    </row>
    <row r="161" spans="1:15" ht="20.25">
      <c r="A161" s="23"/>
      <c r="B161" s="23"/>
      <c r="C161" s="23"/>
      <c r="D161" s="427" t="s">
        <v>238</v>
      </c>
      <c r="E161" s="1263" t="str">
        <f>IF($O$161&lt;&gt;"",VLOOKUP($O$161,etat!$A$9:$O$813,15,FALSE),"")</f>
        <v xml:space="preserve">معطى الله  نور العرب </v>
      </c>
      <c r="F161" s="1264"/>
      <c r="G161" s="339"/>
      <c r="J161" s="427" t="s">
        <v>238</v>
      </c>
      <c r="K161" s="1164" t="str">
        <f>E161</f>
        <v xml:space="preserve">معطى الله  نور العرب </v>
      </c>
      <c r="L161" s="430"/>
      <c r="M161" s="23"/>
      <c r="O161" s="897">
        <v>559</v>
      </c>
    </row>
    <row r="162" spans="1:15" ht="18">
      <c r="A162" s="23"/>
      <c r="B162" s="23"/>
      <c r="C162" s="1259" t="str">
        <f>IF($O$161&lt;&gt;"",VLOOKUP($O$161,etat!$A$9:$O$813,12,FALSE),"")</f>
        <v xml:space="preserve"> </v>
      </c>
      <c r="D162" s="1259"/>
      <c r="E162" s="1259"/>
      <c r="F162" s="1282"/>
      <c r="G162" s="339"/>
      <c r="I162" s="1259" t="str">
        <f>C162</f>
        <v xml:space="preserve"> </v>
      </c>
      <c r="J162" s="1259"/>
      <c r="K162" s="1259"/>
      <c r="L162" s="430"/>
      <c r="M162" s="23"/>
    </row>
    <row r="163" spans="1:15" ht="26.25">
      <c r="A163" s="23"/>
      <c r="B163" s="23"/>
      <c r="C163" s="23"/>
      <c r="D163" s="383" t="s">
        <v>1486</v>
      </c>
      <c r="E163" s="23"/>
      <c r="F163" s="877"/>
      <c r="G163" s="339"/>
      <c r="J163" s="383" t="s">
        <v>1486</v>
      </c>
      <c r="L163" s="430"/>
      <c r="M163" s="23"/>
    </row>
    <row r="164" spans="1:15" ht="20.25">
      <c r="A164" s="331" t="s">
        <v>2245</v>
      </c>
      <c r="B164" s="23"/>
      <c r="C164" s="23"/>
      <c r="D164" s="23"/>
      <c r="E164" s="23"/>
      <c r="F164" s="877"/>
      <c r="G164" s="331" t="s">
        <v>2245</v>
      </c>
      <c r="L164" s="430"/>
      <c r="M164" s="23"/>
    </row>
    <row r="165" spans="1:15" ht="21">
      <c r="A165" s="23"/>
      <c r="B165" s="23"/>
      <c r="C165" s="23"/>
      <c r="D165" s="23"/>
      <c r="E165" s="23"/>
      <c r="F165" s="877"/>
      <c r="G165" s="364"/>
      <c r="H165" s="364"/>
      <c r="I165" s="364"/>
      <c r="J165" s="364"/>
      <c r="K165" s="364"/>
      <c r="L165" s="431"/>
      <c r="M165" s="23"/>
    </row>
    <row r="166" spans="1:15" ht="21">
      <c r="A166" s="5" t="s">
        <v>1493</v>
      </c>
      <c r="B166" s="23"/>
      <c r="C166" s="23"/>
      <c r="D166" s="1279">
        <f>IF($O$161&lt;&gt;"",VLOOKUP($O$161,etat!$A$9:$O$813,2,FALSE),"")</f>
        <v>0</v>
      </c>
      <c r="E166" s="1279"/>
      <c r="F166" s="877"/>
      <c r="G166" s="5" t="s">
        <v>1493</v>
      </c>
      <c r="H166" s="364"/>
      <c r="I166" s="364"/>
      <c r="J166" s="385">
        <f>D166</f>
        <v>0</v>
      </c>
      <c r="K166" s="364"/>
      <c r="L166" s="431"/>
      <c r="M166" s="23"/>
    </row>
    <row r="167" spans="1:15" ht="21">
      <c r="A167" s="5"/>
      <c r="B167" s="400" t="s">
        <v>1491</v>
      </c>
      <c r="C167" s="5" t="str">
        <f>IF($O$161&lt;&gt;"",VLOOKUP($O$161,etat!$A$9:$O$813,7,FALSE),"")</f>
        <v>1ج م أ2</v>
      </c>
      <c r="D167" s="355"/>
      <c r="E167" s="23"/>
      <c r="F167" s="877"/>
      <c r="G167" s="5"/>
      <c r="H167" s="400" t="s">
        <v>1491</v>
      </c>
      <c r="I167" s="385" t="str">
        <f>C167</f>
        <v>1ج م أ2</v>
      </c>
      <c r="J167" s="385"/>
      <c r="K167" s="364"/>
      <c r="L167" s="432"/>
    </row>
    <row r="168" spans="1:15" ht="21">
      <c r="A168" s="5" t="s">
        <v>1487</v>
      </c>
      <c r="B168" s="23"/>
      <c r="C168" s="23"/>
      <c r="D168" s="23"/>
      <c r="E168" s="23"/>
      <c r="F168" s="877"/>
      <c r="G168" s="5" t="s">
        <v>1487</v>
      </c>
      <c r="H168" s="364"/>
      <c r="I168" s="364"/>
      <c r="J168" s="364"/>
      <c r="K168" s="364"/>
      <c r="L168" s="431"/>
    </row>
    <row r="169" spans="1:15" ht="21">
      <c r="A169" s="5" t="s">
        <v>1488</v>
      </c>
      <c r="B169" s="23"/>
      <c r="C169" s="23"/>
      <c r="D169" s="23"/>
      <c r="E169" s="23"/>
      <c r="F169" s="877"/>
      <c r="G169" s="5" t="s">
        <v>1488</v>
      </c>
      <c r="H169" s="364"/>
      <c r="I169" s="364"/>
      <c r="J169" s="364"/>
      <c r="K169" s="149"/>
      <c r="L169" s="433"/>
    </row>
    <row r="170" spans="1:15" ht="20.25">
      <c r="A170" s="5" t="s">
        <v>1492</v>
      </c>
      <c r="B170" s="23"/>
      <c r="C170" s="23"/>
      <c r="D170" s="23"/>
      <c r="E170" s="1249">
        <v>45931</v>
      </c>
      <c r="F170" s="1250"/>
      <c r="G170" s="5" t="s">
        <v>1492</v>
      </c>
      <c r="K170" s="1249">
        <v>45931</v>
      </c>
      <c r="L170" s="1251"/>
    </row>
    <row r="171" spans="1:15" ht="21">
      <c r="A171" s="5" t="s">
        <v>1489</v>
      </c>
      <c r="B171" s="23"/>
      <c r="C171" s="23"/>
      <c r="D171" s="23"/>
      <c r="E171" s="23"/>
      <c r="F171" s="877"/>
      <c r="G171" s="5" t="s">
        <v>1489</v>
      </c>
      <c r="H171" s="364"/>
      <c r="I171" s="364"/>
      <c r="J171" s="364"/>
      <c r="K171" s="364"/>
      <c r="L171" s="431"/>
    </row>
    <row r="172" spans="1:15" ht="21">
      <c r="A172" s="23"/>
      <c r="B172" s="23"/>
      <c r="C172" s="23"/>
      <c r="D172" s="23"/>
      <c r="E172" s="23"/>
      <c r="F172" s="877"/>
      <c r="G172" s="364"/>
      <c r="H172" s="364"/>
      <c r="I172" s="364"/>
      <c r="J172" s="364"/>
      <c r="K172" s="364"/>
      <c r="L172" s="431"/>
    </row>
    <row r="173" spans="1:15">
      <c r="A173" s="23"/>
      <c r="B173" s="23"/>
      <c r="C173" s="23"/>
      <c r="D173" s="23"/>
      <c r="E173" s="23"/>
      <c r="F173" s="877"/>
      <c r="L173" s="430"/>
    </row>
    <row r="174" spans="1:15" ht="18.75">
      <c r="A174" s="23"/>
      <c r="B174" s="23"/>
      <c r="C174" s="23"/>
      <c r="D174" s="346" t="s">
        <v>3881</v>
      </c>
      <c r="E174" s="1249">
        <v>45929</v>
      </c>
      <c r="F174" s="1250"/>
      <c r="J174" s="346" t="s">
        <v>3881</v>
      </c>
      <c r="K174" s="1249">
        <f>E174</f>
        <v>45929</v>
      </c>
      <c r="L174" s="1251"/>
    </row>
    <row r="175" spans="1:15">
      <c r="A175" s="23"/>
      <c r="B175" s="23"/>
      <c r="C175" s="23"/>
      <c r="D175" s="23"/>
      <c r="E175" s="23"/>
      <c r="F175" s="877"/>
      <c r="L175" s="430"/>
    </row>
    <row r="176" spans="1:15">
      <c r="A176" s="23"/>
      <c r="B176" s="23"/>
      <c r="C176" s="23"/>
      <c r="D176" s="23"/>
      <c r="E176" s="23"/>
      <c r="F176" s="877"/>
      <c r="L176" s="430"/>
    </row>
    <row r="177" spans="1:12">
      <c r="A177" s="23"/>
      <c r="B177" s="23"/>
      <c r="C177" s="23"/>
      <c r="D177" s="23"/>
      <c r="E177" s="23"/>
      <c r="F177" s="877"/>
      <c r="L177" s="430"/>
    </row>
    <row r="178" spans="1:12" ht="20.25">
      <c r="A178" s="23"/>
      <c r="B178" s="23"/>
      <c r="C178" s="23"/>
      <c r="D178" s="23"/>
      <c r="E178" s="384" t="s">
        <v>1490</v>
      </c>
      <c r="F178" s="877"/>
      <c r="K178" s="384" t="s">
        <v>1490</v>
      </c>
      <c r="L178" s="430"/>
    </row>
    <row r="179" spans="1:12">
      <c r="A179" s="23"/>
      <c r="B179" s="23"/>
      <c r="C179" s="23"/>
      <c r="D179" s="23"/>
      <c r="E179" s="23"/>
      <c r="F179" s="877"/>
      <c r="L179" s="430"/>
    </row>
    <row r="180" spans="1:12">
      <c r="A180" s="23"/>
      <c r="B180" s="23"/>
      <c r="C180" s="23"/>
      <c r="D180" s="23"/>
      <c r="E180" s="23"/>
      <c r="F180" s="877"/>
      <c r="L180" s="430"/>
    </row>
    <row r="181" spans="1:12">
      <c r="A181" s="428"/>
      <c r="B181" s="428"/>
      <c r="C181" s="428"/>
      <c r="D181" s="428"/>
      <c r="E181" s="428"/>
      <c r="F181" s="429"/>
      <c r="G181" s="428"/>
      <c r="H181" s="428"/>
      <c r="I181" s="428"/>
      <c r="J181" s="428"/>
      <c r="K181" s="428"/>
      <c r="L181" s="434"/>
    </row>
    <row r="182" spans="1:12">
      <c r="A182" s="23"/>
      <c r="B182" s="23"/>
      <c r="C182" s="23"/>
      <c r="D182" s="23"/>
      <c r="E182" s="23"/>
      <c r="F182" s="877"/>
      <c r="L182" s="430"/>
    </row>
    <row r="183" spans="1:12">
      <c r="A183" s="23"/>
      <c r="B183" s="23"/>
      <c r="C183" s="23"/>
      <c r="D183" s="23"/>
      <c r="E183" s="23"/>
      <c r="F183" s="877"/>
      <c r="G183" s="339"/>
      <c r="L183" s="430"/>
    </row>
    <row r="184" spans="1:12">
      <c r="A184" s="23"/>
      <c r="B184" s="23"/>
      <c r="C184" s="23"/>
      <c r="D184" s="23"/>
      <c r="E184" s="23"/>
      <c r="F184" s="877"/>
      <c r="G184" s="339"/>
      <c r="L184" s="430"/>
    </row>
    <row r="185" spans="1:12">
      <c r="A185" s="23"/>
      <c r="B185" s="23"/>
      <c r="C185" s="23"/>
      <c r="D185" s="23"/>
      <c r="E185" s="23"/>
      <c r="F185" s="877"/>
      <c r="G185" s="339"/>
    </row>
    <row r="186" spans="1:12">
      <c r="A186" s="794"/>
      <c r="B186" s="23"/>
      <c r="C186" s="23"/>
      <c r="D186" s="23"/>
      <c r="E186" s="23"/>
      <c r="F186" s="426"/>
      <c r="G186" s="339"/>
      <c r="L186" s="430"/>
    </row>
    <row r="187" spans="1:12">
      <c r="A187" s="794"/>
      <c r="B187" s="23"/>
      <c r="C187" s="23"/>
      <c r="D187" s="23"/>
      <c r="E187" s="23"/>
      <c r="F187" s="338"/>
      <c r="G187" s="339"/>
    </row>
  </sheetData>
  <mergeCells count="63">
    <mergeCell ref="D80:E80"/>
    <mergeCell ref="H73:I73"/>
    <mergeCell ref="O73:P73"/>
    <mergeCell ref="A155:F155"/>
    <mergeCell ref="G155:L155"/>
    <mergeCell ref="E104:F104"/>
    <mergeCell ref="B110:F110"/>
    <mergeCell ref="G110:L110"/>
    <mergeCell ref="A75:C75"/>
    <mergeCell ref="D75:F75"/>
    <mergeCell ref="C77:E77"/>
    <mergeCell ref="E79:F79"/>
    <mergeCell ref="C76:E76"/>
    <mergeCell ref="K118:L118"/>
    <mergeCell ref="C79:D79"/>
    <mergeCell ref="I79:J79"/>
    <mergeCell ref="D166:E166"/>
    <mergeCell ref="D119:E119"/>
    <mergeCell ref="I119:J119"/>
    <mergeCell ref="C122:E122"/>
    <mergeCell ref="H122:K122"/>
    <mergeCell ref="C162:F162"/>
    <mergeCell ref="I162:K162"/>
    <mergeCell ref="A29:F29"/>
    <mergeCell ref="G29:K29"/>
    <mergeCell ref="D51:E51"/>
    <mergeCell ref="D44:E44"/>
    <mergeCell ref="A60:F60"/>
    <mergeCell ref="G60:K60"/>
    <mergeCell ref="I44:J44"/>
    <mergeCell ref="J35:K35"/>
    <mergeCell ref="A61:F61"/>
    <mergeCell ref="J68:K68"/>
    <mergeCell ref="G70:I70"/>
    <mergeCell ref="C73:D73"/>
    <mergeCell ref="E67:F67"/>
    <mergeCell ref="C16:D16"/>
    <mergeCell ref="I16:J16"/>
    <mergeCell ref="A28:F28"/>
    <mergeCell ref="G28:K28"/>
    <mergeCell ref="G1:M1"/>
    <mergeCell ref="G2:L2"/>
    <mergeCell ref="A1:E1"/>
    <mergeCell ref="G9:I9"/>
    <mergeCell ref="E22:F22"/>
    <mergeCell ref="J7:K7"/>
    <mergeCell ref="C7:F7"/>
    <mergeCell ref="E174:F174"/>
    <mergeCell ref="K174:L174"/>
    <mergeCell ref="G111:K111"/>
    <mergeCell ref="D115:E115"/>
    <mergeCell ref="C98:D98"/>
    <mergeCell ref="I98:J98"/>
    <mergeCell ref="E170:F170"/>
    <mergeCell ref="K170:L170"/>
    <mergeCell ref="D124:E124"/>
    <mergeCell ref="I124:K124"/>
    <mergeCell ref="E129:F129"/>
    <mergeCell ref="K129:L129"/>
    <mergeCell ref="C136:E136"/>
    <mergeCell ref="A156:F156"/>
    <mergeCell ref="G156:L156"/>
    <mergeCell ref="E161:F161"/>
  </mergeCells>
  <dataValidations count="6">
    <dataValidation type="list" allowBlank="1" showInputMessage="1" showErrorMessage="1" sqref="P74">
      <formula1>$X$63:$X$73</formula1>
    </dataValidation>
    <dataValidation type="list" allowBlank="1" showInputMessage="1" showErrorMessage="1" sqref="D10 O10 G5">
      <formula1>$O$10:$O$11</formula1>
    </dataValidation>
    <dataValidation type="list" allowBlank="1" showInputMessage="1" showErrorMessage="1" sqref="C74">
      <formula1>$Y$63:$Y$72</formula1>
    </dataValidation>
    <dataValidation type="list" allowBlank="1" showInputMessage="1" showErrorMessage="1" sqref="C77:E77">
      <formula1>$AC$60:$AC$124</formula1>
    </dataValidation>
    <dataValidation type="list" allowBlank="1" showInputMessage="1" showErrorMessage="1" sqref="I74">
      <formula1>#REF!</formula1>
    </dataValidation>
    <dataValidation type="list" allowBlank="1" showInputMessage="1" showErrorMessage="1" sqref="C76:E76">
      <formula1>$AC$60:$AC$146</formula1>
    </dataValidation>
  </dataValidations>
  <hyperlinks>
    <hyperlink ref="O2" location="الرجوع!A1" display="الرجوع!A1"/>
  </hyperlinks>
  <pageMargins left="0.54166666666666663" right="0.4375" top="0.35416666666666669" bottom="0.375" header="0.3125" footer="0.3"/>
  <pageSetup paperSize="9" orientation="landscape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Spinner 1">
              <controlPr defaultSize="0" autoPict="0">
                <anchor moveWithCells="1" sizeWithCells="1">
                  <from>
                    <xdr:col>14</xdr:col>
                    <xdr:colOff>19050</xdr:colOff>
                    <xdr:row>118</xdr:row>
                    <xdr:rowOff>95250</xdr:rowOff>
                  </from>
                  <to>
                    <xdr:col>14</xdr:col>
                    <xdr:colOff>561975</xdr:colOff>
                    <xdr:row>121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5" name="Spinner 2">
              <controlPr defaultSize="0" autoPict="0">
                <anchor moveWithCells="1" sizeWithCells="1">
                  <from>
                    <xdr:col>15</xdr:col>
                    <xdr:colOff>38100</xdr:colOff>
                    <xdr:row>118</xdr:row>
                    <xdr:rowOff>95250</xdr:rowOff>
                  </from>
                  <to>
                    <xdr:col>16</xdr:col>
                    <xdr:colOff>28575</xdr:colOff>
                    <xdr:row>121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2:AJ1256"/>
  <sheetViews>
    <sheetView showZeros="0" rightToLeft="1" topLeftCell="A520" workbookViewId="0">
      <selection activeCell="L21" sqref="L21"/>
    </sheetView>
  </sheetViews>
  <sheetFormatPr baseColWidth="10" defaultRowHeight="15"/>
  <cols>
    <col min="1" max="1" width="8.5703125" style="172" customWidth="1"/>
    <col min="2" max="2" width="7.85546875" style="217" customWidth="1"/>
    <col min="3" max="3" width="14.42578125" style="217" customWidth="1"/>
    <col min="4" max="4" width="19.28515625" style="217" customWidth="1"/>
    <col min="5" max="5" width="11.7109375" style="217" customWidth="1"/>
    <col min="6" max="6" width="7.42578125" style="217" customWidth="1"/>
    <col min="7" max="7" width="8.5703125" style="217" customWidth="1"/>
    <col min="8" max="8" width="9.42578125" style="217" customWidth="1"/>
    <col min="9" max="9" width="6.28515625" style="217" customWidth="1"/>
    <col min="10" max="10" width="8.42578125" style="217" customWidth="1"/>
    <col min="11" max="11" width="11" style="217" customWidth="1"/>
    <col min="12" max="12" width="22.28515625" style="217" customWidth="1"/>
    <col min="13" max="13" width="7.28515625" style="217" customWidth="1"/>
    <col min="14" max="14" width="11.42578125" style="217" customWidth="1"/>
    <col min="15" max="15" width="15.42578125" style="217" customWidth="1"/>
    <col min="16" max="17" width="11.42578125" style="217" customWidth="1"/>
    <col min="18" max="18" width="18" style="217" customWidth="1"/>
    <col min="19" max="21" width="11.42578125" style="217"/>
    <col min="22" max="25" width="11.42578125" style="28"/>
    <col min="31" max="31" width="19.42578125" customWidth="1"/>
    <col min="33" max="33" width="15.5703125" customWidth="1"/>
  </cols>
  <sheetData>
    <row r="2" spans="1:36" ht="18">
      <c r="A2" s="171"/>
      <c r="B2" s="212"/>
      <c r="C2" s="211" t="s">
        <v>78</v>
      </c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</row>
    <row r="3" spans="1:36" ht="18" customHeight="1">
      <c r="A3" s="171"/>
      <c r="B3" s="212"/>
      <c r="C3" s="211" t="s">
        <v>79</v>
      </c>
      <c r="D3" s="211"/>
      <c r="E3" s="211"/>
      <c r="F3" s="211"/>
      <c r="G3" s="211"/>
      <c r="H3" s="211"/>
      <c r="I3" s="211"/>
      <c r="J3" s="219" t="s">
        <v>496</v>
      </c>
      <c r="K3" s="211"/>
      <c r="L3" s="211"/>
      <c r="M3" s="211"/>
      <c r="N3" s="211"/>
      <c r="O3" s="211"/>
    </row>
    <row r="4" spans="1:36" ht="18" customHeight="1">
      <c r="A4" s="1287" t="s">
        <v>80</v>
      </c>
      <c r="B4" s="1287"/>
      <c r="C4" s="1287"/>
      <c r="D4" s="1287"/>
      <c r="E4" s="1287"/>
      <c r="F4" s="1287"/>
      <c r="G4" s="212"/>
      <c r="H4" s="212"/>
      <c r="I4" s="212"/>
      <c r="J4" s="212"/>
      <c r="K4" s="220" t="s">
        <v>641</v>
      </c>
      <c r="L4" s="212"/>
      <c r="M4" s="212"/>
      <c r="N4" s="211" t="s">
        <v>3892</v>
      </c>
      <c r="O4" s="212"/>
    </row>
    <row r="5" spans="1:36" ht="18.75" customHeight="1" thickBot="1">
      <c r="A5" s="1288" t="s">
        <v>3891</v>
      </c>
      <c r="B5" s="1288"/>
      <c r="C5" s="1288"/>
      <c r="D5" s="1288"/>
      <c r="E5" s="1288"/>
      <c r="F5" s="1288"/>
      <c r="G5" s="212"/>
      <c r="H5" s="212"/>
      <c r="I5" s="212"/>
      <c r="J5" s="212"/>
      <c r="K5" s="212"/>
      <c r="L5" s="212"/>
      <c r="M5" s="212"/>
      <c r="N5" s="212"/>
      <c r="O5" s="212"/>
      <c r="U5" s="221" t="s">
        <v>496</v>
      </c>
    </row>
    <row r="6" spans="1:36" ht="18.75" customHeight="1" thickBot="1">
      <c r="A6" s="171"/>
      <c r="B6" s="212"/>
      <c r="C6" s="212"/>
      <c r="D6" s="212"/>
      <c r="E6" s="212"/>
      <c r="F6" s="222" t="s">
        <v>81</v>
      </c>
      <c r="G6" s="223"/>
      <c r="H6" s="223"/>
      <c r="I6" s="223"/>
      <c r="J6" s="223"/>
      <c r="K6" s="223"/>
      <c r="L6" s="223"/>
      <c r="M6" s="224"/>
      <c r="N6" s="211"/>
      <c r="O6" s="212"/>
    </row>
    <row r="7" spans="1:36" ht="15.75" customHeight="1" thickBot="1">
      <c r="A7" s="170">
        <v>1</v>
      </c>
      <c r="B7" s="218">
        <v>2</v>
      </c>
      <c r="C7" s="170">
        <v>3</v>
      </c>
      <c r="D7" s="218">
        <v>4</v>
      </c>
      <c r="E7" s="170">
        <v>5</v>
      </c>
      <c r="F7" s="218">
        <v>6</v>
      </c>
      <c r="G7" s="170">
        <v>7</v>
      </c>
      <c r="H7" s="218">
        <v>8</v>
      </c>
      <c r="I7" s="170">
        <v>9</v>
      </c>
      <c r="J7" s="218">
        <v>10</v>
      </c>
      <c r="K7" s="170">
        <v>11</v>
      </c>
      <c r="L7" s="218">
        <v>12</v>
      </c>
      <c r="M7" s="170">
        <v>13</v>
      </c>
      <c r="N7" s="218">
        <v>14</v>
      </c>
      <c r="O7" s="170">
        <v>15</v>
      </c>
      <c r="P7" s="218">
        <v>16</v>
      </c>
      <c r="Q7" s="170"/>
      <c r="R7" s="218">
        <v>18</v>
      </c>
      <c r="S7" s="218">
        <v>20</v>
      </c>
      <c r="T7" s="170">
        <v>21</v>
      </c>
      <c r="U7" s="218">
        <v>22</v>
      </c>
      <c r="V7" s="170">
        <v>23</v>
      </c>
    </row>
    <row r="8" spans="1:36" ht="18.95" customHeight="1" thickTop="1" thickBot="1">
      <c r="A8" s="173" t="s">
        <v>82</v>
      </c>
      <c r="B8" s="225"/>
      <c r="C8" s="580" t="s">
        <v>83</v>
      </c>
      <c r="D8" s="580" t="s">
        <v>84</v>
      </c>
      <c r="E8" s="1289" t="s">
        <v>499</v>
      </c>
      <c r="F8" s="1289"/>
      <c r="G8" s="580" t="s">
        <v>5</v>
      </c>
      <c r="H8" s="255" t="s">
        <v>7</v>
      </c>
      <c r="I8" s="255" t="s">
        <v>7</v>
      </c>
      <c r="J8" s="580" t="s">
        <v>85</v>
      </c>
      <c r="K8" s="580" t="s">
        <v>86</v>
      </c>
      <c r="L8" s="1290" t="s">
        <v>87</v>
      </c>
      <c r="M8" s="1291"/>
      <c r="N8" s="226" t="s">
        <v>88</v>
      </c>
      <c r="O8" s="227" t="s">
        <v>89</v>
      </c>
      <c r="P8" s="255" t="s">
        <v>7</v>
      </c>
      <c r="R8" s="228" t="s">
        <v>260</v>
      </c>
      <c r="T8" s="229" t="s">
        <v>780</v>
      </c>
      <c r="AD8" s="141" t="s">
        <v>709</v>
      </c>
      <c r="AE8" s="141" t="s">
        <v>710</v>
      </c>
      <c r="AF8" s="141" t="s">
        <v>605</v>
      </c>
      <c r="AG8" s="141" t="s">
        <v>722</v>
      </c>
    </row>
    <row r="9" spans="1:36" s="844" customFormat="1" ht="16.5" customHeight="1" thickTop="1" thickBot="1">
      <c r="A9" s="140">
        <v>1</v>
      </c>
      <c r="B9" s="141"/>
      <c r="C9" s="1183" t="s">
        <v>2341</v>
      </c>
      <c r="D9" s="1183" t="s">
        <v>139</v>
      </c>
      <c r="E9" s="1184" t="s">
        <v>2870</v>
      </c>
      <c r="F9" s="1185" t="s">
        <v>3338</v>
      </c>
      <c r="G9" s="1201" t="s">
        <v>3883</v>
      </c>
      <c r="H9" s="1208" t="s">
        <v>91</v>
      </c>
      <c r="I9" s="144" t="s">
        <v>341</v>
      </c>
      <c r="J9" s="1220" t="s">
        <v>2325</v>
      </c>
      <c r="K9" s="1225" t="s">
        <v>111</v>
      </c>
      <c r="L9" s="1245" t="s">
        <v>3487</v>
      </c>
      <c r="M9" s="1168"/>
      <c r="N9" s="1149"/>
      <c r="O9" s="141" t="str">
        <f>(C9&amp;"  "&amp;J9)</f>
        <v xml:space="preserve">بلعربي  محمد </v>
      </c>
      <c r="P9" s="141" t="s">
        <v>502</v>
      </c>
      <c r="Q9" s="141" t="s">
        <v>1894</v>
      </c>
      <c r="R9" s="758"/>
      <c r="S9" s="987" t="s">
        <v>338</v>
      </c>
      <c r="T9" s="841"/>
      <c r="U9" s="842"/>
      <c r="V9" s="843" t="s">
        <v>543</v>
      </c>
      <c r="W9" s="843" t="s">
        <v>544</v>
      </c>
      <c r="X9" s="843"/>
      <c r="Y9" s="842"/>
      <c r="Z9" s="16" t="s">
        <v>353</v>
      </c>
      <c r="AA9" s="16" t="s">
        <v>621</v>
      </c>
      <c r="AD9" s="141" t="s">
        <v>341</v>
      </c>
      <c r="AE9" s="141" t="s">
        <v>708</v>
      </c>
      <c r="AF9" s="141" t="s">
        <v>603</v>
      </c>
      <c r="AG9" s="141" t="s">
        <v>723</v>
      </c>
      <c r="AH9" s="169"/>
      <c r="AI9" s="174"/>
      <c r="AJ9" s="174"/>
    </row>
    <row r="10" spans="1:36" s="840" customFormat="1" ht="16.5" customHeight="1" thickBot="1">
      <c r="A10" s="140">
        <v>2</v>
      </c>
      <c r="B10" s="141"/>
      <c r="C10" s="1186" t="s">
        <v>16</v>
      </c>
      <c r="D10" s="1186" t="s">
        <v>38</v>
      </c>
      <c r="E10" s="1187" t="s">
        <v>2871</v>
      </c>
      <c r="F10" s="1188" t="s">
        <v>3339</v>
      </c>
      <c r="G10" s="1202" t="s">
        <v>3883</v>
      </c>
      <c r="H10" s="1212" t="s">
        <v>91</v>
      </c>
      <c r="I10" s="144" t="s">
        <v>340</v>
      </c>
      <c r="J10" s="1221" t="s">
        <v>2325</v>
      </c>
      <c r="K10" s="1230" t="s">
        <v>103</v>
      </c>
      <c r="L10" s="1244" t="s">
        <v>3488</v>
      </c>
      <c r="M10" s="1169"/>
      <c r="N10" s="1149"/>
      <c r="O10" s="141" t="str">
        <f t="shared" ref="O10:O73" si="0">(C10&amp;"  "&amp;J10)</f>
        <v xml:space="preserve">بلفكرون  محمد </v>
      </c>
      <c r="P10" s="141" t="s">
        <v>503</v>
      </c>
      <c r="Q10" s="141" t="s">
        <v>1894</v>
      </c>
      <c r="R10" s="759"/>
      <c r="S10" s="988"/>
      <c r="T10" s="417"/>
      <c r="U10" s="28"/>
      <c r="V10" s="15"/>
      <c r="W10" s="15"/>
      <c r="X10" s="15"/>
      <c r="Y10" s="28"/>
      <c r="Z10" s="16"/>
      <c r="AA10" s="16"/>
      <c r="AD10" s="141"/>
      <c r="AE10" s="141"/>
      <c r="AF10" s="141"/>
      <c r="AG10" s="141"/>
      <c r="AH10" s="169"/>
      <c r="AI10" s="174"/>
      <c r="AJ10" s="174"/>
    </row>
    <row r="11" spans="1:36" ht="16.5" customHeight="1" thickBot="1">
      <c r="A11" s="140">
        <v>3</v>
      </c>
      <c r="B11" s="141"/>
      <c r="C11" s="1186" t="s">
        <v>2342</v>
      </c>
      <c r="D11" s="1186" t="s">
        <v>1043</v>
      </c>
      <c r="E11" s="1187" t="s">
        <v>2872</v>
      </c>
      <c r="F11" s="1188" t="s">
        <v>90</v>
      </c>
      <c r="G11" s="1202" t="s">
        <v>3883</v>
      </c>
      <c r="H11" s="1212" t="s">
        <v>91</v>
      </c>
      <c r="I11" s="144" t="s">
        <v>340</v>
      </c>
      <c r="J11" s="1221" t="s">
        <v>2325</v>
      </c>
      <c r="K11" s="1230" t="s">
        <v>111</v>
      </c>
      <c r="L11" s="1244" t="s">
        <v>3489</v>
      </c>
      <c r="M11" s="1168"/>
      <c r="N11" s="1149"/>
      <c r="O11" s="141" t="str">
        <f t="shared" si="0"/>
        <v xml:space="preserve">بوتمة  محمد </v>
      </c>
      <c r="P11" s="141" t="s">
        <v>503</v>
      </c>
      <c r="Q11" s="141" t="s">
        <v>1895</v>
      </c>
      <c r="R11" s="759"/>
      <c r="S11" s="260" t="s">
        <v>643</v>
      </c>
      <c r="T11" s="671"/>
      <c r="U11" s="28"/>
      <c r="V11" s="15" t="s">
        <v>500</v>
      </c>
      <c r="W11" s="15" t="s">
        <v>545</v>
      </c>
      <c r="X11" s="15"/>
      <c r="Z11" s="16" t="s">
        <v>347</v>
      </c>
      <c r="AA11" s="16" t="s">
        <v>622</v>
      </c>
      <c r="AD11" s="141" t="s">
        <v>340</v>
      </c>
      <c r="AE11" s="141" t="s">
        <v>96</v>
      </c>
      <c r="AF11" s="141" t="s">
        <v>601</v>
      </c>
      <c r="AG11" s="141" t="s">
        <v>724</v>
      </c>
    </row>
    <row r="12" spans="1:36" ht="16.5" customHeight="1" thickBot="1">
      <c r="A12" s="140">
        <v>4</v>
      </c>
      <c r="B12" s="141"/>
      <c r="C12" s="1186" t="s">
        <v>2342</v>
      </c>
      <c r="D12" s="1186" t="s">
        <v>2301</v>
      </c>
      <c r="E12" s="1187" t="s">
        <v>2873</v>
      </c>
      <c r="F12" s="1188" t="s">
        <v>3338</v>
      </c>
      <c r="G12" s="1202" t="s">
        <v>3883</v>
      </c>
      <c r="H12" s="1213" t="s">
        <v>96</v>
      </c>
      <c r="I12" s="144" t="s">
        <v>340</v>
      </c>
      <c r="J12" s="1221" t="s">
        <v>3372</v>
      </c>
      <c r="K12" s="1229" t="s">
        <v>92</v>
      </c>
      <c r="L12" s="1244" t="s">
        <v>3490</v>
      </c>
      <c r="M12" s="1168"/>
      <c r="N12" s="1149"/>
      <c r="O12" s="141" t="str">
        <f t="shared" si="0"/>
        <v xml:space="preserve">بوتمة  لخضر </v>
      </c>
      <c r="P12" s="141" t="s">
        <v>503</v>
      </c>
      <c r="Q12" s="141" t="s">
        <v>1894</v>
      </c>
      <c r="R12" s="759"/>
      <c r="S12" s="988"/>
      <c r="T12" s="417"/>
      <c r="U12" s="28"/>
      <c r="V12" s="15" t="s">
        <v>546</v>
      </c>
      <c r="W12" s="15" t="s">
        <v>547</v>
      </c>
      <c r="X12" s="15"/>
      <c r="Z12" s="17" t="s">
        <v>342</v>
      </c>
      <c r="AA12" s="16" t="s">
        <v>623</v>
      </c>
      <c r="AD12" s="141" t="s">
        <v>501</v>
      </c>
      <c r="AE12" s="141" t="s">
        <v>711</v>
      </c>
      <c r="AF12" s="169" t="s">
        <v>606</v>
      </c>
      <c r="AG12" s="141" t="s">
        <v>725</v>
      </c>
    </row>
    <row r="13" spans="1:36" s="822" customFormat="1" ht="16.5" customHeight="1" thickBot="1">
      <c r="A13" s="140">
        <v>5</v>
      </c>
      <c r="B13" s="141"/>
      <c r="C13" s="1186" t="s">
        <v>2343</v>
      </c>
      <c r="D13" s="1186" t="s">
        <v>2344</v>
      </c>
      <c r="E13" s="1187" t="s">
        <v>2874</v>
      </c>
      <c r="F13" s="1188" t="s">
        <v>3340</v>
      </c>
      <c r="G13" s="1202" t="s">
        <v>3883</v>
      </c>
      <c r="H13" s="1213" t="s">
        <v>96</v>
      </c>
      <c r="I13" s="144" t="s">
        <v>340</v>
      </c>
      <c r="J13" s="1221" t="s">
        <v>3373</v>
      </c>
      <c r="K13" s="1229" t="s">
        <v>103</v>
      </c>
      <c r="L13" s="1244" t="s">
        <v>3491</v>
      </c>
      <c r="M13" s="1168"/>
      <c r="N13" s="1149"/>
      <c r="O13" s="141" t="str">
        <f t="shared" si="0"/>
        <v xml:space="preserve">بوساهل  عبد الرزاق </v>
      </c>
      <c r="P13" s="141" t="s">
        <v>504</v>
      </c>
      <c r="Q13" s="141"/>
      <c r="R13" s="759"/>
      <c r="S13" s="988"/>
      <c r="T13" s="417"/>
      <c r="U13" s="28"/>
      <c r="V13" s="15"/>
      <c r="W13" s="15"/>
      <c r="X13" s="15"/>
      <c r="Y13" s="28"/>
      <c r="Z13" s="17"/>
      <c r="AA13" s="16"/>
      <c r="AD13" s="141"/>
      <c r="AE13" s="141"/>
      <c r="AF13" s="169"/>
      <c r="AG13" s="141"/>
    </row>
    <row r="14" spans="1:36" ht="16.5" customHeight="1" thickBot="1">
      <c r="A14" s="140">
        <v>6</v>
      </c>
      <c r="B14" s="141"/>
      <c r="C14" s="1186" t="s">
        <v>2345</v>
      </c>
      <c r="D14" s="1186" t="s">
        <v>2346</v>
      </c>
      <c r="E14" s="1187" t="s">
        <v>2875</v>
      </c>
      <c r="F14" s="1188" t="s">
        <v>3338</v>
      </c>
      <c r="G14" s="1202" t="s">
        <v>3883</v>
      </c>
      <c r="H14" s="1212" t="s">
        <v>91</v>
      </c>
      <c r="I14" s="144" t="s">
        <v>340</v>
      </c>
      <c r="J14" s="1221" t="s">
        <v>2173</v>
      </c>
      <c r="K14" s="1229" t="s">
        <v>128</v>
      </c>
      <c r="L14" s="1244" t="s">
        <v>494</v>
      </c>
      <c r="M14" s="1168"/>
      <c r="N14" s="1149"/>
      <c r="O14" s="141" t="str">
        <f t="shared" si="0"/>
        <v xml:space="preserve">بوسبع  قادة </v>
      </c>
      <c r="P14" s="141" t="s">
        <v>504</v>
      </c>
      <c r="Q14" s="141" t="s">
        <v>1894</v>
      </c>
      <c r="R14" s="759"/>
      <c r="S14" s="260" t="s">
        <v>651</v>
      </c>
      <c r="T14" s="404"/>
      <c r="U14" s="28"/>
      <c r="V14" s="15" t="s">
        <v>0</v>
      </c>
      <c r="W14" s="15" t="s">
        <v>547</v>
      </c>
      <c r="X14" s="15"/>
      <c r="Z14" s="17" t="s">
        <v>354</v>
      </c>
      <c r="AA14" s="16" t="s">
        <v>624</v>
      </c>
      <c r="AD14" s="141" t="s">
        <v>631</v>
      </c>
      <c r="AE14" s="141" t="s">
        <v>712</v>
      </c>
      <c r="AF14" s="169" t="s">
        <v>604</v>
      </c>
      <c r="AG14" s="141" t="s">
        <v>726</v>
      </c>
    </row>
    <row r="15" spans="1:36" ht="16.5" customHeight="1" thickBot="1">
      <c r="A15" s="140">
        <v>7</v>
      </c>
      <c r="B15" s="141"/>
      <c r="C15" s="1186" t="s">
        <v>2347</v>
      </c>
      <c r="D15" s="1186" t="s">
        <v>2348</v>
      </c>
      <c r="E15" s="1187" t="s">
        <v>2876</v>
      </c>
      <c r="F15" s="1188" t="s">
        <v>3341</v>
      </c>
      <c r="G15" s="1202" t="s">
        <v>3883</v>
      </c>
      <c r="H15" s="1213" t="s">
        <v>96</v>
      </c>
      <c r="I15" s="144" t="s">
        <v>340</v>
      </c>
      <c r="J15" s="1221" t="s">
        <v>2179</v>
      </c>
      <c r="K15" s="1230" t="s">
        <v>103</v>
      </c>
      <c r="L15" s="1244" t="s">
        <v>3492</v>
      </c>
      <c r="M15" s="1168"/>
      <c r="N15" s="1149"/>
      <c r="O15" s="141" t="str">
        <f t="shared" si="0"/>
        <v xml:space="preserve">بوكراع  جلول </v>
      </c>
      <c r="P15" s="141" t="s">
        <v>503</v>
      </c>
      <c r="Q15" s="141" t="s">
        <v>1894</v>
      </c>
      <c r="R15" s="759"/>
      <c r="S15" s="988"/>
      <c r="T15" s="417"/>
      <c r="U15" s="28"/>
      <c r="V15" s="15" t="s">
        <v>1</v>
      </c>
      <c r="W15" s="15" t="s">
        <v>547</v>
      </c>
      <c r="X15" s="15"/>
      <c r="Z15" s="19" t="s">
        <v>497</v>
      </c>
      <c r="AA15" s="16" t="s">
        <v>625</v>
      </c>
      <c r="AD15" s="141" t="s">
        <v>633</v>
      </c>
      <c r="AE15" s="141" t="s">
        <v>713</v>
      </c>
      <c r="AF15" s="141" t="s">
        <v>602</v>
      </c>
      <c r="AG15" s="141" t="s">
        <v>727</v>
      </c>
    </row>
    <row r="16" spans="1:36" ht="16.5" customHeight="1" thickBot="1">
      <c r="A16" s="140">
        <v>8</v>
      </c>
      <c r="B16" s="141"/>
      <c r="C16" s="1186" t="s">
        <v>2349</v>
      </c>
      <c r="D16" s="1186" t="s">
        <v>1170</v>
      </c>
      <c r="E16" s="1187" t="s">
        <v>2877</v>
      </c>
      <c r="F16" s="1188" t="s">
        <v>3342</v>
      </c>
      <c r="G16" s="1202" t="s">
        <v>3883</v>
      </c>
      <c r="H16" s="1213" t="s">
        <v>96</v>
      </c>
      <c r="I16" s="144" t="s">
        <v>340</v>
      </c>
      <c r="J16" s="1221"/>
      <c r="K16" s="1229" t="s">
        <v>128</v>
      </c>
      <c r="L16" s="1244"/>
      <c r="M16" s="1168"/>
      <c r="N16" s="1149"/>
      <c r="O16" s="141" t="str">
        <f t="shared" si="0"/>
        <v xml:space="preserve">قادري  </v>
      </c>
      <c r="P16" s="141" t="s">
        <v>504</v>
      </c>
      <c r="Q16" s="141" t="s">
        <v>1894</v>
      </c>
      <c r="R16" s="759"/>
      <c r="S16" s="988"/>
      <c r="T16" s="417"/>
      <c r="U16" s="28"/>
      <c r="V16" s="15" t="s">
        <v>548</v>
      </c>
      <c r="W16" s="15" t="s">
        <v>547</v>
      </c>
      <c r="X16" s="15"/>
      <c r="Z16" s="17" t="s">
        <v>355</v>
      </c>
      <c r="AA16" s="16" t="s">
        <v>626</v>
      </c>
      <c r="AD16" s="141" t="s">
        <v>502</v>
      </c>
      <c r="AE16" s="141" t="s">
        <v>715</v>
      </c>
    </row>
    <row r="17" spans="1:31" ht="16.5" customHeight="1" thickBot="1">
      <c r="A17" s="140">
        <v>9</v>
      </c>
      <c r="B17" s="141"/>
      <c r="C17" s="1186" t="s">
        <v>509</v>
      </c>
      <c r="D17" s="1186" t="s">
        <v>2350</v>
      </c>
      <c r="E17" s="1187" t="s">
        <v>2878</v>
      </c>
      <c r="F17" s="1188" t="s">
        <v>3338</v>
      </c>
      <c r="G17" s="1202" t="s">
        <v>3883</v>
      </c>
      <c r="H17" s="1213" t="s">
        <v>96</v>
      </c>
      <c r="I17" s="144" t="s">
        <v>340</v>
      </c>
      <c r="J17" s="1221" t="s">
        <v>3374</v>
      </c>
      <c r="K17" s="1229" t="s">
        <v>113</v>
      </c>
      <c r="L17" s="1244" t="s">
        <v>494</v>
      </c>
      <c r="M17" s="1168"/>
      <c r="N17" s="1149"/>
      <c r="O17" s="141" t="str">
        <f t="shared" si="0"/>
        <v xml:space="preserve">لحمر  مختار </v>
      </c>
      <c r="P17" s="141" t="s">
        <v>504</v>
      </c>
      <c r="Q17" s="141" t="s">
        <v>1894</v>
      </c>
      <c r="R17" s="759"/>
      <c r="S17" s="260" t="s">
        <v>646</v>
      </c>
      <c r="T17" s="671"/>
      <c r="U17" s="28"/>
      <c r="V17" s="15" t="s">
        <v>549</v>
      </c>
      <c r="W17" s="15" t="s">
        <v>547</v>
      </c>
      <c r="X17" s="15"/>
      <c r="Z17" s="147" t="s">
        <v>616</v>
      </c>
      <c r="AA17" s="16" t="s">
        <v>627</v>
      </c>
      <c r="AD17" s="141" t="s">
        <v>506</v>
      </c>
      <c r="AE17" s="141" t="s">
        <v>714</v>
      </c>
    </row>
    <row r="18" spans="1:31" ht="16.5" customHeight="1" thickBot="1">
      <c r="A18" s="140">
        <v>10</v>
      </c>
      <c r="B18" s="141"/>
      <c r="C18" s="1186" t="s">
        <v>2339</v>
      </c>
      <c r="D18" s="1186" t="s">
        <v>2340</v>
      </c>
      <c r="E18" s="1187" t="s">
        <v>2869</v>
      </c>
      <c r="F18" s="1188" t="s">
        <v>90</v>
      </c>
      <c r="G18" s="1202" t="s">
        <v>3883</v>
      </c>
      <c r="H18" s="1212" t="s">
        <v>91</v>
      </c>
      <c r="I18" s="144" t="s">
        <v>340</v>
      </c>
      <c r="J18" s="1221" t="s">
        <v>3371</v>
      </c>
      <c r="K18" s="1229" t="s">
        <v>159</v>
      </c>
      <c r="L18" s="1244" t="s">
        <v>3486</v>
      </c>
      <c r="M18" s="1168"/>
      <c r="N18" s="1149"/>
      <c r="O18" s="141" t="str">
        <f t="shared" si="0"/>
        <v xml:space="preserve">لوهاب  علي </v>
      </c>
      <c r="P18" s="141" t="s">
        <v>504</v>
      </c>
      <c r="Q18" s="141" t="s">
        <v>1895</v>
      </c>
      <c r="R18" s="759"/>
      <c r="S18" s="260" t="s">
        <v>654</v>
      </c>
      <c r="T18" s="417"/>
      <c r="U18" s="28"/>
      <c r="V18" s="15" t="s">
        <v>551</v>
      </c>
      <c r="W18" s="15" t="s">
        <v>550</v>
      </c>
      <c r="X18" s="15"/>
      <c r="Z18" s="18" t="s">
        <v>618</v>
      </c>
      <c r="AA18" s="16" t="s">
        <v>71</v>
      </c>
      <c r="AD18" s="141" t="s">
        <v>503</v>
      </c>
      <c r="AE18" s="141" t="s">
        <v>718</v>
      </c>
    </row>
    <row r="19" spans="1:31" ht="16.5" customHeight="1" thickBot="1">
      <c r="A19" s="140">
        <v>11</v>
      </c>
      <c r="B19" s="141"/>
      <c r="C19" s="1186" t="s">
        <v>2351</v>
      </c>
      <c r="D19" s="1186" t="s">
        <v>2352</v>
      </c>
      <c r="E19" s="1187" t="s">
        <v>2879</v>
      </c>
      <c r="F19" s="1188" t="s">
        <v>90</v>
      </c>
      <c r="G19" s="1202" t="s">
        <v>3883</v>
      </c>
      <c r="H19" s="1212" t="s">
        <v>91</v>
      </c>
      <c r="I19" s="144" t="s">
        <v>340</v>
      </c>
      <c r="J19" s="1221" t="s">
        <v>2101</v>
      </c>
      <c r="K19" s="1230" t="s">
        <v>111</v>
      </c>
      <c r="L19" s="1244" t="s">
        <v>3493</v>
      </c>
      <c r="M19" s="1168"/>
      <c r="N19" s="1149"/>
      <c r="O19" s="141" t="str">
        <f t="shared" si="0"/>
        <v xml:space="preserve">مرابطين  أحمد </v>
      </c>
      <c r="P19" s="141" t="s">
        <v>503</v>
      </c>
      <c r="Q19" s="141" t="s">
        <v>1895</v>
      </c>
      <c r="R19" s="759"/>
      <c r="S19" s="988"/>
      <c r="T19" s="762"/>
      <c r="U19" s="28"/>
      <c r="V19" s="15" t="s">
        <v>552</v>
      </c>
      <c r="W19" s="15" t="s">
        <v>550</v>
      </c>
      <c r="X19" s="15"/>
      <c r="Z19" s="18" t="s">
        <v>619</v>
      </c>
      <c r="AA19" s="16"/>
      <c r="AD19" s="141" t="s">
        <v>507</v>
      </c>
      <c r="AE19" s="141" t="s">
        <v>717</v>
      </c>
    </row>
    <row r="20" spans="1:31" ht="16.5" customHeight="1" thickBot="1">
      <c r="A20" s="140">
        <v>12</v>
      </c>
      <c r="B20" s="141"/>
      <c r="C20" s="1186" t="s">
        <v>2353</v>
      </c>
      <c r="D20" s="1186" t="s">
        <v>676</v>
      </c>
      <c r="E20" s="1187" t="s">
        <v>2880</v>
      </c>
      <c r="F20" s="1188" t="s">
        <v>90</v>
      </c>
      <c r="G20" s="1202" t="s">
        <v>3883</v>
      </c>
      <c r="H20" s="1212" t="s">
        <v>91</v>
      </c>
      <c r="I20" s="144" t="s">
        <v>340</v>
      </c>
      <c r="J20" s="1221" t="s">
        <v>2173</v>
      </c>
      <c r="K20" s="1229" t="s">
        <v>102</v>
      </c>
      <c r="L20" s="1244" t="s">
        <v>3494</v>
      </c>
      <c r="M20" s="1168"/>
      <c r="N20" s="1149"/>
      <c r="O20" s="141" t="str">
        <f t="shared" si="0"/>
        <v xml:space="preserve">معراج  قادة </v>
      </c>
      <c r="P20" s="141" t="s">
        <v>503</v>
      </c>
      <c r="Q20" s="141" t="s">
        <v>1895</v>
      </c>
      <c r="R20" s="759"/>
      <c r="S20" s="260" t="s">
        <v>650</v>
      </c>
      <c r="T20" s="417"/>
      <c r="U20" s="28"/>
      <c r="V20" s="15" t="s">
        <v>22</v>
      </c>
      <c r="W20" s="15" t="s">
        <v>553</v>
      </c>
      <c r="X20" s="15"/>
      <c r="Z20" s="18" t="s">
        <v>620</v>
      </c>
      <c r="AA20" s="16"/>
      <c r="AD20" s="141" t="s">
        <v>511</v>
      </c>
      <c r="AE20" s="141" t="s">
        <v>716</v>
      </c>
    </row>
    <row r="21" spans="1:31" ht="16.5" customHeight="1" thickBot="1">
      <c r="A21" s="140">
        <v>13</v>
      </c>
      <c r="B21" s="141"/>
      <c r="C21" s="1186" t="s">
        <v>1077</v>
      </c>
      <c r="D21" s="1186" t="s">
        <v>2354</v>
      </c>
      <c r="E21" s="1187" t="s">
        <v>2881</v>
      </c>
      <c r="F21" s="1188" t="s">
        <v>3339</v>
      </c>
      <c r="G21" s="1205" t="s">
        <v>3884</v>
      </c>
      <c r="H21" s="1211" t="s">
        <v>1459</v>
      </c>
      <c r="I21" s="144" t="s">
        <v>341</v>
      </c>
      <c r="J21" s="1221" t="s">
        <v>2171</v>
      </c>
      <c r="K21" s="1229" t="s">
        <v>111</v>
      </c>
      <c r="L21" s="1244" t="s">
        <v>3495</v>
      </c>
      <c r="M21" s="1168"/>
      <c r="N21" s="1149"/>
      <c r="O21" s="141" t="str">
        <f t="shared" si="0"/>
        <v xml:space="preserve">بن قانة  بن عتو </v>
      </c>
      <c r="P21" s="141" t="s">
        <v>2198</v>
      </c>
      <c r="Q21" s="141" t="s">
        <v>1894</v>
      </c>
      <c r="R21" s="759"/>
      <c r="S21" s="260"/>
      <c r="T21" s="417"/>
      <c r="U21" s="28"/>
      <c r="V21" s="15" t="s">
        <v>554</v>
      </c>
      <c r="W21" s="15" t="s">
        <v>553</v>
      </c>
      <c r="X21" s="15"/>
      <c r="Z21" s="18"/>
      <c r="AA21" s="16" t="s">
        <v>497</v>
      </c>
      <c r="AD21" s="141" t="s">
        <v>504</v>
      </c>
      <c r="AE21" s="141" t="s">
        <v>720</v>
      </c>
    </row>
    <row r="22" spans="1:31" ht="16.5" customHeight="1" thickBot="1">
      <c r="A22" s="140">
        <v>14</v>
      </c>
      <c r="B22" s="141"/>
      <c r="C22" s="1186" t="s">
        <v>2088</v>
      </c>
      <c r="D22" s="1186" t="s">
        <v>913</v>
      </c>
      <c r="E22" s="1187" t="s">
        <v>2882</v>
      </c>
      <c r="F22" s="1188" t="s">
        <v>3339</v>
      </c>
      <c r="G22" s="1202" t="s">
        <v>3884</v>
      </c>
      <c r="H22" s="1213" t="s">
        <v>96</v>
      </c>
      <c r="I22" s="144" t="s">
        <v>340</v>
      </c>
      <c r="J22" s="1221" t="s">
        <v>3375</v>
      </c>
      <c r="K22" s="1229" t="s">
        <v>1192</v>
      </c>
      <c r="L22" s="1244" t="s">
        <v>3496</v>
      </c>
      <c r="M22" s="1168"/>
      <c r="N22" s="1149"/>
      <c r="O22" s="141" t="str">
        <f t="shared" si="0"/>
        <v xml:space="preserve">بن سجاد  سيد أحمد </v>
      </c>
      <c r="P22" s="141" t="s">
        <v>504</v>
      </c>
      <c r="Q22" s="141" t="s">
        <v>1895</v>
      </c>
      <c r="R22" s="759"/>
      <c r="S22" s="988"/>
      <c r="T22" s="671" t="s">
        <v>628</v>
      </c>
      <c r="U22" s="28"/>
      <c r="V22" s="15" t="s">
        <v>555</v>
      </c>
      <c r="W22" s="15" t="s">
        <v>553</v>
      </c>
      <c r="X22" s="15"/>
      <c r="Z22" s="18"/>
      <c r="AA22" s="16"/>
      <c r="AD22" s="141" t="s">
        <v>630</v>
      </c>
      <c r="AE22" s="141" t="s">
        <v>721</v>
      </c>
    </row>
    <row r="23" spans="1:31" ht="16.5" customHeight="1">
      <c r="A23" s="140">
        <v>15</v>
      </c>
      <c r="B23" s="141"/>
      <c r="C23" s="1183" t="s">
        <v>116</v>
      </c>
      <c r="D23" s="1189" t="s">
        <v>2355</v>
      </c>
      <c r="E23" s="1190" t="s">
        <v>2883</v>
      </c>
      <c r="F23" s="1191" t="s">
        <v>90</v>
      </c>
      <c r="G23" s="1202" t="s">
        <v>3884</v>
      </c>
      <c r="H23" s="1209" t="s">
        <v>96</v>
      </c>
      <c r="I23" s="144" t="s">
        <v>340</v>
      </c>
      <c r="J23" s="1222" t="s">
        <v>3376</v>
      </c>
      <c r="K23" s="1225" t="s">
        <v>805</v>
      </c>
      <c r="L23" s="1246" t="s">
        <v>3497</v>
      </c>
      <c r="M23" s="1168"/>
      <c r="N23" s="1149"/>
      <c r="O23" s="141" t="str">
        <f t="shared" si="0"/>
        <v xml:space="preserve">بوقبرين  يوسف </v>
      </c>
      <c r="P23" s="141" t="s">
        <v>504</v>
      </c>
      <c r="Q23" s="141" t="s">
        <v>1895</v>
      </c>
      <c r="R23" s="759"/>
      <c r="S23" s="988"/>
      <c r="T23" s="671" t="s">
        <v>628</v>
      </c>
      <c r="U23" s="28"/>
      <c r="V23" s="15" t="s">
        <v>556</v>
      </c>
      <c r="W23" s="15" t="s">
        <v>553</v>
      </c>
      <c r="X23" s="15"/>
      <c r="AD23" s="141" t="s">
        <v>512</v>
      </c>
      <c r="AE23" s="141" t="s">
        <v>719</v>
      </c>
    </row>
    <row r="24" spans="1:31" ht="16.5" customHeight="1">
      <c r="A24" s="140">
        <v>16</v>
      </c>
      <c r="B24" s="141"/>
      <c r="C24" s="1186" t="s">
        <v>2356</v>
      </c>
      <c r="D24" s="1186" t="s">
        <v>2357</v>
      </c>
      <c r="E24" s="1187" t="s">
        <v>2884</v>
      </c>
      <c r="F24" s="1188" t="s">
        <v>90</v>
      </c>
      <c r="G24" s="1202" t="s">
        <v>3884</v>
      </c>
      <c r="H24" s="1213" t="s">
        <v>96</v>
      </c>
      <c r="I24" s="144" t="s">
        <v>340</v>
      </c>
      <c r="J24" s="1221" t="s">
        <v>3377</v>
      </c>
      <c r="K24" s="1231" t="s">
        <v>103</v>
      </c>
      <c r="L24" s="1244" t="s">
        <v>3498</v>
      </c>
      <c r="M24" s="1170"/>
      <c r="N24" s="1149"/>
      <c r="O24" s="141" t="str">
        <f t="shared" si="0"/>
        <v xml:space="preserve">بومسجد  زين </v>
      </c>
      <c r="P24" s="141" t="s">
        <v>504</v>
      </c>
      <c r="Q24" s="141" t="s">
        <v>1896</v>
      </c>
      <c r="R24" s="759"/>
      <c r="S24" s="988"/>
      <c r="T24" s="671"/>
      <c r="U24" s="28"/>
      <c r="V24" s="15"/>
      <c r="W24" s="15"/>
      <c r="X24" s="15"/>
      <c r="AD24" s="169"/>
      <c r="AE24" s="169"/>
    </row>
    <row r="25" spans="1:31" s="968" customFormat="1" ht="16.5" customHeight="1">
      <c r="A25" s="140">
        <v>17</v>
      </c>
      <c r="B25" s="141"/>
      <c r="C25" s="1186" t="s">
        <v>2358</v>
      </c>
      <c r="D25" s="1186" t="s">
        <v>2022</v>
      </c>
      <c r="E25" s="1187" t="s">
        <v>2885</v>
      </c>
      <c r="F25" s="1188" t="s">
        <v>795</v>
      </c>
      <c r="G25" s="1202" t="s">
        <v>3884</v>
      </c>
      <c r="H25" s="1213" t="s">
        <v>96</v>
      </c>
      <c r="I25" s="144" t="s">
        <v>340</v>
      </c>
      <c r="J25" s="1221" t="s">
        <v>3378</v>
      </c>
      <c r="K25" s="1229" t="s">
        <v>1886</v>
      </c>
      <c r="L25" s="1244" t="s">
        <v>3499</v>
      </c>
      <c r="M25" s="1170"/>
      <c r="N25" s="1149"/>
      <c r="O25" s="141" t="str">
        <f t="shared" si="0"/>
        <v xml:space="preserve">حداد  رمضان </v>
      </c>
      <c r="P25" s="141" t="s">
        <v>504</v>
      </c>
      <c r="Q25" s="141"/>
      <c r="R25" s="759"/>
      <c r="S25" s="988"/>
      <c r="T25" s="671"/>
      <c r="U25" s="28"/>
      <c r="V25" s="15"/>
      <c r="W25" s="15"/>
      <c r="X25" s="15"/>
      <c r="Y25" s="28"/>
      <c r="AD25" s="169"/>
      <c r="AE25" s="169"/>
    </row>
    <row r="26" spans="1:31" ht="16.5" customHeight="1">
      <c r="A26" s="140">
        <v>18</v>
      </c>
      <c r="B26" s="141"/>
      <c r="C26" s="1186" t="s">
        <v>2359</v>
      </c>
      <c r="D26" s="1186" t="s">
        <v>971</v>
      </c>
      <c r="E26" s="1187" t="s">
        <v>2886</v>
      </c>
      <c r="F26" s="1188" t="s">
        <v>90</v>
      </c>
      <c r="G26" s="1202" t="s">
        <v>3884</v>
      </c>
      <c r="H26" s="1213" t="s">
        <v>96</v>
      </c>
      <c r="I26" s="144" t="s">
        <v>340</v>
      </c>
      <c r="J26" s="1221" t="s">
        <v>3379</v>
      </c>
      <c r="K26" s="1229" t="s">
        <v>103</v>
      </c>
      <c r="L26" s="1244" t="s">
        <v>3500</v>
      </c>
      <c r="M26" s="1168"/>
      <c r="N26" s="1149"/>
      <c r="O26" s="141" t="str">
        <f t="shared" si="0"/>
        <v xml:space="preserve">خليج  الطيب </v>
      </c>
      <c r="P26" s="141" t="s">
        <v>504</v>
      </c>
      <c r="Q26" s="141" t="s">
        <v>1896</v>
      </c>
      <c r="R26" s="759"/>
      <c r="S26" s="141" t="s">
        <v>653</v>
      </c>
      <c r="T26" s="671"/>
      <c r="U26" s="28"/>
      <c r="V26" s="15" t="s">
        <v>9</v>
      </c>
      <c r="W26" s="15" t="s">
        <v>557</v>
      </c>
      <c r="X26" s="15"/>
    </row>
    <row r="27" spans="1:31" ht="16.5" customHeight="1">
      <c r="A27" s="140">
        <v>19</v>
      </c>
      <c r="B27" s="141"/>
      <c r="C27" s="1186" t="s">
        <v>2360</v>
      </c>
      <c r="D27" s="1186" t="s">
        <v>697</v>
      </c>
      <c r="E27" s="1187" t="s">
        <v>2887</v>
      </c>
      <c r="F27" s="1188" t="s">
        <v>90</v>
      </c>
      <c r="G27" s="1202" t="s">
        <v>3884</v>
      </c>
      <c r="H27" s="1213" t="s">
        <v>96</v>
      </c>
      <c r="I27" s="144" t="s">
        <v>340</v>
      </c>
      <c r="J27" s="1221"/>
      <c r="K27" s="1229" t="s">
        <v>103</v>
      </c>
      <c r="L27" s="1244"/>
      <c r="M27" s="1170"/>
      <c r="N27" s="1149"/>
      <c r="O27" s="141" t="str">
        <f t="shared" si="0"/>
        <v xml:space="preserve">مزوزي  </v>
      </c>
      <c r="P27" s="141" t="s">
        <v>504</v>
      </c>
      <c r="Q27" s="141" t="s">
        <v>1896</v>
      </c>
      <c r="R27" s="759"/>
      <c r="S27" s="989"/>
      <c r="T27" s="417"/>
      <c r="U27" s="28"/>
      <c r="V27" s="15" t="s">
        <v>558</v>
      </c>
      <c r="W27" s="15" t="s">
        <v>557</v>
      </c>
      <c r="X27" s="15"/>
    </row>
    <row r="28" spans="1:31" ht="16.5" customHeight="1">
      <c r="A28" s="140">
        <v>20</v>
      </c>
      <c r="B28" s="141"/>
      <c r="C28" s="1183" t="s">
        <v>2361</v>
      </c>
      <c r="D28" s="1183" t="s">
        <v>2362</v>
      </c>
      <c r="E28" s="1184" t="s">
        <v>2888</v>
      </c>
      <c r="F28" s="1185" t="s">
        <v>90</v>
      </c>
      <c r="G28" s="1201" t="s">
        <v>3884</v>
      </c>
      <c r="H28" s="1209" t="s">
        <v>96</v>
      </c>
      <c r="I28" s="144" t="s">
        <v>340</v>
      </c>
      <c r="J28" s="1220" t="s">
        <v>2101</v>
      </c>
      <c r="K28" s="1225" t="s">
        <v>123</v>
      </c>
      <c r="L28" s="1245" t="s">
        <v>3501</v>
      </c>
      <c r="M28" s="1168"/>
      <c r="N28" s="1149"/>
      <c r="O28" s="141" t="str">
        <f t="shared" si="0"/>
        <v xml:space="preserve">يحياوي  أحمد </v>
      </c>
      <c r="P28" s="141" t="s">
        <v>504</v>
      </c>
      <c r="Q28" s="141" t="s">
        <v>1896</v>
      </c>
      <c r="R28" s="145"/>
      <c r="S28" s="989"/>
      <c r="T28" s="417"/>
      <c r="U28" s="28"/>
      <c r="V28" s="15" t="s">
        <v>6</v>
      </c>
      <c r="W28" s="15" t="s">
        <v>559</v>
      </c>
      <c r="X28" s="15"/>
    </row>
    <row r="29" spans="1:31" ht="16.5" customHeight="1">
      <c r="A29" s="140">
        <v>21</v>
      </c>
      <c r="B29" s="141"/>
      <c r="C29" s="1186" t="s">
        <v>2363</v>
      </c>
      <c r="D29" s="1186" t="s">
        <v>61</v>
      </c>
      <c r="E29" s="1187" t="s">
        <v>2889</v>
      </c>
      <c r="F29" s="1188" t="s">
        <v>3338</v>
      </c>
      <c r="G29" s="1202" t="s">
        <v>3885</v>
      </c>
      <c r="H29" s="1212" t="s">
        <v>1458</v>
      </c>
      <c r="I29" s="144" t="s">
        <v>341</v>
      </c>
      <c r="J29" s="1221" t="s">
        <v>2325</v>
      </c>
      <c r="K29" s="1229" t="s">
        <v>111</v>
      </c>
      <c r="L29" s="1244" t="s">
        <v>3502</v>
      </c>
      <c r="M29" s="1168"/>
      <c r="N29" s="1149"/>
      <c r="O29" s="141" t="str">
        <f t="shared" si="0"/>
        <v xml:space="preserve">حسيني  محمد </v>
      </c>
      <c r="P29" s="141" t="s">
        <v>2198</v>
      </c>
      <c r="Q29" s="141" t="s">
        <v>1897</v>
      </c>
      <c r="R29" s="759"/>
      <c r="S29" s="989"/>
      <c r="T29" s="417"/>
      <c r="U29" s="28"/>
      <c r="V29" s="15"/>
      <c r="W29" s="15"/>
      <c r="X29" s="15"/>
    </row>
    <row r="30" spans="1:31" s="845" customFormat="1" ht="16.5" customHeight="1">
      <c r="A30" s="140">
        <v>22</v>
      </c>
      <c r="B30" s="141"/>
      <c r="C30" s="1189" t="s">
        <v>2364</v>
      </c>
      <c r="D30" s="1189" t="s">
        <v>2365</v>
      </c>
      <c r="E30" s="1190" t="s">
        <v>2890</v>
      </c>
      <c r="F30" s="1191" t="s">
        <v>3338</v>
      </c>
      <c r="G30" s="1201" t="s">
        <v>3885</v>
      </c>
      <c r="H30" s="1208" t="s">
        <v>91</v>
      </c>
      <c r="I30" s="144" t="s">
        <v>340</v>
      </c>
      <c r="J30" s="1222" t="s">
        <v>3380</v>
      </c>
      <c r="K30" s="1225" t="s">
        <v>103</v>
      </c>
      <c r="L30" s="1246" t="s">
        <v>3503</v>
      </c>
      <c r="M30" s="1168"/>
      <c r="N30" s="1149"/>
      <c r="O30" s="141" t="str">
        <f t="shared" si="0"/>
        <v xml:space="preserve">بنور  قويدر </v>
      </c>
      <c r="P30" s="141" t="s">
        <v>503</v>
      </c>
      <c r="Q30" s="141"/>
      <c r="R30" s="759"/>
      <c r="S30" s="989"/>
      <c r="T30" s="417"/>
      <c r="U30" s="28"/>
      <c r="V30" s="15"/>
      <c r="W30" s="15"/>
      <c r="X30" s="15"/>
      <c r="Y30" s="28"/>
    </row>
    <row r="31" spans="1:31" ht="16.5" customHeight="1">
      <c r="A31" s="140">
        <v>23</v>
      </c>
      <c r="B31" s="141"/>
      <c r="C31" s="1189" t="s">
        <v>1182</v>
      </c>
      <c r="D31" s="1189" t="s">
        <v>27</v>
      </c>
      <c r="E31" s="1190" t="s">
        <v>2891</v>
      </c>
      <c r="F31" s="1191" t="s">
        <v>3339</v>
      </c>
      <c r="G31" s="1201" t="s">
        <v>3885</v>
      </c>
      <c r="H31" s="1208" t="s">
        <v>91</v>
      </c>
      <c r="I31" s="144" t="s">
        <v>340</v>
      </c>
      <c r="J31" s="1222" t="s">
        <v>2101</v>
      </c>
      <c r="K31" s="1225" t="s">
        <v>113</v>
      </c>
      <c r="L31" s="1246" t="s">
        <v>494</v>
      </c>
      <c r="M31" s="1168"/>
      <c r="N31" s="1149"/>
      <c r="O31" s="141" t="str">
        <f t="shared" si="0"/>
        <v xml:space="preserve">بوعلي حنيفي  أحمد </v>
      </c>
      <c r="P31" s="141" t="s">
        <v>503</v>
      </c>
      <c r="Q31" s="141" t="s">
        <v>1897</v>
      </c>
      <c r="R31" s="759"/>
      <c r="S31" s="989"/>
      <c r="T31" s="404"/>
      <c r="U31" s="28"/>
      <c r="V31" s="15"/>
      <c r="W31" s="15"/>
      <c r="X31" s="15"/>
    </row>
    <row r="32" spans="1:31" ht="16.5" customHeight="1">
      <c r="A32" s="140">
        <v>24</v>
      </c>
      <c r="B32" s="141"/>
      <c r="C32" s="1186" t="s">
        <v>143</v>
      </c>
      <c r="D32" s="1186" t="s">
        <v>2366</v>
      </c>
      <c r="E32" s="1187" t="s">
        <v>2892</v>
      </c>
      <c r="F32" s="1188" t="s">
        <v>3339</v>
      </c>
      <c r="G32" s="1202" t="s">
        <v>3885</v>
      </c>
      <c r="H32" s="1212" t="s">
        <v>91</v>
      </c>
      <c r="I32" s="144" t="s">
        <v>340</v>
      </c>
      <c r="J32" s="1221" t="s">
        <v>3381</v>
      </c>
      <c r="K32" s="1229" t="s">
        <v>128</v>
      </c>
      <c r="L32" s="1244" t="s">
        <v>3504</v>
      </c>
      <c r="M32" s="1168"/>
      <c r="N32" s="1149"/>
      <c r="O32" s="141" t="str">
        <f t="shared" si="0"/>
        <v xml:space="preserve">بوعود  محي الدين </v>
      </c>
      <c r="P32" s="141" t="s">
        <v>503</v>
      </c>
      <c r="Q32" s="141"/>
      <c r="R32" s="759"/>
      <c r="S32" s="989"/>
      <c r="T32" s="417"/>
      <c r="U32" s="28"/>
      <c r="V32" s="15"/>
      <c r="W32" s="15"/>
      <c r="X32" s="15"/>
    </row>
    <row r="33" spans="1:25" ht="16.5" customHeight="1">
      <c r="A33" s="140">
        <v>25</v>
      </c>
      <c r="B33" s="141"/>
      <c r="C33" s="1186" t="s">
        <v>2367</v>
      </c>
      <c r="D33" s="1186" t="s">
        <v>2368</v>
      </c>
      <c r="E33" s="1187" t="s">
        <v>2893</v>
      </c>
      <c r="F33" s="1188" t="s">
        <v>3343</v>
      </c>
      <c r="G33" s="1202" t="s">
        <v>3885</v>
      </c>
      <c r="H33" s="1213" t="s">
        <v>96</v>
      </c>
      <c r="I33" s="144" t="s">
        <v>340</v>
      </c>
      <c r="J33" s="1221" t="s">
        <v>3382</v>
      </c>
      <c r="K33" s="1229" t="s">
        <v>128</v>
      </c>
      <c r="L33" s="1244" t="s">
        <v>3505</v>
      </c>
      <c r="M33" s="1168"/>
      <c r="N33" s="1149"/>
      <c r="O33" s="141" t="str">
        <f t="shared" si="0"/>
        <v xml:space="preserve">رحال  بن ويس </v>
      </c>
      <c r="P33" s="141" t="s">
        <v>504</v>
      </c>
      <c r="Q33" s="141" t="s">
        <v>1898</v>
      </c>
      <c r="R33" s="759"/>
      <c r="S33" s="989"/>
      <c r="T33" s="676"/>
      <c r="U33" s="28"/>
      <c r="V33" s="15"/>
      <c r="W33" s="15"/>
      <c r="X33" s="15"/>
    </row>
    <row r="34" spans="1:25" ht="16.5" customHeight="1">
      <c r="A34" s="140">
        <v>26</v>
      </c>
      <c r="B34" s="141"/>
      <c r="C34" s="1186" t="s">
        <v>2369</v>
      </c>
      <c r="D34" s="1186" t="s">
        <v>2029</v>
      </c>
      <c r="E34" s="1187" t="s">
        <v>2894</v>
      </c>
      <c r="F34" s="1188" t="s">
        <v>3339</v>
      </c>
      <c r="G34" s="1202" t="s">
        <v>3885</v>
      </c>
      <c r="H34" s="1212" t="s">
        <v>91</v>
      </c>
      <c r="I34" s="144" t="s">
        <v>340</v>
      </c>
      <c r="J34" s="1221" t="s">
        <v>3383</v>
      </c>
      <c r="K34" s="1229" t="s">
        <v>103</v>
      </c>
      <c r="L34" s="1244" t="s">
        <v>3506</v>
      </c>
      <c r="M34" s="1168"/>
      <c r="N34" s="1149"/>
      <c r="O34" s="141" t="str">
        <f t="shared" si="0"/>
        <v xml:space="preserve">مراجي  بومدين </v>
      </c>
      <c r="P34" s="141" t="s">
        <v>503</v>
      </c>
      <c r="Q34" s="141"/>
      <c r="R34" s="759"/>
      <c r="S34" s="989"/>
      <c r="T34" s="417"/>
      <c r="U34" s="28"/>
      <c r="V34" s="15"/>
      <c r="W34" s="15"/>
      <c r="X34" s="15"/>
    </row>
    <row r="35" spans="1:25" ht="16.5" customHeight="1">
      <c r="A35" s="140">
        <v>27</v>
      </c>
      <c r="B35" s="141"/>
      <c r="C35" s="1186" t="s">
        <v>2370</v>
      </c>
      <c r="D35" s="1186" t="s">
        <v>134</v>
      </c>
      <c r="E35" s="1187" t="s">
        <v>2895</v>
      </c>
      <c r="F35" s="1188" t="s">
        <v>90</v>
      </c>
      <c r="G35" s="1202" t="s">
        <v>3885</v>
      </c>
      <c r="H35" s="1213" t="s">
        <v>96</v>
      </c>
      <c r="I35" s="144" t="s">
        <v>340</v>
      </c>
      <c r="J35" s="1221" t="s">
        <v>2316</v>
      </c>
      <c r="K35" s="1235" t="s">
        <v>128</v>
      </c>
      <c r="L35" s="1244" t="s">
        <v>3507</v>
      </c>
      <c r="M35" s="1169"/>
      <c r="N35" s="1149"/>
      <c r="O35" s="141" t="str">
        <f t="shared" si="0"/>
        <v xml:space="preserve">مستوي  قدور </v>
      </c>
      <c r="P35" s="141" t="s">
        <v>504</v>
      </c>
      <c r="Q35" s="141" t="s">
        <v>1898</v>
      </c>
      <c r="R35" s="759"/>
      <c r="S35" s="989"/>
      <c r="T35" s="671"/>
      <c r="U35" s="28"/>
      <c r="V35" s="15"/>
      <c r="W35" s="15"/>
      <c r="X35" s="15"/>
    </row>
    <row r="36" spans="1:25" ht="16.5" customHeight="1">
      <c r="A36" s="140">
        <v>28</v>
      </c>
      <c r="B36" s="141"/>
      <c r="C36" s="1186" t="s">
        <v>2371</v>
      </c>
      <c r="D36" s="1186" t="s">
        <v>27</v>
      </c>
      <c r="E36" s="1187" t="s">
        <v>2896</v>
      </c>
      <c r="F36" s="1188" t="s">
        <v>3338</v>
      </c>
      <c r="G36" s="1202" t="s">
        <v>1454</v>
      </c>
      <c r="H36" s="1212" t="s">
        <v>1458</v>
      </c>
      <c r="I36" s="144" t="s">
        <v>341</v>
      </c>
      <c r="J36" s="1221" t="s">
        <v>3384</v>
      </c>
      <c r="K36" s="1235" t="s">
        <v>121</v>
      </c>
      <c r="L36" s="1244" t="s">
        <v>3508</v>
      </c>
      <c r="M36" s="1168"/>
      <c r="N36" s="1149"/>
      <c r="O36" s="141" t="str">
        <f t="shared" si="0"/>
        <v xml:space="preserve">أبري  بغداد </v>
      </c>
      <c r="P36" s="141" t="s">
        <v>503</v>
      </c>
      <c r="Q36" s="141" t="s">
        <v>1897</v>
      </c>
      <c r="R36" s="759"/>
      <c r="S36" s="989"/>
      <c r="T36" s="417"/>
      <c r="U36" s="28"/>
      <c r="V36" s="15"/>
      <c r="W36" s="15"/>
      <c r="X36" s="15"/>
    </row>
    <row r="37" spans="1:25" ht="16.5" customHeight="1">
      <c r="A37" s="140">
        <v>29</v>
      </c>
      <c r="B37" s="141"/>
      <c r="C37" s="1186" t="s">
        <v>2372</v>
      </c>
      <c r="D37" s="1186" t="s">
        <v>2373</v>
      </c>
      <c r="E37" s="1187" t="s">
        <v>2897</v>
      </c>
      <c r="F37" s="1188" t="s">
        <v>3339</v>
      </c>
      <c r="G37" s="1202" t="s">
        <v>1454</v>
      </c>
      <c r="H37" s="1212" t="s">
        <v>1458</v>
      </c>
      <c r="I37" s="144" t="s">
        <v>341</v>
      </c>
      <c r="J37" s="1221" t="s">
        <v>2325</v>
      </c>
      <c r="K37" s="1235" t="s">
        <v>1194</v>
      </c>
      <c r="L37" s="1244" t="s">
        <v>3509</v>
      </c>
      <c r="M37" s="1168"/>
      <c r="N37" s="1149"/>
      <c r="O37" s="141" t="str">
        <f t="shared" si="0"/>
        <v xml:space="preserve">ترزي  محمد </v>
      </c>
      <c r="P37" s="141" t="s">
        <v>504</v>
      </c>
      <c r="Q37" s="141" t="s">
        <v>1897</v>
      </c>
      <c r="R37" s="759"/>
      <c r="S37" s="989"/>
      <c r="T37" s="417"/>
      <c r="U37" s="28"/>
      <c r="V37" s="15"/>
      <c r="W37" s="15"/>
      <c r="X37" s="15"/>
    </row>
    <row r="38" spans="1:25" s="846" customFormat="1" ht="16.5" customHeight="1">
      <c r="A38" s="140">
        <v>30</v>
      </c>
      <c r="B38" s="141"/>
      <c r="C38" s="1186" t="s">
        <v>2374</v>
      </c>
      <c r="D38" s="1186" t="s">
        <v>2375</v>
      </c>
      <c r="E38" s="1187" t="s">
        <v>2873</v>
      </c>
      <c r="F38" s="1188" t="s">
        <v>3344</v>
      </c>
      <c r="G38" s="1202" t="s">
        <v>1454</v>
      </c>
      <c r="H38" s="1212" t="s">
        <v>1458</v>
      </c>
      <c r="I38" s="144" t="s">
        <v>341</v>
      </c>
      <c r="J38" s="1221" t="s">
        <v>2175</v>
      </c>
      <c r="K38" s="1236" t="s">
        <v>103</v>
      </c>
      <c r="L38" s="1244" t="s">
        <v>3510</v>
      </c>
      <c r="M38" s="1168"/>
      <c r="N38" s="1149"/>
      <c r="O38" s="141" t="str">
        <f t="shared" si="0"/>
        <v xml:space="preserve">سعداوي  بوعلام </v>
      </c>
      <c r="P38" s="141" t="s">
        <v>503</v>
      </c>
      <c r="Q38" s="141"/>
      <c r="R38" s="759"/>
      <c r="S38" s="989"/>
      <c r="T38" s="417"/>
      <c r="U38" s="28"/>
      <c r="V38" s="15"/>
      <c r="W38" s="15"/>
      <c r="X38" s="15"/>
      <c r="Y38" s="28"/>
    </row>
    <row r="39" spans="1:25" ht="16.5" customHeight="1">
      <c r="A39" s="140">
        <v>31</v>
      </c>
      <c r="B39" s="141"/>
      <c r="C39" s="1183" t="s">
        <v>2376</v>
      </c>
      <c r="D39" s="1183" t="s">
        <v>101</v>
      </c>
      <c r="E39" s="1184" t="s">
        <v>2898</v>
      </c>
      <c r="F39" s="1185" t="s">
        <v>90</v>
      </c>
      <c r="G39" s="1201" t="s">
        <v>1454</v>
      </c>
      <c r="H39" s="1209" t="s">
        <v>96</v>
      </c>
      <c r="I39" s="144" t="s">
        <v>340</v>
      </c>
      <c r="J39" s="1220" t="s">
        <v>3385</v>
      </c>
      <c r="K39" s="1233" t="s">
        <v>121</v>
      </c>
      <c r="L39" s="1245" t="s">
        <v>3511</v>
      </c>
      <c r="M39" s="1169"/>
      <c r="N39" s="1149"/>
      <c r="O39" s="141" t="str">
        <f t="shared" si="0"/>
        <v xml:space="preserve">بديار  بشير </v>
      </c>
      <c r="P39" s="141" t="s">
        <v>503</v>
      </c>
      <c r="Q39" s="141" t="s">
        <v>1897</v>
      </c>
      <c r="R39" s="759"/>
      <c r="S39" s="989"/>
      <c r="T39" s="417"/>
      <c r="U39" s="28"/>
      <c r="V39" s="15"/>
      <c r="W39" s="15"/>
      <c r="X39" s="15"/>
    </row>
    <row r="40" spans="1:25" s="845" customFormat="1" ht="16.5" customHeight="1">
      <c r="A40" s="140">
        <v>32</v>
      </c>
      <c r="B40" s="141"/>
      <c r="C40" s="1186" t="s">
        <v>879</v>
      </c>
      <c r="D40" s="1186" t="s">
        <v>142</v>
      </c>
      <c r="E40" s="1187" t="s">
        <v>2899</v>
      </c>
      <c r="F40" s="1188" t="s">
        <v>90</v>
      </c>
      <c r="G40" s="1202" t="s">
        <v>1454</v>
      </c>
      <c r="H40" s="1212" t="s">
        <v>91</v>
      </c>
      <c r="I40" s="144" t="s">
        <v>340</v>
      </c>
      <c r="J40" s="1221" t="s">
        <v>2331</v>
      </c>
      <c r="K40" s="1235" t="s">
        <v>102</v>
      </c>
      <c r="L40" s="1244" t="s">
        <v>3512</v>
      </c>
      <c r="M40" s="1168"/>
      <c r="N40" s="1149"/>
      <c r="O40" s="141" t="str">
        <f t="shared" si="0"/>
        <v xml:space="preserve">بسباس  مصطفى </v>
      </c>
      <c r="P40" s="141" t="s">
        <v>503</v>
      </c>
      <c r="Q40" s="141"/>
      <c r="R40" s="759"/>
      <c r="S40" s="989"/>
      <c r="T40" s="417"/>
      <c r="U40" s="28"/>
      <c r="V40" s="15"/>
      <c r="W40" s="15"/>
      <c r="X40" s="15"/>
      <c r="Y40" s="28"/>
    </row>
    <row r="41" spans="1:25" ht="16.5" customHeight="1">
      <c r="A41" s="140">
        <v>33</v>
      </c>
      <c r="B41" s="141"/>
      <c r="C41" s="1186" t="s">
        <v>879</v>
      </c>
      <c r="D41" s="1186" t="s">
        <v>2377</v>
      </c>
      <c r="E41" s="1187" t="s">
        <v>2900</v>
      </c>
      <c r="F41" s="1188" t="s">
        <v>3345</v>
      </c>
      <c r="G41" s="1202" t="s">
        <v>1454</v>
      </c>
      <c r="H41" s="1213" t="s">
        <v>96</v>
      </c>
      <c r="I41" s="144" t="s">
        <v>340</v>
      </c>
      <c r="J41" s="1221" t="s">
        <v>2079</v>
      </c>
      <c r="K41" s="1235" t="s">
        <v>123</v>
      </c>
      <c r="L41" s="1244" t="s">
        <v>3513</v>
      </c>
      <c r="M41" s="1168"/>
      <c r="N41" s="1149"/>
      <c r="O41" s="141" t="str">
        <f t="shared" si="0"/>
        <v xml:space="preserve">بسباس  سحنون </v>
      </c>
      <c r="P41" s="141" t="s">
        <v>503</v>
      </c>
      <c r="Q41" s="141" t="s">
        <v>1897</v>
      </c>
      <c r="R41" s="759"/>
      <c r="S41" s="989"/>
      <c r="T41" s="671"/>
      <c r="U41" s="28"/>
      <c r="V41" s="15"/>
      <c r="W41" s="15"/>
      <c r="X41" s="15"/>
    </row>
    <row r="42" spans="1:25" ht="16.5" customHeight="1">
      <c r="A42" s="140">
        <v>34</v>
      </c>
      <c r="B42" s="141"/>
      <c r="C42" s="1186" t="s">
        <v>2341</v>
      </c>
      <c r="D42" s="1186" t="s">
        <v>77</v>
      </c>
      <c r="E42" s="1187" t="s">
        <v>2901</v>
      </c>
      <c r="F42" s="1188" t="s">
        <v>3339</v>
      </c>
      <c r="G42" s="1202" t="s">
        <v>1454</v>
      </c>
      <c r="H42" s="1213" t="s">
        <v>96</v>
      </c>
      <c r="I42" s="144" t="s">
        <v>340</v>
      </c>
      <c r="J42" s="1221" t="s">
        <v>2325</v>
      </c>
      <c r="K42" s="1235" t="s">
        <v>111</v>
      </c>
      <c r="L42" s="1244" t="s">
        <v>3514</v>
      </c>
      <c r="M42" s="1168"/>
      <c r="N42" s="1149"/>
      <c r="O42" s="141" t="str">
        <f t="shared" si="0"/>
        <v xml:space="preserve">بلعربي  محمد </v>
      </c>
      <c r="P42" s="141" t="s">
        <v>504</v>
      </c>
      <c r="Q42" s="141" t="s">
        <v>1898</v>
      </c>
      <c r="R42" s="759"/>
      <c r="S42" s="989"/>
      <c r="T42" s="671"/>
      <c r="U42" s="28"/>
      <c r="V42" s="15"/>
      <c r="W42" s="15"/>
      <c r="X42" s="15"/>
    </row>
    <row r="43" spans="1:25" ht="16.5" customHeight="1">
      <c r="A43" s="140">
        <v>35</v>
      </c>
      <c r="B43" s="141"/>
      <c r="C43" s="1186" t="s">
        <v>2378</v>
      </c>
      <c r="D43" s="1186" t="s">
        <v>25</v>
      </c>
      <c r="E43" s="1187" t="s">
        <v>2902</v>
      </c>
      <c r="F43" s="1188" t="s">
        <v>90</v>
      </c>
      <c r="G43" s="1202" t="s">
        <v>1454</v>
      </c>
      <c r="H43" s="1212" t="s">
        <v>91</v>
      </c>
      <c r="I43" s="144" t="s">
        <v>340</v>
      </c>
      <c r="J43" s="1221" t="s">
        <v>3386</v>
      </c>
      <c r="K43" s="1235" t="s">
        <v>123</v>
      </c>
      <c r="L43" s="1244" t="s">
        <v>494</v>
      </c>
      <c r="M43" s="1168"/>
      <c r="N43" s="1149"/>
      <c r="O43" s="141" t="str">
        <f t="shared" si="0"/>
        <v xml:space="preserve">بلعيد  عبد الكريم </v>
      </c>
      <c r="P43" s="141" t="s">
        <v>504</v>
      </c>
      <c r="Q43" s="141" t="s">
        <v>1898</v>
      </c>
      <c r="R43" s="145"/>
      <c r="S43" s="989"/>
      <c r="T43" s="671"/>
      <c r="U43" s="28"/>
      <c r="V43" s="15"/>
      <c r="W43" s="15"/>
      <c r="X43" s="15"/>
    </row>
    <row r="44" spans="1:25" ht="16.5" customHeight="1">
      <c r="A44" s="140">
        <v>36</v>
      </c>
      <c r="B44" s="141"/>
      <c r="C44" s="1186" t="s">
        <v>2379</v>
      </c>
      <c r="D44" s="1186" t="s">
        <v>2380</v>
      </c>
      <c r="E44" s="1187" t="s">
        <v>2903</v>
      </c>
      <c r="F44" s="1188" t="s">
        <v>3339</v>
      </c>
      <c r="G44" s="1202" t="s">
        <v>1454</v>
      </c>
      <c r="H44" s="1213" t="s">
        <v>96</v>
      </c>
      <c r="I44" s="144" t="s">
        <v>340</v>
      </c>
      <c r="J44" s="1221" t="s">
        <v>2325</v>
      </c>
      <c r="K44" s="1235" t="s">
        <v>111</v>
      </c>
      <c r="L44" s="1244" t="s">
        <v>3515</v>
      </c>
      <c r="M44" s="1168"/>
      <c r="N44" s="1149"/>
      <c r="O44" s="141" t="str">
        <f t="shared" si="0"/>
        <v xml:space="preserve">بوهدة  محمد </v>
      </c>
      <c r="P44" s="141" t="s">
        <v>503</v>
      </c>
      <c r="Q44" s="141" t="s">
        <v>1897</v>
      </c>
      <c r="R44" s="145"/>
      <c r="S44" s="989"/>
      <c r="T44" s="671"/>
      <c r="U44" s="28"/>
      <c r="V44" s="15"/>
      <c r="W44" s="15"/>
      <c r="X44" s="15"/>
    </row>
    <row r="45" spans="1:25" s="438" customFormat="1" ht="16.5" customHeight="1">
      <c r="A45" s="140">
        <v>37</v>
      </c>
      <c r="B45" s="141"/>
      <c r="C45" s="1186" t="s">
        <v>2379</v>
      </c>
      <c r="D45" s="1186" t="s">
        <v>2381</v>
      </c>
      <c r="E45" s="1187" t="s">
        <v>2878</v>
      </c>
      <c r="F45" s="1188" t="s">
        <v>3339</v>
      </c>
      <c r="G45" s="1202" t="s">
        <v>1454</v>
      </c>
      <c r="H45" s="1213" t="s">
        <v>96</v>
      </c>
      <c r="I45" s="144" t="s">
        <v>340</v>
      </c>
      <c r="J45" s="1221" t="s">
        <v>2325</v>
      </c>
      <c r="K45" s="1235" t="s">
        <v>111</v>
      </c>
      <c r="L45" s="1244" t="s">
        <v>3516</v>
      </c>
      <c r="M45" s="1168"/>
      <c r="N45" s="1149"/>
      <c r="O45" s="141" t="str">
        <f t="shared" si="0"/>
        <v xml:space="preserve">بوهدة  محمد </v>
      </c>
      <c r="P45" s="141" t="s">
        <v>504</v>
      </c>
      <c r="Q45" s="141" t="s">
        <v>1898</v>
      </c>
      <c r="R45" s="145"/>
      <c r="S45" s="989"/>
      <c r="T45" s="671"/>
      <c r="U45" s="28"/>
      <c r="V45" s="15"/>
      <c r="W45" s="15"/>
      <c r="X45" s="15"/>
      <c r="Y45" s="28"/>
    </row>
    <row r="46" spans="1:25" ht="16.5" customHeight="1">
      <c r="A46" s="140">
        <v>38</v>
      </c>
      <c r="B46" s="141"/>
      <c r="C46" s="1183" t="s">
        <v>2382</v>
      </c>
      <c r="D46" s="1183" t="s">
        <v>971</v>
      </c>
      <c r="E46" s="1184" t="s">
        <v>2904</v>
      </c>
      <c r="F46" s="1185" t="s">
        <v>90</v>
      </c>
      <c r="G46" s="1201" t="s">
        <v>1454</v>
      </c>
      <c r="H46" s="1209" t="s">
        <v>96</v>
      </c>
      <c r="I46" s="144" t="s">
        <v>340</v>
      </c>
      <c r="J46" s="1220" t="s">
        <v>3387</v>
      </c>
      <c r="K46" s="1227" t="s">
        <v>111</v>
      </c>
      <c r="L46" s="1245" t="s">
        <v>3517</v>
      </c>
      <c r="M46" s="1169"/>
      <c r="N46" s="1149"/>
      <c r="O46" s="141" t="str">
        <f t="shared" si="0"/>
        <v xml:space="preserve">تونسي  ميلود </v>
      </c>
      <c r="P46" s="141" t="s">
        <v>504</v>
      </c>
      <c r="Q46" s="141" t="s">
        <v>1897</v>
      </c>
      <c r="R46" s="759"/>
      <c r="S46" s="989"/>
      <c r="T46" s="671" t="s">
        <v>628</v>
      </c>
      <c r="U46" s="28"/>
      <c r="V46" s="15"/>
      <c r="W46" s="15"/>
      <c r="X46" s="15"/>
    </row>
    <row r="47" spans="1:25" ht="16.5" customHeight="1">
      <c r="A47" s="140">
        <v>39</v>
      </c>
      <c r="B47" s="141"/>
      <c r="C47" s="1189" t="s">
        <v>2383</v>
      </c>
      <c r="D47" s="1189" t="s">
        <v>2362</v>
      </c>
      <c r="E47" s="1190" t="s">
        <v>2905</v>
      </c>
      <c r="F47" s="1191" t="s">
        <v>3339</v>
      </c>
      <c r="G47" s="1201" t="s">
        <v>1454</v>
      </c>
      <c r="H47" s="1209" t="s">
        <v>96</v>
      </c>
      <c r="I47" s="144" t="s">
        <v>340</v>
      </c>
      <c r="J47" s="1222" t="s">
        <v>3388</v>
      </c>
      <c r="K47" s="1233" t="s">
        <v>103</v>
      </c>
      <c r="L47" s="1245" t="s">
        <v>494</v>
      </c>
      <c r="M47" s="1169"/>
      <c r="N47" s="1149"/>
      <c r="O47" s="141" t="str">
        <f t="shared" si="0"/>
        <v xml:space="preserve">جابري  قاسم </v>
      </c>
      <c r="P47" s="141" t="s">
        <v>503</v>
      </c>
      <c r="Q47" s="141" t="s">
        <v>1898</v>
      </c>
      <c r="R47" s="145"/>
      <c r="S47" s="989"/>
      <c r="T47" s="671"/>
      <c r="U47" s="28"/>
      <c r="V47" s="15"/>
      <c r="W47" s="15"/>
      <c r="X47" s="15"/>
    </row>
    <row r="48" spans="1:25" ht="16.5" customHeight="1">
      <c r="A48" s="140">
        <v>40</v>
      </c>
      <c r="B48" s="141"/>
      <c r="C48" s="1186" t="s">
        <v>2384</v>
      </c>
      <c r="D48" s="1186" t="s">
        <v>2385</v>
      </c>
      <c r="E48" s="1187" t="s">
        <v>2906</v>
      </c>
      <c r="F48" s="1188" t="s">
        <v>3338</v>
      </c>
      <c r="G48" s="1202" t="s">
        <v>1454</v>
      </c>
      <c r="H48" s="1213" t="s">
        <v>96</v>
      </c>
      <c r="I48" s="144" t="s">
        <v>340</v>
      </c>
      <c r="J48" s="1221" t="s">
        <v>3389</v>
      </c>
      <c r="K48" s="1235" t="s">
        <v>102</v>
      </c>
      <c r="L48" s="1244" t="s">
        <v>3518</v>
      </c>
      <c r="M48" s="1168"/>
      <c r="N48" s="1149"/>
      <c r="O48" s="141" t="str">
        <f t="shared" si="0"/>
        <v xml:space="preserve">حجري  مقيدر </v>
      </c>
      <c r="P48" s="141" t="s">
        <v>503</v>
      </c>
      <c r="Q48" s="141" t="s">
        <v>1899</v>
      </c>
      <c r="R48" s="145"/>
      <c r="S48" s="989"/>
      <c r="T48" s="671" t="s">
        <v>628</v>
      </c>
      <c r="U48" s="28"/>
      <c r="V48" s="15"/>
      <c r="W48" s="15"/>
      <c r="X48" s="15"/>
    </row>
    <row r="49" spans="1:25" ht="16.5" customHeight="1">
      <c r="A49" s="140">
        <v>41</v>
      </c>
      <c r="B49" s="141"/>
      <c r="C49" s="1186" t="s">
        <v>2359</v>
      </c>
      <c r="D49" s="1186" t="s">
        <v>2055</v>
      </c>
      <c r="E49" s="1187" t="s">
        <v>2913</v>
      </c>
      <c r="F49" s="1188" t="s">
        <v>90</v>
      </c>
      <c r="G49" s="1202" t="s">
        <v>1454</v>
      </c>
      <c r="H49" s="1212" t="s">
        <v>91</v>
      </c>
      <c r="I49" s="144" t="s">
        <v>340</v>
      </c>
      <c r="J49" s="1221" t="s">
        <v>3391</v>
      </c>
      <c r="K49" s="1235" t="s">
        <v>123</v>
      </c>
      <c r="L49" s="1244" t="s">
        <v>494</v>
      </c>
      <c r="M49" s="1168"/>
      <c r="N49" s="1149"/>
      <c r="O49" s="141" t="str">
        <f t="shared" si="0"/>
        <v xml:space="preserve">خليج  طيب </v>
      </c>
      <c r="P49" s="141" t="s">
        <v>504</v>
      </c>
      <c r="Q49" s="141" t="s">
        <v>1899</v>
      </c>
      <c r="R49" s="759"/>
      <c r="S49" s="989"/>
      <c r="T49" s="671"/>
      <c r="U49" s="28"/>
      <c r="V49" s="15"/>
      <c r="W49" s="15"/>
      <c r="X49" s="15"/>
    </row>
    <row r="50" spans="1:25" ht="16.5" customHeight="1">
      <c r="A50" s="140">
        <v>42</v>
      </c>
      <c r="B50" s="141"/>
      <c r="C50" s="1186" t="s">
        <v>2386</v>
      </c>
      <c r="D50" s="1186" t="s">
        <v>2387</v>
      </c>
      <c r="E50" s="1187" t="s">
        <v>2907</v>
      </c>
      <c r="F50" s="1188" t="s">
        <v>3339</v>
      </c>
      <c r="G50" s="1202" t="s">
        <v>1454</v>
      </c>
      <c r="H50" s="1213" t="s">
        <v>96</v>
      </c>
      <c r="I50" s="144" t="s">
        <v>340</v>
      </c>
      <c r="J50" s="1221" t="s">
        <v>2332</v>
      </c>
      <c r="K50" s="1235" t="s">
        <v>103</v>
      </c>
      <c r="L50" s="1244" t="s">
        <v>3519</v>
      </c>
      <c r="M50" s="1168"/>
      <c r="N50" s="1149"/>
      <c r="O50" s="141" t="str">
        <f t="shared" si="0"/>
        <v xml:space="preserve">سماسري  عبد القادر </v>
      </c>
      <c r="P50" s="141" t="s">
        <v>2198</v>
      </c>
      <c r="Q50" s="141" t="s">
        <v>1900</v>
      </c>
      <c r="R50" s="145"/>
      <c r="S50" s="989"/>
      <c r="T50" s="671"/>
      <c r="U50" s="28"/>
      <c r="V50" s="15"/>
      <c r="W50" s="15"/>
      <c r="X50" s="15"/>
    </row>
    <row r="51" spans="1:25" s="846" customFormat="1" ht="16.5" customHeight="1">
      <c r="A51" s="140">
        <v>43</v>
      </c>
      <c r="B51" s="141"/>
      <c r="C51" s="1186" t="s">
        <v>2388</v>
      </c>
      <c r="D51" s="1186" t="s">
        <v>2389</v>
      </c>
      <c r="E51" s="1187" t="s">
        <v>2908</v>
      </c>
      <c r="F51" s="1188" t="s">
        <v>90</v>
      </c>
      <c r="G51" s="1202" t="s">
        <v>1454</v>
      </c>
      <c r="H51" s="1213" t="s">
        <v>96</v>
      </c>
      <c r="I51" s="144" t="s">
        <v>340</v>
      </c>
      <c r="J51" s="1221" t="s">
        <v>2325</v>
      </c>
      <c r="K51" s="1235" t="s">
        <v>111</v>
      </c>
      <c r="L51" s="1244" t="s">
        <v>3520</v>
      </c>
      <c r="M51" s="1168"/>
      <c r="N51" s="1149"/>
      <c r="O51" s="141" t="str">
        <f t="shared" si="0"/>
        <v xml:space="preserve">عسال  محمد </v>
      </c>
      <c r="P51" s="141" t="s">
        <v>2198</v>
      </c>
      <c r="Q51" s="141"/>
      <c r="R51" s="759"/>
      <c r="S51" s="989"/>
      <c r="T51" s="671"/>
      <c r="U51" s="28"/>
      <c r="V51" s="15"/>
      <c r="W51" s="15"/>
      <c r="X51" s="15"/>
      <c r="Y51" s="28"/>
    </row>
    <row r="52" spans="1:25" ht="16.5" customHeight="1">
      <c r="A52" s="140">
        <v>44</v>
      </c>
      <c r="B52" s="141"/>
      <c r="C52" s="1186" t="s">
        <v>63</v>
      </c>
      <c r="D52" s="1186" t="s">
        <v>2390</v>
      </c>
      <c r="E52" s="1187" t="s">
        <v>2909</v>
      </c>
      <c r="F52" s="1188" t="s">
        <v>3339</v>
      </c>
      <c r="G52" s="1202" t="s">
        <v>1454</v>
      </c>
      <c r="H52" s="1212" t="s">
        <v>91</v>
      </c>
      <c r="I52" s="144" t="s">
        <v>340</v>
      </c>
      <c r="J52" s="1221" t="s">
        <v>3371</v>
      </c>
      <c r="K52" s="1235" t="s">
        <v>111</v>
      </c>
      <c r="L52" s="1244" t="s">
        <v>3521</v>
      </c>
      <c r="M52" s="1168"/>
      <c r="N52" s="1149"/>
      <c r="O52" s="141" t="str">
        <f t="shared" si="0"/>
        <v xml:space="preserve">لكحل  علي </v>
      </c>
      <c r="P52" s="141" t="s">
        <v>502</v>
      </c>
      <c r="Q52" s="141" t="s">
        <v>1899</v>
      </c>
      <c r="R52" s="145"/>
      <c r="S52" s="989"/>
      <c r="T52" s="417"/>
      <c r="U52" s="28"/>
      <c r="V52" s="15"/>
      <c r="W52" s="15"/>
      <c r="X52" s="15"/>
    </row>
    <row r="53" spans="1:25" ht="16.5" customHeight="1">
      <c r="A53" s="140">
        <v>45</v>
      </c>
      <c r="B53" s="141"/>
      <c r="C53" s="1186" t="s">
        <v>2391</v>
      </c>
      <c r="D53" s="1186" t="s">
        <v>1080</v>
      </c>
      <c r="E53" s="1187" t="s">
        <v>2910</v>
      </c>
      <c r="F53" s="1188" t="s">
        <v>3339</v>
      </c>
      <c r="G53" s="1202" t="s">
        <v>1454</v>
      </c>
      <c r="H53" s="1213" t="s">
        <v>96</v>
      </c>
      <c r="I53" s="144" t="s">
        <v>340</v>
      </c>
      <c r="J53" s="1221" t="s">
        <v>3378</v>
      </c>
      <c r="K53" s="1235" t="s">
        <v>128</v>
      </c>
      <c r="L53" s="1244" t="s">
        <v>3522</v>
      </c>
      <c r="M53" s="1168"/>
      <c r="N53" s="1149"/>
      <c r="O53" s="141" t="str">
        <f t="shared" si="0"/>
        <v xml:space="preserve">مالطي  رمضان </v>
      </c>
      <c r="P53" s="141" t="s">
        <v>502</v>
      </c>
      <c r="Q53" s="141" t="s">
        <v>1899</v>
      </c>
      <c r="R53" s="759"/>
      <c r="S53" s="989"/>
      <c r="T53" s="417"/>
      <c r="U53" s="28"/>
      <c r="V53" s="15"/>
      <c r="W53" s="15"/>
      <c r="X53" s="15"/>
    </row>
    <row r="54" spans="1:25" ht="16.5" customHeight="1">
      <c r="A54" s="140">
        <v>46</v>
      </c>
      <c r="B54" s="141"/>
      <c r="C54" s="1186" t="s">
        <v>2351</v>
      </c>
      <c r="D54" s="1186" t="s">
        <v>2392</v>
      </c>
      <c r="E54" s="1187" t="s">
        <v>2911</v>
      </c>
      <c r="F54" s="1188" t="s">
        <v>3338</v>
      </c>
      <c r="G54" s="1202" t="s">
        <v>1454</v>
      </c>
      <c r="H54" s="1213" t="s">
        <v>96</v>
      </c>
      <c r="I54" s="144" t="s">
        <v>340</v>
      </c>
      <c r="J54" s="1221" t="s">
        <v>3390</v>
      </c>
      <c r="K54" s="1235" t="s">
        <v>111</v>
      </c>
      <c r="L54" s="1244" t="s">
        <v>3523</v>
      </c>
      <c r="M54" s="1168"/>
      <c r="N54" s="1149"/>
      <c r="O54" s="141" t="str">
        <f t="shared" si="0"/>
        <v xml:space="preserve">مرابطين  حبيب </v>
      </c>
      <c r="P54" s="141" t="s">
        <v>503</v>
      </c>
      <c r="Q54" s="141" t="s">
        <v>1901</v>
      </c>
      <c r="R54" s="759"/>
      <c r="S54" s="989"/>
      <c r="T54" s="404"/>
      <c r="U54" s="28"/>
      <c r="V54" s="15"/>
      <c r="W54" s="15"/>
      <c r="X54" s="15"/>
    </row>
    <row r="55" spans="1:25" ht="16.5" customHeight="1">
      <c r="A55" s="140">
        <v>47</v>
      </c>
      <c r="B55" s="141"/>
      <c r="C55" s="1186" t="s">
        <v>2393</v>
      </c>
      <c r="D55" s="1186" t="s">
        <v>98</v>
      </c>
      <c r="E55" s="1187" t="s">
        <v>2912</v>
      </c>
      <c r="F55" s="1188" t="s">
        <v>3338</v>
      </c>
      <c r="G55" s="1202" t="s">
        <v>1454</v>
      </c>
      <c r="H55" s="1213" t="s">
        <v>96</v>
      </c>
      <c r="I55" s="144" t="s">
        <v>340</v>
      </c>
      <c r="J55" s="1221" t="s">
        <v>2306</v>
      </c>
      <c r="K55" s="1235" t="s">
        <v>111</v>
      </c>
      <c r="L55" s="1244" t="s">
        <v>3524</v>
      </c>
      <c r="M55" s="1168"/>
      <c r="N55" s="1149"/>
      <c r="O55" s="141" t="str">
        <f t="shared" si="0"/>
        <v xml:space="preserve">هامل  معاشو </v>
      </c>
      <c r="P55" s="141" t="s">
        <v>503</v>
      </c>
      <c r="Q55" s="141" t="s">
        <v>1902</v>
      </c>
      <c r="R55" s="759"/>
      <c r="S55" s="989"/>
      <c r="T55" s="417"/>
      <c r="U55" s="28"/>
      <c r="V55" s="15"/>
      <c r="W55" s="15"/>
      <c r="X55" s="15"/>
    </row>
    <row r="56" spans="1:25" ht="16.5" customHeight="1">
      <c r="A56" s="140">
        <v>48</v>
      </c>
      <c r="B56" s="141"/>
      <c r="C56" s="1186" t="s">
        <v>2321</v>
      </c>
      <c r="D56" s="1186" t="s">
        <v>2394</v>
      </c>
      <c r="E56" s="1187" t="s">
        <v>2914</v>
      </c>
      <c r="F56" s="1188" t="s">
        <v>3346</v>
      </c>
      <c r="G56" s="1202" t="s">
        <v>1455</v>
      </c>
      <c r="H56" s="1212" t="s">
        <v>1458</v>
      </c>
      <c r="I56" s="144" t="s">
        <v>341</v>
      </c>
      <c r="J56" s="1221" t="s">
        <v>2001</v>
      </c>
      <c r="K56" s="1235" t="s">
        <v>128</v>
      </c>
      <c r="L56" s="1244" t="s">
        <v>3525</v>
      </c>
      <c r="M56" s="1168"/>
      <c r="N56" s="1149"/>
      <c r="O56" s="141" t="str">
        <f t="shared" si="0"/>
        <v xml:space="preserve">طبيب  دحو </v>
      </c>
      <c r="P56" s="141" t="s">
        <v>504</v>
      </c>
      <c r="Q56" s="141" t="s">
        <v>1902</v>
      </c>
      <c r="R56" s="759"/>
      <c r="S56" s="989"/>
      <c r="T56" s="671"/>
      <c r="U56" s="28"/>
      <c r="V56" s="15"/>
      <c r="W56" s="15"/>
      <c r="X56" s="15"/>
    </row>
    <row r="57" spans="1:25" ht="16.5" customHeight="1">
      <c r="A57" s="140">
        <v>49</v>
      </c>
      <c r="B57" s="141"/>
      <c r="C57" s="1186" t="s">
        <v>2395</v>
      </c>
      <c r="D57" s="1186" t="s">
        <v>21</v>
      </c>
      <c r="E57" s="1187" t="s">
        <v>2915</v>
      </c>
      <c r="F57" s="1188" t="s">
        <v>133</v>
      </c>
      <c r="G57" s="1202" t="s">
        <v>1455</v>
      </c>
      <c r="H57" s="1212" t="s">
        <v>91</v>
      </c>
      <c r="I57" s="144" t="s">
        <v>340</v>
      </c>
      <c r="J57" s="1221"/>
      <c r="K57" s="1235" t="s">
        <v>160</v>
      </c>
      <c r="L57" s="1244"/>
      <c r="M57" s="1168"/>
      <c r="N57" s="1149"/>
      <c r="O57" s="141" t="str">
        <f t="shared" si="0"/>
        <v xml:space="preserve">بعيرة  </v>
      </c>
      <c r="P57" s="141" t="s">
        <v>503</v>
      </c>
      <c r="Q57" s="141" t="s">
        <v>1901</v>
      </c>
      <c r="R57" s="759"/>
      <c r="S57" s="989"/>
      <c r="T57" s="404"/>
      <c r="U57" s="28"/>
      <c r="V57" s="15"/>
      <c r="W57" s="15"/>
      <c r="X57" s="15"/>
    </row>
    <row r="58" spans="1:25" s="845" customFormat="1" ht="16.5" customHeight="1">
      <c r="A58" s="140">
        <v>50</v>
      </c>
      <c r="B58" s="141"/>
      <c r="C58" s="1186" t="s">
        <v>2396</v>
      </c>
      <c r="D58" s="1186" t="s">
        <v>38</v>
      </c>
      <c r="E58" s="1187" t="s">
        <v>2916</v>
      </c>
      <c r="F58" s="1188" t="s">
        <v>3338</v>
      </c>
      <c r="G58" s="1202" t="s">
        <v>1455</v>
      </c>
      <c r="H58" s="1212" t="s">
        <v>91</v>
      </c>
      <c r="I58" s="144" t="s">
        <v>340</v>
      </c>
      <c r="J58" s="1221" t="s">
        <v>2325</v>
      </c>
      <c r="K58" s="1235" t="s">
        <v>111</v>
      </c>
      <c r="L58" s="1244" t="s">
        <v>3526</v>
      </c>
      <c r="M58" s="1168"/>
      <c r="N58" s="1149"/>
      <c r="O58" s="141" t="str">
        <f t="shared" si="0"/>
        <v xml:space="preserve">بن مايسة  محمد </v>
      </c>
      <c r="P58" s="141" t="s">
        <v>503</v>
      </c>
      <c r="Q58" s="141"/>
      <c r="R58" s="759"/>
      <c r="S58" s="989"/>
      <c r="T58" s="404"/>
      <c r="U58" s="28"/>
      <c r="V58" s="15"/>
      <c r="W58" s="15"/>
      <c r="X58" s="15"/>
      <c r="Y58" s="28"/>
    </row>
    <row r="59" spans="1:25" s="968" customFormat="1" ht="16.5" customHeight="1">
      <c r="A59" s="140">
        <v>51</v>
      </c>
      <c r="B59" s="141"/>
      <c r="C59" s="1186" t="s">
        <v>2397</v>
      </c>
      <c r="D59" s="1186" t="s">
        <v>2398</v>
      </c>
      <c r="E59" s="1187" t="s">
        <v>2917</v>
      </c>
      <c r="F59" s="1188" t="s">
        <v>3338</v>
      </c>
      <c r="G59" s="1202" t="s">
        <v>1455</v>
      </c>
      <c r="H59" s="1212" t="s">
        <v>91</v>
      </c>
      <c r="I59" s="144" t="s">
        <v>340</v>
      </c>
      <c r="J59" s="1221" t="s">
        <v>2329</v>
      </c>
      <c r="K59" s="1235" t="s">
        <v>111</v>
      </c>
      <c r="L59" s="1244" t="s">
        <v>3527</v>
      </c>
      <c r="M59" s="1168"/>
      <c r="N59" s="1149"/>
      <c r="O59" s="141" t="str">
        <f t="shared" si="0"/>
        <v xml:space="preserve">بوداود  احمد </v>
      </c>
      <c r="P59" s="141" t="s">
        <v>504</v>
      </c>
      <c r="Q59" s="141" t="s">
        <v>1897</v>
      </c>
      <c r="R59" s="759"/>
      <c r="S59" s="989"/>
      <c r="T59" s="404"/>
      <c r="U59" s="28"/>
      <c r="V59" s="15"/>
      <c r="W59" s="15"/>
      <c r="X59" s="15"/>
      <c r="Y59" s="28"/>
    </row>
    <row r="60" spans="1:25" ht="16.5" customHeight="1">
      <c r="A60" s="140">
        <v>52</v>
      </c>
      <c r="B60" s="141"/>
      <c r="C60" s="1186" t="s">
        <v>2399</v>
      </c>
      <c r="D60" s="1186" t="s">
        <v>2400</v>
      </c>
      <c r="E60" s="1187" t="s">
        <v>2918</v>
      </c>
      <c r="F60" s="1188" t="s">
        <v>3338</v>
      </c>
      <c r="G60" s="1202" t="s">
        <v>1455</v>
      </c>
      <c r="H60" s="1213" t="s">
        <v>96</v>
      </c>
      <c r="I60" s="144" t="s">
        <v>340</v>
      </c>
      <c r="J60" s="1221" t="s">
        <v>2184</v>
      </c>
      <c r="K60" s="1235" t="s">
        <v>97</v>
      </c>
      <c r="L60" s="1244" t="s">
        <v>3508</v>
      </c>
      <c r="M60" s="1169"/>
      <c r="N60" s="1149"/>
      <c r="O60" s="141" t="str">
        <f t="shared" si="0"/>
        <v xml:space="preserve">بوطيبة  مهاجي </v>
      </c>
      <c r="P60" s="141" t="s">
        <v>504</v>
      </c>
      <c r="Q60" s="141" t="s">
        <v>1901</v>
      </c>
      <c r="R60" s="759"/>
      <c r="S60" s="989"/>
      <c r="T60" s="417"/>
      <c r="U60" s="28"/>
      <c r="V60" s="15"/>
      <c r="W60" s="15"/>
      <c r="X60" s="15"/>
    </row>
    <row r="61" spans="1:25" s="452" customFormat="1" ht="16.5" customHeight="1">
      <c r="A61" s="140">
        <v>53</v>
      </c>
      <c r="B61" s="141"/>
      <c r="C61" s="1183" t="s">
        <v>2314</v>
      </c>
      <c r="D61" s="1183" t="s">
        <v>1047</v>
      </c>
      <c r="E61" s="1184" t="s">
        <v>2919</v>
      </c>
      <c r="F61" s="1185" t="s">
        <v>90</v>
      </c>
      <c r="G61" s="1201" t="s">
        <v>1455</v>
      </c>
      <c r="H61" s="1209" t="s">
        <v>96</v>
      </c>
      <c r="I61" s="144" t="s">
        <v>340</v>
      </c>
      <c r="J61" s="1220" t="s">
        <v>3392</v>
      </c>
      <c r="K61" s="1233" t="s">
        <v>102</v>
      </c>
      <c r="L61" s="1245" t="s">
        <v>3528</v>
      </c>
      <c r="M61" s="1169"/>
      <c r="N61" s="1149"/>
      <c r="O61" s="141" t="str">
        <f t="shared" si="0"/>
        <v xml:space="preserve">حامق  يحيى </v>
      </c>
      <c r="P61" s="141" t="s">
        <v>504</v>
      </c>
      <c r="Q61" s="141" t="s">
        <v>1901</v>
      </c>
      <c r="R61" s="759"/>
      <c r="S61" s="989"/>
      <c r="T61" s="417"/>
      <c r="U61" s="28"/>
      <c r="V61" s="15"/>
      <c r="W61" s="15"/>
      <c r="X61" s="15"/>
      <c r="Y61" s="28"/>
    </row>
    <row r="62" spans="1:25" ht="16.5" customHeight="1">
      <c r="A62" s="140">
        <v>54</v>
      </c>
      <c r="B62" s="141"/>
      <c r="C62" s="1183" t="s">
        <v>2197</v>
      </c>
      <c r="D62" s="1183" t="s">
        <v>2401</v>
      </c>
      <c r="E62" s="1184" t="s">
        <v>2920</v>
      </c>
      <c r="F62" s="1185" t="s">
        <v>3339</v>
      </c>
      <c r="G62" s="1201" t="s">
        <v>1455</v>
      </c>
      <c r="H62" s="1209" t="s">
        <v>96</v>
      </c>
      <c r="I62" s="144" t="s">
        <v>340</v>
      </c>
      <c r="J62" s="1220" t="s">
        <v>3374</v>
      </c>
      <c r="K62" s="1233" t="s">
        <v>111</v>
      </c>
      <c r="L62" s="1245" t="s">
        <v>3529</v>
      </c>
      <c r="M62" s="1168"/>
      <c r="N62" s="1149"/>
      <c r="O62" s="141" t="str">
        <f t="shared" si="0"/>
        <v xml:space="preserve">حنيفي  مختار </v>
      </c>
      <c r="P62" s="141" t="s">
        <v>504</v>
      </c>
      <c r="Q62" s="141" t="s">
        <v>1902</v>
      </c>
      <c r="R62" s="759"/>
      <c r="S62" s="989"/>
      <c r="T62" s="417"/>
      <c r="U62" s="28"/>
      <c r="V62" s="15"/>
      <c r="W62" s="15"/>
      <c r="X62" s="15"/>
    </row>
    <row r="63" spans="1:25" ht="16.5" customHeight="1">
      <c r="A63" s="140">
        <v>55</v>
      </c>
      <c r="B63" s="141"/>
      <c r="C63" s="1186" t="s">
        <v>122</v>
      </c>
      <c r="D63" s="1186" t="s">
        <v>189</v>
      </c>
      <c r="E63" s="1187" t="s">
        <v>2921</v>
      </c>
      <c r="F63" s="1188" t="s">
        <v>3338</v>
      </c>
      <c r="G63" s="1202" t="s">
        <v>1455</v>
      </c>
      <c r="H63" s="1213" t="s">
        <v>96</v>
      </c>
      <c r="I63" s="144" t="s">
        <v>340</v>
      </c>
      <c r="J63" s="1221" t="s">
        <v>1270</v>
      </c>
      <c r="K63" s="1235" t="s">
        <v>111</v>
      </c>
      <c r="L63" s="1244" t="s">
        <v>3530</v>
      </c>
      <c r="M63" s="1168"/>
      <c r="N63" s="1149"/>
      <c r="O63" s="141" t="str">
        <f t="shared" si="0"/>
        <v xml:space="preserve">زمالي  بن عيسى </v>
      </c>
      <c r="P63" s="141" t="s">
        <v>504</v>
      </c>
      <c r="Q63" s="141" t="s">
        <v>1901</v>
      </c>
      <c r="R63" s="759"/>
      <c r="S63" s="989"/>
      <c r="T63" s="671"/>
      <c r="U63" s="28"/>
      <c r="V63" s="15" t="s">
        <v>560</v>
      </c>
      <c r="W63" s="15" t="s">
        <v>559</v>
      </c>
      <c r="X63" s="15"/>
    </row>
    <row r="64" spans="1:25" ht="16.5" customHeight="1">
      <c r="A64" s="140">
        <v>56</v>
      </c>
      <c r="B64" s="141"/>
      <c r="C64" s="1186" t="s">
        <v>2402</v>
      </c>
      <c r="D64" s="1186" t="s">
        <v>2403</v>
      </c>
      <c r="E64" s="1187" t="s">
        <v>2922</v>
      </c>
      <c r="F64" s="1188" t="s">
        <v>3338</v>
      </c>
      <c r="G64" s="1202" t="s">
        <v>1455</v>
      </c>
      <c r="H64" s="1212" t="s">
        <v>91</v>
      </c>
      <c r="I64" s="144" t="s">
        <v>340</v>
      </c>
      <c r="J64" s="1221" t="s">
        <v>2101</v>
      </c>
      <c r="K64" s="1235" t="s">
        <v>103</v>
      </c>
      <c r="L64" s="1244" t="s">
        <v>3531</v>
      </c>
      <c r="M64" s="1168"/>
      <c r="N64" s="1149"/>
      <c r="O64" s="141" t="str">
        <f t="shared" si="0"/>
        <v xml:space="preserve">شوطي  أحمد </v>
      </c>
      <c r="P64" s="141" t="s">
        <v>503</v>
      </c>
      <c r="Q64" s="141" t="s">
        <v>1902</v>
      </c>
      <c r="R64" s="759"/>
      <c r="S64" s="989"/>
      <c r="T64" s="671"/>
      <c r="U64" s="28"/>
      <c r="V64" s="15"/>
      <c r="W64" s="15"/>
      <c r="X64" s="15"/>
    </row>
    <row r="65" spans="1:25" ht="16.5" customHeight="1">
      <c r="A65" s="140">
        <v>57</v>
      </c>
      <c r="B65" s="141"/>
      <c r="C65" s="1183" t="s">
        <v>2404</v>
      </c>
      <c r="D65" s="1183" t="s">
        <v>2405</v>
      </c>
      <c r="E65" s="1184" t="s">
        <v>2911</v>
      </c>
      <c r="F65" s="1185" t="s">
        <v>90</v>
      </c>
      <c r="G65" s="1201" t="s">
        <v>1455</v>
      </c>
      <c r="H65" s="1209" t="s">
        <v>96</v>
      </c>
      <c r="I65" s="144" t="s">
        <v>340</v>
      </c>
      <c r="J65" s="1220" t="s">
        <v>2336</v>
      </c>
      <c r="K65" s="1233" t="s">
        <v>103</v>
      </c>
      <c r="L65" s="1245" t="s">
        <v>3532</v>
      </c>
      <c r="M65" s="1169"/>
      <c r="N65" s="1149"/>
      <c r="O65" s="141" t="str">
        <f t="shared" si="0"/>
        <v xml:space="preserve">عبدالي  عبد الله </v>
      </c>
      <c r="P65" s="141" t="s">
        <v>504</v>
      </c>
      <c r="Q65" s="141" t="s">
        <v>1902</v>
      </c>
      <c r="R65" s="759"/>
      <c r="S65" s="989"/>
      <c r="T65" s="671"/>
      <c r="U65" s="28"/>
      <c r="V65" s="15" t="s">
        <v>2</v>
      </c>
      <c r="W65" s="15" t="s">
        <v>562</v>
      </c>
      <c r="X65" s="15"/>
    </row>
    <row r="66" spans="1:25" ht="16.5" customHeight="1">
      <c r="A66" s="140">
        <v>58</v>
      </c>
      <c r="B66" s="141"/>
      <c r="C66" s="1186" t="s">
        <v>2388</v>
      </c>
      <c r="D66" s="1186" t="s">
        <v>2028</v>
      </c>
      <c r="E66" s="1187" t="s">
        <v>2887</v>
      </c>
      <c r="F66" s="1188" t="s">
        <v>90</v>
      </c>
      <c r="G66" s="1202" t="s">
        <v>1455</v>
      </c>
      <c r="H66" s="1213" t="s">
        <v>96</v>
      </c>
      <c r="I66" s="144" t="s">
        <v>340</v>
      </c>
      <c r="J66" s="1221" t="s">
        <v>3393</v>
      </c>
      <c r="K66" s="1235" t="s">
        <v>111</v>
      </c>
      <c r="L66" s="1244" t="s">
        <v>3533</v>
      </c>
      <c r="M66" s="1168"/>
      <c r="N66" s="1149"/>
      <c r="O66" s="141" t="str">
        <f t="shared" si="0"/>
        <v xml:space="preserve">عسال  العربي </v>
      </c>
      <c r="P66" s="141" t="s">
        <v>504</v>
      </c>
      <c r="Q66" s="141" t="s">
        <v>1901</v>
      </c>
      <c r="R66" s="759"/>
      <c r="S66" s="989"/>
      <c r="T66" s="671"/>
      <c r="U66" s="28"/>
      <c r="V66" s="15" t="s">
        <v>3</v>
      </c>
      <c r="W66" s="15" t="s">
        <v>562</v>
      </c>
      <c r="X66" s="15"/>
    </row>
    <row r="67" spans="1:25" ht="16.5" customHeight="1">
      <c r="A67" s="140">
        <v>59</v>
      </c>
      <c r="B67" s="141"/>
      <c r="C67" s="1186" t="s">
        <v>2409</v>
      </c>
      <c r="D67" s="1186" t="s">
        <v>2410</v>
      </c>
      <c r="E67" s="1187" t="s">
        <v>2925</v>
      </c>
      <c r="F67" s="1188" t="s">
        <v>3339</v>
      </c>
      <c r="G67" s="1202" t="s">
        <v>1455</v>
      </c>
      <c r="H67" s="1212" t="s">
        <v>91</v>
      </c>
      <c r="I67" s="144" t="s">
        <v>340</v>
      </c>
      <c r="J67" s="1221" t="s">
        <v>2325</v>
      </c>
      <c r="K67" s="1235" t="s">
        <v>102</v>
      </c>
      <c r="L67" s="1244" t="s">
        <v>3536</v>
      </c>
      <c r="M67" s="1168"/>
      <c r="N67" s="1149"/>
      <c r="O67" s="141" t="str">
        <f t="shared" si="0"/>
        <v xml:space="preserve">مجدوب  محمد </v>
      </c>
      <c r="P67" s="141" t="s">
        <v>504</v>
      </c>
      <c r="Q67" s="141" t="s">
        <v>1901</v>
      </c>
      <c r="R67" s="759"/>
      <c r="S67" s="989"/>
      <c r="T67" s="671"/>
      <c r="U67" s="28"/>
      <c r="V67" s="15" t="s">
        <v>563</v>
      </c>
      <c r="W67" s="15" t="s">
        <v>562</v>
      </c>
      <c r="X67" s="15"/>
    </row>
    <row r="68" spans="1:25" ht="16.5" customHeight="1">
      <c r="A68" s="140">
        <v>60</v>
      </c>
      <c r="B68" s="141"/>
      <c r="C68" s="1186" t="s">
        <v>2406</v>
      </c>
      <c r="D68" s="1186" t="s">
        <v>2407</v>
      </c>
      <c r="E68" s="1187" t="s">
        <v>2923</v>
      </c>
      <c r="F68" s="1188" t="s">
        <v>3339</v>
      </c>
      <c r="G68" s="1202" t="s">
        <v>1455</v>
      </c>
      <c r="H68" s="1213" t="s">
        <v>96</v>
      </c>
      <c r="I68" s="144" t="s">
        <v>340</v>
      </c>
      <c r="J68" s="1221" t="s">
        <v>3394</v>
      </c>
      <c r="K68" s="1235" t="s">
        <v>1893</v>
      </c>
      <c r="L68" s="1244" t="s">
        <v>3534</v>
      </c>
      <c r="M68" s="1168"/>
      <c r="N68" s="1149"/>
      <c r="O68" s="141" t="str">
        <f t="shared" si="0"/>
        <v xml:space="preserve">مرابط  حنيفي </v>
      </c>
      <c r="P68" s="141" t="s">
        <v>504</v>
      </c>
      <c r="Q68" s="141" t="s">
        <v>1902</v>
      </c>
      <c r="R68" s="759"/>
      <c r="S68" s="989"/>
      <c r="T68" s="671"/>
      <c r="U68" s="28"/>
      <c r="V68" s="15"/>
      <c r="W68" s="15"/>
      <c r="X68" s="15"/>
    </row>
    <row r="69" spans="1:25" ht="16.5" customHeight="1">
      <c r="A69" s="140">
        <v>61</v>
      </c>
      <c r="B69" s="141"/>
      <c r="C69" s="1186" t="s">
        <v>2369</v>
      </c>
      <c r="D69" s="1186" t="s">
        <v>2408</v>
      </c>
      <c r="E69" s="1187" t="s">
        <v>2924</v>
      </c>
      <c r="F69" s="1188" t="s">
        <v>3338</v>
      </c>
      <c r="G69" s="1202" t="s">
        <v>1455</v>
      </c>
      <c r="H69" s="1213" t="s">
        <v>96</v>
      </c>
      <c r="I69" s="144" t="s">
        <v>340</v>
      </c>
      <c r="J69" s="1221" t="s">
        <v>2309</v>
      </c>
      <c r="K69" s="1235" t="s">
        <v>111</v>
      </c>
      <c r="L69" s="1244" t="s">
        <v>3535</v>
      </c>
      <c r="M69" s="1168"/>
      <c r="N69" s="1149"/>
      <c r="O69" s="141" t="str">
        <f t="shared" si="0"/>
        <v xml:space="preserve">مراجي  بخدة </v>
      </c>
      <c r="P69" s="141" t="s">
        <v>503</v>
      </c>
      <c r="Q69" s="141" t="s">
        <v>1901</v>
      </c>
      <c r="R69" s="759"/>
      <c r="S69" s="260"/>
      <c r="T69" s="671"/>
      <c r="U69" s="28"/>
      <c r="V69" s="15" t="s">
        <v>50</v>
      </c>
      <c r="W69" s="15" t="s">
        <v>565</v>
      </c>
      <c r="X69" s="15"/>
    </row>
    <row r="70" spans="1:25" ht="16.5" customHeight="1">
      <c r="A70" s="140">
        <v>62</v>
      </c>
      <c r="B70" s="141"/>
      <c r="C70" s="1186" t="s">
        <v>2411</v>
      </c>
      <c r="D70" s="1186" t="s">
        <v>2412</v>
      </c>
      <c r="E70" s="1187" t="s">
        <v>2926</v>
      </c>
      <c r="F70" s="1188" t="s">
        <v>3338</v>
      </c>
      <c r="G70" s="1202" t="s">
        <v>1455</v>
      </c>
      <c r="H70" s="1213" t="s">
        <v>96</v>
      </c>
      <c r="I70" s="144" t="s">
        <v>340</v>
      </c>
      <c r="J70" s="1221" t="s">
        <v>2332</v>
      </c>
      <c r="K70" s="1235" t="s">
        <v>111</v>
      </c>
      <c r="L70" s="1244" t="s">
        <v>3537</v>
      </c>
      <c r="M70" s="1168"/>
      <c r="N70" s="1149"/>
      <c r="O70" s="141" t="str">
        <f t="shared" si="0"/>
        <v xml:space="preserve">مريحة  عبد القادر </v>
      </c>
      <c r="P70" s="141" t="s">
        <v>504</v>
      </c>
      <c r="Q70" s="141" t="s">
        <v>1901</v>
      </c>
      <c r="R70" s="759"/>
      <c r="S70" s="989"/>
      <c r="T70" s="671" t="s">
        <v>628</v>
      </c>
      <c r="U70" s="28"/>
      <c r="V70" s="15" t="s">
        <v>566</v>
      </c>
      <c r="W70" s="15" t="s">
        <v>565</v>
      </c>
      <c r="X70" s="15"/>
    </row>
    <row r="71" spans="1:25" ht="16.5" customHeight="1">
      <c r="A71" s="140">
        <v>63</v>
      </c>
      <c r="B71" s="141"/>
      <c r="C71" s="1186" t="s">
        <v>1157</v>
      </c>
      <c r="D71" s="1186" t="s">
        <v>991</v>
      </c>
      <c r="E71" s="1187" t="s">
        <v>2927</v>
      </c>
      <c r="F71" s="1188" t="s">
        <v>3339</v>
      </c>
      <c r="G71" s="1202" t="s">
        <v>1455</v>
      </c>
      <c r="H71" s="1213" t="s">
        <v>96</v>
      </c>
      <c r="I71" s="144" t="s">
        <v>340</v>
      </c>
      <c r="J71" s="1221" t="s">
        <v>3395</v>
      </c>
      <c r="K71" s="1235" t="s">
        <v>111</v>
      </c>
      <c r="L71" s="1244" t="s">
        <v>3538</v>
      </c>
      <c r="M71" s="1168"/>
      <c r="N71" s="1149"/>
      <c r="O71" s="141" t="str">
        <f t="shared" si="0"/>
        <v xml:space="preserve">مرين  بلقاسم </v>
      </c>
      <c r="P71" s="141" t="s">
        <v>503</v>
      </c>
      <c r="Q71" s="141" t="s">
        <v>1902</v>
      </c>
      <c r="R71" s="759"/>
      <c r="S71" s="989"/>
      <c r="T71" s="671" t="s">
        <v>628</v>
      </c>
      <c r="U71" s="28"/>
      <c r="V71" s="15" t="s">
        <v>567</v>
      </c>
      <c r="W71" s="15" t="s">
        <v>565</v>
      </c>
      <c r="X71" s="15"/>
    </row>
    <row r="72" spans="1:25" s="845" customFormat="1" ht="16.5" customHeight="1">
      <c r="A72" s="140">
        <v>64</v>
      </c>
      <c r="B72" s="141"/>
      <c r="C72" s="1186" t="s">
        <v>1013</v>
      </c>
      <c r="D72" s="1186" t="s">
        <v>2413</v>
      </c>
      <c r="E72" s="1187" t="s">
        <v>2869</v>
      </c>
      <c r="F72" s="1188" t="s">
        <v>90</v>
      </c>
      <c r="G72" s="1202" t="s">
        <v>1455</v>
      </c>
      <c r="H72" s="1212" t="s">
        <v>91</v>
      </c>
      <c r="I72" s="144" t="s">
        <v>340</v>
      </c>
      <c r="J72" s="1221" t="s">
        <v>2332</v>
      </c>
      <c r="K72" s="1234" t="s">
        <v>128</v>
      </c>
      <c r="L72" s="1244" t="s">
        <v>3539</v>
      </c>
      <c r="M72" s="1168"/>
      <c r="N72" s="1149"/>
      <c r="O72" s="141" t="str">
        <f t="shared" si="0"/>
        <v xml:space="preserve">معطى الله  عبد القادر </v>
      </c>
      <c r="P72" s="141" t="s">
        <v>503</v>
      </c>
      <c r="Q72" s="141"/>
      <c r="R72" s="759"/>
      <c r="S72" s="989"/>
      <c r="T72" s="671"/>
      <c r="U72" s="28"/>
      <c r="V72" s="15"/>
      <c r="W72" s="15"/>
      <c r="X72" s="15"/>
      <c r="Y72" s="28"/>
    </row>
    <row r="73" spans="1:25" ht="16.5" customHeight="1">
      <c r="A73" s="140">
        <v>65</v>
      </c>
      <c r="B73" s="141"/>
      <c r="C73" s="1186" t="s">
        <v>2414</v>
      </c>
      <c r="D73" s="1186" t="s">
        <v>107</v>
      </c>
      <c r="E73" s="1187" t="s">
        <v>2929</v>
      </c>
      <c r="F73" s="1188" t="s">
        <v>3338</v>
      </c>
      <c r="G73" s="1202" t="s">
        <v>1455</v>
      </c>
      <c r="H73" s="1213" t="s">
        <v>96</v>
      </c>
      <c r="I73" s="144" t="s">
        <v>340</v>
      </c>
      <c r="J73" s="1221" t="s">
        <v>2332</v>
      </c>
      <c r="K73" s="1235" t="s">
        <v>111</v>
      </c>
      <c r="L73" s="1244" t="s">
        <v>3541</v>
      </c>
      <c r="M73" s="1168"/>
      <c r="N73" s="1149"/>
      <c r="O73" s="141" t="str">
        <f t="shared" si="0"/>
        <v xml:space="preserve">منقور  عبد القادر </v>
      </c>
      <c r="P73" s="141" t="s">
        <v>503</v>
      </c>
      <c r="Q73" s="141" t="s">
        <v>1903</v>
      </c>
      <c r="R73" s="759"/>
      <c r="S73" s="989"/>
      <c r="T73" s="671" t="s">
        <v>628</v>
      </c>
      <c r="U73" s="28"/>
      <c r="V73" s="15" t="s">
        <v>13</v>
      </c>
      <c r="W73" s="15" t="s">
        <v>568</v>
      </c>
      <c r="X73" s="15"/>
    </row>
    <row r="74" spans="1:25" ht="16.5" customHeight="1">
      <c r="A74" s="140">
        <v>66</v>
      </c>
      <c r="B74" s="141"/>
      <c r="C74" s="1186" t="s">
        <v>2415</v>
      </c>
      <c r="D74" s="1186" t="s">
        <v>27</v>
      </c>
      <c r="E74" s="1187" t="s">
        <v>2930</v>
      </c>
      <c r="F74" s="1188" t="s">
        <v>90</v>
      </c>
      <c r="G74" s="1202" t="s">
        <v>1455</v>
      </c>
      <c r="H74" s="1212" t="s">
        <v>91</v>
      </c>
      <c r="I74" s="144" t="s">
        <v>340</v>
      </c>
      <c r="J74" s="1221" t="s">
        <v>2335</v>
      </c>
      <c r="K74" s="1235" t="s">
        <v>128</v>
      </c>
      <c r="L74" s="1244" t="s">
        <v>3542</v>
      </c>
      <c r="M74" s="1168"/>
      <c r="N74" s="1149"/>
      <c r="O74" s="141" t="str">
        <f t="shared" ref="O74:O137" si="1">(C74&amp;"  "&amp;J74)</f>
        <v xml:space="preserve">موسن منصور سايح  سعيد </v>
      </c>
      <c r="P74" s="141" t="s">
        <v>504</v>
      </c>
      <c r="Q74" s="141" t="s">
        <v>1903</v>
      </c>
      <c r="R74" s="759"/>
      <c r="S74" s="989"/>
      <c r="T74" s="671" t="s">
        <v>628</v>
      </c>
      <c r="U74" s="28"/>
      <c r="V74" s="15"/>
      <c r="W74" s="15"/>
      <c r="X74" s="15"/>
    </row>
    <row r="75" spans="1:25" ht="16.5" customHeight="1">
      <c r="A75" s="140">
        <v>67</v>
      </c>
      <c r="B75" s="141"/>
      <c r="C75" s="1186" t="s">
        <v>2393</v>
      </c>
      <c r="D75" s="1186" t="s">
        <v>689</v>
      </c>
      <c r="E75" s="1187" t="s">
        <v>2928</v>
      </c>
      <c r="F75" s="1188" t="s">
        <v>3338</v>
      </c>
      <c r="G75" s="1202" t="s">
        <v>1455</v>
      </c>
      <c r="H75" s="1212" t="s">
        <v>91</v>
      </c>
      <c r="I75" s="144" t="s">
        <v>340</v>
      </c>
      <c r="J75" s="1221" t="s">
        <v>2333</v>
      </c>
      <c r="K75" s="1235" t="s">
        <v>103</v>
      </c>
      <c r="L75" s="1244" t="s">
        <v>3540</v>
      </c>
      <c r="M75" s="1168"/>
      <c r="N75" s="1149"/>
      <c r="O75" s="141" t="str">
        <f t="shared" si="1"/>
        <v xml:space="preserve">هامل  عباس </v>
      </c>
      <c r="P75" s="141" t="s">
        <v>503</v>
      </c>
      <c r="Q75" s="141" t="s">
        <v>1903</v>
      </c>
      <c r="R75" s="759"/>
      <c r="S75" s="989"/>
      <c r="T75" s="404"/>
      <c r="U75" s="28"/>
      <c r="V75" s="15"/>
      <c r="W75" s="15"/>
      <c r="X75" s="15"/>
    </row>
    <row r="76" spans="1:25" ht="16.5" customHeight="1">
      <c r="A76" s="140">
        <v>68</v>
      </c>
      <c r="B76" s="141"/>
      <c r="C76" s="1183" t="s">
        <v>156</v>
      </c>
      <c r="D76" s="1183" t="s">
        <v>101</v>
      </c>
      <c r="E76" s="1184" t="s">
        <v>2931</v>
      </c>
      <c r="F76" s="1185" t="s">
        <v>3339</v>
      </c>
      <c r="G76" s="1201" t="s">
        <v>1455</v>
      </c>
      <c r="H76" s="1209" t="s">
        <v>96</v>
      </c>
      <c r="I76" s="144" t="s">
        <v>340</v>
      </c>
      <c r="J76" s="1220" t="s">
        <v>3371</v>
      </c>
      <c r="K76" s="1233" t="s">
        <v>111</v>
      </c>
      <c r="L76" s="1245" t="s">
        <v>494</v>
      </c>
      <c r="M76" s="1169"/>
      <c r="N76" s="1149"/>
      <c r="O76" s="141" t="str">
        <f t="shared" si="1"/>
        <v xml:space="preserve">هلال  علي </v>
      </c>
      <c r="P76" s="141" t="s">
        <v>503</v>
      </c>
      <c r="Q76" s="141" t="s">
        <v>1903</v>
      </c>
      <c r="R76" s="759"/>
      <c r="S76" s="989"/>
      <c r="T76" s="404"/>
      <c r="U76" s="28"/>
      <c r="V76" s="15" t="s">
        <v>570</v>
      </c>
      <c r="W76" s="15" t="s">
        <v>568</v>
      </c>
      <c r="X76" s="15"/>
    </row>
    <row r="77" spans="1:25" ht="16.5" customHeight="1">
      <c r="A77" s="140">
        <v>69</v>
      </c>
      <c r="B77" s="141"/>
      <c r="C77" s="1186" t="s">
        <v>2416</v>
      </c>
      <c r="D77" s="1186" t="s">
        <v>2417</v>
      </c>
      <c r="E77" s="1187" t="s">
        <v>2932</v>
      </c>
      <c r="F77" s="1188" t="s">
        <v>3339</v>
      </c>
      <c r="G77" s="1204" t="s">
        <v>0</v>
      </c>
      <c r="H77" s="1212" t="s">
        <v>1458</v>
      </c>
      <c r="I77" s="144" t="s">
        <v>341</v>
      </c>
      <c r="J77" s="1221" t="s">
        <v>2171</v>
      </c>
      <c r="K77" s="1235" t="s">
        <v>103</v>
      </c>
      <c r="L77" s="1244" t="s">
        <v>494</v>
      </c>
      <c r="M77" s="1168"/>
      <c r="N77" s="1149"/>
      <c r="O77" s="141" t="str">
        <f t="shared" si="1"/>
        <v xml:space="preserve">برحال  بن عتو </v>
      </c>
      <c r="P77" s="141" t="s">
        <v>504</v>
      </c>
      <c r="Q77" s="141" t="s">
        <v>1903</v>
      </c>
      <c r="R77" s="759"/>
      <c r="S77" s="989"/>
      <c r="T77" s="417"/>
      <c r="U77" s="28"/>
      <c r="V77" s="15" t="s">
        <v>571</v>
      </c>
      <c r="W77" s="15" t="s">
        <v>568</v>
      </c>
      <c r="X77" s="15"/>
    </row>
    <row r="78" spans="1:25" ht="16.5" customHeight="1">
      <c r="A78" s="140">
        <v>70</v>
      </c>
      <c r="B78" s="141"/>
      <c r="C78" s="1186" t="s">
        <v>2418</v>
      </c>
      <c r="D78" s="1186" t="s">
        <v>2419</v>
      </c>
      <c r="E78" s="1187" t="s">
        <v>2933</v>
      </c>
      <c r="F78" s="1188" t="s">
        <v>3338</v>
      </c>
      <c r="G78" s="1204" t="s">
        <v>0</v>
      </c>
      <c r="H78" s="1212" t="s">
        <v>1458</v>
      </c>
      <c r="I78" s="144" t="s">
        <v>341</v>
      </c>
      <c r="J78" s="1221" t="s">
        <v>2334</v>
      </c>
      <c r="K78" s="1235" t="s">
        <v>498</v>
      </c>
      <c r="L78" s="1244" t="s">
        <v>494</v>
      </c>
      <c r="M78" s="1168"/>
      <c r="N78" s="1149"/>
      <c r="O78" s="141" t="str">
        <f t="shared" si="1"/>
        <v xml:space="preserve">سعيدوني  جيلالي </v>
      </c>
      <c r="P78" s="141" t="s">
        <v>504</v>
      </c>
      <c r="Q78" s="141" t="s">
        <v>1903</v>
      </c>
      <c r="R78" s="759"/>
      <c r="S78" s="989"/>
      <c r="T78" s="417"/>
      <c r="U78" s="28"/>
      <c r="V78" s="15" t="s">
        <v>572</v>
      </c>
      <c r="W78" s="15" t="s">
        <v>568</v>
      </c>
      <c r="X78" s="15"/>
    </row>
    <row r="79" spans="1:25" ht="16.5" customHeight="1">
      <c r="A79" s="140">
        <v>71</v>
      </c>
      <c r="B79" s="141"/>
      <c r="C79" s="1186" t="s">
        <v>185</v>
      </c>
      <c r="D79" s="1186" t="s">
        <v>2422</v>
      </c>
      <c r="E79" s="1187" t="s">
        <v>2935</v>
      </c>
      <c r="F79" s="1188" t="s">
        <v>90</v>
      </c>
      <c r="G79" s="1204" t="s">
        <v>0</v>
      </c>
      <c r="H79" s="1212" t="s">
        <v>1458</v>
      </c>
      <c r="I79" s="144" t="s">
        <v>341</v>
      </c>
      <c r="J79" s="1221" t="s">
        <v>2179</v>
      </c>
      <c r="K79" s="1235" t="s">
        <v>2067</v>
      </c>
      <c r="L79" s="1244" t="s">
        <v>3544</v>
      </c>
      <c r="M79" s="1168"/>
      <c r="N79" s="1149"/>
      <c r="O79" s="141" t="str">
        <f t="shared" si="1"/>
        <v xml:space="preserve">نوالة  جلول </v>
      </c>
      <c r="P79" s="141" t="s">
        <v>504</v>
      </c>
      <c r="Q79" s="141" t="s">
        <v>1904</v>
      </c>
      <c r="R79" s="759"/>
      <c r="S79" s="989"/>
      <c r="T79" s="417"/>
      <c r="U79" s="28"/>
      <c r="V79" s="15" t="s">
        <v>4</v>
      </c>
      <c r="W79" s="15" t="s">
        <v>573</v>
      </c>
      <c r="X79" s="15"/>
    </row>
    <row r="80" spans="1:25" ht="16.5" customHeight="1">
      <c r="A80" s="140">
        <v>72</v>
      </c>
      <c r="B80" s="141"/>
      <c r="C80" s="1186" t="s">
        <v>514</v>
      </c>
      <c r="D80" s="1186" t="s">
        <v>2030</v>
      </c>
      <c r="E80" s="1187" t="s">
        <v>2937</v>
      </c>
      <c r="F80" s="1188" t="s">
        <v>90</v>
      </c>
      <c r="G80" s="1204" t="s">
        <v>0</v>
      </c>
      <c r="H80" s="1212" t="s">
        <v>91</v>
      </c>
      <c r="I80" s="144" t="s">
        <v>341</v>
      </c>
      <c r="J80" s="1221" t="s">
        <v>3396</v>
      </c>
      <c r="K80" s="1234" t="s">
        <v>103</v>
      </c>
      <c r="L80" s="1244" t="s">
        <v>3546</v>
      </c>
      <c r="M80" s="1168"/>
      <c r="N80" s="1149"/>
      <c r="O80" s="141" t="str">
        <f t="shared" si="1"/>
        <v xml:space="preserve">براهمي  سليمان </v>
      </c>
      <c r="P80" s="141" t="s">
        <v>502</v>
      </c>
      <c r="Q80" s="141" t="s">
        <v>1905</v>
      </c>
      <c r="R80" s="759"/>
      <c r="S80" s="989"/>
      <c r="T80" s="417"/>
      <c r="U80" s="28"/>
      <c r="V80" s="15" t="s">
        <v>574</v>
      </c>
      <c r="W80" s="15" t="s">
        <v>573</v>
      </c>
      <c r="X80" s="15"/>
    </row>
    <row r="81" spans="1:25" s="817" customFormat="1" ht="16.5" customHeight="1">
      <c r="A81" s="140">
        <v>73</v>
      </c>
      <c r="B81" s="141"/>
      <c r="C81" s="1186" t="s">
        <v>2088</v>
      </c>
      <c r="D81" s="1186" t="s">
        <v>2425</v>
      </c>
      <c r="E81" s="1187" t="s">
        <v>2938</v>
      </c>
      <c r="F81" s="1188" t="s">
        <v>90</v>
      </c>
      <c r="G81" s="1204" t="s">
        <v>0</v>
      </c>
      <c r="H81" s="1213" t="s">
        <v>96</v>
      </c>
      <c r="I81" s="144" t="s">
        <v>341</v>
      </c>
      <c r="J81" s="1221"/>
      <c r="K81" s="1235" t="s">
        <v>128</v>
      </c>
      <c r="L81" s="1244"/>
      <c r="M81" s="1168"/>
      <c r="N81" s="1149"/>
      <c r="O81" s="141" t="str">
        <f t="shared" si="1"/>
        <v xml:space="preserve">بن سجاد  </v>
      </c>
      <c r="P81" s="141" t="s">
        <v>502</v>
      </c>
      <c r="Q81" s="141" t="s">
        <v>1909</v>
      </c>
      <c r="R81" s="759"/>
      <c r="S81" s="989"/>
      <c r="T81" s="417"/>
      <c r="U81" s="28"/>
      <c r="V81" s="15"/>
      <c r="W81" s="15"/>
      <c r="X81" s="15"/>
      <c r="Y81" s="28"/>
    </row>
    <row r="82" spans="1:25" ht="16.5" customHeight="1">
      <c r="A82" s="140">
        <v>74</v>
      </c>
      <c r="B82" s="141"/>
      <c r="C82" s="1186" t="s">
        <v>2426</v>
      </c>
      <c r="D82" s="1186" t="s">
        <v>2427</v>
      </c>
      <c r="E82" s="1187" t="s">
        <v>2939</v>
      </c>
      <c r="F82" s="1188" t="s">
        <v>90</v>
      </c>
      <c r="G82" s="1204" t="s">
        <v>0</v>
      </c>
      <c r="H82" s="1213" t="s">
        <v>96</v>
      </c>
      <c r="I82" s="144" t="s">
        <v>340</v>
      </c>
      <c r="J82" s="1221" t="s">
        <v>2325</v>
      </c>
      <c r="K82" s="1234" t="s">
        <v>103</v>
      </c>
      <c r="L82" s="1244" t="s">
        <v>494</v>
      </c>
      <c r="M82" s="1168"/>
      <c r="N82" s="1149"/>
      <c r="O82" s="141" t="str">
        <f t="shared" si="1"/>
        <v xml:space="preserve">بوقناية  محمد </v>
      </c>
      <c r="P82" s="141" t="s">
        <v>502</v>
      </c>
      <c r="Q82" s="141" t="s">
        <v>1904</v>
      </c>
      <c r="R82" s="759"/>
      <c r="S82" s="989"/>
      <c r="T82" s="417"/>
      <c r="U82" s="28"/>
      <c r="V82" s="15" t="s">
        <v>10</v>
      </c>
      <c r="W82" s="15" t="s">
        <v>575</v>
      </c>
      <c r="X82" s="15"/>
    </row>
    <row r="83" spans="1:25" ht="16.5" customHeight="1">
      <c r="A83" s="140">
        <v>75</v>
      </c>
      <c r="B83" s="141"/>
      <c r="C83" s="1186" t="s">
        <v>2428</v>
      </c>
      <c r="D83" s="1186" t="s">
        <v>101</v>
      </c>
      <c r="E83" s="1187" t="s">
        <v>2940</v>
      </c>
      <c r="F83" s="1188" t="s">
        <v>133</v>
      </c>
      <c r="G83" s="1204" t="s">
        <v>0</v>
      </c>
      <c r="H83" s="1213" t="s">
        <v>96</v>
      </c>
      <c r="I83" s="144" t="s">
        <v>340</v>
      </c>
      <c r="J83" s="1221" t="s">
        <v>3397</v>
      </c>
      <c r="K83" s="1235" t="s">
        <v>128</v>
      </c>
      <c r="L83" s="1244" t="s">
        <v>3547</v>
      </c>
      <c r="M83" s="1168"/>
      <c r="N83" s="1149"/>
      <c r="O83" s="141" t="str">
        <f t="shared" si="1"/>
        <v xml:space="preserve">بونخالة  رشيد </v>
      </c>
      <c r="P83" s="141" t="s">
        <v>503</v>
      </c>
      <c r="Q83" s="141" t="s">
        <v>1905</v>
      </c>
      <c r="R83" s="759"/>
      <c r="S83" s="989"/>
      <c r="T83" s="417"/>
      <c r="U83" s="28"/>
      <c r="V83" s="15" t="s">
        <v>11</v>
      </c>
      <c r="W83" s="15" t="s">
        <v>575</v>
      </c>
      <c r="X83" s="15"/>
    </row>
    <row r="84" spans="1:25" ht="16.5" customHeight="1">
      <c r="A84" s="140">
        <v>76</v>
      </c>
      <c r="B84" s="141"/>
      <c r="C84" s="1186" t="s">
        <v>2382</v>
      </c>
      <c r="D84" s="1186" t="s">
        <v>2429</v>
      </c>
      <c r="E84" s="1187" t="s">
        <v>2887</v>
      </c>
      <c r="F84" s="1188" t="s">
        <v>90</v>
      </c>
      <c r="G84" s="1204" t="s">
        <v>0</v>
      </c>
      <c r="H84" s="1212" t="s">
        <v>91</v>
      </c>
      <c r="I84" s="144" t="s">
        <v>340</v>
      </c>
      <c r="J84" s="1221" t="s">
        <v>3374</v>
      </c>
      <c r="K84" s="1235" t="s">
        <v>102</v>
      </c>
      <c r="L84" s="1244" t="s">
        <v>3548</v>
      </c>
      <c r="M84" s="1168"/>
      <c r="N84" s="1149"/>
      <c r="O84" s="141" t="str">
        <f t="shared" si="1"/>
        <v xml:space="preserve">تونسي  مختار </v>
      </c>
      <c r="P84" s="141" t="s">
        <v>503</v>
      </c>
      <c r="Q84" s="141" t="s">
        <v>1904</v>
      </c>
      <c r="R84" s="759"/>
      <c r="S84" s="989"/>
      <c r="T84" s="404"/>
      <c r="U84" s="28"/>
      <c r="V84" s="15" t="s">
        <v>525</v>
      </c>
      <c r="W84" s="15" t="s">
        <v>575</v>
      </c>
      <c r="X84" s="15"/>
    </row>
    <row r="85" spans="1:25" ht="16.5" customHeight="1">
      <c r="A85" s="140">
        <v>77</v>
      </c>
      <c r="B85" s="141"/>
      <c r="C85" s="1186" t="s">
        <v>2430</v>
      </c>
      <c r="D85" s="1186" t="s">
        <v>1034</v>
      </c>
      <c r="E85" s="1187" t="s">
        <v>2941</v>
      </c>
      <c r="F85" s="1188" t="s">
        <v>90</v>
      </c>
      <c r="G85" s="1204" t="s">
        <v>0</v>
      </c>
      <c r="H85" s="1212" t="s">
        <v>91</v>
      </c>
      <c r="I85" s="144" t="s">
        <v>340</v>
      </c>
      <c r="J85" s="1221" t="s">
        <v>2333</v>
      </c>
      <c r="K85" s="1235" t="s">
        <v>103</v>
      </c>
      <c r="L85" s="1244" t="s">
        <v>3549</v>
      </c>
      <c r="M85" s="1168"/>
      <c r="N85" s="1149"/>
      <c r="O85" s="141" t="str">
        <f t="shared" si="1"/>
        <v xml:space="preserve">جلاب  عباس </v>
      </c>
      <c r="P85" s="141" t="s">
        <v>504</v>
      </c>
      <c r="Q85" s="141" t="s">
        <v>1905</v>
      </c>
      <c r="R85" s="759"/>
      <c r="S85" s="989"/>
      <c r="T85" s="404"/>
      <c r="U85" s="28"/>
      <c r="V85" s="15"/>
      <c r="W85" s="15"/>
      <c r="X85" s="15"/>
    </row>
    <row r="86" spans="1:25" s="968" customFormat="1" ht="16.5" customHeight="1">
      <c r="A86" s="140">
        <v>78</v>
      </c>
      <c r="B86" s="141"/>
      <c r="C86" s="1186" t="s">
        <v>2431</v>
      </c>
      <c r="D86" s="1186" t="s">
        <v>120</v>
      </c>
      <c r="E86" s="1187" t="s">
        <v>2942</v>
      </c>
      <c r="F86" s="1188" t="s">
        <v>3338</v>
      </c>
      <c r="G86" s="1204" t="s">
        <v>0</v>
      </c>
      <c r="H86" s="1212" t="s">
        <v>91</v>
      </c>
      <c r="I86" s="144" t="s">
        <v>340</v>
      </c>
      <c r="J86" s="1221" t="s">
        <v>2184</v>
      </c>
      <c r="K86" s="1235" t="s">
        <v>103</v>
      </c>
      <c r="L86" s="1244" t="s">
        <v>3500</v>
      </c>
      <c r="M86" s="1168"/>
      <c r="N86" s="1149"/>
      <c r="O86" s="141" t="str">
        <f t="shared" si="1"/>
        <v xml:space="preserve">جلغوم  مهاجي </v>
      </c>
      <c r="P86" s="141" t="s">
        <v>504</v>
      </c>
      <c r="Q86" s="141"/>
      <c r="R86" s="759"/>
      <c r="S86" s="989"/>
      <c r="T86" s="404"/>
      <c r="U86" s="28"/>
      <c r="V86" s="15"/>
      <c r="W86" s="15"/>
      <c r="X86" s="15"/>
      <c r="Y86" s="28"/>
    </row>
    <row r="87" spans="1:25" ht="16.5" customHeight="1">
      <c r="A87" s="140">
        <v>79</v>
      </c>
      <c r="B87" s="141"/>
      <c r="C87" s="1186" t="s">
        <v>2432</v>
      </c>
      <c r="D87" s="1186" t="s">
        <v>2055</v>
      </c>
      <c r="E87" s="1187" t="s">
        <v>2943</v>
      </c>
      <c r="F87" s="1188" t="s">
        <v>3339</v>
      </c>
      <c r="G87" s="1204" t="s">
        <v>0</v>
      </c>
      <c r="H87" s="1212" t="s">
        <v>91</v>
      </c>
      <c r="I87" s="144" t="s">
        <v>340</v>
      </c>
      <c r="J87" s="1221" t="s">
        <v>2325</v>
      </c>
      <c r="K87" s="1235" t="s">
        <v>1194</v>
      </c>
      <c r="L87" s="1244" t="s">
        <v>494</v>
      </c>
      <c r="M87" s="1168"/>
      <c r="N87" s="1149"/>
      <c r="O87" s="141" t="str">
        <f t="shared" si="1"/>
        <v xml:space="preserve">حافظي  محمد </v>
      </c>
      <c r="P87" s="141" t="s">
        <v>504</v>
      </c>
      <c r="Q87" s="141" t="s">
        <v>1905</v>
      </c>
      <c r="R87" s="759"/>
      <c r="S87" s="989"/>
      <c r="T87" s="417"/>
      <c r="U87" s="28"/>
      <c r="V87" s="15" t="s">
        <v>577</v>
      </c>
      <c r="W87" s="15" t="s">
        <v>575</v>
      </c>
      <c r="X87" s="15"/>
    </row>
    <row r="88" spans="1:25" ht="16.5" customHeight="1">
      <c r="A88" s="140">
        <v>80</v>
      </c>
      <c r="B88" s="141"/>
      <c r="C88" s="1186" t="s">
        <v>2433</v>
      </c>
      <c r="D88" s="1186" t="s">
        <v>2434</v>
      </c>
      <c r="E88" s="1187" t="s">
        <v>2944</v>
      </c>
      <c r="F88" s="1188" t="s">
        <v>3339</v>
      </c>
      <c r="G88" s="1204" t="s">
        <v>0</v>
      </c>
      <c r="H88" s="1212" t="s">
        <v>91</v>
      </c>
      <c r="I88" s="144" t="s">
        <v>340</v>
      </c>
      <c r="J88" s="1221" t="s">
        <v>3393</v>
      </c>
      <c r="K88" s="1235" t="s">
        <v>103</v>
      </c>
      <c r="L88" s="1244" t="s">
        <v>3550</v>
      </c>
      <c r="M88" s="1168"/>
      <c r="N88" s="1149"/>
      <c r="O88" s="141" t="str">
        <f t="shared" si="1"/>
        <v xml:space="preserve">حجاجي  العربي </v>
      </c>
      <c r="P88" s="141" t="s">
        <v>503</v>
      </c>
      <c r="Q88" s="141" t="s">
        <v>1904</v>
      </c>
      <c r="R88" s="759"/>
      <c r="S88" s="989"/>
      <c r="T88" s="417"/>
      <c r="U88" s="28"/>
      <c r="V88" s="15" t="s">
        <v>35</v>
      </c>
      <c r="W88" s="15" t="s">
        <v>578</v>
      </c>
      <c r="X88" s="15"/>
    </row>
    <row r="89" spans="1:25" ht="16.5" customHeight="1">
      <c r="A89" s="140">
        <v>81</v>
      </c>
      <c r="B89" s="141"/>
      <c r="C89" s="1186" t="s">
        <v>2384</v>
      </c>
      <c r="D89" s="1186" t="s">
        <v>2435</v>
      </c>
      <c r="E89" s="1187" t="s">
        <v>2945</v>
      </c>
      <c r="F89" s="1188" t="s">
        <v>90</v>
      </c>
      <c r="G89" s="1204" t="s">
        <v>0</v>
      </c>
      <c r="H89" s="1213" t="s">
        <v>96</v>
      </c>
      <c r="I89" s="144" t="s">
        <v>340</v>
      </c>
      <c r="J89" s="1221" t="s">
        <v>2325</v>
      </c>
      <c r="K89" s="1235" t="s">
        <v>111</v>
      </c>
      <c r="L89" s="1244" t="s">
        <v>3551</v>
      </c>
      <c r="M89" s="1168"/>
      <c r="N89" s="1149"/>
      <c r="O89" s="141" t="str">
        <f t="shared" si="1"/>
        <v xml:space="preserve">حجري  محمد </v>
      </c>
      <c r="P89" s="141" t="s">
        <v>504</v>
      </c>
      <c r="Q89" s="141" t="s">
        <v>1904</v>
      </c>
      <c r="R89" s="759"/>
      <c r="S89" s="989"/>
      <c r="T89" s="676"/>
      <c r="U89" s="28"/>
      <c r="V89" s="15" t="s">
        <v>39</v>
      </c>
      <c r="W89" s="15" t="s">
        <v>578</v>
      </c>
      <c r="X89" s="15"/>
    </row>
    <row r="90" spans="1:25" ht="16.5" customHeight="1">
      <c r="A90" s="140">
        <v>82</v>
      </c>
      <c r="B90" s="141"/>
      <c r="C90" s="1186" t="s">
        <v>2436</v>
      </c>
      <c r="D90" s="1186" t="s">
        <v>2437</v>
      </c>
      <c r="E90" s="1187" t="s">
        <v>2946</v>
      </c>
      <c r="F90" s="1188" t="s">
        <v>3339</v>
      </c>
      <c r="G90" s="1204" t="s">
        <v>0</v>
      </c>
      <c r="H90" s="1213" t="s">
        <v>96</v>
      </c>
      <c r="I90" s="144" t="s">
        <v>340</v>
      </c>
      <c r="J90" s="1221" t="s">
        <v>2173</v>
      </c>
      <c r="K90" s="1235" t="s">
        <v>103</v>
      </c>
      <c r="L90" s="1244" t="s">
        <v>3552</v>
      </c>
      <c r="M90" s="1168"/>
      <c r="N90" s="1149"/>
      <c r="O90" s="141" t="str">
        <f t="shared" si="1"/>
        <v xml:space="preserve">داعي  قادة </v>
      </c>
      <c r="P90" s="141" t="s">
        <v>503</v>
      </c>
      <c r="Q90" s="141" t="s">
        <v>1904</v>
      </c>
      <c r="R90" s="759"/>
      <c r="S90" s="989"/>
      <c r="T90" s="404"/>
      <c r="U90" s="28"/>
      <c r="V90" s="15" t="s">
        <v>579</v>
      </c>
      <c r="W90" s="15" t="s">
        <v>578</v>
      </c>
      <c r="X90" s="15"/>
    </row>
    <row r="91" spans="1:25" s="845" customFormat="1" ht="16.5" customHeight="1">
      <c r="A91" s="140">
        <v>83</v>
      </c>
      <c r="B91" s="141"/>
      <c r="C91" s="1186" t="s">
        <v>2438</v>
      </c>
      <c r="D91" s="1186" t="s">
        <v>142</v>
      </c>
      <c r="E91" s="1187" t="s">
        <v>2947</v>
      </c>
      <c r="F91" s="1188" t="s">
        <v>3347</v>
      </c>
      <c r="G91" s="1204" t="s">
        <v>0</v>
      </c>
      <c r="H91" s="1212" t="s">
        <v>91</v>
      </c>
      <c r="I91" s="144" t="s">
        <v>340</v>
      </c>
      <c r="J91" s="1221" t="s">
        <v>2173</v>
      </c>
      <c r="K91" s="1235" t="s">
        <v>103</v>
      </c>
      <c r="L91" s="1244" t="s">
        <v>3553</v>
      </c>
      <c r="M91" s="1168"/>
      <c r="N91" s="1149"/>
      <c r="O91" s="141" t="str">
        <f t="shared" si="1"/>
        <v xml:space="preserve">رايس  قادة </v>
      </c>
      <c r="P91" s="141" t="s">
        <v>503</v>
      </c>
      <c r="Q91" s="141"/>
      <c r="R91" s="759"/>
      <c r="S91" s="989"/>
      <c r="T91" s="404"/>
      <c r="U91" s="28"/>
      <c r="V91" s="15"/>
      <c r="W91" s="15"/>
      <c r="X91" s="15"/>
      <c r="Y91" s="28"/>
    </row>
    <row r="92" spans="1:25" ht="16.5" customHeight="1">
      <c r="A92" s="140">
        <v>84</v>
      </c>
      <c r="B92" s="141"/>
      <c r="C92" s="1186" t="s">
        <v>162</v>
      </c>
      <c r="D92" s="1186" t="s">
        <v>2439</v>
      </c>
      <c r="E92" s="1187" t="s">
        <v>2948</v>
      </c>
      <c r="F92" s="1188" t="s">
        <v>3348</v>
      </c>
      <c r="G92" s="1204" t="s">
        <v>0</v>
      </c>
      <c r="H92" s="1212" t="s">
        <v>91</v>
      </c>
      <c r="I92" s="144" t="s">
        <v>340</v>
      </c>
      <c r="J92" s="1221" t="s">
        <v>3398</v>
      </c>
      <c r="K92" s="1235" t="s">
        <v>103</v>
      </c>
      <c r="L92" s="1244" t="s">
        <v>3554</v>
      </c>
      <c r="M92" s="1168"/>
      <c r="N92" s="1149"/>
      <c r="O92" s="141" t="str">
        <f t="shared" si="1"/>
        <v xml:space="preserve">رحموني  مراد </v>
      </c>
      <c r="P92" s="141" t="s">
        <v>503</v>
      </c>
      <c r="Q92" s="141" t="s">
        <v>1904</v>
      </c>
      <c r="R92" s="759"/>
      <c r="S92" s="989"/>
      <c r="T92" s="404"/>
      <c r="U92" s="28"/>
      <c r="V92" s="15" t="s">
        <v>580</v>
      </c>
      <c r="W92" s="15" t="s">
        <v>578</v>
      </c>
      <c r="X92" s="15"/>
    </row>
    <row r="93" spans="1:25" ht="16.5" customHeight="1">
      <c r="A93" s="140">
        <v>85</v>
      </c>
      <c r="B93" s="141"/>
      <c r="C93" s="1186" t="s">
        <v>2440</v>
      </c>
      <c r="D93" s="1186" t="s">
        <v>2441</v>
      </c>
      <c r="E93" s="1187" t="s">
        <v>2949</v>
      </c>
      <c r="F93" s="1188" t="s">
        <v>202</v>
      </c>
      <c r="G93" s="1204" t="s">
        <v>0</v>
      </c>
      <c r="H93" s="1213" t="s">
        <v>96</v>
      </c>
      <c r="I93" s="144" t="s">
        <v>340</v>
      </c>
      <c r="J93" s="1221" t="s">
        <v>2101</v>
      </c>
      <c r="K93" s="1235" t="s">
        <v>111</v>
      </c>
      <c r="L93" s="1244" t="s">
        <v>3555</v>
      </c>
      <c r="M93" s="1168"/>
      <c r="N93" s="1149"/>
      <c r="O93" s="141" t="str">
        <f t="shared" si="1"/>
        <v xml:space="preserve">سايج  أحمد </v>
      </c>
      <c r="P93" s="141" t="s">
        <v>503</v>
      </c>
      <c r="Q93" s="141" t="s">
        <v>1904</v>
      </c>
      <c r="R93" s="759"/>
      <c r="S93" s="989"/>
      <c r="T93" s="404"/>
      <c r="U93" s="28"/>
      <c r="V93" s="15" t="s">
        <v>581</v>
      </c>
      <c r="W93" s="15" t="s">
        <v>578</v>
      </c>
      <c r="X93" s="15"/>
    </row>
    <row r="94" spans="1:25" ht="16.5" customHeight="1">
      <c r="A94" s="140">
        <v>86</v>
      </c>
      <c r="B94" s="141"/>
      <c r="C94" s="1186" t="s">
        <v>2442</v>
      </c>
      <c r="D94" s="1186" t="s">
        <v>2443</v>
      </c>
      <c r="E94" s="1187" t="s">
        <v>2950</v>
      </c>
      <c r="F94" s="1188" t="s">
        <v>202</v>
      </c>
      <c r="G94" s="1204" t="s">
        <v>0</v>
      </c>
      <c r="H94" s="1212" t="s">
        <v>91</v>
      </c>
      <c r="I94" s="144" t="s">
        <v>340</v>
      </c>
      <c r="J94" s="1221" t="s">
        <v>3399</v>
      </c>
      <c r="K94" s="1235" t="s">
        <v>111</v>
      </c>
      <c r="L94" s="1244" t="s">
        <v>494</v>
      </c>
      <c r="M94" s="1168"/>
      <c r="N94" s="1149"/>
      <c r="O94" s="141" t="str">
        <f t="shared" si="1"/>
        <v xml:space="preserve">سماحي  بوشاقور </v>
      </c>
      <c r="P94" s="141" t="s">
        <v>503</v>
      </c>
      <c r="Q94" s="141" t="s">
        <v>1905</v>
      </c>
      <c r="R94" s="759"/>
      <c r="S94" s="989"/>
      <c r="T94" s="671"/>
      <c r="U94" s="28"/>
      <c r="V94" s="15" t="s">
        <v>582</v>
      </c>
      <c r="W94" s="15" t="s">
        <v>578</v>
      </c>
      <c r="X94" s="15"/>
    </row>
    <row r="95" spans="1:25" ht="16.5" customHeight="1">
      <c r="A95" s="140">
        <v>87</v>
      </c>
      <c r="B95" s="141"/>
      <c r="C95" s="1186" t="s">
        <v>2444</v>
      </c>
      <c r="D95" s="1186" t="s">
        <v>2445</v>
      </c>
      <c r="E95" s="1187" t="s">
        <v>2951</v>
      </c>
      <c r="F95" s="1188" t="s">
        <v>3339</v>
      </c>
      <c r="G95" s="1204" t="s">
        <v>0</v>
      </c>
      <c r="H95" s="1212" t="s">
        <v>91</v>
      </c>
      <c r="I95" s="144" t="s">
        <v>340</v>
      </c>
      <c r="J95" s="1221" t="s">
        <v>3400</v>
      </c>
      <c r="K95" s="1235" t="s">
        <v>128</v>
      </c>
      <c r="L95" s="1244" t="s">
        <v>3556</v>
      </c>
      <c r="M95" s="1168"/>
      <c r="N95" s="1149"/>
      <c r="O95" s="141" t="str">
        <f t="shared" si="1"/>
        <v xml:space="preserve">صديق  مداني </v>
      </c>
      <c r="P95" s="141" t="s">
        <v>503</v>
      </c>
      <c r="Q95" s="141" t="s">
        <v>1905</v>
      </c>
      <c r="R95" s="759"/>
      <c r="S95" s="989"/>
      <c r="T95" s="671"/>
      <c r="U95" s="28"/>
    </row>
    <row r="96" spans="1:25" ht="16.5" customHeight="1">
      <c r="A96" s="140">
        <v>88</v>
      </c>
      <c r="B96" s="141"/>
      <c r="C96" s="1186" t="s">
        <v>2446</v>
      </c>
      <c r="D96" s="1186" t="s">
        <v>2447</v>
      </c>
      <c r="E96" s="1187" t="s">
        <v>2952</v>
      </c>
      <c r="F96" s="1188" t="s">
        <v>202</v>
      </c>
      <c r="G96" s="1204" t="s">
        <v>0</v>
      </c>
      <c r="H96" s="1213" t="s">
        <v>96</v>
      </c>
      <c r="I96" s="144" t="s">
        <v>340</v>
      </c>
      <c r="J96" s="1221"/>
      <c r="K96" s="1234" t="s">
        <v>102</v>
      </c>
      <c r="L96" s="1244"/>
      <c r="M96" s="1168"/>
      <c r="N96" s="1149"/>
      <c r="O96" s="141" t="str">
        <f t="shared" si="1"/>
        <v xml:space="preserve">قدوري  </v>
      </c>
      <c r="P96" s="141" t="s">
        <v>504</v>
      </c>
      <c r="Q96" s="141" t="s">
        <v>1904</v>
      </c>
      <c r="R96" s="759"/>
      <c r="S96" s="989"/>
      <c r="T96" s="671"/>
      <c r="U96" s="28"/>
    </row>
    <row r="97" spans="1:25" ht="16.5" customHeight="1">
      <c r="A97" s="140">
        <v>89</v>
      </c>
      <c r="B97" s="141"/>
      <c r="C97" s="1186" t="s">
        <v>180</v>
      </c>
      <c r="D97" s="1186" t="s">
        <v>2448</v>
      </c>
      <c r="E97" s="1187" t="s">
        <v>2953</v>
      </c>
      <c r="F97" s="1188" t="s">
        <v>90</v>
      </c>
      <c r="G97" s="1204" t="s">
        <v>0</v>
      </c>
      <c r="H97" s="1213" t="s">
        <v>96</v>
      </c>
      <c r="I97" s="144" t="s">
        <v>340</v>
      </c>
      <c r="J97" s="1221" t="s">
        <v>2173</v>
      </c>
      <c r="K97" s="1234" t="s">
        <v>103</v>
      </c>
      <c r="L97" s="1244" t="s">
        <v>3557</v>
      </c>
      <c r="M97" s="1168"/>
      <c r="N97" s="1149"/>
      <c r="O97" s="141" t="str">
        <f t="shared" si="1"/>
        <v xml:space="preserve">مالك  قادة </v>
      </c>
      <c r="P97" s="141" t="s">
        <v>504</v>
      </c>
      <c r="Q97" s="141" t="s">
        <v>1905</v>
      </c>
      <c r="R97" s="759"/>
      <c r="S97" s="989"/>
      <c r="T97" s="417"/>
      <c r="U97" s="28"/>
      <c r="V97" s="141" t="s">
        <v>504</v>
      </c>
    </row>
    <row r="98" spans="1:25" ht="16.5" customHeight="1">
      <c r="A98" s="140">
        <v>90</v>
      </c>
      <c r="B98" s="141"/>
      <c r="C98" s="1186" t="s">
        <v>2449</v>
      </c>
      <c r="D98" s="1186" t="s">
        <v>98</v>
      </c>
      <c r="E98" s="1187" t="s">
        <v>2954</v>
      </c>
      <c r="F98" s="1188" t="s">
        <v>90</v>
      </c>
      <c r="G98" s="1204" t="s">
        <v>0</v>
      </c>
      <c r="H98" s="1213" t="s">
        <v>96</v>
      </c>
      <c r="I98" s="144" t="s">
        <v>340</v>
      </c>
      <c r="J98" s="1221" t="s">
        <v>3401</v>
      </c>
      <c r="K98" s="1235" t="s">
        <v>111</v>
      </c>
      <c r="L98" s="1244" t="s">
        <v>3558</v>
      </c>
      <c r="M98" s="1168"/>
      <c r="N98" s="1149"/>
      <c r="O98" s="141" t="str">
        <f t="shared" si="1"/>
        <v xml:space="preserve">مرضي  خليفة </v>
      </c>
      <c r="P98" s="141" t="s">
        <v>504</v>
      </c>
      <c r="Q98" s="141" t="s">
        <v>1904</v>
      </c>
      <c r="R98" s="759"/>
      <c r="S98" s="989"/>
      <c r="T98" s="417"/>
      <c r="U98" s="28"/>
      <c r="V98" s="141" t="s">
        <v>645</v>
      </c>
    </row>
    <row r="99" spans="1:25" s="984" customFormat="1" ht="16.5" customHeight="1">
      <c r="A99" s="140">
        <v>91</v>
      </c>
      <c r="B99" s="141"/>
      <c r="C99" s="1186" t="s">
        <v>1013</v>
      </c>
      <c r="D99" s="1186" t="s">
        <v>972</v>
      </c>
      <c r="E99" s="1187" t="s">
        <v>2955</v>
      </c>
      <c r="F99" s="1188" t="s">
        <v>90</v>
      </c>
      <c r="G99" s="1204" t="s">
        <v>0</v>
      </c>
      <c r="H99" s="1213" t="s">
        <v>96</v>
      </c>
      <c r="I99" s="144" t="s">
        <v>340</v>
      </c>
      <c r="J99" s="1221" t="s">
        <v>2332</v>
      </c>
      <c r="K99" s="1235" t="s">
        <v>2083</v>
      </c>
      <c r="L99" s="1244" t="s">
        <v>3559</v>
      </c>
      <c r="M99" s="1168"/>
      <c r="N99" s="1149"/>
      <c r="O99" s="141" t="str">
        <f t="shared" si="1"/>
        <v xml:space="preserve">معطى الله  عبد القادر </v>
      </c>
      <c r="P99" s="141" t="s">
        <v>503</v>
      </c>
      <c r="Q99" s="141"/>
      <c r="R99" s="759"/>
      <c r="S99" s="989"/>
      <c r="T99" s="417"/>
      <c r="U99" s="28"/>
      <c r="V99" s="169"/>
      <c r="W99" s="28"/>
      <c r="X99" s="28"/>
      <c r="Y99" s="28"/>
    </row>
    <row r="100" spans="1:25" ht="16.5" customHeight="1">
      <c r="A100" s="140">
        <v>92</v>
      </c>
      <c r="B100" s="141"/>
      <c r="C100" s="1186" t="s">
        <v>2420</v>
      </c>
      <c r="D100" s="1186" t="s">
        <v>2421</v>
      </c>
      <c r="E100" s="1187" t="s">
        <v>2934</v>
      </c>
      <c r="F100" s="1188" t="s">
        <v>3339</v>
      </c>
      <c r="G100" s="1204" t="s">
        <v>0</v>
      </c>
      <c r="H100" s="1213" t="s">
        <v>96</v>
      </c>
      <c r="I100" s="144" t="s">
        <v>340</v>
      </c>
      <c r="J100" s="1221" t="s">
        <v>3371</v>
      </c>
      <c r="K100" s="1235" t="s">
        <v>103</v>
      </c>
      <c r="L100" s="1244" t="s">
        <v>3543</v>
      </c>
      <c r="M100" s="1168"/>
      <c r="N100" s="1149"/>
      <c r="O100" s="141" t="str">
        <f t="shared" si="1"/>
        <v xml:space="preserve">مقدم  علي </v>
      </c>
      <c r="P100" s="141" t="s">
        <v>504</v>
      </c>
      <c r="Q100" s="141" t="s">
        <v>1905</v>
      </c>
      <c r="R100" s="759"/>
      <c r="S100" s="989"/>
      <c r="T100" s="417"/>
      <c r="U100" s="28"/>
    </row>
    <row r="101" spans="1:25" ht="16.5" customHeight="1">
      <c r="A101" s="140">
        <v>93</v>
      </c>
      <c r="B101" s="141"/>
      <c r="C101" s="1186" t="s">
        <v>2450</v>
      </c>
      <c r="D101" s="1186" t="s">
        <v>2030</v>
      </c>
      <c r="E101" s="1187" t="s">
        <v>2956</v>
      </c>
      <c r="F101" s="1188" t="s">
        <v>3349</v>
      </c>
      <c r="G101" s="1204" t="s">
        <v>0</v>
      </c>
      <c r="H101" s="1212" t="s">
        <v>91</v>
      </c>
      <c r="I101" s="144" t="s">
        <v>340</v>
      </c>
      <c r="J101" s="1221" t="s">
        <v>3402</v>
      </c>
      <c r="K101" s="1235" t="s">
        <v>111</v>
      </c>
      <c r="L101" s="1244" t="s">
        <v>3560</v>
      </c>
      <c r="M101" s="1168"/>
      <c r="N101" s="1149"/>
      <c r="O101" s="141" t="str">
        <f t="shared" si="1"/>
        <v xml:space="preserve">مكي  منصور </v>
      </c>
      <c r="P101" s="141" t="s">
        <v>503</v>
      </c>
      <c r="Q101" s="141" t="s">
        <v>1905</v>
      </c>
      <c r="R101" s="759"/>
      <c r="S101" s="989"/>
      <c r="T101" s="671" t="s">
        <v>628</v>
      </c>
      <c r="U101" s="28"/>
    </row>
    <row r="102" spans="1:25" ht="16.5" customHeight="1">
      <c r="A102" s="140">
        <v>94</v>
      </c>
      <c r="B102" s="141"/>
      <c r="C102" s="1183" t="s">
        <v>2423</v>
      </c>
      <c r="D102" s="1183" t="s">
        <v>2424</v>
      </c>
      <c r="E102" s="1184" t="s">
        <v>2936</v>
      </c>
      <c r="F102" s="1185" t="s">
        <v>3338</v>
      </c>
      <c r="G102" s="1200" t="s">
        <v>0</v>
      </c>
      <c r="H102" s="1212" t="s">
        <v>91</v>
      </c>
      <c r="I102" s="144" t="s">
        <v>340</v>
      </c>
      <c r="J102" s="1220" t="s">
        <v>2332</v>
      </c>
      <c r="K102" s="1233" t="s">
        <v>103</v>
      </c>
      <c r="L102" s="1245" t="s">
        <v>3545</v>
      </c>
      <c r="M102" s="1169"/>
      <c r="N102" s="1149"/>
      <c r="O102" s="141" t="str">
        <f t="shared" si="1"/>
        <v xml:space="preserve">وافي  عبد القادر </v>
      </c>
      <c r="P102" s="141" t="s">
        <v>503</v>
      </c>
      <c r="Q102" s="141" t="s">
        <v>1905</v>
      </c>
      <c r="R102" s="759"/>
      <c r="S102" s="989"/>
      <c r="T102" s="671" t="s">
        <v>628</v>
      </c>
      <c r="U102" s="28"/>
    </row>
    <row r="103" spans="1:25" ht="16.5" customHeight="1">
      <c r="A103" s="140">
        <v>95</v>
      </c>
      <c r="B103" s="141"/>
      <c r="C103" s="1186" t="s">
        <v>2451</v>
      </c>
      <c r="D103" s="1186" t="s">
        <v>120</v>
      </c>
      <c r="E103" s="1187" t="s">
        <v>2957</v>
      </c>
      <c r="F103" s="1188" t="s">
        <v>133</v>
      </c>
      <c r="G103" s="1204" t="s">
        <v>1</v>
      </c>
      <c r="H103" s="1212" t="s">
        <v>1458</v>
      </c>
      <c r="I103" s="144" t="s">
        <v>341</v>
      </c>
      <c r="J103" s="1221" t="s">
        <v>3403</v>
      </c>
      <c r="K103" s="1235" t="s">
        <v>128</v>
      </c>
      <c r="L103" s="1244" t="s">
        <v>494</v>
      </c>
      <c r="M103" s="1168"/>
      <c r="N103" s="1149"/>
      <c r="O103" s="141" t="str">
        <f t="shared" si="1"/>
        <v xml:space="preserve">بوزينو  الهواري </v>
      </c>
      <c r="P103" s="141" t="s">
        <v>504</v>
      </c>
      <c r="Q103" s="141" t="s">
        <v>1904</v>
      </c>
      <c r="R103" s="759"/>
      <c r="S103" s="141"/>
      <c r="T103" s="671" t="s">
        <v>628</v>
      </c>
      <c r="U103" s="28"/>
    </row>
    <row r="104" spans="1:25" ht="16.5" customHeight="1">
      <c r="A104" s="140">
        <v>96</v>
      </c>
      <c r="B104" s="141"/>
      <c r="C104" s="1186" t="s">
        <v>2452</v>
      </c>
      <c r="D104" s="1186" t="s">
        <v>2453</v>
      </c>
      <c r="E104" s="1187" t="s">
        <v>2958</v>
      </c>
      <c r="F104" s="1188" t="s">
        <v>202</v>
      </c>
      <c r="G104" s="1204" t="s">
        <v>1</v>
      </c>
      <c r="H104" s="1212" t="s">
        <v>91</v>
      </c>
      <c r="I104" s="144" t="s">
        <v>340</v>
      </c>
      <c r="J104" s="1221" t="s">
        <v>2325</v>
      </c>
      <c r="K104" s="1235" t="s">
        <v>111</v>
      </c>
      <c r="L104" s="1244" t="s">
        <v>3561</v>
      </c>
      <c r="M104" s="1168"/>
      <c r="N104" s="1149"/>
      <c r="O104" s="141" t="str">
        <f t="shared" si="1"/>
        <v xml:space="preserve">العشبي  محمد </v>
      </c>
      <c r="P104" s="141" t="s">
        <v>504</v>
      </c>
      <c r="Q104" s="141" t="s">
        <v>644</v>
      </c>
      <c r="R104" s="759"/>
      <c r="S104" s="141"/>
      <c r="T104" s="671"/>
      <c r="U104" s="28"/>
    </row>
    <row r="105" spans="1:25" ht="16.5" customHeight="1">
      <c r="A105" s="140">
        <v>97</v>
      </c>
      <c r="B105" s="141"/>
      <c r="C105" s="1186" t="s">
        <v>16</v>
      </c>
      <c r="D105" s="1186" t="s">
        <v>107</v>
      </c>
      <c r="E105" s="1187" t="s">
        <v>2959</v>
      </c>
      <c r="F105" s="1188" t="s">
        <v>90</v>
      </c>
      <c r="G105" s="1204" t="s">
        <v>1</v>
      </c>
      <c r="H105" s="1213" t="s">
        <v>96</v>
      </c>
      <c r="I105" s="144" t="s">
        <v>340</v>
      </c>
      <c r="J105" s="1221" t="s">
        <v>3374</v>
      </c>
      <c r="K105" s="1235" t="s">
        <v>121</v>
      </c>
      <c r="L105" s="1244" t="s">
        <v>3562</v>
      </c>
      <c r="M105" s="1168"/>
      <c r="N105" s="1149"/>
      <c r="O105" s="141" t="str">
        <f t="shared" si="1"/>
        <v xml:space="preserve">بلفكرون  مختار </v>
      </c>
      <c r="P105" s="141" t="s">
        <v>503</v>
      </c>
      <c r="Q105" s="141" t="s">
        <v>644</v>
      </c>
      <c r="R105" s="759"/>
      <c r="S105" s="989"/>
      <c r="T105" s="671" t="s">
        <v>628</v>
      </c>
      <c r="U105" s="28"/>
    </row>
    <row r="106" spans="1:25" ht="16.5" customHeight="1">
      <c r="A106" s="140">
        <v>98</v>
      </c>
      <c r="B106" s="141"/>
      <c r="C106" s="1186" t="s">
        <v>2454</v>
      </c>
      <c r="D106" s="1186" t="s">
        <v>2455</v>
      </c>
      <c r="E106" s="1187" t="s">
        <v>2960</v>
      </c>
      <c r="F106" s="1188" t="s">
        <v>3339</v>
      </c>
      <c r="G106" s="1204" t="s">
        <v>1</v>
      </c>
      <c r="H106" s="1213" t="s">
        <v>96</v>
      </c>
      <c r="I106" s="144" t="s">
        <v>340</v>
      </c>
      <c r="J106" s="1221" t="s">
        <v>2325</v>
      </c>
      <c r="K106" s="1235" t="s">
        <v>103</v>
      </c>
      <c r="L106" s="1244" t="s">
        <v>3563</v>
      </c>
      <c r="M106" s="1168"/>
      <c r="N106" s="1149"/>
      <c r="O106" s="141" t="str">
        <f t="shared" si="1"/>
        <v xml:space="preserve">بليل  محمد </v>
      </c>
      <c r="P106" s="141" t="s">
        <v>503</v>
      </c>
      <c r="Q106" s="141" t="s">
        <v>644</v>
      </c>
      <c r="R106" s="759"/>
      <c r="S106" s="989"/>
      <c r="T106" s="671"/>
      <c r="U106" s="28"/>
    </row>
    <row r="107" spans="1:25" ht="16.5" customHeight="1">
      <c r="A107" s="140">
        <v>99</v>
      </c>
      <c r="B107" s="141"/>
      <c r="C107" s="1186" t="s">
        <v>150</v>
      </c>
      <c r="D107" s="1186" t="s">
        <v>2456</v>
      </c>
      <c r="E107" s="1187" t="s">
        <v>2961</v>
      </c>
      <c r="F107" s="1188" t="s">
        <v>90</v>
      </c>
      <c r="G107" s="1204" t="s">
        <v>1</v>
      </c>
      <c r="H107" s="1213" t="s">
        <v>91</v>
      </c>
      <c r="I107" s="144" t="s">
        <v>340</v>
      </c>
      <c r="J107" s="1221" t="s">
        <v>3402</v>
      </c>
      <c r="K107" s="1235" t="s">
        <v>102</v>
      </c>
      <c r="L107" s="1244" t="s">
        <v>3564</v>
      </c>
      <c r="M107" s="1168"/>
      <c r="N107" s="1149"/>
      <c r="O107" s="141" t="str">
        <f t="shared" si="1"/>
        <v xml:space="preserve">بن حميميدي  منصور </v>
      </c>
      <c r="P107" s="141" t="s">
        <v>504</v>
      </c>
      <c r="Q107" s="141" t="s">
        <v>1906</v>
      </c>
      <c r="R107" s="759"/>
      <c r="S107" s="989"/>
      <c r="T107" s="417"/>
      <c r="U107" s="28"/>
    </row>
    <row r="108" spans="1:25" ht="16.5" customHeight="1">
      <c r="A108" s="140">
        <v>100</v>
      </c>
      <c r="B108" s="141"/>
      <c r="C108" s="1186" t="s">
        <v>2196</v>
      </c>
      <c r="D108" s="1186" t="s">
        <v>36</v>
      </c>
      <c r="E108" s="1187" t="s">
        <v>2962</v>
      </c>
      <c r="F108" s="1188" t="s">
        <v>90</v>
      </c>
      <c r="G108" s="1204" t="s">
        <v>1</v>
      </c>
      <c r="H108" s="1213" t="s">
        <v>91</v>
      </c>
      <c r="I108" s="144" t="s">
        <v>340</v>
      </c>
      <c r="J108" s="1221" t="s">
        <v>3404</v>
      </c>
      <c r="K108" s="1235" t="s">
        <v>1881</v>
      </c>
      <c r="L108" s="1244" t="s">
        <v>3565</v>
      </c>
      <c r="M108" s="1168"/>
      <c r="N108" s="1149"/>
      <c r="O108" s="141" t="str">
        <f t="shared" si="1"/>
        <v xml:space="preserve">بن يحي  فاتح </v>
      </c>
      <c r="P108" s="141" t="s">
        <v>504</v>
      </c>
      <c r="Q108" s="141" t="s">
        <v>1907</v>
      </c>
      <c r="R108" s="759"/>
      <c r="S108" s="989"/>
      <c r="T108" s="404"/>
      <c r="U108" s="28"/>
    </row>
    <row r="109" spans="1:25" ht="16.5" customHeight="1">
      <c r="A109" s="140">
        <v>101</v>
      </c>
      <c r="B109" s="141"/>
      <c r="C109" s="1186" t="s">
        <v>2457</v>
      </c>
      <c r="D109" s="1186" t="s">
        <v>32</v>
      </c>
      <c r="E109" s="1187" t="s">
        <v>2963</v>
      </c>
      <c r="F109" s="1188" t="s">
        <v>3339</v>
      </c>
      <c r="G109" s="1204" t="s">
        <v>1</v>
      </c>
      <c r="H109" s="1213" t="s">
        <v>91</v>
      </c>
      <c r="I109" s="144" t="s">
        <v>340</v>
      </c>
      <c r="J109" s="1221" t="s">
        <v>3405</v>
      </c>
      <c r="K109" s="1235" t="s">
        <v>128</v>
      </c>
      <c r="L109" s="1244" t="s">
        <v>3566</v>
      </c>
      <c r="M109" s="1168"/>
      <c r="N109" s="1149"/>
      <c r="O109" s="141" t="str">
        <f t="shared" si="1"/>
        <v xml:space="preserve">بوعمامة  عيسى </v>
      </c>
      <c r="P109" s="141" t="s">
        <v>504</v>
      </c>
      <c r="Q109" s="141" t="s">
        <v>1907</v>
      </c>
      <c r="R109" s="759"/>
      <c r="S109" s="989"/>
      <c r="T109" s="404"/>
      <c r="U109" s="28"/>
    </row>
    <row r="110" spans="1:25" ht="16.5" customHeight="1">
      <c r="A110" s="140">
        <v>102</v>
      </c>
      <c r="B110" s="141"/>
      <c r="C110" s="1186" t="s">
        <v>2426</v>
      </c>
      <c r="D110" s="1186" t="s">
        <v>2021</v>
      </c>
      <c r="E110" s="1187" t="s">
        <v>2964</v>
      </c>
      <c r="F110" s="1188" t="s">
        <v>90</v>
      </c>
      <c r="G110" s="1204" t="s">
        <v>1</v>
      </c>
      <c r="H110" s="1213" t="s">
        <v>96</v>
      </c>
      <c r="I110" s="144" t="s">
        <v>340</v>
      </c>
      <c r="J110" s="1221" t="s">
        <v>3406</v>
      </c>
      <c r="K110" s="1235" t="s">
        <v>128</v>
      </c>
      <c r="L110" s="1244" t="s">
        <v>3567</v>
      </c>
      <c r="M110" s="1168"/>
      <c r="N110" s="1149"/>
      <c r="O110" s="141" t="str">
        <f t="shared" si="1"/>
        <v xml:space="preserve">بوقناية  زواوي </v>
      </c>
      <c r="P110" s="141" t="s">
        <v>504</v>
      </c>
      <c r="Q110" s="141" t="s">
        <v>1907</v>
      </c>
      <c r="R110" s="759"/>
      <c r="S110" s="989"/>
      <c r="T110" s="417"/>
      <c r="U110" s="28"/>
    </row>
    <row r="111" spans="1:25" ht="16.5" customHeight="1">
      <c r="A111" s="140">
        <v>103</v>
      </c>
      <c r="B111" s="141"/>
      <c r="C111" s="1186" t="s">
        <v>2379</v>
      </c>
      <c r="D111" s="1186" t="s">
        <v>2458</v>
      </c>
      <c r="E111" s="1187" t="s">
        <v>2878</v>
      </c>
      <c r="F111" s="1188" t="s">
        <v>3339</v>
      </c>
      <c r="G111" s="1204" t="s">
        <v>1</v>
      </c>
      <c r="H111" s="1213" t="s">
        <v>91</v>
      </c>
      <c r="I111" s="144" t="s">
        <v>340</v>
      </c>
      <c r="J111" s="1221" t="s">
        <v>2325</v>
      </c>
      <c r="K111" s="1235" t="s">
        <v>111</v>
      </c>
      <c r="L111" s="1244" t="s">
        <v>3516</v>
      </c>
      <c r="M111" s="1168"/>
      <c r="N111" s="1149"/>
      <c r="O111" s="141" t="str">
        <f t="shared" si="1"/>
        <v xml:space="preserve">بوهدة  محمد </v>
      </c>
      <c r="P111" s="141" t="s">
        <v>503</v>
      </c>
      <c r="Q111" s="141" t="s">
        <v>645</v>
      </c>
      <c r="R111" s="759"/>
      <c r="S111" s="989"/>
      <c r="T111" s="417"/>
      <c r="U111" s="28"/>
    </row>
    <row r="112" spans="1:25" ht="16.5" customHeight="1">
      <c r="A112" s="140">
        <v>104</v>
      </c>
      <c r="B112" s="141"/>
      <c r="C112" s="1186" t="s">
        <v>2460</v>
      </c>
      <c r="D112" s="1186" t="s">
        <v>120</v>
      </c>
      <c r="E112" s="1187" t="s">
        <v>2966</v>
      </c>
      <c r="F112" s="1188" t="s">
        <v>3339</v>
      </c>
      <c r="G112" s="1204" t="s">
        <v>1</v>
      </c>
      <c r="H112" s="1213" t="s">
        <v>91</v>
      </c>
      <c r="I112" s="144" t="s">
        <v>341</v>
      </c>
      <c r="J112" s="1221" t="s">
        <v>2325</v>
      </c>
      <c r="K112" s="1235" t="s">
        <v>103</v>
      </c>
      <c r="L112" s="1244" t="s">
        <v>3569</v>
      </c>
      <c r="M112" s="1168"/>
      <c r="N112" s="1149"/>
      <c r="O112" s="141" t="str">
        <f t="shared" si="1"/>
        <v xml:space="preserve">توامي  محمد </v>
      </c>
      <c r="P112" s="141" t="s">
        <v>2198</v>
      </c>
      <c r="Q112" s="141" t="s">
        <v>1907</v>
      </c>
      <c r="R112" s="759"/>
      <c r="S112" s="989"/>
      <c r="T112" s="417"/>
      <c r="U112" s="28"/>
    </row>
    <row r="113" spans="1:25" ht="16.5" customHeight="1">
      <c r="A113" s="140">
        <v>105</v>
      </c>
      <c r="B113" s="141"/>
      <c r="C113" s="1186" t="s">
        <v>2461</v>
      </c>
      <c r="D113" s="1186" t="s">
        <v>77</v>
      </c>
      <c r="E113" s="1187" t="s">
        <v>2967</v>
      </c>
      <c r="F113" s="1188" t="s">
        <v>90</v>
      </c>
      <c r="G113" s="1204" t="s">
        <v>1</v>
      </c>
      <c r="H113" s="1213" t="s">
        <v>96</v>
      </c>
      <c r="I113" s="144" t="s">
        <v>340</v>
      </c>
      <c r="J113" s="1221" t="s">
        <v>3394</v>
      </c>
      <c r="K113" s="1235" t="s">
        <v>111</v>
      </c>
      <c r="L113" s="1244" t="s">
        <v>3570</v>
      </c>
      <c r="M113" s="1168"/>
      <c r="N113" s="1149"/>
      <c r="O113" s="141" t="str">
        <f t="shared" si="1"/>
        <v xml:space="preserve">جبار  حنيفي </v>
      </c>
      <c r="P113" s="141" t="s">
        <v>502</v>
      </c>
      <c r="Q113" s="141" t="s">
        <v>1907</v>
      </c>
      <c r="R113" s="759"/>
      <c r="S113" s="989"/>
      <c r="T113" s="417"/>
      <c r="U113" s="28"/>
    </row>
    <row r="114" spans="1:25" s="443" customFormat="1" ht="16.5" customHeight="1">
      <c r="A114" s="140">
        <v>106</v>
      </c>
      <c r="B114" s="141"/>
      <c r="C114" s="1186" t="s">
        <v>2436</v>
      </c>
      <c r="D114" s="1186" t="s">
        <v>2459</v>
      </c>
      <c r="E114" s="1187" t="s">
        <v>2965</v>
      </c>
      <c r="F114" s="1188" t="s">
        <v>3339</v>
      </c>
      <c r="G114" s="1204" t="s">
        <v>1</v>
      </c>
      <c r="H114" s="1212" t="s">
        <v>91</v>
      </c>
      <c r="I114" s="144" t="s">
        <v>340</v>
      </c>
      <c r="J114" s="1221" t="s">
        <v>3407</v>
      </c>
      <c r="K114" s="1235" t="s">
        <v>135</v>
      </c>
      <c r="L114" s="1244" t="s">
        <v>3568</v>
      </c>
      <c r="M114" s="1168"/>
      <c r="N114" s="1149"/>
      <c r="O114" s="141" t="str">
        <f t="shared" si="1"/>
        <v xml:space="preserve">داعي  يوب </v>
      </c>
      <c r="P114" s="141" t="s">
        <v>502</v>
      </c>
      <c r="Q114" s="141" t="s">
        <v>1907</v>
      </c>
      <c r="R114" s="759"/>
      <c r="S114" s="989"/>
      <c r="T114" s="248"/>
      <c r="U114" s="28"/>
      <c r="V114" s="28"/>
      <c r="W114" s="28"/>
      <c r="X114" s="28"/>
      <c r="Y114" s="28"/>
    </row>
    <row r="115" spans="1:25" ht="16.5" customHeight="1">
      <c r="A115" s="140">
        <v>107</v>
      </c>
      <c r="B115" s="141"/>
      <c r="C115" s="1186" t="s">
        <v>2462</v>
      </c>
      <c r="D115" s="1186" t="s">
        <v>2463</v>
      </c>
      <c r="E115" s="1187" t="s">
        <v>2968</v>
      </c>
      <c r="F115" s="1188" t="s">
        <v>3347</v>
      </c>
      <c r="G115" s="1204" t="s">
        <v>1</v>
      </c>
      <c r="H115" s="1213" t="s">
        <v>91</v>
      </c>
      <c r="I115" s="144" t="s">
        <v>340</v>
      </c>
      <c r="J115" s="1221" t="s">
        <v>3406</v>
      </c>
      <c r="K115" s="1235" t="s">
        <v>103</v>
      </c>
      <c r="L115" s="1244" t="s">
        <v>494</v>
      </c>
      <c r="M115" s="1168"/>
      <c r="N115" s="1149"/>
      <c r="O115" s="141" t="str">
        <f t="shared" si="1"/>
        <v xml:space="preserve">زلماط  زواوي </v>
      </c>
      <c r="P115" s="141" t="s">
        <v>502</v>
      </c>
      <c r="Q115" s="141" t="s">
        <v>1907</v>
      </c>
      <c r="R115" s="759"/>
      <c r="S115" s="989"/>
      <c r="T115" s="675"/>
      <c r="U115" s="28"/>
    </row>
    <row r="116" spans="1:25" ht="16.5" customHeight="1">
      <c r="A116" s="140">
        <v>108</v>
      </c>
      <c r="B116" s="141"/>
      <c r="C116" s="1186" t="s">
        <v>192</v>
      </c>
      <c r="D116" s="1186" t="s">
        <v>2464</v>
      </c>
      <c r="E116" s="1187" t="s">
        <v>2969</v>
      </c>
      <c r="F116" s="1188" t="s">
        <v>3347</v>
      </c>
      <c r="G116" s="1204" t="s">
        <v>1</v>
      </c>
      <c r="H116" s="1213" t="s">
        <v>91</v>
      </c>
      <c r="I116" s="144" t="s">
        <v>340</v>
      </c>
      <c r="J116" s="1221" t="s">
        <v>3374</v>
      </c>
      <c r="K116" s="1235" t="s">
        <v>97</v>
      </c>
      <c r="L116" s="1244" t="s">
        <v>3571</v>
      </c>
      <c r="M116" s="1168"/>
      <c r="N116" s="1149"/>
      <c r="O116" s="141" t="str">
        <f t="shared" si="1"/>
        <v xml:space="preserve">عبوني  مختار </v>
      </c>
      <c r="P116" s="141" t="s">
        <v>502</v>
      </c>
      <c r="Q116" s="141" t="s">
        <v>1907</v>
      </c>
      <c r="R116" s="759"/>
      <c r="S116" s="989"/>
      <c r="T116" s="675"/>
      <c r="U116" s="28"/>
      <c r="V116"/>
      <c r="W116"/>
      <c r="X116"/>
      <c r="Y116"/>
    </row>
    <row r="117" spans="1:25" ht="16.5" customHeight="1">
      <c r="A117" s="140">
        <v>109</v>
      </c>
      <c r="B117" s="141"/>
      <c r="C117" s="1186" t="s">
        <v>56</v>
      </c>
      <c r="D117" s="1186" t="s">
        <v>1557</v>
      </c>
      <c r="E117" s="1187" t="s">
        <v>2970</v>
      </c>
      <c r="F117" s="1188" t="s">
        <v>90</v>
      </c>
      <c r="G117" s="1204" t="s">
        <v>1</v>
      </c>
      <c r="H117" s="1213" t="s">
        <v>96</v>
      </c>
      <c r="I117" s="144" t="s">
        <v>340</v>
      </c>
      <c r="J117" s="1221" t="s">
        <v>2332</v>
      </c>
      <c r="K117" s="1234" t="s">
        <v>102</v>
      </c>
      <c r="L117" s="1244" t="s">
        <v>3572</v>
      </c>
      <c r="M117" s="1168"/>
      <c r="N117" s="1149"/>
      <c r="O117" s="141" t="str">
        <f t="shared" si="1"/>
        <v xml:space="preserve">عدوني  عبد القادر </v>
      </c>
      <c r="P117" s="141" t="s">
        <v>503</v>
      </c>
      <c r="Q117" s="141" t="s">
        <v>645</v>
      </c>
      <c r="R117" s="759"/>
      <c r="S117" s="989"/>
      <c r="T117" s="417"/>
      <c r="U117" s="28"/>
      <c r="V117"/>
      <c r="W117"/>
      <c r="X117"/>
      <c r="Y117"/>
    </row>
    <row r="118" spans="1:25" ht="16.5" customHeight="1">
      <c r="A118" s="140">
        <v>110</v>
      </c>
      <c r="B118" s="141"/>
      <c r="C118" s="1186" t="s">
        <v>2465</v>
      </c>
      <c r="D118" s="1186" t="s">
        <v>2466</v>
      </c>
      <c r="E118" s="1187" t="s">
        <v>2971</v>
      </c>
      <c r="F118" s="1188" t="s">
        <v>3338</v>
      </c>
      <c r="G118" s="1204" t="s">
        <v>1</v>
      </c>
      <c r="H118" s="1213" t="s">
        <v>91</v>
      </c>
      <c r="I118" s="144" t="s">
        <v>340</v>
      </c>
      <c r="J118" s="1221" t="s">
        <v>3374</v>
      </c>
      <c r="K118" s="1235" t="s">
        <v>103</v>
      </c>
      <c r="L118" s="1244" t="s">
        <v>494</v>
      </c>
      <c r="M118" s="1168"/>
      <c r="N118" s="1149"/>
      <c r="O118" s="141" t="str">
        <f t="shared" si="1"/>
        <v xml:space="preserve">عراب  مختار </v>
      </c>
      <c r="P118" s="141" t="s">
        <v>504</v>
      </c>
      <c r="Q118" s="141" t="s">
        <v>1907</v>
      </c>
      <c r="R118" s="759"/>
      <c r="S118" s="989"/>
      <c r="T118" s="683"/>
      <c r="U118" s="28"/>
      <c r="V118"/>
      <c r="W118"/>
      <c r="X118"/>
      <c r="Y118"/>
    </row>
    <row r="119" spans="1:25" ht="16.5" customHeight="1">
      <c r="A119" s="140">
        <v>111</v>
      </c>
      <c r="B119" s="141"/>
      <c r="C119" s="1186" t="s">
        <v>2467</v>
      </c>
      <c r="D119" s="1186" t="s">
        <v>38</v>
      </c>
      <c r="E119" s="1187" t="s">
        <v>2972</v>
      </c>
      <c r="F119" s="1188" t="s">
        <v>178</v>
      </c>
      <c r="G119" s="1204" t="s">
        <v>1</v>
      </c>
      <c r="H119" s="1213" t="s">
        <v>91</v>
      </c>
      <c r="I119" s="144" t="s">
        <v>340</v>
      </c>
      <c r="J119" s="1221" t="s">
        <v>2101</v>
      </c>
      <c r="K119" s="1235" t="s">
        <v>121</v>
      </c>
      <c r="L119" s="1244" t="s">
        <v>3573</v>
      </c>
      <c r="M119" s="1168"/>
      <c r="N119" s="1149"/>
      <c r="O119" s="141" t="str">
        <f t="shared" si="1"/>
        <v xml:space="preserve">قويدري  أحمد </v>
      </c>
      <c r="P119" s="141" t="s">
        <v>503</v>
      </c>
      <c r="Q119" s="141" t="s">
        <v>645</v>
      </c>
      <c r="R119" s="759"/>
      <c r="S119" s="141" t="s">
        <v>643</v>
      </c>
      <c r="T119" s="683"/>
      <c r="U119" s="28"/>
      <c r="V119"/>
      <c r="W119"/>
      <c r="X119"/>
      <c r="Y119"/>
    </row>
    <row r="120" spans="1:25" ht="16.5" customHeight="1">
      <c r="A120" s="140">
        <v>112</v>
      </c>
      <c r="B120" s="141"/>
      <c r="C120" s="1186" t="s">
        <v>63</v>
      </c>
      <c r="D120" s="1186" t="s">
        <v>2468</v>
      </c>
      <c r="E120" s="1187" t="s">
        <v>2973</v>
      </c>
      <c r="F120" s="1188" t="s">
        <v>3339</v>
      </c>
      <c r="G120" s="1204" t="s">
        <v>1</v>
      </c>
      <c r="H120" s="1213" t="s">
        <v>96</v>
      </c>
      <c r="I120" s="144" t="s">
        <v>340</v>
      </c>
      <c r="J120" s="1221" t="s">
        <v>3390</v>
      </c>
      <c r="K120" s="1235" t="s">
        <v>102</v>
      </c>
      <c r="L120" s="1244" t="s">
        <v>3574</v>
      </c>
      <c r="M120" s="1168"/>
      <c r="N120" s="1149"/>
      <c r="O120" s="141" t="str">
        <f t="shared" si="1"/>
        <v xml:space="preserve">لكحل  حبيب </v>
      </c>
      <c r="P120" s="141" t="s">
        <v>504</v>
      </c>
      <c r="Q120" s="141" t="s">
        <v>645</v>
      </c>
      <c r="R120" s="759"/>
      <c r="S120" s="141" t="s">
        <v>651</v>
      </c>
      <c r="T120" s="417"/>
      <c r="U120" s="28"/>
      <c r="V120"/>
      <c r="W120"/>
      <c r="X120"/>
      <c r="Y120"/>
    </row>
    <row r="121" spans="1:25" s="845" customFormat="1" ht="16.5" customHeight="1">
      <c r="A121" s="140">
        <v>113</v>
      </c>
      <c r="B121" s="141"/>
      <c r="C121" s="1186" t="s">
        <v>2411</v>
      </c>
      <c r="D121" s="1186" t="s">
        <v>1954</v>
      </c>
      <c r="E121" s="1187" t="s">
        <v>2974</v>
      </c>
      <c r="F121" s="1188" t="s">
        <v>3338</v>
      </c>
      <c r="G121" s="1204" t="s">
        <v>1</v>
      </c>
      <c r="H121" s="1213" t="s">
        <v>91</v>
      </c>
      <c r="I121" s="144" t="s">
        <v>340</v>
      </c>
      <c r="J121" s="1221" t="s">
        <v>3408</v>
      </c>
      <c r="K121" s="1235" t="s">
        <v>128</v>
      </c>
      <c r="L121" s="1244" t="s">
        <v>3575</v>
      </c>
      <c r="M121" s="1168"/>
      <c r="N121" s="1149"/>
      <c r="O121" s="141" t="str">
        <f t="shared" si="1"/>
        <v xml:space="preserve">مريحة  هاشمي </v>
      </c>
      <c r="P121" s="141" t="s">
        <v>503</v>
      </c>
      <c r="Q121" s="141"/>
      <c r="R121" s="759"/>
      <c r="S121" s="141"/>
      <c r="T121" s="417"/>
      <c r="U121" s="28"/>
    </row>
    <row r="122" spans="1:25" ht="16.5" customHeight="1">
      <c r="A122" s="140">
        <v>114</v>
      </c>
      <c r="B122" s="141"/>
      <c r="C122" s="1186" t="s">
        <v>2469</v>
      </c>
      <c r="D122" s="1186" t="s">
        <v>2470</v>
      </c>
      <c r="E122" s="1187" t="s">
        <v>2958</v>
      </c>
      <c r="F122" s="1188" t="s">
        <v>3339</v>
      </c>
      <c r="G122" s="1204" t="s">
        <v>1</v>
      </c>
      <c r="H122" s="1213" t="s">
        <v>91</v>
      </c>
      <c r="I122" s="144" t="s">
        <v>340</v>
      </c>
      <c r="J122" s="1221" t="s">
        <v>2101</v>
      </c>
      <c r="K122" s="1234" t="s">
        <v>2071</v>
      </c>
      <c r="L122" s="1244" t="s">
        <v>3576</v>
      </c>
      <c r="M122" s="1168"/>
      <c r="N122" s="1149"/>
      <c r="O122" s="141" t="str">
        <f t="shared" si="1"/>
        <v xml:space="preserve">معزوز  أحمد </v>
      </c>
      <c r="P122" s="141" t="s">
        <v>504</v>
      </c>
      <c r="Q122" s="141" t="s">
        <v>645</v>
      </c>
      <c r="R122" s="759"/>
      <c r="S122" s="989"/>
      <c r="T122" s="404"/>
      <c r="U122" s="28"/>
      <c r="V122"/>
      <c r="W122"/>
      <c r="X122"/>
      <c r="Y122"/>
    </row>
    <row r="123" spans="1:25" s="829" customFormat="1" ht="16.5" customHeight="1">
      <c r="A123" s="140">
        <v>115</v>
      </c>
      <c r="B123" s="141"/>
      <c r="C123" s="1186" t="s">
        <v>1013</v>
      </c>
      <c r="D123" s="1186" t="s">
        <v>2471</v>
      </c>
      <c r="E123" s="1187" t="s">
        <v>2961</v>
      </c>
      <c r="F123" s="1188" t="s">
        <v>90</v>
      </c>
      <c r="G123" s="1204" t="s">
        <v>1</v>
      </c>
      <c r="H123" s="1213" t="s">
        <v>96</v>
      </c>
      <c r="I123" s="144" t="s">
        <v>340</v>
      </c>
      <c r="J123" s="1221" t="s">
        <v>3390</v>
      </c>
      <c r="K123" s="1235" t="s">
        <v>103</v>
      </c>
      <c r="L123" s="1244" t="s">
        <v>3577</v>
      </c>
      <c r="M123" s="1168"/>
      <c r="N123" s="1149"/>
      <c r="O123" s="141" t="str">
        <f t="shared" si="1"/>
        <v xml:space="preserve">معطى الله  حبيب </v>
      </c>
      <c r="P123" s="141" t="s">
        <v>504</v>
      </c>
      <c r="Q123" s="141"/>
      <c r="R123" s="759"/>
      <c r="S123" s="989"/>
      <c r="T123" s="404"/>
      <c r="U123" s="28"/>
    </row>
    <row r="124" spans="1:25" ht="16.5" customHeight="1">
      <c r="A124" s="140">
        <v>116</v>
      </c>
      <c r="B124" s="141"/>
      <c r="C124" s="1186" t="s">
        <v>2450</v>
      </c>
      <c r="D124" s="1186" t="s">
        <v>2472</v>
      </c>
      <c r="E124" s="1187" t="s">
        <v>2975</v>
      </c>
      <c r="F124" s="1188" t="s">
        <v>90</v>
      </c>
      <c r="G124" s="1204" t="s">
        <v>1</v>
      </c>
      <c r="H124" s="1213" t="s">
        <v>96</v>
      </c>
      <c r="I124" s="144" t="s">
        <v>340</v>
      </c>
      <c r="J124" s="1221" t="s">
        <v>3409</v>
      </c>
      <c r="K124" s="1235" t="s">
        <v>111</v>
      </c>
      <c r="L124" s="1244" t="s">
        <v>3578</v>
      </c>
      <c r="M124" s="1168"/>
      <c r="N124" s="1149"/>
      <c r="O124" s="141" t="str">
        <f t="shared" si="1"/>
        <v xml:space="preserve">مكي  إبراهيم </v>
      </c>
      <c r="P124" s="141" t="s">
        <v>504</v>
      </c>
      <c r="Q124" s="141" t="s">
        <v>1907</v>
      </c>
      <c r="R124" s="759"/>
      <c r="S124" s="989"/>
      <c r="T124" s="404"/>
      <c r="U124" s="28"/>
      <c r="V124"/>
      <c r="W124"/>
      <c r="X124"/>
      <c r="Y124"/>
    </row>
    <row r="125" spans="1:25" ht="16.5" customHeight="1">
      <c r="A125" s="140">
        <v>117</v>
      </c>
      <c r="B125" s="141"/>
      <c r="C125" s="1186" t="s">
        <v>185</v>
      </c>
      <c r="D125" s="1186" t="s">
        <v>2473</v>
      </c>
      <c r="E125" s="1187" t="s">
        <v>2976</v>
      </c>
      <c r="F125" s="1188" t="s">
        <v>3338</v>
      </c>
      <c r="G125" s="1204" t="s">
        <v>1</v>
      </c>
      <c r="H125" s="1212" t="s">
        <v>91</v>
      </c>
      <c r="I125" s="144" t="s">
        <v>340</v>
      </c>
      <c r="J125" s="1221" t="s">
        <v>3410</v>
      </c>
      <c r="K125" s="1235" t="s">
        <v>1890</v>
      </c>
      <c r="L125" s="1244" t="s">
        <v>3579</v>
      </c>
      <c r="M125" s="1168"/>
      <c r="N125" s="1149"/>
      <c r="O125" s="141" t="str">
        <f t="shared" si="1"/>
        <v xml:space="preserve">نوالة  حمة </v>
      </c>
      <c r="P125" s="141" t="s">
        <v>504</v>
      </c>
      <c r="Q125" s="141" t="s">
        <v>1907</v>
      </c>
      <c r="R125" s="759"/>
      <c r="S125" s="141" t="s">
        <v>646</v>
      </c>
      <c r="T125" s="417"/>
      <c r="U125" s="28"/>
      <c r="V125"/>
      <c r="W125"/>
      <c r="X125"/>
      <c r="Y125"/>
    </row>
    <row r="126" spans="1:25" ht="16.5" customHeight="1">
      <c r="A126" s="140">
        <v>118</v>
      </c>
      <c r="B126" s="141"/>
      <c r="C126" s="1186" t="s">
        <v>2423</v>
      </c>
      <c r="D126" s="1186" t="s">
        <v>2055</v>
      </c>
      <c r="E126" s="1187" t="s">
        <v>2977</v>
      </c>
      <c r="F126" s="1188" t="s">
        <v>3339</v>
      </c>
      <c r="G126" s="1204" t="s">
        <v>1</v>
      </c>
      <c r="H126" s="1213" t="s">
        <v>91</v>
      </c>
      <c r="I126" s="144" t="s">
        <v>340</v>
      </c>
      <c r="J126" s="1221" t="s">
        <v>494</v>
      </c>
      <c r="K126" s="1235" t="s">
        <v>1890</v>
      </c>
      <c r="L126" s="1244" t="s">
        <v>494</v>
      </c>
      <c r="M126" s="1168"/>
      <c r="N126" s="1149"/>
      <c r="O126" s="141" t="str">
        <f t="shared" si="1"/>
        <v xml:space="preserve">وافي   </v>
      </c>
      <c r="P126" s="141" t="s">
        <v>503</v>
      </c>
      <c r="Q126" s="141" t="s">
        <v>1907</v>
      </c>
      <c r="R126" s="759"/>
      <c r="S126" s="989"/>
      <c r="T126" s="671"/>
      <c r="U126" s="28"/>
      <c r="V126"/>
      <c r="W126"/>
      <c r="X126"/>
      <c r="Y126"/>
    </row>
    <row r="127" spans="1:25" ht="16.5" customHeight="1">
      <c r="A127" s="140">
        <v>119</v>
      </c>
      <c r="B127" s="141"/>
      <c r="C127" s="1186" t="s">
        <v>1997</v>
      </c>
      <c r="D127" s="1186" t="s">
        <v>2204</v>
      </c>
      <c r="E127" s="1187" t="s">
        <v>2978</v>
      </c>
      <c r="F127" s="1188" t="s">
        <v>3339</v>
      </c>
      <c r="G127" s="1204" t="s">
        <v>1</v>
      </c>
      <c r="H127" s="1213" t="s">
        <v>91</v>
      </c>
      <c r="I127" s="144" t="s">
        <v>340</v>
      </c>
      <c r="J127" s="1221" t="s">
        <v>3411</v>
      </c>
      <c r="K127" s="1235" t="s">
        <v>111</v>
      </c>
      <c r="L127" s="1244" t="s">
        <v>3580</v>
      </c>
      <c r="M127" s="1168"/>
      <c r="N127" s="1149"/>
      <c r="O127" s="141" t="str">
        <f t="shared" si="1"/>
        <v xml:space="preserve">يعقوب  كمال </v>
      </c>
      <c r="P127" s="141" t="s">
        <v>503</v>
      </c>
      <c r="Q127" s="141" t="s">
        <v>645</v>
      </c>
      <c r="R127" s="759"/>
      <c r="S127" s="141" t="s">
        <v>654</v>
      </c>
      <c r="T127" s="671"/>
      <c r="U127" s="28"/>
      <c r="V127"/>
      <c r="W127"/>
      <c r="X127"/>
      <c r="Y127"/>
    </row>
    <row r="128" spans="1:25" ht="16.5" customHeight="1">
      <c r="A128" s="140">
        <v>120</v>
      </c>
      <c r="B128" s="141"/>
      <c r="C128" s="1186" t="s">
        <v>1472</v>
      </c>
      <c r="D128" s="1186" t="s">
        <v>2474</v>
      </c>
      <c r="E128" s="1187" t="s">
        <v>2979</v>
      </c>
      <c r="F128" s="1188" t="s">
        <v>3347</v>
      </c>
      <c r="G128" s="1204" t="s">
        <v>1</v>
      </c>
      <c r="H128" s="1213" t="s">
        <v>91</v>
      </c>
      <c r="I128" s="144" t="s">
        <v>340</v>
      </c>
      <c r="J128" s="1221" t="s">
        <v>2334</v>
      </c>
      <c r="K128" s="1234" t="s">
        <v>103</v>
      </c>
      <c r="L128" s="1244" t="s">
        <v>3581</v>
      </c>
      <c r="M128" s="1168"/>
      <c r="N128" s="1149"/>
      <c r="O128" s="141" t="str">
        <f t="shared" si="1"/>
        <v xml:space="preserve">يوب  جيلالي </v>
      </c>
      <c r="P128" s="141" t="s">
        <v>503</v>
      </c>
      <c r="Q128" s="141" t="s">
        <v>645</v>
      </c>
      <c r="R128" s="759"/>
      <c r="S128" s="989"/>
      <c r="T128" s="671"/>
      <c r="U128" s="28"/>
      <c r="V128"/>
      <c r="W128"/>
      <c r="X128"/>
      <c r="Y128"/>
    </row>
    <row r="129" spans="1:25" ht="16.5" customHeight="1">
      <c r="A129" s="140">
        <v>121</v>
      </c>
      <c r="B129" s="141"/>
      <c r="C129" s="1186" t="s">
        <v>879</v>
      </c>
      <c r="D129" s="1186" t="s">
        <v>2475</v>
      </c>
      <c r="E129" s="1187" t="s">
        <v>2980</v>
      </c>
      <c r="F129" s="1188" t="s">
        <v>90</v>
      </c>
      <c r="G129" s="1202" t="s">
        <v>1876</v>
      </c>
      <c r="H129" s="1212" t="s">
        <v>1458</v>
      </c>
      <c r="I129" s="144" t="s">
        <v>340</v>
      </c>
      <c r="J129" s="1221" t="s">
        <v>1990</v>
      </c>
      <c r="K129" s="1235" t="s">
        <v>1893</v>
      </c>
      <c r="L129" s="1244" t="s">
        <v>494</v>
      </c>
      <c r="M129" s="1168"/>
      <c r="N129" s="1149"/>
      <c r="O129" s="141" t="str">
        <f t="shared" si="1"/>
        <v xml:space="preserve">بسباس  بن عمر </v>
      </c>
      <c r="P129" s="141" t="s">
        <v>504</v>
      </c>
      <c r="Q129" s="141" t="s">
        <v>645</v>
      </c>
      <c r="R129" s="759"/>
      <c r="S129" s="141" t="s">
        <v>650</v>
      </c>
      <c r="T129" s="671"/>
      <c r="U129" s="28"/>
      <c r="V129"/>
      <c r="W129"/>
      <c r="X129"/>
      <c r="Y129"/>
    </row>
    <row r="130" spans="1:25" ht="16.5" customHeight="1">
      <c r="A130" s="140">
        <v>122</v>
      </c>
      <c r="B130" s="141"/>
      <c r="C130" s="1186" t="s">
        <v>1157</v>
      </c>
      <c r="D130" s="1186" t="s">
        <v>2477</v>
      </c>
      <c r="E130" s="1187" t="s">
        <v>2982</v>
      </c>
      <c r="F130" s="1188" t="s">
        <v>3338</v>
      </c>
      <c r="G130" s="1202" t="s">
        <v>1876</v>
      </c>
      <c r="H130" s="1212" t="s">
        <v>1458</v>
      </c>
      <c r="I130" s="144" t="s">
        <v>341</v>
      </c>
      <c r="J130" s="1221" t="s">
        <v>3391</v>
      </c>
      <c r="K130" s="1235" t="s">
        <v>2223</v>
      </c>
      <c r="L130" s="1244" t="s">
        <v>3583</v>
      </c>
      <c r="M130" s="1168"/>
      <c r="N130" s="1149"/>
      <c r="O130" s="141" t="str">
        <f t="shared" si="1"/>
        <v xml:space="preserve">مرين  طيب </v>
      </c>
      <c r="P130" s="141" t="s">
        <v>504</v>
      </c>
      <c r="Q130" s="141" t="s">
        <v>645</v>
      </c>
      <c r="R130" s="759"/>
      <c r="S130" s="141"/>
      <c r="T130" s="671"/>
      <c r="U130" s="28"/>
      <c r="V130"/>
      <c r="W130"/>
      <c r="X130"/>
      <c r="Y130"/>
    </row>
    <row r="131" spans="1:25" ht="16.5" customHeight="1">
      <c r="A131" s="140">
        <v>123</v>
      </c>
      <c r="B131" s="141"/>
      <c r="C131" s="1183" t="s">
        <v>2478</v>
      </c>
      <c r="D131" s="1183" t="s">
        <v>38</v>
      </c>
      <c r="E131" s="1184" t="s">
        <v>2983</v>
      </c>
      <c r="F131" s="1185" t="s">
        <v>3338</v>
      </c>
      <c r="G131" s="1201" t="s">
        <v>1876</v>
      </c>
      <c r="H131" s="1212" t="s">
        <v>1458</v>
      </c>
      <c r="I131" s="144" t="s">
        <v>341</v>
      </c>
      <c r="J131" s="1220" t="s">
        <v>3385</v>
      </c>
      <c r="K131" s="1233" t="s">
        <v>128</v>
      </c>
      <c r="L131" s="1245" t="s">
        <v>3584</v>
      </c>
      <c r="M131" s="1169"/>
      <c r="N131" s="1149"/>
      <c r="O131" s="141" t="str">
        <f t="shared" si="1"/>
        <v xml:space="preserve">ميلودي  بشير </v>
      </c>
      <c r="P131" s="141" t="s">
        <v>503</v>
      </c>
      <c r="Q131" s="141" t="s">
        <v>645</v>
      </c>
      <c r="R131" s="759"/>
      <c r="S131" s="989"/>
      <c r="T131" s="671"/>
      <c r="U131" s="28"/>
      <c r="V131"/>
      <c r="W131"/>
      <c r="X131"/>
      <c r="Y131"/>
    </row>
    <row r="132" spans="1:25" ht="16.5" customHeight="1">
      <c r="A132" s="140">
        <v>124</v>
      </c>
      <c r="B132" s="141"/>
      <c r="C132" s="1186" t="s">
        <v>1997</v>
      </c>
      <c r="D132" s="1186" t="s">
        <v>2479</v>
      </c>
      <c r="E132" s="1187" t="s">
        <v>2985</v>
      </c>
      <c r="F132" s="1188" t="s">
        <v>3338</v>
      </c>
      <c r="G132" s="1202" t="s">
        <v>1876</v>
      </c>
      <c r="H132" s="1212" t="s">
        <v>1458</v>
      </c>
      <c r="I132" s="144" t="s">
        <v>341</v>
      </c>
      <c r="J132" s="1221" t="s">
        <v>3413</v>
      </c>
      <c r="K132" s="1235" t="s">
        <v>111</v>
      </c>
      <c r="L132" s="1244" t="s">
        <v>3586</v>
      </c>
      <c r="M132" s="1168"/>
      <c r="N132" s="1149"/>
      <c r="O132" s="141" t="str">
        <f t="shared" si="1"/>
        <v xml:space="preserve">يعقوب  بوبكر </v>
      </c>
      <c r="P132" s="141" t="s">
        <v>503</v>
      </c>
      <c r="Q132" s="141" t="s">
        <v>645</v>
      </c>
      <c r="R132" s="759"/>
      <c r="S132" s="141" t="s">
        <v>653</v>
      </c>
      <c r="T132" s="404"/>
      <c r="U132" s="28"/>
      <c r="V132"/>
      <c r="W132"/>
      <c r="X132"/>
      <c r="Y132"/>
    </row>
    <row r="133" spans="1:25" ht="16.5" customHeight="1">
      <c r="A133" s="140">
        <v>125</v>
      </c>
      <c r="B133" s="141"/>
      <c r="C133" s="1186" t="s">
        <v>1997</v>
      </c>
      <c r="D133" s="1186" t="s">
        <v>2307</v>
      </c>
      <c r="E133" s="1187" t="s">
        <v>2984</v>
      </c>
      <c r="F133" s="1188" t="s">
        <v>3339</v>
      </c>
      <c r="G133" s="1202" t="s">
        <v>1876</v>
      </c>
      <c r="H133" s="1212" t="s">
        <v>1458</v>
      </c>
      <c r="I133" s="144" t="s">
        <v>341</v>
      </c>
      <c r="J133" s="1221" t="s">
        <v>1815</v>
      </c>
      <c r="K133" s="1235" t="s">
        <v>102</v>
      </c>
      <c r="L133" s="1244" t="s">
        <v>3585</v>
      </c>
      <c r="M133" s="1168"/>
      <c r="N133" s="1149"/>
      <c r="O133" s="141" t="str">
        <f t="shared" si="1"/>
        <v xml:space="preserve">يعقوب  بلعيد </v>
      </c>
      <c r="P133" s="141" t="s">
        <v>503</v>
      </c>
      <c r="Q133" s="141" t="s">
        <v>645</v>
      </c>
      <c r="R133" s="759"/>
      <c r="S133" s="989"/>
      <c r="T133" s="417"/>
      <c r="U133" s="28"/>
      <c r="V133"/>
      <c r="W133"/>
      <c r="X133"/>
      <c r="Y133"/>
    </row>
    <row r="134" spans="1:25" ht="16.5" customHeight="1">
      <c r="A134" s="140">
        <v>126</v>
      </c>
      <c r="B134" s="141"/>
      <c r="C134" s="1183" t="s">
        <v>2481</v>
      </c>
      <c r="D134" s="1183" t="s">
        <v>2482</v>
      </c>
      <c r="E134" s="1184" t="s">
        <v>2987</v>
      </c>
      <c r="F134" s="1185" t="s">
        <v>3347</v>
      </c>
      <c r="G134" s="1201" t="s">
        <v>1876</v>
      </c>
      <c r="H134" s="1209" t="s">
        <v>96</v>
      </c>
      <c r="I134" s="144" t="s">
        <v>341</v>
      </c>
      <c r="J134" s="1220" t="s">
        <v>3390</v>
      </c>
      <c r="K134" s="1233" t="s">
        <v>128</v>
      </c>
      <c r="L134" s="1245" t="s">
        <v>3588</v>
      </c>
      <c r="M134" s="1169"/>
      <c r="N134" s="1149"/>
      <c r="O134" s="141" t="str">
        <f t="shared" si="1"/>
        <v xml:space="preserve">أحمدي  حبيب </v>
      </c>
      <c r="P134" s="141" t="s">
        <v>503</v>
      </c>
      <c r="Q134" s="141" t="s">
        <v>645</v>
      </c>
      <c r="R134" s="759"/>
      <c r="S134" s="989"/>
      <c r="T134" s="417"/>
      <c r="U134" s="28"/>
      <c r="V134"/>
      <c r="W134"/>
      <c r="X134"/>
      <c r="Y134"/>
    </row>
    <row r="135" spans="1:25" ht="16.5" customHeight="1">
      <c r="A135" s="140">
        <v>127</v>
      </c>
      <c r="B135" s="141"/>
      <c r="C135" s="1186" t="s">
        <v>2485</v>
      </c>
      <c r="D135" s="1186" t="s">
        <v>2486</v>
      </c>
      <c r="E135" s="1187" t="s">
        <v>2989</v>
      </c>
      <c r="F135" s="1188" t="s">
        <v>3338</v>
      </c>
      <c r="G135" s="1202" t="s">
        <v>1876</v>
      </c>
      <c r="H135" s="1213" t="s">
        <v>91</v>
      </c>
      <c r="I135" s="144" t="s">
        <v>340</v>
      </c>
      <c r="J135" s="1221" t="s">
        <v>3414</v>
      </c>
      <c r="K135" s="1235" t="s">
        <v>121</v>
      </c>
      <c r="L135" s="1244" t="s">
        <v>3589</v>
      </c>
      <c r="M135" s="1168"/>
      <c r="N135" s="1149"/>
      <c r="O135" s="141" t="str">
        <f t="shared" si="1"/>
        <v xml:space="preserve">العقوني  ناصر </v>
      </c>
      <c r="P135" s="141" t="s">
        <v>504</v>
      </c>
      <c r="Q135" s="141" t="s">
        <v>1908</v>
      </c>
      <c r="R135" s="759"/>
      <c r="S135" s="989"/>
      <c r="T135" s="417"/>
      <c r="U135" s="28"/>
      <c r="V135"/>
      <c r="W135"/>
      <c r="X135"/>
      <c r="Y135"/>
    </row>
    <row r="136" spans="1:25" ht="16.5" customHeight="1">
      <c r="A136" s="140">
        <v>128</v>
      </c>
      <c r="B136" s="141"/>
      <c r="C136" s="1186" t="s">
        <v>2487</v>
      </c>
      <c r="D136" s="1186" t="s">
        <v>117</v>
      </c>
      <c r="E136" s="1187" t="s">
        <v>2990</v>
      </c>
      <c r="F136" s="1188" t="s">
        <v>3339</v>
      </c>
      <c r="G136" s="1202" t="s">
        <v>1876</v>
      </c>
      <c r="H136" s="1213" t="s">
        <v>91</v>
      </c>
      <c r="I136" s="144" t="s">
        <v>340</v>
      </c>
      <c r="J136" s="1221" t="s">
        <v>2332</v>
      </c>
      <c r="K136" s="1235" t="s">
        <v>111</v>
      </c>
      <c r="L136" s="1244" t="s">
        <v>3500</v>
      </c>
      <c r="M136" s="1168"/>
      <c r="N136" s="1149"/>
      <c r="O136" s="141" t="str">
        <f t="shared" si="1"/>
        <v xml:space="preserve">النميش  عبد القادر </v>
      </c>
      <c r="P136" s="141" t="s">
        <v>503</v>
      </c>
      <c r="Q136" s="141" t="s">
        <v>1909</v>
      </c>
      <c r="R136" s="759"/>
      <c r="S136" s="989"/>
      <c r="T136" s="404"/>
      <c r="U136" s="28"/>
      <c r="V136"/>
      <c r="W136"/>
      <c r="X136"/>
      <c r="Y136"/>
    </row>
    <row r="137" spans="1:25" ht="16.5" customHeight="1">
      <c r="A137" s="140">
        <v>129</v>
      </c>
      <c r="B137" s="141"/>
      <c r="C137" s="1183" t="s">
        <v>2488</v>
      </c>
      <c r="D137" s="1183" t="s">
        <v>2385</v>
      </c>
      <c r="E137" s="1184" t="s">
        <v>2991</v>
      </c>
      <c r="F137" s="1185" t="s">
        <v>3338</v>
      </c>
      <c r="G137" s="1201" t="s">
        <v>1876</v>
      </c>
      <c r="H137" s="1209" t="s">
        <v>96</v>
      </c>
      <c r="I137" s="144" t="s">
        <v>340</v>
      </c>
      <c r="J137" s="1220" t="s">
        <v>3387</v>
      </c>
      <c r="K137" s="1233" t="s">
        <v>111</v>
      </c>
      <c r="L137" s="1245" t="s">
        <v>494</v>
      </c>
      <c r="M137" s="1168"/>
      <c r="N137" s="1149"/>
      <c r="O137" s="141" t="str">
        <f t="shared" si="1"/>
        <v xml:space="preserve">الوافي  ميلود </v>
      </c>
      <c r="P137" s="141" t="s">
        <v>503</v>
      </c>
      <c r="Q137" s="141" t="s">
        <v>1909</v>
      </c>
      <c r="R137" s="759"/>
      <c r="S137" s="989"/>
      <c r="T137" s="417"/>
      <c r="U137" s="28"/>
      <c r="V137"/>
      <c r="W137"/>
      <c r="X137"/>
      <c r="Y137"/>
    </row>
    <row r="138" spans="1:25" ht="16.5" customHeight="1">
      <c r="A138" s="140">
        <v>130</v>
      </c>
      <c r="B138" s="141"/>
      <c r="C138" s="1186" t="s">
        <v>2483</v>
      </c>
      <c r="D138" s="1186" t="s">
        <v>2484</v>
      </c>
      <c r="E138" s="1187" t="s">
        <v>2988</v>
      </c>
      <c r="F138" s="1188" t="s">
        <v>90</v>
      </c>
      <c r="G138" s="1202" t="s">
        <v>1876</v>
      </c>
      <c r="H138" s="1213" t="s">
        <v>91</v>
      </c>
      <c r="I138" s="144" t="s">
        <v>340</v>
      </c>
      <c r="J138" s="1221" t="s">
        <v>2332</v>
      </c>
      <c r="K138" s="1235" t="s">
        <v>103</v>
      </c>
      <c r="L138" s="1244" t="s">
        <v>494</v>
      </c>
      <c r="M138" s="1169"/>
      <c r="N138" s="1149"/>
      <c r="O138" s="141" t="str">
        <f t="shared" ref="O138:O201" si="2">(C138&amp;"  "&amp;J138)</f>
        <v xml:space="preserve">أوهيبة  عبد القادر </v>
      </c>
      <c r="P138" s="141" t="s">
        <v>503</v>
      </c>
      <c r="Q138" s="141" t="s">
        <v>1910</v>
      </c>
      <c r="R138" s="759"/>
      <c r="S138" s="989"/>
      <c r="T138" s="417"/>
      <c r="U138" s="28"/>
      <c r="V138"/>
      <c r="W138"/>
      <c r="X138"/>
      <c r="Y138"/>
    </row>
    <row r="139" spans="1:25" ht="16.5" customHeight="1">
      <c r="A139" s="140">
        <v>131</v>
      </c>
      <c r="B139" s="141"/>
      <c r="C139" s="1186" t="s">
        <v>2489</v>
      </c>
      <c r="D139" s="1186" t="s">
        <v>2490</v>
      </c>
      <c r="E139" s="1187" t="s">
        <v>2992</v>
      </c>
      <c r="F139" s="1188" t="s">
        <v>3339</v>
      </c>
      <c r="G139" s="1202" t="s">
        <v>1876</v>
      </c>
      <c r="H139" s="1213" t="s">
        <v>91</v>
      </c>
      <c r="I139" s="144" t="s">
        <v>340</v>
      </c>
      <c r="J139" s="1221" t="s">
        <v>3380</v>
      </c>
      <c r="K139" s="1235" t="s">
        <v>103</v>
      </c>
      <c r="L139" s="1244" t="s">
        <v>3590</v>
      </c>
      <c r="M139" s="1168"/>
      <c r="N139" s="1149"/>
      <c r="O139" s="141" t="str">
        <f t="shared" si="2"/>
        <v xml:space="preserve">بلاحي  قويدر </v>
      </c>
      <c r="P139" s="141" t="s">
        <v>504</v>
      </c>
      <c r="Q139" s="141" t="s">
        <v>1910</v>
      </c>
      <c r="R139" s="759"/>
      <c r="S139" s="989"/>
      <c r="T139" s="417"/>
      <c r="U139" s="28"/>
      <c r="V139"/>
      <c r="W139"/>
      <c r="X139"/>
      <c r="Y139"/>
    </row>
    <row r="140" spans="1:25" ht="16.5" customHeight="1">
      <c r="A140" s="140">
        <v>132</v>
      </c>
      <c r="B140" s="141"/>
      <c r="C140" s="1183" t="s">
        <v>2491</v>
      </c>
      <c r="D140" s="1183" t="s">
        <v>1022</v>
      </c>
      <c r="E140" s="1184" t="s">
        <v>2993</v>
      </c>
      <c r="F140" s="1185" t="s">
        <v>3339</v>
      </c>
      <c r="G140" s="1201" t="s">
        <v>1876</v>
      </c>
      <c r="H140" s="1209" t="s">
        <v>96</v>
      </c>
      <c r="I140" s="144" t="s">
        <v>340</v>
      </c>
      <c r="J140" s="1220"/>
      <c r="K140" s="1233" t="s">
        <v>128</v>
      </c>
      <c r="L140" s="1245"/>
      <c r="M140" s="1168"/>
      <c r="N140" s="1149"/>
      <c r="O140" s="141" t="str">
        <f t="shared" si="2"/>
        <v xml:space="preserve">بلحيارة  </v>
      </c>
      <c r="P140" s="141" t="s">
        <v>504</v>
      </c>
      <c r="Q140" s="141" t="s">
        <v>1909</v>
      </c>
      <c r="R140" s="759"/>
      <c r="S140" s="989"/>
      <c r="T140" s="417"/>
      <c r="U140" s="28"/>
      <c r="V140"/>
      <c r="W140"/>
      <c r="X140"/>
      <c r="Y140"/>
    </row>
    <row r="141" spans="1:25" ht="16.5" customHeight="1">
      <c r="A141" s="140">
        <v>133</v>
      </c>
      <c r="B141" s="141"/>
      <c r="C141" s="1186" t="s">
        <v>2492</v>
      </c>
      <c r="D141" s="1186" t="s">
        <v>2304</v>
      </c>
      <c r="E141" s="1187" t="s">
        <v>2994</v>
      </c>
      <c r="F141" s="1188" t="s">
        <v>3339</v>
      </c>
      <c r="G141" s="1202" t="s">
        <v>1876</v>
      </c>
      <c r="H141" s="1213" t="s">
        <v>91</v>
      </c>
      <c r="I141" s="144" t="s">
        <v>340</v>
      </c>
      <c r="J141" s="1221" t="s">
        <v>2332</v>
      </c>
      <c r="K141" s="1235" t="s">
        <v>123</v>
      </c>
      <c r="L141" s="1244" t="s">
        <v>3591</v>
      </c>
      <c r="M141" s="1168"/>
      <c r="N141" s="1149"/>
      <c r="O141" s="141" t="str">
        <f t="shared" si="2"/>
        <v xml:space="preserve">بن حدو  عبد القادر </v>
      </c>
      <c r="P141" s="141" t="s">
        <v>504</v>
      </c>
      <c r="Q141" s="141" t="s">
        <v>1910</v>
      </c>
      <c r="R141" s="759"/>
      <c r="S141" s="989"/>
      <c r="T141" s="404"/>
      <c r="U141" s="28"/>
      <c r="V141"/>
      <c r="W141"/>
      <c r="X141"/>
      <c r="Y141"/>
    </row>
    <row r="142" spans="1:25" s="845" customFormat="1" ht="16.5" customHeight="1">
      <c r="A142" s="140">
        <v>134</v>
      </c>
      <c r="B142" s="141"/>
      <c r="C142" s="1186" t="s">
        <v>2088</v>
      </c>
      <c r="D142" s="1186" t="s">
        <v>2311</v>
      </c>
      <c r="E142" s="1187" t="s">
        <v>2995</v>
      </c>
      <c r="F142" s="1188" t="s">
        <v>3339</v>
      </c>
      <c r="G142" s="1202" t="s">
        <v>1876</v>
      </c>
      <c r="H142" s="1213" t="s">
        <v>96</v>
      </c>
      <c r="I142" s="144" t="s">
        <v>340</v>
      </c>
      <c r="J142" s="1221" t="s">
        <v>3415</v>
      </c>
      <c r="K142" s="1235" t="s">
        <v>123</v>
      </c>
      <c r="L142" s="1244" t="s">
        <v>3592</v>
      </c>
      <c r="M142" s="1169"/>
      <c r="N142" s="1149"/>
      <c r="O142" s="141" t="str">
        <f t="shared" si="2"/>
        <v xml:space="preserve">بن سجاد  سيدأحمد </v>
      </c>
      <c r="P142" s="141" t="s">
        <v>503</v>
      </c>
      <c r="Q142" s="141"/>
      <c r="R142" s="759"/>
      <c r="S142" s="989"/>
      <c r="T142" s="404"/>
      <c r="U142" s="28"/>
    </row>
    <row r="143" spans="1:25" ht="16.5" customHeight="1">
      <c r="A143" s="140">
        <v>135</v>
      </c>
      <c r="B143" s="141"/>
      <c r="C143" s="1186" t="s">
        <v>2396</v>
      </c>
      <c r="D143" s="1186" t="s">
        <v>2031</v>
      </c>
      <c r="E143" s="1187" t="s">
        <v>2996</v>
      </c>
      <c r="F143" s="1188" t="s">
        <v>3338</v>
      </c>
      <c r="G143" s="1202" t="s">
        <v>1876</v>
      </c>
      <c r="H143" s="1213" t="s">
        <v>91</v>
      </c>
      <c r="I143" s="144" t="s">
        <v>340</v>
      </c>
      <c r="J143" s="1221" t="s">
        <v>2325</v>
      </c>
      <c r="K143" s="1235" t="s">
        <v>128</v>
      </c>
      <c r="L143" s="1244" t="s">
        <v>3593</v>
      </c>
      <c r="M143" s="1168"/>
      <c r="N143" s="1149"/>
      <c r="O143" s="141" t="str">
        <f t="shared" si="2"/>
        <v xml:space="preserve">بن مايسة  محمد </v>
      </c>
      <c r="P143" s="141" t="s">
        <v>504</v>
      </c>
      <c r="Q143" s="141" t="s">
        <v>1909</v>
      </c>
      <c r="R143" s="759"/>
      <c r="S143" s="989"/>
      <c r="T143" s="417"/>
      <c r="U143" s="28"/>
      <c r="V143"/>
      <c r="W143"/>
      <c r="X143"/>
      <c r="Y143"/>
    </row>
    <row r="144" spans="1:25" ht="16.5" customHeight="1">
      <c r="A144" s="140">
        <v>136</v>
      </c>
      <c r="B144" s="141"/>
      <c r="C144" s="1183" t="s">
        <v>2396</v>
      </c>
      <c r="D144" s="1183" t="s">
        <v>2493</v>
      </c>
      <c r="E144" s="1184" t="s">
        <v>2997</v>
      </c>
      <c r="F144" s="1185" t="s">
        <v>3338</v>
      </c>
      <c r="G144" s="1201" t="s">
        <v>1876</v>
      </c>
      <c r="H144" s="1209" t="s">
        <v>96</v>
      </c>
      <c r="I144" s="144" t="s">
        <v>340</v>
      </c>
      <c r="J144" s="1220" t="s">
        <v>3416</v>
      </c>
      <c r="K144" s="1233" t="s">
        <v>103</v>
      </c>
      <c r="L144" s="1245" t="s">
        <v>3594</v>
      </c>
      <c r="M144" s="1168"/>
      <c r="N144" s="1149"/>
      <c r="O144" s="141" t="str">
        <f t="shared" si="2"/>
        <v xml:space="preserve">بن مايسة  امين </v>
      </c>
      <c r="P144" s="141" t="s">
        <v>503</v>
      </c>
      <c r="Q144" s="141" t="s">
        <v>1909</v>
      </c>
      <c r="R144" s="759"/>
      <c r="S144" s="989"/>
      <c r="T144" s="417"/>
      <c r="U144" s="28"/>
      <c r="V144"/>
      <c r="W144"/>
      <c r="X144"/>
      <c r="Y144"/>
    </row>
    <row r="145" spans="1:25" ht="16.5" customHeight="1">
      <c r="A145" s="140">
        <v>137</v>
      </c>
      <c r="B145" s="141"/>
      <c r="C145" s="1186" t="s">
        <v>2494</v>
      </c>
      <c r="D145" s="1186" t="s">
        <v>2495</v>
      </c>
      <c r="E145" s="1187" t="s">
        <v>2998</v>
      </c>
      <c r="F145" s="1188" t="s">
        <v>3339</v>
      </c>
      <c r="G145" s="1202" t="s">
        <v>1876</v>
      </c>
      <c r="H145" s="1213" t="s">
        <v>96</v>
      </c>
      <c r="I145" s="144" t="s">
        <v>340</v>
      </c>
      <c r="J145" s="1221" t="s">
        <v>3417</v>
      </c>
      <c r="K145" s="1235" t="s">
        <v>119</v>
      </c>
      <c r="L145" s="1244" t="s">
        <v>3595</v>
      </c>
      <c r="M145" s="1168"/>
      <c r="N145" s="1149"/>
      <c r="O145" s="141" t="str">
        <f t="shared" si="2"/>
        <v xml:space="preserve">بوخاتمي  بن سعيد </v>
      </c>
      <c r="P145" s="141" t="s">
        <v>502</v>
      </c>
      <c r="Q145" s="141" t="s">
        <v>1909</v>
      </c>
      <c r="R145" s="759"/>
      <c r="S145" s="989"/>
      <c r="T145" s="404"/>
      <c r="U145" s="28"/>
      <c r="V145"/>
      <c r="W145"/>
      <c r="X145"/>
      <c r="Y145"/>
    </row>
    <row r="146" spans="1:25" ht="16.5" customHeight="1">
      <c r="A146" s="140">
        <v>138</v>
      </c>
      <c r="B146" s="141"/>
      <c r="C146" s="1186" t="s">
        <v>995</v>
      </c>
      <c r="D146" s="1186" t="s">
        <v>2480</v>
      </c>
      <c r="E146" s="1187" t="s">
        <v>2986</v>
      </c>
      <c r="F146" s="1188" t="s">
        <v>3339</v>
      </c>
      <c r="G146" s="1202" t="s">
        <v>1876</v>
      </c>
      <c r="H146" s="1213" t="s">
        <v>96</v>
      </c>
      <c r="I146" s="144" t="s">
        <v>340</v>
      </c>
      <c r="J146" s="1221" t="s">
        <v>2325</v>
      </c>
      <c r="K146" s="1235" t="s">
        <v>135</v>
      </c>
      <c r="L146" s="1244" t="s">
        <v>3587</v>
      </c>
      <c r="M146" s="1169"/>
      <c r="N146" s="1149"/>
      <c r="O146" s="141" t="str">
        <f t="shared" si="2"/>
        <v xml:space="preserve">بوصحرة  محمد </v>
      </c>
      <c r="P146" s="141" t="s">
        <v>502</v>
      </c>
      <c r="Q146" s="141" t="s">
        <v>1910</v>
      </c>
      <c r="R146" s="759"/>
      <c r="S146" s="989"/>
      <c r="T146" s="417"/>
      <c r="U146" s="28"/>
      <c r="V146"/>
      <c r="W146"/>
      <c r="X146"/>
      <c r="Y146"/>
    </row>
    <row r="147" spans="1:25" ht="16.5" customHeight="1">
      <c r="A147" s="140">
        <v>139</v>
      </c>
      <c r="B147" s="141"/>
      <c r="C147" s="1186" t="s">
        <v>170</v>
      </c>
      <c r="D147" s="1186" t="s">
        <v>2327</v>
      </c>
      <c r="E147" s="1187" t="s">
        <v>2999</v>
      </c>
      <c r="F147" s="1188" t="s">
        <v>3339</v>
      </c>
      <c r="G147" s="1202" t="s">
        <v>1876</v>
      </c>
      <c r="H147" s="1213" t="s">
        <v>96</v>
      </c>
      <c r="I147" s="144" t="s">
        <v>340</v>
      </c>
      <c r="J147" s="1221" t="s">
        <v>2333</v>
      </c>
      <c r="K147" s="1234" t="s">
        <v>97</v>
      </c>
      <c r="L147" s="1244" t="s">
        <v>3596</v>
      </c>
      <c r="M147" s="1168"/>
      <c r="N147" s="1149"/>
      <c r="O147" s="141" t="str">
        <f t="shared" si="2"/>
        <v xml:space="preserve">تيرس  عباس </v>
      </c>
      <c r="P147" s="141" t="s">
        <v>2198</v>
      </c>
      <c r="Q147" s="141" t="s">
        <v>1910</v>
      </c>
      <c r="R147" s="759"/>
      <c r="S147" s="989"/>
      <c r="T147" s="404"/>
      <c r="U147" s="28"/>
      <c r="V147"/>
      <c r="W147"/>
      <c r="X147"/>
      <c r="Y147"/>
    </row>
    <row r="148" spans="1:25" s="968" customFormat="1" ht="16.5" customHeight="1">
      <c r="A148" s="140">
        <v>140</v>
      </c>
      <c r="B148" s="141"/>
      <c r="C148" s="1183" t="s">
        <v>2476</v>
      </c>
      <c r="D148" s="1183" t="s">
        <v>2096</v>
      </c>
      <c r="E148" s="1184" t="s">
        <v>2981</v>
      </c>
      <c r="F148" s="1185" t="s">
        <v>3339</v>
      </c>
      <c r="G148" s="1201" t="s">
        <v>1876</v>
      </c>
      <c r="H148" s="1213" t="s">
        <v>96</v>
      </c>
      <c r="I148" s="144" t="s">
        <v>340</v>
      </c>
      <c r="J148" s="1220" t="s">
        <v>3412</v>
      </c>
      <c r="K148" s="1233" t="s">
        <v>103</v>
      </c>
      <c r="L148" s="1245" t="s">
        <v>3582</v>
      </c>
      <c r="M148" s="1168"/>
      <c r="N148" s="1149"/>
      <c r="O148" s="141" t="str">
        <f t="shared" si="2"/>
        <v xml:space="preserve">حلام  نورالدين </v>
      </c>
      <c r="P148" s="141" t="s">
        <v>502</v>
      </c>
      <c r="Q148" s="141"/>
      <c r="R148" s="759"/>
      <c r="S148" s="989"/>
      <c r="T148" s="404"/>
      <c r="U148" s="28"/>
    </row>
    <row r="149" spans="1:25" ht="16.5" customHeight="1">
      <c r="A149" s="140">
        <v>141</v>
      </c>
      <c r="B149" s="141"/>
      <c r="C149" s="1186" t="s">
        <v>2496</v>
      </c>
      <c r="D149" s="1186" t="s">
        <v>2497</v>
      </c>
      <c r="E149" s="1187" t="s">
        <v>3000</v>
      </c>
      <c r="F149" s="1188" t="s">
        <v>3339</v>
      </c>
      <c r="G149" s="1202" t="s">
        <v>1876</v>
      </c>
      <c r="H149" s="1213" t="s">
        <v>96</v>
      </c>
      <c r="I149" s="144" t="s">
        <v>340</v>
      </c>
      <c r="J149" s="1221" t="s">
        <v>3418</v>
      </c>
      <c r="K149" s="1235" t="s">
        <v>103</v>
      </c>
      <c r="L149" s="1244" t="s">
        <v>3597</v>
      </c>
      <c r="M149" s="1168"/>
      <c r="N149" s="1149"/>
      <c r="O149" s="141" t="str">
        <f t="shared" si="2"/>
        <v xml:space="preserve">خمسي  بن علي </v>
      </c>
      <c r="P149" s="141" t="s">
        <v>502</v>
      </c>
      <c r="Q149" s="141" t="s">
        <v>1910</v>
      </c>
      <c r="R149" s="759"/>
      <c r="S149" s="989"/>
      <c r="T149" s="671"/>
      <c r="U149" s="28"/>
      <c r="V149"/>
      <c r="W149"/>
      <c r="X149"/>
      <c r="Y149"/>
    </row>
    <row r="150" spans="1:25" s="958" customFormat="1" ht="16.5" customHeight="1">
      <c r="A150" s="140">
        <v>142</v>
      </c>
      <c r="B150" s="141"/>
      <c r="C150" s="1186" t="s">
        <v>2498</v>
      </c>
      <c r="D150" s="1186" t="s">
        <v>2499</v>
      </c>
      <c r="E150" s="1187" t="s">
        <v>3001</v>
      </c>
      <c r="F150" s="1188" t="s">
        <v>133</v>
      </c>
      <c r="G150" s="1202" t="s">
        <v>1876</v>
      </c>
      <c r="H150" s="1213" t="s">
        <v>96</v>
      </c>
      <c r="I150" s="144" t="s">
        <v>340</v>
      </c>
      <c r="J150" s="1221" t="s">
        <v>2329</v>
      </c>
      <c r="K150" s="1235" t="s">
        <v>103</v>
      </c>
      <c r="L150" s="1244" t="s">
        <v>494</v>
      </c>
      <c r="M150" s="1168"/>
      <c r="N150" s="1149"/>
      <c r="O150" s="141" t="str">
        <f t="shared" si="2"/>
        <v xml:space="preserve">دريسي  احمد </v>
      </c>
      <c r="P150" s="141" t="s">
        <v>503</v>
      </c>
      <c r="Q150" s="141" t="s">
        <v>1904</v>
      </c>
      <c r="R150" s="759"/>
      <c r="S150" s="989"/>
      <c r="T150" s="671"/>
      <c r="U150" s="28"/>
    </row>
    <row r="151" spans="1:25" s="958" customFormat="1" ht="16.5" customHeight="1">
      <c r="A151" s="140">
        <v>143</v>
      </c>
      <c r="B151" s="141"/>
      <c r="C151" s="1186" t="s">
        <v>2438</v>
      </c>
      <c r="D151" s="1186" t="s">
        <v>2032</v>
      </c>
      <c r="E151" s="1187" t="s">
        <v>3002</v>
      </c>
      <c r="F151" s="1188" t="s">
        <v>90</v>
      </c>
      <c r="G151" s="1202" t="s">
        <v>1876</v>
      </c>
      <c r="H151" s="1213" t="s">
        <v>91</v>
      </c>
      <c r="I151" s="144" t="s">
        <v>340</v>
      </c>
      <c r="J151" s="1221" t="s">
        <v>3407</v>
      </c>
      <c r="K151" s="1235" t="s">
        <v>111</v>
      </c>
      <c r="L151" s="1244" t="s">
        <v>3598</v>
      </c>
      <c r="M151" s="1168"/>
      <c r="N151" s="1149"/>
      <c r="O151" s="141" t="str">
        <f t="shared" si="2"/>
        <v xml:space="preserve">رايس  يوب </v>
      </c>
      <c r="P151" s="141" t="s">
        <v>503</v>
      </c>
      <c r="Q151" s="141" t="s">
        <v>1907</v>
      </c>
      <c r="R151" s="759"/>
      <c r="S151" s="989"/>
      <c r="T151" s="671"/>
      <c r="U151" s="28"/>
    </row>
    <row r="152" spans="1:25" s="958" customFormat="1" ht="16.5" customHeight="1">
      <c r="A152" s="140">
        <v>144</v>
      </c>
      <c r="B152" s="141"/>
      <c r="C152" s="1186" t="s">
        <v>2500</v>
      </c>
      <c r="D152" s="1186" t="s">
        <v>43</v>
      </c>
      <c r="E152" s="1187" t="s">
        <v>3003</v>
      </c>
      <c r="F152" s="1188" t="s">
        <v>3347</v>
      </c>
      <c r="G152" s="1202" t="s">
        <v>1876</v>
      </c>
      <c r="H152" s="1213" t="s">
        <v>91</v>
      </c>
      <c r="I152" s="144" t="s">
        <v>340</v>
      </c>
      <c r="J152" s="1221" t="s">
        <v>3419</v>
      </c>
      <c r="K152" s="1235" t="s">
        <v>111</v>
      </c>
      <c r="L152" s="1244" t="s">
        <v>494</v>
      </c>
      <c r="M152" s="1169"/>
      <c r="N152" s="1149"/>
      <c r="O152" s="141" t="str">
        <f t="shared" si="2"/>
        <v xml:space="preserve">سلطاني  منور </v>
      </c>
      <c r="P152" s="141" t="s">
        <v>504</v>
      </c>
      <c r="Q152" s="141" t="s">
        <v>1904</v>
      </c>
      <c r="R152" s="759"/>
      <c r="S152" s="989"/>
      <c r="T152" s="671"/>
      <c r="U152" s="28"/>
    </row>
    <row r="153" spans="1:25" ht="16.5" customHeight="1">
      <c r="A153" s="140">
        <v>145</v>
      </c>
      <c r="B153" s="141"/>
      <c r="C153" s="1186" t="s">
        <v>2501</v>
      </c>
      <c r="D153" s="1186" t="s">
        <v>2502</v>
      </c>
      <c r="E153" s="1187" t="s">
        <v>3004</v>
      </c>
      <c r="F153" s="1188" t="s">
        <v>90</v>
      </c>
      <c r="G153" s="1202" t="s">
        <v>1876</v>
      </c>
      <c r="H153" s="1213" t="s">
        <v>91</v>
      </c>
      <c r="I153" s="144" t="s">
        <v>340</v>
      </c>
      <c r="J153" s="1221" t="s">
        <v>1626</v>
      </c>
      <c r="K153" s="1235" t="s">
        <v>135</v>
      </c>
      <c r="L153" s="1244" t="s">
        <v>3599</v>
      </c>
      <c r="M153" s="1168"/>
      <c r="N153" s="1149"/>
      <c r="O153" s="141" t="str">
        <f t="shared" si="2"/>
        <v xml:space="preserve">عبدون  بوزيان </v>
      </c>
      <c r="P153" s="141" t="s">
        <v>504</v>
      </c>
      <c r="Q153" s="141" t="s">
        <v>1909</v>
      </c>
      <c r="R153" s="145"/>
      <c r="S153" s="989"/>
      <c r="T153" s="404"/>
      <c r="U153" s="28"/>
      <c r="V153"/>
      <c r="W153"/>
      <c r="X153"/>
      <c r="Y153"/>
    </row>
    <row r="154" spans="1:25" ht="16.5" customHeight="1">
      <c r="A154" s="140">
        <v>146</v>
      </c>
      <c r="B154" s="141"/>
      <c r="C154" s="1183" t="s">
        <v>2503</v>
      </c>
      <c r="D154" s="1183" t="s">
        <v>1166</v>
      </c>
      <c r="E154" s="1184" t="s">
        <v>3005</v>
      </c>
      <c r="F154" s="1185" t="s">
        <v>90</v>
      </c>
      <c r="G154" s="1201" t="s">
        <v>1876</v>
      </c>
      <c r="H154" s="1209" t="s">
        <v>91</v>
      </c>
      <c r="I154" s="144" t="s">
        <v>340</v>
      </c>
      <c r="J154" s="1220" t="s">
        <v>2332</v>
      </c>
      <c r="K154" s="1233" t="s">
        <v>2319</v>
      </c>
      <c r="L154" s="1245" t="s">
        <v>3600</v>
      </c>
      <c r="M154" s="1168"/>
      <c r="N154" s="1149"/>
      <c r="O154" s="141" t="str">
        <f t="shared" si="2"/>
        <v xml:space="preserve">عثماني  عبد القادر </v>
      </c>
      <c r="P154" s="141" t="s">
        <v>504</v>
      </c>
      <c r="Q154" s="141" t="s">
        <v>1909</v>
      </c>
      <c r="R154" s="759"/>
      <c r="S154" s="989"/>
      <c r="T154" s="417"/>
      <c r="U154" s="28"/>
      <c r="V154"/>
      <c r="W154"/>
      <c r="X154"/>
      <c r="Y154"/>
    </row>
    <row r="155" spans="1:25" s="817" customFormat="1" ht="16.5" customHeight="1">
      <c r="A155" s="140">
        <v>147</v>
      </c>
      <c r="B155" s="141"/>
      <c r="C155" s="1186" t="s">
        <v>2504</v>
      </c>
      <c r="D155" s="1186" t="s">
        <v>2505</v>
      </c>
      <c r="E155" s="1187" t="s">
        <v>3006</v>
      </c>
      <c r="F155" s="1188" t="s">
        <v>3350</v>
      </c>
      <c r="G155" s="1202" t="s">
        <v>1876</v>
      </c>
      <c r="H155" s="1213" t="s">
        <v>96</v>
      </c>
      <c r="I155" s="144" t="s">
        <v>340</v>
      </c>
      <c r="J155" s="1221" t="s">
        <v>2333</v>
      </c>
      <c r="K155" s="1235" t="s">
        <v>2058</v>
      </c>
      <c r="L155" s="1244" t="s">
        <v>3601</v>
      </c>
      <c r="M155" s="1168"/>
      <c r="N155" s="1149"/>
      <c r="O155" s="141" t="str">
        <f t="shared" si="2"/>
        <v xml:space="preserve">فيلالي  عباس </v>
      </c>
      <c r="P155" s="141" t="s">
        <v>503</v>
      </c>
      <c r="Q155" s="141" t="s">
        <v>1905</v>
      </c>
      <c r="R155" s="759"/>
      <c r="S155" s="989"/>
      <c r="T155" s="417"/>
      <c r="U155" s="28"/>
    </row>
    <row r="156" spans="1:25" ht="16.5" customHeight="1">
      <c r="A156" s="140">
        <v>148</v>
      </c>
      <c r="B156" s="141"/>
      <c r="C156" s="1186" t="s">
        <v>2406</v>
      </c>
      <c r="D156" s="1186" t="s">
        <v>120</v>
      </c>
      <c r="E156" s="1187" t="s">
        <v>3007</v>
      </c>
      <c r="F156" s="1188" t="s">
        <v>90</v>
      </c>
      <c r="G156" s="1202" t="s">
        <v>1876</v>
      </c>
      <c r="H156" s="1213" t="s">
        <v>91</v>
      </c>
      <c r="I156" s="144" t="s">
        <v>340</v>
      </c>
      <c r="J156" s="1221" t="s">
        <v>3371</v>
      </c>
      <c r="K156" s="1235" t="s">
        <v>111</v>
      </c>
      <c r="L156" s="1244" t="s">
        <v>3602</v>
      </c>
      <c r="M156" s="1169"/>
      <c r="N156" s="1149"/>
      <c r="O156" s="141" t="str">
        <f t="shared" si="2"/>
        <v xml:space="preserve">مرابط  علي </v>
      </c>
      <c r="P156" s="141" t="s">
        <v>504</v>
      </c>
      <c r="Q156" s="141" t="s">
        <v>1909</v>
      </c>
      <c r="R156" s="759"/>
      <c r="S156" s="989"/>
      <c r="T156" s="404"/>
      <c r="U156" s="28"/>
      <c r="V156"/>
      <c r="W156"/>
      <c r="X156"/>
      <c r="Y156"/>
    </row>
    <row r="157" spans="1:25" ht="16.5" customHeight="1">
      <c r="A157" s="140">
        <v>149</v>
      </c>
      <c r="B157" s="141"/>
      <c r="C157" s="1186" t="s">
        <v>2450</v>
      </c>
      <c r="D157" s="1186" t="s">
        <v>120</v>
      </c>
      <c r="E157" s="1187" t="s">
        <v>2870</v>
      </c>
      <c r="F157" s="1188" t="s">
        <v>3351</v>
      </c>
      <c r="G157" s="1202" t="s">
        <v>1876</v>
      </c>
      <c r="H157" s="1213" t="s">
        <v>91</v>
      </c>
      <c r="I157" s="144" t="s">
        <v>340</v>
      </c>
      <c r="J157" s="1221" t="s">
        <v>3390</v>
      </c>
      <c r="K157" s="1235" t="s">
        <v>123</v>
      </c>
      <c r="L157" s="1244" t="s">
        <v>3603</v>
      </c>
      <c r="M157" s="1168"/>
      <c r="N157" s="1149"/>
      <c r="O157" s="141" t="str">
        <f t="shared" si="2"/>
        <v xml:space="preserve">مكي  حبيب </v>
      </c>
      <c r="P157" s="141" t="s">
        <v>503</v>
      </c>
      <c r="Q157" s="141" t="s">
        <v>1909</v>
      </c>
      <c r="R157" s="759"/>
      <c r="S157" s="989"/>
      <c r="T157" s="671"/>
      <c r="U157" s="28"/>
      <c r="V157"/>
      <c r="W157"/>
      <c r="X157"/>
      <c r="Y157"/>
    </row>
    <row r="158" spans="1:25" ht="16.5" customHeight="1">
      <c r="A158" s="140">
        <v>150</v>
      </c>
      <c r="B158" s="141"/>
      <c r="C158" s="1186" t="s">
        <v>2506</v>
      </c>
      <c r="D158" s="1186" t="s">
        <v>187</v>
      </c>
      <c r="E158" s="1187" t="s">
        <v>3008</v>
      </c>
      <c r="F158" s="1188" t="s">
        <v>3339</v>
      </c>
      <c r="G158" s="1202" t="s">
        <v>1876</v>
      </c>
      <c r="H158" s="1213" t="s">
        <v>96</v>
      </c>
      <c r="I158" s="144" t="s">
        <v>340</v>
      </c>
      <c r="J158" s="1221" t="s">
        <v>2101</v>
      </c>
      <c r="K158" s="1235" t="s">
        <v>102</v>
      </c>
      <c r="L158" s="1244" t="s">
        <v>494</v>
      </c>
      <c r="M158" s="1168"/>
      <c r="N158" s="1149"/>
      <c r="O158" s="141" t="str">
        <f t="shared" si="2"/>
        <v xml:space="preserve">هيبر  أحمد </v>
      </c>
      <c r="P158" s="141" t="s">
        <v>504</v>
      </c>
      <c r="Q158" s="141" t="s">
        <v>1910</v>
      </c>
      <c r="R158" s="759"/>
      <c r="S158" s="989"/>
      <c r="T158" s="671"/>
      <c r="U158" s="28"/>
      <c r="V158"/>
      <c r="W158"/>
      <c r="X158"/>
      <c r="Y158"/>
    </row>
    <row r="159" spans="1:25" ht="16.5" customHeight="1">
      <c r="A159" s="140">
        <v>151</v>
      </c>
      <c r="B159" s="141"/>
      <c r="C159" s="1186" t="s">
        <v>2438</v>
      </c>
      <c r="D159" s="1186" t="s">
        <v>120</v>
      </c>
      <c r="E159" s="1187" t="s">
        <v>3003</v>
      </c>
      <c r="F159" s="1188" t="s">
        <v>3339</v>
      </c>
      <c r="G159" s="1202" t="s">
        <v>2317</v>
      </c>
      <c r="H159" s="1212" t="s">
        <v>1458</v>
      </c>
      <c r="I159" s="144" t="s">
        <v>341</v>
      </c>
      <c r="J159" s="1221" t="s">
        <v>3420</v>
      </c>
      <c r="K159" s="1235" t="s">
        <v>97</v>
      </c>
      <c r="L159" s="1244" t="s">
        <v>3605</v>
      </c>
      <c r="M159" s="1168"/>
      <c r="N159" s="1149"/>
      <c r="O159" s="141" t="str">
        <f t="shared" si="2"/>
        <v xml:space="preserve">رايس  مرتضى </v>
      </c>
      <c r="P159" s="141" t="s">
        <v>503</v>
      </c>
      <c r="Q159" s="141" t="s">
        <v>1910</v>
      </c>
      <c r="R159" s="759"/>
      <c r="S159" s="989"/>
      <c r="T159" s="671"/>
      <c r="U159" s="28"/>
      <c r="V159"/>
      <c r="W159"/>
      <c r="X159"/>
      <c r="Y159"/>
    </row>
    <row r="160" spans="1:25" ht="16.5" customHeight="1">
      <c r="A160" s="140">
        <v>152</v>
      </c>
      <c r="B160" s="141"/>
      <c r="C160" s="1186" t="s">
        <v>2512</v>
      </c>
      <c r="D160" s="1186" t="s">
        <v>2513</v>
      </c>
      <c r="E160" s="1187" t="s">
        <v>3012</v>
      </c>
      <c r="F160" s="1188" t="s">
        <v>90</v>
      </c>
      <c r="G160" s="1202" t="s">
        <v>2317</v>
      </c>
      <c r="H160" s="1212" t="s">
        <v>1458</v>
      </c>
      <c r="I160" s="144" t="s">
        <v>341</v>
      </c>
      <c r="J160" s="1221" t="s">
        <v>3421</v>
      </c>
      <c r="K160" s="1234" t="s">
        <v>111</v>
      </c>
      <c r="L160" s="1244" t="s">
        <v>3606</v>
      </c>
      <c r="M160" s="1168"/>
      <c r="N160" s="1149"/>
      <c r="O160" s="141" t="str">
        <f t="shared" si="2"/>
        <v xml:space="preserve">عامري  بوعزة </v>
      </c>
      <c r="P160" s="141" t="s">
        <v>503</v>
      </c>
      <c r="Q160" s="141" t="s">
        <v>1909</v>
      </c>
      <c r="R160" s="759"/>
      <c r="S160" s="989"/>
      <c r="T160" s="417"/>
      <c r="U160" s="28"/>
      <c r="V160"/>
      <c r="W160"/>
      <c r="X160"/>
      <c r="Y160"/>
    </row>
    <row r="161" spans="1:25" s="958" customFormat="1" ht="16.5" customHeight="1">
      <c r="A161" s="140">
        <v>153</v>
      </c>
      <c r="B161" s="141"/>
      <c r="C161" s="1186" t="s">
        <v>2514</v>
      </c>
      <c r="D161" s="1186" t="s">
        <v>138</v>
      </c>
      <c r="E161" s="1187" t="s">
        <v>3013</v>
      </c>
      <c r="F161" s="1188" t="s">
        <v>3339</v>
      </c>
      <c r="G161" s="1202" t="s">
        <v>2317</v>
      </c>
      <c r="H161" s="1212" t="s">
        <v>1458</v>
      </c>
      <c r="I161" s="144" t="s">
        <v>341</v>
      </c>
      <c r="J161" s="1221" t="s">
        <v>3390</v>
      </c>
      <c r="K161" s="1235" t="s">
        <v>102</v>
      </c>
      <c r="L161" s="1244" t="s">
        <v>3585</v>
      </c>
      <c r="M161" s="1168"/>
      <c r="N161" s="1149"/>
      <c r="O161" s="141" t="str">
        <f t="shared" si="2"/>
        <v xml:space="preserve">غلامي  حبيب </v>
      </c>
      <c r="P161" s="141" t="s">
        <v>504</v>
      </c>
      <c r="Q161" s="141" t="s">
        <v>1904</v>
      </c>
      <c r="R161" s="759"/>
      <c r="S161" s="989"/>
      <c r="T161" s="417"/>
      <c r="U161" s="28"/>
    </row>
    <row r="162" spans="1:25" s="958" customFormat="1" ht="16.5" customHeight="1">
      <c r="A162" s="140">
        <v>154</v>
      </c>
      <c r="B162" s="141"/>
      <c r="C162" s="1186" t="s">
        <v>1472</v>
      </c>
      <c r="D162" s="1186" t="s">
        <v>793</v>
      </c>
      <c r="E162" s="1187" t="s">
        <v>3014</v>
      </c>
      <c r="F162" s="1188" t="s">
        <v>3339</v>
      </c>
      <c r="G162" s="1202" t="s">
        <v>2317</v>
      </c>
      <c r="H162" s="1212" t="s">
        <v>1459</v>
      </c>
      <c r="I162" s="144" t="s">
        <v>341</v>
      </c>
      <c r="J162" s="1221" t="s">
        <v>2101</v>
      </c>
      <c r="K162" s="1235" t="s">
        <v>119</v>
      </c>
      <c r="L162" s="1244" t="s">
        <v>3607</v>
      </c>
      <c r="M162" s="1168"/>
      <c r="N162" s="1149"/>
      <c r="O162" s="141" t="str">
        <f t="shared" si="2"/>
        <v xml:space="preserve">يوب  أحمد </v>
      </c>
      <c r="P162" s="141" t="s">
        <v>504</v>
      </c>
      <c r="Q162" s="141" t="s">
        <v>1904</v>
      </c>
      <c r="R162" s="759"/>
      <c r="S162" s="989"/>
      <c r="T162" s="417"/>
      <c r="U162" s="28"/>
    </row>
    <row r="163" spans="1:25" ht="16.5" customHeight="1">
      <c r="A163" s="140">
        <v>155</v>
      </c>
      <c r="B163" s="141"/>
      <c r="C163" s="1186" t="s">
        <v>2515</v>
      </c>
      <c r="D163" s="1186" t="s">
        <v>120</v>
      </c>
      <c r="E163" s="1187" t="s">
        <v>3015</v>
      </c>
      <c r="F163" s="1188" t="s">
        <v>3339</v>
      </c>
      <c r="G163" s="1202" t="s">
        <v>2317</v>
      </c>
      <c r="H163" s="1213" t="s">
        <v>91</v>
      </c>
      <c r="I163" s="144" t="s">
        <v>341</v>
      </c>
      <c r="J163" s="1221" t="s">
        <v>2101</v>
      </c>
      <c r="K163" s="1235" t="s">
        <v>111</v>
      </c>
      <c r="L163" s="1244" t="s">
        <v>3608</v>
      </c>
      <c r="M163" s="1168"/>
      <c r="N163" s="1149"/>
      <c r="O163" s="141" t="str">
        <f t="shared" si="2"/>
        <v xml:space="preserve">الحنحانة  أحمد </v>
      </c>
      <c r="P163" s="141" t="s">
        <v>503</v>
      </c>
      <c r="Q163" s="141" t="s">
        <v>1909</v>
      </c>
      <c r="R163" s="759"/>
      <c r="S163" s="989"/>
      <c r="T163" s="417"/>
      <c r="U163" s="28"/>
      <c r="V163"/>
      <c r="W163"/>
      <c r="X163"/>
      <c r="Y163"/>
    </row>
    <row r="164" spans="1:25" ht="16.5" customHeight="1">
      <c r="A164" s="140">
        <v>156</v>
      </c>
      <c r="B164" s="141"/>
      <c r="C164" s="1186" t="s">
        <v>2516</v>
      </c>
      <c r="D164" s="1186" t="s">
        <v>2517</v>
      </c>
      <c r="E164" s="1187" t="s">
        <v>3016</v>
      </c>
      <c r="F164" s="1188" t="s">
        <v>3338</v>
      </c>
      <c r="G164" s="1202" t="s">
        <v>2317</v>
      </c>
      <c r="H164" s="1213" t="s">
        <v>91</v>
      </c>
      <c r="I164" s="144" t="s">
        <v>341</v>
      </c>
      <c r="J164" s="1221" t="s">
        <v>2332</v>
      </c>
      <c r="K164" s="1235" t="s">
        <v>135</v>
      </c>
      <c r="L164" s="1244" t="s">
        <v>3609</v>
      </c>
      <c r="M164" s="1168"/>
      <c r="N164" s="1149"/>
      <c r="O164" s="141" t="str">
        <f t="shared" si="2"/>
        <v xml:space="preserve">برينيس  عبد القادر </v>
      </c>
      <c r="P164" s="141" t="s">
        <v>504</v>
      </c>
      <c r="Q164" s="141" t="s">
        <v>1910</v>
      </c>
      <c r="R164" s="759"/>
      <c r="S164" s="989"/>
      <c r="T164" s="671"/>
      <c r="U164" s="28"/>
      <c r="V164"/>
      <c r="W164"/>
      <c r="X164"/>
      <c r="Y164"/>
    </row>
    <row r="165" spans="1:25" s="968" customFormat="1" ht="16.5" customHeight="1">
      <c r="A165" s="140">
        <v>157</v>
      </c>
      <c r="B165" s="141"/>
      <c r="C165" s="1186" t="s">
        <v>2507</v>
      </c>
      <c r="D165" s="1186" t="s">
        <v>2508</v>
      </c>
      <c r="E165" s="1187" t="s">
        <v>3009</v>
      </c>
      <c r="F165" s="1188" t="s">
        <v>3339</v>
      </c>
      <c r="G165" s="1202" t="s">
        <v>2317</v>
      </c>
      <c r="H165" s="1213" t="s">
        <v>91</v>
      </c>
      <c r="I165" s="144" t="s">
        <v>341</v>
      </c>
      <c r="J165" s="1221" t="s">
        <v>2329</v>
      </c>
      <c r="K165" s="1235" t="s">
        <v>128</v>
      </c>
      <c r="L165" s="1244" t="s">
        <v>494</v>
      </c>
      <c r="M165" s="1168"/>
      <c r="N165" s="1149"/>
      <c r="O165" s="141" t="str">
        <f t="shared" si="2"/>
        <v xml:space="preserve">بزوجي  احمد </v>
      </c>
      <c r="P165" s="141" t="s">
        <v>503</v>
      </c>
      <c r="Q165" s="141"/>
      <c r="R165" s="759"/>
      <c r="S165" s="989"/>
      <c r="T165" s="671"/>
      <c r="U165" s="28"/>
    </row>
    <row r="166" spans="1:25" ht="16.5" customHeight="1">
      <c r="A166" s="140">
        <v>158</v>
      </c>
      <c r="B166" s="141"/>
      <c r="C166" s="1186" t="s">
        <v>879</v>
      </c>
      <c r="D166" s="1186" t="s">
        <v>537</v>
      </c>
      <c r="E166" s="1187" t="s">
        <v>3017</v>
      </c>
      <c r="F166" s="1188" t="s">
        <v>90</v>
      </c>
      <c r="G166" s="1202" t="s">
        <v>2317</v>
      </c>
      <c r="H166" s="1213" t="s">
        <v>91</v>
      </c>
      <c r="I166" s="144" t="s">
        <v>340</v>
      </c>
      <c r="J166" s="1221" t="s">
        <v>3371</v>
      </c>
      <c r="K166" s="1235" t="s">
        <v>111</v>
      </c>
      <c r="L166" s="1244" t="s">
        <v>3610</v>
      </c>
      <c r="M166" s="1168"/>
      <c r="N166" s="1149"/>
      <c r="O166" s="141" t="str">
        <f t="shared" si="2"/>
        <v xml:space="preserve">بسباس  علي </v>
      </c>
      <c r="P166" s="141" t="s">
        <v>504</v>
      </c>
      <c r="Q166" s="141" t="s">
        <v>1909</v>
      </c>
      <c r="R166" s="759"/>
      <c r="S166" s="989"/>
      <c r="T166" s="671"/>
      <c r="U166" s="28"/>
      <c r="V166"/>
      <c r="W166"/>
      <c r="X166"/>
      <c r="Y166"/>
    </row>
    <row r="167" spans="1:25" ht="16.5" customHeight="1">
      <c r="A167" s="140">
        <v>159</v>
      </c>
      <c r="B167" s="141"/>
      <c r="C167" s="1183" t="s">
        <v>2509</v>
      </c>
      <c r="D167" s="1183" t="s">
        <v>2510</v>
      </c>
      <c r="E167" s="1184" t="s">
        <v>3010</v>
      </c>
      <c r="F167" s="1185" t="s">
        <v>90</v>
      </c>
      <c r="G167" s="1201" t="s">
        <v>2317</v>
      </c>
      <c r="H167" s="1213" t="s">
        <v>96</v>
      </c>
      <c r="I167" s="144" t="s">
        <v>340</v>
      </c>
      <c r="J167" s="1220" t="s">
        <v>2325</v>
      </c>
      <c r="K167" s="1233" t="s">
        <v>1886</v>
      </c>
      <c r="L167" s="1245" t="s">
        <v>494</v>
      </c>
      <c r="M167" s="1169"/>
      <c r="N167" s="1149"/>
      <c r="O167" s="141" t="str">
        <f t="shared" si="2"/>
        <v xml:space="preserve">بوازدي  محمد </v>
      </c>
      <c r="P167" s="141" t="s">
        <v>504</v>
      </c>
      <c r="Q167" s="141" t="s">
        <v>1909</v>
      </c>
      <c r="R167" s="759"/>
      <c r="S167" s="989"/>
      <c r="T167" s="671"/>
      <c r="U167" s="28"/>
      <c r="V167"/>
      <c r="W167"/>
      <c r="X167"/>
      <c r="Y167"/>
    </row>
    <row r="168" spans="1:25" ht="16.5" customHeight="1">
      <c r="A168" s="140">
        <v>160</v>
      </c>
      <c r="B168" s="141"/>
      <c r="C168" s="1186" t="s">
        <v>2494</v>
      </c>
      <c r="D168" s="1186" t="s">
        <v>2518</v>
      </c>
      <c r="E168" s="1187" t="s">
        <v>3018</v>
      </c>
      <c r="F168" s="1188" t="s">
        <v>90</v>
      </c>
      <c r="G168" s="1202" t="s">
        <v>2317</v>
      </c>
      <c r="H168" s="1213" t="s">
        <v>96</v>
      </c>
      <c r="I168" s="144" t="s">
        <v>340</v>
      </c>
      <c r="J168" s="1221" t="s">
        <v>3384</v>
      </c>
      <c r="K168" s="1234" t="s">
        <v>102</v>
      </c>
      <c r="L168" s="1244" t="s">
        <v>3611</v>
      </c>
      <c r="M168" s="1168"/>
      <c r="N168" s="1149"/>
      <c r="O168" s="141" t="str">
        <f t="shared" si="2"/>
        <v xml:space="preserve">بوخاتمي  بغداد </v>
      </c>
      <c r="P168" s="141" t="s">
        <v>504</v>
      </c>
      <c r="Q168" s="141" t="s">
        <v>1909</v>
      </c>
      <c r="R168" s="759"/>
      <c r="S168" s="989"/>
      <c r="T168" s="417"/>
      <c r="U168" s="28"/>
      <c r="V168"/>
      <c r="W168"/>
      <c r="X168"/>
      <c r="Y168"/>
    </row>
    <row r="169" spans="1:25" s="968" customFormat="1" ht="16.5" customHeight="1">
      <c r="A169" s="140">
        <v>161</v>
      </c>
      <c r="B169" s="141"/>
      <c r="C169" s="1183" t="s">
        <v>2399</v>
      </c>
      <c r="D169" s="1183" t="s">
        <v>2519</v>
      </c>
      <c r="E169" s="1184" t="s">
        <v>3019</v>
      </c>
      <c r="F169" s="1185" t="s">
        <v>3338</v>
      </c>
      <c r="G169" s="1201" t="s">
        <v>2317</v>
      </c>
      <c r="H169" s="1209" t="s">
        <v>91</v>
      </c>
      <c r="I169" s="144" t="s">
        <v>340</v>
      </c>
      <c r="J169" s="1222" t="s">
        <v>3394</v>
      </c>
      <c r="K169" s="1233" t="s">
        <v>128</v>
      </c>
      <c r="L169" s="1246" t="s">
        <v>3612</v>
      </c>
      <c r="M169" s="1170"/>
      <c r="N169" s="1149"/>
      <c r="O169" s="141" t="str">
        <f t="shared" si="2"/>
        <v xml:space="preserve">بوطيبة  حنيفي </v>
      </c>
      <c r="P169" s="141" t="s">
        <v>503</v>
      </c>
      <c r="Q169" s="141"/>
      <c r="R169" s="759"/>
      <c r="S169" s="989"/>
      <c r="T169" s="417"/>
      <c r="U169" s="28"/>
    </row>
    <row r="170" spans="1:25" s="958" customFormat="1" ht="16.5" customHeight="1">
      <c r="A170" s="140">
        <v>162</v>
      </c>
      <c r="B170" s="141"/>
      <c r="C170" s="1186" t="s">
        <v>2511</v>
      </c>
      <c r="D170" s="1186" t="s">
        <v>120</v>
      </c>
      <c r="E170" s="1187" t="s">
        <v>3011</v>
      </c>
      <c r="F170" s="1188" t="s">
        <v>3352</v>
      </c>
      <c r="G170" s="1202" t="s">
        <v>2317</v>
      </c>
      <c r="H170" s="1213" t="s">
        <v>91</v>
      </c>
      <c r="I170" s="144" t="s">
        <v>340</v>
      </c>
      <c r="J170" s="1221" t="s">
        <v>2325</v>
      </c>
      <c r="K170" s="1235" t="s">
        <v>128</v>
      </c>
      <c r="L170" s="1244" t="s">
        <v>3604</v>
      </c>
      <c r="M170" s="1168"/>
      <c r="N170" s="1149"/>
      <c r="O170" s="141" t="str">
        <f t="shared" si="2"/>
        <v xml:space="preserve">بولالي  محمد </v>
      </c>
      <c r="P170" s="141" t="s">
        <v>503</v>
      </c>
      <c r="Q170" s="141" t="s">
        <v>1910</v>
      </c>
      <c r="R170" s="759"/>
      <c r="S170" s="989"/>
      <c r="T170" s="417"/>
      <c r="U170" s="28"/>
    </row>
    <row r="171" spans="1:25" ht="16.5" customHeight="1">
      <c r="A171" s="140">
        <v>163</v>
      </c>
      <c r="B171" s="141"/>
      <c r="C171" s="1186" t="s">
        <v>2498</v>
      </c>
      <c r="D171" s="1186" t="s">
        <v>36</v>
      </c>
      <c r="E171" s="1187" t="s">
        <v>3020</v>
      </c>
      <c r="F171" s="1188" t="s">
        <v>1515</v>
      </c>
      <c r="G171" s="1202" t="s">
        <v>2317</v>
      </c>
      <c r="H171" s="1213" t="s">
        <v>91</v>
      </c>
      <c r="I171" s="144" t="s">
        <v>340</v>
      </c>
      <c r="J171" s="1221" t="s">
        <v>3422</v>
      </c>
      <c r="K171" s="1235" t="s">
        <v>128</v>
      </c>
      <c r="L171" s="1244" t="s">
        <v>3613</v>
      </c>
      <c r="M171" s="1168"/>
      <c r="N171" s="1149"/>
      <c r="O171" s="141" t="str">
        <f t="shared" si="2"/>
        <v xml:space="preserve">دريسي  بوجمعة </v>
      </c>
      <c r="P171" s="141" t="s">
        <v>503</v>
      </c>
      <c r="Q171" s="141" t="s">
        <v>1909</v>
      </c>
      <c r="R171" s="759"/>
      <c r="S171" s="989"/>
      <c r="T171" s="671" t="s">
        <v>628</v>
      </c>
      <c r="U171" s="28"/>
      <c r="V171"/>
      <c r="W171"/>
      <c r="X171"/>
      <c r="Y171"/>
    </row>
    <row r="172" spans="1:25" ht="16.5" customHeight="1">
      <c r="A172" s="140">
        <v>164</v>
      </c>
      <c r="B172" s="141"/>
      <c r="C172" s="1186" t="s">
        <v>2520</v>
      </c>
      <c r="D172" s="1186" t="s">
        <v>1053</v>
      </c>
      <c r="E172" s="1187" t="s">
        <v>2989</v>
      </c>
      <c r="F172" s="1188" t="s">
        <v>194</v>
      </c>
      <c r="G172" s="1202" t="s">
        <v>2317</v>
      </c>
      <c r="H172" s="1213" t="s">
        <v>91</v>
      </c>
      <c r="I172" s="144" t="s">
        <v>340</v>
      </c>
      <c r="J172" s="1221"/>
      <c r="K172" s="1235" t="s">
        <v>128</v>
      </c>
      <c r="L172" s="1244"/>
      <c r="M172" s="1168"/>
      <c r="N172" s="1149"/>
      <c r="O172" s="141" t="str">
        <f t="shared" si="2"/>
        <v xml:space="preserve">شاهد  </v>
      </c>
      <c r="P172" s="141" t="s">
        <v>504</v>
      </c>
      <c r="Q172" s="141" t="s">
        <v>1909</v>
      </c>
      <c r="R172" s="759"/>
      <c r="S172" s="989"/>
      <c r="T172" s="671" t="s">
        <v>628</v>
      </c>
      <c r="U172" s="28"/>
      <c r="V172"/>
      <c r="W172"/>
      <c r="X172"/>
      <c r="Y172"/>
    </row>
    <row r="173" spans="1:25" ht="16.5" customHeight="1">
      <c r="A173" s="140">
        <v>165</v>
      </c>
      <c r="B173" s="141"/>
      <c r="C173" s="1186" t="s">
        <v>2521</v>
      </c>
      <c r="D173" s="1186" t="s">
        <v>1462</v>
      </c>
      <c r="E173" s="1187" t="s">
        <v>3021</v>
      </c>
      <c r="F173" s="1188" t="s">
        <v>3339</v>
      </c>
      <c r="G173" s="1202" t="s">
        <v>2317</v>
      </c>
      <c r="H173" s="1213" t="s">
        <v>96</v>
      </c>
      <c r="I173" s="144" t="s">
        <v>340</v>
      </c>
      <c r="J173" s="1221" t="s">
        <v>2325</v>
      </c>
      <c r="K173" s="1235" t="s">
        <v>123</v>
      </c>
      <c r="L173" s="1244" t="s">
        <v>3614</v>
      </c>
      <c r="M173" s="1168"/>
      <c r="N173" s="1149"/>
      <c r="O173" s="141" t="str">
        <f t="shared" si="2"/>
        <v xml:space="preserve">عبد الباكور  محمد </v>
      </c>
      <c r="P173" s="141" t="s">
        <v>504</v>
      </c>
      <c r="Q173" s="141" t="s">
        <v>1909</v>
      </c>
      <c r="R173" s="759"/>
      <c r="S173" s="989"/>
      <c r="T173" s="417"/>
      <c r="U173" s="28"/>
      <c r="V173"/>
      <c r="W173"/>
      <c r="X173"/>
      <c r="Y173"/>
    </row>
    <row r="174" spans="1:25" s="968" customFormat="1" ht="16.5" customHeight="1">
      <c r="A174" s="140">
        <v>166</v>
      </c>
      <c r="B174" s="141"/>
      <c r="C174" s="1186" t="s">
        <v>192</v>
      </c>
      <c r="D174" s="1186" t="s">
        <v>189</v>
      </c>
      <c r="E174" s="1187" t="s">
        <v>3022</v>
      </c>
      <c r="F174" s="1188" t="s">
        <v>3339</v>
      </c>
      <c r="G174" s="1202" t="s">
        <v>2317</v>
      </c>
      <c r="H174" s="1213" t="s">
        <v>96</v>
      </c>
      <c r="I174" s="144" t="s">
        <v>340</v>
      </c>
      <c r="J174" s="1221" t="s">
        <v>3423</v>
      </c>
      <c r="K174" s="1235" t="s">
        <v>111</v>
      </c>
      <c r="L174" s="1244" t="s">
        <v>3615</v>
      </c>
      <c r="M174" s="1168"/>
      <c r="N174" s="1149"/>
      <c r="O174" s="141" t="str">
        <f t="shared" si="2"/>
        <v xml:space="preserve">عبوني  حفيظ </v>
      </c>
      <c r="P174" s="141" t="s">
        <v>2198</v>
      </c>
      <c r="Q174" s="141"/>
      <c r="R174" s="759"/>
      <c r="S174" s="989"/>
      <c r="T174" s="417"/>
      <c r="U174" s="28"/>
    </row>
    <row r="175" spans="1:25" ht="16.5" customHeight="1">
      <c r="A175" s="140">
        <v>167</v>
      </c>
      <c r="B175" s="141"/>
      <c r="C175" s="1183" t="s">
        <v>2522</v>
      </c>
      <c r="D175" s="1183" t="s">
        <v>2044</v>
      </c>
      <c r="E175" s="1184" t="s">
        <v>3023</v>
      </c>
      <c r="F175" s="1191" t="s">
        <v>3339</v>
      </c>
      <c r="G175" s="1201" t="s">
        <v>2317</v>
      </c>
      <c r="H175" s="1209" t="s">
        <v>96</v>
      </c>
      <c r="I175" s="144" t="s">
        <v>340</v>
      </c>
      <c r="J175" s="1222" t="s">
        <v>2179</v>
      </c>
      <c r="K175" s="1233" t="s">
        <v>111</v>
      </c>
      <c r="L175" s="1246" t="s">
        <v>3616</v>
      </c>
      <c r="M175" s="1170"/>
      <c r="N175" s="1149"/>
      <c r="O175" s="141" t="str">
        <f t="shared" si="2"/>
        <v xml:space="preserve">فهيم  جلول </v>
      </c>
      <c r="P175" s="141" t="s">
        <v>502</v>
      </c>
      <c r="Q175" s="141" t="s">
        <v>1910</v>
      </c>
      <c r="R175" s="759"/>
      <c r="S175" s="989"/>
      <c r="T175" s="671"/>
      <c r="U175" s="28"/>
      <c r="V175"/>
      <c r="W175"/>
      <c r="X175"/>
      <c r="Y175"/>
    </row>
    <row r="176" spans="1:25" s="968" customFormat="1" ht="16.5" customHeight="1">
      <c r="A176" s="140">
        <v>168</v>
      </c>
      <c r="B176" s="141"/>
      <c r="C176" s="1183" t="s">
        <v>2523</v>
      </c>
      <c r="D176" s="1183" t="s">
        <v>2524</v>
      </c>
      <c r="E176" s="1184" t="s">
        <v>3024</v>
      </c>
      <c r="F176" s="1185" t="s">
        <v>3339</v>
      </c>
      <c r="G176" s="1201" t="s">
        <v>2317</v>
      </c>
      <c r="H176" s="1209" t="s">
        <v>91</v>
      </c>
      <c r="I176" s="144" t="s">
        <v>340</v>
      </c>
      <c r="J176" s="1220" t="s">
        <v>3424</v>
      </c>
      <c r="K176" s="1233" t="s">
        <v>128</v>
      </c>
      <c r="L176" s="1245" t="s">
        <v>3617</v>
      </c>
      <c r="M176" s="1169"/>
      <c r="N176" s="1149"/>
      <c r="O176" s="141" t="str">
        <f t="shared" si="2"/>
        <v xml:space="preserve">قديري  حسين </v>
      </c>
      <c r="P176" s="141" t="s">
        <v>2198</v>
      </c>
      <c r="Q176" s="753"/>
      <c r="R176" s="759"/>
      <c r="S176" s="989"/>
      <c r="T176" s="671"/>
      <c r="U176" s="28"/>
    </row>
    <row r="177" spans="1:25" s="958" customFormat="1" ht="16.5" customHeight="1">
      <c r="A177" s="140">
        <v>169</v>
      </c>
      <c r="B177" s="141"/>
      <c r="C177" s="1183" t="s">
        <v>1157</v>
      </c>
      <c r="D177" s="1183" t="s">
        <v>1034</v>
      </c>
      <c r="E177" s="1184" t="s">
        <v>3025</v>
      </c>
      <c r="F177" s="1191" t="s">
        <v>3347</v>
      </c>
      <c r="G177" s="1201" t="s">
        <v>2317</v>
      </c>
      <c r="H177" s="1209" t="s">
        <v>91</v>
      </c>
      <c r="I177" s="144" t="s">
        <v>340</v>
      </c>
      <c r="J177" s="1222" t="s">
        <v>3425</v>
      </c>
      <c r="K177" s="1233" t="s">
        <v>111</v>
      </c>
      <c r="L177" s="1246" t="s">
        <v>3618</v>
      </c>
      <c r="M177" s="1170"/>
      <c r="N177" s="1149"/>
      <c r="O177" s="141" t="str">
        <f t="shared" si="2"/>
        <v xml:space="preserve">مرين  بلوفة </v>
      </c>
      <c r="P177" s="141" t="s">
        <v>502</v>
      </c>
      <c r="Q177" s="141"/>
      <c r="R177" s="759"/>
      <c r="S177" s="989"/>
      <c r="T177" s="671"/>
      <c r="U177" s="28"/>
    </row>
    <row r="178" spans="1:25" ht="16.5" customHeight="1">
      <c r="A178" s="140">
        <v>170</v>
      </c>
      <c r="B178" s="141"/>
      <c r="C178" s="1186" t="s">
        <v>2360</v>
      </c>
      <c r="D178" s="1186" t="s">
        <v>28</v>
      </c>
      <c r="E178" s="1187" t="s">
        <v>3026</v>
      </c>
      <c r="F178" s="1188" t="s">
        <v>3338</v>
      </c>
      <c r="G178" s="1202" t="s">
        <v>2317</v>
      </c>
      <c r="H178" s="1213" t="s">
        <v>91</v>
      </c>
      <c r="I178" s="144" t="s">
        <v>340</v>
      </c>
      <c r="J178" s="1221" t="s">
        <v>2332</v>
      </c>
      <c r="K178" s="1235" t="s">
        <v>103</v>
      </c>
      <c r="L178" s="1244" t="s">
        <v>3619</v>
      </c>
      <c r="M178" s="1168"/>
      <c r="N178" s="1149"/>
      <c r="O178" s="141" t="str">
        <f t="shared" si="2"/>
        <v xml:space="preserve">مزوزي  عبد القادر </v>
      </c>
      <c r="P178" s="141" t="s">
        <v>502</v>
      </c>
      <c r="Q178" s="141" t="s">
        <v>1910</v>
      </c>
      <c r="R178" s="759"/>
      <c r="S178" s="989"/>
      <c r="T178" s="417"/>
      <c r="U178" s="28"/>
      <c r="V178"/>
      <c r="W178"/>
      <c r="X178"/>
      <c r="Y178"/>
    </row>
    <row r="179" spans="1:25" ht="16.5" customHeight="1">
      <c r="A179" s="140">
        <v>171</v>
      </c>
      <c r="B179" s="141"/>
      <c r="C179" s="1186" t="s">
        <v>75</v>
      </c>
      <c r="D179" s="1186" t="s">
        <v>146</v>
      </c>
      <c r="E179" s="1187" t="s">
        <v>3027</v>
      </c>
      <c r="F179" s="1188" t="s">
        <v>90</v>
      </c>
      <c r="G179" s="1202" t="s">
        <v>2317</v>
      </c>
      <c r="H179" s="1213" t="s">
        <v>96</v>
      </c>
      <c r="I179" s="144" t="s">
        <v>340</v>
      </c>
      <c r="J179" s="1221" t="s">
        <v>2173</v>
      </c>
      <c r="K179" s="1235" t="s">
        <v>113</v>
      </c>
      <c r="L179" s="1244" t="s">
        <v>3620</v>
      </c>
      <c r="M179" s="1168"/>
      <c r="N179" s="1149"/>
      <c r="O179" s="141" t="str">
        <f t="shared" si="2"/>
        <v xml:space="preserve">مناد  قادة </v>
      </c>
      <c r="P179" s="141" t="s">
        <v>2198</v>
      </c>
      <c r="Q179" s="141" t="s">
        <v>1911</v>
      </c>
      <c r="R179" s="759"/>
      <c r="S179" s="989"/>
      <c r="T179" s="671"/>
      <c r="U179" s="28"/>
      <c r="V179"/>
      <c r="W179"/>
      <c r="X179"/>
      <c r="Y179"/>
    </row>
    <row r="180" spans="1:25" ht="16.5" customHeight="1">
      <c r="A180" s="140">
        <v>172</v>
      </c>
      <c r="B180" s="141"/>
      <c r="C180" s="1186" t="s">
        <v>1885</v>
      </c>
      <c r="D180" s="1186" t="s">
        <v>2026</v>
      </c>
      <c r="E180" s="1187" t="s">
        <v>3028</v>
      </c>
      <c r="F180" s="1188" t="s">
        <v>3339</v>
      </c>
      <c r="G180" s="1202" t="s">
        <v>2317</v>
      </c>
      <c r="H180" s="1215" t="s">
        <v>91</v>
      </c>
      <c r="I180" s="144" t="s">
        <v>340</v>
      </c>
      <c r="J180" s="1221" t="s">
        <v>2325</v>
      </c>
      <c r="K180" s="1232" t="s">
        <v>103</v>
      </c>
      <c r="L180" s="1244" t="s">
        <v>3621</v>
      </c>
      <c r="M180" s="1168"/>
      <c r="N180" s="1149"/>
      <c r="O180" s="141" t="str">
        <f t="shared" si="2"/>
        <v xml:space="preserve">منور  محمد </v>
      </c>
      <c r="P180" s="141" t="s">
        <v>502</v>
      </c>
      <c r="Q180" s="141" t="s">
        <v>1911</v>
      </c>
      <c r="R180" s="759"/>
      <c r="S180" s="989"/>
      <c r="T180" s="417"/>
      <c r="U180" s="28"/>
      <c r="V180"/>
      <c r="W180"/>
      <c r="X180"/>
      <c r="Y180"/>
    </row>
    <row r="181" spans="1:25" s="820" customFormat="1" ht="16.5" customHeight="1">
      <c r="A181" s="140">
        <v>173</v>
      </c>
      <c r="B181" s="141"/>
      <c r="C181" s="1186" t="s">
        <v>2525</v>
      </c>
      <c r="D181" s="1186" t="s">
        <v>1766</v>
      </c>
      <c r="E181" s="1187" t="s">
        <v>3029</v>
      </c>
      <c r="F181" s="1188" t="s">
        <v>3339</v>
      </c>
      <c r="G181" s="1202" t="s">
        <v>2317</v>
      </c>
      <c r="H181" s="1213" t="s">
        <v>96</v>
      </c>
      <c r="I181" s="144" t="s">
        <v>340</v>
      </c>
      <c r="J181" s="1221" t="s">
        <v>2325</v>
      </c>
      <c r="K181" s="1235" t="s">
        <v>111</v>
      </c>
      <c r="L181" s="1244" t="s">
        <v>3622</v>
      </c>
      <c r="M181" s="1168"/>
      <c r="N181" s="1149"/>
      <c r="O181" s="141" t="str">
        <f t="shared" si="2"/>
        <v xml:space="preserve">نوار  محمد </v>
      </c>
      <c r="P181" s="141" t="s">
        <v>502</v>
      </c>
      <c r="Q181" s="141"/>
      <c r="R181" s="759"/>
      <c r="S181" s="989"/>
      <c r="T181" s="417"/>
      <c r="U181" s="28"/>
    </row>
    <row r="182" spans="1:25" ht="16.5" customHeight="1">
      <c r="A182" s="140">
        <v>174</v>
      </c>
      <c r="B182" s="141"/>
      <c r="C182" s="1186" t="s">
        <v>2526</v>
      </c>
      <c r="D182" s="1186" t="s">
        <v>706</v>
      </c>
      <c r="E182" s="1187" t="s">
        <v>3030</v>
      </c>
      <c r="F182" s="1188" t="s">
        <v>3353</v>
      </c>
      <c r="G182" s="1202" t="s">
        <v>2317</v>
      </c>
      <c r="H182" s="1213" t="s">
        <v>96</v>
      </c>
      <c r="I182" s="144" t="s">
        <v>340</v>
      </c>
      <c r="J182" s="1221" t="s">
        <v>2325</v>
      </c>
      <c r="K182" s="1235" t="s">
        <v>103</v>
      </c>
      <c r="L182" s="1244" t="s">
        <v>3623</v>
      </c>
      <c r="M182" s="1168"/>
      <c r="N182" s="1149"/>
      <c r="O182" s="141" t="str">
        <f t="shared" si="2"/>
        <v xml:space="preserve">هاشمي  محمد </v>
      </c>
      <c r="P182" s="141" t="s">
        <v>504</v>
      </c>
      <c r="Q182" s="141" t="s">
        <v>1912</v>
      </c>
      <c r="R182" s="759"/>
      <c r="S182" s="989"/>
      <c r="T182" s="671"/>
      <c r="U182" s="28"/>
      <c r="V182"/>
      <c r="W182"/>
      <c r="X182"/>
      <c r="Y182"/>
    </row>
    <row r="183" spans="1:25" ht="16.5" customHeight="1">
      <c r="A183" s="140">
        <v>175</v>
      </c>
      <c r="B183" s="141"/>
      <c r="C183" s="1186" t="s">
        <v>2527</v>
      </c>
      <c r="D183" s="1186" t="s">
        <v>53</v>
      </c>
      <c r="E183" s="1187" t="s">
        <v>2984</v>
      </c>
      <c r="F183" s="1188" t="s">
        <v>3339</v>
      </c>
      <c r="G183" s="1202" t="s">
        <v>2317</v>
      </c>
      <c r="H183" s="1215" t="s">
        <v>91</v>
      </c>
      <c r="I183" s="144" t="s">
        <v>340</v>
      </c>
      <c r="J183" s="1221" t="s">
        <v>2325</v>
      </c>
      <c r="K183" s="1235" t="s">
        <v>135</v>
      </c>
      <c r="L183" s="1244" t="s">
        <v>3624</v>
      </c>
      <c r="M183" s="1168"/>
      <c r="N183" s="1149"/>
      <c r="O183" s="141" t="str">
        <f t="shared" si="2"/>
        <v xml:space="preserve">هريوي  محمد </v>
      </c>
      <c r="P183" s="141" t="s">
        <v>503</v>
      </c>
      <c r="Q183" s="141" t="s">
        <v>1912</v>
      </c>
      <c r="R183" s="759"/>
      <c r="S183" s="989"/>
      <c r="T183" s="417"/>
      <c r="U183" s="28"/>
      <c r="V183"/>
      <c r="W183"/>
      <c r="X183"/>
      <c r="Y183"/>
    </row>
    <row r="184" spans="1:25" s="968" customFormat="1" ht="16.5" customHeight="1">
      <c r="A184" s="140">
        <v>176</v>
      </c>
      <c r="B184" s="141"/>
      <c r="C184" s="1186" t="s">
        <v>2423</v>
      </c>
      <c r="D184" s="1186" t="s">
        <v>2528</v>
      </c>
      <c r="E184" s="1187" t="s">
        <v>3031</v>
      </c>
      <c r="F184" s="1188" t="s">
        <v>3339</v>
      </c>
      <c r="G184" s="1202" t="s">
        <v>2317</v>
      </c>
      <c r="H184" s="1215" t="s">
        <v>91</v>
      </c>
      <c r="I184" s="144" t="s">
        <v>340</v>
      </c>
      <c r="J184" s="1221" t="s">
        <v>3374</v>
      </c>
      <c r="K184" s="1235" t="s">
        <v>103</v>
      </c>
      <c r="L184" s="1244" t="s">
        <v>3625</v>
      </c>
      <c r="M184" s="1168"/>
      <c r="N184" s="1149"/>
      <c r="O184" s="141" t="str">
        <f t="shared" si="2"/>
        <v xml:space="preserve">وافي  مختار </v>
      </c>
      <c r="P184" s="141" t="s">
        <v>503</v>
      </c>
      <c r="Q184" s="141"/>
      <c r="R184" s="759"/>
      <c r="S184" s="989"/>
      <c r="T184" s="417"/>
      <c r="U184" s="28"/>
    </row>
    <row r="185" spans="1:25" ht="16.5" customHeight="1">
      <c r="A185" s="140">
        <v>177</v>
      </c>
      <c r="B185" s="141"/>
      <c r="C185" s="1186" t="s">
        <v>1997</v>
      </c>
      <c r="D185" s="1186" t="s">
        <v>2529</v>
      </c>
      <c r="E185" s="1187" t="s">
        <v>3032</v>
      </c>
      <c r="F185" s="1188" t="s">
        <v>3339</v>
      </c>
      <c r="G185" s="1202" t="s">
        <v>2317</v>
      </c>
      <c r="H185" s="1213" t="s">
        <v>96</v>
      </c>
      <c r="I185" s="144" t="s">
        <v>340</v>
      </c>
      <c r="J185" s="1221" t="s">
        <v>3395</v>
      </c>
      <c r="K185" s="1235" t="s">
        <v>128</v>
      </c>
      <c r="L185" s="1244" t="s">
        <v>3626</v>
      </c>
      <c r="M185" s="1168"/>
      <c r="N185" s="1149"/>
      <c r="O185" s="141" t="str">
        <f t="shared" si="2"/>
        <v xml:space="preserve">يعقوب  بلقاسم </v>
      </c>
      <c r="P185" s="141" t="s">
        <v>503</v>
      </c>
      <c r="Q185" s="141" t="s">
        <v>1913</v>
      </c>
      <c r="R185" s="759"/>
      <c r="S185" s="989"/>
      <c r="T185" s="671"/>
      <c r="U185" s="28"/>
      <c r="V185"/>
      <c r="W185"/>
      <c r="X185"/>
      <c r="Y185"/>
    </row>
    <row r="186" spans="1:25" ht="16.5" customHeight="1">
      <c r="A186" s="140">
        <v>178</v>
      </c>
      <c r="B186" s="141"/>
      <c r="C186" s="1186" t="s">
        <v>2530</v>
      </c>
      <c r="D186" s="1186" t="s">
        <v>2531</v>
      </c>
      <c r="E186" s="1187" t="s">
        <v>3033</v>
      </c>
      <c r="F186" s="1188" t="s">
        <v>3339</v>
      </c>
      <c r="G186" s="1204" t="s">
        <v>9</v>
      </c>
      <c r="H186" s="1212" t="s">
        <v>1458</v>
      </c>
      <c r="I186" s="144" t="s">
        <v>341</v>
      </c>
      <c r="J186" s="1221" t="s">
        <v>494</v>
      </c>
      <c r="K186" s="1235" t="s">
        <v>160</v>
      </c>
      <c r="L186" s="1244" t="s">
        <v>494</v>
      </c>
      <c r="M186" s="1168"/>
      <c r="N186" s="1149"/>
      <c r="O186" s="141" t="str">
        <f t="shared" si="2"/>
        <v xml:space="preserve">خرخاش   </v>
      </c>
      <c r="P186" s="141" t="s">
        <v>504</v>
      </c>
      <c r="Q186" s="141" t="s">
        <v>1913</v>
      </c>
      <c r="R186" s="759"/>
      <c r="S186" s="989"/>
      <c r="T186" s="671"/>
      <c r="U186" s="28"/>
      <c r="V186"/>
      <c r="W186"/>
      <c r="X186"/>
      <c r="Y186"/>
    </row>
    <row r="187" spans="1:25" s="819" customFormat="1" ht="16.5" customHeight="1">
      <c r="A187" s="140">
        <v>179</v>
      </c>
      <c r="B187" s="141"/>
      <c r="C187" s="1186" t="s">
        <v>2532</v>
      </c>
      <c r="D187" s="1186" t="s">
        <v>2533</v>
      </c>
      <c r="E187" s="1187" t="s">
        <v>3031</v>
      </c>
      <c r="F187" s="1188" t="s">
        <v>90</v>
      </c>
      <c r="G187" s="1204" t="s">
        <v>9</v>
      </c>
      <c r="H187" s="1212" t="s">
        <v>1458</v>
      </c>
      <c r="I187" s="144" t="s">
        <v>341</v>
      </c>
      <c r="J187" s="1221" t="s">
        <v>2332</v>
      </c>
      <c r="K187" s="1235" t="s">
        <v>160</v>
      </c>
      <c r="L187" s="1244" t="s">
        <v>3627</v>
      </c>
      <c r="M187" s="1170"/>
      <c r="N187" s="1149"/>
      <c r="O187" s="141" t="str">
        <f t="shared" si="2"/>
        <v xml:space="preserve">ضيافي  عبد القادر </v>
      </c>
      <c r="P187" s="141" t="s">
        <v>504</v>
      </c>
      <c r="Q187" s="141"/>
      <c r="R187" s="759"/>
      <c r="S187" s="989"/>
      <c r="T187" s="404"/>
      <c r="U187" s="28"/>
    </row>
    <row r="188" spans="1:25" ht="16.5" customHeight="1">
      <c r="A188" s="140">
        <v>180</v>
      </c>
      <c r="B188" s="141"/>
      <c r="C188" s="1186" t="s">
        <v>528</v>
      </c>
      <c r="D188" s="1186" t="s">
        <v>25</v>
      </c>
      <c r="E188" s="1187" t="s">
        <v>3034</v>
      </c>
      <c r="F188" s="1188" t="s">
        <v>3338</v>
      </c>
      <c r="G188" s="1204" t="s">
        <v>9</v>
      </c>
      <c r="H188" s="1216" t="s">
        <v>1458</v>
      </c>
      <c r="I188" s="144" t="s">
        <v>341</v>
      </c>
      <c r="J188" s="1221" t="s">
        <v>2333</v>
      </c>
      <c r="K188" s="1235" t="s">
        <v>128</v>
      </c>
      <c r="L188" s="1244" t="s">
        <v>3628</v>
      </c>
      <c r="M188" s="1168"/>
      <c r="N188" s="1149"/>
      <c r="O188" s="141" t="str">
        <f t="shared" si="2"/>
        <v xml:space="preserve">نواري  عباس </v>
      </c>
      <c r="P188" s="141" t="s">
        <v>503</v>
      </c>
      <c r="Q188" s="141" t="s">
        <v>1913</v>
      </c>
      <c r="R188" s="145"/>
      <c r="S188" s="989"/>
      <c r="T188" s="404"/>
      <c r="U188" s="28"/>
      <c r="V188"/>
      <c r="W188"/>
      <c r="X188"/>
      <c r="Y188"/>
    </row>
    <row r="189" spans="1:25" ht="16.5" customHeight="1">
      <c r="A189" s="140">
        <v>181</v>
      </c>
      <c r="B189" s="141"/>
      <c r="C189" s="1186" t="s">
        <v>879</v>
      </c>
      <c r="D189" s="1186" t="s">
        <v>2536</v>
      </c>
      <c r="E189" s="1187" t="s">
        <v>3035</v>
      </c>
      <c r="F189" s="1188" t="s">
        <v>3347</v>
      </c>
      <c r="G189" s="1204" t="s">
        <v>9</v>
      </c>
      <c r="H189" s="1213" t="s">
        <v>91</v>
      </c>
      <c r="I189" s="144" t="s">
        <v>341</v>
      </c>
      <c r="J189" s="1221" t="s">
        <v>2333</v>
      </c>
      <c r="K189" s="1235" t="s">
        <v>103</v>
      </c>
      <c r="L189" s="1244" t="s">
        <v>3629</v>
      </c>
      <c r="M189" s="1170"/>
      <c r="N189" s="1149"/>
      <c r="O189" s="141" t="str">
        <f t="shared" si="2"/>
        <v xml:space="preserve">بسباس  عباس </v>
      </c>
      <c r="P189" s="141" t="s">
        <v>503</v>
      </c>
      <c r="Q189" s="141" t="s">
        <v>1913</v>
      </c>
      <c r="R189" s="145"/>
      <c r="S189" s="989"/>
      <c r="T189" s="404"/>
      <c r="U189" s="28"/>
      <c r="V189"/>
      <c r="W189"/>
      <c r="X189"/>
      <c r="Y189"/>
    </row>
    <row r="190" spans="1:25" ht="16.5" customHeight="1">
      <c r="A190" s="140">
        <v>182</v>
      </c>
      <c r="B190" s="141"/>
      <c r="C190" s="1183" t="s">
        <v>2537</v>
      </c>
      <c r="D190" s="1183" t="s">
        <v>2538</v>
      </c>
      <c r="E190" s="1190" t="s">
        <v>3036</v>
      </c>
      <c r="F190" s="1191" t="s">
        <v>3339</v>
      </c>
      <c r="G190" s="1200" t="s">
        <v>9</v>
      </c>
      <c r="H190" s="1210" t="s">
        <v>96</v>
      </c>
      <c r="I190" s="144" t="s">
        <v>340</v>
      </c>
      <c r="J190" s="1222"/>
      <c r="K190" s="1233" t="s">
        <v>103</v>
      </c>
      <c r="L190" s="1246"/>
      <c r="M190" s="1168"/>
      <c r="N190" s="1149"/>
      <c r="O190" s="141" t="str">
        <f t="shared" si="2"/>
        <v xml:space="preserve">بلال  </v>
      </c>
      <c r="P190" s="141" t="s">
        <v>503</v>
      </c>
      <c r="Q190" s="141" t="s">
        <v>1913</v>
      </c>
      <c r="R190" s="145"/>
      <c r="S190" s="989"/>
      <c r="T190" s="404"/>
      <c r="U190" s="28"/>
      <c r="V190"/>
      <c r="W190"/>
      <c r="X190"/>
      <c r="Y190"/>
    </row>
    <row r="191" spans="1:25" ht="16.5" customHeight="1">
      <c r="A191" s="140">
        <v>183</v>
      </c>
      <c r="B191" s="141"/>
      <c r="C191" s="1186" t="s">
        <v>2539</v>
      </c>
      <c r="D191" s="1186" t="s">
        <v>2540</v>
      </c>
      <c r="E191" s="1187" t="s">
        <v>3037</v>
      </c>
      <c r="F191" s="1188" t="s">
        <v>3339</v>
      </c>
      <c r="G191" s="1204" t="s">
        <v>9</v>
      </c>
      <c r="H191" s="1213" t="s">
        <v>91</v>
      </c>
      <c r="I191" s="144" t="s">
        <v>340</v>
      </c>
      <c r="J191" s="1221"/>
      <c r="K191" s="1241" t="s">
        <v>103</v>
      </c>
      <c r="L191" s="1244"/>
      <c r="M191" s="1168"/>
      <c r="N191" s="1149"/>
      <c r="O191" s="141" t="str">
        <f t="shared" si="2"/>
        <v xml:space="preserve">بن بكريتي  </v>
      </c>
      <c r="P191" s="141" t="s">
        <v>503</v>
      </c>
      <c r="Q191" s="141" t="s">
        <v>1913</v>
      </c>
      <c r="R191" s="759"/>
      <c r="S191" s="989"/>
      <c r="T191" s="404"/>
      <c r="U191" s="28"/>
      <c r="V191"/>
      <c r="W191"/>
      <c r="X191"/>
      <c r="Y191"/>
    </row>
    <row r="192" spans="1:25" s="968" customFormat="1" ht="16.5" customHeight="1">
      <c r="A192" s="140">
        <v>184</v>
      </c>
      <c r="B192" s="141"/>
      <c r="C192" s="1183" t="s">
        <v>2342</v>
      </c>
      <c r="D192" s="1183" t="s">
        <v>2541</v>
      </c>
      <c r="E192" s="1184" t="s">
        <v>3038</v>
      </c>
      <c r="F192" s="1191" t="s">
        <v>3338</v>
      </c>
      <c r="G192" s="1200" t="s">
        <v>9</v>
      </c>
      <c r="H192" s="1210" t="s">
        <v>91</v>
      </c>
      <c r="I192" s="144" t="s">
        <v>340</v>
      </c>
      <c r="J192" s="1222" t="s">
        <v>2101</v>
      </c>
      <c r="K192" s="1233" t="s">
        <v>123</v>
      </c>
      <c r="L192" s="1246" t="s">
        <v>3630</v>
      </c>
      <c r="M192" s="1168"/>
      <c r="N192" s="1149"/>
      <c r="O192" s="141" t="str">
        <f t="shared" si="2"/>
        <v xml:space="preserve">بوتمة  أحمد </v>
      </c>
      <c r="P192" s="141" t="s">
        <v>503</v>
      </c>
      <c r="Q192" s="141" t="s">
        <v>1914</v>
      </c>
      <c r="R192" s="759"/>
      <c r="S192" s="989"/>
      <c r="T192" s="404"/>
      <c r="U192" s="28"/>
    </row>
    <row r="193" spans="1:25" ht="16.5" customHeight="1">
      <c r="A193" s="140">
        <v>185</v>
      </c>
      <c r="B193" s="141"/>
      <c r="C193" s="1186" t="s">
        <v>2382</v>
      </c>
      <c r="D193" s="1186" t="s">
        <v>698</v>
      </c>
      <c r="E193" s="1187" t="s">
        <v>3039</v>
      </c>
      <c r="F193" s="1188" t="s">
        <v>3338</v>
      </c>
      <c r="G193" s="1204" t="s">
        <v>9</v>
      </c>
      <c r="H193" s="1215" t="s">
        <v>91</v>
      </c>
      <c r="I193" s="144" t="s">
        <v>340</v>
      </c>
      <c r="J193" s="1221" t="s">
        <v>3387</v>
      </c>
      <c r="K193" s="1235" t="s">
        <v>123</v>
      </c>
      <c r="L193" s="1244" t="s">
        <v>3585</v>
      </c>
      <c r="M193" s="1168"/>
      <c r="N193" s="1149"/>
      <c r="O193" s="141" t="str">
        <f t="shared" si="2"/>
        <v xml:space="preserve">تونسي  ميلود </v>
      </c>
      <c r="P193" s="141" t="s">
        <v>503</v>
      </c>
      <c r="Q193" s="141" t="s">
        <v>1913</v>
      </c>
      <c r="R193" s="759"/>
      <c r="S193" s="989"/>
      <c r="T193" s="417"/>
      <c r="U193" s="28"/>
      <c r="V193"/>
      <c r="W193"/>
      <c r="X193"/>
      <c r="Y193"/>
    </row>
    <row r="194" spans="1:25" ht="16.5" customHeight="1">
      <c r="A194" s="140">
        <v>186</v>
      </c>
      <c r="B194" s="141"/>
      <c r="C194" s="1186" t="s">
        <v>2431</v>
      </c>
      <c r="D194" s="1186" t="s">
        <v>2542</v>
      </c>
      <c r="E194" s="1187" t="s">
        <v>3040</v>
      </c>
      <c r="F194" s="1188" t="s">
        <v>3347</v>
      </c>
      <c r="G194" s="1204" t="s">
        <v>9</v>
      </c>
      <c r="H194" s="1215" t="s">
        <v>96</v>
      </c>
      <c r="I194" s="144" t="s">
        <v>340</v>
      </c>
      <c r="J194" s="1221" t="s">
        <v>3372</v>
      </c>
      <c r="K194" s="1235" t="s">
        <v>123</v>
      </c>
      <c r="L194" s="1244" t="s">
        <v>3631</v>
      </c>
      <c r="M194" s="1170"/>
      <c r="N194" s="1149"/>
      <c r="O194" s="141" t="str">
        <f t="shared" si="2"/>
        <v xml:space="preserve">جلغوم  لخضر </v>
      </c>
      <c r="P194" s="141" t="s">
        <v>503</v>
      </c>
      <c r="Q194" s="141" t="s">
        <v>1913</v>
      </c>
      <c r="R194" s="759"/>
      <c r="S194" s="989"/>
      <c r="T194" s="404"/>
      <c r="U194" s="28"/>
      <c r="V194"/>
      <c r="W194"/>
      <c r="X194"/>
      <c r="Y194"/>
    </row>
    <row r="195" spans="1:25" s="992" customFormat="1" ht="16.5" customHeight="1">
      <c r="A195" s="140">
        <v>187</v>
      </c>
      <c r="B195" s="141"/>
      <c r="C195" s="1186" t="s">
        <v>2358</v>
      </c>
      <c r="D195" s="1186" t="s">
        <v>2543</v>
      </c>
      <c r="E195" s="1187" t="s">
        <v>3041</v>
      </c>
      <c r="F195" s="1188" t="s">
        <v>3339</v>
      </c>
      <c r="G195" s="1204" t="s">
        <v>9</v>
      </c>
      <c r="H195" s="1213" t="s">
        <v>96</v>
      </c>
      <c r="I195" s="144" t="s">
        <v>340</v>
      </c>
      <c r="J195" s="1221" t="s">
        <v>2329</v>
      </c>
      <c r="K195" s="1235" t="s">
        <v>123</v>
      </c>
      <c r="L195" s="1244" t="s">
        <v>3632</v>
      </c>
      <c r="M195" s="1168"/>
      <c r="N195" s="1149"/>
      <c r="O195" s="141" t="str">
        <f t="shared" si="2"/>
        <v xml:space="preserve">حداد  احمد </v>
      </c>
      <c r="P195" s="141" t="s">
        <v>504</v>
      </c>
      <c r="Q195" s="141" t="s">
        <v>1914</v>
      </c>
      <c r="R195" s="759"/>
      <c r="S195" s="989"/>
      <c r="T195" s="404"/>
      <c r="U195" s="28"/>
    </row>
    <row r="196" spans="1:25" ht="16.5" customHeight="1">
      <c r="A196" s="140">
        <v>188</v>
      </c>
      <c r="B196" s="141"/>
      <c r="C196" s="1183" t="s">
        <v>2544</v>
      </c>
      <c r="D196" s="1183" t="s">
        <v>971</v>
      </c>
      <c r="E196" s="1184" t="s">
        <v>3042</v>
      </c>
      <c r="F196" s="1185" t="s">
        <v>3339</v>
      </c>
      <c r="G196" s="1200" t="s">
        <v>9</v>
      </c>
      <c r="H196" s="1209" t="s">
        <v>96</v>
      </c>
      <c r="I196" s="144" t="s">
        <v>340</v>
      </c>
      <c r="J196" s="1222" t="s">
        <v>2325</v>
      </c>
      <c r="K196" s="1233" t="s">
        <v>128</v>
      </c>
      <c r="L196" s="1246" t="s">
        <v>3633</v>
      </c>
      <c r="M196" s="1168"/>
      <c r="N196" s="1149"/>
      <c r="O196" s="141" t="str">
        <f t="shared" si="2"/>
        <v xml:space="preserve">خومسي  محمد </v>
      </c>
      <c r="P196" s="141" t="s">
        <v>504</v>
      </c>
      <c r="Q196" s="141" t="s">
        <v>1913</v>
      </c>
      <c r="R196" s="759"/>
      <c r="S196" s="989"/>
      <c r="T196" s="404"/>
      <c r="U196" s="28"/>
      <c r="V196"/>
      <c r="W196"/>
      <c r="X196"/>
      <c r="Y196"/>
    </row>
    <row r="197" spans="1:25" ht="16.5" customHeight="1">
      <c r="A197" s="140">
        <v>189</v>
      </c>
      <c r="B197" s="141"/>
      <c r="C197" s="1186" t="s">
        <v>2545</v>
      </c>
      <c r="D197" s="1186" t="s">
        <v>2040</v>
      </c>
      <c r="E197" s="1187" t="s">
        <v>3043</v>
      </c>
      <c r="F197" s="1188" t="s">
        <v>3339</v>
      </c>
      <c r="G197" s="1204" t="s">
        <v>9</v>
      </c>
      <c r="H197" s="1213" t="s">
        <v>96</v>
      </c>
      <c r="I197" s="144" t="s">
        <v>340</v>
      </c>
      <c r="J197" s="1221" t="s">
        <v>3375</v>
      </c>
      <c r="K197" s="1235" t="s">
        <v>128</v>
      </c>
      <c r="L197" s="1244" t="s">
        <v>3634</v>
      </c>
      <c r="M197" s="1168"/>
      <c r="N197" s="1149"/>
      <c r="O197" s="141" t="str">
        <f t="shared" si="2"/>
        <v xml:space="preserve">صلات  سيد أحمد </v>
      </c>
      <c r="P197" s="141" t="s">
        <v>504</v>
      </c>
      <c r="Q197" s="141" t="s">
        <v>1913</v>
      </c>
      <c r="R197" s="759"/>
      <c r="S197" s="989"/>
      <c r="T197" s="671" t="s">
        <v>628</v>
      </c>
      <c r="U197" s="28"/>
      <c r="V197"/>
      <c r="W197"/>
      <c r="X197"/>
      <c r="Y197"/>
    </row>
    <row r="198" spans="1:25" ht="16.5" customHeight="1">
      <c r="A198" s="140">
        <v>190</v>
      </c>
      <c r="B198" s="141"/>
      <c r="C198" s="1186" t="s">
        <v>2546</v>
      </c>
      <c r="D198" s="1186" t="s">
        <v>2547</v>
      </c>
      <c r="E198" s="1187" t="s">
        <v>3044</v>
      </c>
      <c r="F198" s="1188" t="s">
        <v>90</v>
      </c>
      <c r="G198" s="1204" t="s">
        <v>9</v>
      </c>
      <c r="H198" s="1213" t="s">
        <v>91</v>
      </c>
      <c r="I198" s="144" t="s">
        <v>340</v>
      </c>
      <c r="J198" s="1221" t="s">
        <v>3426</v>
      </c>
      <c r="K198" s="1235" t="s">
        <v>128</v>
      </c>
      <c r="L198" s="1244" t="s">
        <v>3635</v>
      </c>
      <c r="M198" s="1168"/>
      <c r="N198" s="1149"/>
      <c r="O198" s="141" t="str">
        <f t="shared" si="2"/>
        <v xml:space="preserve">عبد المنعم عبد اللازم  عبد المنعم عبد اللازم </v>
      </c>
      <c r="P198" s="141" t="s">
        <v>504</v>
      </c>
      <c r="Q198" s="141" t="s">
        <v>1913</v>
      </c>
      <c r="R198" s="759"/>
      <c r="S198" s="989"/>
      <c r="T198" s="671" t="s">
        <v>628</v>
      </c>
      <c r="U198" s="28"/>
      <c r="V198"/>
      <c r="W198"/>
      <c r="X198"/>
      <c r="Y198"/>
    </row>
    <row r="199" spans="1:25" ht="16.5" customHeight="1">
      <c r="A199" s="140">
        <v>191</v>
      </c>
      <c r="B199" s="141"/>
      <c r="C199" s="1186" t="s">
        <v>2503</v>
      </c>
      <c r="D199" s="1186" t="s">
        <v>187</v>
      </c>
      <c r="E199" s="1187" t="s">
        <v>3045</v>
      </c>
      <c r="F199" s="1188" t="s">
        <v>3339</v>
      </c>
      <c r="G199" s="1204" t="s">
        <v>9</v>
      </c>
      <c r="H199" s="1215" t="s">
        <v>96</v>
      </c>
      <c r="I199" s="144" t="s">
        <v>340</v>
      </c>
      <c r="J199" s="1221" t="s">
        <v>3372</v>
      </c>
      <c r="K199" s="1235" t="s">
        <v>128</v>
      </c>
      <c r="L199" s="1244" t="s">
        <v>3636</v>
      </c>
      <c r="M199" s="1168"/>
      <c r="N199" s="1149"/>
      <c r="O199" s="141" t="str">
        <f t="shared" si="2"/>
        <v xml:space="preserve">عثماني  لخضر </v>
      </c>
      <c r="P199" s="141" t="s">
        <v>502</v>
      </c>
      <c r="Q199" s="141" t="s">
        <v>1913</v>
      </c>
      <c r="R199" s="759"/>
      <c r="S199" s="989"/>
      <c r="T199" s="671" t="s">
        <v>628</v>
      </c>
      <c r="U199" s="28"/>
      <c r="V199"/>
      <c r="W199"/>
      <c r="X199"/>
      <c r="Y199"/>
    </row>
    <row r="200" spans="1:25" ht="16.5" customHeight="1">
      <c r="A200" s="140">
        <v>192</v>
      </c>
      <c r="B200" s="141"/>
      <c r="C200" s="1186" t="s">
        <v>2548</v>
      </c>
      <c r="D200" s="1186" t="s">
        <v>61</v>
      </c>
      <c r="E200" s="1187" t="s">
        <v>3046</v>
      </c>
      <c r="F200" s="1188" t="s">
        <v>3339</v>
      </c>
      <c r="G200" s="1204" t="s">
        <v>9</v>
      </c>
      <c r="H200" s="1213" t="s">
        <v>91</v>
      </c>
      <c r="I200" s="144" t="s">
        <v>340</v>
      </c>
      <c r="J200" s="1221" t="s">
        <v>3375</v>
      </c>
      <c r="K200" s="1235" t="s">
        <v>2086</v>
      </c>
      <c r="L200" s="1244" t="s">
        <v>3637</v>
      </c>
      <c r="M200" s="1168"/>
      <c r="N200" s="1149"/>
      <c r="O200" s="141" t="str">
        <f t="shared" si="2"/>
        <v xml:space="preserve">كبيش  سيد أحمد </v>
      </c>
      <c r="P200" s="141" t="s">
        <v>502</v>
      </c>
      <c r="Q200" s="141" t="s">
        <v>1913</v>
      </c>
      <c r="R200" s="145"/>
      <c r="S200" s="989"/>
      <c r="T200" s="671" t="s">
        <v>628</v>
      </c>
      <c r="U200" s="28"/>
      <c r="V200"/>
      <c r="W200"/>
      <c r="X200"/>
      <c r="Y200"/>
    </row>
    <row r="201" spans="1:25" s="968" customFormat="1" ht="16.5" customHeight="1">
      <c r="A201" s="140">
        <v>193</v>
      </c>
      <c r="B201" s="141"/>
      <c r="C201" s="1186" t="s">
        <v>1013</v>
      </c>
      <c r="D201" s="1186" t="s">
        <v>2310</v>
      </c>
      <c r="E201" s="1187" t="s">
        <v>3047</v>
      </c>
      <c r="F201" s="1188" t="s">
        <v>90</v>
      </c>
      <c r="G201" s="1204" t="s">
        <v>9</v>
      </c>
      <c r="H201" s="1215" t="s">
        <v>96</v>
      </c>
      <c r="I201" s="144" t="s">
        <v>340</v>
      </c>
      <c r="J201" s="1221" t="s">
        <v>3374</v>
      </c>
      <c r="K201" s="1235" t="s">
        <v>97</v>
      </c>
      <c r="L201" s="1244" t="s">
        <v>3638</v>
      </c>
      <c r="M201" s="1168"/>
      <c r="N201" s="1149"/>
      <c r="O201" s="141" t="str">
        <f t="shared" si="2"/>
        <v xml:space="preserve">معطى الله  مختار </v>
      </c>
      <c r="P201" s="141" t="s">
        <v>502</v>
      </c>
      <c r="Q201" s="141" t="s">
        <v>1917</v>
      </c>
      <c r="R201" s="759"/>
      <c r="S201" s="989"/>
      <c r="T201" s="671"/>
      <c r="U201" s="28"/>
    </row>
    <row r="202" spans="1:25" s="845" customFormat="1" ht="16.5" customHeight="1">
      <c r="A202" s="140">
        <v>194</v>
      </c>
      <c r="B202" s="141"/>
      <c r="C202" s="1186" t="s">
        <v>2534</v>
      </c>
      <c r="D202" s="1186" t="s">
        <v>2535</v>
      </c>
      <c r="E202" s="1187" t="s">
        <v>2940</v>
      </c>
      <c r="F202" s="1188" t="s">
        <v>90</v>
      </c>
      <c r="G202" s="1204" t="s">
        <v>9</v>
      </c>
      <c r="H202" s="1213" t="s">
        <v>91</v>
      </c>
      <c r="I202" s="144" t="s">
        <v>340</v>
      </c>
      <c r="J202" s="1221" t="s">
        <v>2332</v>
      </c>
      <c r="K202" s="1235" t="s">
        <v>111</v>
      </c>
      <c r="L202" s="1244" t="s">
        <v>494</v>
      </c>
      <c r="M202" s="1168"/>
      <c r="N202" s="1149"/>
      <c r="O202" s="141" t="str">
        <f t="shared" ref="O202:O265" si="3">(C202&amp;"  "&amp;J202)</f>
        <v xml:space="preserve">مغراوي  عبد القادر </v>
      </c>
      <c r="P202" s="141" t="s">
        <v>2198</v>
      </c>
      <c r="Q202" s="141"/>
      <c r="R202" s="759"/>
      <c r="S202" s="989"/>
      <c r="T202" s="671"/>
      <c r="U202" s="28"/>
    </row>
    <row r="203" spans="1:25" ht="16.5" customHeight="1">
      <c r="A203" s="140">
        <v>195</v>
      </c>
      <c r="B203" s="141"/>
      <c r="C203" s="1189" t="s">
        <v>2361</v>
      </c>
      <c r="D203" s="1189" t="s">
        <v>2000</v>
      </c>
      <c r="E203" s="1193">
        <v>39191</v>
      </c>
      <c r="F203" s="1191"/>
      <c r="G203" s="1204" t="s">
        <v>9</v>
      </c>
      <c r="H203" s="1213" t="s">
        <v>91</v>
      </c>
      <c r="I203" s="144" t="s">
        <v>340</v>
      </c>
      <c r="J203" s="1222"/>
      <c r="K203" s="1233"/>
      <c r="L203" s="1246"/>
      <c r="M203" s="1168"/>
      <c r="N203" s="1149"/>
      <c r="O203" s="141" t="str">
        <f t="shared" si="3"/>
        <v xml:space="preserve">يحياوي  </v>
      </c>
      <c r="P203" s="141" t="s">
        <v>502</v>
      </c>
      <c r="Q203" s="141" t="s">
        <v>1913</v>
      </c>
      <c r="R203" s="759"/>
      <c r="S203" s="989"/>
      <c r="T203" s="671"/>
      <c r="U203" s="28"/>
      <c r="V203"/>
      <c r="W203"/>
      <c r="X203"/>
      <c r="Y203"/>
    </row>
    <row r="204" spans="1:25" ht="16.5" customHeight="1">
      <c r="A204" s="140">
        <v>196</v>
      </c>
      <c r="B204" s="141"/>
      <c r="C204" s="1186" t="s">
        <v>2361</v>
      </c>
      <c r="D204" s="1186" t="s">
        <v>149</v>
      </c>
      <c r="E204" s="1187" t="s">
        <v>3048</v>
      </c>
      <c r="F204" s="1188" t="s">
        <v>3338</v>
      </c>
      <c r="G204" s="1204" t="s">
        <v>9</v>
      </c>
      <c r="H204" s="1215" t="s">
        <v>96</v>
      </c>
      <c r="I204" s="144" t="s">
        <v>340</v>
      </c>
      <c r="J204" s="1221" t="s">
        <v>2332</v>
      </c>
      <c r="K204" s="1235" t="s">
        <v>111</v>
      </c>
      <c r="L204" s="1244" t="s">
        <v>3639</v>
      </c>
      <c r="M204" s="1170"/>
      <c r="N204" s="1149"/>
      <c r="O204" s="141" t="str">
        <f t="shared" si="3"/>
        <v xml:space="preserve">يحياوي  عبد القادر </v>
      </c>
      <c r="P204" s="141" t="s">
        <v>2198</v>
      </c>
      <c r="Q204" s="141" t="s">
        <v>1915</v>
      </c>
      <c r="R204" s="759"/>
      <c r="S204" s="989"/>
      <c r="T204" s="671"/>
      <c r="U204" s="28"/>
      <c r="V204"/>
      <c r="W204"/>
      <c r="X204"/>
      <c r="Y204"/>
    </row>
    <row r="205" spans="1:25" ht="16.5" customHeight="1">
      <c r="A205" s="140">
        <v>197</v>
      </c>
      <c r="B205" s="141"/>
      <c r="C205" s="1186" t="s">
        <v>2485</v>
      </c>
      <c r="D205" s="1186" t="s">
        <v>2551</v>
      </c>
      <c r="E205" s="1187" t="s">
        <v>3050</v>
      </c>
      <c r="F205" s="1188" t="s">
        <v>90</v>
      </c>
      <c r="G205" s="1202" t="s">
        <v>3886</v>
      </c>
      <c r="H205" s="1215" t="s">
        <v>91</v>
      </c>
      <c r="I205" s="144" t="s">
        <v>341</v>
      </c>
      <c r="J205" s="1221" t="s">
        <v>3427</v>
      </c>
      <c r="K205" s="1235" t="s">
        <v>128</v>
      </c>
      <c r="L205" s="1244" t="s">
        <v>494</v>
      </c>
      <c r="M205" s="1168"/>
      <c r="N205" s="1149"/>
      <c r="O205" s="141" t="str">
        <f t="shared" si="3"/>
        <v xml:space="preserve">العقوني  شيخ </v>
      </c>
      <c r="P205" s="141" t="s">
        <v>502</v>
      </c>
      <c r="Q205" s="141" t="s">
        <v>1915</v>
      </c>
      <c r="R205" s="759"/>
      <c r="S205" s="989"/>
      <c r="T205" s="417"/>
      <c r="U205" s="28"/>
      <c r="V205"/>
      <c r="W205"/>
      <c r="X205"/>
      <c r="Y205"/>
    </row>
    <row r="206" spans="1:25" ht="16.5" customHeight="1">
      <c r="A206" s="140">
        <v>198</v>
      </c>
      <c r="B206" s="141"/>
      <c r="C206" s="1186" t="s">
        <v>2342</v>
      </c>
      <c r="D206" s="1186" t="s">
        <v>2552</v>
      </c>
      <c r="E206" s="1187" t="s">
        <v>3051</v>
      </c>
      <c r="F206" s="1188" t="s">
        <v>90</v>
      </c>
      <c r="G206" s="1202" t="s">
        <v>3886</v>
      </c>
      <c r="H206" s="1213" t="s">
        <v>96</v>
      </c>
      <c r="I206" s="144" t="s">
        <v>340</v>
      </c>
      <c r="J206" s="1221" t="s">
        <v>2332</v>
      </c>
      <c r="K206" s="1235" t="s">
        <v>103</v>
      </c>
      <c r="L206" s="1244" t="s">
        <v>3640</v>
      </c>
      <c r="M206" s="1168"/>
      <c r="N206" s="1149"/>
      <c r="O206" s="141" t="str">
        <f t="shared" si="3"/>
        <v xml:space="preserve">بوتمة  عبد القادر </v>
      </c>
      <c r="P206" s="141" t="s">
        <v>504</v>
      </c>
      <c r="Q206" s="141" t="s">
        <v>1915</v>
      </c>
      <c r="R206" s="145"/>
      <c r="S206" s="989"/>
      <c r="T206" s="404"/>
      <c r="U206" s="28"/>
      <c r="V206"/>
      <c r="W206"/>
      <c r="X206"/>
      <c r="Y206"/>
    </row>
    <row r="207" spans="1:25" ht="16.5" customHeight="1">
      <c r="A207" s="140">
        <v>199</v>
      </c>
      <c r="B207" s="141"/>
      <c r="C207" s="1183" t="s">
        <v>2426</v>
      </c>
      <c r="D207" s="1183" t="s">
        <v>2553</v>
      </c>
      <c r="E207" s="1184" t="s">
        <v>2977</v>
      </c>
      <c r="F207" s="1191" t="s">
        <v>90</v>
      </c>
      <c r="G207" s="1201" t="s">
        <v>3886</v>
      </c>
      <c r="H207" s="1209" t="s">
        <v>96</v>
      </c>
      <c r="I207" s="144" t="s">
        <v>340</v>
      </c>
      <c r="J207" s="1222" t="s">
        <v>2325</v>
      </c>
      <c r="K207" s="1233" t="s">
        <v>103</v>
      </c>
      <c r="L207" s="1246" t="s">
        <v>3641</v>
      </c>
      <c r="M207" s="1168"/>
      <c r="N207" s="1149"/>
      <c r="O207" s="141" t="str">
        <f t="shared" si="3"/>
        <v xml:space="preserve">بوقناية  محمد </v>
      </c>
      <c r="P207" s="141" t="s">
        <v>504</v>
      </c>
      <c r="Q207" s="141" t="s">
        <v>1915</v>
      </c>
      <c r="R207" s="145"/>
      <c r="S207" s="989"/>
      <c r="T207" s="404"/>
      <c r="U207" s="28"/>
      <c r="V207"/>
      <c r="W207"/>
      <c r="X207"/>
      <c r="Y207"/>
    </row>
    <row r="208" spans="1:25" s="968" customFormat="1" ht="16.5" customHeight="1">
      <c r="A208" s="140">
        <v>200</v>
      </c>
      <c r="B208" s="141"/>
      <c r="C208" s="1196" t="s">
        <v>2549</v>
      </c>
      <c r="D208" s="1196" t="s">
        <v>2550</v>
      </c>
      <c r="E208" s="1197" t="s">
        <v>3049</v>
      </c>
      <c r="F208" s="1198" t="s">
        <v>3338</v>
      </c>
      <c r="G208" s="1206" t="s">
        <v>3886</v>
      </c>
      <c r="H208" s="1213" t="s">
        <v>91</v>
      </c>
      <c r="I208" s="144" t="s">
        <v>340</v>
      </c>
      <c r="J208" s="1223" t="s">
        <v>2330</v>
      </c>
      <c r="K208" s="1242" t="s">
        <v>128</v>
      </c>
      <c r="L208" s="1248" t="s">
        <v>494</v>
      </c>
      <c r="M208" s="1168"/>
      <c r="N208" s="1149"/>
      <c r="O208" s="141" t="str">
        <f t="shared" si="3"/>
        <v xml:space="preserve">دموش  يحي </v>
      </c>
      <c r="P208" s="141" t="s">
        <v>503</v>
      </c>
      <c r="Q208" s="141" t="s">
        <v>1913</v>
      </c>
      <c r="R208" s="145"/>
      <c r="S208" s="989"/>
      <c r="T208" s="404"/>
      <c r="U208" s="28"/>
    </row>
    <row r="209" spans="1:25" ht="16.5" customHeight="1">
      <c r="A209" s="140">
        <v>201</v>
      </c>
      <c r="B209" s="141"/>
      <c r="C209" s="1186" t="s">
        <v>2554</v>
      </c>
      <c r="D209" s="1186" t="s">
        <v>2555</v>
      </c>
      <c r="E209" s="1187" t="s">
        <v>3052</v>
      </c>
      <c r="F209" s="1188" t="s">
        <v>3339</v>
      </c>
      <c r="G209" s="1202" t="s">
        <v>3886</v>
      </c>
      <c r="H209" s="1213" t="s">
        <v>96</v>
      </c>
      <c r="I209" s="144" t="s">
        <v>340</v>
      </c>
      <c r="J209" s="1221" t="s">
        <v>1626</v>
      </c>
      <c r="K209" s="1235" t="s">
        <v>805</v>
      </c>
      <c r="L209" s="1244" t="s">
        <v>3642</v>
      </c>
      <c r="M209" s="1168"/>
      <c r="N209" s="1149"/>
      <c r="O209" s="141" t="str">
        <f t="shared" si="3"/>
        <v xml:space="preserve">ظريف  بوزيان </v>
      </c>
      <c r="P209" s="141" t="s">
        <v>503</v>
      </c>
      <c r="Q209" s="141" t="s">
        <v>1915</v>
      </c>
      <c r="R209" s="145"/>
      <c r="S209" s="989"/>
      <c r="T209" s="417"/>
      <c r="U209" s="28"/>
      <c r="V209"/>
      <c r="W209"/>
      <c r="X209"/>
      <c r="Y209"/>
    </row>
    <row r="210" spans="1:25" ht="16.5" customHeight="1">
      <c r="A210" s="140">
        <v>202</v>
      </c>
      <c r="B210" s="141"/>
      <c r="C210" s="1186" t="s">
        <v>2414</v>
      </c>
      <c r="D210" s="1186" t="s">
        <v>2556</v>
      </c>
      <c r="E210" s="1187" t="s">
        <v>3053</v>
      </c>
      <c r="F210" s="1188" t="s">
        <v>90</v>
      </c>
      <c r="G210" s="1202" t="s">
        <v>3886</v>
      </c>
      <c r="H210" s="1213" t="s">
        <v>96</v>
      </c>
      <c r="I210" s="144" t="s">
        <v>340</v>
      </c>
      <c r="J210" s="1221" t="s">
        <v>3428</v>
      </c>
      <c r="K210" s="1235" t="s">
        <v>111</v>
      </c>
      <c r="L210" s="1244" t="s">
        <v>3643</v>
      </c>
      <c r="M210" s="1168"/>
      <c r="N210" s="1149"/>
      <c r="O210" s="141" t="str">
        <f t="shared" si="3"/>
        <v xml:space="preserve">منقور  مكال </v>
      </c>
      <c r="P210" s="141" t="s">
        <v>503</v>
      </c>
      <c r="Q210" s="141" t="s">
        <v>1914</v>
      </c>
      <c r="R210" s="759"/>
      <c r="S210" s="989"/>
      <c r="T210" s="404"/>
      <c r="U210" s="28"/>
      <c r="V210"/>
      <c r="W210"/>
      <c r="X210"/>
      <c r="Y210"/>
    </row>
    <row r="211" spans="1:25" ht="16.5" customHeight="1">
      <c r="A211" s="140">
        <v>203</v>
      </c>
      <c r="B211" s="141"/>
      <c r="C211" s="1186" t="s">
        <v>170</v>
      </c>
      <c r="D211" s="1186" t="s">
        <v>2560</v>
      </c>
      <c r="E211" s="1187" t="s">
        <v>2962</v>
      </c>
      <c r="F211" s="1188" t="s">
        <v>3339</v>
      </c>
      <c r="G211" s="1202" t="s">
        <v>3888</v>
      </c>
      <c r="H211" s="1208" t="s">
        <v>1459</v>
      </c>
      <c r="I211" s="144" t="s">
        <v>340</v>
      </c>
      <c r="J211" s="1221" t="s">
        <v>3430</v>
      </c>
      <c r="K211" s="1235" t="s">
        <v>103</v>
      </c>
      <c r="L211" s="1244" t="s">
        <v>3646</v>
      </c>
      <c r="M211" s="1170"/>
      <c r="N211" s="1149"/>
      <c r="O211" s="141" t="str">
        <f t="shared" si="3"/>
        <v xml:space="preserve">تيرس  عبد القادر أحمد </v>
      </c>
      <c r="P211" s="141" t="s">
        <v>504</v>
      </c>
      <c r="Q211" s="141" t="s">
        <v>1914</v>
      </c>
      <c r="R211" s="759"/>
      <c r="S211" s="989"/>
      <c r="T211" s="404"/>
      <c r="U211" s="28"/>
      <c r="V211"/>
      <c r="W211"/>
      <c r="X211"/>
      <c r="Y211"/>
    </row>
    <row r="212" spans="1:25" ht="16.5" customHeight="1">
      <c r="A212" s="140">
        <v>204</v>
      </c>
      <c r="B212" s="141"/>
      <c r="C212" s="1186" t="s">
        <v>2378</v>
      </c>
      <c r="D212" s="1186" t="s">
        <v>2557</v>
      </c>
      <c r="E212" s="1187" t="s">
        <v>3054</v>
      </c>
      <c r="F212" s="1188" t="s">
        <v>3339</v>
      </c>
      <c r="G212" s="1202" t="s">
        <v>3888</v>
      </c>
      <c r="H212" s="1213" t="s">
        <v>96</v>
      </c>
      <c r="I212" s="144" t="s">
        <v>340</v>
      </c>
      <c r="J212" s="1221" t="s">
        <v>3429</v>
      </c>
      <c r="K212" s="1235" t="s">
        <v>103</v>
      </c>
      <c r="L212" s="1244" t="s">
        <v>3644</v>
      </c>
      <c r="M212" s="1168"/>
      <c r="N212" s="1149"/>
      <c r="O212" s="141" t="str">
        <f t="shared" si="3"/>
        <v xml:space="preserve">بلعيد  محمد امين </v>
      </c>
      <c r="P212" s="141" t="s">
        <v>504</v>
      </c>
      <c r="Q212" s="141" t="s">
        <v>1914</v>
      </c>
      <c r="R212" s="759"/>
      <c r="S212" s="989"/>
      <c r="T212" s="404"/>
      <c r="U212" s="28"/>
      <c r="V212"/>
      <c r="W212"/>
      <c r="X212"/>
      <c r="Y212"/>
    </row>
    <row r="213" spans="1:25" ht="16.5" customHeight="1">
      <c r="A213" s="140">
        <v>205</v>
      </c>
      <c r="B213" s="141"/>
      <c r="C213" s="1186" t="s">
        <v>2558</v>
      </c>
      <c r="D213" s="1186" t="s">
        <v>2559</v>
      </c>
      <c r="E213" s="1187" t="s">
        <v>3055</v>
      </c>
      <c r="F213" s="1188" t="s">
        <v>90</v>
      </c>
      <c r="G213" s="1202" t="s">
        <v>3888</v>
      </c>
      <c r="H213" s="1213" t="s">
        <v>96</v>
      </c>
      <c r="I213" s="144" t="s">
        <v>340</v>
      </c>
      <c r="J213" s="1221" t="s">
        <v>1626</v>
      </c>
      <c r="K213" s="1235" t="s">
        <v>113</v>
      </c>
      <c r="L213" s="1244" t="s">
        <v>3645</v>
      </c>
      <c r="M213" s="1168"/>
      <c r="N213" s="1149"/>
      <c r="O213" s="141" t="str">
        <f t="shared" si="3"/>
        <v xml:space="preserve">بوطريشة  بوزيان </v>
      </c>
      <c r="P213" s="141" t="s">
        <v>503</v>
      </c>
      <c r="Q213" s="141" t="s">
        <v>1914</v>
      </c>
      <c r="R213" s="759"/>
      <c r="S213" s="989"/>
      <c r="T213" s="404"/>
      <c r="U213" s="28"/>
      <c r="V213"/>
      <c r="W213"/>
      <c r="X213"/>
      <c r="Y213"/>
    </row>
    <row r="214" spans="1:25" ht="16.5" customHeight="1">
      <c r="A214" s="140">
        <v>206</v>
      </c>
      <c r="B214" s="141"/>
      <c r="C214" s="1186" t="s">
        <v>2438</v>
      </c>
      <c r="D214" s="1186" t="s">
        <v>1132</v>
      </c>
      <c r="E214" s="1187" t="s">
        <v>3056</v>
      </c>
      <c r="F214" s="1188" t="s">
        <v>3339</v>
      </c>
      <c r="G214" s="1202" t="s">
        <v>3888</v>
      </c>
      <c r="H214" s="1213" t="s">
        <v>96</v>
      </c>
      <c r="I214" s="144" t="s">
        <v>340</v>
      </c>
      <c r="J214" s="1221" t="s">
        <v>2325</v>
      </c>
      <c r="K214" s="1235" t="s">
        <v>111</v>
      </c>
      <c r="L214" s="1244" t="s">
        <v>3647</v>
      </c>
      <c r="M214" s="1168"/>
      <c r="N214" s="1149"/>
      <c r="O214" s="141" t="str">
        <f t="shared" si="3"/>
        <v xml:space="preserve">رايس  محمد </v>
      </c>
      <c r="P214" s="141" t="s">
        <v>503</v>
      </c>
      <c r="Q214" s="141" t="s">
        <v>1914</v>
      </c>
      <c r="R214" s="759"/>
      <c r="S214" s="989"/>
      <c r="T214" s="404"/>
      <c r="U214" s="28"/>
      <c r="V214"/>
      <c r="W214"/>
      <c r="X214"/>
      <c r="Y214"/>
    </row>
    <row r="215" spans="1:25" ht="16.5" customHeight="1">
      <c r="A215" s="140">
        <v>207</v>
      </c>
      <c r="B215" s="141"/>
      <c r="C215" s="1186" t="s">
        <v>2561</v>
      </c>
      <c r="D215" s="1186" t="s">
        <v>2562</v>
      </c>
      <c r="E215" s="1187" t="s">
        <v>3057</v>
      </c>
      <c r="F215" s="1188" t="s">
        <v>90</v>
      </c>
      <c r="G215" s="1202" t="s">
        <v>3888</v>
      </c>
      <c r="H215" s="1213" t="s">
        <v>96</v>
      </c>
      <c r="I215" s="144" t="s">
        <v>340</v>
      </c>
      <c r="J215" s="1221" t="s">
        <v>2101</v>
      </c>
      <c r="K215" s="1235" t="s">
        <v>111</v>
      </c>
      <c r="L215" s="1244" t="s">
        <v>494</v>
      </c>
      <c r="M215" s="1168"/>
      <c r="N215" s="1149"/>
      <c r="O215" s="141" t="str">
        <f t="shared" si="3"/>
        <v xml:space="preserve">قديد  أحمد </v>
      </c>
      <c r="P215" s="141" t="s">
        <v>504</v>
      </c>
      <c r="Q215" s="141" t="s">
        <v>1914</v>
      </c>
      <c r="R215" s="759"/>
      <c r="S215" s="989"/>
      <c r="T215" s="404"/>
      <c r="U215" s="28"/>
      <c r="V215"/>
      <c r="W215"/>
      <c r="X215"/>
      <c r="Y215"/>
    </row>
    <row r="216" spans="1:25" ht="16.5" customHeight="1">
      <c r="A216" s="140">
        <v>208</v>
      </c>
      <c r="B216" s="141"/>
      <c r="C216" s="1186" t="s">
        <v>2378</v>
      </c>
      <c r="D216" s="1186" t="s">
        <v>2563</v>
      </c>
      <c r="E216" s="1187" t="s">
        <v>3058</v>
      </c>
      <c r="F216" s="1188" t="s">
        <v>90</v>
      </c>
      <c r="G216" s="1202" t="s">
        <v>3887</v>
      </c>
      <c r="H216" s="1212" t="s">
        <v>91</v>
      </c>
      <c r="I216" s="144" t="s">
        <v>340</v>
      </c>
      <c r="J216" s="1221" t="s">
        <v>3431</v>
      </c>
      <c r="K216" s="1235" t="s">
        <v>128</v>
      </c>
      <c r="L216" s="1244" t="s">
        <v>3514</v>
      </c>
      <c r="M216" s="1168"/>
      <c r="N216" s="1149"/>
      <c r="O216" s="141" t="str">
        <f t="shared" si="3"/>
        <v xml:space="preserve">بلعيد  عبد العظيم </v>
      </c>
      <c r="P216" s="141" t="s">
        <v>504</v>
      </c>
      <c r="Q216" s="141" t="s">
        <v>1914</v>
      </c>
      <c r="R216" s="759"/>
      <c r="S216" s="989"/>
      <c r="T216" s="404"/>
      <c r="U216" s="28"/>
      <c r="V216"/>
      <c r="W216"/>
      <c r="X216"/>
      <c r="Y216"/>
    </row>
    <row r="217" spans="1:25" ht="16.5" customHeight="1">
      <c r="A217" s="140">
        <v>209</v>
      </c>
      <c r="B217" s="141"/>
      <c r="C217" s="1186" t="s">
        <v>2564</v>
      </c>
      <c r="D217" s="1186" t="s">
        <v>2565</v>
      </c>
      <c r="E217" s="1187" t="s">
        <v>3059</v>
      </c>
      <c r="F217" s="1188" t="s">
        <v>106</v>
      </c>
      <c r="G217" s="1202" t="s">
        <v>3887</v>
      </c>
      <c r="H217" s="1215" t="s">
        <v>91</v>
      </c>
      <c r="I217" s="144" t="s">
        <v>340</v>
      </c>
      <c r="J217" s="1221" t="s">
        <v>3432</v>
      </c>
      <c r="K217" s="1235" t="s">
        <v>111</v>
      </c>
      <c r="L217" s="1244" t="s">
        <v>3648</v>
      </c>
      <c r="M217" s="1168"/>
      <c r="N217" s="1149"/>
      <c r="O217" s="141" t="str">
        <f t="shared" si="3"/>
        <v xml:space="preserve">بوعلالة  نور الدين </v>
      </c>
      <c r="P217" s="141" t="s">
        <v>504</v>
      </c>
      <c r="Q217" s="141" t="s">
        <v>1914</v>
      </c>
      <c r="R217" s="759"/>
      <c r="S217" s="989"/>
      <c r="T217" s="417"/>
      <c r="U217" s="28"/>
      <c r="V217"/>
      <c r="W217"/>
      <c r="X217"/>
      <c r="Y217"/>
    </row>
    <row r="218" spans="1:25" ht="16.5" customHeight="1">
      <c r="A218" s="140">
        <v>210</v>
      </c>
      <c r="B218" s="141"/>
      <c r="C218" s="1196" t="s">
        <v>2566</v>
      </c>
      <c r="D218" s="1196" t="s">
        <v>2043</v>
      </c>
      <c r="E218" s="1197" t="s">
        <v>3060</v>
      </c>
      <c r="F218" s="1198" t="s">
        <v>90</v>
      </c>
      <c r="G218" s="1206" t="s">
        <v>3887</v>
      </c>
      <c r="H218" s="1217" t="s">
        <v>91</v>
      </c>
      <c r="I218" s="144" t="s">
        <v>340</v>
      </c>
      <c r="J218" s="1223" t="s">
        <v>3433</v>
      </c>
      <c r="K218" s="1242" t="s">
        <v>103</v>
      </c>
      <c r="L218" s="1248" t="s">
        <v>494</v>
      </c>
      <c r="M218" s="1168"/>
      <c r="N218" s="1149"/>
      <c r="O218" s="141" t="str">
        <f t="shared" si="3"/>
        <v xml:space="preserve">تواب  فريد </v>
      </c>
      <c r="P218" s="141" t="s">
        <v>503</v>
      </c>
      <c r="Q218" s="141" t="s">
        <v>1914</v>
      </c>
      <c r="R218" s="759"/>
      <c r="S218" s="989"/>
      <c r="T218" s="404"/>
      <c r="U218" s="28"/>
      <c r="W218"/>
      <c r="X218"/>
      <c r="Y218"/>
    </row>
    <row r="219" spans="1:25" ht="16.5" customHeight="1">
      <c r="A219" s="140">
        <v>211</v>
      </c>
      <c r="B219" s="141"/>
      <c r="C219" s="1186" t="s">
        <v>2567</v>
      </c>
      <c r="D219" s="1186" t="s">
        <v>2568</v>
      </c>
      <c r="E219" s="1187" t="s">
        <v>3061</v>
      </c>
      <c r="F219" s="1188" t="s">
        <v>3338</v>
      </c>
      <c r="G219" s="1202" t="s">
        <v>3887</v>
      </c>
      <c r="H219" s="1215" t="s">
        <v>91</v>
      </c>
      <c r="I219" s="144" t="s">
        <v>340</v>
      </c>
      <c r="J219" s="1221" t="s">
        <v>3434</v>
      </c>
      <c r="K219" s="1235" t="s">
        <v>92</v>
      </c>
      <c r="L219" s="1244" t="s">
        <v>494</v>
      </c>
      <c r="M219" s="1168"/>
      <c r="N219" s="1149"/>
      <c r="O219" s="141" t="str">
        <f t="shared" si="3"/>
        <v xml:space="preserve">حرير  معمر </v>
      </c>
      <c r="P219" s="141" t="s">
        <v>503</v>
      </c>
      <c r="Q219" s="141" t="s">
        <v>1914</v>
      </c>
      <c r="R219" s="759"/>
      <c r="S219" s="989"/>
      <c r="T219" s="404"/>
      <c r="U219" s="28"/>
      <c r="W219"/>
      <c r="X219"/>
      <c r="Y219"/>
    </row>
    <row r="220" spans="1:25" s="968" customFormat="1" ht="16.5" customHeight="1">
      <c r="A220" s="140">
        <v>212</v>
      </c>
      <c r="B220" s="141"/>
      <c r="C220" s="1186" t="s">
        <v>2569</v>
      </c>
      <c r="D220" s="1186" t="s">
        <v>2570</v>
      </c>
      <c r="E220" s="1187" t="s">
        <v>3062</v>
      </c>
      <c r="F220" s="1188" t="s">
        <v>90</v>
      </c>
      <c r="G220" s="1202" t="s">
        <v>3887</v>
      </c>
      <c r="H220" s="1215" t="s">
        <v>91</v>
      </c>
      <c r="I220" s="144" t="s">
        <v>340</v>
      </c>
      <c r="J220" s="1221" t="s">
        <v>2330</v>
      </c>
      <c r="K220" s="1235" t="s">
        <v>128</v>
      </c>
      <c r="L220" s="1244" t="s">
        <v>3649</v>
      </c>
      <c r="M220" s="1168"/>
      <c r="N220" s="1149"/>
      <c r="O220" s="141" t="str">
        <f t="shared" si="3"/>
        <v xml:space="preserve">شاعة  يحي </v>
      </c>
      <c r="P220" s="141" t="s">
        <v>503</v>
      </c>
      <c r="Q220" s="141" t="s">
        <v>1913</v>
      </c>
      <c r="R220" s="759"/>
      <c r="S220" s="989"/>
      <c r="T220" s="404"/>
      <c r="U220" s="28"/>
      <c r="V220" s="28"/>
    </row>
    <row r="221" spans="1:25" ht="16.5" customHeight="1">
      <c r="A221" s="140">
        <v>213</v>
      </c>
      <c r="B221" s="141"/>
      <c r="C221" s="1186" t="s">
        <v>2571</v>
      </c>
      <c r="D221" s="1186" t="s">
        <v>2006</v>
      </c>
      <c r="E221" s="1187" t="s">
        <v>3063</v>
      </c>
      <c r="F221" s="1188" t="s">
        <v>90</v>
      </c>
      <c r="G221" s="1202" t="s">
        <v>3887</v>
      </c>
      <c r="H221" s="1215" t="s">
        <v>91</v>
      </c>
      <c r="I221" s="144" t="s">
        <v>340</v>
      </c>
      <c r="J221" s="1221" t="s">
        <v>3435</v>
      </c>
      <c r="K221" s="1235" t="s">
        <v>128</v>
      </c>
      <c r="L221" s="1244" t="s">
        <v>3538</v>
      </c>
      <c r="M221" s="1168"/>
      <c r="N221" s="1149"/>
      <c r="O221" s="141" t="str">
        <f t="shared" si="3"/>
        <v xml:space="preserve">صابر  عمار </v>
      </c>
      <c r="P221" s="141" t="s">
        <v>503</v>
      </c>
      <c r="Q221" s="141" t="s">
        <v>1914</v>
      </c>
      <c r="R221" s="759"/>
      <c r="S221" s="989"/>
      <c r="T221" s="404"/>
      <c r="U221" s="28"/>
      <c r="W221"/>
      <c r="X221"/>
      <c r="Y221"/>
    </row>
    <row r="222" spans="1:25" ht="16.5" customHeight="1">
      <c r="A222" s="140">
        <v>214</v>
      </c>
      <c r="B222" s="141"/>
      <c r="C222" s="1186" t="s">
        <v>2572</v>
      </c>
      <c r="D222" s="1186" t="s">
        <v>2044</v>
      </c>
      <c r="E222" s="1187" t="s">
        <v>3064</v>
      </c>
      <c r="F222" s="1188" t="s">
        <v>90</v>
      </c>
      <c r="G222" s="1202" t="s">
        <v>3887</v>
      </c>
      <c r="H222" s="1213" t="s">
        <v>96</v>
      </c>
      <c r="I222" s="144" t="s">
        <v>340</v>
      </c>
      <c r="J222" s="1221" t="s">
        <v>2305</v>
      </c>
      <c r="K222" s="1235" t="s">
        <v>97</v>
      </c>
      <c r="L222" s="1244" t="s">
        <v>3650</v>
      </c>
      <c r="M222" s="1168"/>
      <c r="N222" s="1149"/>
      <c r="O222" s="141" t="str">
        <f t="shared" si="3"/>
        <v xml:space="preserve">لمدار  لحسن </v>
      </c>
      <c r="P222" s="141" t="s">
        <v>503</v>
      </c>
      <c r="Q222" s="141" t="s">
        <v>1914</v>
      </c>
      <c r="R222" s="759"/>
      <c r="S222" s="989"/>
      <c r="T222" s="671" t="s">
        <v>628</v>
      </c>
      <c r="U222" s="28"/>
      <c r="V222" s="28" t="s">
        <v>1227</v>
      </c>
      <c r="W222"/>
      <c r="X222"/>
      <c r="Y222"/>
    </row>
    <row r="223" spans="1:25" ht="16.5" customHeight="1">
      <c r="A223" s="140">
        <v>215</v>
      </c>
      <c r="B223" s="141"/>
      <c r="C223" s="1186" t="s">
        <v>1013</v>
      </c>
      <c r="D223" s="1186" t="s">
        <v>700</v>
      </c>
      <c r="E223" s="1187" t="s">
        <v>3065</v>
      </c>
      <c r="F223" s="1188" t="s">
        <v>133</v>
      </c>
      <c r="G223" s="1202" t="s">
        <v>3887</v>
      </c>
      <c r="H223" s="1213" t="s">
        <v>96</v>
      </c>
      <c r="I223" s="144" t="s">
        <v>340</v>
      </c>
      <c r="J223" s="1221" t="s">
        <v>3436</v>
      </c>
      <c r="K223" s="1235" t="s">
        <v>128</v>
      </c>
      <c r="L223" s="1244" t="s">
        <v>494</v>
      </c>
      <c r="M223" s="1168"/>
      <c r="N223" s="1149"/>
      <c r="O223" s="141" t="str">
        <f t="shared" si="3"/>
        <v xml:space="preserve">معطى الله  برحال </v>
      </c>
      <c r="P223" s="141" t="s">
        <v>503</v>
      </c>
      <c r="Q223" s="141"/>
      <c r="R223" s="759"/>
      <c r="S223" s="989"/>
      <c r="T223" s="671" t="s">
        <v>628</v>
      </c>
      <c r="U223" s="28"/>
      <c r="W223"/>
      <c r="X223"/>
      <c r="Y223"/>
    </row>
    <row r="224" spans="1:25" ht="16.5" customHeight="1">
      <c r="A224" s="140">
        <v>216</v>
      </c>
      <c r="B224" s="141"/>
      <c r="C224" s="1186" t="s">
        <v>2573</v>
      </c>
      <c r="D224" s="1186" t="s">
        <v>2574</v>
      </c>
      <c r="E224" s="1187" t="s">
        <v>3066</v>
      </c>
      <c r="F224" s="1188" t="s">
        <v>3339</v>
      </c>
      <c r="G224" s="1202" t="s">
        <v>3887</v>
      </c>
      <c r="H224" s="1215" t="s">
        <v>91</v>
      </c>
      <c r="I224" s="144" t="s">
        <v>340</v>
      </c>
      <c r="J224" s="1221" t="s">
        <v>2184</v>
      </c>
      <c r="K224" s="1234" t="s">
        <v>103</v>
      </c>
      <c r="L224" s="1244" t="s">
        <v>3651</v>
      </c>
      <c r="M224" s="1168"/>
      <c r="N224" s="1149"/>
      <c r="O224" s="141" t="str">
        <f t="shared" si="3"/>
        <v xml:space="preserve">هنون  مهاجي </v>
      </c>
      <c r="P224" s="141" t="s">
        <v>504</v>
      </c>
      <c r="Q224" s="141" t="s">
        <v>1914</v>
      </c>
      <c r="R224" s="759"/>
      <c r="S224" s="989"/>
      <c r="T224" s="671" t="s">
        <v>628</v>
      </c>
      <c r="U224" s="28"/>
      <c r="W224"/>
      <c r="X224"/>
      <c r="Y224"/>
    </row>
    <row r="225" spans="1:25" ht="16.5" customHeight="1">
      <c r="A225" s="140">
        <v>217</v>
      </c>
      <c r="B225" s="141"/>
      <c r="C225" s="1186" t="s">
        <v>1997</v>
      </c>
      <c r="D225" s="1186" t="s">
        <v>2575</v>
      </c>
      <c r="E225" s="1187" t="s">
        <v>3067</v>
      </c>
      <c r="F225" s="1188" t="s">
        <v>3339</v>
      </c>
      <c r="G225" s="1202" t="s">
        <v>3887</v>
      </c>
      <c r="H225" s="1213" t="s">
        <v>96</v>
      </c>
      <c r="I225" s="144" t="s">
        <v>340</v>
      </c>
      <c r="J225" s="1221" t="s">
        <v>3406</v>
      </c>
      <c r="K225" s="1235" t="s">
        <v>128</v>
      </c>
      <c r="L225" s="1244" t="s">
        <v>3652</v>
      </c>
      <c r="M225" s="1168"/>
      <c r="N225" s="1149"/>
      <c r="O225" s="141" t="str">
        <f t="shared" si="3"/>
        <v xml:space="preserve">يعقوب  زواوي </v>
      </c>
      <c r="P225" s="141" t="s">
        <v>502</v>
      </c>
      <c r="Q225" s="141" t="s">
        <v>1914</v>
      </c>
      <c r="R225" s="759"/>
      <c r="S225" s="989"/>
      <c r="T225" s="671" t="s">
        <v>628</v>
      </c>
      <c r="U225" s="28"/>
      <c r="W225"/>
      <c r="X225"/>
      <c r="Y225"/>
    </row>
    <row r="226" spans="1:25" ht="16.5" customHeight="1">
      <c r="A226" s="140">
        <v>218</v>
      </c>
      <c r="B226" s="141"/>
      <c r="C226" s="1183" t="s">
        <v>2577</v>
      </c>
      <c r="D226" s="1183" t="s">
        <v>25</v>
      </c>
      <c r="E226" s="1184" t="s">
        <v>3069</v>
      </c>
      <c r="F226" s="1191" t="s">
        <v>3338</v>
      </c>
      <c r="G226" s="1201" t="s">
        <v>1171</v>
      </c>
      <c r="H226" s="1208" t="s">
        <v>1458</v>
      </c>
      <c r="I226" s="144" t="s">
        <v>341</v>
      </c>
      <c r="J226" s="1222" t="s">
        <v>2332</v>
      </c>
      <c r="K226" s="1233" t="s">
        <v>1195</v>
      </c>
      <c r="L226" s="1246" t="s">
        <v>3654</v>
      </c>
      <c r="M226" s="1170"/>
      <c r="N226" s="1149"/>
      <c r="O226" s="141" t="str">
        <f t="shared" si="3"/>
        <v xml:space="preserve">بن دويدة  عبد القادر </v>
      </c>
      <c r="P226" s="141" t="s">
        <v>502</v>
      </c>
      <c r="Q226" s="141" t="s">
        <v>1916</v>
      </c>
      <c r="R226" s="759"/>
      <c r="S226" s="989"/>
      <c r="T226" s="671" t="s">
        <v>628</v>
      </c>
      <c r="U226" s="28"/>
      <c r="W226"/>
      <c r="X226"/>
      <c r="Y226"/>
    </row>
    <row r="227" spans="1:25" ht="16.5" customHeight="1">
      <c r="A227" s="140">
        <v>219</v>
      </c>
      <c r="B227" s="141"/>
      <c r="C227" s="1186" t="s">
        <v>2580</v>
      </c>
      <c r="D227" s="1186" t="s">
        <v>2326</v>
      </c>
      <c r="E227" s="1187" t="s">
        <v>2879</v>
      </c>
      <c r="F227" s="1188" t="s">
        <v>3339</v>
      </c>
      <c r="G227" s="1202" t="s">
        <v>1171</v>
      </c>
      <c r="H227" s="1208" t="s">
        <v>1459</v>
      </c>
      <c r="I227" s="144" t="s">
        <v>341</v>
      </c>
      <c r="J227" s="1221" t="s">
        <v>2325</v>
      </c>
      <c r="K227" s="1235" t="s">
        <v>111</v>
      </c>
      <c r="L227" s="1244" t="s">
        <v>3656</v>
      </c>
      <c r="M227" s="1168"/>
      <c r="N227" s="1149"/>
      <c r="O227" s="141" t="str">
        <f t="shared" si="3"/>
        <v xml:space="preserve">كنوي  محمد </v>
      </c>
      <c r="P227" s="141" t="s">
        <v>502</v>
      </c>
      <c r="Q227" s="141" t="s">
        <v>1917</v>
      </c>
      <c r="R227" s="759"/>
      <c r="S227" s="141" t="s">
        <v>643</v>
      </c>
      <c r="T227" s="671"/>
      <c r="U227" s="28"/>
      <c r="W227"/>
      <c r="X227"/>
      <c r="Y227"/>
    </row>
    <row r="228" spans="1:25" ht="16.5" customHeight="1">
      <c r="A228" s="140">
        <v>220</v>
      </c>
      <c r="B228" s="141"/>
      <c r="C228" s="1186" t="s">
        <v>2393</v>
      </c>
      <c r="D228" s="1186" t="s">
        <v>142</v>
      </c>
      <c r="E228" s="1187" t="s">
        <v>2880</v>
      </c>
      <c r="F228" s="1188" t="s">
        <v>90</v>
      </c>
      <c r="G228" s="1202" t="s">
        <v>1171</v>
      </c>
      <c r="H228" s="1208" t="s">
        <v>1458</v>
      </c>
      <c r="I228" s="144" t="s">
        <v>341</v>
      </c>
      <c r="J228" s="1221" t="s">
        <v>3437</v>
      </c>
      <c r="K228" s="1235" t="s">
        <v>111</v>
      </c>
      <c r="L228" s="1244" t="s">
        <v>3657</v>
      </c>
      <c r="M228" s="1169"/>
      <c r="N228" s="1149"/>
      <c r="O228" s="141" t="str">
        <f t="shared" si="3"/>
        <v xml:space="preserve">هامل  نوار </v>
      </c>
      <c r="P228" s="141" t="s">
        <v>503</v>
      </c>
      <c r="Q228" s="141" t="s">
        <v>1917</v>
      </c>
      <c r="R228" s="759"/>
      <c r="S228" s="989"/>
      <c r="T228" s="671" t="s">
        <v>628</v>
      </c>
      <c r="U228" s="28"/>
      <c r="W228"/>
      <c r="X228"/>
      <c r="Y228"/>
    </row>
    <row r="229" spans="1:25" s="820" customFormat="1" ht="16.5" customHeight="1">
      <c r="A229" s="140">
        <v>221</v>
      </c>
      <c r="B229" s="141"/>
      <c r="C229" s="1183" t="s">
        <v>2576</v>
      </c>
      <c r="D229" s="1183" t="s">
        <v>2030</v>
      </c>
      <c r="E229" s="1184" t="s">
        <v>3068</v>
      </c>
      <c r="F229" s="1185" t="s">
        <v>202</v>
      </c>
      <c r="G229" s="1201" t="s">
        <v>1171</v>
      </c>
      <c r="H229" s="1213" t="s">
        <v>91</v>
      </c>
      <c r="I229" s="144" t="s">
        <v>341</v>
      </c>
      <c r="J229" s="1220" t="s">
        <v>2330</v>
      </c>
      <c r="K229" s="1233" t="s">
        <v>159</v>
      </c>
      <c r="L229" s="1245" t="s">
        <v>3653</v>
      </c>
      <c r="M229" s="1168"/>
      <c r="N229" s="1149"/>
      <c r="O229" s="141" t="str">
        <f t="shared" si="3"/>
        <v xml:space="preserve">أفصيل  يحي </v>
      </c>
      <c r="P229" s="141" t="s">
        <v>504</v>
      </c>
      <c r="Q229" s="141"/>
      <c r="R229" s="759"/>
      <c r="S229" s="141"/>
      <c r="T229" s="671"/>
      <c r="U229" s="28"/>
      <c r="V229" s="28"/>
    </row>
    <row r="230" spans="1:25" ht="16.5" customHeight="1">
      <c r="A230" s="140">
        <v>222</v>
      </c>
      <c r="B230" s="141"/>
      <c r="C230" s="1186" t="s">
        <v>95</v>
      </c>
      <c r="D230" s="1186" t="s">
        <v>101</v>
      </c>
      <c r="E230" s="1187" t="s">
        <v>2887</v>
      </c>
      <c r="F230" s="1188" t="s">
        <v>90</v>
      </c>
      <c r="G230" s="1202" t="s">
        <v>1171</v>
      </c>
      <c r="H230" s="1213" t="s">
        <v>96</v>
      </c>
      <c r="I230" s="144" t="s">
        <v>341</v>
      </c>
      <c r="J230" s="1221" t="s">
        <v>3394</v>
      </c>
      <c r="K230" s="1235" t="s">
        <v>121</v>
      </c>
      <c r="L230" s="1244" t="s">
        <v>3658</v>
      </c>
      <c r="M230" s="1168"/>
      <c r="N230" s="1149"/>
      <c r="O230" s="141" t="str">
        <f t="shared" si="3"/>
        <v xml:space="preserve">العسري  حنيفي </v>
      </c>
      <c r="P230" s="141" t="s">
        <v>503</v>
      </c>
      <c r="Q230" s="141" t="s">
        <v>1917</v>
      </c>
      <c r="R230" s="759"/>
      <c r="S230" s="989"/>
      <c r="T230" s="404"/>
      <c r="U230" s="28"/>
      <c r="W230"/>
      <c r="X230"/>
      <c r="Y230"/>
    </row>
    <row r="231" spans="1:25" ht="16.5" customHeight="1">
      <c r="A231" s="140">
        <v>223</v>
      </c>
      <c r="B231" s="141"/>
      <c r="C231" s="1186" t="s">
        <v>514</v>
      </c>
      <c r="D231" s="1186" t="s">
        <v>2022</v>
      </c>
      <c r="E231" s="1187" t="s">
        <v>2975</v>
      </c>
      <c r="F231" s="1188" t="s">
        <v>3347</v>
      </c>
      <c r="G231" s="1202" t="s">
        <v>1171</v>
      </c>
      <c r="H231" s="1213" t="s">
        <v>96</v>
      </c>
      <c r="I231" s="144" t="s">
        <v>341</v>
      </c>
      <c r="J231" s="1221" t="s">
        <v>3438</v>
      </c>
      <c r="K231" s="1235" t="s">
        <v>111</v>
      </c>
      <c r="L231" s="1244" t="s">
        <v>3659</v>
      </c>
      <c r="M231" s="1168"/>
      <c r="N231" s="1149"/>
      <c r="O231" s="141" t="str">
        <f t="shared" si="3"/>
        <v xml:space="preserve">براهمي  عبد السلام </v>
      </c>
      <c r="P231" s="141" t="s">
        <v>504</v>
      </c>
      <c r="Q231" s="141" t="s">
        <v>1917</v>
      </c>
      <c r="R231" s="759"/>
      <c r="S231" s="989"/>
      <c r="T231" s="404"/>
      <c r="U231" s="28"/>
      <c r="W231"/>
      <c r="X231"/>
      <c r="Y231"/>
    </row>
    <row r="232" spans="1:25" ht="16.5" customHeight="1">
      <c r="A232" s="140">
        <v>224</v>
      </c>
      <c r="B232" s="141"/>
      <c r="C232" s="1186" t="s">
        <v>961</v>
      </c>
      <c r="D232" s="1186" t="s">
        <v>2609</v>
      </c>
      <c r="E232" s="1192">
        <v>40474</v>
      </c>
      <c r="F232" s="1188" t="s">
        <v>90</v>
      </c>
      <c r="G232" s="1202" t="s">
        <v>1171</v>
      </c>
      <c r="H232" s="1213" t="s">
        <v>91</v>
      </c>
      <c r="I232" s="144" t="s">
        <v>340</v>
      </c>
      <c r="J232" s="1221"/>
      <c r="K232" s="1235"/>
      <c r="L232" s="1244"/>
      <c r="M232" s="1168"/>
      <c r="N232" s="1149"/>
      <c r="O232" s="141" t="str">
        <f t="shared" si="3"/>
        <v xml:space="preserve">بركاني  </v>
      </c>
      <c r="P232" s="141" t="s">
        <v>503</v>
      </c>
      <c r="Q232" s="141" t="s">
        <v>1914</v>
      </c>
      <c r="R232" s="759"/>
      <c r="S232" s="141"/>
      <c r="T232" s="417"/>
      <c r="U232" s="28"/>
      <c r="V232"/>
      <c r="W232"/>
      <c r="X232"/>
      <c r="Y232"/>
    </row>
    <row r="233" spans="1:25" ht="16.5" customHeight="1">
      <c r="A233" s="140">
        <v>225</v>
      </c>
      <c r="B233" s="141"/>
      <c r="C233" s="1186" t="s">
        <v>2581</v>
      </c>
      <c r="D233" s="1186" t="s">
        <v>2237</v>
      </c>
      <c r="E233" s="1187" t="s">
        <v>3072</v>
      </c>
      <c r="F233" s="1188" t="s">
        <v>797</v>
      </c>
      <c r="G233" s="1202" t="s">
        <v>1171</v>
      </c>
      <c r="H233" s="1213" t="s">
        <v>91</v>
      </c>
      <c r="I233" s="144" t="s">
        <v>340</v>
      </c>
      <c r="J233" s="1221"/>
      <c r="K233" s="1235" t="s">
        <v>103</v>
      </c>
      <c r="L233" s="1244"/>
      <c r="M233" s="1168"/>
      <c r="N233" s="1149"/>
      <c r="O233" s="141" t="str">
        <f t="shared" si="3"/>
        <v xml:space="preserve">برياح  </v>
      </c>
      <c r="P233" s="141" t="s">
        <v>503</v>
      </c>
      <c r="Q233" s="141" t="s">
        <v>1916</v>
      </c>
      <c r="R233" s="759"/>
      <c r="S233" s="989"/>
      <c r="T233" s="417"/>
      <c r="U233" s="28"/>
      <c r="V233"/>
      <c r="W233"/>
      <c r="X233"/>
      <c r="Y233"/>
    </row>
    <row r="234" spans="1:25" ht="16.5" customHeight="1">
      <c r="A234" s="140">
        <v>226</v>
      </c>
      <c r="B234" s="141"/>
      <c r="C234" s="1186" t="s">
        <v>879</v>
      </c>
      <c r="D234" s="1186" t="s">
        <v>2582</v>
      </c>
      <c r="E234" s="1187" t="s">
        <v>3073</v>
      </c>
      <c r="F234" s="1188" t="s">
        <v>3338</v>
      </c>
      <c r="G234" s="1202" t="s">
        <v>1171</v>
      </c>
      <c r="H234" s="1215" t="s">
        <v>91</v>
      </c>
      <c r="I234" s="144" t="s">
        <v>340</v>
      </c>
      <c r="J234" s="1221" t="s">
        <v>2173</v>
      </c>
      <c r="K234" s="1235" t="s">
        <v>160</v>
      </c>
      <c r="L234" s="1244" t="s">
        <v>3660</v>
      </c>
      <c r="M234" s="1168"/>
      <c r="N234" s="1149"/>
      <c r="O234" s="141" t="str">
        <f t="shared" si="3"/>
        <v xml:space="preserve">بسباس  قادة </v>
      </c>
      <c r="P234" s="141" t="s">
        <v>503</v>
      </c>
      <c r="Q234" s="141" t="s">
        <v>1919</v>
      </c>
      <c r="R234" s="759"/>
      <c r="S234" s="989"/>
      <c r="T234" s="404"/>
      <c r="U234" s="28"/>
      <c r="V234"/>
      <c r="W234"/>
      <c r="X234"/>
      <c r="Y234"/>
    </row>
    <row r="235" spans="1:25" s="828" customFormat="1" ht="16.5" customHeight="1">
      <c r="A235" s="140">
        <v>227</v>
      </c>
      <c r="B235" s="141"/>
      <c r="C235" s="1186" t="s">
        <v>879</v>
      </c>
      <c r="D235" s="1186" t="s">
        <v>1006</v>
      </c>
      <c r="E235" s="1187" t="s">
        <v>3074</v>
      </c>
      <c r="F235" s="1188" t="s">
        <v>90</v>
      </c>
      <c r="G235" s="1202" t="s">
        <v>1171</v>
      </c>
      <c r="H235" s="1215" t="s">
        <v>96</v>
      </c>
      <c r="I235" s="144" t="s">
        <v>340</v>
      </c>
      <c r="J235" s="1221" t="s">
        <v>3439</v>
      </c>
      <c r="K235" s="1235" t="s">
        <v>121</v>
      </c>
      <c r="L235" s="1244" t="s">
        <v>3661</v>
      </c>
      <c r="M235" s="1168"/>
      <c r="N235" s="1149"/>
      <c r="O235" s="141" t="str">
        <f t="shared" si="3"/>
        <v xml:space="preserve">بسباس  مخفي </v>
      </c>
      <c r="P235" s="141" t="s">
        <v>503</v>
      </c>
      <c r="Q235" s="141"/>
      <c r="R235" s="759"/>
      <c r="S235" s="989"/>
      <c r="T235" s="404"/>
      <c r="U235" s="28"/>
    </row>
    <row r="236" spans="1:25" ht="16.5" customHeight="1">
      <c r="A236" s="140">
        <v>228</v>
      </c>
      <c r="B236" s="141"/>
      <c r="C236" s="1186" t="s">
        <v>2378</v>
      </c>
      <c r="D236" s="1186" t="s">
        <v>2583</v>
      </c>
      <c r="E236" s="1187" t="s">
        <v>3075</v>
      </c>
      <c r="F236" s="1188" t="s">
        <v>90</v>
      </c>
      <c r="G236" s="1202" t="s">
        <v>1171</v>
      </c>
      <c r="H236" s="1213" t="s">
        <v>96</v>
      </c>
      <c r="I236" s="144" t="s">
        <v>340</v>
      </c>
      <c r="J236" s="1221" t="s">
        <v>3411</v>
      </c>
      <c r="K236" s="1235" t="s">
        <v>128</v>
      </c>
      <c r="L236" s="1244" t="s">
        <v>3662</v>
      </c>
      <c r="M236" s="1168"/>
      <c r="N236" s="1149"/>
      <c r="O236" s="141" t="str">
        <f t="shared" si="3"/>
        <v xml:space="preserve">بلعيد  كمال </v>
      </c>
      <c r="P236" s="141" t="s">
        <v>504</v>
      </c>
      <c r="Q236" s="141" t="s">
        <v>1918</v>
      </c>
      <c r="R236" s="759"/>
      <c r="S236" s="141" t="s">
        <v>653</v>
      </c>
      <c r="T236" s="404"/>
      <c r="U236" s="28"/>
      <c r="V236"/>
      <c r="W236"/>
      <c r="X236"/>
      <c r="Y236"/>
    </row>
    <row r="237" spans="1:25" ht="16.5" customHeight="1">
      <c r="A237" s="140">
        <v>229</v>
      </c>
      <c r="B237" s="141"/>
      <c r="C237" s="1186" t="s">
        <v>2584</v>
      </c>
      <c r="D237" s="1186" t="s">
        <v>1047</v>
      </c>
      <c r="E237" s="1187" t="s">
        <v>3076</v>
      </c>
      <c r="F237" s="1188" t="s">
        <v>3339</v>
      </c>
      <c r="G237" s="1202" t="s">
        <v>1171</v>
      </c>
      <c r="H237" s="1213" t="s">
        <v>96</v>
      </c>
      <c r="I237" s="144" t="s">
        <v>340</v>
      </c>
      <c r="J237" s="1221" t="s">
        <v>2333</v>
      </c>
      <c r="K237" s="1235" t="s">
        <v>128</v>
      </c>
      <c r="L237" s="1244" t="s">
        <v>3663</v>
      </c>
      <c r="M237" s="1170"/>
      <c r="N237" s="1149"/>
      <c r="O237" s="141" t="str">
        <f t="shared" si="3"/>
        <v xml:space="preserve">بلمختار  عباس </v>
      </c>
      <c r="P237" s="141" t="s">
        <v>504</v>
      </c>
      <c r="Q237" s="141" t="s">
        <v>1919</v>
      </c>
      <c r="R237" s="759"/>
      <c r="S237" s="989"/>
      <c r="T237" s="404"/>
      <c r="U237" s="28"/>
      <c r="V237"/>
      <c r="W237"/>
      <c r="X237"/>
      <c r="Y237"/>
    </row>
    <row r="238" spans="1:25" s="992" customFormat="1" ht="16.5" customHeight="1">
      <c r="A238" s="140">
        <v>230</v>
      </c>
      <c r="B238" s="141"/>
      <c r="C238" s="1183" t="s">
        <v>2584</v>
      </c>
      <c r="D238" s="1183" t="s">
        <v>2585</v>
      </c>
      <c r="E238" s="1184" t="s">
        <v>3077</v>
      </c>
      <c r="F238" s="1191" t="s">
        <v>3338</v>
      </c>
      <c r="G238" s="1201" t="s">
        <v>1171</v>
      </c>
      <c r="H238" s="1209" t="s">
        <v>96</v>
      </c>
      <c r="I238" s="144" t="s">
        <v>340</v>
      </c>
      <c r="J238" s="1222" t="s">
        <v>3440</v>
      </c>
      <c r="K238" s="1233" t="s">
        <v>111</v>
      </c>
      <c r="L238" s="1246" t="s">
        <v>494</v>
      </c>
      <c r="M238" s="1168"/>
      <c r="N238" s="1149"/>
      <c r="O238" s="141" t="str">
        <f t="shared" si="3"/>
        <v xml:space="preserve">بلمختار  براهيم </v>
      </c>
      <c r="P238" s="141" t="s">
        <v>503</v>
      </c>
      <c r="Q238" s="141"/>
      <c r="R238" s="759"/>
      <c r="S238" s="989"/>
      <c r="T238" s="404"/>
      <c r="U238" s="28"/>
    </row>
    <row r="239" spans="1:25" ht="16.5" customHeight="1">
      <c r="A239" s="140">
        <v>231</v>
      </c>
      <c r="B239" s="141"/>
      <c r="C239" s="1186" t="s">
        <v>2578</v>
      </c>
      <c r="D239" s="1186" t="s">
        <v>67</v>
      </c>
      <c r="E239" s="1187" t="s">
        <v>3070</v>
      </c>
      <c r="F239" s="1188" t="s">
        <v>90</v>
      </c>
      <c r="G239" s="1202" t="s">
        <v>1171</v>
      </c>
      <c r="H239" s="1213" t="s">
        <v>91</v>
      </c>
      <c r="I239" s="144" t="s">
        <v>340</v>
      </c>
      <c r="J239" s="1221" t="s">
        <v>2325</v>
      </c>
      <c r="K239" s="1235" t="s">
        <v>111</v>
      </c>
      <c r="L239" s="1244" t="s">
        <v>494</v>
      </c>
      <c r="M239" s="1168"/>
      <c r="N239" s="1149"/>
      <c r="O239" s="141" t="str">
        <f t="shared" si="3"/>
        <v xml:space="preserve">بن عياد  محمد </v>
      </c>
      <c r="P239" s="141" t="s">
        <v>504</v>
      </c>
      <c r="Q239" s="141" t="s">
        <v>1918</v>
      </c>
      <c r="R239" s="759"/>
      <c r="S239" s="989"/>
      <c r="T239" s="671"/>
      <c r="U239" s="28"/>
      <c r="V239"/>
      <c r="W239"/>
      <c r="X239"/>
      <c r="Y239"/>
    </row>
    <row r="240" spans="1:25" ht="16.5" customHeight="1">
      <c r="A240" s="140">
        <v>232</v>
      </c>
      <c r="B240" s="141"/>
      <c r="C240" s="1186" t="s">
        <v>2342</v>
      </c>
      <c r="D240" s="1186" t="s">
        <v>1523</v>
      </c>
      <c r="E240" s="1187" t="s">
        <v>3078</v>
      </c>
      <c r="F240" s="1188" t="s">
        <v>3338</v>
      </c>
      <c r="G240" s="1202" t="s">
        <v>1171</v>
      </c>
      <c r="H240" s="1213" t="s">
        <v>96</v>
      </c>
      <c r="I240" s="144" t="s">
        <v>340</v>
      </c>
      <c r="J240" s="1221" t="s">
        <v>2334</v>
      </c>
      <c r="K240" s="1237" t="s">
        <v>160</v>
      </c>
      <c r="L240" s="1244" t="s">
        <v>3664</v>
      </c>
      <c r="M240" s="1168"/>
      <c r="N240" s="1149"/>
      <c r="O240" s="141" t="str">
        <f t="shared" si="3"/>
        <v xml:space="preserve">بوتمة  جيلالي </v>
      </c>
      <c r="P240" s="141" t="s">
        <v>504</v>
      </c>
      <c r="Q240" s="141" t="s">
        <v>1918</v>
      </c>
      <c r="R240" s="759"/>
      <c r="S240" s="989"/>
      <c r="T240" s="671"/>
      <c r="U240" s="28"/>
      <c r="V240"/>
      <c r="W240"/>
      <c r="X240"/>
      <c r="Y240"/>
    </row>
    <row r="241" spans="1:25" ht="16.5" customHeight="1">
      <c r="A241" s="140">
        <v>233</v>
      </c>
      <c r="B241" s="141"/>
      <c r="C241" s="1186" t="s">
        <v>2494</v>
      </c>
      <c r="D241" s="1186" t="s">
        <v>153</v>
      </c>
      <c r="E241" s="1187" t="s">
        <v>3079</v>
      </c>
      <c r="F241" s="1188" t="s">
        <v>3339</v>
      </c>
      <c r="G241" s="1202" t="s">
        <v>1171</v>
      </c>
      <c r="H241" s="1213" t="s">
        <v>96</v>
      </c>
      <c r="I241" s="144" t="s">
        <v>340</v>
      </c>
      <c r="J241" s="1221" t="s">
        <v>3380</v>
      </c>
      <c r="K241" s="1235" t="s">
        <v>103</v>
      </c>
      <c r="L241" s="1244" t="s">
        <v>3665</v>
      </c>
      <c r="M241" s="1169"/>
      <c r="N241" s="1149"/>
      <c r="O241" s="141" t="str">
        <f t="shared" si="3"/>
        <v xml:space="preserve">بوخاتمي  قويدر </v>
      </c>
      <c r="P241" s="141" t="s">
        <v>504</v>
      </c>
      <c r="Q241" s="141" t="s">
        <v>1919</v>
      </c>
      <c r="R241" s="759"/>
      <c r="S241" s="989"/>
      <c r="T241" s="671"/>
      <c r="U241" s="28"/>
      <c r="V241"/>
      <c r="W241"/>
      <c r="X241"/>
      <c r="Y241"/>
    </row>
    <row r="242" spans="1:25" ht="16.5" customHeight="1">
      <c r="A242" s="140">
        <v>234</v>
      </c>
      <c r="B242" s="141"/>
      <c r="C242" s="1183" t="s">
        <v>995</v>
      </c>
      <c r="D242" s="1183" t="s">
        <v>2579</v>
      </c>
      <c r="E242" s="1184" t="s">
        <v>3071</v>
      </c>
      <c r="F242" s="1185" t="s">
        <v>3339</v>
      </c>
      <c r="G242" s="1201" t="s">
        <v>1171</v>
      </c>
      <c r="H242" s="1213" t="s">
        <v>96</v>
      </c>
      <c r="I242" s="144" t="s">
        <v>340</v>
      </c>
      <c r="J242" s="1220" t="s">
        <v>3387</v>
      </c>
      <c r="K242" s="1233" t="s">
        <v>111</v>
      </c>
      <c r="L242" s="1245" t="s">
        <v>3655</v>
      </c>
      <c r="M242" s="1169"/>
      <c r="N242" s="1149"/>
      <c r="O242" s="141" t="str">
        <f t="shared" si="3"/>
        <v xml:space="preserve">بوصحرة  ميلود </v>
      </c>
      <c r="P242" s="141" t="s">
        <v>503</v>
      </c>
      <c r="Q242" s="141" t="s">
        <v>1918</v>
      </c>
      <c r="R242" s="759"/>
      <c r="S242" s="989"/>
      <c r="T242" s="671"/>
      <c r="U242" s="28"/>
      <c r="V242"/>
      <c r="W242"/>
      <c r="X242"/>
      <c r="Y242"/>
    </row>
    <row r="243" spans="1:25" ht="16.5" customHeight="1">
      <c r="A243" s="140">
        <v>235</v>
      </c>
      <c r="B243" s="141"/>
      <c r="C243" s="1183" t="s">
        <v>996</v>
      </c>
      <c r="D243" s="1183" t="s">
        <v>2586</v>
      </c>
      <c r="E243" s="1184" t="s">
        <v>3080</v>
      </c>
      <c r="F243" s="1185" t="s">
        <v>90</v>
      </c>
      <c r="G243" s="1201" t="s">
        <v>1171</v>
      </c>
      <c r="H243" s="1209" t="s">
        <v>96</v>
      </c>
      <c r="I243" s="144" t="s">
        <v>340</v>
      </c>
      <c r="J243" s="1222" t="s">
        <v>2325</v>
      </c>
      <c r="K243" s="1233" t="s">
        <v>121</v>
      </c>
      <c r="L243" s="1245" t="s">
        <v>3666</v>
      </c>
      <c r="M243" s="1168"/>
      <c r="N243" s="1149"/>
      <c r="O243" s="141" t="str">
        <f t="shared" si="3"/>
        <v xml:space="preserve">بوقلمونة  محمد </v>
      </c>
      <c r="P243" s="141" t="s">
        <v>503</v>
      </c>
      <c r="Q243" s="141" t="s">
        <v>1919</v>
      </c>
      <c r="R243" s="759"/>
      <c r="S243" s="989"/>
      <c r="T243" s="671"/>
      <c r="U243" s="28"/>
      <c r="V243"/>
      <c r="W243"/>
      <c r="X243"/>
      <c r="Y243"/>
    </row>
    <row r="244" spans="1:25" ht="16.5" customHeight="1">
      <c r="A244" s="140">
        <v>236</v>
      </c>
      <c r="B244" s="141"/>
      <c r="C244" s="1186" t="s">
        <v>2426</v>
      </c>
      <c r="D244" s="1186" t="s">
        <v>878</v>
      </c>
      <c r="E244" s="1187" t="s">
        <v>3081</v>
      </c>
      <c r="F244" s="1188" t="s">
        <v>90</v>
      </c>
      <c r="G244" s="1202" t="s">
        <v>1171</v>
      </c>
      <c r="H244" s="1213" t="s">
        <v>96</v>
      </c>
      <c r="I244" s="144" t="s">
        <v>340</v>
      </c>
      <c r="J244" s="1221" t="s">
        <v>2325</v>
      </c>
      <c r="K244" s="1235" t="s">
        <v>111</v>
      </c>
      <c r="L244" s="1244" t="s">
        <v>3667</v>
      </c>
      <c r="M244" s="1168"/>
      <c r="N244" s="1149"/>
      <c r="O244" s="141" t="str">
        <f t="shared" si="3"/>
        <v xml:space="preserve">بوقناية  محمد </v>
      </c>
      <c r="P244" s="141" t="s">
        <v>503</v>
      </c>
      <c r="Q244" s="141" t="s">
        <v>1918</v>
      </c>
      <c r="R244" s="759"/>
      <c r="S244" s="989"/>
      <c r="T244" s="671"/>
      <c r="U244" s="28"/>
      <c r="V244"/>
      <c r="W244"/>
      <c r="X244"/>
      <c r="Y244"/>
    </row>
    <row r="245" spans="1:25" ht="16.5" customHeight="1">
      <c r="A245" s="140">
        <v>237</v>
      </c>
      <c r="B245" s="141"/>
      <c r="C245" s="1186" t="s">
        <v>2587</v>
      </c>
      <c r="D245" s="1186" t="s">
        <v>2588</v>
      </c>
      <c r="E245" s="1187" t="s">
        <v>3082</v>
      </c>
      <c r="F245" s="1188" t="s">
        <v>90</v>
      </c>
      <c r="G245" s="1202" t="s">
        <v>1171</v>
      </c>
      <c r="H245" s="1213" t="s">
        <v>96</v>
      </c>
      <c r="I245" s="144" t="s">
        <v>340</v>
      </c>
      <c r="J245" s="1221" t="s">
        <v>3441</v>
      </c>
      <c r="K245" s="1235" t="s">
        <v>1893</v>
      </c>
      <c r="L245" s="1244" t="s">
        <v>3668</v>
      </c>
      <c r="M245" s="1168"/>
      <c r="N245" s="1149"/>
      <c r="O245" s="141" t="str">
        <f t="shared" si="3"/>
        <v xml:space="preserve">بومعزة  عثمان </v>
      </c>
      <c r="P245" s="141" t="s">
        <v>503</v>
      </c>
      <c r="Q245" s="141" t="s">
        <v>1918</v>
      </c>
      <c r="R245" s="276"/>
      <c r="S245" s="989"/>
      <c r="T245" s="404"/>
      <c r="U245" s="28"/>
      <c r="V245"/>
      <c r="W245"/>
      <c r="X245"/>
      <c r="Y245"/>
    </row>
    <row r="246" spans="1:25" ht="16.5" customHeight="1">
      <c r="A246" s="140">
        <v>238</v>
      </c>
      <c r="B246" s="141"/>
      <c r="C246" s="1186" t="s">
        <v>2589</v>
      </c>
      <c r="D246" s="1186" t="s">
        <v>2590</v>
      </c>
      <c r="E246" s="1187" t="s">
        <v>3083</v>
      </c>
      <c r="F246" s="1188" t="s">
        <v>3339</v>
      </c>
      <c r="G246" s="1202" t="s">
        <v>1171</v>
      </c>
      <c r="H246" s="1213" t="s">
        <v>96</v>
      </c>
      <c r="I246" s="144" t="s">
        <v>340</v>
      </c>
      <c r="J246" s="1221" t="s">
        <v>3442</v>
      </c>
      <c r="K246" s="1235" t="s">
        <v>111</v>
      </c>
      <c r="L246" s="1244" t="s">
        <v>3669</v>
      </c>
      <c r="M246" s="1168"/>
      <c r="N246" s="1149"/>
      <c r="O246" s="141" t="str">
        <f t="shared" si="3"/>
        <v xml:space="preserve">تقار  صديق </v>
      </c>
      <c r="P246" s="141" t="s">
        <v>503</v>
      </c>
      <c r="Q246" s="141" t="s">
        <v>1919</v>
      </c>
      <c r="R246" s="276"/>
      <c r="S246" s="989"/>
      <c r="T246" s="404"/>
      <c r="U246" s="28"/>
      <c r="V246"/>
      <c r="W246"/>
      <c r="X246"/>
      <c r="Y246"/>
    </row>
    <row r="247" spans="1:25" s="971" customFormat="1" ht="16.5" customHeight="1">
      <c r="A247" s="140">
        <v>239</v>
      </c>
      <c r="B247" s="141"/>
      <c r="C247" s="1186" t="s">
        <v>1517</v>
      </c>
      <c r="D247" s="1186" t="s">
        <v>2608</v>
      </c>
      <c r="E247" s="1192">
        <v>39734</v>
      </c>
      <c r="F247" s="1188" t="s">
        <v>3354</v>
      </c>
      <c r="G247" s="1202" t="s">
        <v>1171</v>
      </c>
      <c r="H247" s="1213" t="s">
        <v>96</v>
      </c>
      <c r="I247" s="144" t="s">
        <v>340</v>
      </c>
      <c r="J247" s="1221"/>
      <c r="K247" s="1235"/>
      <c r="L247" s="1244"/>
      <c r="M247" s="1170"/>
      <c r="N247" s="1149"/>
      <c r="O247" s="141" t="str">
        <f t="shared" si="3"/>
        <v xml:space="preserve">حافظ  </v>
      </c>
      <c r="P247" s="141" t="s">
        <v>504</v>
      </c>
      <c r="Q247" s="141" t="s">
        <v>1917</v>
      </c>
      <c r="R247" s="276"/>
      <c r="S247" s="989"/>
      <c r="T247" s="404"/>
      <c r="U247" s="28"/>
    </row>
    <row r="248" spans="1:25" ht="16.5" customHeight="1">
      <c r="A248" s="140">
        <v>240</v>
      </c>
      <c r="B248" s="141"/>
      <c r="C248" s="1183" t="s">
        <v>2591</v>
      </c>
      <c r="D248" s="1183" t="s">
        <v>2392</v>
      </c>
      <c r="E248" s="1184" t="s">
        <v>3084</v>
      </c>
      <c r="F248" s="1191" t="s">
        <v>3338</v>
      </c>
      <c r="G248" s="1201" t="s">
        <v>1171</v>
      </c>
      <c r="H248" s="1210" t="s">
        <v>96</v>
      </c>
      <c r="I248" s="144" t="s">
        <v>340</v>
      </c>
      <c r="J248" s="1222" t="s">
        <v>2325</v>
      </c>
      <c r="K248" s="1233" t="s">
        <v>111</v>
      </c>
      <c r="L248" s="1246" t="s">
        <v>3670</v>
      </c>
      <c r="M248" s="1168"/>
      <c r="N248" s="1149"/>
      <c r="O248" s="141" t="str">
        <f t="shared" si="3"/>
        <v xml:space="preserve">حرحيرة  محمد </v>
      </c>
      <c r="P248" s="141" t="s">
        <v>504</v>
      </c>
      <c r="Q248" s="141"/>
      <c r="R248" s="276"/>
      <c r="S248" s="989"/>
      <c r="T248" s="404"/>
      <c r="U248" s="28"/>
      <c r="V248"/>
      <c r="W248"/>
      <c r="X248"/>
      <c r="Y248"/>
    </row>
    <row r="249" spans="1:25" ht="16.5" customHeight="1">
      <c r="A249" s="140">
        <v>241</v>
      </c>
      <c r="B249" s="141"/>
      <c r="C249" s="1186" t="s">
        <v>968</v>
      </c>
      <c r="D249" s="1186" t="s">
        <v>2592</v>
      </c>
      <c r="E249" s="1187" t="s">
        <v>3076</v>
      </c>
      <c r="F249" s="1188" t="s">
        <v>3339</v>
      </c>
      <c r="G249" s="1202" t="s">
        <v>1171</v>
      </c>
      <c r="H249" s="1213" t="s">
        <v>96</v>
      </c>
      <c r="I249" s="144" t="s">
        <v>340</v>
      </c>
      <c r="J249" s="1221" t="s">
        <v>3406</v>
      </c>
      <c r="K249" s="1235" t="s">
        <v>128</v>
      </c>
      <c r="L249" s="1244" t="s">
        <v>494</v>
      </c>
      <c r="M249" s="1168"/>
      <c r="N249" s="1149"/>
      <c r="O249" s="141" t="str">
        <f t="shared" si="3"/>
        <v xml:space="preserve">حمام  زواوي </v>
      </c>
      <c r="P249" s="141" t="s">
        <v>503</v>
      </c>
      <c r="Q249" s="141" t="s">
        <v>1918</v>
      </c>
      <c r="R249" s="276"/>
      <c r="S249" s="989"/>
      <c r="T249" s="404"/>
      <c r="U249" s="28"/>
      <c r="V249"/>
      <c r="W249"/>
      <c r="X249"/>
      <c r="Y249"/>
    </row>
    <row r="250" spans="1:25" ht="16.5" customHeight="1">
      <c r="A250" s="140">
        <v>242</v>
      </c>
      <c r="B250" s="141"/>
      <c r="C250" s="1186" t="s">
        <v>2593</v>
      </c>
      <c r="D250" s="1186" t="s">
        <v>43</v>
      </c>
      <c r="E250" s="1187" t="s">
        <v>3085</v>
      </c>
      <c r="F250" s="1188" t="s">
        <v>90</v>
      </c>
      <c r="G250" s="1202" t="s">
        <v>1171</v>
      </c>
      <c r="H250" s="1213" t="s">
        <v>91</v>
      </c>
      <c r="I250" s="144" t="s">
        <v>340</v>
      </c>
      <c r="J250" s="1221" t="s">
        <v>2336</v>
      </c>
      <c r="K250" s="1235" t="s">
        <v>103</v>
      </c>
      <c r="L250" s="1244" t="s">
        <v>3671</v>
      </c>
      <c r="M250" s="1168"/>
      <c r="N250" s="1149"/>
      <c r="O250" s="141" t="str">
        <f t="shared" si="3"/>
        <v xml:space="preserve">خريس  عبد الله </v>
      </c>
      <c r="P250" s="141" t="s">
        <v>503</v>
      </c>
      <c r="Q250" s="141" t="s">
        <v>1919</v>
      </c>
      <c r="R250" s="276"/>
      <c r="S250" s="989"/>
      <c r="T250" s="404"/>
      <c r="U250" s="28"/>
      <c r="V250"/>
      <c r="W250"/>
      <c r="X250"/>
      <c r="Y250"/>
    </row>
    <row r="251" spans="1:25" ht="16.5" customHeight="1">
      <c r="A251" s="140">
        <v>243</v>
      </c>
      <c r="B251" s="141"/>
      <c r="C251" s="1186" t="s">
        <v>2593</v>
      </c>
      <c r="D251" s="1186" t="s">
        <v>2594</v>
      </c>
      <c r="E251" s="1187" t="s">
        <v>3086</v>
      </c>
      <c r="F251" s="1188" t="s">
        <v>90</v>
      </c>
      <c r="G251" s="1202" t="s">
        <v>1171</v>
      </c>
      <c r="H251" s="1215" t="s">
        <v>96</v>
      </c>
      <c r="I251" s="144" t="s">
        <v>340</v>
      </c>
      <c r="J251" s="1221" t="s">
        <v>3406</v>
      </c>
      <c r="K251" s="1235" t="s">
        <v>111</v>
      </c>
      <c r="L251" s="1244" t="s">
        <v>3671</v>
      </c>
      <c r="M251" s="1168"/>
      <c r="N251" s="1149"/>
      <c r="O251" s="141" t="str">
        <f t="shared" si="3"/>
        <v xml:space="preserve">خريس  زواوي </v>
      </c>
      <c r="P251" s="141" t="s">
        <v>503</v>
      </c>
      <c r="Q251" s="141" t="s">
        <v>1918</v>
      </c>
      <c r="R251" s="276"/>
      <c r="S251" s="989"/>
      <c r="T251" s="417"/>
      <c r="U251" s="28"/>
      <c r="V251"/>
      <c r="W251"/>
      <c r="X251"/>
      <c r="Y251"/>
    </row>
    <row r="252" spans="1:25" ht="16.5" customHeight="1">
      <c r="A252" s="140">
        <v>244</v>
      </c>
      <c r="B252" s="141"/>
      <c r="C252" s="1186" t="s">
        <v>2595</v>
      </c>
      <c r="D252" s="1186" t="s">
        <v>2596</v>
      </c>
      <c r="E252" s="1187" t="s">
        <v>3087</v>
      </c>
      <c r="F252" s="1188" t="s">
        <v>3339</v>
      </c>
      <c r="G252" s="1202" t="s">
        <v>1171</v>
      </c>
      <c r="H252" s="1215" t="s">
        <v>96</v>
      </c>
      <c r="I252" s="144" t="s">
        <v>340</v>
      </c>
      <c r="J252" s="1221" t="s">
        <v>2332</v>
      </c>
      <c r="K252" s="1235" t="s">
        <v>2241</v>
      </c>
      <c r="L252" s="1244" t="s">
        <v>3672</v>
      </c>
      <c r="M252" s="1168"/>
      <c r="N252" s="1149"/>
      <c r="O252" s="141" t="str">
        <f t="shared" si="3"/>
        <v xml:space="preserve">خليفة  عبد القادر </v>
      </c>
      <c r="P252" s="141" t="s">
        <v>503</v>
      </c>
      <c r="Q252" s="141" t="s">
        <v>1918</v>
      </c>
      <c r="R252" s="276"/>
      <c r="S252" s="989"/>
      <c r="T252" s="417"/>
      <c r="U252" s="28"/>
      <c r="V252"/>
      <c r="W252"/>
      <c r="X252"/>
      <c r="Y252"/>
    </row>
    <row r="253" spans="1:25" ht="16.5" customHeight="1">
      <c r="A253" s="140">
        <v>245</v>
      </c>
      <c r="B253" s="141"/>
      <c r="C253" s="1186" t="s">
        <v>2498</v>
      </c>
      <c r="D253" s="1186" t="s">
        <v>786</v>
      </c>
      <c r="E253" s="1187" t="s">
        <v>3088</v>
      </c>
      <c r="F253" s="1188" t="s">
        <v>3339</v>
      </c>
      <c r="G253" s="1202" t="s">
        <v>1171</v>
      </c>
      <c r="H253" s="1215" t="s">
        <v>91</v>
      </c>
      <c r="I253" s="144" t="s">
        <v>340</v>
      </c>
      <c r="J253" s="1221" t="s">
        <v>3441</v>
      </c>
      <c r="K253" s="1235" t="s">
        <v>805</v>
      </c>
      <c r="L253" s="1244" t="s">
        <v>3673</v>
      </c>
      <c r="M253" s="1168"/>
      <c r="N253" s="1149"/>
      <c r="O253" s="141" t="str">
        <f t="shared" si="3"/>
        <v xml:space="preserve">دريسي  عثمان </v>
      </c>
      <c r="P253" s="141" t="s">
        <v>503</v>
      </c>
      <c r="Q253" s="141" t="s">
        <v>1919</v>
      </c>
      <c r="R253" s="276"/>
      <c r="S253" s="989"/>
      <c r="T253" s="404"/>
      <c r="U253" s="28"/>
      <c r="V253"/>
      <c r="W253"/>
      <c r="X253"/>
      <c r="Y253"/>
    </row>
    <row r="254" spans="1:25" ht="16.5" customHeight="1">
      <c r="A254" s="140">
        <v>246</v>
      </c>
      <c r="B254" s="141"/>
      <c r="C254" s="1186" t="s">
        <v>2597</v>
      </c>
      <c r="D254" s="1186" t="s">
        <v>2315</v>
      </c>
      <c r="E254" s="1187" t="s">
        <v>3052</v>
      </c>
      <c r="F254" s="1188" t="s">
        <v>3339</v>
      </c>
      <c r="G254" s="1202" t="s">
        <v>1171</v>
      </c>
      <c r="H254" s="1213" t="s">
        <v>91</v>
      </c>
      <c r="I254" s="144" t="s">
        <v>340</v>
      </c>
      <c r="J254" s="1221" t="s">
        <v>3443</v>
      </c>
      <c r="K254" s="1235" t="s">
        <v>103</v>
      </c>
      <c r="L254" s="1244" t="s">
        <v>3674</v>
      </c>
      <c r="M254" s="1168"/>
      <c r="N254" s="1149"/>
      <c r="O254" s="141" t="str">
        <f t="shared" si="3"/>
        <v xml:space="preserve">زيادي  حاج </v>
      </c>
      <c r="P254" s="141" t="s">
        <v>506</v>
      </c>
      <c r="Q254" s="141" t="s">
        <v>648</v>
      </c>
      <c r="R254" s="276"/>
      <c r="S254" s="989"/>
      <c r="T254" s="404"/>
      <c r="U254" s="28"/>
      <c r="V254"/>
      <c r="W254"/>
      <c r="X254"/>
      <c r="Y254"/>
    </row>
    <row r="255" spans="1:25" ht="16.5" customHeight="1">
      <c r="A255" s="140">
        <v>247</v>
      </c>
      <c r="B255" s="141"/>
      <c r="C255" s="1186" t="s">
        <v>2597</v>
      </c>
      <c r="D255" s="1186" t="s">
        <v>690</v>
      </c>
      <c r="E255" s="1187" t="s">
        <v>3052</v>
      </c>
      <c r="F255" s="1188" t="s">
        <v>3339</v>
      </c>
      <c r="G255" s="1202" t="s">
        <v>1171</v>
      </c>
      <c r="H255" s="1215" t="s">
        <v>91</v>
      </c>
      <c r="I255" s="144" t="s">
        <v>340</v>
      </c>
      <c r="J255" s="1221" t="s">
        <v>3443</v>
      </c>
      <c r="K255" s="1235" t="s">
        <v>103</v>
      </c>
      <c r="L255" s="1244" t="s">
        <v>3675</v>
      </c>
      <c r="M255" s="1168"/>
      <c r="N255" s="1149"/>
      <c r="O255" s="141" t="str">
        <f t="shared" si="3"/>
        <v xml:space="preserve">زيادي  حاج </v>
      </c>
      <c r="P255" s="141" t="s">
        <v>632</v>
      </c>
      <c r="Q255" s="141" t="s">
        <v>649</v>
      </c>
      <c r="R255" s="239"/>
      <c r="S255" s="989"/>
      <c r="T255" s="404"/>
      <c r="U255" s="28"/>
      <c r="V255"/>
      <c r="W255"/>
      <c r="X255"/>
      <c r="Y255"/>
    </row>
    <row r="256" spans="1:25" ht="16.5" customHeight="1">
      <c r="A256" s="140">
        <v>248</v>
      </c>
      <c r="B256" s="141"/>
      <c r="C256" s="1186" t="s">
        <v>2444</v>
      </c>
      <c r="D256" s="1186" t="s">
        <v>2598</v>
      </c>
      <c r="E256" s="1187" t="s">
        <v>3089</v>
      </c>
      <c r="F256" s="1188" t="s">
        <v>90</v>
      </c>
      <c r="G256" s="1202" t="s">
        <v>1171</v>
      </c>
      <c r="H256" s="1215" t="s">
        <v>91</v>
      </c>
      <c r="I256" s="144" t="s">
        <v>340</v>
      </c>
      <c r="J256" s="1221" t="s">
        <v>2309</v>
      </c>
      <c r="K256" s="1235" t="s">
        <v>103</v>
      </c>
      <c r="L256" s="1244" t="s">
        <v>494</v>
      </c>
      <c r="M256" s="1168"/>
      <c r="N256" s="1149"/>
      <c r="O256" s="141" t="str">
        <f t="shared" si="3"/>
        <v xml:space="preserve">صديق  بخدة </v>
      </c>
      <c r="P256" s="141" t="s">
        <v>506</v>
      </c>
      <c r="Q256" s="141" t="s">
        <v>648</v>
      </c>
      <c r="R256" s="276"/>
      <c r="S256" s="989"/>
      <c r="T256" s="404"/>
      <c r="U256" s="28"/>
      <c r="V256"/>
      <c r="W256"/>
      <c r="X256"/>
      <c r="Y256"/>
    </row>
    <row r="257" spans="1:25" ht="16.5" customHeight="1">
      <c r="A257" s="140">
        <v>249</v>
      </c>
      <c r="B257" s="141"/>
      <c r="C257" s="1186" t="s">
        <v>2444</v>
      </c>
      <c r="D257" s="1186" t="s">
        <v>1132</v>
      </c>
      <c r="E257" s="1187" t="s">
        <v>3039</v>
      </c>
      <c r="F257" s="1188" t="s">
        <v>3338</v>
      </c>
      <c r="G257" s="1202" t="s">
        <v>1171</v>
      </c>
      <c r="H257" s="1213" t="s">
        <v>96</v>
      </c>
      <c r="I257" s="144" t="s">
        <v>340</v>
      </c>
      <c r="J257" s="1221" t="s">
        <v>2101</v>
      </c>
      <c r="K257" s="1235" t="s">
        <v>97</v>
      </c>
      <c r="L257" s="1244" t="s">
        <v>3676</v>
      </c>
      <c r="M257" s="1168"/>
      <c r="N257" s="1149"/>
      <c r="O257" s="141" t="str">
        <f t="shared" si="3"/>
        <v xml:space="preserve">صديق  أحمد </v>
      </c>
      <c r="P257" s="141" t="s">
        <v>632</v>
      </c>
      <c r="Q257" s="141" t="s">
        <v>648</v>
      </c>
      <c r="R257" s="239"/>
      <c r="S257" s="989"/>
      <c r="T257" s="404"/>
      <c r="U257" s="28"/>
      <c r="V257"/>
      <c r="W257"/>
      <c r="X257"/>
      <c r="Y257"/>
    </row>
    <row r="258" spans="1:25" ht="16.5" customHeight="1">
      <c r="A258" s="140">
        <v>250</v>
      </c>
      <c r="B258" s="141"/>
      <c r="C258" s="1186" t="s">
        <v>2554</v>
      </c>
      <c r="D258" s="1186" t="s">
        <v>2599</v>
      </c>
      <c r="E258" s="1187" t="s">
        <v>3072</v>
      </c>
      <c r="F258" s="1188" t="s">
        <v>3339</v>
      </c>
      <c r="G258" s="1202" t="s">
        <v>1171</v>
      </c>
      <c r="H258" s="1213" t="s">
        <v>91</v>
      </c>
      <c r="I258" s="144" t="s">
        <v>340</v>
      </c>
      <c r="J258" s="1221" t="s">
        <v>2332</v>
      </c>
      <c r="K258" s="1235" t="s">
        <v>805</v>
      </c>
      <c r="L258" s="1244" t="s">
        <v>494</v>
      </c>
      <c r="M258" s="1168"/>
      <c r="N258" s="1149"/>
      <c r="O258" s="141" t="str">
        <f t="shared" si="3"/>
        <v xml:space="preserve">ظريف  عبد القادر </v>
      </c>
      <c r="P258" s="141" t="s">
        <v>630</v>
      </c>
      <c r="Q258" s="141" t="s">
        <v>649</v>
      </c>
      <c r="R258" s="276"/>
      <c r="S258" s="989"/>
      <c r="T258" s="671"/>
      <c r="U258" s="28"/>
      <c r="V258"/>
      <c r="W258"/>
      <c r="X258"/>
      <c r="Y258"/>
    </row>
    <row r="259" spans="1:25" ht="16.5" customHeight="1">
      <c r="A259" s="140">
        <v>251</v>
      </c>
      <c r="B259" s="141"/>
      <c r="C259" s="1186" t="s">
        <v>192</v>
      </c>
      <c r="D259" s="1186" t="s">
        <v>2600</v>
      </c>
      <c r="E259" s="1187" t="s">
        <v>3090</v>
      </c>
      <c r="F259" s="1188" t="s">
        <v>3338</v>
      </c>
      <c r="G259" s="1202" t="s">
        <v>1171</v>
      </c>
      <c r="H259" s="1215" t="s">
        <v>96</v>
      </c>
      <c r="I259" s="144" t="s">
        <v>340</v>
      </c>
      <c r="J259" s="1221" t="s">
        <v>2325</v>
      </c>
      <c r="K259" s="1235" t="s">
        <v>2168</v>
      </c>
      <c r="L259" s="1244" t="s">
        <v>3677</v>
      </c>
      <c r="M259" s="1168"/>
      <c r="N259" s="1149"/>
      <c r="O259" s="141" t="str">
        <f t="shared" si="3"/>
        <v xml:space="preserve">عبوني  محمد </v>
      </c>
      <c r="P259" s="141" t="s">
        <v>507</v>
      </c>
      <c r="Q259" s="141" t="s">
        <v>649</v>
      </c>
      <c r="R259" s="276"/>
      <c r="S259" s="989"/>
      <c r="T259" s="671" t="s">
        <v>628</v>
      </c>
      <c r="U259" s="28"/>
      <c r="V259"/>
      <c r="W259"/>
      <c r="X259"/>
      <c r="Y259"/>
    </row>
    <row r="260" spans="1:25" ht="16.5" customHeight="1">
      <c r="A260" s="140">
        <v>252</v>
      </c>
      <c r="B260" s="141"/>
      <c r="C260" s="1186" t="s">
        <v>2601</v>
      </c>
      <c r="D260" s="1186" t="s">
        <v>2602</v>
      </c>
      <c r="E260" s="1187" t="s">
        <v>3091</v>
      </c>
      <c r="F260" s="1188" t="s">
        <v>3339</v>
      </c>
      <c r="G260" s="1202" t="s">
        <v>1171</v>
      </c>
      <c r="H260" s="1213" t="s">
        <v>96</v>
      </c>
      <c r="I260" s="144" t="s">
        <v>340</v>
      </c>
      <c r="J260" s="1221" t="s">
        <v>3444</v>
      </c>
      <c r="K260" s="1235" t="s">
        <v>111</v>
      </c>
      <c r="L260" s="1244" t="s">
        <v>494</v>
      </c>
      <c r="M260" s="1168"/>
      <c r="N260" s="1149"/>
      <c r="O260" s="141" t="str">
        <f t="shared" si="3"/>
        <v xml:space="preserve">فليح  بن قدور </v>
      </c>
      <c r="P260" s="141" t="s">
        <v>507</v>
      </c>
      <c r="Q260" s="141" t="s">
        <v>648</v>
      </c>
      <c r="R260" s="239"/>
      <c r="S260" s="989"/>
      <c r="T260" s="671"/>
      <c r="U260" s="28"/>
      <c r="V260"/>
      <c r="W260"/>
      <c r="X260"/>
      <c r="Y260"/>
    </row>
    <row r="261" spans="1:25" ht="16.5" customHeight="1">
      <c r="A261" s="140">
        <v>253</v>
      </c>
      <c r="B261" s="141"/>
      <c r="C261" s="1186" t="s">
        <v>2603</v>
      </c>
      <c r="D261" s="1186" t="s">
        <v>2604</v>
      </c>
      <c r="E261" s="1187" t="s">
        <v>3092</v>
      </c>
      <c r="F261" s="1188" t="s">
        <v>90</v>
      </c>
      <c r="G261" s="1202" t="s">
        <v>1171</v>
      </c>
      <c r="H261" s="1213" t="s">
        <v>91</v>
      </c>
      <c r="I261" s="144" t="s">
        <v>340</v>
      </c>
      <c r="J261" s="1221" t="s">
        <v>3411</v>
      </c>
      <c r="K261" s="1235" t="s">
        <v>128</v>
      </c>
      <c r="L261" s="1244" t="s">
        <v>3678</v>
      </c>
      <c r="M261" s="1168"/>
      <c r="N261" s="1149"/>
      <c r="O261" s="141" t="str">
        <f t="shared" si="3"/>
        <v xml:space="preserve">فناني  كمال </v>
      </c>
      <c r="P261" s="141" t="s">
        <v>507</v>
      </c>
      <c r="Q261" s="141" t="s">
        <v>648</v>
      </c>
      <c r="R261" s="239"/>
      <c r="S261" s="989"/>
      <c r="T261" s="671"/>
      <c r="U261" s="28"/>
      <c r="V261"/>
      <c r="W261"/>
      <c r="X261"/>
      <c r="Y261"/>
    </row>
    <row r="262" spans="1:25" ht="16.5" customHeight="1">
      <c r="A262" s="140">
        <v>254</v>
      </c>
      <c r="B262" s="141"/>
      <c r="C262" s="1186" t="s">
        <v>2406</v>
      </c>
      <c r="D262" s="1186" t="s">
        <v>98</v>
      </c>
      <c r="E262" s="1187" t="s">
        <v>3093</v>
      </c>
      <c r="F262" s="1188" t="s">
        <v>358</v>
      </c>
      <c r="G262" s="1202" t="s">
        <v>1171</v>
      </c>
      <c r="H262" s="1215" t="s">
        <v>96</v>
      </c>
      <c r="I262" s="144" t="s">
        <v>340</v>
      </c>
      <c r="J262" s="1221" t="s">
        <v>2101</v>
      </c>
      <c r="K262" s="1235" t="s">
        <v>102</v>
      </c>
      <c r="L262" s="1244" t="s">
        <v>3679</v>
      </c>
      <c r="M262" s="1168"/>
      <c r="N262" s="1149"/>
      <c r="O262" s="141" t="str">
        <f t="shared" si="3"/>
        <v xml:space="preserve">مرابط  أحمد </v>
      </c>
      <c r="P262" s="141" t="s">
        <v>507</v>
      </c>
      <c r="Q262" s="141" t="s">
        <v>648</v>
      </c>
      <c r="R262" s="276"/>
      <c r="S262" s="989"/>
      <c r="T262" s="404"/>
      <c r="U262" s="28"/>
      <c r="V262"/>
      <c r="W262"/>
      <c r="X262"/>
      <c r="Y262"/>
    </row>
    <row r="263" spans="1:25" ht="16.5" customHeight="1">
      <c r="A263" s="140">
        <v>255</v>
      </c>
      <c r="B263" s="141"/>
      <c r="C263" s="1183" t="s">
        <v>1157</v>
      </c>
      <c r="D263" s="1183" t="s">
        <v>2605</v>
      </c>
      <c r="E263" s="1184" t="s">
        <v>3094</v>
      </c>
      <c r="F263" s="1191" t="s">
        <v>90</v>
      </c>
      <c r="G263" s="1201" t="s">
        <v>1171</v>
      </c>
      <c r="H263" s="1210" t="s">
        <v>96</v>
      </c>
      <c r="I263" s="144" t="s">
        <v>340</v>
      </c>
      <c r="J263" s="1222" t="s">
        <v>2332</v>
      </c>
      <c r="K263" s="1233" t="s">
        <v>103</v>
      </c>
      <c r="L263" s="1246" t="s">
        <v>3680</v>
      </c>
      <c r="M263" s="1170"/>
      <c r="N263" s="1149"/>
      <c r="O263" s="141" t="str">
        <f t="shared" si="3"/>
        <v xml:space="preserve">مرين  عبد القادر </v>
      </c>
      <c r="P263" s="141" t="s">
        <v>507</v>
      </c>
      <c r="Q263" s="141" t="s">
        <v>648</v>
      </c>
      <c r="R263" s="276"/>
      <c r="S263" s="989"/>
      <c r="T263" s="404"/>
      <c r="U263" s="28"/>
      <c r="V263"/>
      <c r="W263"/>
      <c r="X263"/>
      <c r="Y263"/>
    </row>
    <row r="264" spans="1:25" s="845" customFormat="1" ht="16.5" customHeight="1">
      <c r="A264" s="140">
        <v>256</v>
      </c>
      <c r="B264" s="141"/>
      <c r="C264" s="1186" t="s">
        <v>2606</v>
      </c>
      <c r="D264" s="1186" t="s">
        <v>2607</v>
      </c>
      <c r="E264" s="1187" t="s">
        <v>2918</v>
      </c>
      <c r="F264" s="1188" t="s">
        <v>3339</v>
      </c>
      <c r="G264" s="1202" t="s">
        <v>1171</v>
      </c>
      <c r="H264" s="1215" t="s">
        <v>91</v>
      </c>
      <c r="I264" s="144" t="s">
        <v>340</v>
      </c>
      <c r="J264" s="1221" t="s">
        <v>2332</v>
      </c>
      <c r="K264" s="1235" t="s">
        <v>103</v>
      </c>
      <c r="L264" s="1244" t="s">
        <v>3681</v>
      </c>
      <c r="M264" s="1168"/>
      <c r="N264" s="1149"/>
      <c r="O264" s="141" t="str">
        <f t="shared" si="3"/>
        <v xml:space="preserve">مصري  عبد القادر </v>
      </c>
      <c r="P264" s="141" t="s">
        <v>507</v>
      </c>
      <c r="Q264" s="141"/>
      <c r="R264" s="276"/>
      <c r="S264" s="989"/>
      <c r="T264" s="404"/>
      <c r="U264" s="28"/>
    </row>
    <row r="265" spans="1:25" ht="16.5" customHeight="1">
      <c r="A265" s="140">
        <v>257</v>
      </c>
      <c r="B265" s="141"/>
      <c r="C265" s="1183" t="s">
        <v>2420</v>
      </c>
      <c r="D265" s="1183" t="s">
        <v>2610</v>
      </c>
      <c r="E265" s="1184" t="s">
        <v>3095</v>
      </c>
      <c r="F265" s="1185" t="s">
        <v>90</v>
      </c>
      <c r="G265" s="1201" t="s">
        <v>1171</v>
      </c>
      <c r="H265" s="1209" t="s">
        <v>96</v>
      </c>
      <c r="I265" s="144" t="s">
        <v>340</v>
      </c>
      <c r="J265" s="1220" t="s">
        <v>3371</v>
      </c>
      <c r="K265" s="1233" t="s">
        <v>111</v>
      </c>
      <c r="L265" s="1245" t="s">
        <v>3682</v>
      </c>
      <c r="M265" s="1169"/>
      <c r="N265" s="1149"/>
      <c r="O265" s="141" t="str">
        <f t="shared" si="3"/>
        <v xml:space="preserve">مقدم  علي </v>
      </c>
      <c r="P265" s="141" t="s">
        <v>630</v>
      </c>
      <c r="Q265" s="141" t="s">
        <v>649</v>
      </c>
      <c r="R265" s="276"/>
      <c r="S265" s="989"/>
      <c r="T265" s="404"/>
      <c r="U265" s="28"/>
      <c r="V265"/>
      <c r="W265"/>
      <c r="X265"/>
      <c r="Y265"/>
    </row>
    <row r="266" spans="1:25" ht="16.5" customHeight="1">
      <c r="A266" s="140">
        <v>258</v>
      </c>
      <c r="B266" s="141"/>
      <c r="C266" s="1186" t="s">
        <v>75</v>
      </c>
      <c r="D266" s="1186" t="s">
        <v>2611</v>
      </c>
      <c r="E266" s="1187" t="s">
        <v>3096</v>
      </c>
      <c r="F266" s="1188" t="s">
        <v>3339</v>
      </c>
      <c r="G266" s="1202" t="s">
        <v>1171</v>
      </c>
      <c r="H266" s="1213" t="s">
        <v>96</v>
      </c>
      <c r="I266" s="144" t="s">
        <v>340</v>
      </c>
      <c r="J266" s="1221" t="s">
        <v>3445</v>
      </c>
      <c r="K266" s="1235" t="s">
        <v>111</v>
      </c>
      <c r="L266" s="1244" t="s">
        <v>3683</v>
      </c>
      <c r="M266" s="1168"/>
      <c r="N266" s="1149"/>
      <c r="O266" s="141" t="str">
        <f t="shared" ref="O266:O329" si="4">(C266&amp;"  "&amp;J266)</f>
        <v xml:space="preserve">مناد  عتو </v>
      </c>
      <c r="P266" s="141" t="s">
        <v>507</v>
      </c>
      <c r="Q266" s="141" t="s">
        <v>648</v>
      </c>
      <c r="R266" s="276"/>
      <c r="S266" s="989"/>
      <c r="T266" s="404"/>
      <c r="U266" s="28"/>
      <c r="V266"/>
      <c r="W266"/>
      <c r="X266"/>
      <c r="Y266"/>
    </row>
    <row r="267" spans="1:25" ht="16.5" customHeight="1">
      <c r="A267" s="140">
        <v>259</v>
      </c>
      <c r="B267" s="141"/>
      <c r="C267" s="1183" t="s">
        <v>2414</v>
      </c>
      <c r="D267" s="1183" t="s">
        <v>2612</v>
      </c>
      <c r="E267" s="1190" t="s">
        <v>3097</v>
      </c>
      <c r="F267" s="1191" t="s">
        <v>90</v>
      </c>
      <c r="G267" s="1201" t="s">
        <v>1171</v>
      </c>
      <c r="H267" s="1214" t="s">
        <v>96</v>
      </c>
      <c r="I267" s="144" t="s">
        <v>340</v>
      </c>
      <c r="J267" s="1222" t="s">
        <v>3446</v>
      </c>
      <c r="K267" s="1233" t="s">
        <v>103</v>
      </c>
      <c r="L267" s="1246" t="s">
        <v>3684</v>
      </c>
      <c r="M267" s="1170"/>
      <c r="N267" s="1149"/>
      <c r="O267" s="141" t="str">
        <f t="shared" si="4"/>
        <v xml:space="preserve">منقور  نوري </v>
      </c>
      <c r="P267" s="141" t="s">
        <v>630</v>
      </c>
      <c r="Q267" s="141" t="s">
        <v>1920</v>
      </c>
      <c r="R267" s="276"/>
      <c r="S267" s="989"/>
      <c r="T267" s="404"/>
      <c r="U267" s="28"/>
      <c r="V267"/>
      <c r="W267"/>
      <c r="X267"/>
      <c r="Y267"/>
    </row>
    <row r="268" spans="1:25" ht="16.5" customHeight="1">
      <c r="A268" s="140">
        <v>260</v>
      </c>
      <c r="B268" s="141"/>
      <c r="C268" s="1186" t="s">
        <v>2613</v>
      </c>
      <c r="D268" s="1186" t="s">
        <v>53</v>
      </c>
      <c r="E268" s="1187" t="s">
        <v>3062</v>
      </c>
      <c r="F268" s="1188" t="s">
        <v>90</v>
      </c>
      <c r="G268" s="1202" t="s">
        <v>1171</v>
      </c>
      <c r="H268" s="1215" t="s">
        <v>91</v>
      </c>
      <c r="I268" s="144" t="s">
        <v>340</v>
      </c>
      <c r="J268" s="1221" t="s">
        <v>2333</v>
      </c>
      <c r="K268" s="1235" t="s">
        <v>111</v>
      </c>
      <c r="L268" s="1244" t="s">
        <v>3685</v>
      </c>
      <c r="M268" s="1168"/>
      <c r="N268" s="1149"/>
      <c r="O268" s="141" t="str">
        <f t="shared" si="4"/>
        <v xml:space="preserve">مير  عباس </v>
      </c>
      <c r="P268" s="141" t="s">
        <v>507</v>
      </c>
      <c r="Q268" s="141" t="s">
        <v>1920</v>
      </c>
      <c r="R268" s="276"/>
      <c r="S268" s="989"/>
      <c r="T268" s="404"/>
      <c r="U268" s="28"/>
      <c r="V268"/>
      <c r="W268"/>
      <c r="X268"/>
      <c r="Y268"/>
    </row>
    <row r="269" spans="1:25" ht="16.5" customHeight="1">
      <c r="A269" s="140">
        <v>261</v>
      </c>
      <c r="B269" s="141"/>
      <c r="C269" s="1186" t="s">
        <v>2614</v>
      </c>
      <c r="D269" s="1186" t="s">
        <v>1080</v>
      </c>
      <c r="E269" s="1187" t="s">
        <v>3098</v>
      </c>
      <c r="F269" s="1188" t="s">
        <v>109</v>
      </c>
      <c r="G269" s="1202" t="s">
        <v>1171</v>
      </c>
      <c r="H269" s="1213" t="s">
        <v>96</v>
      </c>
      <c r="I269" s="144" t="s">
        <v>340</v>
      </c>
      <c r="J269" s="1221" t="s">
        <v>3392</v>
      </c>
      <c r="K269" s="1235" t="s">
        <v>97</v>
      </c>
      <c r="L269" s="1244" t="s">
        <v>3686</v>
      </c>
      <c r="M269" s="1168"/>
      <c r="N269" s="1149"/>
      <c r="O269" s="141" t="str">
        <f t="shared" si="4"/>
        <v xml:space="preserve">نحال  يحيى </v>
      </c>
      <c r="P269" s="141" t="s">
        <v>630</v>
      </c>
      <c r="Q269" s="141" t="s">
        <v>1921</v>
      </c>
      <c r="R269" s="276"/>
      <c r="S269" s="989"/>
      <c r="T269" s="404"/>
      <c r="U269" s="28"/>
      <c r="V269"/>
      <c r="W269"/>
      <c r="X269"/>
      <c r="Y269"/>
    </row>
    <row r="270" spans="1:25" ht="16.5" customHeight="1">
      <c r="A270" s="140">
        <v>262</v>
      </c>
      <c r="B270" s="141"/>
      <c r="C270" s="1186" t="s">
        <v>185</v>
      </c>
      <c r="D270" s="1186" t="s">
        <v>2615</v>
      </c>
      <c r="E270" s="1187" t="s">
        <v>3099</v>
      </c>
      <c r="F270" s="1188" t="s">
        <v>3338</v>
      </c>
      <c r="G270" s="1202" t="s">
        <v>1171</v>
      </c>
      <c r="H270" s="1215" t="s">
        <v>91</v>
      </c>
      <c r="I270" s="144" t="s">
        <v>340</v>
      </c>
      <c r="J270" s="1221" t="s">
        <v>3374</v>
      </c>
      <c r="K270" s="1235" t="s">
        <v>103</v>
      </c>
      <c r="L270" s="1244" t="s">
        <v>494</v>
      </c>
      <c r="M270" s="1168"/>
      <c r="N270" s="1149"/>
      <c r="O270" s="141" t="str">
        <f t="shared" si="4"/>
        <v xml:space="preserve">نوالة  مختار </v>
      </c>
      <c r="P270" s="141" t="s">
        <v>507</v>
      </c>
      <c r="Q270" s="141" t="s">
        <v>1921</v>
      </c>
      <c r="R270" s="276"/>
      <c r="S270" s="989"/>
      <c r="T270" s="404"/>
      <c r="U270" s="28"/>
      <c r="V270"/>
      <c r="W270"/>
      <c r="X270"/>
      <c r="Y270"/>
    </row>
    <row r="271" spans="1:25" s="845" customFormat="1" ht="16.5" customHeight="1">
      <c r="A271" s="140">
        <v>263</v>
      </c>
      <c r="B271" s="141"/>
      <c r="C271" s="1186" t="s">
        <v>514</v>
      </c>
      <c r="D271" s="1186" t="s">
        <v>2620</v>
      </c>
      <c r="E271" s="1187" t="s">
        <v>3101</v>
      </c>
      <c r="F271" s="1188" t="s">
        <v>3339</v>
      </c>
      <c r="G271" s="1202" t="s">
        <v>2</v>
      </c>
      <c r="H271" s="1215" t="s">
        <v>91</v>
      </c>
      <c r="I271" s="144" t="s">
        <v>341</v>
      </c>
      <c r="J271" s="1221" t="s">
        <v>2325</v>
      </c>
      <c r="K271" s="1235" t="s">
        <v>128</v>
      </c>
      <c r="L271" s="1244" t="s">
        <v>3689</v>
      </c>
      <c r="M271" s="1168"/>
      <c r="N271" s="1149"/>
      <c r="O271" s="141" t="str">
        <f t="shared" si="4"/>
        <v xml:space="preserve">براهمي  محمد </v>
      </c>
      <c r="P271" s="141" t="s">
        <v>630</v>
      </c>
      <c r="Q271" s="141"/>
      <c r="R271" s="276"/>
      <c r="S271" s="989"/>
      <c r="T271" s="404"/>
      <c r="U271" s="28"/>
    </row>
    <row r="272" spans="1:25" ht="16.5" customHeight="1">
      <c r="A272" s="140">
        <v>264</v>
      </c>
      <c r="B272" s="141"/>
      <c r="C272" s="1186" t="s">
        <v>2616</v>
      </c>
      <c r="D272" s="1186" t="s">
        <v>174</v>
      </c>
      <c r="E272" s="1187" t="s">
        <v>3100</v>
      </c>
      <c r="F272" s="1188" t="s">
        <v>3338</v>
      </c>
      <c r="G272" s="1202" t="s">
        <v>2</v>
      </c>
      <c r="H272" s="1215" t="s">
        <v>91</v>
      </c>
      <c r="I272" s="144" t="s">
        <v>341</v>
      </c>
      <c r="J272" s="1221" t="s">
        <v>3407</v>
      </c>
      <c r="K272" s="1234" t="s">
        <v>111</v>
      </c>
      <c r="L272" s="1244" t="s">
        <v>3687</v>
      </c>
      <c r="M272" s="1168"/>
      <c r="N272" s="1149"/>
      <c r="O272" s="141" t="str">
        <f t="shared" si="4"/>
        <v xml:space="preserve">بلجريوات  يوب </v>
      </c>
      <c r="P272" s="141" t="s">
        <v>507</v>
      </c>
      <c r="Q272" s="141"/>
      <c r="R272" s="276"/>
      <c r="S272" s="989"/>
      <c r="T272" s="671"/>
      <c r="U272" s="28"/>
      <c r="V272"/>
      <c r="W272"/>
      <c r="X272"/>
      <c r="Y272"/>
    </row>
    <row r="273" spans="1:25" s="845" customFormat="1" ht="16.5" customHeight="1">
      <c r="A273" s="140">
        <v>265</v>
      </c>
      <c r="B273" s="141"/>
      <c r="C273" s="1186" t="s">
        <v>16</v>
      </c>
      <c r="D273" s="1186" t="s">
        <v>2032</v>
      </c>
      <c r="E273" s="1187" t="s">
        <v>3102</v>
      </c>
      <c r="F273" s="1188" t="s">
        <v>90</v>
      </c>
      <c r="G273" s="1202" t="s">
        <v>2</v>
      </c>
      <c r="H273" s="1215" t="s">
        <v>91</v>
      </c>
      <c r="I273" s="144" t="s">
        <v>341</v>
      </c>
      <c r="J273" s="1221" t="s">
        <v>3447</v>
      </c>
      <c r="K273" s="1235" t="s">
        <v>2162</v>
      </c>
      <c r="L273" s="1244" t="s">
        <v>3513</v>
      </c>
      <c r="M273" s="1168"/>
      <c r="N273" s="1149"/>
      <c r="O273" s="141" t="str">
        <f t="shared" si="4"/>
        <v xml:space="preserve">بلفكرون  بلاحة </v>
      </c>
      <c r="P273" s="141" t="s">
        <v>630</v>
      </c>
      <c r="Q273" s="141"/>
      <c r="R273" s="276"/>
      <c r="S273" s="989"/>
      <c r="T273" s="671"/>
      <c r="U273" s="28"/>
    </row>
    <row r="274" spans="1:25" ht="16.5" customHeight="1">
      <c r="A274" s="140">
        <v>266</v>
      </c>
      <c r="B274" s="141"/>
      <c r="C274" s="1186" t="s">
        <v>2088</v>
      </c>
      <c r="D274" s="1186" t="s">
        <v>1080</v>
      </c>
      <c r="E274" s="1187" t="s">
        <v>3103</v>
      </c>
      <c r="F274" s="1188" t="s">
        <v>3347</v>
      </c>
      <c r="G274" s="1202" t="s">
        <v>2</v>
      </c>
      <c r="H274" s="1215" t="s">
        <v>96</v>
      </c>
      <c r="I274" s="144" t="s">
        <v>340</v>
      </c>
      <c r="J274" s="1221" t="s">
        <v>2184</v>
      </c>
      <c r="K274" s="1235" t="s">
        <v>1893</v>
      </c>
      <c r="L274" s="1244" t="s">
        <v>3690</v>
      </c>
      <c r="M274" s="1168"/>
      <c r="N274" s="1149"/>
      <c r="O274" s="141" t="str">
        <f t="shared" si="4"/>
        <v xml:space="preserve">بن سجاد  مهاجي </v>
      </c>
      <c r="P274" s="141" t="s">
        <v>507</v>
      </c>
      <c r="Q274" s="141" t="s">
        <v>1922</v>
      </c>
      <c r="R274" s="276"/>
      <c r="S274" s="989"/>
      <c r="T274" s="671"/>
      <c r="U274" s="28"/>
      <c r="V274"/>
      <c r="W274"/>
      <c r="X274"/>
      <c r="Y274"/>
    </row>
    <row r="275" spans="1:25" s="959" customFormat="1" ht="16.5" customHeight="1">
      <c r="A275" s="140">
        <v>267</v>
      </c>
      <c r="B275" s="141"/>
      <c r="C275" s="1186" t="s">
        <v>2621</v>
      </c>
      <c r="D275" s="1186" t="s">
        <v>2622</v>
      </c>
      <c r="E275" s="1187" t="s">
        <v>3104</v>
      </c>
      <c r="F275" s="1188" t="s">
        <v>3355</v>
      </c>
      <c r="G275" s="1202" t="s">
        <v>2</v>
      </c>
      <c r="H275" s="1215" t="s">
        <v>91</v>
      </c>
      <c r="I275" s="144" t="s">
        <v>340</v>
      </c>
      <c r="J275" s="1221" t="s">
        <v>3416</v>
      </c>
      <c r="K275" s="1235" t="s">
        <v>113</v>
      </c>
      <c r="L275" s="1244" t="s">
        <v>3691</v>
      </c>
      <c r="M275" s="1168"/>
      <c r="N275" s="1149"/>
      <c r="O275" s="141" t="str">
        <f t="shared" si="4"/>
        <v xml:space="preserve">بوزوينة  امين </v>
      </c>
      <c r="P275" s="141" t="s">
        <v>506</v>
      </c>
      <c r="Q275" s="141" t="s">
        <v>1923</v>
      </c>
      <c r="R275" s="276"/>
      <c r="S275" s="989"/>
      <c r="T275" s="671"/>
      <c r="U275" s="28"/>
    </row>
    <row r="276" spans="1:25" ht="16.5" customHeight="1">
      <c r="A276" s="140">
        <v>268</v>
      </c>
      <c r="B276" s="141"/>
      <c r="C276" s="1186" t="s">
        <v>2617</v>
      </c>
      <c r="D276" s="1186" t="s">
        <v>2618</v>
      </c>
      <c r="E276" s="1187" t="s">
        <v>3057</v>
      </c>
      <c r="F276" s="1188" t="s">
        <v>90</v>
      </c>
      <c r="G276" s="1202" t="s">
        <v>2</v>
      </c>
      <c r="H276" s="1213" t="s">
        <v>91</v>
      </c>
      <c r="I276" s="144" t="s">
        <v>340</v>
      </c>
      <c r="J276" s="1221" t="s">
        <v>2330</v>
      </c>
      <c r="K276" s="1235" t="s">
        <v>111</v>
      </c>
      <c r="L276" s="1244" t="s">
        <v>3513</v>
      </c>
      <c r="M276" s="1168"/>
      <c r="N276" s="1149"/>
      <c r="O276" s="141" t="str">
        <f t="shared" si="4"/>
        <v xml:space="preserve">بوشنتوف  يحي </v>
      </c>
      <c r="P276" s="141" t="s">
        <v>506</v>
      </c>
      <c r="Q276" s="141" t="s">
        <v>1922</v>
      </c>
      <c r="R276" s="276"/>
      <c r="S276" s="989"/>
      <c r="T276" s="671"/>
      <c r="U276" s="28"/>
      <c r="V276"/>
      <c r="W276"/>
      <c r="X276"/>
      <c r="Y276"/>
    </row>
    <row r="277" spans="1:25" ht="16.5" customHeight="1">
      <c r="A277" s="140">
        <v>269</v>
      </c>
      <c r="B277" s="141"/>
      <c r="C277" s="1186" t="s">
        <v>2426</v>
      </c>
      <c r="D277" s="1186" t="s">
        <v>36</v>
      </c>
      <c r="E277" s="1187" t="s">
        <v>3105</v>
      </c>
      <c r="F277" s="1188" t="s">
        <v>3338</v>
      </c>
      <c r="G277" s="1202" t="s">
        <v>2</v>
      </c>
      <c r="H277" s="1215" t="s">
        <v>91</v>
      </c>
      <c r="I277" s="144" t="s">
        <v>340</v>
      </c>
      <c r="J277" s="1221" t="s">
        <v>2173</v>
      </c>
      <c r="K277" s="1235" t="s">
        <v>102</v>
      </c>
      <c r="L277" s="1244" t="s">
        <v>3538</v>
      </c>
      <c r="M277" s="1168"/>
      <c r="N277" s="1149"/>
      <c r="O277" s="141" t="str">
        <f t="shared" si="4"/>
        <v xml:space="preserve">بوقناية  قادة </v>
      </c>
      <c r="P277" s="141" t="s">
        <v>506</v>
      </c>
      <c r="Q277" s="141" t="s">
        <v>1921</v>
      </c>
      <c r="R277" s="276"/>
      <c r="S277" s="989"/>
      <c r="T277" s="671"/>
      <c r="U277" s="28"/>
      <c r="V277"/>
      <c r="W277"/>
      <c r="X277"/>
      <c r="Y277"/>
    </row>
    <row r="278" spans="1:25" s="845" customFormat="1" ht="16.5" customHeight="1">
      <c r="A278" s="140">
        <v>270</v>
      </c>
      <c r="B278" s="141"/>
      <c r="C278" s="1186" t="s">
        <v>2623</v>
      </c>
      <c r="D278" s="1186" t="s">
        <v>77</v>
      </c>
      <c r="E278" s="1187" t="s">
        <v>3106</v>
      </c>
      <c r="F278" s="1188" t="s">
        <v>852</v>
      </c>
      <c r="G278" s="1202" t="s">
        <v>2</v>
      </c>
      <c r="H278" s="1215" t="s">
        <v>96</v>
      </c>
      <c r="I278" s="144" t="s">
        <v>340</v>
      </c>
      <c r="J278" s="1221"/>
      <c r="K278" s="1235" t="s">
        <v>111</v>
      </c>
      <c r="L278" s="1244"/>
      <c r="M278" s="1168"/>
      <c r="N278" s="1149"/>
      <c r="O278" s="141" t="str">
        <f t="shared" si="4"/>
        <v xml:space="preserve">حمياني  </v>
      </c>
      <c r="P278" s="141" t="s">
        <v>632</v>
      </c>
      <c r="Q278" s="141"/>
      <c r="R278" s="276"/>
      <c r="S278" s="989"/>
      <c r="T278" s="671"/>
      <c r="U278" s="28"/>
    </row>
    <row r="279" spans="1:25" ht="16.5" customHeight="1">
      <c r="A279" s="140">
        <v>271</v>
      </c>
      <c r="B279" s="141"/>
      <c r="C279" s="1186" t="s">
        <v>2498</v>
      </c>
      <c r="D279" s="1186" t="s">
        <v>2619</v>
      </c>
      <c r="E279" s="1187" t="s">
        <v>3062</v>
      </c>
      <c r="F279" s="1188" t="s">
        <v>670</v>
      </c>
      <c r="G279" s="1202" t="s">
        <v>2</v>
      </c>
      <c r="H279" s="1213" t="s">
        <v>91</v>
      </c>
      <c r="I279" s="144" t="s">
        <v>340</v>
      </c>
      <c r="J279" s="1221" t="s">
        <v>3371</v>
      </c>
      <c r="K279" s="1235" t="s">
        <v>97</v>
      </c>
      <c r="L279" s="1244" t="s">
        <v>3688</v>
      </c>
      <c r="M279" s="1168"/>
      <c r="N279" s="1149"/>
      <c r="O279" s="141" t="str">
        <f t="shared" si="4"/>
        <v xml:space="preserve">دريسي  علي </v>
      </c>
      <c r="P279" s="141" t="s">
        <v>506</v>
      </c>
      <c r="Q279" s="141" t="s">
        <v>1921</v>
      </c>
      <c r="R279" s="276"/>
      <c r="S279" s="989"/>
      <c r="T279" s="671"/>
      <c r="U279" s="28"/>
      <c r="V279"/>
      <c r="W279"/>
      <c r="X279"/>
      <c r="Y279"/>
    </row>
    <row r="280" spans="1:25" ht="16.5" customHeight="1">
      <c r="A280" s="140">
        <v>272</v>
      </c>
      <c r="B280" s="141"/>
      <c r="C280" s="1186" t="s">
        <v>2624</v>
      </c>
      <c r="D280" s="1186" t="s">
        <v>174</v>
      </c>
      <c r="E280" s="1187" t="s">
        <v>3107</v>
      </c>
      <c r="F280" s="1188" t="s">
        <v>90</v>
      </c>
      <c r="G280" s="1202" t="s">
        <v>2</v>
      </c>
      <c r="H280" s="1215" t="s">
        <v>91</v>
      </c>
      <c r="I280" s="144" t="s">
        <v>340</v>
      </c>
      <c r="J280" s="1221" t="s">
        <v>3448</v>
      </c>
      <c r="K280" s="1234" t="s">
        <v>111</v>
      </c>
      <c r="L280" s="1244" t="s">
        <v>3692</v>
      </c>
      <c r="M280" s="1168"/>
      <c r="N280" s="1149"/>
      <c r="O280" s="141" t="str">
        <f t="shared" si="4"/>
        <v xml:space="preserve">سسان  بوطالب </v>
      </c>
      <c r="P280" s="141" t="s">
        <v>630</v>
      </c>
      <c r="Q280" s="141" t="s">
        <v>1921</v>
      </c>
      <c r="R280" s="276"/>
      <c r="S280" s="989"/>
      <c r="T280" s="404"/>
      <c r="U280" s="28"/>
      <c r="V280"/>
      <c r="W280"/>
      <c r="X280"/>
      <c r="Y280"/>
    </row>
    <row r="281" spans="1:25" ht="16.5" customHeight="1">
      <c r="A281" s="140">
        <v>273</v>
      </c>
      <c r="B281" s="141"/>
      <c r="C281" s="1186" t="s">
        <v>2369</v>
      </c>
      <c r="D281" s="1186" t="s">
        <v>76</v>
      </c>
      <c r="E281" s="1187" t="s">
        <v>3108</v>
      </c>
      <c r="F281" s="1188" t="s">
        <v>3338</v>
      </c>
      <c r="G281" s="1202" t="s">
        <v>2</v>
      </c>
      <c r="H281" s="1215" t="s">
        <v>91</v>
      </c>
      <c r="I281" s="144" t="s">
        <v>340</v>
      </c>
      <c r="J281" s="1221" t="s">
        <v>3372</v>
      </c>
      <c r="K281" s="1235" t="s">
        <v>805</v>
      </c>
      <c r="L281" s="1244" t="s">
        <v>494</v>
      </c>
      <c r="M281" s="1168"/>
      <c r="N281" s="1149"/>
      <c r="O281" s="141" t="str">
        <f t="shared" si="4"/>
        <v xml:space="preserve">مراجي  لخضر </v>
      </c>
      <c r="P281" s="141" t="s">
        <v>507</v>
      </c>
      <c r="Q281" s="141" t="s">
        <v>1922</v>
      </c>
      <c r="R281" s="276"/>
      <c r="S281" s="989"/>
      <c r="T281" s="671"/>
      <c r="U281" s="28"/>
      <c r="V281"/>
      <c r="W281"/>
      <c r="X281"/>
      <c r="Y281"/>
    </row>
    <row r="282" spans="1:25" ht="16.5" customHeight="1">
      <c r="A282" s="140">
        <v>274</v>
      </c>
      <c r="B282" s="141"/>
      <c r="C282" s="1186" t="s">
        <v>1013</v>
      </c>
      <c r="D282" s="1186" t="s">
        <v>2625</v>
      </c>
      <c r="E282" s="1187" t="s">
        <v>3109</v>
      </c>
      <c r="F282" s="1188" t="s">
        <v>3339</v>
      </c>
      <c r="G282" s="1202" t="s">
        <v>2</v>
      </c>
      <c r="H282" s="1215" t="s">
        <v>91</v>
      </c>
      <c r="I282" s="144" t="s">
        <v>340</v>
      </c>
      <c r="J282" s="1221" t="s">
        <v>2325</v>
      </c>
      <c r="K282" s="1235" t="s">
        <v>103</v>
      </c>
      <c r="L282" s="1244" t="s">
        <v>3693</v>
      </c>
      <c r="M282" s="1168"/>
      <c r="N282" s="1149"/>
      <c r="O282" s="141" t="str">
        <f t="shared" si="4"/>
        <v xml:space="preserve">معطى الله  محمد </v>
      </c>
      <c r="P282" s="141" t="s">
        <v>630</v>
      </c>
      <c r="Q282" s="141" t="s">
        <v>1922</v>
      </c>
      <c r="R282" s="276"/>
      <c r="S282" s="989"/>
      <c r="T282" s="671" t="s">
        <v>628</v>
      </c>
      <c r="U282" s="28"/>
      <c r="V282"/>
      <c r="W282"/>
      <c r="X282"/>
      <c r="Y282"/>
    </row>
    <row r="283" spans="1:25" s="968" customFormat="1" ht="16.5" customHeight="1">
      <c r="A283" s="140">
        <v>275</v>
      </c>
      <c r="B283" s="141"/>
      <c r="C283" s="1186" t="s">
        <v>75</v>
      </c>
      <c r="D283" s="1186" t="s">
        <v>991</v>
      </c>
      <c r="E283" s="1187" t="s">
        <v>3110</v>
      </c>
      <c r="F283" s="1188" t="s">
        <v>90</v>
      </c>
      <c r="G283" s="1202" t="s">
        <v>2</v>
      </c>
      <c r="H283" s="1213" t="s">
        <v>96</v>
      </c>
      <c r="I283" s="144" t="s">
        <v>340</v>
      </c>
      <c r="J283" s="1221" t="s">
        <v>3391</v>
      </c>
      <c r="K283" s="1235" t="s">
        <v>1192</v>
      </c>
      <c r="L283" s="1244" t="s">
        <v>3585</v>
      </c>
      <c r="M283" s="1168"/>
      <c r="N283" s="1149"/>
      <c r="O283" s="141" t="str">
        <f t="shared" si="4"/>
        <v xml:space="preserve">مناد  طيب </v>
      </c>
      <c r="P283" s="141" t="s">
        <v>630</v>
      </c>
      <c r="Q283" s="141" t="s">
        <v>1927</v>
      </c>
      <c r="R283" s="276"/>
      <c r="S283" s="989"/>
      <c r="T283" s="671"/>
      <c r="U283" s="28"/>
    </row>
    <row r="284" spans="1:25" ht="16.5" customHeight="1">
      <c r="A284" s="140">
        <v>276</v>
      </c>
      <c r="B284" s="141"/>
      <c r="C284" s="1186" t="s">
        <v>147</v>
      </c>
      <c r="D284" s="1186" t="s">
        <v>2626</v>
      </c>
      <c r="E284" s="1187" t="s">
        <v>3111</v>
      </c>
      <c r="F284" s="1188" t="s">
        <v>90</v>
      </c>
      <c r="G284" s="1202" t="s">
        <v>2</v>
      </c>
      <c r="H284" s="1213" t="s">
        <v>96</v>
      </c>
      <c r="I284" s="144" t="s">
        <v>340</v>
      </c>
      <c r="J284" s="1221" t="s">
        <v>3374</v>
      </c>
      <c r="K284" s="1235" t="s">
        <v>102</v>
      </c>
      <c r="L284" s="1244" t="s">
        <v>494</v>
      </c>
      <c r="M284" s="1168"/>
      <c r="N284" s="1149"/>
      <c r="O284" s="141" t="str">
        <f t="shared" si="4"/>
        <v xml:space="preserve">منصور  مختار </v>
      </c>
      <c r="P284" s="141" t="s">
        <v>630</v>
      </c>
      <c r="Q284" s="141" t="s">
        <v>1921</v>
      </c>
      <c r="R284" s="276"/>
      <c r="S284" s="989"/>
      <c r="T284" s="671" t="s">
        <v>628</v>
      </c>
      <c r="U284" s="28"/>
      <c r="V284"/>
      <c r="W284"/>
      <c r="X284"/>
      <c r="Y284"/>
    </row>
    <row r="285" spans="1:25" ht="16.5" customHeight="1">
      <c r="A285" s="140">
        <v>277</v>
      </c>
      <c r="B285" s="141"/>
      <c r="C285" s="1186" t="s">
        <v>1885</v>
      </c>
      <c r="D285" s="1186" t="s">
        <v>2627</v>
      </c>
      <c r="E285" s="1187" t="s">
        <v>3112</v>
      </c>
      <c r="F285" s="1188" t="s">
        <v>3338</v>
      </c>
      <c r="G285" s="1202" t="s">
        <v>2</v>
      </c>
      <c r="H285" s="1213" t="s">
        <v>96</v>
      </c>
      <c r="I285" s="144" t="s">
        <v>340</v>
      </c>
      <c r="J285" s="1221" t="s">
        <v>3401</v>
      </c>
      <c r="K285" s="1235" t="s">
        <v>102</v>
      </c>
      <c r="L285" s="1244" t="s">
        <v>3694</v>
      </c>
      <c r="M285" s="1168"/>
      <c r="N285" s="1149"/>
      <c r="O285" s="141" t="str">
        <f t="shared" si="4"/>
        <v xml:space="preserve">منور  خليفة </v>
      </c>
      <c r="P285" s="141" t="s">
        <v>507</v>
      </c>
      <c r="Q285" s="141" t="s">
        <v>1922</v>
      </c>
      <c r="R285" s="276"/>
      <c r="S285" s="989"/>
      <c r="T285" s="404"/>
      <c r="U285" s="28"/>
      <c r="V285"/>
      <c r="W285"/>
      <c r="X285"/>
      <c r="Y285"/>
    </row>
    <row r="286" spans="1:25" ht="16.5" customHeight="1">
      <c r="A286" s="140">
        <v>278</v>
      </c>
      <c r="B286" s="141"/>
      <c r="C286" s="1186" t="s">
        <v>2628</v>
      </c>
      <c r="D286" s="1186" t="s">
        <v>2629</v>
      </c>
      <c r="E286" s="1187" t="s">
        <v>3113</v>
      </c>
      <c r="F286" s="1188" t="s">
        <v>3356</v>
      </c>
      <c r="G286" s="1202" t="s">
        <v>2</v>
      </c>
      <c r="H286" s="1213" t="s">
        <v>96</v>
      </c>
      <c r="I286" s="144" t="s">
        <v>340</v>
      </c>
      <c r="J286" s="1221" t="s">
        <v>2309</v>
      </c>
      <c r="K286" s="1235" t="s">
        <v>103</v>
      </c>
      <c r="L286" s="1244" t="s">
        <v>3695</v>
      </c>
      <c r="M286" s="1168"/>
      <c r="N286" s="1149"/>
      <c r="O286" s="141" t="str">
        <f t="shared" si="4"/>
        <v xml:space="preserve">موساوي  بخدة </v>
      </c>
      <c r="P286" s="141" t="s">
        <v>630</v>
      </c>
      <c r="Q286" s="141" t="s">
        <v>1924</v>
      </c>
      <c r="R286" s="276"/>
      <c r="S286" s="989"/>
      <c r="T286" s="404"/>
      <c r="U286" s="28"/>
    </row>
    <row r="287" spans="1:25" ht="16.5" customHeight="1">
      <c r="A287" s="140">
        <v>279</v>
      </c>
      <c r="B287" s="141"/>
      <c r="C287" s="1186" t="s">
        <v>2630</v>
      </c>
      <c r="D287" s="1186" t="s">
        <v>2631</v>
      </c>
      <c r="E287" s="1187" t="s">
        <v>3114</v>
      </c>
      <c r="F287" s="1188" t="s">
        <v>3339</v>
      </c>
      <c r="G287" s="1202" t="s">
        <v>2</v>
      </c>
      <c r="H287" s="1215" t="s">
        <v>91</v>
      </c>
      <c r="I287" s="144" t="s">
        <v>340</v>
      </c>
      <c r="J287" s="1221"/>
      <c r="K287" s="1235" t="s">
        <v>121</v>
      </c>
      <c r="L287" s="1244"/>
      <c r="M287" s="1168"/>
      <c r="N287" s="1149"/>
      <c r="O287" s="141" t="str">
        <f t="shared" si="4"/>
        <v xml:space="preserve">ناصري  </v>
      </c>
      <c r="P287" s="141" t="s">
        <v>630</v>
      </c>
      <c r="Q287" s="141" t="s">
        <v>1921</v>
      </c>
      <c r="R287" s="239"/>
      <c r="S287" s="989"/>
      <c r="T287" s="404"/>
      <c r="U287" s="28"/>
    </row>
    <row r="288" spans="1:25" ht="16.5" customHeight="1">
      <c r="A288" s="140">
        <v>280</v>
      </c>
      <c r="B288" s="141"/>
      <c r="C288" s="1186" t="s">
        <v>2342</v>
      </c>
      <c r="D288" s="1186" t="s">
        <v>2632</v>
      </c>
      <c r="E288" s="1187" t="s">
        <v>2880</v>
      </c>
      <c r="F288" s="1188" t="s">
        <v>3347</v>
      </c>
      <c r="G288" s="1202" t="s">
        <v>3</v>
      </c>
      <c r="H288" s="1212" t="s">
        <v>1458</v>
      </c>
      <c r="I288" s="144" t="s">
        <v>340</v>
      </c>
      <c r="J288" s="1221"/>
      <c r="K288" s="1235" t="s">
        <v>103</v>
      </c>
      <c r="L288" s="1244"/>
      <c r="M288" s="1168"/>
      <c r="N288" s="1149"/>
      <c r="O288" s="141" t="str">
        <f t="shared" si="4"/>
        <v xml:space="preserve">بوتمة  </v>
      </c>
      <c r="P288" s="141" t="s">
        <v>630</v>
      </c>
      <c r="Q288" s="141" t="s">
        <v>1923</v>
      </c>
      <c r="R288" s="239"/>
      <c r="S288" s="989"/>
      <c r="T288" s="404"/>
      <c r="U288" s="28"/>
    </row>
    <row r="289" spans="1:25" ht="16.5" customHeight="1">
      <c r="A289" s="140">
        <v>281</v>
      </c>
      <c r="B289" s="141"/>
      <c r="C289" s="1186" t="s">
        <v>63</v>
      </c>
      <c r="D289" s="1186" t="s">
        <v>2633</v>
      </c>
      <c r="E289" s="1187" t="s">
        <v>3115</v>
      </c>
      <c r="F289" s="1188" t="s">
        <v>3339</v>
      </c>
      <c r="G289" s="1202" t="s">
        <v>3</v>
      </c>
      <c r="H289" s="1212" t="s">
        <v>1458</v>
      </c>
      <c r="I289" s="144" t="s">
        <v>341</v>
      </c>
      <c r="J289" s="1221" t="s">
        <v>2333</v>
      </c>
      <c r="K289" s="1235" t="s">
        <v>97</v>
      </c>
      <c r="L289" s="1244" t="s">
        <v>3696</v>
      </c>
      <c r="M289" s="1168"/>
      <c r="N289" s="1149"/>
      <c r="O289" s="141" t="str">
        <f t="shared" si="4"/>
        <v xml:space="preserve">لكحل  عباس </v>
      </c>
      <c r="P289" s="141" t="s">
        <v>630</v>
      </c>
      <c r="Q289" s="141" t="s">
        <v>1925</v>
      </c>
      <c r="R289" s="276"/>
      <c r="S289" s="989"/>
      <c r="T289" s="404"/>
      <c r="U289" s="28"/>
    </row>
    <row r="290" spans="1:25" s="992" customFormat="1" ht="16.5" customHeight="1">
      <c r="A290" s="140">
        <v>282</v>
      </c>
      <c r="B290" s="141"/>
      <c r="C290" s="1186" t="s">
        <v>2204</v>
      </c>
      <c r="D290" s="1186" t="s">
        <v>117</v>
      </c>
      <c r="E290" s="1187" t="s">
        <v>3116</v>
      </c>
      <c r="F290" s="1188" t="s">
        <v>90</v>
      </c>
      <c r="G290" s="1202" t="s">
        <v>3</v>
      </c>
      <c r="H290" s="1212" t="s">
        <v>1458</v>
      </c>
      <c r="I290" s="144" t="s">
        <v>341</v>
      </c>
      <c r="J290" s="1221" t="s">
        <v>2325</v>
      </c>
      <c r="K290" s="1235" t="s">
        <v>103</v>
      </c>
      <c r="L290" s="1244" t="s">
        <v>3697</v>
      </c>
      <c r="M290" s="1168"/>
      <c r="N290" s="1149"/>
      <c r="O290" s="141" t="str">
        <f t="shared" si="4"/>
        <v xml:space="preserve">مراح  محمد </v>
      </c>
      <c r="P290" s="141" t="s">
        <v>630</v>
      </c>
      <c r="Q290" s="141" t="s">
        <v>1927</v>
      </c>
      <c r="R290" s="276"/>
      <c r="S290" s="989"/>
      <c r="T290" s="404"/>
      <c r="U290" s="28"/>
      <c r="V290" s="28"/>
      <c r="W290" s="28"/>
      <c r="X290" s="28"/>
      <c r="Y290" s="28"/>
    </row>
    <row r="291" spans="1:25" ht="16.5" customHeight="1">
      <c r="A291" s="140">
        <v>283</v>
      </c>
      <c r="B291" s="141"/>
      <c r="C291" s="1186" t="s">
        <v>2634</v>
      </c>
      <c r="D291" s="1186" t="s">
        <v>138</v>
      </c>
      <c r="E291" s="1187" t="s">
        <v>3117</v>
      </c>
      <c r="F291" s="1188" t="s">
        <v>3339</v>
      </c>
      <c r="G291" s="1202" t="s">
        <v>3</v>
      </c>
      <c r="H291" s="1215" t="s">
        <v>91</v>
      </c>
      <c r="I291" s="144" t="s">
        <v>341</v>
      </c>
      <c r="J291" s="1221" t="s">
        <v>3374</v>
      </c>
      <c r="K291" s="1235" t="s">
        <v>123</v>
      </c>
      <c r="L291" s="1244" t="s">
        <v>3698</v>
      </c>
      <c r="M291" s="1168"/>
      <c r="N291" s="1149"/>
      <c r="O291" s="141" t="str">
        <f t="shared" si="4"/>
        <v xml:space="preserve">بادي  مختار </v>
      </c>
      <c r="P291" s="141" t="s">
        <v>630</v>
      </c>
      <c r="Q291" s="141" t="s">
        <v>1923</v>
      </c>
      <c r="R291" s="276"/>
      <c r="S291" s="989"/>
      <c r="T291" s="404"/>
      <c r="U291" s="28"/>
    </row>
    <row r="292" spans="1:25" ht="16.5" customHeight="1">
      <c r="A292" s="140">
        <v>284</v>
      </c>
      <c r="B292" s="141"/>
      <c r="C292" s="1186" t="s">
        <v>2636</v>
      </c>
      <c r="D292" s="1186" t="s">
        <v>2637</v>
      </c>
      <c r="E292" s="1187" t="s">
        <v>3082</v>
      </c>
      <c r="F292" s="1188" t="s">
        <v>90</v>
      </c>
      <c r="G292" s="1202" t="s">
        <v>3</v>
      </c>
      <c r="H292" s="1215" t="s">
        <v>91</v>
      </c>
      <c r="I292" s="144" t="s">
        <v>340</v>
      </c>
      <c r="J292" s="1221" t="s">
        <v>3384</v>
      </c>
      <c r="K292" s="1235" t="s">
        <v>123</v>
      </c>
      <c r="L292" s="1244" t="s">
        <v>3699</v>
      </c>
      <c r="M292" s="1168"/>
      <c r="N292" s="1149"/>
      <c r="O292" s="141" t="str">
        <f t="shared" si="4"/>
        <v xml:space="preserve">بلحاطش  بغداد </v>
      </c>
      <c r="P292" s="141" t="s">
        <v>630</v>
      </c>
      <c r="Q292" s="141" t="s">
        <v>1924</v>
      </c>
      <c r="R292" s="239"/>
      <c r="S292" s="989"/>
      <c r="T292" s="404"/>
      <c r="U292" s="28"/>
    </row>
    <row r="293" spans="1:25" ht="16.5" customHeight="1">
      <c r="A293" s="140">
        <v>285</v>
      </c>
      <c r="B293" s="141"/>
      <c r="C293" s="1186" t="s">
        <v>2635</v>
      </c>
      <c r="D293" s="1186" t="s">
        <v>1018</v>
      </c>
      <c r="E293" s="1187" t="s">
        <v>3051</v>
      </c>
      <c r="F293" s="1188" t="s">
        <v>3357</v>
      </c>
      <c r="G293" s="1202" t="s">
        <v>3</v>
      </c>
      <c r="H293" s="1215" t="s">
        <v>91</v>
      </c>
      <c r="I293" s="144" t="s">
        <v>340</v>
      </c>
      <c r="J293" s="1221" t="s">
        <v>3449</v>
      </c>
      <c r="K293" s="1235" t="s">
        <v>103</v>
      </c>
      <c r="L293" s="1244" t="s">
        <v>494</v>
      </c>
      <c r="M293" s="1168"/>
      <c r="N293" s="1149"/>
      <c r="O293" s="141" t="str">
        <f t="shared" si="4"/>
        <v xml:space="preserve">بلعابد  الحاج </v>
      </c>
      <c r="P293" s="141" t="s">
        <v>630</v>
      </c>
      <c r="Q293" s="141" t="s">
        <v>1924</v>
      </c>
      <c r="R293" s="276"/>
      <c r="S293" s="989"/>
      <c r="T293" s="671"/>
      <c r="U293" s="28"/>
    </row>
    <row r="294" spans="1:25" ht="16.5" customHeight="1">
      <c r="A294" s="140">
        <v>286</v>
      </c>
      <c r="B294" s="141"/>
      <c r="C294" s="1186" t="s">
        <v>2341</v>
      </c>
      <c r="D294" s="1186" t="s">
        <v>2638</v>
      </c>
      <c r="E294" s="1187" t="s">
        <v>3118</v>
      </c>
      <c r="F294" s="1188" t="s">
        <v>90</v>
      </c>
      <c r="G294" s="1202" t="s">
        <v>3</v>
      </c>
      <c r="H294" s="1215" t="s">
        <v>91</v>
      </c>
      <c r="I294" s="144" t="s">
        <v>340</v>
      </c>
      <c r="J294" s="1221" t="s">
        <v>2306</v>
      </c>
      <c r="K294" s="1235" t="s">
        <v>103</v>
      </c>
      <c r="L294" s="1244" t="s">
        <v>3700</v>
      </c>
      <c r="M294" s="1168"/>
      <c r="N294" s="1149"/>
      <c r="O294" s="141" t="str">
        <f t="shared" si="4"/>
        <v xml:space="preserve">بلعربي  معاشو </v>
      </c>
      <c r="P294" s="141" t="s">
        <v>507</v>
      </c>
      <c r="Q294" s="141" t="s">
        <v>1924</v>
      </c>
      <c r="R294" s="276"/>
      <c r="S294" s="989"/>
      <c r="T294" s="404"/>
      <c r="U294" s="28"/>
    </row>
    <row r="295" spans="1:25" ht="16.5" customHeight="1">
      <c r="A295" s="140">
        <v>287</v>
      </c>
      <c r="B295" s="141"/>
      <c r="C295" s="1186" t="s">
        <v>791</v>
      </c>
      <c r="D295" s="1186" t="s">
        <v>2639</v>
      </c>
      <c r="E295" s="1187" t="s">
        <v>3119</v>
      </c>
      <c r="F295" s="1188" t="s">
        <v>3338</v>
      </c>
      <c r="G295" s="1202" t="s">
        <v>3</v>
      </c>
      <c r="H295" s="1213" t="s">
        <v>96</v>
      </c>
      <c r="I295" s="144" t="s">
        <v>340</v>
      </c>
      <c r="J295" s="1221"/>
      <c r="K295" s="1235" t="s">
        <v>159</v>
      </c>
      <c r="L295" s="1244"/>
      <c r="M295" s="1168"/>
      <c r="N295" s="1149"/>
      <c r="O295" s="141" t="str">
        <f t="shared" si="4"/>
        <v xml:space="preserve">بلقاسم  </v>
      </c>
      <c r="P295" s="141" t="s">
        <v>630</v>
      </c>
      <c r="Q295" s="141" t="s">
        <v>1924</v>
      </c>
      <c r="R295" s="239"/>
      <c r="S295" s="989"/>
      <c r="T295" s="404"/>
      <c r="U295" s="28"/>
    </row>
    <row r="296" spans="1:25" ht="16.5" customHeight="1">
      <c r="A296" s="140">
        <v>288</v>
      </c>
      <c r="B296" s="141"/>
      <c r="C296" s="1186" t="s">
        <v>2640</v>
      </c>
      <c r="D296" s="1186" t="s">
        <v>2641</v>
      </c>
      <c r="E296" s="1187" t="s">
        <v>3120</v>
      </c>
      <c r="F296" s="1188" t="s">
        <v>3339</v>
      </c>
      <c r="G296" s="1202" t="s">
        <v>3</v>
      </c>
      <c r="H296" s="1215" t="s">
        <v>91</v>
      </c>
      <c r="I296" s="144" t="s">
        <v>340</v>
      </c>
      <c r="J296" s="1221" t="s">
        <v>3376</v>
      </c>
      <c r="K296" s="1235" t="s">
        <v>159</v>
      </c>
      <c r="L296" s="1244" t="s">
        <v>3701</v>
      </c>
      <c r="M296" s="1168"/>
      <c r="N296" s="1149"/>
      <c r="O296" s="141" t="str">
        <f t="shared" si="4"/>
        <v xml:space="preserve">ساكت  يوسف </v>
      </c>
      <c r="P296" s="141" t="s">
        <v>630</v>
      </c>
      <c r="Q296" s="141" t="s">
        <v>1926</v>
      </c>
      <c r="R296" s="276"/>
      <c r="S296" s="989"/>
      <c r="T296" s="404"/>
      <c r="U296" s="28"/>
    </row>
    <row r="297" spans="1:25" ht="16.5" customHeight="1">
      <c r="A297" s="140">
        <v>289</v>
      </c>
      <c r="B297" s="141"/>
      <c r="C297" s="1186" t="s">
        <v>2642</v>
      </c>
      <c r="D297" s="1186" t="s">
        <v>25</v>
      </c>
      <c r="E297" s="1187" t="s">
        <v>3121</v>
      </c>
      <c r="F297" s="1188" t="s">
        <v>3339</v>
      </c>
      <c r="G297" s="1202" t="s">
        <v>3</v>
      </c>
      <c r="H297" s="1215" t="s">
        <v>91</v>
      </c>
      <c r="I297" s="144" t="s">
        <v>340</v>
      </c>
      <c r="J297" s="1221" t="s">
        <v>2306</v>
      </c>
      <c r="K297" s="1235" t="s">
        <v>103</v>
      </c>
      <c r="L297" s="1244" t="s">
        <v>3702</v>
      </c>
      <c r="M297" s="1168"/>
      <c r="N297" s="1149"/>
      <c r="O297" s="141" t="str">
        <f t="shared" si="4"/>
        <v xml:space="preserve">شويرفي  معاشو </v>
      </c>
      <c r="P297" s="141" t="s">
        <v>507</v>
      </c>
      <c r="Q297" s="141" t="s">
        <v>1924</v>
      </c>
      <c r="R297" s="276"/>
      <c r="S297" s="989"/>
      <c r="T297" s="404"/>
      <c r="U297" s="28"/>
    </row>
    <row r="298" spans="1:25" s="835" customFormat="1" ht="16.5" customHeight="1">
      <c r="A298" s="140">
        <v>290</v>
      </c>
      <c r="B298" s="141"/>
      <c r="C298" s="1186" t="s">
        <v>2643</v>
      </c>
      <c r="D298" s="1186" t="s">
        <v>2644</v>
      </c>
      <c r="E298" s="1192">
        <v>39753</v>
      </c>
      <c r="F298" s="1188" t="s">
        <v>3347</v>
      </c>
      <c r="G298" s="1202" t="s">
        <v>3</v>
      </c>
      <c r="H298" s="1213" t="s">
        <v>96</v>
      </c>
      <c r="I298" s="144" t="s">
        <v>340</v>
      </c>
      <c r="J298" s="1221"/>
      <c r="K298" s="1235"/>
      <c r="L298" s="1244" t="s">
        <v>494</v>
      </c>
      <c r="M298" s="1168"/>
      <c r="N298" s="1149"/>
      <c r="O298" s="141" t="str">
        <f t="shared" si="4"/>
        <v xml:space="preserve">عاشور  </v>
      </c>
      <c r="P298" s="141" t="s">
        <v>630</v>
      </c>
      <c r="Q298" s="141" t="s">
        <v>1926</v>
      </c>
      <c r="R298" s="276"/>
      <c r="S298" s="989"/>
      <c r="T298" s="404"/>
      <c r="U298" s="28"/>
      <c r="V298" s="28"/>
      <c r="W298" s="28"/>
      <c r="X298" s="28"/>
      <c r="Y298" s="28"/>
    </row>
    <row r="299" spans="1:25" ht="16.5" customHeight="1">
      <c r="A299" s="140">
        <v>291</v>
      </c>
      <c r="B299" s="141"/>
      <c r="C299" s="1186" t="s">
        <v>2561</v>
      </c>
      <c r="D299" s="1186" t="s">
        <v>2197</v>
      </c>
      <c r="E299" s="1187" t="s">
        <v>3122</v>
      </c>
      <c r="F299" s="1188" t="s">
        <v>3339</v>
      </c>
      <c r="G299" s="1202" t="s">
        <v>3</v>
      </c>
      <c r="H299" s="1213" t="s">
        <v>96</v>
      </c>
      <c r="I299" s="144" t="s">
        <v>340</v>
      </c>
      <c r="J299" s="1221" t="s">
        <v>2325</v>
      </c>
      <c r="K299" s="1235" t="s">
        <v>805</v>
      </c>
      <c r="L299" s="1244" t="s">
        <v>494</v>
      </c>
      <c r="M299" s="1168"/>
      <c r="N299" s="1149"/>
      <c r="O299" s="141" t="str">
        <f t="shared" si="4"/>
        <v xml:space="preserve">قديد  محمد </v>
      </c>
      <c r="P299" s="141" t="s">
        <v>507</v>
      </c>
      <c r="Q299" s="141" t="s">
        <v>1924</v>
      </c>
      <c r="R299" s="276"/>
      <c r="S299" s="989"/>
      <c r="T299" s="404"/>
      <c r="U299" s="28"/>
    </row>
    <row r="300" spans="1:25" ht="16.5" customHeight="1">
      <c r="A300" s="140">
        <v>292</v>
      </c>
      <c r="B300" s="141"/>
      <c r="C300" s="1186" t="s">
        <v>509</v>
      </c>
      <c r="D300" s="1186" t="s">
        <v>2645</v>
      </c>
      <c r="E300" s="1187" t="s">
        <v>3123</v>
      </c>
      <c r="F300" s="1188" t="s">
        <v>3338</v>
      </c>
      <c r="G300" s="1202" t="s">
        <v>3</v>
      </c>
      <c r="H300" s="1213" t="s">
        <v>96</v>
      </c>
      <c r="I300" s="144" t="s">
        <v>340</v>
      </c>
      <c r="J300" s="1221" t="s">
        <v>2173</v>
      </c>
      <c r="K300" s="1235" t="s">
        <v>2161</v>
      </c>
      <c r="L300" s="1244" t="s">
        <v>3585</v>
      </c>
      <c r="M300" s="1168"/>
      <c r="N300" s="1149"/>
      <c r="O300" s="141" t="str">
        <f t="shared" si="4"/>
        <v xml:space="preserve">لحمر  قادة </v>
      </c>
      <c r="P300" s="141" t="s">
        <v>630</v>
      </c>
      <c r="Q300" s="141" t="s">
        <v>1924</v>
      </c>
      <c r="R300" s="276"/>
      <c r="S300" s="989"/>
      <c r="T300" s="404"/>
      <c r="U300" s="28"/>
    </row>
    <row r="301" spans="1:25" ht="16.5" customHeight="1">
      <c r="A301" s="140">
        <v>293</v>
      </c>
      <c r="B301" s="141"/>
      <c r="C301" s="1186" t="s">
        <v>2449</v>
      </c>
      <c r="D301" s="1186" t="s">
        <v>21</v>
      </c>
      <c r="E301" s="1187" t="s">
        <v>3124</v>
      </c>
      <c r="F301" s="1188" t="s">
        <v>90</v>
      </c>
      <c r="G301" s="1202" t="s">
        <v>3</v>
      </c>
      <c r="H301" s="1215" t="s">
        <v>91</v>
      </c>
      <c r="I301" s="144" t="s">
        <v>340</v>
      </c>
      <c r="J301" s="1221" t="s">
        <v>3401</v>
      </c>
      <c r="K301" s="1235" t="s">
        <v>92</v>
      </c>
      <c r="L301" s="1244" t="s">
        <v>3703</v>
      </c>
      <c r="M301" s="1168"/>
      <c r="N301" s="1149"/>
      <c r="O301" s="141" t="str">
        <f t="shared" si="4"/>
        <v xml:space="preserve">مرضي  خليفة </v>
      </c>
      <c r="P301" s="141" t="s">
        <v>507</v>
      </c>
      <c r="Q301" s="141" t="s">
        <v>1926</v>
      </c>
      <c r="R301" s="276"/>
      <c r="S301" s="989"/>
      <c r="T301" s="404"/>
      <c r="U301" s="28"/>
    </row>
    <row r="302" spans="1:25" s="985" customFormat="1" ht="16.5" customHeight="1">
      <c r="A302" s="140">
        <v>294</v>
      </c>
      <c r="B302" s="141"/>
      <c r="C302" s="1186" t="s">
        <v>1013</v>
      </c>
      <c r="D302" s="1186" t="s">
        <v>2646</v>
      </c>
      <c r="E302" s="1187" t="s">
        <v>3071</v>
      </c>
      <c r="F302" s="1188" t="s">
        <v>3339</v>
      </c>
      <c r="G302" s="1202" t="s">
        <v>3</v>
      </c>
      <c r="H302" s="1215" t="s">
        <v>91</v>
      </c>
      <c r="I302" s="144" t="s">
        <v>340</v>
      </c>
      <c r="J302" s="1221" t="s">
        <v>2184</v>
      </c>
      <c r="K302" s="1235" t="s">
        <v>103</v>
      </c>
      <c r="L302" s="1244" t="s">
        <v>3704</v>
      </c>
      <c r="M302" s="1168"/>
      <c r="N302" s="1149"/>
      <c r="O302" s="141" t="str">
        <f t="shared" si="4"/>
        <v xml:space="preserve">معطى الله  مهاجي </v>
      </c>
      <c r="P302" s="141" t="s">
        <v>630</v>
      </c>
      <c r="Q302" s="141"/>
      <c r="R302" s="276"/>
      <c r="S302" s="989"/>
      <c r="T302" s="404"/>
      <c r="U302" s="28"/>
      <c r="V302" s="28"/>
      <c r="W302" s="28"/>
      <c r="X302" s="28"/>
      <c r="Y302" s="28"/>
    </row>
    <row r="303" spans="1:25" s="834" customFormat="1" ht="16.5" customHeight="1">
      <c r="A303" s="140">
        <v>295</v>
      </c>
      <c r="B303" s="141"/>
      <c r="C303" s="1186" t="s">
        <v>2647</v>
      </c>
      <c r="D303" s="1186" t="s">
        <v>2648</v>
      </c>
      <c r="E303" s="1187" t="s">
        <v>3125</v>
      </c>
      <c r="F303" s="1188" t="s">
        <v>3339</v>
      </c>
      <c r="G303" s="1202" t="s">
        <v>3</v>
      </c>
      <c r="H303" s="1213" t="s">
        <v>96</v>
      </c>
      <c r="I303" s="144" t="s">
        <v>340</v>
      </c>
      <c r="J303" s="1221" t="s">
        <v>3450</v>
      </c>
      <c r="K303" s="1235" t="s">
        <v>113</v>
      </c>
      <c r="L303" s="1244" t="s">
        <v>494</v>
      </c>
      <c r="M303" s="1168"/>
      <c r="N303" s="1149"/>
      <c r="O303" s="141" t="str">
        <f t="shared" si="4"/>
        <v xml:space="preserve">نجاعي  لؤي </v>
      </c>
      <c r="P303" s="141" t="s">
        <v>507</v>
      </c>
      <c r="Q303" s="141" t="s">
        <v>1930</v>
      </c>
      <c r="R303" s="276"/>
      <c r="S303" s="989"/>
      <c r="T303" s="404"/>
      <c r="U303" s="28"/>
      <c r="V303" s="28"/>
      <c r="W303" s="28"/>
      <c r="X303" s="28"/>
      <c r="Y303" s="28"/>
    </row>
    <row r="304" spans="1:25" ht="16.5" customHeight="1">
      <c r="A304" s="140">
        <v>296</v>
      </c>
      <c r="B304" s="141"/>
      <c r="C304" s="1186" t="s">
        <v>1472</v>
      </c>
      <c r="D304" s="1186" t="s">
        <v>2649</v>
      </c>
      <c r="E304" s="1187" t="s">
        <v>3126</v>
      </c>
      <c r="F304" s="1188" t="s">
        <v>90</v>
      </c>
      <c r="G304" s="1202" t="s">
        <v>3</v>
      </c>
      <c r="H304" s="1215" t="s">
        <v>91</v>
      </c>
      <c r="I304" s="144" t="s">
        <v>340</v>
      </c>
      <c r="J304" s="1221" t="s">
        <v>2184</v>
      </c>
      <c r="K304" s="1235" t="s">
        <v>111</v>
      </c>
      <c r="L304" s="1244" t="s">
        <v>3705</v>
      </c>
      <c r="M304" s="1168"/>
      <c r="N304" s="1149"/>
      <c r="O304" s="141" t="str">
        <f t="shared" si="4"/>
        <v xml:space="preserve">يوب  مهاجي </v>
      </c>
      <c r="P304" s="141" t="s">
        <v>630</v>
      </c>
      <c r="Q304" s="141" t="s">
        <v>1924</v>
      </c>
      <c r="R304" s="276"/>
      <c r="S304" s="989"/>
      <c r="T304" s="404"/>
      <c r="U304" s="28"/>
      <c r="V304"/>
      <c r="W304"/>
      <c r="X304"/>
      <c r="Y304"/>
    </row>
    <row r="305" spans="1:25" ht="16.5" customHeight="1">
      <c r="A305" s="140">
        <v>297</v>
      </c>
      <c r="B305" s="141"/>
      <c r="C305" s="1186" t="s">
        <v>879</v>
      </c>
      <c r="D305" s="1186" t="s">
        <v>2650</v>
      </c>
      <c r="E305" s="1187" t="s">
        <v>3127</v>
      </c>
      <c r="F305" s="1188" t="s">
        <v>90</v>
      </c>
      <c r="G305" s="1202" t="s">
        <v>2294</v>
      </c>
      <c r="H305" s="1212" t="s">
        <v>1458</v>
      </c>
      <c r="I305" s="144" t="s">
        <v>340</v>
      </c>
      <c r="J305" s="1221" t="s">
        <v>1990</v>
      </c>
      <c r="K305" s="1235" t="s">
        <v>103</v>
      </c>
      <c r="L305" s="1244" t="s">
        <v>3706</v>
      </c>
      <c r="M305" s="1168"/>
      <c r="N305" s="1149"/>
      <c r="O305" s="141" t="str">
        <f t="shared" si="4"/>
        <v xml:space="preserve">بسباس  بن عمر </v>
      </c>
      <c r="P305" s="141" t="s">
        <v>507</v>
      </c>
      <c r="Q305" s="141" t="s">
        <v>1927</v>
      </c>
      <c r="R305" s="276"/>
      <c r="S305" s="989"/>
      <c r="T305" s="671" t="s">
        <v>628</v>
      </c>
      <c r="U305" s="28"/>
      <c r="V305"/>
      <c r="W305"/>
      <c r="X305"/>
      <c r="Y305"/>
    </row>
    <row r="306" spans="1:25" ht="16.5" customHeight="1">
      <c r="A306" s="140">
        <v>298</v>
      </c>
      <c r="B306" s="141"/>
      <c r="C306" s="1186" t="s">
        <v>1024</v>
      </c>
      <c r="D306" s="1186" t="s">
        <v>2651</v>
      </c>
      <c r="E306" s="1187" t="s">
        <v>3128</v>
      </c>
      <c r="F306" s="1188" t="s">
        <v>3339</v>
      </c>
      <c r="G306" s="1202" t="s">
        <v>2294</v>
      </c>
      <c r="H306" s="1212" t="s">
        <v>1458</v>
      </c>
      <c r="I306" s="144" t="s">
        <v>341</v>
      </c>
      <c r="J306" s="1221" t="s">
        <v>2332</v>
      </c>
      <c r="K306" s="1235" t="s">
        <v>2174</v>
      </c>
      <c r="L306" s="1244" t="s">
        <v>494</v>
      </c>
      <c r="M306" s="1168"/>
      <c r="N306" s="1149"/>
      <c r="O306" s="141" t="str">
        <f t="shared" si="4"/>
        <v xml:space="preserve">بغدادي  عبد القادر </v>
      </c>
      <c r="P306" s="141" t="s">
        <v>507</v>
      </c>
      <c r="Q306" s="141" t="s">
        <v>1927</v>
      </c>
      <c r="R306" s="276"/>
      <c r="S306" s="989"/>
      <c r="T306" s="671" t="s">
        <v>628</v>
      </c>
      <c r="U306" s="28"/>
      <c r="V306"/>
      <c r="W306"/>
      <c r="X306"/>
      <c r="Y306"/>
    </row>
    <row r="307" spans="1:25" ht="16.5" customHeight="1">
      <c r="A307" s="140">
        <v>299</v>
      </c>
      <c r="B307" s="141"/>
      <c r="C307" s="1186" t="s">
        <v>1055</v>
      </c>
      <c r="D307" s="1186" t="s">
        <v>53</v>
      </c>
      <c r="E307" s="1187" t="s">
        <v>3129</v>
      </c>
      <c r="F307" s="1188" t="s">
        <v>3339</v>
      </c>
      <c r="G307" s="1202" t="s">
        <v>2294</v>
      </c>
      <c r="H307" s="1216" t="s">
        <v>1458</v>
      </c>
      <c r="I307" s="144" t="s">
        <v>341</v>
      </c>
      <c r="J307" s="1221" t="s">
        <v>2325</v>
      </c>
      <c r="K307" s="1235" t="s">
        <v>111</v>
      </c>
      <c r="L307" s="1244" t="s">
        <v>494</v>
      </c>
      <c r="M307" s="1168"/>
      <c r="N307" s="1149"/>
      <c r="O307" s="141" t="str">
        <f t="shared" si="4"/>
        <v xml:space="preserve">ديدان  محمد </v>
      </c>
      <c r="P307" s="141" t="s">
        <v>506</v>
      </c>
      <c r="Q307" s="141" t="s">
        <v>1924</v>
      </c>
      <c r="R307" s="276"/>
      <c r="S307" s="989"/>
      <c r="T307" s="671" t="s">
        <v>628</v>
      </c>
      <c r="U307" s="28"/>
      <c r="V307"/>
      <c r="W307"/>
      <c r="X307"/>
      <c r="Y307"/>
    </row>
    <row r="308" spans="1:25" ht="16.5" customHeight="1">
      <c r="A308" s="140">
        <v>300</v>
      </c>
      <c r="B308" s="141"/>
      <c r="C308" s="1189" t="s">
        <v>2652</v>
      </c>
      <c r="D308" s="1189" t="s">
        <v>2302</v>
      </c>
      <c r="E308" s="1193">
        <v>39146</v>
      </c>
      <c r="F308" s="1191" t="s">
        <v>90</v>
      </c>
      <c r="G308" s="1201" t="s">
        <v>2294</v>
      </c>
      <c r="H308" s="1208" t="s">
        <v>1458</v>
      </c>
      <c r="I308" s="144" t="s">
        <v>341</v>
      </c>
      <c r="J308" s="1222"/>
      <c r="K308" s="1233"/>
      <c r="L308" s="1246" t="s">
        <v>494</v>
      </c>
      <c r="M308" s="1170"/>
      <c r="N308" s="1149"/>
      <c r="O308" s="141" t="str">
        <f t="shared" si="4"/>
        <v xml:space="preserve">كريوع  </v>
      </c>
      <c r="P308" s="141" t="s">
        <v>506</v>
      </c>
      <c r="Q308" s="141" t="s">
        <v>1924</v>
      </c>
      <c r="R308" s="760"/>
      <c r="S308" s="989"/>
      <c r="T308" s="237"/>
      <c r="U308" s="28"/>
      <c r="V308"/>
      <c r="W308"/>
      <c r="X308"/>
      <c r="Y308"/>
    </row>
    <row r="309" spans="1:25" ht="16.5" customHeight="1">
      <c r="A309" s="140">
        <v>301</v>
      </c>
      <c r="B309" s="141"/>
      <c r="C309" s="1186" t="s">
        <v>1076</v>
      </c>
      <c r="D309" s="1186" t="s">
        <v>2654</v>
      </c>
      <c r="E309" s="1187" t="s">
        <v>3132</v>
      </c>
      <c r="F309" s="1188" t="s">
        <v>3339</v>
      </c>
      <c r="G309" s="1202" t="s">
        <v>2294</v>
      </c>
      <c r="H309" s="1215" t="s">
        <v>91</v>
      </c>
      <c r="I309" s="144" t="s">
        <v>341</v>
      </c>
      <c r="J309" s="1221" t="s">
        <v>3380</v>
      </c>
      <c r="K309" s="1235" t="s">
        <v>159</v>
      </c>
      <c r="L309" s="1244" t="s">
        <v>3709</v>
      </c>
      <c r="M309" s="1168"/>
      <c r="N309" s="1149"/>
      <c r="O309" s="141" t="str">
        <f t="shared" si="4"/>
        <v xml:space="preserve">إدير  قويدر </v>
      </c>
      <c r="P309" s="141" t="s">
        <v>506</v>
      </c>
      <c r="Q309" s="141" t="s">
        <v>1927</v>
      </c>
      <c r="R309" s="239"/>
      <c r="S309" s="989"/>
      <c r="T309" s="404"/>
      <c r="U309" s="28"/>
      <c r="V309"/>
      <c r="W309"/>
      <c r="X309"/>
      <c r="Y309"/>
    </row>
    <row r="310" spans="1:25" ht="16.5" customHeight="1">
      <c r="A310" s="140">
        <v>302</v>
      </c>
      <c r="B310" s="141"/>
      <c r="C310" s="1186" t="s">
        <v>2488</v>
      </c>
      <c r="D310" s="1186" t="s">
        <v>2655</v>
      </c>
      <c r="E310" s="1187" t="s">
        <v>3133</v>
      </c>
      <c r="F310" s="1188" t="s">
        <v>90</v>
      </c>
      <c r="G310" s="1202" t="s">
        <v>2294</v>
      </c>
      <c r="H310" s="1215" t="s">
        <v>91</v>
      </c>
      <c r="I310" s="144" t="s">
        <v>341</v>
      </c>
      <c r="J310" s="1221" t="s">
        <v>3387</v>
      </c>
      <c r="K310" s="1235" t="s">
        <v>111</v>
      </c>
      <c r="L310" s="1244" t="s">
        <v>3710</v>
      </c>
      <c r="M310" s="1168"/>
      <c r="N310" s="1149"/>
      <c r="O310" s="141" t="str">
        <f t="shared" si="4"/>
        <v xml:space="preserve">الوافي  ميلود </v>
      </c>
      <c r="P310" s="141" t="s">
        <v>506</v>
      </c>
      <c r="Q310" s="141" t="s">
        <v>1927</v>
      </c>
      <c r="R310" s="276"/>
      <c r="S310" s="989"/>
      <c r="T310" s="404"/>
      <c r="U310" s="28"/>
      <c r="V310"/>
      <c r="W310"/>
      <c r="X310"/>
      <c r="Y310"/>
    </row>
    <row r="311" spans="1:25" ht="16.5" customHeight="1">
      <c r="A311" s="140">
        <v>303</v>
      </c>
      <c r="B311" s="141"/>
      <c r="C311" s="1186" t="s">
        <v>2376</v>
      </c>
      <c r="D311" s="1186" t="s">
        <v>120</v>
      </c>
      <c r="E311" s="1187" t="s">
        <v>2913</v>
      </c>
      <c r="F311" s="1188" t="s">
        <v>3347</v>
      </c>
      <c r="G311" s="1202" t="s">
        <v>2294</v>
      </c>
      <c r="H311" s="1213" t="s">
        <v>91</v>
      </c>
      <c r="I311" s="144" t="s">
        <v>341</v>
      </c>
      <c r="J311" s="1221" t="s">
        <v>3452</v>
      </c>
      <c r="K311" s="1235" t="s">
        <v>111</v>
      </c>
      <c r="L311" s="1244" t="s">
        <v>3711</v>
      </c>
      <c r="M311" s="1168"/>
      <c r="N311" s="1149"/>
      <c r="O311" s="141" t="str">
        <f t="shared" si="4"/>
        <v xml:space="preserve">بديار  مراجي </v>
      </c>
      <c r="P311" s="141" t="s">
        <v>506</v>
      </c>
      <c r="Q311" s="141" t="s">
        <v>1927</v>
      </c>
      <c r="R311" s="276"/>
      <c r="S311" s="989"/>
      <c r="T311" s="237"/>
      <c r="U311" s="28"/>
      <c r="V311"/>
      <c r="W311"/>
      <c r="X311"/>
      <c r="Y311"/>
    </row>
    <row r="312" spans="1:25" s="977" customFormat="1" ht="16.5" customHeight="1">
      <c r="A312" s="140">
        <v>304</v>
      </c>
      <c r="B312" s="141"/>
      <c r="C312" s="1186" t="s">
        <v>2656</v>
      </c>
      <c r="D312" s="1186" t="s">
        <v>2657</v>
      </c>
      <c r="E312" s="1187" t="s">
        <v>3134</v>
      </c>
      <c r="F312" s="1188" t="s">
        <v>90</v>
      </c>
      <c r="G312" s="1202" t="s">
        <v>2294</v>
      </c>
      <c r="H312" s="1213" t="s">
        <v>96</v>
      </c>
      <c r="I312" s="144" t="s">
        <v>341</v>
      </c>
      <c r="J312" s="1221"/>
      <c r="K312" s="1235" t="s">
        <v>102</v>
      </c>
      <c r="L312" s="1244"/>
      <c r="M312" s="1168"/>
      <c r="N312" s="1149"/>
      <c r="O312" s="141" t="str">
        <f t="shared" si="4"/>
        <v xml:space="preserve">بزوجي   </v>
      </c>
      <c r="P312" s="141" t="s">
        <v>506</v>
      </c>
      <c r="Q312" s="141"/>
      <c r="R312" s="276"/>
      <c r="S312" s="989"/>
      <c r="T312" s="237"/>
      <c r="U312" s="28"/>
    </row>
    <row r="313" spans="1:25" ht="16.5" customHeight="1">
      <c r="A313" s="140">
        <v>305</v>
      </c>
      <c r="B313" s="141"/>
      <c r="C313" s="1186" t="s">
        <v>2616</v>
      </c>
      <c r="D313" s="1186" t="s">
        <v>706</v>
      </c>
      <c r="E313" s="1187" t="s">
        <v>3135</v>
      </c>
      <c r="F313" s="1188" t="s">
        <v>3339</v>
      </c>
      <c r="G313" s="1202" t="s">
        <v>2294</v>
      </c>
      <c r="H313" s="1215" t="s">
        <v>96</v>
      </c>
      <c r="I313" s="144" t="s">
        <v>341</v>
      </c>
      <c r="J313" s="1221" t="s">
        <v>2325</v>
      </c>
      <c r="K313" s="1235" t="s">
        <v>805</v>
      </c>
      <c r="L313" s="1244" t="s">
        <v>3712</v>
      </c>
      <c r="M313" s="1168"/>
      <c r="N313" s="1149"/>
      <c r="O313" s="141" t="str">
        <f t="shared" si="4"/>
        <v xml:space="preserve">بلجريوات  محمد </v>
      </c>
      <c r="P313" s="141" t="s">
        <v>507</v>
      </c>
      <c r="Q313" s="141" t="s">
        <v>1929</v>
      </c>
      <c r="R313" s="239"/>
      <c r="S313" s="989"/>
      <c r="T313" s="237"/>
      <c r="U313" s="28"/>
      <c r="V313"/>
      <c r="W313"/>
      <c r="X313"/>
      <c r="Y313"/>
    </row>
    <row r="314" spans="1:25" ht="16.5" customHeight="1">
      <c r="A314" s="140">
        <v>306</v>
      </c>
      <c r="B314" s="141"/>
      <c r="C314" s="1186" t="s">
        <v>2658</v>
      </c>
      <c r="D314" s="1186" t="s">
        <v>1022</v>
      </c>
      <c r="E314" s="1187" t="s">
        <v>3106</v>
      </c>
      <c r="F314" s="1188" t="s">
        <v>3359</v>
      </c>
      <c r="G314" s="1202" t="s">
        <v>2294</v>
      </c>
      <c r="H314" s="1215" t="s">
        <v>96</v>
      </c>
      <c r="I314" s="144" t="s">
        <v>340</v>
      </c>
      <c r="J314" s="1221"/>
      <c r="K314" s="1235" t="s">
        <v>103</v>
      </c>
      <c r="L314" s="1244"/>
      <c r="M314" s="1168"/>
      <c r="N314" s="1149"/>
      <c r="O314" s="141" t="str">
        <f t="shared" si="4"/>
        <v xml:space="preserve">بلعزوز  </v>
      </c>
      <c r="P314" s="141" t="s">
        <v>507</v>
      </c>
      <c r="Q314" s="141" t="s">
        <v>1930</v>
      </c>
      <c r="R314" s="239"/>
      <c r="S314" s="989"/>
      <c r="T314" s="237"/>
      <c r="U314" s="28"/>
    </row>
    <row r="315" spans="1:25" s="838" customFormat="1" ht="16.5" customHeight="1">
      <c r="A315" s="140">
        <v>307</v>
      </c>
      <c r="B315" s="141"/>
      <c r="C315" s="1186" t="s">
        <v>2095</v>
      </c>
      <c r="D315" s="1186" t="s">
        <v>2035</v>
      </c>
      <c r="E315" s="1187" t="s">
        <v>3136</v>
      </c>
      <c r="F315" s="1188" t="s">
        <v>3338</v>
      </c>
      <c r="G315" s="1202" t="s">
        <v>2294</v>
      </c>
      <c r="H315" s="1215" t="s">
        <v>96</v>
      </c>
      <c r="I315" s="144" t="s">
        <v>340</v>
      </c>
      <c r="J315" s="1221" t="s">
        <v>3374</v>
      </c>
      <c r="K315" s="1235" t="s">
        <v>805</v>
      </c>
      <c r="L315" s="1244" t="s">
        <v>3713</v>
      </c>
      <c r="M315" s="1168"/>
      <c r="N315" s="1149"/>
      <c r="O315" s="141" t="str">
        <f t="shared" si="4"/>
        <v xml:space="preserve">بن حمودة  مختار </v>
      </c>
      <c r="P315" s="141" t="s">
        <v>630</v>
      </c>
      <c r="Q315" s="141" t="s">
        <v>1932</v>
      </c>
      <c r="R315" s="276"/>
      <c r="S315" s="989"/>
      <c r="T315" s="237"/>
      <c r="U315" s="28"/>
      <c r="V315" s="28"/>
      <c r="W315" s="28"/>
      <c r="X315" s="28"/>
      <c r="Y315" s="28"/>
    </row>
    <row r="316" spans="1:25" ht="16.5" customHeight="1">
      <c r="A316" s="140">
        <v>308</v>
      </c>
      <c r="B316" s="141"/>
      <c r="C316" s="1186" t="s">
        <v>2578</v>
      </c>
      <c r="D316" s="1186" t="s">
        <v>2659</v>
      </c>
      <c r="E316" s="1187" t="s">
        <v>3115</v>
      </c>
      <c r="F316" s="1188" t="s">
        <v>90</v>
      </c>
      <c r="G316" s="1202" t="s">
        <v>2294</v>
      </c>
      <c r="H316" s="1213" t="s">
        <v>96</v>
      </c>
      <c r="I316" s="144" t="s">
        <v>340</v>
      </c>
      <c r="J316" s="1221" t="s">
        <v>2079</v>
      </c>
      <c r="K316" s="1235" t="s">
        <v>111</v>
      </c>
      <c r="L316" s="1244" t="s">
        <v>3714</v>
      </c>
      <c r="M316" s="1168"/>
      <c r="N316" s="1149"/>
      <c r="O316" s="141" t="str">
        <f t="shared" si="4"/>
        <v xml:space="preserve">بن عياد  سحنون </v>
      </c>
      <c r="P316" s="141" t="s">
        <v>507</v>
      </c>
      <c r="Q316" s="141" t="s">
        <v>1929</v>
      </c>
      <c r="R316" s="276"/>
      <c r="S316" s="989"/>
      <c r="T316" s="237"/>
      <c r="U316" s="28"/>
    </row>
    <row r="317" spans="1:25" ht="16.5" customHeight="1">
      <c r="A317" s="140">
        <v>309</v>
      </c>
      <c r="B317" s="141"/>
      <c r="C317" s="1186" t="s">
        <v>2396</v>
      </c>
      <c r="D317" s="1186" t="s">
        <v>105</v>
      </c>
      <c r="E317" s="1187" t="s">
        <v>3137</v>
      </c>
      <c r="F317" s="1188" t="s">
        <v>3339</v>
      </c>
      <c r="G317" s="1202" t="s">
        <v>2294</v>
      </c>
      <c r="H317" s="1213" t="s">
        <v>96</v>
      </c>
      <c r="I317" s="144" t="s">
        <v>340</v>
      </c>
      <c r="J317" s="1221" t="s">
        <v>2325</v>
      </c>
      <c r="K317" s="1235" t="s">
        <v>92</v>
      </c>
      <c r="L317" s="1244" t="s">
        <v>3715</v>
      </c>
      <c r="M317" s="1168"/>
      <c r="N317" s="1149"/>
      <c r="O317" s="141" t="str">
        <f t="shared" si="4"/>
        <v xml:space="preserve">بن مايسة  محمد </v>
      </c>
      <c r="P317" s="141" t="s">
        <v>630</v>
      </c>
      <c r="Q317" s="141" t="s">
        <v>1930</v>
      </c>
      <c r="R317" s="276"/>
      <c r="S317" s="989"/>
      <c r="T317" s="404"/>
      <c r="U317" s="28"/>
    </row>
    <row r="318" spans="1:25" s="968" customFormat="1" ht="16.5" customHeight="1">
      <c r="A318" s="140">
        <v>310</v>
      </c>
      <c r="B318" s="141"/>
      <c r="C318" s="1186" t="s">
        <v>2338</v>
      </c>
      <c r="D318" s="1186" t="s">
        <v>706</v>
      </c>
      <c r="E318" s="1187" t="s">
        <v>3138</v>
      </c>
      <c r="F318" s="1188" t="s">
        <v>3339</v>
      </c>
      <c r="G318" s="1202" t="s">
        <v>2294</v>
      </c>
      <c r="H318" s="1213" t="s">
        <v>96</v>
      </c>
      <c r="I318" s="144" t="s">
        <v>340</v>
      </c>
      <c r="J318" s="1221" t="s">
        <v>3453</v>
      </c>
      <c r="K318" s="1235" t="s">
        <v>111</v>
      </c>
      <c r="L318" s="1244" t="s">
        <v>3716</v>
      </c>
      <c r="M318" s="1168"/>
      <c r="N318" s="1149"/>
      <c r="O318" s="141" t="str">
        <f t="shared" si="4"/>
        <v xml:space="preserve">بن يمينة  طاهر </v>
      </c>
      <c r="P318" s="141" t="s">
        <v>507</v>
      </c>
      <c r="Q318" s="141"/>
      <c r="R318" s="276"/>
      <c r="S318" s="989"/>
      <c r="T318" s="404"/>
      <c r="U318" s="28"/>
      <c r="V318" s="28"/>
      <c r="W318" s="28"/>
      <c r="X318" s="28"/>
      <c r="Y318" s="28"/>
    </row>
    <row r="319" spans="1:25" ht="16.5" customHeight="1">
      <c r="A319" s="140">
        <v>311</v>
      </c>
      <c r="B319" s="141"/>
      <c r="C319" s="1186" t="s">
        <v>2342</v>
      </c>
      <c r="D319" s="1186" t="s">
        <v>2660</v>
      </c>
      <c r="E319" s="1187" t="s">
        <v>3139</v>
      </c>
      <c r="F319" s="1188" t="s">
        <v>90</v>
      </c>
      <c r="G319" s="1202" t="s">
        <v>2294</v>
      </c>
      <c r="H319" s="1213" t="s">
        <v>96</v>
      </c>
      <c r="I319" s="144" t="s">
        <v>340</v>
      </c>
      <c r="J319" s="1221" t="s">
        <v>3372</v>
      </c>
      <c r="K319" s="1235" t="s">
        <v>119</v>
      </c>
      <c r="L319" s="1244" t="s">
        <v>3717</v>
      </c>
      <c r="M319" s="1168"/>
      <c r="N319" s="1149"/>
      <c r="O319" s="141" t="str">
        <f t="shared" si="4"/>
        <v xml:space="preserve">بوتمة  لخضر </v>
      </c>
      <c r="P319" s="141" t="s">
        <v>507</v>
      </c>
      <c r="Q319" s="141" t="s">
        <v>1930</v>
      </c>
      <c r="R319" s="276"/>
      <c r="S319" s="989"/>
      <c r="T319" s="237"/>
      <c r="U319" s="28"/>
    </row>
    <row r="320" spans="1:25" ht="16.5" customHeight="1">
      <c r="A320" s="140">
        <v>312</v>
      </c>
      <c r="B320" s="141"/>
      <c r="C320" s="1186" t="s">
        <v>168</v>
      </c>
      <c r="D320" s="1186" t="s">
        <v>146</v>
      </c>
      <c r="E320" s="1187" t="s">
        <v>3140</v>
      </c>
      <c r="F320" s="1188" t="s">
        <v>3339</v>
      </c>
      <c r="G320" s="1202" t="s">
        <v>2294</v>
      </c>
      <c r="H320" s="1213" t="s">
        <v>96</v>
      </c>
      <c r="I320" s="144" t="s">
        <v>340</v>
      </c>
      <c r="J320" s="1221" t="s">
        <v>2325</v>
      </c>
      <c r="K320" s="1234" t="s">
        <v>111</v>
      </c>
      <c r="L320" s="1244" t="s">
        <v>3718</v>
      </c>
      <c r="M320" s="1168"/>
      <c r="N320" s="1149"/>
      <c r="O320" s="141" t="str">
        <f t="shared" si="4"/>
        <v xml:space="preserve">بوخالفة  محمد </v>
      </c>
      <c r="P320" s="141" t="s">
        <v>630</v>
      </c>
      <c r="Q320" s="141" t="s">
        <v>1930</v>
      </c>
      <c r="R320" s="276"/>
      <c r="S320" s="989"/>
      <c r="T320" s="237"/>
      <c r="U320" s="28"/>
    </row>
    <row r="321" spans="1:25" s="968" customFormat="1" ht="16.5" customHeight="1">
      <c r="A321" s="140">
        <v>313</v>
      </c>
      <c r="B321" s="141"/>
      <c r="C321" s="1186" t="s">
        <v>2661</v>
      </c>
      <c r="D321" s="1186" t="s">
        <v>2662</v>
      </c>
      <c r="E321" s="1187" t="s">
        <v>3141</v>
      </c>
      <c r="F321" s="1188" t="s">
        <v>90</v>
      </c>
      <c r="G321" s="1202" t="s">
        <v>2294</v>
      </c>
      <c r="H321" s="1213" t="s">
        <v>96</v>
      </c>
      <c r="I321" s="144" t="s">
        <v>340</v>
      </c>
      <c r="J321" s="1221" t="s">
        <v>2316</v>
      </c>
      <c r="K321" s="1235" t="s">
        <v>1192</v>
      </c>
      <c r="L321" s="1244" t="s">
        <v>494</v>
      </c>
      <c r="M321" s="1168"/>
      <c r="N321" s="1149"/>
      <c r="O321" s="141" t="str">
        <f t="shared" si="4"/>
        <v xml:space="preserve">بوشريح  قدور </v>
      </c>
      <c r="P321" s="141" t="s">
        <v>630</v>
      </c>
      <c r="Q321" s="141"/>
      <c r="R321" s="276"/>
      <c r="S321" s="989"/>
      <c r="T321" s="237"/>
      <c r="U321" s="28"/>
      <c r="V321" s="28"/>
      <c r="W321" s="28"/>
      <c r="X321" s="28"/>
      <c r="Y321" s="28"/>
    </row>
    <row r="322" spans="1:25" ht="16.5" customHeight="1">
      <c r="A322" s="140">
        <v>314</v>
      </c>
      <c r="B322" s="141"/>
      <c r="C322" s="1186" t="s">
        <v>2426</v>
      </c>
      <c r="D322" s="1186" t="s">
        <v>174</v>
      </c>
      <c r="E322" s="1187" t="s">
        <v>3110</v>
      </c>
      <c r="F322" s="1188" t="s">
        <v>90</v>
      </c>
      <c r="G322" s="1202" t="s">
        <v>2294</v>
      </c>
      <c r="H322" s="1213" t="s">
        <v>91</v>
      </c>
      <c r="I322" s="144" t="s">
        <v>340</v>
      </c>
      <c r="J322" s="1221" t="s">
        <v>3449</v>
      </c>
      <c r="K322" s="1235" t="s">
        <v>2163</v>
      </c>
      <c r="L322" s="1244" t="s">
        <v>3642</v>
      </c>
      <c r="M322" s="1168"/>
      <c r="N322" s="1149"/>
      <c r="O322" s="141" t="str">
        <f t="shared" si="4"/>
        <v xml:space="preserve">بوقناية  الحاج </v>
      </c>
      <c r="P322" s="141" t="s">
        <v>507</v>
      </c>
      <c r="Q322" s="141" t="s">
        <v>1929</v>
      </c>
      <c r="R322" s="239"/>
      <c r="S322" s="989"/>
      <c r="T322" s="237"/>
      <c r="U322" s="28"/>
    </row>
    <row r="323" spans="1:25" ht="16.5" customHeight="1">
      <c r="A323" s="140">
        <v>315</v>
      </c>
      <c r="B323" s="141"/>
      <c r="C323" s="1183" t="s">
        <v>2587</v>
      </c>
      <c r="D323" s="1183" t="s">
        <v>2663</v>
      </c>
      <c r="E323" s="1184" t="s">
        <v>3142</v>
      </c>
      <c r="F323" s="1185" t="s">
        <v>3338</v>
      </c>
      <c r="G323" s="1201" t="s">
        <v>2294</v>
      </c>
      <c r="H323" s="1209" t="s">
        <v>96</v>
      </c>
      <c r="I323" s="144" t="s">
        <v>340</v>
      </c>
      <c r="J323" s="1220" t="s">
        <v>3454</v>
      </c>
      <c r="K323" s="1233" t="s">
        <v>111</v>
      </c>
      <c r="L323" s="1245" t="s">
        <v>3719</v>
      </c>
      <c r="M323" s="1169"/>
      <c r="N323" s="1149"/>
      <c r="O323" s="141" t="str">
        <f t="shared" si="4"/>
        <v xml:space="preserve">بومعزة  مولاي أحمد </v>
      </c>
      <c r="P323" s="141" t="s">
        <v>507</v>
      </c>
      <c r="Q323" s="141" t="s">
        <v>1930</v>
      </c>
      <c r="R323" s="276"/>
      <c r="S323" s="989"/>
      <c r="T323" s="237"/>
      <c r="U323" s="28"/>
    </row>
    <row r="324" spans="1:25" ht="16.5" customHeight="1">
      <c r="A324" s="140">
        <v>316</v>
      </c>
      <c r="B324" s="141"/>
      <c r="C324" s="1186" t="s">
        <v>2461</v>
      </c>
      <c r="D324" s="1186" t="s">
        <v>1103</v>
      </c>
      <c r="E324" s="1187" t="s">
        <v>3143</v>
      </c>
      <c r="F324" s="1188" t="s">
        <v>3338</v>
      </c>
      <c r="G324" s="1202" t="s">
        <v>2294</v>
      </c>
      <c r="H324" s="1213" t="s">
        <v>96</v>
      </c>
      <c r="I324" s="144" t="s">
        <v>340</v>
      </c>
      <c r="J324" s="1221" t="s">
        <v>1991</v>
      </c>
      <c r="K324" s="1235" t="s">
        <v>805</v>
      </c>
      <c r="L324" s="1244" t="s">
        <v>494</v>
      </c>
      <c r="M324" s="1168"/>
      <c r="N324" s="1149"/>
      <c r="O324" s="141" t="str">
        <f t="shared" si="4"/>
        <v xml:space="preserve">جبار  بوراس </v>
      </c>
      <c r="P324" s="141" t="s">
        <v>507</v>
      </c>
      <c r="Q324" s="141" t="s">
        <v>1929</v>
      </c>
      <c r="R324" s="276"/>
      <c r="S324" s="989"/>
      <c r="T324" s="237"/>
      <c r="U324" s="28"/>
    </row>
    <row r="325" spans="1:25" ht="16.5" customHeight="1">
      <c r="A325" s="140">
        <v>317</v>
      </c>
      <c r="B325" s="141"/>
      <c r="C325" s="1183" t="s">
        <v>2432</v>
      </c>
      <c r="D325" s="1183" t="s">
        <v>1062</v>
      </c>
      <c r="E325" s="1184" t="s">
        <v>3144</v>
      </c>
      <c r="F325" s="1185" t="s">
        <v>3339</v>
      </c>
      <c r="G325" s="1201" t="s">
        <v>2294</v>
      </c>
      <c r="H325" s="1209" t="s">
        <v>96</v>
      </c>
      <c r="I325" s="144" t="s">
        <v>340</v>
      </c>
      <c r="J325" s="1220" t="s">
        <v>3455</v>
      </c>
      <c r="K325" s="1233" t="s">
        <v>135</v>
      </c>
      <c r="L325" s="1245" t="s">
        <v>3720</v>
      </c>
      <c r="M325" s="1169"/>
      <c r="N325" s="1149"/>
      <c r="O325" s="141" t="str">
        <f t="shared" si="4"/>
        <v xml:space="preserve">حافظي  عامر </v>
      </c>
      <c r="P325" s="141" t="s">
        <v>630</v>
      </c>
      <c r="Q325" s="141" t="s">
        <v>1929</v>
      </c>
      <c r="R325" s="276"/>
      <c r="S325" s="989"/>
      <c r="T325" s="237"/>
      <c r="U325" s="28"/>
    </row>
    <row r="326" spans="1:25" s="401" customFormat="1" ht="16.5" customHeight="1">
      <c r="A326" s="140">
        <v>318</v>
      </c>
      <c r="B326" s="141"/>
      <c r="C326" s="1186" t="s">
        <v>2664</v>
      </c>
      <c r="D326" s="1186" t="s">
        <v>2205</v>
      </c>
      <c r="E326" s="1187" t="s">
        <v>3145</v>
      </c>
      <c r="F326" s="1188" t="s">
        <v>90</v>
      </c>
      <c r="G326" s="1202" t="s">
        <v>2294</v>
      </c>
      <c r="H326" s="1213" t="s">
        <v>96</v>
      </c>
      <c r="I326" s="144" t="s">
        <v>340</v>
      </c>
      <c r="J326" s="1221" t="s">
        <v>2325</v>
      </c>
      <c r="K326" s="1235" t="s">
        <v>102</v>
      </c>
      <c r="L326" s="1244" t="s">
        <v>3721</v>
      </c>
      <c r="M326" s="1168"/>
      <c r="N326" s="1149"/>
      <c r="O326" s="141" t="str">
        <f t="shared" si="4"/>
        <v xml:space="preserve">حمداوي  محمد </v>
      </c>
      <c r="P326" s="141" t="s">
        <v>630</v>
      </c>
      <c r="Q326" s="141" t="s">
        <v>1929</v>
      </c>
      <c r="R326" s="276"/>
      <c r="S326" s="989"/>
      <c r="T326" s="237"/>
      <c r="U326" s="28"/>
      <c r="V326" s="28"/>
      <c r="W326" s="28"/>
      <c r="X326" s="28"/>
      <c r="Y326" s="28"/>
    </row>
    <row r="327" spans="1:25" ht="16.5" customHeight="1">
      <c r="A327" s="140">
        <v>319</v>
      </c>
      <c r="B327" s="141"/>
      <c r="C327" s="1186" t="s">
        <v>2665</v>
      </c>
      <c r="D327" s="1186" t="s">
        <v>2666</v>
      </c>
      <c r="E327" s="1187" t="s">
        <v>3146</v>
      </c>
      <c r="F327" s="1188" t="s">
        <v>90</v>
      </c>
      <c r="G327" s="1202" t="s">
        <v>2294</v>
      </c>
      <c r="H327" s="1213" t="s">
        <v>96</v>
      </c>
      <c r="I327" s="144" t="s">
        <v>340</v>
      </c>
      <c r="J327" s="1221"/>
      <c r="K327" s="1235" t="s">
        <v>128</v>
      </c>
      <c r="L327" s="1244"/>
      <c r="M327" s="1168"/>
      <c r="N327" s="1149"/>
      <c r="O327" s="141" t="str">
        <f t="shared" si="4"/>
        <v xml:space="preserve">دباب  </v>
      </c>
      <c r="P327" s="141" t="s">
        <v>507</v>
      </c>
      <c r="Q327" s="141" t="s">
        <v>1930</v>
      </c>
      <c r="R327" s="276"/>
      <c r="S327" s="989"/>
      <c r="T327" s="237"/>
      <c r="U327" s="28"/>
    </row>
    <row r="328" spans="1:25" ht="16.5" customHeight="1">
      <c r="A328" s="140">
        <v>320</v>
      </c>
      <c r="B328" s="141"/>
      <c r="C328" s="1183" t="s">
        <v>2308</v>
      </c>
      <c r="D328" s="1183" t="s">
        <v>2422</v>
      </c>
      <c r="E328" s="1190" t="s">
        <v>3147</v>
      </c>
      <c r="F328" s="1191" t="s">
        <v>90</v>
      </c>
      <c r="G328" s="1201" t="s">
        <v>2294</v>
      </c>
      <c r="H328" s="1209" t="s">
        <v>91</v>
      </c>
      <c r="I328" s="144" t="s">
        <v>340</v>
      </c>
      <c r="J328" s="1222" t="s">
        <v>3456</v>
      </c>
      <c r="K328" s="1233" t="s">
        <v>92</v>
      </c>
      <c r="L328" s="1246" t="s">
        <v>494</v>
      </c>
      <c r="M328" s="1168"/>
      <c r="N328" s="1149"/>
      <c r="O328" s="141" t="str">
        <f t="shared" si="4"/>
        <v xml:space="preserve">سلاف  بخلف </v>
      </c>
      <c r="P328" s="141" t="s">
        <v>507</v>
      </c>
      <c r="Q328" s="141" t="s">
        <v>1930</v>
      </c>
      <c r="R328" s="276"/>
      <c r="S328" s="989"/>
      <c r="T328" s="237"/>
      <c r="U328" s="28"/>
    </row>
    <row r="329" spans="1:25" ht="16.5" customHeight="1">
      <c r="A329" s="140">
        <v>321</v>
      </c>
      <c r="B329" s="141"/>
      <c r="C329" s="1186" t="s">
        <v>165</v>
      </c>
      <c r="D329" s="1186" t="s">
        <v>43</v>
      </c>
      <c r="E329" s="1187" t="s">
        <v>3148</v>
      </c>
      <c r="F329" s="1188" t="s">
        <v>3339</v>
      </c>
      <c r="G329" s="1202" t="s">
        <v>2294</v>
      </c>
      <c r="H329" s="1213" t="s">
        <v>91</v>
      </c>
      <c r="I329" s="144" t="s">
        <v>340</v>
      </c>
      <c r="J329" s="1221" t="s">
        <v>3457</v>
      </c>
      <c r="K329" s="1235" t="s">
        <v>128</v>
      </c>
      <c r="L329" s="1244" t="s">
        <v>3722</v>
      </c>
      <c r="M329" s="1170"/>
      <c r="N329" s="1149"/>
      <c r="O329" s="141" t="str">
        <f t="shared" si="4"/>
        <v xml:space="preserve">صحراوي  زين الدين </v>
      </c>
      <c r="P329" s="141" t="s">
        <v>507</v>
      </c>
      <c r="Q329" s="141" t="s">
        <v>1929</v>
      </c>
      <c r="R329" s="239"/>
      <c r="S329" s="989"/>
      <c r="T329" s="671" t="s">
        <v>628</v>
      </c>
      <c r="U329" s="28"/>
    </row>
    <row r="330" spans="1:25" ht="16.5" customHeight="1">
      <c r="A330" s="140">
        <v>322</v>
      </c>
      <c r="B330" s="141"/>
      <c r="C330" s="1186" t="s">
        <v>2521</v>
      </c>
      <c r="D330" s="1186" t="s">
        <v>2653</v>
      </c>
      <c r="E330" s="1187" t="s">
        <v>3130</v>
      </c>
      <c r="F330" s="1188" t="s">
        <v>3339</v>
      </c>
      <c r="G330" s="1202" t="s">
        <v>2294</v>
      </c>
      <c r="H330" s="1213" t="s">
        <v>91</v>
      </c>
      <c r="I330" s="144" t="s">
        <v>340</v>
      </c>
      <c r="J330" s="1221" t="s">
        <v>2325</v>
      </c>
      <c r="K330" s="1235" t="s">
        <v>103</v>
      </c>
      <c r="L330" s="1244" t="s">
        <v>494</v>
      </c>
      <c r="M330" s="1168"/>
      <c r="N330" s="1149"/>
      <c r="O330" s="141" t="str">
        <f t="shared" ref="O330:O393" si="5">(C330&amp;"  "&amp;J330)</f>
        <v xml:space="preserve">عبد الباكور  محمد </v>
      </c>
      <c r="P330" s="141" t="s">
        <v>630</v>
      </c>
      <c r="Q330" s="141" t="s">
        <v>1929</v>
      </c>
      <c r="R330" s="239"/>
      <c r="S330" s="989"/>
      <c r="T330" s="671" t="s">
        <v>628</v>
      </c>
      <c r="U330" s="28"/>
      <c r="V330"/>
      <c r="W330"/>
      <c r="X330"/>
      <c r="Y330"/>
    </row>
    <row r="331" spans="1:25" s="836" customFormat="1" ht="16.5" customHeight="1">
      <c r="A331" s="140">
        <v>323</v>
      </c>
      <c r="B331" s="141"/>
      <c r="C331" s="1186" t="s">
        <v>2033</v>
      </c>
      <c r="D331" s="1186" t="s">
        <v>2480</v>
      </c>
      <c r="E331" s="1187" t="s">
        <v>3149</v>
      </c>
      <c r="F331" s="1188" t="s">
        <v>3338</v>
      </c>
      <c r="G331" s="1202" t="s">
        <v>2294</v>
      </c>
      <c r="H331" s="1213" t="s">
        <v>96</v>
      </c>
      <c r="I331" s="144" t="s">
        <v>340</v>
      </c>
      <c r="J331" s="1221" t="s">
        <v>3390</v>
      </c>
      <c r="K331" s="1235" t="s">
        <v>103</v>
      </c>
      <c r="L331" s="1244" t="s">
        <v>3723</v>
      </c>
      <c r="M331" s="1168"/>
      <c r="N331" s="1149"/>
      <c r="O331" s="141" t="str">
        <f t="shared" si="5"/>
        <v xml:space="preserve">عبد الحميد  حبيب </v>
      </c>
      <c r="P331" s="141" t="s">
        <v>507</v>
      </c>
      <c r="Q331" s="141" t="s">
        <v>1937</v>
      </c>
      <c r="R331" s="239"/>
      <c r="S331" s="989"/>
      <c r="T331" s="671"/>
      <c r="U331" s="28"/>
    </row>
    <row r="332" spans="1:25" ht="16.5" customHeight="1">
      <c r="A332" s="140">
        <v>324</v>
      </c>
      <c r="B332" s="141"/>
      <c r="C332" s="1186" t="s">
        <v>2033</v>
      </c>
      <c r="D332" s="1186" t="s">
        <v>697</v>
      </c>
      <c r="E332" s="1187" t="s">
        <v>3006</v>
      </c>
      <c r="F332" s="1188" t="s">
        <v>3339</v>
      </c>
      <c r="G332" s="1202" t="s">
        <v>2294</v>
      </c>
      <c r="H332" s="1213" t="s">
        <v>96</v>
      </c>
      <c r="I332" s="144" t="s">
        <v>340</v>
      </c>
      <c r="J332" s="1221" t="s">
        <v>3449</v>
      </c>
      <c r="K332" s="1235" t="s">
        <v>128</v>
      </c>
      <c r="L332" s="1244" t="s">
        <v>3724</v>
      </c>
      <c r="M332" s="1168"/>
      <c r="N332" s="1149"/>
      <c r="O332" s="141" t="str">
        <f t="shared" si="5"/>
        <v xml:space="preserve">عبد الحميد  الحاج </v>
      </c>
      <c r="P332" s="141" t="s">
        <v>507</v>
      </c>
      <c r="Q332" s="141" t="s">
        <v>1929</v>
      </c>
      <c r="R332" s="239"/>
      <c r="S332" s="989"/>
      <c r="T332" s="671" t="s">
        <v>628</v>
      </c>
      <c r="U332" s="28"/>
      <c r="V332"/>
      <c r="W332"/>
      <c r="X332"/>
      <c r="Y332"/>
    </row>
    <row r="333" spans="1:25" ht="16.5" customHeight="1">
      <c r="A333" s="140">
        <v>325</v>
      </c>
      <c r="B333" s="141"/>
      <c r="C333" s="1186" t="s">
        <v>2514</v>
      </c>
      <c r="D333" s="1186" t="s">
        <v>139</v>
      </c>
      <c r="E333" s="1187" t="s">
        <v>3131</v>
      </c>
      <c r="F333" s="1188" t="s">
        <v>3358</v>
      </c>
      <c r="G333" s="1202" t="s">
        <v>2294</v>
      </c>
      <c r="H333" s="1213" t="s">
        <v>91</v>
      </c>
      <c r="I333" s="144" t="s">
        <v>340</v>
      </c>
      <c r="J333" s="1221" t="s">
        <v>3451</v>
      </c>
      <c r="K333" s="1235" t="s">
        <v>111</v>
      </c>
      <c r="L333" s="1244" t="s">
        <v>3707</v>
      </c>
      <c r="M333" s="1168"/>
      <c r="N333" s="1149"/>
      <c r="O333" s="141" t="str">
        <f t="shared" si="5"/>
        <v xml:space="preserve">غلامي  لعرج </v>
      </c>
      <c r="P333" s="141" t="s">
        <v>630</v>
      </c>
      <c r="Q333" s="141"/>
      <c r="R333" s="276"/>
      <c r="S333" s="989"/>
      <c r="T333" s="671" t="s">
        <v>628</v>
      </c>
      <c r="U333" s="28"/>
      <c r="V333"/>
      <c r="W333"/>
      <c r="X333"/>
      <c r="Y333"/>
    </row>
    <row r="334" spans="1:25" ht="16.5" customHeight="1">
      <c r="A334" s="140">
        <v>326</v>
      </c>
      <c r="B334" s="141"/>
      <c r="C334" s="1186" t="s">
        <v>2603</v>
      </c>
      <c r="D334" s="1186" t="s">
        <v>2667</v>
      </c>
      <c r="E334" s="1187" t="s">
        <v>3150</v>
      </c>
      <c r="F334" s="1188" t="s">
        <v>3347</v>
      </c>
      <c r="G334" s="1202" t="s">
        <v>2294</v>
      </c>
      <c r="H334" s="1213" t="s">
        <v>91</v>
      </c>
      <c r="I334" s="144" t="s">
        <v>340</v>
      </c>
      <c r="J334" s="1221" t="s">
        <v>3422</v>
      </c>
      <c r="K334" s="1235" t="s">
        <v>128</v>
      </c>
      <c r="L334" s="1244" t="s">
        <v>3725</v>
      </c>
      <c r="M334" s="1168"/>
      <c r="N334" s="1149"/>
      <c r="O334" s="141" t="str">
        <f t="shared" si="5"/>
        <v xml:space="preserve">فناني  بوجمعة </v>
      </c>
      <c r="P334" s="141" t="s">
        <v>630</v>
      </c>
      <c r="Q334" s="141" t="s">
        <v>1929</v>
      </c>
      <c r="R334" s="276"/>
      <c r="S334" s="989"/>
      <c r="T334" s="671" t="s">
        <v>628</v>
      </c>
      <c r="U334" s="28"/>
      <c r="V334"/>
      <c r="W334"/>
      <c r="X334"/>
      <c r="Y334"/>
    </row>
    <row r="335" spans="1:25" ht="16.5" customHeight="1">
      <c r="A335" s="140">
        <v>327</v>
      </c>
      <c r="B335" s="141"/>
      <c r="C335" s="1186" t="s">
        <v>2668</v>
      </c>
      <c r="D335" s="1186" t="s">
        <v>2669</v>
      </c>
      <c r="E335" s="1187" t="s">
        <v>2875</v>
      </c>
      <c r="F335" s="1188" t="s">
        <v>202</v>
      </c>
      <c r="G335" s="1202" t="s">
        <v>2294</v>
      </c>
      <c r="H335" s="1213" t="s">
        <v>96</v>
      </c>
      <c r="I335" s="144" t="s">
        <v>340</v>
      </c>
      <c r="J335" s="1221" t="s">
        <v>3434</v>
      </c>
      <c r="K335" s="1235" t="s">
        <v>97</v>
      </c>
      <c r="L335" s="1244" t="s">
        <v>494</v>
      </c>
      <c r="M335" s="1168"/>
      <c r="N335" s="1149"/>
      <c r="O335" s="141" t="str">
        <f t="shared" si="5"/>
        <v xml:space="preserve">مجاهدي  معمر </v>
      </c>
      <c r="P335" s="141" t="s">
        <v>507</v>
      </c>
      <c r="Q335" s="141" t="s">
        <v>1929</v>
      </c>
      <c r="R335" s="276"/>
      <c r="S335" s="989"/>
      <c r="T335" s="237"/>
      <c r="U335" s="28"/>
      <c r="V335"/>
      <c r="W335"/>
      <c r="X335"/>
      <c r="Y335"/>
    </row>
    <row r="336" spans="1:25" ht="16.5" customHeight="1">
      <c r="A336" s="140">
        <v>328</v>
      </c>
      <c r="B336" s="141"/>
      <c r="C336" s="1183" t="s">
        <v>2606</v>
      </c>
      <c r="D336" s="1183" t="s">
        <v>2670</v>
      </c>
      <c r="E336" s="1184" t="s">
        <v>3151</v>
      </c>
      <c r="F336" s="1191" t="s">
        <v>3338</v>
      </c>
      <c r="G336" s="1201" t="s">
        <v>2294</v>
      </c>
      <c r="H336" s="1209" t="s">
        <v>96</v>
      </c>
      <c r="I336" s="144" t="s">
        <v>340</v>
      </c>
      <c r="J336" s="1222" t="s">
        <v>3407</v>
      </c>
      <c r="K336" s="1233" t="s">
        <v>103</v>
      </c>
      <c r="L336" s="1246" t="s">
        <v>3726</v>
      </c>
      <c r="M336" s="1168"/>
      <c r="N336" s="1149"/>
      <c r="O336" s="141" t="str">
        <f t="shared" si="5"/>
        <v xml:space="preserve">مصري  يوب </v>
      </c>
      <c r="P336" s="141" t="s">
        <v>507</v>
      </c>
      <c r="Q336" s="141" t="s">
        <v>1929</v>
      </c>
      <c r="R336" s="276"/>
      <c r="S336" s="989"/>
      <c r="T336" s="259"/>
      <c r="U336" s="28"/>
      <c r="V336"/>
      <c r="W336"/>
      <c r="X336"/>
      <c r="Y336"/>
    </row>
    <row r="337" spans="1:25" ht="16.5" customHeight="1">
      <c r="A337" s="140">
        <v>329</v>
      </c>
      <c r="B337" s="141"/>
      <c r="C337" s="1186" t="s">
        <v>2628</v>
      </c>
      <c r="D337" s="1186" t="s">
        <v>2337</v>
      </c>
      <c r="E337" s="1187" t="s">
        <v>3152</v>
      </c>
      <c r="F337" s="1188" t="s">
        <v>3339</v>
      </c>
      <c r="G337" s="1202" t="s">
        <v>2294</v>
      </c>
      <c r="H337" s="1213" t="s">
        <v>96</v>
      </c>
      <c r="I337" s="144" t="s">
        <v>340</v>
      </c>
      <c r="J337" s="1221" t="s">
        <v>2309</v>
      </c>
      <c r="K337" s="1235" t="s">
        <v>111</v>
      </c>
      <c r="L337" s="1244" t="s">
        <v>3727</v>
      </c>
      <c r="M337" s="1170"/>
      <c r="N337" s="1149"/>
      <c r="O337" s="141" t="str">
        <f t="shared" si="5"/>
        <v xml:space="preserve">موساوي  بخدة </v>
      </c>
      <c r="P337" s="141" t="s">
        <v>630</v>
      </c>
      <c r="Q337" s="141" t="s">
        <v>1929</v>
      </c>
      <c r="R337" s="276"/>
      <c r="S337" s="989"/>
      <c r="T337" s="404"/>
      <c r="U337" s="28"/>
      <c r="V337"/>
      <c r="W337"/>
      <c r="X337"/>
      <c r="Y337"/>
    </row>
    <row r="338" spans="1:25" s="822" customFormat="1" ht="16.5" customHeight="1">
      <c r="A338" s="140">
        <v>330</v>
      </c>
      <c r="B338" s="141"/>
      <c r="C338" s="1186" t="s">
        <v>2671</v>
      </c>
      <c r="D338" s="1186" t="s">
        <v>146</v>
      </c>
      <c r="E338" s="1187" t="s">
        <v>3153</v>
      </c>
      <c r="F338" s="1188" t="s">
        <v>90</v>
      </c>
      <c r="G338" s="1202" t="s">
        <v>2294</v>
      </c>
      <c r="H338" s="1213" t="s">
        <v>96</v>
      </c>
      <c r="I338" s="144" t="s">
        <v>340</v>
      </c>
      <c r="J338" s="1221" t="s">
        <v>3458</v>
      </c>
      <c r="K338" s="1235" t="s">
        <v>160</v>
      </c>
      <c r="L338" s="1244" t="s">
        <v>3728</v>
      </c>
      <c r="M338" s="1168"/>
      <c r="N338" s="1149"/>
      <c r="O338" s="141" t="str">
        <f t="shared" si="5"/>
        <v xml:space="preserve">مومين  ميمون </v>
      </c>
      <c r="P338" s="141" t="s">
        <v>630</v>
      </c>
      <c r="Q338" s="141"/>
      <c r="R338" s="276"/>
      <c r="S338" s="989"/>
      <c r="T338" s="404"/>
      <c r="U338" s="28"/>
    </row>
    <row r="339" spans="1:25" ht="16.5" customHeight="1">
      <c r="A339" s="140">
        <v>331</v>
      </c>
      <c r="B339" s="141"/>
      <c r="C339" s="1186" t="s">
        <v>185</v>
      </c>
      <c r="D339" s="1186" t="s">
        <v>21</v>
      </c>
      <c r="E339" s="1187" t="s">
        <v>3154</v>
      </c>
      <c r="F339" s="1188" t="s">
        <v>3338</v>
      </c>
      <c r="G339" s="1202" t="s">
        <v>2294</v>
      </c>
      <c r="H339" s="1213" t="s">
        <v>91</v>
      </c>
      <c r="I339" s="144" t="s">
        <v>340</v>
      </c>
      <c r="J339" s="1221" t="s">
        <v>2101</v>
      </c>
      <c r="K339" s="1235" t="s">
        <v>111</v>
      </c>
      <c r="L339" s="1244" t="s">
        <v>494</v>
      </c>
      <c r="M339" s="1168"/>
      <c r="N339" s="1149"/>
      <c r="O339" s="141" t="str">
        <f t="shared" si="5"/>
        <v xml:space="preserve">نوالة  أحمد </v>
      </c>
      <c r="P339" s="141" t="s">
        <v>507</v>
      </c>
      <c r="Q339" s="141" t="s">
        <v>1931</v>
      </c>
      <c r="R339" s="276"/>
      <c r="S339" s="989"/>
      <c r="T339" s="237"/>
      <c r="U339" s="28"/>
      <c r="V339"/>
      <c r="W339"/>
      <c r="X339"/>
      <c r="Y339"/>
    </row>
    <row r="340" spans="1:25" ht="16.5" customHeight="1">
      <c r="A340" s="140">
        <v>332</v>
      </c>
      <c r="B340" s="141"/>
      <c r="C340" s="1186" t="s">
        <v>2393</v>
      </c>
      <c r="D340" s="1186" t="s">
        <v>2672</v>
      </c>
      <c r="E340" s="1187" t="s">
        <v>3155</v>
      </c>
      <c r="F340" s="1188" t="s">
        <v>3339</v>
      </c>
      <c r="G340" s="1202" t="s">
        <v>2294</v>
      </c>
      <c r="H340" s="1213" t="s">
        <v>96</v>
      </c>
      <c r="I340" s="144" t="s">
        <v>340</v>
      </c>
      <c r="J340" s="1221" t="s">
        <v>494</v>
      </c>
      <c r="K340" s="1235" t="s">
        <v>103</v>
      </c>
      <c r="L340" s="1244" t="s">
        <v>3729</v>
      </c>
      <c r="M340" s="1168"/>
      <c r="N340" s="1149"/>
      <c r="O340" s="141" t="str">
        <f t="shared" si="5"/>
        <v xml:space="preserve">هامل   </v>
      </c>
      <c r="P340" s="141" t="s">
        <v>507</v>
      </c>
      <c r="Q340" s="141" t="s">
        <v>1931</v>
      </c>
      <c r="R340" s="276"/>
      <c r="S340" s="989"/>
      <c r="T340" s="237"/>
      <c r="U340" s="28"/>
      <c r="V340"/>
      <c r="W340"/>
      <c r="X340"/>
      <c r="Y340"/>
    </row>
    <row r="341" spans="1:25" ht="16.5" customHeight="1">
      <c r="A341" s="140">
        <v>333</v>
      </c>
      <c r="B341" s="141"/>
      <c r="C341" s="1183" t="s">
        <v>1847</v>
      </c>
      <c r="D341" s="1183" t="s">
        <v>2673</v>
      </c>
      <c r="E341" s="1184" t="s">
        <v>3156</v>
      </c>
      <c r="F341" s="1185" t="s">
        <v>3339</v>
      </c>
      <c r="G341" s="1201" t="s">
        <v>2294</v>
      </c>
      <c r="H341" s="1209" t="s">
        <v>96</v>
      </c>
      <c r="I341" s="144" t="s">
        <v>340</v>
      </c>
      <c r="J341" s="1222" t="s">
        <v>2332</v>
      </c>
      <c r="K341" s="1233" t="s">
        <v>111</v>
      </c>
      <c r="L341" s="1246" t="s">
        <v>3730</v>
      </c>
      <c r="M341" s="1168"/>
      <c r="N341" s="1149"/>
      <c r="O341" s="141" t="str">
        <f t="shared" si="5"/>
        <v xml:space="preserve">واجد  عبد القادر </v>
      </c>
      <c r="P341" s="141" t="s">
        <v>506</v>
      </c>
      <c r="Q341" s="141" t="s">
        <v>1931</v>
      </c>
      <c r="R341" s="276"/>
      <c r="S341" s="989"/>
      <c r="T341" s="237"/>
      <c r="U341" s="28"/>
      <c r="V341"/>
      <c r="W341"/>
      <c r="X341"/>
      <c r="Y341"/>
    </row>
    <row r="342" spans="1:25" s="837" customFormat="1" ht="16.5" customHeight="1">
      <c r="A342" s="140">
        <v>334</v>
      </c>
      <c r="B342" s="141"/>
      <c r="C342" s="1186" t="s">
        <v>1997</v>
      </c>
      <c r="D342" s="1186" t="s">
        <v>2674</v>
      </c>
      <c r="E342" s="1187" t="s">
        <v>2959</v>
      </c>
      <c r="F342" s="1188" t="s">
        <v>3339</v>
      </c>
      <c r="G342" s="1202" t="s">
        <v>2294</v>
      </c>
      <c r="H342" s="1213" t="s">
        <v>96</v>
      </c>
      <c r="I342" s="144" t="s">
        <v>340</v>
      </c>
      <c r="J342" s="1221" t="s">
        <v>2332</v>
      </c>
      <c r="K342" s="1235" t="s">
        <v>128</v>
      </c>
      <c r="L342" s="1244" t="s">
        <v>494</v>
      </c>
      <c r="M342" s="1168"/>
      <c r="N342" s="1149"/>
      <c r="O342" s="141" t="str">
        <f t="shared" si="5"/>
        <v xml:space="preserve">يعقوب  عبد القادر </v>
      </c>
      <c r="P342" s="141" t="s">
        <v>632</v>
      </c>
      <c r="Q342" s="141" t="s">
        <v>1928</v>
      </c>
      <c r="R342" s="276"/>
      <c r="S342" s="989"/>
      <c r="T342" s="237"/>
      <c r="U342" s="28"/>
    </row>
    <row r="343" spans="1:25" ht="16.5" customHeight="1">
      <c r="A343" s="140">
        <v>335</v>
      </c>
      <c r="B343" s="141"/>
      <c r="C343" s="1183" t="s">
        <v>1472</v>
      </c>
      <c r="D343" s="1183" t="s">
        <v>2560</v>
      </c>
      <c r="E343" s="1184" t="s">
        <v>3157</v>
      </c>
      <c r="F343" s="1185" t="s">
        <v>90</v>
      </c>
      <c r="G343" s="1201" t="s">
        <v>2294</v>
      </c>
      <c r="H343" s="1209" t="s">
        <v>96</v>
      </c>
      <c r="I343" s="144" t="s">
        <v>340</v>
      </c>
      <c r="J343" s="1222" t="s">
        <v>2325</v>
      </c>
      <c r="K343" s="1233" t="s">
        <v>135</v>
      </c>
      <c r="L343" s="1246" t="s">
        <v>3585</v>
      </c>
      <c r="M343" s="1170"/>
      <c r="N343" s="1149"/>
      <c r="O343" s="141" t="str">
        <f t="shared" si="5"/>
        <v xml:space="preserve">يوب  محمد </v>
      </c>
      <c r="P343" s="141" t="s">
        <v>506</v>
      </c>
      <c r="Q343" s="141" t="s">
        <v>1931</v>
      </c>
      <c r="R343" s="239"/>
      <c r="S343" s="989"/>
      <c r="T343" s="237"/>
      <c r="U343" s="28"/>
      <c r="V343"/>
      <c r="W343"/>
      <c r="X343"/>
      <c r="Y343"/>
    </row>
    <row r="344" spans="1:25" ht="16.5" customHeight="1">
      <c r="A344" s="140">
        <v>336</v>
      </c>
      <c r="B344" s="141"/>
      <c r="C344" s="1186" t="s">
        <v>2462</v>
      </c>
      <c r="D344" s="1186" t="s">
        <v>1879</v>
      </c>
      <c r="E344" s="1187" t="s">
        <v>3160</v>
      </c>
      <c r="F344" s="1188" t="s">
        <v>3347</v>
      </c>
      <c r="G344" s="1203" t="s">
        <v>4</v>
      </c>
      <c r="H344" s="1212" t="s">
        <v>1458</v>
      </c>
      <c r="I344" s="144" t="s">
        <v>340</v>
      </c>
      <c r="J344" s="1221"/>
      <c r="K344" s="1235" t="s">
        <v>128</v>
      </c>
      <c r="L344" s="1244"/>
      <c r="M344" s="1168"/>
      <c r="N344" s="1149"/>
      <c r="O344" s="141" t="str">
        <f t="shared" si="5"/>
        <v xml:space="preserve">زلماط  </v>
      </c>
      <c r="P344" s="141" t="s">
        <v>632</v>
      </c>
      <c r="Q344" s="141" t="s">
        <v>1931</v>
      </c>
      <c r="R344" s="276"/>
      <c r="S344" s="989"/>
      <c r="T344" s="237"/>
      <c r="U344" s="28"/>
      <c r="V344"/>
      <c r="W344"/>
      <c r="X344"/>
      <c r="Y344"/>
    </row>
    <row r="345" spans="1:25" s="827" customFormat="1" ht="16.5" customHeight="1">
      <c r="A345" s="140">
        <v>337</v>
      </c>
      <c r="B345" s="141"/>
      <c r="C345" s="1186" t="s">
        <v>2532</v>
      </c>
      <c r="D345" s="1186" t="s">
        <v>2315</v>
      </c>
      <c r="E345" s="1187" t="s">
        <v>3161</v>
      </c>
      <c r="F345" s="1188" t="s">
        <v>3338</v>
      </c>
      <c r="G345" s="1203" t="s">
        <v>4</v>
      </c>
      <c r="H345" s="1212" t="s">
        <v>1458</v>
      </c>
      <c r="I345" s="144" t="s">
        <v>340</v>
      </c>
      <c r="J345" s="1221" t="s">
        <v>2332</v>
      </c>
      <c r="K345" s="1235" t="s">
        <v>102</v>
      </c>
      <c r="L345" s="1244" t="s">
        <v>3732</v>
      </c>
      <c r="M345" s="1170"/>
      <c r="N345" s="1149"/>
      <c r="O345" s="141" t="str">
        <f t="shared" si="5"/>
        <v xml:space="preserve">ضيافي  عبد القادر </v>
      </c>
      <c r="P345" s="141" t="s">
        <v>506</v>
      </c>
      <c r="Q345" s="141" t="s">
        <v>1929</v>
      </c>
      <c r="R345" s="276"/>
      <c r="S345" s="989"/>
      <c r="T345" s="237"/>
      <c r="U345" s="28"/>
    </row>
    <row r="346" spans="1:25" ht="16.5" customHeight="1">
      <c r="A346" s="140">
        <v>338</v>
      </c>
      <c r="B346" s="141"/>
      <c r="C346" s="1186" t="s">
        <v>2677</v>
      </c>
      <c r="D346" s="1186" t="s">
        <v>53</v>
      </c>
      <c r="E346" s="1187" t="s">
        <v>3163</v>
      </c>
      <c r="F346" s="1188" t="s">
        <v>3338</v>
      </c>
      <c r="G346" s="1203" t="s">
        <v>4</v>
      </c>
      <c r="H346" s="1212" t="s">
        <v>1458</v>
      </c>
      <c r="I346" s="144" t="s">
        <v>341</v>
      </c>
      <c r="J346" s="1221" t="s">
        <v>3460</v>
      </c>
      <c r="K346" s="1235" t="s">
        <v>121</v>
      </c>
      <c r="L346" s="1244" t="s">
        <v>3734</v>
      </c>
      <c r="M346" s="1168"/>
      <c r="N346" s="1149"/>
      <c r="O346" s="141" t="str">
        <f t="shared" si="5"/>
        <v xml:space="preserve">مغدير  بن صواق </v>
      </c>
      <c r="P346" s="141" t="s">
        <v>506</v>
      </c>
      <c r="Q346" s="141" t="s">
        <v>1932</v>
      </c>
      <c r="R346" s="276"/>
      <c r="S346" s="989"/>
      <c r="T346" s="237"/>
      <c r="U346" s="28"/>
      <c r="V346"/>
      <c r="W346"/>
      <c r="X346"/>
      <c r="Y346"/>
    </row>
    <row r="347" spans="1:25" ht="16.5" customHeight="1">
      <c r="A347" s="140">
        <v>339</v>
      </c>
      <c r="B347" s="141"/>
      <c r="C347" s="1186" t="s">
        <v>2689</v>
      </c>
      <c r="D347" s="1186" t="s">
        <v>25</v>
      </c>
      <c r="E347" s="1187" t="s">
        <v>3176</v>
      </c>
      <c r="F347" s="1188" t="s">
        <v>3339</v>
      </c>
      <c r="G347" s="1203" t="s">
        <v>4</v>
      </c>
      <c r="H347" s="1212" t="s">
        <v>1458</v>
      </c>
      <c r="I347" s="144" t="s">
        <v>341</v>
      </c>
      <c r="J347" s="1221"/>
      <c r="K347" s="1235" t="s">
        <v>103</v>
      </c>
      <c r="L347" s="1244"/>
      <c r="M347" s="1168"/>
      <c r="N347" s="1149"/>
      <c r="O347" s="141" t="str">
        <f t="shared" si="5"/>
        <v xml:space="preserve">مهالول  </v>
      </c>
      <c r="P347" s="141" t="s">
        <v>630</v>
      </c>
      <c r="Q347" s="141" t="s">
        <v>1933</v>
      </c>
      <c r="R347" s="276"/>
      <c r="S347" s="989"/>
      <c r="T347" s="404"/>
      <c r="U347" s="28"/>
      <c r="V347"/>
      <c r="W347"/>
      <c r="X347"/>
      <c r="Y347"/>
    </row>
    <row r="348" spans="1:25" ht="16.5" customHeight="1">
      <c r="A348" s="140">
        <v>340</v>
      </c>
      <c r="B348" s="141"/>
      <c r="C348" s="1186" t="s">
        <v>2693</v>
      </c>
      <c r="D348" s="1186" t="s">
        <v>33</v>
      </c>
      <c r="E348" s="1187" t="s">
        <v>3179</v>
      </c>
      <c r="F348" s="1188" t="s">
        <v>3339</v>
      </c>
      <c r="G348" s="1203" t="s">
        <v>4</v>
      </c>
      <c r="H348" s="1212" t="s">
        <v>1458</v>
      </c>
      <c r="I348" s="144" t="s">
        <v>341</v>
      </c>
      <c r="J348" s="1221" t="s">
        <v>2332</v>
      </c>
      <c r="K348" s="1235" t="s">
        <v>103</v>
      </c>
      <c r="L348" s="1244" t="s">
        <v>3747</v>
      </c>
      <c r="M348" s="1168"/>
      <c r="N348" s="1149"/>
      <c r="O348" s="141" t="str">
        <f t="shared" si="5"/>
        <v xml:space="preserve">يوسفي  عبد القادر </v>
      </c>
      <c r="P348" s="141" t="s">
        <v>630</v>
      </c>
      <c r="Q348" s="141" t="s">
        <v>1932</v>
      </c>
      <c r="R348" s="276"/>
      <c r="S348" s="989"/>
      <c r="T348" s="237"/>
      <c r="U348" s="28"/>
      <c r="V348"/>
      <c r="W348"/>
      <c r="X348"/>
      <c r="Y348"/>
    </row>
    <row r="349" spans="1:25" ht="16.5" customHeight="1">
      <c r="A349" s="140">
        <v>341</v>
      </c>
      <c r="B349" s="141"/>
      <c r="C349" s="1186" t="s">
        <v>2678</v>
      </c>
      <c r="D349" s="1186" t="s">
        <v>2679</v>
      </c>
      <c r="E349" s="1187" t="s">
        <v>3164</v>
      </c>
      <c r="F349" s="1188" t="s">
        <v>3360</v>
      </c>
      <c r="G349" s="1203" t="s">
        <v>4</v>
      </c>
      <c r="H349" s="1213" t="s">
        <v>91</v>
      </c>
      <c r="I349" s="144" t="s">
        <v>341</v>
      </c>
      <c r="J349" s="1221"/>
      <c r="K349" s="1235" t="s">
        <v>160</v>
      </c>
      <c r="L349" s="1244"/>
      <c r="M349" s="1168"/>
      <c r="N349" s="1149"/>
      <c r="O349" s="141" t="str">
        <f t="shared" si="5"/>
        <v xml:space="preserve">برينة  </v>
      </c>
      <c r="P349" s="141" t="s">
        <v>507</v>
      </c>
      <c r="Q349" s="141" t="s">
        <v>1933</v>
      </c>
      <c r="R349" s="276"/>
      <c r="S349" s="989"/>
      <c r="T349" s="237"/>
      <c r="U349" s="28"/>
      <c r="V349"/>
      <c r="W349"/>
      <c r="X349"/>
      <c r="Y349"/>
    </row>
    <row r="350" spans="1:25" s="968" customFormat="1" ht="16.5" customHeight="1">
      <c r="A350" s="140">
        <v>342</v>
      </c>
      <c r="B350" s="141"/>
      <c r="C350" s="1186" t="s">
        <v>2616</v>
      </c>
      <c r="D350" s="1186" t="s">
        <v>2310</v>
      </c>
      <c r="E350" s="1187" t="s">
        <v>3165</v>
      </c>
      <c r="F350" s="1188" t="s">
        <v>90</v>
      </c>
      <c r="G350" s="1203" t="s">
        <v>4</v>
      </c>
      <c r="H350" s="1213" t="s">
        <v>96</v>
      </c>
      <c r="I350" s="144" t="s">
        <v>341</v>
      </c>
      <c r="J350" s="1221" t="s">
        <v>3384</v>
      </c>
      <c r="K350" s="1235" t="s">
        <v>111</v>
      </c>
      <c r="L350" s="1244" t="s">
        <v>3735</v>
      </c>
      <c r="M350" s="1168"/>
      <c r="N350" s="1149"/>
      <c r="O350" s="141" t="str">
        <f t="shared" si="5"/>
        <v xml:space="preserve">بلجريوات  بغداد </v>
      </c>
      <c r="P350" s="141" t="s">
        <v>507</v>
      </c>
      <c r="Q350" s="141"/>
      <c r="R350" s="276"/>
      <c r="S350" s="989"/>
      <c r="T350" s="237"/>
      <c r="U350" s="28"/>
    </row>
    <row r="351" spans="1:25" ht="16.5" customHeight="1">
      <c r="A351" s="140">
        <v>343</v>
      </c>
      <c r="B351" s="141"/>
      <c r="C351" s="1186" t="s">
        <v>2680</v>
      </c>
      <c r="D351" s="1186" t="s">
        <v>2307</v>
      </c>
      <c r="E351" s="1187" t="s">
        <v>3166</v>
      </c>
      <c r="F351" s="1188" t="s">
        <v>3339</v>
      </c>
      <c r="G351" s="1203" t="s">
        <v>4</v>
      </c>
      <c r="H351" s="1213" t="s">
        <v>91</v>
      </c>
      <c r="I351" s="144" t="s">
        <v>341</v>
      </c>
      <c r="J351" s="1221" t="s">
        <v>2329</v>
      </c>
      <c r="K351" s="1235" t="s">
        <v>111</v>
      </c>
      <c r="L351" s="1244" t="s">
        <v>3736</v>
      </c>
      <c r="M351" s="1168"/>
      <c r="N351" s="1149"/>
      <c r="O351" s="141" t="str">
        <f t="shared" si="5"/>
        <v xml:space="preserve">بن شهرة  احمد </v>
      </c>
      <c r="P351" s="141" t="s">
        <v>507</v>
      </c>
      <c r="Q351" s="141" t="s">
        <v>1932</v>
      </c>
      <c r="R351" s="276"/>
      <c r="S351" s="989"/>
      <c r="T351" s="237"/>
      <c r="U351" s="28"/>
      <c r="V351"/>
      <c r="W351"/>
      <c r="X351"/>
      <c r="Y351"/>
    </row>
    <row r="352" spans="1:25" ht="16.5" customHeight="1">
      <c r="A352" s="140">
        <v>344</v>
      </c>
      <c r="B352" s="141"/>
      <c r="C352" s="1186" t="s">
        <v>2451</v>
      </c>
      <c r="D352" s="1186" t="s">
        <v>2681</v>
      </c>
      <c r="E352" s="1187" t="s">
        <v>3167</v>
      </c>
      <c r="F352" s="1188" t="s">
        <v>3339</v>
      </c>
      <c r="G352" s="1203" t="s">
        <v>4</v>
      </c>
      <c r="H352" s="1213" t="s">
        <v>91</v>
      </c>
      <c r="I352" s="144" t="s">
        <v>340</v>
      </c>
      <c r="J352" s="1221" t="s">
        <v>3392</v>
      </c>
      <c r="K352" s="1235" t="s">
        <v>2178</v>
      </c>
      <c r="L352" s="1244" t="s">
        <v>3737</v>
      </c>
      <c r="M352" s="1168"/>
      <c r="N352" s="1149"/>
      <c r="O352" s="141" t="str">
        <f t="shared" si="5"/>
        <v xml:space="preserve">بوزينو  يحيى </v>
      </c>
      <c r="P352" s="141" t="s">
        <v>507</v>
      </c>
      <c r="Q352" s="141" t="s">
        <v>1932</v>
      </c>
      <c r="R352" s="276"/>
      <c r="S352" s="989"/>
      <c r="T352" s="404"/>
      <c r="U352" s="28"/>
      <c r="V352"/>
      <c r="W352"/>
      <c r="X352"/>
      <c r="Y352"/>
    </row>
    <row r="353" spans="1:25" ht="16.5" customHeight="1">
      <c r="A353" s="140">
        <v>345</v>
      </c>
      <c r="B353" s="141"/>
      <c r="C353" s="1186" t="s">
        <v>2382</v>
      </c>
      <c r="D353" s="1186" t="s">
        <v>2675</v>
      </c>
      <c r="E353" s="1187" t="s">
        <v>3158</v>
      </c>
      <c r="F353" s="1188" t="s">
        <v>3339</v>
      </c>
      <c r="G353" s="1203" t="s">
        <v>4</v>
      </c>
      <c r="H353" s="1213" t="s">
        <v>91</v>
      </c>
      <c r="I353" s="144" t="s">
        <v>340</v>
      </c>
      <c r="J353" s="1221" t="s">
        <v>2312</v>
      </c>
      <c r="K353" s="1235" t="s">
        <v>97</v>
      </c>
      <c r="L353" s="1244" t="s">
        <v>3731</v>
      </c>
      <c r="M353" s="1168"/>
      <c r="N353" s="1149"/>
      <c r="O353" s="141" t="str">
        <f t="shared" si="5"/>
        <v xml:space="preserve">تونسي  مكي </v>
      </c>
      <c r="P353" s="141" t="s">
        <v>507</v>
      </c>
      <c r="Q353" s="141" t="s">
        <v>1933</v>
      </c>
      <c r="R353" s="276"/>
      <c r="S353" s="989"/>
      <c r="T353" s="404"/>
      <c r="U353" s="28"/>
      <c r="V353"/>
      <c r="W353"/>
      <c r="X353"/>
      <c r="Y353"/>
    </row>
    <row r="354" spans="1:25" s="973" customFormat="1" ht="16.5" customHeight="1">
      <c r="A354" s="140">
        <v>346</v>
      </c>
      <c r="B354" s="141"/>
      <c r="C354" s="1186" t="s">
        <v>170</v>
      </c>
      <c r="D354" s="1186" t="s">
        <v>2682</v>
      </c>
      <c r="E354" s="1187" t="s">
        <v>3168</v>
      </c>
      <c r="F354" s="1188" t="s">
        <v>90</v>
      </c>
      <c r="G354" s="1203" t="s">
        <v>4</v>
      </c>
      <c r="H354" s="1213" t="s">
        <v>96</v>
      </c>
      <c r="I354" s="144" t="s">
        <v>340</v>
      </c>
      <c r="J354" s="1221" t="s">
        <v>2173</v>
      </c>
      <c r="K354" s="1235" t="s">
        <v>166</v>
      </c>
      <c r="L354" s="1244" t="s">
        <v>3738</v>
      </c>
      <c r="M354" s="1168"/>
      <c r="N354" s="1149"/>
      <c r="O354" s="141" t="str">
        <f t="shared" si="5"/>
        <v xml:space="preserve">تيرس  قادة </v>
      </c>
      <c r="P354" s="141" t="s">
        <v>507</v>
      </c>
      <c r="Q354" s="141"/>
      <c r="R354" s="276"/>
      <c r="S354" s="989"/>
      <c r="T354" s="404"/>
      <c r="U354" s="28"/>
    </row>
    <row r="355" spans="1:25" ht="16.5" customHeight="1">
      <c r="A355" s="140">
        <v>347</v>
      </c>
      <c r="B355" s="141"/>
      <c r="C355" s="1196" t="s">
        <v>2461</v>
      </c>
      <c r="D355" s="1196" t="s">
        <v>69</v>
      </c>
      <c r="E355" s="1197" t="s">
        <v>3159</v>
      </c>
      <c r="F355" s="1198" t="s">
        <v>90</v>
      </c>
      <c r="G355" s="1207" t="s">
        <v>4</v>
      </c>
      <c r="H355" s="1213" t="s">
        <v>91</v>
      </c>
      <c r="I355" s="144" t="s">
        <v>340</v>
      </c>
      <c r="J355" s="1223" t="s">
        <v>3459</v>
      </c>
      <c r="K355" s="1242" t="s">
        <v>111</v>
      </c>
      <c r="L355" s="1248" t="s">
        <v>494</v>
      </c>
      <c r="M355" s="1168"/>
      <c r="N355" s="1149"/>
      <c r="O355" s="141" t="str">
        <f t="shared" si="5"/>
        <v xml:space="preserve">جبار  بن حميدة </v>
      </c>
      <c r="P355" s="141" t="s">
        <v>507</v>
      </c>
      <c r="Q355" s="141" t="s">
        <v>1933</v>
      </c>
      <c r="R355" s="276"/>
      <c r="S355" s="989"/>
      <c r="T355" s="237"/>
      <c r="U355" s="28"/>
      <c r="V355"/>
      <c r="W355"/>
      <c r="X355"/>
      <c r="Y355"/>
    </row>
    <row r="356" spans="1:25" ht="16.5" customHeight="1">
      <c r="A356" s="140">
        <v>348</v>
      </c>
      <c r="B356" s="141"/>
      <c r="C356" s="1186" t="s">
        <v>2431</v>
      </c>
      <c r="D356" s="1186" t="s">
        <v>67</v>
      </c>
      <c r="E356" s="1187" t="s">
        <v>3169</v>
      </c>
      <c r="F356" s="1188" t="s">
        <v>3338</v>
      </c>
      <c r="G356" s="1203" t="s">
        <v>4</v>
      </c>
      <c r="H356" s="1213" t="s">
        <v>91</v>
      </c>
      <c r="I356" s="144" t="s">
        <v>340</v>
      </c>
      <c r="J356" s="1221" t="s">
        <v>2325</v>
      </c>
      <c r="K356" s="1235" t="s">
        <v>92</v>
      </c>
      <c r="L356" s="1244" t="s">
        <v>3739</v>
      </c>
      <c r="M356" s="1168"/>
      <c r="N356" s="1149"/>
      <c r="O356" s="141" t="str">
        <f t="shared" si="5"/>
        <v xml:space="preserve">جلغوم  محمد </v>
      </c>
      <c r="P356" s="141" t="s">
        <v>630</v>
      </c>
      <c r="Q356" s="141" t="s">
        <v>1932</v>
      </c>
      <c r="R356" s="276"/>
      <c r="S356" s="989"/>
      <c r="T356" s="237"/>
      <c r="U356" s="28"/>
      <c r="V356"/>
      <c r="W356"/>
      <c r="X356"/>
      <c r="Y356"/>
    </row>
    <row r="357" spans="1:25" ht="16.5" customHeight="1">
      <c r="A357" s="140">
        <v>349</v>
      </c>
      <c r="B357" s="141"/>
      <c r="C357" s="1186" t="s">
        <v>2545</v>
      </c>
      <c r="D357" s="1186" t="s">
        <v>28</v>
      </c>
      <c r="E357" s="1187" t="s">
        <v>3106</v>
      </c>
      <c r="F357" s="1188" t="s">
        <v>90</v>
      </c>
      <c r="G357" s="1203" t="s">
        <v>4</v>
      </c>
      <c r="H357" s="1213" t="s">
        <v>91</v>
      </c>
      <c r="I357" s="144" t="s">
        <v>340</v>
      </c>
      <c r="J357" s="1221" t="s">
        <v>2332</v>
      </c>
      <c r="K357" s="1235" t="s">
        <v>103</v>
      </c>
      <c r="L357" s="1244" t="s">
        <v>3740</v>
      </c>
      <c r="M357" s="1168"/>
      <c r="N357" s="1149"/>
      <c r="O357" s="141" t="str">
        <f t="shared" si="5"/>
        <v xml:space="preserve">صلات  عبد القادر </v>
      </c>
      <c r="P357" s="141" t="s">
        <v>630</v>
      </c>
      <c r="Q357" s="141" t="s">
        <v>1932</v>
      </c>
      <c r="R357" s="276"/>
      <c r="S357" s="989"/>
      <c r="T357" s="237"/>
      <c r="U357" s="28"/>
      <c r="V357"/>
      <c r="W357"/>
      <c r="X357"/>
      <c r="Y357"/>
    </row>
    <row r="358" spans="1:25" ht="16.5" customHeight="1">
      <c r="A358" s="140">
        <v>350</v>
      </c>
      <c r="B358" s="141"/>
      <c r="C358" s="1186" t="s">
        <v>2532</v>
      </c>
      <c r="D358" s="1186" t="s">
        <v>2424</v>
      </c>
      <c r="E358" s="1187" t="s">
        <v>3170</v>
      </c>
      <c r="F358" s="1188" t="s">
        <v>2341</v>
      </c>
      <c r="G358" s="1203" t="s">
        <v>4</v>
      </c>
      <c r="H358" s="1213" t="s">
        <v>91</v>
      </c>
      <c r="I358" s="144" t="s">
        <v>340</v>
      </c>
      <c r="J358" s="1221" t="s">
        <v>2179</v>
      </c>
      <c r="K358" s="1235" t="s">
        <v>805</v>
      </c>
      <c r="L358" s="1244" t="s">
        <v>3741</v>
      </c>
      <c r="M358" s="1168"/>
      <c r="N358" s="1149"/>
      <c r="O358" s="141" t="str">
        <f t="shared" si="5"/>
        <v xml:space="preserve">ضيافي  جلول </v>
      </c>
      <c r="P358" s="141" t="s">
        <v>630</v>
      </c>
      <c r="Q358" s="141" t="s">
        <v>1933</v>
      </c>
      <c r="R358" s="276"/>
      <c r="S358" s="989"/>
      <c r="T358" s="237"/>
      <c r="U358" s="28"/>
      <c r="V358"/>
      <c r="W358"/>
      <c r="X358"/>
      <c r="Y358"/>
    </row>
    <row r="359" spans="1:25" ht="16.5" customHeight="1">
      <c r="A359" s="140">
        <v>351</v>
      </c>
      <c r="B359" s="141"/>
      <c r="C359" s="1186" t="s">
        <v>2683</v>
      </c>
      <c r="D359" s="1186" t="s">
        <v>2684</v>
      </c>
      <c r="E359" s="1187" t="s">
        <v>3171</v>
      </c>
      <c r="F359" s="1188" t="s">
        <v>90</v>
      </c>
      <c r="G359" s="1203" t="s">
        <v>4</v>
      </c>
      <c r="H359" s="1213" t="s">
        <v>91</v>
      </c>
      <c r="I359" s="144" t="s">
        <v>340</v>
      </c>
      <c r="J359" s="1221" t="s">
        <v>3461</v>
      </c>
      <c r="K359" s="1235" t="s">
        <v>111</v>
      </c>
      <c r="L359" s="1244" t="s">
        <v>3742</v>
      </c>
      <c r="M359" s="1168"/>
      <c r="N359" s="1149"/>
      <c r="O359" s="141" t="str">
        <f t="shared" si="5"/>
        <v xml:space="preserve">فارحي  الحبيب </v>
      </c>
      <c r="P359" s="141" t="s">
        <v>630</v>
      </c>
      <c r="Q359" s="141" t="s">
        <v>1932</v>
      </c>
      <c r="R359" s="276"/>
      <c r="S359" s="989"/>
      <c r="T359" s="404"/>
      <c r="U359" s="28"/>
      <c r="V359"/>
      <c r="W359"/>
      <c r="X359"/>
      <c r="Y359"/>
    </row>
    <row r="360" spans="1:25" ht="16.5" customHeight="1">
      <c r="A360" s="140">
        <v>352</v>
      </c>
      <c r="B360" s="141"/>
      <c r="C360" s="1186" t="s">
        <v>2522</v>
      </c>
      <c r="D360" s="1186" t="s">
        <v>2685</v>
      </c>
      <c r="E360" s="1187" t="s">
        <v>3172</v>
      </c>
      <c r="F360" s="1188" t="s">
        <v>3338</v>
      </c>
      <c r="G360" s="1203" t="s">
        <v>4</v>
      </c>
      <c r="H360" s="1213" t="s">
        <v>91</v>
      </c>
      <c r="I360" s="144" t="s">
        <v>340</v>
      </c>
      <c r="J360" s="1221" t="s">
        <v>2325</v>
      </c>
      <c r="K360" s="1235" t="s">
        <v>160</v>
      </c>
      <c r="L360" s="1244" t="s">
        <v>3743</v>
      </c>
      <c r="M360" s="1168"/>
      <c r="N360" s="1149"/>
      <c r="O360" s="141" t="str">
        <f t="shared" si="5"/>
        <v xml:space="preserve">فهيم  محمد </v>
      </c>
      <c r="P360" s="141" t="s">
        <v>507</v>
      </c>
      <c r="Q360" s="141" t="s">
        <v>1932</v>
      </c>
      <c r="R360" s="276"/>
      <c r="S360" s="989"/>
      <c r="T360" s="237"/>
      <c r="U360" s="28"/>
      <c r="V360"/>
      <c r="W360"/>
      <c r="X360"/>
      <c r="Y360"/>
    </row>
    <row r="361" spans="1:25" ht="16.5" customHeight="1">
      <c r="A361" s="140">
        <v>353</v>
      </c>
      <c r="B361" s="141"/>
      <c r="C361" s="1186" t="s">
        <v>784</v>
      </c>
      <c r="D361" s="1186" t="s">
        <v>2676</v>
      </c>
      <c r="E361" s="1187" t="s">
        <v>3162</v>
      </c>
      <c r="F361" s="1188" t="s">
        <v>90</v>
      </c>
      <c r="G361" s="1203" t="s">
        <v>4</v>
      </c>
      <c r="H361" s="1213" t="s">
        <v>91</v>
      </c>
      <c r="I361" s="144" t="s">
        <v>340</v>
      </c>
      <c r="J361" s="1221" t="s">
        <v>3406</v>
      </c>
      <c r="K361" s="1235" t="s">
        <v>2170</v>
      </c>
      <c r="L361" s="1244" t="s">
        <v>3733</v>
      </c>
      <c r="M361" s="1168"/>
      <c r="N361" s="1149"/>
      <c r="O361" s="141" t="str">
        <f t="shared" si="5"/>
        <v xml:space="preserve">قداوي  زواوي </v>
      </c>
      <c r="P361" s="141" t="s">
        <v>507</v>
      </c>
      <c r="Q361" s="141" t="s">
        <v>1932</v>
      </c>
      <c r="R361" s="276"/>
      <c r="S361" s="989"/>
      <c r="T361" s="237"/>
      <c r="U361" s="28"/>
      <c r="V361"/>
      <c r="W361"/>
      <c r="X361"/>
      <c r="Y361"/>
    </row>
    <row r="362" spans="1:25" ht="16.5" customHeight="1">
      <c r="A362" s="140">
        <v>354</v>
      </c>
      <c r="B362" s="141"/>
      <c r="C362" s="1189" t="s">
        <v>2686</v>
      </c>
      <c r="D362" s="1189" t="s">
        <v>2687</v>
      </c>
      <c r="E362" s="1190" t="s">
        <v>3173</v>
      </c>
      <c r="F362" s="1191" t="s">
        <v>90</v>
      </c>
      <c r="G362" s="1199" t="s">
        <v>4</v>
      </c>
      <c r="H362" s="1209" t="s">
        <v>96</v>
      </c>
      <c r="I362" s="144" t="s">
        <v>340</v>
      </c>
      <c r="J362" s="1222" t="s">
        <v>2152</v>
      </c>
      <c r="K362" s="1226" t="s">
        <v>805</v>
      </c>
      <c r="L362" s="1246" t="s">
        <v>3744</v>
      </c>
      <c r="M362" s="1168"/>
      <c r="N362" s="1149"/>
      <c r="O362" s="141" t="str">
        <f t="shared" si="5"/>
        <v xml:space="preserve">قرع  لعبان </v>
      </c>
      <c r="P362" s="141" t="s">
        <v>507</v>
      </c>
      <c r="Q362" s="141" t="s">
        <v>1932</v>
      </c>
      <c r="R362" s="276"/>
      <c r="S362" s="989"/>
      <c r="T362" s="237"/>
      <c r="U362" s="28"/>
      <c r="V362"/>
      <c r="W362"/>
      <c r="X362"/>
      <c r="Y362"/>
    </row>
    <row r="363" spans="1:25" ht="16.5" customHeight="1">
      <c r="A363" s="140">
        <v>355</v>
      </c>
      <c r="B363" s="141"/>
      <c r="C363" s="1186" t="s">
        <v>2450</v>
      </c>
      <c r="D363" s="1186" t="s">
        <v>2688</v>
      </c>
      <c r="E363" s="1187" t="s">
        <v>3174</v>
      </c>
      <c r="F363" s="1188" t="s">
        <v>202</v>
      </c>
      <c r="G363" s="1203" t="s">
        <v>4</v>
      </c>
      <c r="H363" s="1213" t="s">
        <v>91</v>
      </c>
      <c r="I363" s="144" t="s">
        <v>340</v>
      </c>
      <c r="J363" s="1221" t="s">
        <v>3462</v>
      </c>
      <c r="K363" s="1235" t="s">
        <v>103</v>
      </c>
      <c r="L363" s="1244" t="s">
        <v>3745</v>
      </c>
      <c r="M363" s="1170"/>
      <c r="N363" s="1149"/>
      <c r="O363" s="141" t="str">
        <f t="shared" si="5"/>
        <v xml:space="preserve">مكي  بهلول </v>
      </c>
      <c r="P363" s="141" t="s">
        <v>507</v>
      </c>
      <c r="Q363" s="141" t="s">
        <v>1932</v>
      </c>
      <c r="R363" s="276"/>
      <c r="S363" s="141" t="s">
        <v>643</v>
      </c>
      <c r="T363" s="671" t="s">
        <v>628</v>
      </c>
      <c r="U363" s="28"/>
      <c r="V363"/>
      <c r="W363"/>
      <c r="X363"/>
      <c r="Y363"/>
    </row>
    <row r="364" spans="1:25" ht="16.5" customHeight="1">
      <c r="A364" s="140">
        <v>356</v>
      </c>
      <c r="B364" s="141"/>
      <c r="C364" s="1186" t="s">
        <v>1885</v>
      </c>
      <c r="D364" s="1186" t="s">
        <v>2322</v>
      </c>
      <c r="E364" s="1187" t="s">
        <v>3175</v>
      </c>
      <c r="F364" s="1188" t="s">
        <v>3361</v>
      </c>
      <c r="G364" s="1203" t="s">
        <v>4</v>
      </c>
      <c r="H364" s="1213" t="s">
        <v>96</v>
      </c>
      <c r="I364" s="144" t="s">
        <v>340</v>
      </c>
      <c r="J364" s="1221"/>
      <c r="K364" s="1235" t="s">
        <v>135</v>
      </c>
      <c r="L364" s="1244"/>
      <c r="M364" s="1168"/>
      <c r="N364" s="1149"/>
      <c r="O364" s="141" t="str">
        <f t="shared" si="5"/>
        <v xml:space="preserve">منور  </v>
      </c>
      <c r="P364" s="141" t="s">
        <v>507</v>
      </c>
      <c r="Q364" s="141" t="s">
        <v>1933</v>
      </c>
      <c r="R364" s="276"/>
      <c r="S364" s="141" t="s">
        <v>651</v>
      </c>
      <c r="T364" s="259"/>
      <c r="U364" s="28"/>
      <c r="V364"/>
      <c r="W364"/>
      <c r="X364"/>
      <c r="Y364"/>
    </row>
    <row r="365" spans="1:25" ht="16.5" customHeight="1">
      <c r="A365" s="140">
        <v>357</v>
      </c>
      <c r="B365" s="141"/>
      <c r="C365" s="1183" t="s">
        <v>2690</v>
      </c>
      <c r="D365" s="1183" t="s">
        <v>2691</v>
      </c>
      <c r="E365" s="1184" t="s">
        <v>3177</v>
      </c>
      <c r="F365" s="1185" t="s">
        <v>3362</v>
      </c>
      <c r="G365" s="1199" t="s">
        <v>4</v>
      </c>
      <c r="H365" s="1209" t="s">
        <v>96</v>
      </c>
      <c r="I365" s="144" t="s">
        <v>340</v>
      </c>
      <c r="J365" s="1222"/>
      <c r="K365" s="1233" t="s">
        <v>111</v>
      </c>
      <c r="L365" s="1245"/>
      <c r="M365" s="1168"/>
      <c r="N365" s="1149"/>
      <c r="O365" s="141" t="str">
        <f t="shared" si="5"/>
        <v xml:space="preserve">نداتي  </v>
      </c>
      <c r="P365" s="141" t="s">
        <v>507</v>
      </c>
      <c r="Q365" s="141" t="s">
        <v>1932</v>
      </c>
      <c r="R365" s="276"/>
      <c r="S365" s="989"/>
      <c r="T365" s="404"/>
      <c r="U365" s="28"/>
      <c r="V365"/>
      <c r="W365"/>
      <c r="X365"/>
      <c r="Y365"/>
    </row>
    <row r="366" spans="1:25" ht="16.5" customHeight="1">
      <c r="A366" s="140">
        <v>358</v>
      </c>
      <c r="B366" s="141"/>
      <c r="C366" s="1186" t="s">
        <v>185</v>
      </c>
      <c r="D366" s="1186" t="s">
        <v>2692</v>
      </c>
      <c r="E366" s="1187" t="s">
        <v>3178</v>
      </c>
      <c r="F366" s="1188" t="s">
        <v>3347</v>
      </c>
      <c r="G366" s="1203" t="s">
        <v>4</v>
      </c>
      <c r="H366" s="1213" t="s">
        <v>91</v>
      </c>
      <c r="I366" s="144" t="s">
        <v>340</v>
      </c>
      <c r="J366" s="1221" t="s">
        <v>2175</v>
      </c>
      <c r="K366" s="1235" t="s">
        <v>111</v>
      </c>
      <c r="L366" s="1244" t="s">
        <v>3746</v>
      </c>
      <c r="M366" s="1168"/>
      <c r="N366" s="1149"/>
      <c r="O366" s="141" t="str">
        <f t="shared" si="5"/>
        <v xml:space="preserve">نوالة  بوعلام </v>
      </c>
      <c r="P366" s="141" t="s">
        <v>630</v>
      </c>
      <c r="Q366" s="141" t="s">
        <v>1932</v>
      </c>
      <c r="R366" s="276"/>
      <c r="S366" s="141" t="s">
        <v>646</v>
      </c>
      <c r="T366" s="237"/>
      <c r="U366" s="28"/>
      <c r="V366"/>
      <c r="W366"/>
      <c r="X366"/>
      <c r="Y366"/>
    </row>
    <row r="367" spans="1:25" ht="16.5" customHeight="1">
      <c r="A367" s="140">
        <v>359</v>
      </c>
      <c r="B367" s="141"/>
      <c r="C367" s="1186" t="s">
        <v>2696</v>
      </c>
      <c r="D367" s="1186" t="s">
        <v>673</v>
      </c>
      <c r="E367" s="1187" t="s">
        <v>3003</v>
      </c>
      <c r="F367" s="1188" t="s">
        <v>90</v>
      </c>
      <c r="G367" s="1202" t="s">
        <v>10</v>
      </c>
      <c r="H367" s="1212" t="s">
        <v>1459</v>
      </c>
      <c r="I367" s="144" t="s">
        <v>340</v>
      </c>
      <c r="J367" s="1221" t="s">
        <v>3409</v>
      </c>
      <c r="K367" s="1235" t="s">
        <v>128</v>
      </c>
      <c r="L367" s="1244" t="s">
        <v>3500</v>
      </c>
      <c r="M367" s="1169"/>
      <c r="N367" s="1149"/>
      <c r="O367" s="141" t="str">
        <f t="shared" si="5"/>
        <v xml:space="preserve">بن حادة  إبراهيم </v>
      </c>
      <c r="P367" s="141" t="s">
        <v>630</v>
      </c>
      <c r="Q367" s="141" t="s">
        <v>1932</v>
      </c>
      <c r="R367" s="276"/>
      <c r="S367" s="989"/>
      <c r="T367" s="237"/>
      <c r="U367" s="28"/>
      <c r="V367"/>
      <c r="W367"/>
      <c r="X367"/>
      <c r="Y367"/>
    </row>
    <row r="368" spans="1:25" ht="16.5" customHeight="1">
      <c r="A368" s="140">
        <v>360</v>
      </c>
      <c r="B368" s="141"/>
      <c r="C368" s="1186" t="s">
        <v>2699</v>
      </c>
      <c r="D368" s="1186" t="s">
        <v>37</v>
      </c>
      <c r="E368" s="1187" t="s">
        <v>3186</v>
      </c>
      <c r="F368" s="1188" t="s">
        <v>3339</v>
      </c>
      <c r="G368" s="1202" t="s">
        <v>10</v>
      </c>
      <c r="H368" s="1212" t="s">
        <v>1458</v>
      </c>
      <c r="I368" s="144" t="s">
        <v>340</v>
      </c>
      <c r="J368" s="1221" t="s">
        <v>2173</v>
      </c>
      <c r="K368" s="1235" t="s">
        <v>805</v>
      </c>
      <c r="L368" s="1244" t="s">
        <v>3751</v>
      </c>
      <c r="M368" s="1168"/>
      <c r="N368" s="1149"/>
      <c r="O368" s="141" t="str">
        <f t="shared" si="5"/>
        <v xml:space="preserve">بوطالب  قادة </v>
      </c>
      <c r="P368" s="141" t="s">
        <v>507</v>
      </c>
      <c r="Q368" s="141" t="s">
        <v>1932</v>
      </c>
      <c r="R368" s="276"/>
      <c r="S368" s="141" t="s">
        <v>654</v>
      </c>
      <c r="T368" s="237"/>
      <c r="U368" s="28"/>
      <c r="V368"/>
      <c r="W368"/>
      <c r="X368"/>
      <c r="Y368"/>
    </row>
    <row r="369" spans="1:25" ht="16.5" customHeight="1">
      <c r="A369" s="140">
        <v>361</v>
      </c>
      <c r="B369" s="141"/>
      <c r="C369" s="1186" t="s">
        <v>2498</v>
      </c>
      <c r="D369" s="1186" t="s">
        <v>2310</v>
      </c>
      <c r="E369" s="1187" t="s">
        <v>3189</v>
      </c>
      <c r="F369" s="1188" t="s">
        <v>90</v>
      </c>
      <c r="G369" s="1202" t="s">
        <v>10</v>
      </c>
      <c r="H369" s="1212" t="s">
        <v>1459</v>
      </c>
      <c r="I369" s="144" t="s">
        <v>341</v>
      </c>
      <c r="J369" s="1221" t="s">
        <v>2195</v>
      </c>
      <c r="K369" s="1235" t="s">
        <v>103</v>
      </c>
      <c r="L369" s="1244" t="s">
        <v>3752</v>
      </c>
      <c r="M369" s="1168"/>
      <c r="N369" s="1149"/>
      <c r="O369" s="141" t="str">
        <f t="shared" si="5"/>
        <v xml:space="preserve">دريسي  رضوان </v>
      </c>
      <c r="P369" s="141" t="s">
        <v>507</v>
      </c>
      <c r="Q369" s="141" t="s">
        <v>1933</v>
      </c>
      <c r="R369" s="276"/>
      <c r="S369" s="989"/>
      <c r="T369" s="237"/>
      <c r="U369" s="28"/>
      <c r="V369"/>
      <c r="W369"/>
      <c r="X369"/>
      <c r="Y369"/>
    </row>
    <row r="370" spans="1:25" ht="16.5" customHeight="1">
      <c r="A370" s="140">
        <v>362</v>
      </c>
      <c r="B370" s="141"/>
      <c r="C370" s="1186" t="s">
        <v>2033</v>
      </c>
      <c r="D370" s="1186" t="s">
        <v>2709</v>
      </c>
      <c r="E370" s="1187" t="s">
        <v>3193</v>
      </c>
      <c r="F370" s="1188" t="s">
        <v>3339</v>
      </c>
      <c r="G370" s="1202" t="s">
        <v>10</v>
      </c>
      <c r="H370" s="1208" t="s">
        <v>1458</v>
      </c>
      <c r="I370" s="144" t="s">
        <v>341</v>
      </c>
      <c r="J370" s="1221" t="s">
        <v>3458</v>
      </c>
      <c r="K370" s="1235" t="s">
        <v>97</v>
      </c>
      <c r="L370" s="1244" t="s">
        <v>3754</v>
      </c>
      <c r="M370" s="1168"/>
      <c r="N370" s="1149"/>
      <c r="O370" s="141" t="str">
        <f t="shared" si="5"/>
        <v xml:space="preserve">عبد الحميد  ميمون </v>
      </c>
      <c r="P370" s="141" t="s">
        <v>630</v>
      </c>
      <c r="Q370" s="141" t="s">
        <v>1934</v>
      </c>
      <c r="R370" s="276"/>
      <c r="S370" s="141" t="s">
        <v>650</v>
      </c>
      <c r="T370" s="237"/>
      <c r="U370" s="28"/>
      <c r="V370"/>
      <c r="W370"/>
      <c r="X370"/>
      <c r="Y370"/>
    </row>
    <row r="371" spans="1:25" ht="16.5" customHeight="1">
      <c r="A371" s="140">
        <v>363</v>
      </c>
      <c r="B371" s="141"/>
      <c r="C371" s="1186" t="s">
        <v>2721</v>
      </c>
      <c r="D371" s="1186" t="s">
        <v>2722</v>
      </c>
      <c r="E371" s="1187" t="s">
        <v>3202</v>
      </c>
      <c r="F371" s="1188" t="s">
        <v>3339</v>
      </c>
      <c r="G371" s="1202" t="s">
        <v>10</v>
      </c>
      <c r="H371" s="1212" t="s">
        <v>1458</v>
      </c>
      <c r="I371" s="144" t="s">
        <v>340</v>
      </c>
      <c r="J371" s="1221" t="s">
        <v>3379</v>
      </c>
      <c r="K371" s="1234" t="s">
        <v>103</v>
      </c>
      <c r="L371" s="1244" t="s">
        <v>3761</v>
      </c>
      <c r="M371" s="1168"/>
      <c r="N371" s="1149"/>
      <c r="O371" s="141" t="str">
        <f t="shared" si="5"/>
        <v xml:space="preserve">هازل  الطيب </v>
      </c>
      <c r="P371" s="141" t="s">
        <v>507</v>
      </c>
      <c r="Q371" s="141" t="s">
        <v>1934</v>
      </c>
      <c r="R371" s="276"/>
      <c r="S371" s="141"/>
      <c r="T371" s="237"/>
      <c r="U371" s="28"/>
      <c r="V371"/>
      <c r="W371"/>
      <c r="X371"/>
      <c r="Y371"/>
    </row>
    <row r="372" spans="1:25" ht="16.5" customHeight="1">
      <c r="A372" s="140">
        <v>364</v>
      </c>
      <c r="B372" s="141"/>
      <c r="C372" s="1186" t="s">
        <v>961</v>
      </c>
      <c r="D372" s="1186" t="s">
        <v>673</v>
      </c>
      <c r="E372" s="1187" t="s">
        <v>3182</v>
      </c>
      <c r="F372" s="1188" t="s">
        <v>3339</v>
      </c>
      <c r="G372" s="1202" t="s">
        <v>10</v>
      </c>
      <c r="H372" s="1213" t="s">
        <v>96</v>
      </c>
      <c r="I372" s="144" t="s">
        <v>340</v>
      </c>
      <c r="J372" s="1221" t="s">
        <v>2325</v>
      </c>
      <c r="K372" s="1235" t="s">
        <v>103</v>
      </c>
      <c r="L372" s="1244" t="s">
        <v>494</v>
      </c>
      <c r="M372" s="1168"/>
      <c r="N372" s="1149"/>
      <c r="O372" s="141" t="str">
        <f t="shared" si="5"/>
        <v xml:space="preserve">بركاني  محمد </v>
      </c>
      <c r="P372" s="141" t="s">
        <v>507</v>
      </c>
      <c r="Q372" s="141" t="s">
        <v>1935</v>
      </c>
      <c r="R372" s="276"/>
      <c r="S372" s="989"/>
      <c r="T372" s="237"/>
      <c r="U372" s="28"/>
      <c r="V372"/>
      <c r="W372"/>
      <c r="X372"/>
      <c r="Y372"/>
    </row>
    <row r="373" spans="1:25" ht="16.5" customHeight="1">
      <c r="A373" s="140">
        <v>365</v>
      </c>
      <c r="B373" s="141"/>
      <c r="C373" s="1186" t="s">
        <v>1024</v>
      </c>
      <c r="D373" s="1186" t="s">
        <v>120</v>
      </c>
      <c r="E373" s="1187" t="s">
        <v>3183</v>
      </c>
      <c r="F373" s="1188" t="s">
        <v>3339</v>
      </c>
      <c r="G373" s="1202" t="s">
        <v>10</v>
      </c>
      <c r="H373" s="1213" t="s">
        <v>91</v>
      </c>
      <c r="I373" s="144" t="s">
        <v>340</v>
      </c>
      <c r="J373" s="1221" t="s">
        <v>2325</v>
      </c>
      <c r="K373" s="1235" t="s">
        <v>103</v>
      </c>
      <c r="L373" s="1244" t="s">
        <v>3749</v>
      </c>
      <c r="M373" s="1168"/>
      <c r="N373" s="1149"/>
      <c r="O373" s="141" t="str">
        <f t="shared" si="5"/>
        <v xml:space="preserve">بغدادي  محمد </v>
      </c>
      <c r="P373" s="141" t="s">
        <v>507</v>
      </c>
      <c r="Q373" s="141" t="s">
        <v>1934</v>
      </c>
      <c r="R373" s="276"/>
      <c r="S373" s="989"/>
      <c r="T373" s="237"/>
      <c r="U373" s="28"/>
      <c r="V373"/>
      <c r="W373"/>
      <c r="X373"/>
      <c r="Y373"/>
    </row>
    <row r="374" spans="1:25" ht="16.5" customHeight="1">
      <c r="A374" s="140">
        <v>366</v>
      </c>
      <c r="B374" s="141"/>
      <c r="C374" s="1186" t="s">
        <v>2725</v>
      </c>
      <c r="D374" s="1186" t="s">
        <v>2000</v>
      </c>
      <c r="E374" s="1192">
        <v>40091</v>
      </c>
      <c r="F374" s="1188"/>
      <c r="G374" s="1202" t="s">
        <v>10</v>
      </c>
      <c r="H374" s="1213" t="s">
        <v>91</v>
      </c>
      <c r="I374" s="144" t="s">
        <v>340</v>
      </c>
      <c r="J374" s="1221"/>
      <c r="K374" s="1235"/>
      <c r="L374" s="1244"/>
      <c r="M374" s="1168"/>
      <c r="N374" s="1149"/>
      <c r="O374" s="141" t="str">
        <f t="shared" si="5"/>
        <v xml:space="preserve">بن عامر  </v>
      </c>
      <c r="P374" s="141" t="s">
        <v>507</v>
      </c>
      <c r="Q374" s="141" t="s">
        <v>1935</v>
      </c>
      <c r="R374" s="276"/>
      <c r="S374" s="141" t="s">
        <v>653</v>
      </c>
      <c r="T374" s="237"/>
      <c r="U374" s="28"/>
      <c r="V374"/>
      <c r="W374"/>
      <c r="X374"/>
      <c r="Y374"/>
    </row>
    <row r="375" spans="1:25" ht="16.5" customHeight="1">
      <c r="A375" s="140">
        <v>367</v>
      </c>
      <c r="B375" s="141"/>
      <c r="C375" s="1186" t="s">
        <v>2697</v>
      </c>
      <c r="D375" s="1186" t="s">
        <v>43</v>
      </c>
      <c r="E375" s="1187" t="s">
        <v>3184</v>
      </c>
      <c r="F375" s="1188" t="s">
        <v>3339</v>
      </c>
      <c r="G375" s="1202" t="s">
        <v>10</v>
      </c>
      <c r="H375" s="1213" t="s">
        <v>91</v>
      </c>
      <c r="I375" s="144" t="s">
        <v>340</v>
      </c>
      <c r="J375" s="1221" t="s">
        <v>2330</v>
      </c>
      <c r="K375" s="1235" t="s">
        <v>102</v>
      </c>
      <c r="L375" s="1244" t="s">
        <v>3750</v>
      </c>
      <c r="M375" s="1168"/>
      <c r="N375" s="1149"/>
      <c r="O375" s="141" t="str">
        <f t="shared" si="5"/>
        <v xml:space="preserve">بودلال  يحي </v>
      </c>
      <c r="P375" s="141" t="s">
        <v>507</v>
      </c>
      <c r="Q375" s="141" t="s">
        <v>1935</v>
      </c>
      <c r="R375" s="276"/>
      <c r="S375" s="989"/>
      <c r="T375" s="237"/>
      <c r="U375" s="28"/>
      <c r="V375"/>
      <c r="W375"/>
      <c r="X375"/>
      <c r="Y375"/>
    </row>
    <row r="376" spans="1:25" ht="16.5" customHeight="1">
      <c r="A376" s="140">
        <v>368</v>
      </c>
      <c r="B376" s="141"/>
      <c r="C376" s="1186" t="s">
        <v>3370</v>
      </c>
      <c r="D376" s="1186" t="s">
        <v>2726</v>
      </c>
      <c r="E376" s="1192">
        <v>39972</v>
      </c>
      <c r="F376" s="1188"/>
      <c r="G376" s="1202" t="s">
        <v>10</v>
      </c>
      <c r="H376" s="1213" t="s">
        <v>96</v>
      </c>
      <c r="I376" s="144" t="s">
        <v>340</v>
      </c>
      <c r="J376" s="1221"/>
      <c r="K376" s="1235"/>
      <c r="L376" s="1244"/>
      <c r="M376" s="1168"/>
      <c r="N376" s="1149"/>
      <c r="O376" s="141" t="str">
        <f t="shared" si="5"/>
        <v xml:space="preserve">بوزيق  </v>
      </c>
      <c r="P376" s="141" t="s">
        <v>507</v>
      </c>
      <c r="Q376" s="141" t="s">
        <v>1934</v>
      </c>
      <c r="R376" s="276"/>
      <c r="S376" s="989"/>
      <c r="T376" s="237"/>
      <c r="U376" s="28"/>
      <c r="V376"/>
      <c r="W376"/>
      <c r="X376"/>
      <c r="Y376"/>
    </row>
    <row r="377" spans="1:25" ht="16.5" customHeight="1">
      <c r="A377" s="140">
        <v>369</v>
      </c>
      <c r="B377" s="141"/>
      <c r="C377" s="1186" t="s">
        <v>2345</v>
      </c>
      <c r="D377" s="1186" t="s">
        <v>2698</v>
      </c>
      <c r="E377" s="1187" t="s">
        <v>3185</v>
      </c>
      <c r="F377" s="1188" t="s">
        <v>90</v>
      </c>
      <c r="G377" s="1202" t="s">
        <v>10</v>
      </c>
      <c r="H377" s="1213" t="s">
        <v>96</v>
      </c>
      <c r="I377" s="144" t="s">
        <v>340</v>
      </c>
      <c r="J377" s="1221" t="s">
        <v>2333</v>
      </c>
      <c r="K377" s="1235" t="s">
        <v>128</v>
      </c>
      <c r="L377" s="1244" t="s">
        <v>494</v>
      </c>
      <c r="M377" s="1168"/>
      <c r="N377" s="1149"/>
      <c r="O377" s="141" t="str">
        <f t="shared" si="5"/>
        <v xml:space="preserve">بوسبع  عباس </v>
      </c>
      <c r="P377" s="141" t="s">
        <v>507</v>
      </c>
      <c r="Q377" s="141" t="s">
        <v>1935</v>
      </c>
      <c r="R377" s="276"/>
      <c r="S377" s="989"/>
      <c r="T377" s="237"/>
      <c r="U377" s="28"/>
      <c r="V377"/>
      <c r="W377"/>
      <c r="X377"/>
      <c r="Y377"/>
    </row>
    <row r="378" spans="1:25" s="968" customFormat="1" ht="16.5" customHeight="1">
      <c r="A378" s="140">
        <v>370</v>
      </c>
      <c r="B378" s="141"/>
      <c r="C378" s="1186" t="s">
        <v>2694</v>
      </c>
      <c r="D378" s="1186" t="s">
        <v>131</v>
      </c>
      <c r="E378" s="1187" t="s">
        <v>3180</v>
      </c>
      <c r="F378" s="1188" t="s">
        <v>3363</v>
      </c>
      <c r="G378" s="1202" t="s">
        <v>10</v>
      </c>
      <c r="H378" s="1213" t="s">
        <v>96</v>
      </c>
      <c r="I378" s="144" t="s">
        <v>340</v>
      </c>
      <c r="J378" s="1221"/>
      <c r="K378" s="1235" t="s">
        <v>805</v>
      </c>
      <c r="L378" s="1244"/>
      <c r="M378" s="1168"/>
      <c r="N378" s="1149"/>
      <c r="O378" s="141" t="str">
        <f t="shared" si="5"/>
        <v xml:space="preserve">تلي  </v>
      </c>
      <c r="P378" s="141" t="s">
        <v>630</v>
      </c>
      <c r="Q378" s="141"/>
      <c r="R378" s="276"/>
      <c r="S378" s="989"/>
      <c r="T378" s="237"/>
      <c r="U378" s="28"/>
    </row>
    <row r="379" spans="1:25" ht="16.5" customHeight="1">
      <c r="A379" s="140">
        <v>371</v>
      </c>
      <c r="B379" s="141"/>
      <c r="C379" s="1186" t="s">
        <v>2431</v>
      </c>
      <c r="D379" s="1186" t="s">
        <v>2700</v>
      </c>
      <c r="E379" s="1187" t="s">
        <v>3187</v>
      </c>
      <c r="F379" s="1188" t="s">
        <v>90</v>
      </c>
      <c r="G379" s="1202" t="s">
        <v>10</v>
      </c>
      <c r="H379" s="1213" t="s">
        <v>91</v>
      </c>
      <c r="I379" s="144" t="s">
        <v>340</v>
      </c>
      <c r="J379" s="1221" t="s">
        <v>3372</v>
      </c>
      <c r="K379" s="1235" t="s">
        <v>111</v>
      </c>
      <c r="L379" s="1244" t="s">
        <v>3639</v>
      </c>
      <c r="M379" s="1168"/>
      <c r="N379" s="1149"/>
      <c r="O379" s="141" t="str">
        <f t="shared" si="5"/>
        <v xml:space="preserve">جلغوم  لخضر </v>
      </c>
      <c r="P379" s="141" t="s">
        <v>507</v>
      </c>
      <c r="Q379" s="141" t="s">
        <v>1935</v>
      </c>
      <c r="R379" s="276"/>
      <c r="S379" s="989"/>
      <c r="T379" s="237"/>
      <c r="U379" s="28"/>
      <c r="V379"/>
      <c r="W379"/>
      <c r="X379"/>
      <c r="Y379"/>
    </row>
    <row r="380" spans="1:25" ht="16.5" customHeight="1">
      <c r="A380" s="140">
        <v>372</v>
      </c>
      <c r="B380" s="141"/>
      <c r="C380" s="1186" t="s">
        <v>2701</v>
      </c>
      <c r="D380" s="1186" t="s">
        <v>2702</v>
      </c>
      <c r="E380" s="1187" t="s">
        <v>3188</v>
      </c>
      <c r="F380" s="1188" t="s">
        <v>3364</v>
      </c>
      <c r="G380" s="1202" t="s">
        <v>10</v>
      </c>
      <c r="H380" s="1213" t="s">
        <v>96</v>
      </c>
      <c r="I380" s="144" t="s">
        <v>340</v>
      </c>
      <c r="J380" s="1221"/>
      <c r="K380" s="1235" t="s">
        <v>159</v>
      </c>
      <c r="L380" s="1244"/>
      <c r="M380" s="1168"/>
      <c r="N380" s="1155"/>
      <c r="O380" s="141" t="str">
        <f t="shared" si="5"/>
        <v xml:space="preserve">حري  </v>
      </c>
      <c r="P380" s="141" t="s">
        <v>630</v>
      </c>
      <c r="Q380" s="141" t="s">
        <v>1935</v>
      </c>
      <c r="R380" s="276"/>
      <c r="S380" s="989"/>
      <c r="T380" s="237"/>
      <c r="U380" s="28"/>
      <c r="V380"/>
      <c r="W380"/>
      <c r="X380"/>
      <c r="Y380"/>
    </row>
    <row r="381" spans="1:25" ht="16.5" customHeight="1">
      <c r="A381" s="140">
        <v>373</v>
      </c>
      <c r="B381" s="141"/>
      <c r="C381" s="1186" t="s">
        <v>2703</v>
      </c>
      <c r="D381" s="1186" t="s">
        <v>2704</v>
      </c>
      <c r="E381" s="1187" t="s">
        <v>3190</v>
      </c>
      <c r="F381" s="1188" t="s">
        <v>358</v>
      </c>
      <c r="G381" s="1202" t="s">
        <v>10</v>
      </c>
      <c r="H381" s="1213" t="s">
        <v>91</v>
      </c>
      <c r="I381" s="144" t="s">
        <v>340</v>
      </c>
      <c r="J381" s="1221" t="s">
        <v>2320</v>
      </c>
      <c r="K381" s="1235" t="s">
        <v>111</v>
      </c>
      <c r="L381" s="1244" t="s">
        <v>494</v>
      </c>
      <c r="M381" s="1168"/>
      <c r="N381" s="1149"/>
      <c r="O381" s="141" t="str">
        <f t="shared" si="5"/>
        <v xml:space="preserve">دين  عمر </v>
      </c>
      <c r="P381" s="141" t="s">
        <v>507</v>
      </c>
      <c r="Q381" s="141" t="s">
        <v>1935</v>
      </c>
      <c r="R381" s="276"/>
      <c r="S381" s="989"/>
      <c r="T381" s="237"/>
      <c r="U381" s="28"/>
      <c r="V381"/>
      <c r="W381"/>
      <c r="X381"/>
      <c r="Y381"/>
    </row>
    <row r="382" spans="1:25" ht="16.5" customHeight="1">
      <c r="A382" s="140">
        <v>374</v>
      </c>
      <c r="B382" s="141"/>
      <c r="C382" s="1186" t="s">
        <v>2705</v>
      </c>
      <c r="D382" s="1186" t="s">
        <v>2706</v>
      </c>
      <c r="E382" s="1187" t="s">
        <v>3191</v>
      </c>
      <c r="F382" s="1188" t="s">
        <v>3339</v>
      </c>
      <c r="G382" s="1202" t="s">
        <v>10</v>
      </c>
      <c r="H382" s="1213" t="s">
        <v>91</v>
      </c>
      <c r="I382" s="144" t="s">
        <v>340</v>
      </c>
      <c r="J382" s="1221" t="s">
        <v>3463</v>
      </c>
      <c r="K382" s="1235" t="s">
        <v>103</v>
      </c>
      <c r="L382" s="1244" t="s">
        <v>3753</v>
      </c>
      <c r="M382" s="1168"/>
      <c r="N382" s="1149"/>
      <c r="O382" s="141" t="str">
        <f t="shared" si="5"/>
        <v xml:space="preserve">زحاف  سايح </v>
      </c>
      <c r="P382" s="141" t="s">
        <v>507</v>
      </c>
      <c r="Q382" s="141" t="s">
        <v>1935</v>
      </c>
      <c r="R382" s="276"/>
      <c r="S382" s="989"/>
      <c r="T382" s="237"/>
      <c r="U382" s="28"/>
      <c r="V382"/>
      <c r="W382"/>
      <c r="X382"/>
      <c r="Y382"/>
    </row>
    <row r="383" spans="1:25" ht="16.5" customHeight="1">
      <c r="A383" s="140">
        <v>375</v>
      </c>
      <c r="B383" s="141"/>
      <c r="C383" s="1186" t="s">
        <v>2707</v>
      </c>
      <c r="D383" s="1186" t="s">
        <v>2708</v>
      </c>
      <c r="E383" s="1187" t="s">
        <v>3192</v>
      </c>
      <c r="F383" s="1188" t="s">
        <v>3339</v>
      </c>
      <c r="G383" s="1202" t="s">
        <v>10</v>
      </c>
      <c r="H383" s="1213" t="s">
        <v>96</v>
      </c>
      <c r="I383" s="144" t="s">
        <v>340</v>
      </c>
      <c r="J383" s="1221"/>
      <c r="K383" s="1235" t="s">
        <v>111</v>
      </c>
      <c r="L383" s="1244"/>
      <c r="M383" s="1168"/>
      <c r="N383" s="1149"/>
      <c r="O383" s="141" t="str">
        <f t="shared" si="5"/>
        <v xml:space="preserve">سبايبي  </v>
      </c>
      <c r="P383" s="141" t="s">
        <v>630</v>
      </c>
      <c r="Q383" s="141" t="s">
        <v>1935</v>
      </c>
      <c r="R383" s="276"/>
      <c r="S383" s="989"/>
      <c r="T383" s="237"/>
      <c r="U383" s="28"/>
      <c r="V383"/>
      <c r="W383"/>
      <c r="X383"/>
      <c r="Y383"/>
    </row>
    <row r="384" spans="1:25" ht="16.5" customHeight="1">
      <c r="A384" s="140">
        <v>376</v>
      </c>
      <c r="B384" s="141"/>
      <c r="C384" s="1186" t="s">
        <v>2695</v>
      </c>
      <c r="D384" s="1186" t="s">
        <v>25</v>
      </c>
      <c r="E384" s="1187" t="s">
        <v>3181</v>
      </c>
      <c r="F384" s="1188" t="s">
        <v>90</v>
      </c>
      <c r="G384" s="1202" t="s">
        <v>10</v>
      </c>
      <c r="H384" s="1213" t="s">
        <v>91</v>
      </c>
      <c r="I384" s="144" t="s">
        <v>340</v>
      </c>
      <c r="J384" s="1221" t="s">
        <v>3413</v>
      </c>
      <c r="K384" s="1235" t="s">
        <v>97</v>
      </c>
      <c r="L384" s="1244" t="s">
        <v>3748</v>
      </c>
      <c r="M384" s="1168"/>
      <c r="N384" s="1149"/>
      <c r="O384" s="141" t="str">
        <f t="shared" si="5"/>
        <v xml:space="preserve">غضبان  بوبكر </v>
      </c>
      <c r="P384" s="141" t="s">
        <v>507</v>
      </c>
      <c r="Q384" s="141" t="s">
        <v>1935</v>
      </c>
      <c r="R384" s="276"/>
      <c r="S384" s="989"/>
      <c r="T384" s="237"/>
      <c r="U384" s="28"/>
      <c r="V384"/>
      <c r="W384"/>
      <c r="X384"/>
      <c r="Y384"/>
    </row>
    <row r="385" spans="1:25" ht="16.5" customHeight="1">
      <c r="A385" s="140">
        <v>377</v>
      </c>
      <c r="B385" s="141"/>
      <c r="C385" s="1186" t="s">
        <v>2686</v>
      </c>
      <c r="D385" s="1186" t="s">
        <v>2710</v>
      </c>
      <c r="E385" s="1187" t="s">
        <v>3194</v>
      </c>
      <c r="F385" s="1188" t="s">
        <v>90</v>
      </c>
      <c r="G385" s="1202" t="s">
        <v>10</v>
      </c>
      <c r="H385" s="1213" t="s">
        <v>96</v>
      </c>
      <c r="I385" s="144" t="s">
        <v>340</v>
      </c>
      <c r="J385" s="1221" t="s">
        <v>3405</v>
      </c>
      <c r="K385" s="1235" t="s">
        <v>128</v>
      </c>
      <c r="L385" s="1244" t="s">
        <v>3755</v>
      </c>
      <c r="M385" s="1168"/>
      <c r="N385" s="1149"/>
      <c r="O385" s="141" t="str">
        <f t="shared" si="5"/>
        <v xml:space="preserve">قرع  عيسى </v>
      </c>
      <c r="P385" s="141" t="s">
        <v>507</v>
      </c>
      <c r="Q385" s="141" t="s">
        <v>1935</v>
      </c>
      <c r="R385" s="276"/>
      <c r="S385" s="989"/>
      <c r="T385" s="237"/>
      <c r="U385" s="28"/>
      <c r="V385"/>
      <c r="W385"/>
      <c r="X385"/>
      <c r="Y385"/>
    </row>
    <row r="386" spans="1:25" ht="16.5" customHeight="1">
      <c r="A386" s="140">
        <v>378</v>
      </c>
      <c r="B386" s="141"/>
      <c r="C386" s="1186" t="s">
        <v>2080</v>
      </c>
      <c r="D386" s="1186" t="s">
        <v>2711</v>
      </c>
      <c r="E386" s="1187" t="s">
        <v>2924</v>
      </c>
      <c r="F386" s="1188" t="s">
        <v>90</v>
      </c>
      <c r="G386" s="1202" t="s">
        <v>10</v>
      </c>
      <c r="H386" s="1213" t="s">
        <v>96</v>
      </c>
      <c r="I386" s="144" t="s">
        <v>340</v>
      </c>
      <c r="J386" s="1221" t="s">
        <v>3411</v>
      </c>
      <c r="K386" s="1235" t="s">
        <v>119</v>
      </c>
      <c r="L386" s="1244" t="s">
        <v>3756</v>
      </c>
      <c r="M386" s="1168"/>
      <c r="N386" s="1149"/>
      <c r="O386" s="141" t="str">
        <f t="shared" si="5"/>
        <v xml:space="preserve">قرل  كمال </v>
      </c>
      <c r="P386" s="141" t="s">
        <v>507</v>
      </c>
      <c r="Q386" s="141" t="s">
        <v>1935</v>
      </c>
      <c r="R386" s="276"/>
      <c r="S386" s="989"/>
      <c r="T386" s="237"/>
      <c r="U386" s="28"/>
      <c r="V386"/>
      <c r="W386"/>
      <c r="X386"/>
      <c r="Y386"/>
    </row>
    <row r="387" spans="1:25" ht="16.5" customHeight="1">
      <c r="A387" s="140">
        <v>379</v>
      </c>
      <c r="B387" s="141"/>
      <c r="C387" s="1186" t="s">
        <v>1008</v>
      </c>
      <c r="D387" s="1186" t="s">
        <v>706</v>
      </c>
      <c r="E387" s="1187" t="s">
        <v>3125</v>
      </c>
      <c r="F387" s="1188" t="s">
        <v>3339</v>
      </c>
      <c r="G387" s="1202" t="s">
        <v>10</v>
      </c>
      <c r="H387" s="1213" t="s">
        <v>96</v>
      </c>
      <c r="I387" s="144" t="s">
        <v>340</v>
      </c>
      <c r="J387" s="1221" t="s">
        <v>3464</v>
      </c>
      <c r="K387" s="1235" t="s">
        <v>111</v>
      </c>
      <c r="L387" s="1244" t="s">
        <v>3757</v>
      </c>
      <c r="M387" s="1168"/>
      <c r="N387" s="1149"/>
      <c r="O387" s="141" t="str">
        <f t="shared" si="5"/>
        <v xml:space="preserve">قلاليز  عبد النور </v>
      </c>
      <c r="P387" s="141" t="s">
        <v>630</v>
      </c>
      <c r="Q387" s="141" t="s">
        <v>1934</v>
      </c>
      <c r="R387" s="276"/>
      <c r="S387" s="989"/>
      <c r="T387" s="237"/>
      <c r="U387" s="28"/>
      <c r="V387"/>
      <c r="W387"/>
      <c r="X387"/>
      <c r="Y387"/>
    </row>
    <row r="388" spans="1:25" ht="16.5" customHeight="1">
      <c r="A388" s="140">
        <v>380</v>
      </c>
      <c r="B388" s="141"/>
      <c r="C388" s="1186" t="s">
        <v>2712</v>
      </c>
      <c r="D388" s="1186" t="s">
        <v>120</v>
      </c>
      <c r="E388" s="1187" t="s">
        <v>3195</v>
      </c>
      <c r="F388" s="1188" t="s">
        <v>90</v>
      </c>
      <c r="G388" s="1202" t="s">
        <v>10</v>
      </c>
      <c r="H388" s="1213" t="s">
        <v>91</v>
      </c>
      <c r="I388" s="144" t="s">
        <v>340</v>
      </c>
      <c r="J388" s="1221" t="s">
        <v>3371</v>
      </c>
      <c r="K388" s="1234" t="s">
        <v>1883</v>
      </c>
      <c r="L388" s="1244" t="s">
        <v>494</v>
      </c>
      <c r="M388" s="1168"/>
      <c r="N388" s="1149"/>
      <c r="O388" s="141" t="str">
        <f t="shared" si="5"/>
        <v xml:space="preserve">كتاب  علي </v>
      </c>
      <c r="P388" s="141" t="s">
        <v>507</v>
      </c>
      <c r="Q388" s="141" t="s">
        <v>1935</v>
      </c>
      <c r="R388" s="276"/>
      <c r="S388" s="989"/>
      <c r="T388" s="404"/>
      <c r="U388" s="28"/>
      <c r="V388"/>
      <c r="W388"/>
      <c r="X388"/>
      <c r="Y388"/>
    </row>
    <row r="389" spans="1:25" ht="16.5" customHeight="1">
      <c r="A389" s="140">
        <v>381</v>
      </c>
      <c r="B389" s="141"/>
      <c r="C389" s="1189" t="s">
        <v>127</v>
      </c>
      <c r="D389" s="1189" t="s">
        <v>2724</v>
      </c>
      <c r="E389" s="1193">
        <v>40588</v>
      </c>
      <c r="F389" s="1191"/>
      <c r="G389" s="1201" t="s">
        <v>10</v>
      </c>
      <c r="H389" s="1213" t="s">
        <v>91</v>
      </c>
      <c r="I389" s="144" t="s">
        <v>340</v>
      </c>
      <c r="J389" s="1222"/>
      <c r="K389" s="1233"/>
      <c r="L389" s="1246"/>
      <c r="M389" s="1168"/>
      <c r="N389" s="1149"/>
      <c r="O389" s="141" t="str">
        <f t="shared" si="5"/>
        <v xml:space="preserve">كشار  </v>
      </c>
      <c r="P389" s="141" t="s">
        <v>507</v>
      </c>
      <c r="Q389" s="141" t="s">
        <v>1934</v>
      </c>
      <c r="R389" s="276"/>
      <c r="S389" s="989"/>
      <c r="T389" s="404"/>
      <c r="U389" s="28"/>
      <c r="V389"/>
      <c r="W389"/>
      <c r="X389"/>
      <c r="Y389"/>
    </row>
    <row r="390" spans="1:25" ht="16.5" customHeight="1">
      <c r="A390" s="140">
        <v>382</v>
      </c>
      <c r="B390" s="141"/>
      <c r="C390" s="1186" t="s">
        <v>2713</v>
      </c>
      <c r="D390" s="1186" t="s">
        <v>2714</v>
      </c>
      <c r="E390" s="1187" t="s">
        <v>3124</v>
      </c>
      <c r="F390" s="1188" t="s">
        <v>3339</v>
      </c>
      <c r="G390" s="1202" t="s">
        <v>10</v>
      </c>
      <c r="H390" s="1213" t="s">
        <v>91</v>
      </c>
      <c r="I390" s="144" t="s">
        <v>340</v>
      </c>
      <c r="J390" s="1221" t="s">
        <v>2325</v>
      </c>
      <c r="K390" s="1235" t="s">
        <v>2238</v>
      </c>
      <c r="L390" s="1244" t="s">
        <v>3758</v>
      </c>
      <c r="M390" s="1168"/>
      <c r="N390" s="1149"/>
      <c r="O390" s="141" t="str">
        <f t="shared" si="5"/>
        <v xml:space="preserve">مدوري  محمد </v>
      </c>
      <c r="P390" s="141" t="s">
        <v>507</v>
      </c>
      <c r="Q390" s="141" t="s">
        <v>1934</v>
      </c>
      <c r="R390" s="237"/>
      <c r="S390" s="989"/>
      <c r="T390" s="671" t="s">
        <v>628</v>
      </c>
      <c r="U390" s="28"/>
      <c r="V390"/>
      <c r="W390"/>
      <c r="X390"/>
      <c r="Y390"/>
    </row>
    <row r="391" spans="1:25" ht="16.5" customHeight="1">
      <c r="A391" s="140">
        <v>383</v>
      </c>
      <c r="B391" s="141"/>
      <c r="C391" s="1186" t="s">
        <v>2406</v>
      </c>
      <c r="D391" s="1186" t="s">
        <v>2715</v>
      </c>
      <c r="E391" s="1187" t="s">
        <v>3196</v>
      </c>
      <c r="F391" s="1188" t="s">
        <v>90</v>
      </c>
      <c r="G391" s="1202" t="s">
        <v>10</v>
      </c>
      <c r="H391" s="1213" t="s">
        <v>91</v>
      </c>
      <c r="I391" s="144" t="s">
        <v>340</v>
      </c>
      <c r="J391" s="1221" t="s">
        <v>2184</v>
      </c>
      <c r="K391" s="1235" t="s">
        <v>97</v>
      </c>
      <c r="L391" s="1244" t="s">
        <v>3602</v>
      </c>
      <c r="M391" s="1170"/>
      <c r="N391" s="1149"/>
      <c r="O391" s="141" t="str">
        <f t="shared" si="5"/>
        <v xml:space="preserve">مرابط  مهاجي </v>
      </c>
      <c r="P391" s="141" t="s">
        <v>507</v>
      </c>
      <c r="Q391" s="141" t="s">
        <v>1934</v>
      </c>
      <c r="R391" s="276"/>
      <c r="S391" s="989"/>
      <c r="T391" s="671"/>
      <c r="U391" s="28"/>
      <c r="V391"/>
      <c r="W391"/>
      <c r="X391"/>
      <c r="Y391"/>
    </row>
    <row r="392" spans="1:25" s="968" customFormat="1" ht="16.5" customHeight="1">
      <c r="A392" s="140">
        <v>384</v>
      </c>
      <c r="B392" s="141"/>
      <c r="C392" s="1186" t="s">
        <v>2716</v>
      </c>
      <c r="D392" s="1186" t="s">
        <v>2717</v>
      </c>
      <c r="E392" s="1187" t="s">
        <v>3197</v>
      </c>
      <c r="F392" s="1188" t="s">
        <v>3365</v>
      </c>
      <c r="G392" s="1202" t="s">
        <v>10</v>
      </c>
      <c r="H392" s="1213" t="s">
        <v>91</v>
      </c>
      <c r="I392" s="144" t="s">
        <v>340</v>
      </c>
      <c r="J392" s="1221"/>
      <c r="K392" s="1235" t="s">
        <v>111</v>
      </c>
      <c r="L392" s="1244"/>
      <c r="M392" s="1168"/>
      <c r="N392" s="1149"/>
      <c r="O392" s="141" t="str">
        <f t="shared" si="5"/>
        <v xml:space="preserve">مزوار  </v>
      </c>
      <c r="P392" s="141" t="s">
        <v>630</v>
      </c>
      <c r="Q392" s="141"/>
      <c r="R392" s="276"/>
      <c r="S392" s="989"/>
      <c r="T392" s="671"/>
      <c r="U392" s="28"/>
    </row>
    <row r="393" spans="1:25" ht="16.5" customHeight="1">
      <c r="A393" s="140">
        <v>385</v>
      </c>
      <c r="B393" s="141"/>
      <c r="C393" s="1186" t="s">
        <v>2718</v>
      </c>
      <c r="D393" s="1186" t="s">
        <v>884</v>
      </c>
      <c r="E393" s="1187" t="s">
        <v>3198</v>
      </c>
      <c r="F393" s="1188" t="s">
        <v>3339</v>
      </c>
      <c r="G393" s="1202" t="s">
        <v>10</v>
      </c>
      <c r="H393" s="1213" t="s">
        <v>91</v>
      </c>
      <c r="I393" s="144" t="s">
        <v>340</v>
      </c>
      <c r="J393" s="1221"/>
      <c r="K393" s="1235" t="s">
        <v>135</v>
      </c>
      <c r="L393" s="1244"/>
      <c r="M393" s="1168"/>
      <c r="N393" s="1149"/>
      <c r="O393" s="141" t="str">
        <f t="shared" si="5"/>
        <v xml:space="preserve">مشرفي  </v>
      </c>
      <c r="P393" s="141" t="s">
        <v>507</v>
      </c>
      <c r="Q393" s="141" t="s">
        <v>1934</v>
      </c>
      <c r="R393" s="761"/>
      <c r="S393" s="989"/>
      <c r="T393" s="404"/>
      <c r="U393" s="28"/>
      <c r="V393"/>
      <c r="W393"/>
      <c r="X393"/>
      <c r="Y393"/>
    </row>
    <row r="394" spans="1:25" ht="16.5" customHeight="1">
      <c r="A394" s="140">
        <v>386</v>
      </c>
      <c r="B394" s="141"/>
      <c r="C394" s="1186" t="s">
        <v>2414</v>
      </c>
      <c r="D394" s="1186" t="s">
        <v>2719</v>
      </c>
      <c r="E394" s="1187" t="s">
        <v>3199</v>
      </c>
      <c r="F394" s="1188" t="s">
        <v>3338</v>
      </c>
      <c r="G394" s="1202" t="s">
        <v>10</v>
      </c>
      <c r="H394" s="1213" t="s">
        <v>96</v>
      </c>
      <c r="I394" s="144" t="s">
        <v>340</v>
      </c>
      <c r="J394" s="1221" t="s">
        <v>2332</v>
      </c>
      <c r="K394" s="1235" t="s">
        <v>128</v>
      </c>
      <c r="L394" s="1244" t="s">
        <v>3759</v>
      </c>
      <c r="M394" s="1168"/>
      <c r="N394" s="1149"/>
      <c r="O394" s="141" t="str">
        <f t="shared" ref="O394:O457" si="6">(C394&amp;"  "&amp;J394)</f>
        <v xml:space="preserve">منقور  عبد القادر </v>
      </c>
      <c r="P394" s="141" t="s">
        <v>507</v>
      </c>
      <c r="Q394" s="141" t="s">
        <v>1935</v>
      </c>
      <c r="R394" s="761"/>
      <c r="S394" s="989"/>
      <c r="T394" s="237"/>
      <c r="U394" s="28"/>
      <c r="V394"/>
      <c r="W394"/>
      <c r="X394"/>
      <c r="Y394"/>
    </row>
    <row r="395" spans="1:25" ht="16.5" customHeight="1">
      <c r="A395" s="140">
        <v>387</v>
      </c>
      <c r="B395" s="141"/>
      <c r="C395" s="1186" t="s">
        <v>2647</v>
      </c>
      <c r="D395" s="1186" t="s">
        <v>706</v>
      </c>
      <c r="E395" s="1187" t="s">
        <v>3200</v>
      </c>
      <c r="F395" s="1188" t="s">
        <v>3339</v>
      </c>
      <c r="G395" s="1202" t="s">
        <v>10</v>
      </c>
      <c r="H395" s="1213" t="s">
        <v>96</v>
      </c>
      <c r="I395" s="144" t="s">
        <v>340</v>
      </c>
      <c r="J395" s="1221" t="s">
        <v>1438</v>
      </c>
      <c r="K395" s="1235" t="s">
        <v>111</v>
      </c>
      <c r="L395" s="1244" t="s">
        <v>3760</v>
      </c>
      <c r="M395" s="1168"/>
      <c r="N395" s="1149"/>
      <c r="O395" s="141" t="str">
        <f t="shared" si="6"/>
        <v xml:space="preserve">نجاعي  كريم </v>
      </c>
      <c r="P395" s="141" t="s">
        <v>630</v>
      </c>
      <c r="Q395" s="141" t="s">
        <v>1935</v>
      </c>
      <c r="R395" s="276"/>
      <c r="S395" s="989"/>
      <c r="T395" s="404"/>
      <c r="U395" s="28"/>
      <c r="V395"/>
      <c r="W395"/>
      <c r="X395"/>
      <c r="Y395"/>
    </row>
    <row r="396" spans="1:25" ht="16.5" customHeight="1">
      <c r="A396" s="140">
        <v>388</v>
      </c>
      <c r="B396" s="141"/>
      <c r="C396" s="1186" t="s">
        <v>2720</v>
      </c>
      <c r="D396" s="1186" t="s">
        <v>2038</v>
      </c>
      <c r="E396" s="1187" t="s">
        <v>3201</v>
      </c>
      <c r="F396" s="1188" t="s">
        <v>90</v>
      </c>
      <c r="G396" s="1202" t="s">
        <v>10</v>
      </c>
      <c r="H396" s="1213" t="s">
        <v>96</v>
      </c>
      <c r="I396" s="144" t="s">
        <v>340</v>
      </c>
      <c r="J396" s="1221" t="s">
        <v>3374</v>
      </c>
      <c r="K396" s="1235" t="s">
        <v>102</v>
      </c>
      <c r="L396" s="1244" t="s">
        <v>3538</v>
      </c>
      <c r="M396" s="1168"/>
      <c r="N396" s="1149"/>
      <c r="O396" s="141" t="str">
        <f t="shared" si="6"/>
        <v xml:space="preserve">نعمان  مختار </v>
      </c>
      <c r="P396" s="141" t="s">
        <v>630</v>
      </c>
      <c r="Q396" s="141" t="s">
        <v>1935</v>
      </c>
      <c r="R396" s="276"/>
      <c r="S396" s="989"/>
      <c r="T396" s="417"/>
      <c r="U396" s="28"/>
      <c r="V396"/>
      <c r="W396"/>
      <c r="X396"/>
      <c r="Y396"/>
    </row>
    <row r="397" spans="1:25" ht="16.5" customHeight="1">
      <c r="A397" s="140">
        <v>389</v>
      </c>
      <c r="B397" s="141"/>
      <c r="C397" s="1186" t="s">
        <v>2723</v>
      </c>
      <c r="D397" s="1186" t="s">
        <v>2679</v>
      </c>
      <c r="E397" s="1187" t="s">
        <v>3203</v>
      </c>
      <c r="F397" s="1188" t="s">
        <v>3339</v>
      </c>
      <c r="G397" s="1202" t="s">
        <v>10</v>
      </c>
      <c r="H397" s="1213" t="s">
        <v>91</v>
      </c>
      <c r="I397" s="144" t="s">
        <v>340</v>
      </c>
      <c r="J397" s="1221" t="s">
        <v>3443</v>
      </c>
      <c r="K397" s="1235" t="s">
        <v>123</v>
      </c>
      <c r="L397" s="1244" t="s">
        <v>3762</v>
      </c>
      <c r="M397" s="1168"/>
      <c r="N397" s="1149"/>
      <c r="O397" s="141" t="str">
        <f t="shared" si="6"/>
        <v xml:space="preserve">يوبي  حاج </v>
      </c>
      <c r="P397" s="141" t="s">
        <v>630</v>
      </c>
      <c r="Q397" s="141" t="s">
        <v>1935</v>
      </c>
      <c r="R397" s="276"/>
      <c r="S397" s="989"/>
      <c r="T397" s="671"/>
      <c r="U397" s="28"/>
      <c r="V397"/>
      <c r="W397"/>
      <c r="X397"/>
      <c r="Y397"/>
    </row>
    <row r="398" spans="1:25" ht="16.5" customHeight="1">
      <c r="A398" s="140">
        <v>390</v>
      </c>
      <c r="B398" s="141"/>
      <c r="C398" s="1186" t="s">
        <v>2485</v>
      </c>
      <c r="D398" s="1186" t="s">
        <v>2727</v>
      </c>
      <c r="E398" s="1187" t="s">
        <v>3204</v>
      </c>
      <c r="F398" s="1188" t="s">
        <v>3339</v>
      </c>
      <c r="G398" s="1202" t="s">
        <v>11</v>
      </c>
      <c r="H398" s="1212" t="s">
        <v>1458</v>
      </c>
      <c r="I398" s="144" t="s">
        <v>340</v>
      </c>
      <c r="J398" s="1221" t="s">
        <v>3465</v>
      </c>
      <c r="K398" s="1235" t="s">
        <v>103</v>
      </c>
      <c r="L398" s="1244" t="s">
        <v>3764</v>
      </c>
      <c r="M398" s="1168"/>
      <c r="N398" s="1149"/>
      <c r="O398" s="141" t="str">
        <f t="shared" si="6"/>
        <v xml:space="preserve">العقوني  صالح </v>
      </c>
      <c r="P398" s="141" t="s">
        <v>507</v>
      </c>
      <c r="Q398" s="141" t="s">
        <v>1934</v>
      </c>
      <c r="R398" s="276"/>
      <c r="S398" s="989"/>
      <c r="T398" s="404"/>
      <c r="U398" s="28"/>
      <c r="V398"/>
      <c r="W398"/>
      <c r="X398"/>
      <c r="Y398"/>
    </row>
    <row r="399" spans="1:25" ht="16.5" customHeight="1">
      <c r="A399" s="140">
        <v>391</v>
      </c>
      <c r="B399" s="141"/>
      <c r="C399" s="1186" t="s">
        <v>170</v>
      </c>
      <c r="D399" s="1186" t="s">
        <v>1051</v>
      </c>
      <c r="E399" s="1187" t="s">
        <v>3202</v>
      </c>
      <c r="F399" s="1188" t="s">
        <v>3339</v>
      </c>
      <c r="G399" s="1202" t="s">
        <v>11</v>
      </c>
      <c r="H399" s="1212" t="s">
        <v>1459</v>
      </c>
      <c r="I399" s="144" t="s">
        <v>340</v>
      </c>
      <c r="J399" s="1221" t="s">
        <v>3441</v>
      </c>
      <c r="K399" s="1235" t="s">
        <v>103</v>
      </c>
      <c r="L399" s="1244" t="s">
        <v>3763</v>
      </c>
      <c r="M399" s="1168"/>
      <c r="N399" s="1149"/>
      <c r="O399" s="141" t="str">
        <f t="shared" si="6"/>
        <v xml:space="preserve">تيرس  عثمان </v>
      </c>
      <c r="P399" s="141" t="s">
        <v>507</v>
      </c>
      <c r="Q399" s="141" t="s">
        <v>1936</v>
      </c>
      <c r="R399" s="276"/>
      <c r="S399" s="989"/>
      <c r="T399" s="404"/>
      <c r="U399" s="28"/>
      <c r="V399"/>
      <c r="W399"/>
      <c r="X399"/>
      <c r="Y399"/>
    </row>
    <row r="400" spans="1:25" ht="16.5" customHeight="1">
      <c r="A400" s="140">
        <v>392</v>
      </c>
      <c r="B400" s="141"/>
      <c r="C400" s="1183" t="s">
        <v>16</v>
      </c>
      <c r="D400" s="1183" t="s">
        <v>2324</v>
      </c>
      <c r="E400" s="1184" t="s">
        <v>2907</v>
      </c>
      <c r="F400" s="1185" t="s">
        <v>3339</v>
      </c>
      <c r="G400" s="1201" t="s">
        <v>11</v>
      </c>
      <c r="H400" s="1209" t="s">
        <v>96</v>
      </c>
      <c r="I400" s="144" t="s">
        <v>341</v>
      </c>
      <c r="J400" s="1220" t="s">
        <v>2101</v>
      </c>
      <c r="K400" s="1233" t="s">
        <v>111</v>
      </c>
      <c r="L400" s="1245" t="s">
        <v>3765</v>
      </c>
      <c r="M400" s="1168"/>
      <c r="N400" s="1149"/>
      <c r="O400" s="141" t="str">
        <f t="shared" si="6"/>
        <v xml:space="preserve">بلفكرون  أحمد </v>
      </c>
      <c r="P400" s="141" t="s">
        <v>630</v>
      </c>
      <c r="Q400" s="141" t="s">
        <v>1937</v>
      </c>
      <c r="R400" s="276"/>
      <c r="S400" s="989"/>
      <c r="T400" s="259"/>
      <c r="U400" s="28"/>
      <c r="V400"/>
      <c r="W400"/>
      <c r="X400"/>
      <c r="Y400"/>
    </row>
    <row r="401" spans="1:25" ht="16.5" customHeight="1">
      <c r="A401" s="140">
        <v>393</v>
      </c>
      <c r="B401" s="141"/>
      <c r="C401" s="1186" t="s">
        <v>2095</v>
      </c>
      <c r="D401" s="1186" t="s">
        <v>1103</v>
      </c>
      <c r="E401" s="1187" t="s">
        <v>3205</v>
      </c>
      <c r="F401" s="1188" t="s">
        <v>3338</v>
      </c>
      <c r="G401" s="1202" t="s">
        <v>11</v>
      </c>
      <c r="H401" s="1213" t="s">
        <v>96</v>
      </c>
      <c r="I401" s="144" t="s">
        <v>340</v>
      </c>
      <c r="J401" s="1221" t="s">
        <v>2332</v>
      </c>
      <c r="K401" s="1234" t="s">
        <v>805</v>
      </c>
      <c r="L401" s="1244" t="s">
        <v>3766</v>
      </c>
      <c r="M401" s="1168"/>
      <c r="N401" s="1149"/>
      <c r="O401" s="141" t="str">
        <f t="shared" si="6"/>
        <v xml:space="preserve">بن حمودة  عبد القادر </v>
      </c>
      <c r="P401" s="141" t="s">
        <v>630</v>
      </c>
      <c r="Q401" s="141"/>
      <c r="R401" s="276"/>
      <c r="S401" s="989"/>
      <c r="T401" s="259"/>
      <c r="U401" s="28"/>
      <c r="V401"/>
      <c r="W401"/>
      <c r="X401"/>
      <c r="Y401"/>
    </row>
    <row r="402" spans="1:25" ht="16.5" customHeight="1">
      <c r="A402" s="140">
        <v>394</v>
      </c>
      <c r="B402" s="141"/>
      <c r="C402" s="1186" t="s">
        <v>2364</v>
      </c>
      <c r="D402" s="1186" t="s">
        <v>2728</v>
      </c>
      <c r="E402" s="1187" t="s">
        <v>3206</v>
      </c>
      <c r="F402" s="1188" t="s">
        <v>90</v>
      </c>
      <c r="G402" s="1202" t="s">
        <v>11</v>
      </c>
      <c r="H402" s="1213" t="s">
        <v>91</v>
      </c>
      <c r="I402" s="144" t="s">
        <v>340</v>
      </c>
      <c r="J402" s="1221" t="s">
        <v>3380</v>
      </c>
      <c r="K402" s="1235" t="s">
        <v>1192</v>
      </c>
      <c r="L402" s="1244" t="s">
        <v>3767</v>
      </c>
      <c r="M402" s="1169"/>
      <c r="N402" s="1149"/>
      <c r="O402" s="141" t="str">
        <f t="shared" si="6"/>
        <v xml:space="preserve">بنور  قويدر </v>
      </c>
      <c r="P402" s="141" t="s">
        <v>630</v>
      </c>
      <c r="Q402" s="141" t="s">
        <v>1938</v>
      </c>
      <c r="R402" s="276"/>
      <c r="S402" s="989"/>
      <c r="T402" s="671"/>
      <c r="U402" s="28"/>
      <c r="V402"/>
      <c r="W402"/>
      <c r="X402"/>
      <c r="Y402"/>
    </row>
    <row r="403" spans="1:25" s="830" customFormat="1" ht="16.5" customHeight="1">
      <c r="A403" s="140">
        <v>395</v>
      </c>
      <c r="B403" s="141"/>
      <c r="C403" s="1186" t="s">
        <v>2729</v>
      </c>
      <c r="D403" s="1186" t="s">
        <v>2730</v>
      </c>
      <c r="E403" s="1187" t="s">
        <v>3207</v>
      </c>
      <c r="F403" s="1188" t="s">
        <v>3338</v>
      </c>
      <c r="G403" s="1202" t="s">
        <v>11</v>
      </c>
      <c r="H403" s="1213" t="s">
        <v>96</v>
      </c>
      <c r="I403" s="144" t="s">
        <v>340</v>
      </c>
      <c r="J403" s="1221" t="s">
        <v>2101</v>
      </c>
      <c r="K403" s="1235" t="s">
        <v>102</v>
      </c>
      <c r="L403" s="1244" t="s">
        <v>3768</v>
      </c>
      <c r="M403" s="1168"/>
      <c r="N403" s="1149"/>
      <c r="O403" s="141" t="str">
        <f t="shared" si="6"/>
        <v xml:space="preserve">بوتخيل  أحمد </v>
      </c>
      <c r="P403" s="141" t="s">
        <v>507</v>
      </c>
      <c r="Q403" s="141" t="s">
        <v>1929</v>
      </c>
      <c r="R403" s="276"/>
      <c r="S403" s="989"/>
      <c r="T403" s="671"/>
      <c r="U403" s="28"/>
    </row>
    <row r="404" spans="1:25" ht="16.5" customHeight="1">
      <c r="A404" s="140">
        <v>396</v>
      </c>
      <c r="B404" s="141"/>
      <c r="C404" s="1186" t="s">
        <v>2731</v>
      </c>
      <c r="D404" s="1186" t="s">
        <v>2732</v>
      </c>
      <c r="E404" s="1187" t="s">
        <v>3208</v>
      </c>
      <c r="F404" s="1188" t="s">
        <v>3339</v>
      </c>
      <c r="G404" s="1202" t="s">
        <v>11</v>
      </c>
      <c r="H404" s="1213" t="s">
        <v>96</v>
      </c>
      <c r="I404" s="144" t="s">
        <v>340</v>
      </c>
      <c r="J404" s="1221" t="s">
        <v>2173</v>
      </c>
      <c r="K404" s="1235" t="s">
        <v>111</v>
      </c>
      <c r="L404" s="1244" t="s">
        <v>3769</v>
      </c>
      <c r="M404" s="1168"/>
      <c r="N404" s="1149"/>
      <c r="O404" s="141" t="str">
        <f t="shared" si="6"/>
        <v xml:space="preserve">بودواية  قادة </v>
      </c>
      <c r="P404" s="141" t="s">
        <v>630</v>
      </c>
      <c r="Q404" s="141" t="s">
        <v>1937</v>
      </c>
      <c r="R404" s="276"/>
      <c r="S404" s="989"/>
      <c r="T404" s="671"/>
      <c r="U404" s="28"/>
      <c r="V404"/>
      <c r="W404"/>
      <c r="X404"/>
      <c r="Y404"/>
    </row>
    <row r="405" spans="1:25" ht="16.5" customHeight="1">
      <c r="A405" s="140">
        <v>397</v>
      </c>
      <c r="B405" s="141"/>
      <c r="C405" s="1186" t="s">
        <v>2343</v>
      </c>
      <c r="D405" s="1186" t="s">
        <v>2733</v>
      </c>
      <c r="E405" s="1187" t="s">
        <v>3209</v>
      </c>
      <c r="F405" s="1188" t="s">
        <v>3340</v>
      </c>
      <c r="G405" s="1202" t="s">
        <v>11</v>
      </c>
      <c r="H405" s="1213" t="s">
        <v>91</v>
      </c>
      <c r="I405" s="144" t="s">
        <v>340</v>
      </c>
      <c r="J405" s="1221" t="s">
        <v>3373</v>
      </c>
      <c r="K405" s="1235" t="s">
        <v>111</v>
      </c>
      <c r="L405" s="1244" t="s">
        <v>494</v>
      </c>
      <c r="M405" s="1168"/>
      <c r="N405" s="1149"/>
      <c r="O405" s="141" t="str">
        <f t="shared" si="6"/>
        <v xml:space="preserve">بوساهل  عبد الرزاق </v>
      </c>
      <c r="P405" s="141" t="s">
        <v>507</v>
      </c>
      <c r="Q405" s="141"/>
      <c r="R405" s="276"/>
      <c r="S405" s="989"/>
      <c r="T405" s="237"/>
      <c r="U405" s="28"/>
      <c r="V405"/>
      <c r="W405"/>
      <c r="X405"/>
      <c r="Y405"/>
    </row>
    <row r="406" spans="1:25" ht="16.5" customHeight="1">
      <c r="A406" s="140">
        <v>398</v>
      </c>
      <c r="B406" s="141"/>
      <c r="C406" s="1186" t="s">
        <v>2699</v>
      </c>
      <c r="D406" s="1186" t="s">
        <v>120</v>
      </c>
      <c r="E406" s="1187" t="s">
        <v>3210</v>
      </c>
      <c r="F406" s="1188" t="s">
        <v>90</v>
      </c>
      <c r="G406" s="1202" t="s">
        <v>11</v>
      </c>
      <c r="H406" s="1213" t="s">
        <v>91</v>
      </c>
      <c r="I406" s="144" t="s">
        <v>340</v>
      </c>
      <c r="J406" s="1221" t="s">
        <v>3387</v>
      </c>
      <c r="K406" s="1235" t="s">
        <v>2077</v>
      </c>
      <c r="L406" s="1244" t="s">
        <v>3770</v>
      </c>
      <c r="M406" s="1168"/>
      <c r="N406" s="1149"/>
      <c r="O406" s="141" t="str">
        <f t="shared" si="6"/>
        <v xml:space="preserve">بوطالب  ميلود </v>
      </c>
      <c r="P406" s="141" t="s">
        <v>506</v>
      </c>
      <c r="Q406" s="141" t="s">
        <v>1937</v>
      </c>
      <c r="R406" s="276"/>
      <c r="S406" s="989"/>
      <c r="T406" s="671"/>
      <c r="U406" s="28"/>
      <c r="V406"/>
      <c r="W406"/>
      <c r="X406"/>
      <c r="Y406"/>
    </row>
    <row r="407" spans="1:25" ht="16.5" customHeight="1">
      <c r="A407" s="140">
        <v>399</v>
      </c>
      <c r="B407" s="141"/>
      <c r="C407" s="1186" t="s">
        <v>2356</v>
      </c>
      <c r="D407" s="1186" t="s">
        <v>2300</v>
      </c>
      <c r="E407" s="1187" t="s">
        <v>3211</v>
      </c>
      <c r="F407" s="1188" t="s">
        <v>90</v>
      </c>
      <c r="G407" s="1202" t="s">
        <v>11</v>
      </c>
      <c r="H407" s="1213" t="s">
        <v>91</v>
      </c>
      <c r="I407" s="144" t="s">
        <v>340</v>
      </c>
      <c r="J407" s="1221" t="s">
        <v>2192</v>
      </c>
      <c r="K407" s="1235" t="s">
        <v>805</v>
      </c>
      <c r="L407" s="1244" t="s">
        <v>3771</v>
      </c>
      <c r="M407" s="1168"/>
      <c r="N407" s="1149"/>
      <c r="O407" s="141" t="str">
        <f t="shared" si="6"/>
        <v xml:space="preserve">بومسجد  الطاهر </v>
      </c>
      <c r="P407" s="141" t="s">
        <v>506</v>
      </c>
      <c r="Q407" s="141" t="s">
        <v>1937</v>
      </c>
      <c r="R407" s="276"/>
      <c r="S407" s="989"/>
      <c r="T407" s="671"/>
      <c r="U407" s="28"/>
      <c r="V407"/>
      <c r="W407"/>
      <c r="X407"/>
      <c r="Y407"/>
    </row>
    <row r="408" spans="1:25" ht="16.5" customHeight="1">
      <c r="A408" s="140">
        <v>400</v>
      </c>
      <c r="B408" s="141"/>
      <c r="C408" s="1186" t="s">
        <v>2734</v>
      </c>
      <c r="D408" s="1186" t="s">
        <v>2735</v>
      </c>
      <c r="E408" s="1187" t="s">
        <v>3212</v>
      </c>
      <c r="F408" s="1188" t="s">
        <v>3366</v>
      </c>
      <c r="G408" s="1202" t="s">
        <v>11</v>
      </c>
      <c r="H408" s="1213" t="s">
        <v>96</v>
      </c>
      <c r="I408" s="144" t="s">
        <v>340</v>
      </c>
      <c r="J408" s="1221" t="s">
        <v>3466</v>
      </c>
      <c r="K408" s="1235" t="s">
        <v>159</v>
      </c>
      <c r="L408" s="1244" t="s">
        <v>494</v>
      </c>
      <c r="M408" s="1168"/>
      <c r="N408" s="1149"/>
      <c r="O408" s="141" t="str">
        <f t="shared" si="6"/>
        <v xml:space="preserve">جوامع  سفيان بن سليمان </v>
      </c>
      <c r="P408" s="141" t="s">
        <v>506</v>
      </c>
      <c r="Q408" s="141" t="s">
        <v>1937</v>
      </c>
      <c r="R408" s="276"/>
      <c r="S408" s="989"/>
      <c r="T408" s="671"/>
      <c r="U408" s="28"/>
      <c r="V408"/>
      <c r="W408"/>
      <c r="X408"/>
      <c r="Y408"/>
    </row>
    <row r="409" spans="1:25" ht="16.5" customHeight="1">
      <c r="A409" s="140">
        <v>401</v>
      </c>
      <c r="B409" s="141"/>
      <c r="C409" s="1186" t="s">
        <v>2432</v>
      </c>
      <c r="D409" s="1186" t="s">
        <v>2477</v>
      </c>
      <c r="E409" s="1187" t="s">
        <v>3213</v>
      </c>
      <c r="F409" s="1188" t="s">
        <v>3338</v>
      </c>
      <c r="G409" s="1202" t="s">
        <v>11</v>
      </c>
      <c r="H409" s="1213" t="s">
        <v>91</v>
      </c>
      <c r="I409" s="144" t="s">
        <v>340</v>
      </c>
      <c r="J409" s="1221" t="s">
        <v>3439</v>
      </c>
      <c r="K409" s="1234" t="s">
        <v>111</v>
      </c>
      <c r="L409" s="1244" t="s">
        <v>3772</v>
      </c>
      <c r="M409" s="1168"/>
      <c r="N409" s="1149"/>
      <c r="O409" s="141" t="str">
        <f t="shared" si="6"/>
        <v xml:space="preserve">حافظي  مخفي </v>
      </c>
      <c r="P409" s="141" t="s">
        <v>506</v>
      </c>
      <c r="Q409" s="141" t="s">
        <v>1937</v>
      </c>
      <c r="R409" s="276"/>
      <c r="S409" s="989"/>
      <c r="T409" s="688"/>
      <c r="U409" s="28"/>
      <c r="V409"/>
      <c r="W409"/>
      <c r="X409"/>
      <c r="Y409"/>
    </row>
    <row r="410" spans="1:25" ht="16.5" customHeight="1">
      <c r="A410" s="140">
        <v>402</v>
      </c>
      <c r="B410" s="141"/>
      <c r="C410" s="1186" t="s">
        <v>2549</v>
      </c>
      <c r="D410" s="1186" t="s">
        <v>2736</v>
      </c>
      <c r="E410" s="1187" t="s">
        <v>3214</v>
      </c>
      <c r="F410" s="1188" t="s">
        <v>90</v>
      </c>
      <c r="G410" s="1202" t="s">
        <v>11</v>
      </c>
      <c r="H410" s="1213" t="s">
        <v>91</v>
      </c>
      <c r="I410" s="144" t="s">
        <v>340</v>
      </c>
      <c r="J410" s="1221" t="s">
        <v>2325</v>
      </c>
      <c r="K410" s="1235" t="s">
        <v>159</v>
      </c>
      <c r="L410" s="1244" t="s">
        <v>3773</v>
      </c>
      <c r="M410" s="1168"/>
      <c r="N410" s="1149"/>
      <c r="O410" s="141" t="str">
        <f t="shared" si="6"/>
        <v xml:space="preserve">دموش  محمد </v>
      </c>
      <c r="P410" s="141" t="s">
        <v>632</v>
      </c>
      <c r="Q410" s="141" t="s">
        <v>1938</v>
      </c>
      <c r="R410" s="276"/>
      <c r="S410" s="989"/>
      <c r="T410" s="671"/>
      <c r="U410" s="28"/>
      <c r="V410"/>
      <c r="W410"/>
      <c r="X410"/>
      <c r="Y410"/>
    </row>
    <row r="411" spans="1:25" ht="16.5" customHeight="1">
      <c r="A411" s="140">
        <v>403</v>
      </c>
      <c r="B411" s="141"/>
      <c r="C411" s="1186" t="s">
        <v>2438</v>
      </c>
      <c r="D411" s="1186" t="s">
        <v>2737</v>
      </c>
      <c r="E411" s="1187" t="s">
        <v>3215</v>
      </c>
      <c r="F411" s="1188" t="s">
        <v>90</v>
      </c>
      <c r="G411" s="1202" t="s">
        <v>11</v>
      </c>
      <c r="H411" s="1213" t="s">
        <v>91</v>
      </c>
      <c r="I411" s="144" t="s">
        <v>340</v>
      </c>
      <c r="J411" s="1221" t="s">
        <v>3374</v>
      </c>
      <c r="K411" s="1235" t="s">
        <v>2086</v>
      </c>
      <c r="L411" s="1244" t="s">
        <v>3774</v>
      </c>
      <c r="M411" s="1168"/>
      <c r="N411" s="1149"/>
      <c r="O411" s="141" t="str">
        <f t="shared" si="6"/>
        <v xml:space="preserve">رايس  مختار </v>
      </c>
      <c r="P411" s="141" t="s">
        <v>506</v>
      </c>
      <c r="Q411" s="141" t="s">
        <v>1938</v>
      </c>
      <c r="R411" s="276"/>
      <c r="S411" s="989"/>
      <c r="T411" s="671"/>
      <c r="U411" s="28"/>
      <c r="V411"/>
      <c r="W411"/>
      <c r="X411"/>
      <c r="Y411"/>
    </row>
    <row r="412" spans="1:25" ht="16.5" customHeight="1">
      <c r="A412" s="140">
        <v>404</v>
      </c>
      <c r="B412" s="141"/>
      <c r="C412" s="1186" t="s">
        <v>2438</v>
      </c>
      <c r="D412" s="1186" t="s">
        <v>2738</v>
      </c>
      <c r="E412" s="1187" t="s">
        <v>3216</v>
      </c>
      <c r="F412" s="1188" t="s">
        <v>3347</v>
      </c>
      <c r="G412" s="1202" t="s">
        <v>11</v>
      </c>
      <c r="H412" s="1213" t="s">
        <v>96</v>
      </c>
      <c r="I412" s="144" t="s">
        <v>340</v>
      </c>
      <c r="J412" s="1221" t="s">
        <v>2173</v>
      </c>
      <c r="K412" s="1235" t="s">
        <v>1892</v>
      </c>
      <c r="L412" s="1244" t="s">
        <v>494</v>
      </c>
      <c r="M412" s="1168"/>
      <c r="N412" s="1149"/>
      <c r="O412" s="141" t="str">
        <f t="shared" si="6"/>
        <v xml:space="preserve">رايس  قادة </v>
      </c>
      <c r="P412" s="141" t="s">
        <v>506</v>
      </c>
      <c r="Q412" s="141" t="s">
        <v>1938</v>
      </c>
      <c r="R412" s="276"/>
      <c r="S412" s="989"/>
      <c r="T412" s="581"/>
      <c r="U412" s="28"/>
      <c r="V412"/>
      <c r="W412"/>
      <c r="X412"/>
      <c r="Y412"/>
    </row>
    <row r="413" spans="1:25" ht="16.5" customHeight="1">
      <c r="A413" s="140">
        <v>405</v>
      </c>
      <c r="B413" s="141"/>
      <c r="C413" s="1186" t="s">
        <v>2739</v>
      </c>
      <c r="D413" s="1186" t="s">
        <v>2740</v>
      </c>
      <c r="E413" s="1187" t="s">
        <v>3217</v>
      </c>
      <c r="F413" s="1188" t="s">
        <v>3339</v>
      </c>
      <c r="G413" s="1202" t="s">
        <v>11</v>
      </c>
      <c r="H413" s="1213" t="s">
        <v>96</v>
      </c>
      <c r="I413" s="144" t="s">
        <v>340</v>
      </c>
      <c r="J413" s="1221" t="s">
        <v>2325</v>
      </c>
      <c r="K413" s="1235" t="s">
        <v>103</v>
      </c>
      <c r="L413" s="1244" t="s">
        <v>494</v>
      </c>
      <c r="M413" s="1168"/>
      <c r="N413" s="1149"/>
      <c r="O413" s="141" t="str">
        <f t="shared" si="6"/>
        <v xml:space="preserve">سماحات  محمد </v>
      </c>
      <c r="P413" s="141" t="s">
        <v>506</v>
      </c>
      <c r="Q413" s="141" t="s">
        <v>1937</v>
      </c>
      <c r="R413" s="276"/>
      <c r="S413" s="989"/>
      <c r="T413" s="404"/>
      <c r="U413" s="28"/>
      <c r="V413"/>
      <c r="W413"/>
      <c r="X413"/>
      <c r="Y413"/>
    </row>
    <row r="414" spans="1:25" ht="16.5" customHeight="1">
      <c r="A414" s="140">
        <v>406</v>
      </c>
      <c r="B414" s="141"/>
      <c r="C414" s="1186" t="s">
        <v>1004</v>
      </c>
      <c r="D414" s="1186" t="s">
        <v>2741</v>
      </c>
      <c r="E414" s="1187" t="s">
        <v>3218</v>
      </c>
      <c r="F414" s="1188" t="s">
        <v>90</v>
      </c>
      <c r="G414" s="1202" t="s">
        <v>11</v>
      </c>
      <c r="H414" s="1213" t="s">
        <v>91</v>
      </c>
      <c r="I414" s="144" t="s">
        <v>340</v>
      </c>
      <c r="J414" s="1221" t="s">
        <v>2101</v>
      </c>
      <c r="K414" s="1235" t="s">
        <v>121</v>
      </c>
      <c r="L414" s="1244" t="s">
        <v>3775</v>
      </c>
      <c r="M414" s="1168"/>
      <c r="N414" s="1149"/>
      <c r="O414" s="141" t="str">
        <f t="shared" si="6"/>
        <v xml:space="preserve">شادلي  أحمد </v>
      </c>
      <c r="P414" s="141" t="s">
        <v>506</v>
      </c>
      <c r="Q414" s="141" t="s">
        <v>1938</v>
      </c>
      <c r="R414" s="276"/>
      <c r="S414" s="989"/>
      <c r="T414" s="671"/>
      <c r="U414" s="28"/>
      <c r="V414"/>
      <c r="W414"/>
      <c r="X414"/>
      <c r="Y414"/>
    </row>
    <row r="415" spans="1:25" ht="16.5" customHeight="1">
      <c r="A415" s="140">
        <v>407</v>
      </c>
      <c r="B415" s="141"/>
      <c r="C415" s="1186" t="s">
        <v>2750</v>
      </c>
      <c r="D415" s="1186" t="s">
        <v>2751</v>
      </c>
      <c r="E415" s="1192">
        <v>40362</v>
      </c>
      <c r="F415" s="1188"/>
      <c r="G415" s="1202" t="s">
        <v>11</v>
      </c>
      <c r="H415" s="1213" t="s">
        <v>96</v>
      </c>
      <c r="I415" s="144" t="s">
        <v>340</v>
      </c>
      <c r="J415" s="1221"/>
      <c r="K415" s="1234"/>
      <c r="L415" s="1244"/>
      <c r="M415" s="1168"/>
      <c r="N415" s="1149"/>
      <c r="O415" s="141" t="str">
        <f t="shared" si="6"/>
        <v xml:space="preserve">شيني  </v>
      </c>
      <c r="P415" s="141" t="s">
        <v>506</v>
      </c>
      <c r="Q415" s="141" t="s">
        <v>1938</v>
      </c>
      <c r="R415" s="276"/>
      <c r="S415" s="989"/>
      <c r="T415" s="671"/>
      <c r="U415" s="28"/>
      <c r="V415"/>
      <c r="W415"/>
      <c r="X415"/>
      <c r="Y415"/>
    </row>
    <row r="416" spans="1:25" ht="16.5" customHeight="1">
      <c r="A416" s="140">
        <v>408</v>
      </c>
      <c r="B416" s="141"/>
      <c r="C416" s="1186" t="s">
        <v>192</v>
      </c>
      <c r="D416" s="1186" t="s">
        <v>706</v>
      </c>
      <c r="E416" s="1187" t="s">
        <v>3219</v>
      </c>
      <c r="F416" s="1188" t="s">
        <v>3339</v>
      </c>
      <c r="G416" s="1202" t="s">
        <v>11</v>
      </c>
      <c r="H416" s="1213" t="s">
        <v>96</v>
      </c>
      <c r="I416" s="144" t="s">
        <v>340</v>
      </c>
      <c r="J416" s="1221" t="s">
        <v>3467</v>
      </c>
      <c r="K416" s="1235" t="s">
        <v>103</v>
      </c>
      <c r="L416" s="1244" t="s">
        <v>3776</v>
      </c>
      <c r="M416" s="1168"/>
      <c r="N416" s="1149"/>
      <c r="O416" s="141" t="str">
        <f t="shared" si="6"/>
        <v xml:space="preserve">عبوني  مبارك </v>
      </c>
      <c r="P416" s="141" t="s">
        <v>506</v>
      </c>
      <c r="Q416" s="141" t="s">
        <v>1938</v>
      </c>
      <c r="R416" s="761"/>
      <c r="S416" s="989"/>
      <c r="T416" s="671" t="s">
        <v>628</v>
      </c>
      <c r="U416" s="28"/>
      <c r="V416"/>
      <c r="W416"/>
      <c r="X416"/>
      <c r="Y416"/>
    </row>
    <row r="417" spans="1:25" ht="16.5" customHeight="1">
      <c r="A417" s="140">
        <v>409</v>
      </c>
      <c r="B417" s="141"/>
      <c r="C417" s="1186" t="s">
        <v>2742</v>
      </c>
      <c r="D417" s="1186" t="s">
        <v>37</v>
      </c>
      <c r="E417" s="1187" t="s">
        <v>3220</v>
      </c>
      <c r="F417" s="1188" t="s">
        <v>90</v>
      </c>
      <c r="G417" s="1202" t="s">
        <v>11</v>
      </c>
      <c r="H417" s="1213" t="s">
        <v>91</v>
      </c>
      <c r="I417" s="144" t="s">
        <v>340</v>
      </c>
      <c r="J417" s="1221" t="s">
        <v>2325</v>
      </c>
      <c r="K417" s="1235" t="s">
        <v>103</v>
      </c>
      <c r="L417" s="1244" t="s">
        <v>3777</v>
      </c>
      <c r="M417" s="1168"/>
      <c r="N417" s="1149"/>
      <c r="O417" s="141" t="str">
        <f t="shared" si="6"/>
        <v xml:space="preserve">لوهاج  محمد </v>
      </c>
      <c r="P417" s="141" t="s">
        <v>506</v>
      </c>
      <c r="Q417" s="141" t="s">
        <v>1937</v>
      </c>
      <c r="R417" s="276"/>
      <c r="S417" s="989"/>
      <c r="T417" s="671" t="s">
        <v>628</v>
      </c>
      <c r="U417" s="28"/>
      <c r="V417"/>
      <c r="W417"/>
      <c r="X417"/>
      <c r="Y417"/>
    </row>
    <row r="418" spans="1:25" ht="16.5" customHeight="1">
      <c r="A418" s="140">
        <v>410</v>
      </c>
      <c r="B418" s="141"/>
      <c r="C418" s="1186" t="s">
        <v>2406</v>
      </c>
      <c r="D418" s="1186" t="s">
        <v>2743</v>
      </c>
      <c r="E418" s="1187" t="s">
        <v>3221</v>
      </c>
      <c r="F418" s="1188" t="s">
        <v>3347</v>
      </c>
      <c r="G418" s="1202" t="s">
        <v>11</v>
      </c>
      <c r="H418" s="1213" t="s">
        <v>91</v>
      </c>
      <c r="I418" s="144" t="s">
        <v>340</v>
      </c>
      <c r="J418" s="1221" t="s">
        <v>3371</v>
      </c>
      <c r="K418" s="1234" t="s">
        <v>805</v>
      </c>
      <c r="L418" s="1244" t="s">
        <v>3602</v>
      </c>
      <c r="M418" s="1168"/>
      <c r="N418" s="1149"/>
      <c r="O418" s="141" t="str">
        <f t="shared" si="6"/>
        <v xml:space="preserve">مرابط  علي </v>
      </c>
      <c r="P418" s="141" t="s">
        <v>506</v>
      </c>
      <c r="Q418" s="141" t="s">
        <v>1938</v>
      </c>
      <c r="R418" s="761"/>
      <c r="S418" s="989"/>
      <c r="T418" s="404"/>
      <c r="U418" s="28"/>
      <c r="V418"/>
      <c r="W418"/>
      <c r="X418"/>
      <c r="Y418"/>
    </row>
    <row r="419" spans="1:25" ht="16.5" customHeight="1">
      <c r="A419" s="140">
        <v>411</v>
      </c>
      <c r="B419" s="141"/>
      <c r="C419" s="1186" t="s">
        <v>2360</v>
      </c>
      <c r="D419" s="1186" t="s">
        <v>2202</v>
      </c>
      <c r="E419" s="1187" t="s">
        <v>3222</v>
      </c>
      <c r="F419" s="1188" t="s">
        <v>90</v>
      </c>
      <c r="G419" s="1202" t="s">
        <v>11</v>
      </c>
      <c r="H419" s="1213" t="s">
        <v>91</v>
      </c>
      <c r="I419" s="144" t="s">
        <v>340</v>
      </c>
      <c r="J419" s="1221"/>
      <c r="K419" s="1235" t="s">
        <v>111</v>
      </c>
      <c r="L419" s="1244"/>
      <c r="M419" s="1168"/>
      <c r="N419" s="1149"/>
      <c r="O419" s="141" t="str">
        <f t="shared" si="6"/>
        <v xml:space="preserve">مزوزي  </v>
      </c>
      <c r="P419" s="141" t="s">
        <v>507</v>
      </c>
      <c r="Q419" s="141" t="s">
        <v>1937</v>
      </c>
      <c r="R419" s="276"/>
      <c r="S419" s="989"/>
      <c r="T419" s="237"/>
      <c r="U419" s="28"/>
      <c r="V419"/>
      <c r="W419"/>
      <c r="X419"/>
      <c r="Y419"/>
    </row>
    <row r="420" spans="1:25" ht="16.5" customHeight="1">
      <c r="A420" s="140">
        <v>412</v>
      </c>
      <c r="B420" s="141"/>
      <c r="C420" s="1186" t="s">
        <v>2360</v>
      </c>
      <c r="D420" s="1186" t="s">
        <v>30</v>
      </c>
      <c r="E420" s="1187" t="s">
        <v>3223</v>
      </c>
      <c r="F420" s="1188" t="s">
        <v>3347</v>
      </c>
      <c r="G420" s="1202" t="s">
        <v>11</v>
      </c>
      <c r="H420" s="1213" t="s">
        <v>91</v>
      </c>
      <c r="I420" s="144" t="s">
        <v>340</v>
      </c>
      <c r="J420" s="1221" t="s">
        <v>2173</v>
      </c>
      <c r="K420" s="1235" t="s">
        <v>1460</v>
      </c>
      <c r="L420" s="1244" t="s">
        <v>3778</v>
      </c>
      <c r="M420" s="1168"/>
      <c r="N420" s="1149"/>
      <c r="O420" s="141" t="str">
        <f t="shared" si="6"/>
        <v xml:space="preserve">مزوزي  قادة </v>
      </c>
      <c r="P420" s="141" t="s">
        <v>507</v>
      </c>
      <c r="Q420" s="141"/>
      <c r="R420" s="276"/>
      <c r="S420" s="989"/>
      <c r="T420" s="237"/>
      <c r="U420" s="28"/>
      <c r="V420"/>
      <c r="W420"/>
      <c r="X420"/>
      <c r="Y420"/>
    </row>
    <row r="421" spans="1:25" ht="16.5" customHeight="1">
      <c r="A421" s="140">
        <v>413</v>
      </c>
      <c r="B421" s="141"/>
      <c r="C421" s="1186" t="s">
        <v>2744</v>
      </c>
      <c r="D421" s="1186" t="s">
        <v>2745</v>
      </c>
      <c r="E421" s="1187" t="s">
        <v>3224</v>
      </c>
      <c r="F421" s="1188" t="s">
        <v>3339</v>
      </c>
      <c r="G421" s="1202" t="s">
        <v>11</v>
      </c>
      <c r="H421" s="1213" t="s">
        <v>91</v>
      </c>
      <c r="I421" s="144" t="s">
        <v>340</v>
      </c>
      <c r="J421" s="1221" t="s">
        <v>3468</v>
      </c>
      <c r="K421" s="1235" t="s">
        <v>135</v>
      </c>
      <c r="L421" s="1244" t="s">
        <v>3779</v>
      </c>
      <c r="M421" s="1168"/>
      <c r="N421" s="1149"/>
      <c r="O421" s="141" t="str">
        <f t="shared" si="6"/>
        <v xml:space="preserve">معروف  عبد الاله </v>
      </c>
      <c r="P421" s="141" t="s">
        <v>507</v>
      </c>
      <c r="Q421" s="141" t="s">
        <v>1937</v>
      </c>
      <c r="R421" s="276"/>
      <c r="S421" s="989"/>
      <c r="T421" s="404"/>
      <c r="U421" s="28"/>
      <c r="V421"/>
      <c r="W421"/>
      <c r="X421"/>
      <c r="Y421"/>
    </row>
    <row r="422" spans="1:25" ht="16.5" customHeight="1">
      <c r="A422" s="140">
        <v>414</v>
      </c>
      <c r="B422" s="141"/>
      <c r="C422" s="1186" t="s">
        <v>2744</v>
      </c>
      <c r="D422" s="1186" t="s">
        <v>2746</v>
      </c>
      <c r="E422" s="1187" t="s">
        <v>3224</v>
      </c>
      <c r="F422" s="1188" t="s">
        <v>3339</v>
      </c>
      <c r="G422" s="1202" t="s">
        <v>11</v>
      </c>
      <c r="H422" s="1213" t="s">
        <v>96</v>
      </c>
      <c r="I422" s="144" t="s">
        <v>340</v>
      </c>
      <c r="J422" s="1221" t="s">
        <v>3468</v>
      </c>
      <c r="K422" s="1235" t="s">
        <v>103</v>
      </c>
      <c r="L422" s="1244" t="s">
        <v>3779</v>
      </c>
      <c r="M422" s="1168"/>
      <c r="N422" s="1149"/>
      <c r="O422" s="141" t="str">
        <f t="shared" si="6"/>
        <v xml:space="preserve">معروف  عبد الاله </v>
      </c>
      <c r="P422" s="141" t="s">
        <v>507</v>
      </c>
      <c r="Q422" s="141" t="s">
        <v>1939</v>
      </c>
      <c r="R422" s="276"/>
      <c r="S422" s="989"/>
      <c r="T422" s="763"/>
      <c r="U422" s="28"/>
      <c r="V422"/>
      <c r="W422"/>
      <c r="X422"/>
      <c r="Y422"/>
    </row>
    <row r="423" spans="1:25" ht="16.5" customHeight="1">
      <c r="A423" s="140">
        <v>415</v>
      </c>
      <c r="B423" s="141"/>
      <c r="C423" s="1186" t="s">
        <v>2747</v>
      </c>
      <c r="D423" s="1186" t="s">
        <v>2035</v>
      </c>
      <c r="E423" s="1187" t="s">
        <v>3050</v>
      </c>
      <c r="F423" s="1188" t="s">
        <v>3339</v>
      </c>
      <c r="G423" s="1202" t="s">
        <v>11</v>
      </c>
      <c r="H423" s="1213" t="s">
        <v>96</v>
      </c>
      <c r="I423" s="144" t="s">
        <v>340</v>
      </c>
      <c r="J423" s="1221" t="s">
        <v>3404</v>
      </c>
      <c r="K423" s="1235" t="s">
        <v>103</v>
      </c>
      <c r="L423" s="1244" t="s">
        <v>494</v>
      </c>
      <c r="M423" s="1168"/>
      <c r="N423" s="1149"/>
      <c r="O423" s="141" t="str">
        <f t="shared" si="6"/>
        <v xml:space="preserve">معزوزي  فاتح </v>
      </c>
      <c r="P423" s="141" t="s">
        <v>507</v>
      </c>
      <c r="Q423" s="141" t="s">
        <v>1939</v>
      </c>
      <c r="R423" s="276"/>
      <c r="S423" s="989"/>
      <c r="T423" s="417"/>
      <c r="U423" s="28"/>
      <c r="V423"/>
      <c r="W423"/>
      <c r="X423"/>
      <c r="Y423"/>
    </row>
    <row r="424" spans="1:25" ht="16.5" customHeight="1">
      <c r="A424" s="140">
        <v>416</v>
      </c>
      <c r="B424" s="141"/>
      <c r="C424" s="1186" t="s">
        <v>1013</v>
      </c>
      <c r="D424" s="1186" t="s">
        <v>38</v>
      </c>
      <c r="E424" s="1187" t="s">
        <v>3225</v>
      </c>
      <c r="F424" s="1188" t="s">
        <v>90</v>
      </c>
      <c r="G424" s="1202" t="s">
        <v>11</v>
      </c>
      <c r="H424" s="1213" t="s">
        <v>91</v>
      </c>
      <c r="I424" s="144" t="s">
        <v>340</v>
      </c>
      <c r="J424" s="1221" t="s">
        <v>2332</v>
      </c>
      <c r="K424" s="1235" t="s">
        <v>111</v>
      </c>
      <c r="L424" s="1244" t="s">
        <v>3780</v>
      </c>
      <c r="M424" s="1168"/>
      <c r="N424" s="1149"/>
      <c r="O424" s="141" t="str">
        <f t="shared" si="6"/>
        <v xml:space="preserve">معطى الله  عبد القادر </v>
      </c>
      <c r="P424" s="141" t="s">
        <v>630</v>
      </c>
      <c r="Q424" s="141"/>
      <c r="R424" s="276"/>
      <c r="S424" s="989"/>
      <c r="T424" s="248"/>
      <c r="U424" s="28"/>
      <c r="V424"/>
      <c r="W424"/>
      <c r="X424"/>
      <c r="Y424"/>
    </row>
    <row r="425" spans="1:25" ht="16.5" customHeight="1">
      <c r="A425" s="140">
        <v>417</v>
      </c>
      <c r="B425" s="141"/>
      <c r="C425" s="1186" t="s">
        <v>1013</v>
      </c>
      <c r="D425" s="1186" t="s">
        <v>2038</v>
      </c>
      <c r="E425" s="1187" t="s">
        <v>3226</v>
      </c>
      <c r="F425" s="1188" t="s">
        <v>3338</v>
      </c>
      <c r="G425" s="1202" t="s">
        <v>11</v>
      </c>
      <c r="H425" s="1213" t="s">
        <v>96</v>
      </c>
      <c r="I425" s="144" t="s">
        <v>340</v>
      </c>
      <c r="J425" s="1221" t="s">
        <v>3383</v>
      </c>
      <c r="K425" s="1235" t="s">
        <v>111</v>
      </c>
      <c r="L425" s="1244" t="s">
        <v>3781</v>
      </c>
      <c r="M425" s="1168"/>
      <c r="N425" s="1149"/>
      <c r="O425" s="141" t="str">
        <f t="shared" si="6"/>
        <v xml:space="preserve">معطى الله  بومدين </v>
      </c>
      <c r="P425" s="141" t="s">
        <v>630</v>
      </c>
      <c r="Q425" s="141" t="s">
        <v>1940</v>
      </c>
      <c r="R425" s="276"/>
      <c r="S425" s="989"/>
      <c r="T425" s="237"/>
      <c r="U425" s="28"/>
      <c r="V425"/>
      <c r="W425"/>
      <c r="X425"/>
      <c r="Y425"/>
    </row>
    <row r="426" spans="1:25" ht="16.5" customHeight="1">
      <c r="A426" s="140">
        <v>418</v>
      </c>
      <c r="B426" s="141"/>
      <c r="C426" s="1186" t="s">
        <v>2420</v>
      </c>
      <c r="D426" s="1186" t="s">
        <v>2748</v>
      </c>
      <c r="E426" s="1187" t="s">
        <v>3227</v>
      </c>
      <c r="F426" s="1188" t="s">
        <v>3339</v>
      </c>
      <c r="G426" s="1202" t="s">
        <v>11</v>
      </c>
      <c r="H426" s="1213" t="s">
        <v>96</v>
      </c>
      <c r="I426" s="144" t="s">
        <v>340</v>
      </c>
      <c r="J426" s="1221" t="s">
        <v>2173</v>
      </c>
      <c r="K426" s="1234" t="s">
        <v>111</v>
      </c>
      <c r="L426" s="1244" t="s">
        <v>3782</v>
      </c>
      <c r="M426" s="1168"/>
      <c r="N426" s="1149"/>
      <c r="O426" s="141" t="str">
        <f t="shared" si="6"/>
        <v xml:space="preserve">مقدم  قادة </v>
      </c>
      <c r="P426" s="141" t="s">
        <v>507</v>
      </c>
      <c r="Q426" s="141" t="s">
        <v>1940</v>
      </c>
      <c r="R426" s="276"/>
      <c r="S426" s="989"/>
      <c r="T426" s="237"/>
      <c r="U426" s="28"/>
      <c r="V426"/>
      <c r="W426"/>
      <c r="X426"/>
      <c r="Y426"/>
    </row>
    <row r="427" spans="1:25" ht="16.5" customHeight="1">
      <c r="A427" s="140">
        <v>419</v>
      </c>
      <c r="B427" s="141"/>
      <c r="C427" s="1186" t="s">
        <v>2393</v>
      </c>
      <c r="D427" s="1186" t="s">
        <v>2749</v>
      </c>
      <c r="E427" s="1187" t="s">
        <v>3228</v>
      </c>
      <c r="F427" s="1188" t="s">
        <v>90</v>
      </c>
      <c r="G427" s="1202" t="s">
        <v>11</v>
      </c>
      <c r="H427" s="1213" t="s">
        <v>96</v>
      </c>
      <c r="I427" s="144" t="s">
        <v>340</v>
      </c>
      <c r="J427" s="1221" t="s">
        <v>3469</v>
      </c>
      <c r="K427" s="1234" t="s">
        <v>111</v>
      </c>
      <c r="L427" s="1244" t="s">
        <v>3783</v>
      </c>
      <c r="M427" s="1168"/>
      <c r="N427" s="1149"/>
      <c r="O427" s="141" t="str">
        <f t="shared" si="6"/>
        <v xml:space="preserve">هامل  هشام </v>
      </c>
      <c r="P427" s="141" t="s">
        <v>507</v>
      </c>
      <c r="Q427" s="141" t="s">
        <v>1941</v>
      </c>
      <c r="R427" s="276"/>
      <c r="S427" s="989"/>
      <c r="T427" s="259"/>
      <c r="U427" s="28"/>
      <c r="V427"/>
      <c r="W427"/>
      <c r="X427"/>
      <c r="Y427"/>
    </row>
    <row r="428" spans="1:25" ht="16.5" customHeight="1">
      <c r="A428" s="140">
        <v>420</v>
      </c>
      <c r="B428" s="141"/>
      <c r="C428" s="1183" t="s">
        <v>2516</v>
      </c>
      <c r="D428" s="1183" t="s">
        <v>139</v>
      </c>
      <c r="E428" s="1184" t="s">
        <v>3229</v>
      </c>
      <c r="F428" s="1185" t="s">
        <v>90</v>
      </c>
      <c r="G428" s="1201" t="s">
        <v>8</v>
      </c>
      <c r="H428" s="1208" t="s">
        <v>1458</v>
      </c>
      <c r="I428" s="144" t="s">
        <v>340</v>
      </c>
      <c r="J428" s="1220" t="s">
        <v>3392</v>
      </c>
      <c r="K428" s="1233" t="s">
        <v>805</v>
      </c>
      <c r="L428" s="1245" t="s">
        <v>3784</v>
      </c>
      <c r="M428" s="1168"/>
      <c r="N428" s="1149"/>
      <c r="O428" s="141" t="str">
        <f t="shared" si="6"/>
        <v xml:space="preserve">برينيس  يحيى </v>
      </c>
      <c r="P428" s="141" t="s">
        <v>507</v>
      </c>
      <c r="Q428" s="141" t="s">
        <v>1941</v>
      </c>
      <c r="R428" s="276"/>
      <c r="S428" s="989"/>
      <c r="T428" s="237"/>
      <c r="U428" s="28"/>
    </row>
    <row r="429" spans="1:25" ht="16.5" customHeight="1">
      <c r="A429" s="140">
        <v>421</v>
      </c>
      <c r="B429" s="141"/>
      <c r="C429" s="1186" t="s">
        <v>2661</v>
      </c>
      <c r="D429" s="1186" t="s">
        <v>2757</v>
      </c>
      <c r="E429" s="1187" t="s">
        <v>3234</v>
      </c>
      <c r="F429" s="1188" t="s">
        <v>90</v>
      </c>
      <c r="G429" s="1202" t="s">
        <v>8</v>
      </c>
      <c r="H429" s="1208" t="s">
        <v>1459</v>
      </c>
      <c r="I429" s="144" t="s">
        <v>340</v>
      </c>
      <c r="J429" s="1221" t="s">
        <v>3374</v>
      </c>
      <c r="K429" s="1235" t="s">
        <v>97</v>
      </c>
      <c r="L429" s="1244" t="s">
        <v>494</v>
      </c>
      <c r="M429" s="1168"/>
      <c r="N429" s="1149"/>
      <c r="O429" s="141" t="str">
        <f t="shared" si="6"/>
        <v xml:space="preserve">بوشريح  مختار </v>
      </c>
      <c r="P429" s="141" t="s">
        <v>630</v>
      </c>
      <c r="Q429" s="141" t="s">
        <v>1941</v>
      </c>
      <c r="R429" s="276"/>
      <c r="S429" s="989"/>
      <c r="T429" s="259"/>
      <c r="U429" s="28"/>
    </row>
    <row r="430" spans="1:25" ht="16.5" customHeight="1">
      <c r="A430" s="140">
        <v>422</v>
      </c>
      <c r="B430" s="141"/>
      <c r="C430" s="1186" t="s">
        <v>2432</v>
      </c>
      <c r="D430" s="1186" t="s">
        <v>2017</v>
      </c>
      <c r="E430" s="1187" t="s">
        <v>3239</v>
      </c>
      <c r="F430" s="1188" t="s">
        <v>3339</v>
      </c>
      <c r="G430" s="1202" t="s">
        <v>8</v>
      </c>
      <c r="H430" s="1208" t="s">
        <v>1458</v>
      </c>
      <c r="I430" s="144" t="s">
        <v>341</v>
      </c>
      <c r="J430" s="1221" t="s">
        <v>2184</v>
      </c>
      <c r="K430" s="1234" t="s">
        <v>123</v>
      </c>
      <c r="L430" s="1244" t="s">
        <v>3794</v>
      </c>
      <c r="M430" s="1168"/>
      <c r="N430" s="1149"/>
      <c r="O430" s="141" t="str">
        <f t="shared" si="6"/>
        <v xml:space="preserve">حافظي  مهاجي </v>
      </c>
      <c r="P430" s="141" t="s">
        <v>507</v>
      </c>
      <c r="Q430" s="141" t="s">
        <v>1941</v>
      </c>
      <c r="R430" s="276"/>
      <c r="S430" s="989"/>
      <c r="T430" s="671"/>
      <c r="U430" s="28"/>
    </row>
    <row r="431" spans="1:25" ht="16.5" customHeight="1">
      <c r="A431" s="140">
        <v>423</v>
      </c>
      <c r="B431" s="141"/>
      <c r="C431" s="1186" t="s">
        <v>2664</v>
      </c>
      <c r="D431" s="1186" t="s">
        <v>43</v>
      </c>
      <c r="E431" s="1187" t="s">
        <v>3240</v>
      </c>
      <c r="F431" s="1188" t="s">
        <v>3348</v>
      </c>
      <c r="G431" s="1202" t="s">
        <v>8</v>
      </c>
      <c r="H431" s="1208" t="s">
        <v>1458</v>
      </c>
      <c r="I431" s="144" t="s">
        <v>341</v>
      </c>
      <c r="J431" s="1221" t="s">
        <v>2325</v>
      </c>
      <c r="K431" s="1235" t="s">
        <v>121</v>
      </c>
      <c r="L431" s="1244" t="s">
        <v>3795</v>
      </c>
      <c r="M431" s="1168"/>
      <c r="N431" s="1149"/>
      <c r="O431" s="141" t="str">
        <f t="shared" si="6"/>
        <v xml:space="preserve">حمداوي  محمد </v>
      </c>
      <c r="P431" s="141" t="s">
        <v>630</v>
      </c>
      <c r="Q431" s="141" t="s">
        <v>1940</v>
      </c>
      <c r="R431" s="276"/>
      <c r="S431" s="989"/>
      <c r="T431" s="671"/>
      <c r="U431" s="28"/>
    </row>
    <row r="432" spans="1:25" ht="16.5" customHeight="1">
      <c r="A432" s="140">
        <v>424</v>
      </c>
      <c r="B432" s="141"/>
      <c r="C432" s="1186" t="s">
        <v>2640</v>
      </c>
      <c r="D432" s="1186" t="s">
        <v>2662</v>
      </c>
      <c r="E432" s="1187" t="s">
        <v>3230</v>
      </c>
      <c r="F432" s="1188" t="s">
        <v>3339</v>
      </c>
      <c r="G432" s="1202" t="s">
        <v>8</v>
      </c>
      <c r="H432" s="1212" t="s">
        <v>1459</v>
      </c>
      <c r="I432" s="144" t="s">
        <v>340</v>
      </c>
      <c r="J432" s="1221" t="s">
        <v>2332</v>
      </c>
      <c r="K432" s="1235" t="s">
        <v>102</v>
      </c>
      <c r="L432" s="1244" t="s">
        <v>3785</v>
      </c>
      <c r="M432" s="1168"/>
      <c r="N432" s="1149"/>
      <c r="O432" s="141" t="str">
        <f t="shared" si="6"/>
        <v xml:space="preserve">ساكت  عبد القادر </v>
      </c>
      <c r="P432" s="141" t="s">
        <v>630</v>
      </c>
      <c r="Q432" s="141" t="s">
        <v>1940</v>
      </c>
      <c r="R432" s="276"/>
      <c r="S432" s="989"/>
      <c r="T432" s="671"/>
      <c r="U432" s="28"/>
    </row>
    <row r="433" spans="1:25" ht="16.5" customHeight="1">
      <c r="A433" s="140">
        <v>425</v>
      </c>
      <c r="B433" s="141"/>
      <c r="C433" s="1186" t="s">
        <v>1472</v>
      </c>
      <c r="D433" s="1186" t="s">
        <v>2017</v>
      </c>
      <c r="E433" s="1187" t="s">
        <v>3233</v>
      </c>
      <c r="F433" s="1188" t="s">
        <v>90</v>
      </c>
      <c r="G433" s="1202" t="s">
        <v>8</v>
      </c>
      <c r="H433" s="1208" t="s">
        <v>1458</v>
      </c>
      <c r="I433" s="144" t="s">
        <v>340</v>
      </c>
      <c r="J433" s="1221" t="s">
        <v>2101</v>
      </c>
      <c r="K433" s="1235" t="s">
        <v>1194</v>
      </c>
      <c r="L433" s="1244" t="s">
        <v>3789</v>
      </c>
      <c r="M433" s="1168"/>
      <c r="N433" s="1149"/>
      <c r="O433" s="141" t="str">
        <f t="shared" si="6"/>
        <v xml:space="preserve">يوب  أحمد </v>
      </c>
      <c r="P433" s="141" t="s">
        <v>630</v>
      </c>
      <c r="Q433" s="141" t="s">
        <v>1941</v>
      </c>
      <c r="R433" s="276"/>
      <c r="S433" s="989"/>
      <c r="T433" s="671"/>
      <c r="U433" s="28"/>
    </row>
    <row r="434" spans="1:25" ht="16.5" customHeight="1">
      <c r="A434" s="140">
        <v>426</v>
      </c>
      <c r="B434" s="141"/>
      <c r="C434" s="1186" t="s">
        <v>2485</v>
      </c>
      <c r="D434" s="1186" t="s">
        <v>2756</v>
      </c>
      <c r="E434" s="1192">
        <v>40787</v>
      </c>
      <c r="F434" s="1188"/>
      <c r="G434" s="1202" t="s">
        <v>8</v>
      </c>
      <c r="H434" s="1213" t="s">
        <v>96</v>
      </c>
      <c r="I434" s="144" t="s">
        <v>340</v>
      </c>
      <c r="J434" s="1221"/>
      <c r="K434" s="1235"/>
      <c r="L434" s="1244"/>
      <c r="M434" s="1168"/>
      <c r="N434" s="1149"/>
      <c r="O434" s="141" t="str">
        <f t="shared" si="6"/>
        <v xml:space="preserve">العقوني  </v>
      </c>
      <c r="P434" s="141" t="s">
        <v>630</v>
      </c>
      <c r="Q434" s="141" t="s">
        <v>1942</v>
      </c>
      <c r="R434" s="276"/>
      <c r="S434" s="989"/>
      <c r="T434" s="671"/>
      <c r="U434" s="28"/>
    </row>
    <row r="435" spans="1:25" ht="16.5" customHeight="1">
      <c r="A435" s="140">
        <v>427</v>
      </c>
      <c r="B435" s="141"/>
      <c r="C435" s="1186" t="s">
        <v>2487</v>
      </c>
      <c r="D435" s="1186" t="s">
        <v>786</v>
      </c>
      <c r="E435" s="1187" t="s">
        <v>3231</v>
      </c>
      <c r="F435" s="1188" t="s">
        <v>90</v>
      </c>
      <c r="G435" s="1202" t="s">
        <v>8</v>
      </c>
      <c r="H435" s="1213" t="s">
        <v>96</v>
      </c>
      <c r="I435" s="144" t="s">
        <v>340</v>
      </c>
      <c r="J435" s="1221" t="s">
        <v>3386</v>
      </c>
      <c r="K435" s="1235" t="s">
        <v>111</v>
      </c>
      <c r="L435" s="1244" t="s">
        <v>3787</v>
      </c>
      <c r="M435" s="1168"/>
      <c r="N435" s="1149"/>
      <c r="O435" s="141" t="str">
        <f t="shared" si="6"/>
        <v xml:space="preserve">النميش  عبد الكريم </v>
      </c>
      <c r="P435" s="141" t="s">
        <v>630</v>
      </c>
      <c r="Q435" s="141" t="s">
        <v>1940</v>
      </c>
      <c r="R435" s="276"/>
      <c r="S435" s="989"/>
      <c r="T435" s="671"/>
      <c r="U435" s="28"/>
    </row>
    <row r="436" spans="1:25" ht="16.5" customHeight="1">
      <c r="A436" s="140">
        <v>428</v>
      </c>
      <c r="B436" s="141"/>
      <c r="C436" s="1186" t="s">
        <v>2752</v>
      </c>
      <c r="D436" s="1186" t="s">
        <v>2753</v>
      </c>
      <c r="E436" s="1187" t="s">
        <v>2944</v>
      </c>
      <c r="F436" s="1188" t="s">
        <v>3339</v>
      </c>
      <c r="G436" s="1202" t="s">
        <v>8</v>
      </c>
      <c r="H436" s="1213" t="s">
        <v>96</v>
      </c>
      <c r="I436" s="144" t="s">
        <v>340</v>
      </c>
      <c r="J436" s="1221" t="s">
        <v>3397</v>
      </c>
      <c r="K436" s="1235" t="s">
        <v>111</v>
      </c>
      <c r="L436" s="1244" t="s">
        <v>3786</v>
      </c>
      <c r="M436" s="1169"/>
      <c r="N436" s="1149"/>
      <c r="O436" s="141" t="str">
        <f t="shared" si="6"/>
        <v xml:space="preserve">أمداح  رشيد </v>
      </c>
      <c r="P436" s="141" t="s">
        <v>630</v>
      </c>
      <c r="Q436" s="141"/>
      <c r="R436" s="276"/>
      <c r="S436" s="989"/>
      <c r="T436" s="237"/>
      <c r="U436" s="28"/>
    </row>
    <row r="437" spans="1:25" s="442" customFormat="1" ht="16.5" customHeight="1">
      <c r="A437" s="140">
        <v>429</v>
      </c>
      <c r="B437" s="141"/>
      <c r="C437" s="1186" t="s">
        <v>2754</v>
      </c>
      <c r="D437" s="1186" t="s">
        <v>2755</v>
      </c>
      <c r="E437" s="1187" t="s">
        <v>3232</v>
      </c>
      <c r="F437" s="1188" t="s">
        <v>3339</v>
      </c>
      <c r="G437" s="1202" t="s">
        <v>8</v>
      </c>
      <c r="H437" s="1213" t="s">
        <v>96</v>
      </c>
      <c r="I437" s="144" t="s">
        <v>340</v>
      </c>
      <c r="J437" s="1221" t="s">
        <v>2184</v>
      </c>
      <c r="K437" s="1235" t="s">
        <v>123</v>
      </c>
      <c r="L437" s="1244" t="s">
        <v>3788</v>
      </c>
      <c r="M437" s="1168"/>
      <c r="N437" s="1149"/>
      <c r="O437" s="141" t="str">
        <f t="shared" si="6"/>
        <v xml:space="preserve">بهيف  مهاجي </v>
      </c>
      <c r="P437" s="141" t="s">
        <v>630</v>
      </c>
      <c r="Q437" s="141" t="s">
        <v>1940</v>
      </c>
      <c r="R437" s="276"/>
      <c r="S437" s="989"/>
      <c r="T437" s="237"/>
      <c r="U437" s="28"/>
      <c r="V437" s="28"/>
      <c r="W437" s="28"/>
      <c r="X437" s="28"/>
      <c r="Y437" s="28"/>
    </row>
    <row r="438" spans="1:25" ht="16.5" customHeight="1">
      <c r="A438" s="140">
        <v>430</v>
      </c>
      <c r="B438" s="141"/>
      <c r="C438" s="1186" t="s">
        <v>2426</v>
      </c>
      <c r="D438" s="1186" t="s">
        <v>2758</v>
      </c>
      <c r="E438" s="1187" t="s">
        <v>3235</v>
      </c>
      <c r="F438" s="1188" t="s">
        <v>90</v>
      </c>
      <c r="G438" s="1202" t="s">
        <v>8</v>
      </c>
      <c r="H438" s="1213" t="s">
        <v>96</v>
      </c>
      <c r="I438" s="144" t="s">
        <v>340</v>
      </c>
      <c r="J438" s="1221" t="s">
        <v>2332</v>
      </c>
      <c r="K438" s="1235" t="s">
        <v>805</v>
      </c>
      <c r="L438" s="1244" t="s">
        <v>3790</v>
      </c>
      <c r="M438" s="1168"/>
      <c r="N438" s="1149"/>
      <c r="O438" s="141" t="str">
        <f t="shared" si="6"/>
        <v xml:space="preserve">بوقناية  عبد القادر </v>
      </c>
      <c r="P438" s="141" t="s">
        <v>630</v>
      </c>
      <c r="Q438" s="141" t="s">
        <v>1941</v>
      </c>
      <c r="R438" s="276"/>
      <c r="S438" s="989"/>
      <c r="T438" s="237"/>
      <c r="U438" s="28"/>
    </row>
    <row r="439" spans="1:25" ht="16.5" customHeight="1">
      <c r="A439" s="140">
        <v>431</v>
      </c>
      <c r="B439" s="141"/>
      <c r="C439" s="1186" t="s">
        <v>2566</v>
      </c>
      <c r="D439" s="1186" t="s">
        <v>2759</v>
      </c>
      <c r="E439" s="1187" t="s">
        <v>3236</v>
      </c>
      <c r="F439" s="1188" t="s">
        <v>90</v>
      </c>
      <c r="G439" s="1202" t="s">
        <v>8</v>
      </c>
      <c r="H439" s="1213" t="s">
        <v>91</v>
      </c>
      <c r="I439" s="144" t="s">
        <v>340</v>
      </c>
      <c r="J439" s="1221" t="s">
        <v>2332</v>
      </c>
      <c r="K439" s="1235" t="s">
        <v>805</v>
      </c>
      <c r="L439" s="1244" t="s">
        <v>3791</v>
      </c>
      <c r="M439" s="1168"/>
      <c r="N439" s="1149"/>
      <c r="O439" s="141" t="str">
        <f t="shared" si="6"/>
        <v xml:space="preserve">تواب  عبد القادر </v>
      </c>
      <c r="P439" s="141" t="s">
        <v>630</v>
      </c>
      <c r="Q439" s="141" t="s">
        <v>1940</v>
      </c>
      <c r="R439" s="276"/>
      <c r="S439" s="989"/>
      <c r="T439" s="404"/>
      <c r="U439" s="28"/>
    </row>
    <row r="440" spans="1:25" ht="16.5" customHeight="1">
      <c r="A440" s="140">
        <v>432</v>
      </c>
      <c r="B440" s="141"/>
      <c r="C440" s="1186" t="s">
        <v>2382</v>
      </c>
      <c r="D440" s="1186" t="s">
        <v>2760</v>
      </c>
      <c r="E440" s="1187" t="s">
        <v>3237</v>
      </c>
      <c r="F440" s="1188" t="s">
        <v>90</v>
      </c>
      <c r="G440" s="1202" t="s">
        <v>8</v>
      </c>
      <c r="H440" s="1213" t="s">
        <v>91</v>
      </c>
      <c r="I440" s="144" t="s">
        <v>340</v>
      </c>
      <c r="J440" s="1221" t="s">
        <v>3387</v>
      </c>
      <c r="K440" s="1235" t="s">
        <v>111</v>
      </c>
      <c r="L440" s="1244" t="s">
        <v>3792</v>
      </c>
      <c r="M440" s="1168"/>
      <c r="N440" s="1149"/>
      <c r="O440" s="141" t="str">
        <f t="shared" si="6"/>
        <v xml:space="preserve">تونسي  ميلود </v>
      </c>
      <c r="P440" s="141" t="s">
        <v>506</v>
      </c>
      <c r="Q440" s="141" t="s">
        <v>1940</v>
      </c>
      <c r="R440" s="276"/>
      <c r="S440" s="989"/>
      <c r="T440" s="237"/>
      <c r="U440" s="28"/>
    </row>
    <row r="441" spans="1:25" ht="16.5" customHeight="1">
      <c r="A441" s="140">
        <v>433</v>
      </c>
      <c r="B441" s="141"/>
      <c r="C441" s="1186" t="s">
        <v>170</v>
      </c>
      <c r="D441" s="1186" t="s">
        <v>2761</v>
      </c>
      <c r="E441" s="1187" t="s">
        <v>3238</v>
      </c>
      <c r="F441" s="1188" t="s">
        <v>90</v>
      </c>
      <c r="G441" s="1202" t="s">
        <v>8</v>
      </c>
      <c r="H441" s="1213" t="s">
        <v>96</v>
      </c>
      <c r="I441" s="144" t="s">
        <v>340</v>
      </c>
      <c r="J441" s="1221" t="s">
        <v>2173</v>
      </c>
      <c r="K441" s="1234" t="s">
        <v>111</v>
      </c>
      <c r="L441" s="1244" t="s">
        <v>3793</v>
      </c>
      <c r="M441" s="1168"/>
      <c r="N441" s="1149"/>
      <c r="O441" s="141" t="str">
        <f t="shared" si="6"/>
        <v xml:space="preserve">تيرس  قادة </v>
      </c>
      <c r="P441" s="141" t="s">
        <v>506</v>
      </c>
      <c r="Q441" s="141" t="s">
        <v>1940</v>
      </c>
      <c r="R441" s="276"/>
      <c r="S441" s="989"/>
      <c r="T441" s="237"/>
      <c r="U441" s="28"/>
    </row>
    <row r="442" spans="1:25" ht="16.5" customHeight="1">
      <c r="A442" s="140">
        <v>434</v>
      </c>
      <c r="B442" s="141"/>
      <c r="C442" s="1186" t="s">
        <v>2549</v>
      </c>
      <c r="D442" s="1186" t="s">
        <v>1877</v>
      </c>
      <c r="E442" s="1187" t="s">
        <v>3241</v>
      </c>
      <c r="F442" s="1188" t="s">
        <v>3347</v>
      </c>
      <c r="G442" s="1202" t="s">
        <v>8</v>
      </c>
      <c r="H442" s="1213" t="s">
        <v>96</v>
      </c>
      <c r="I442" s="144" t="s">
        <v>340</v>
      </c>
      <c r="J442" s="1221" t="s">
        <v>3470</v>
      </c>
      <c r="K442" s="1235" t="s">
        <v>102</v>
      </c>
      <c r="L442" s="1244" t="s">
        <v>3796</v>
      </c>
      <c r="M442" s="1168"/>
      <c r="N442" s="1149"/>
      <c r="O442" s="141" t="str">
        <f t="shared" si="6"/>
        <v xml:space="preserve">دموش  بوعمامة </v>
      </c>
      <c r="P442" s="141" t="s">
        <v>632</v>
      </c>
      <c r="Q442" s="141" t="s">
        <v>1940</v>
      </c>
      <c r="R442" s="276"/>
      <c r="S442" s="989"/>
      <c r="T442" s="671" t="s">
        <v>628</v>
      </c>
      <c r="U442" s="28"/>
    </row>
    <row r="443" spans="1:25" ht="16.5" customHeight="1">
      <c r="A443" s="140">
        <v>435</v>
      </c>
      <c r="B443" s="141"/>
      <c r="C443" s="1186" t="s">
        <v>2438</v>
      </c>
      <c r="D443" s="1186" t="s">
        <v>2762</v>
      </c>
      <c r="E443" s="1187" t="s">
        <v>3242</v>
      </c>
      <c r="F443" s="1188" t="s">
        <v>90</v>
      </c>
      <c r="G443" s="1202" t="s">
        <v>8</v>
      </c>
      <c r="H443" s="1213" t="s">
        <v>91</v>
      </c>
      <c r="I443" s="144" t="s">
        <v>340</v>
      </c>
      <c r="J443" s="1221" t="s">
        <v>2332</v>
      </c>
      <c r="K443" s="1235" t="s">
        <v>1192</v>
      </c>
      <c r="L443" s="1244" t="s">
        <v>494</v>
      </c>
      <c r="M443" s="1168"/>
      <c r="N443" s="1149"/>
      <c r="O443" s="141" t="str">
        <f t="shared" si="6"/>
        <v xml:space="preserve">رايس  عبد القادر </v>
      </c>
      <c r="P443" s="141" t="s">
        <v>506</v>
      </c>
      <c r="Q443" s="141" t="s">
        <v>1940</v>
      </c>
      <c r="R443" s="761"/>
      <c r="S443" s="989"/>
      <c r="T443" s="404"/>
      <c r="U443" s="28"/>
    </row>
    <row r="444" spans="1:25" ht="16.5" customHeight="1">
      <c r="A444" s="140">
        <v>436</v>
      </c>
      <c r="B444" s="141"/>
      <c r="C444" s="1186" t="s">
        <v>14</v>
      </c>
      <c r="D444" s="1186" t="s">
        <v>2763</v>
      </c>
      <c r="E444" s="1187" t="s">
        <v>3243</v>
      </c>
      <c r="F444" s="1188" t="s">
        <v>3347</v>
      </c>
      <c r="G444" s="1202" t="s">
        <v>8</v>
      </c>
      <c r="H444" s="1213" t="s">
        <v>96</v>
      </c>
      <c r="I444" s="144" t="s">
        <v>340</v>
      </c>
      <c r="J444" s="1221" t="s">
        <v>2332</v>
      </c>
      <c r="K444" s="1235" t="s">
        <v>805</v>
      </c>
      <c r="L444" s="1244" t="s">
        <v>3797</v>
      </c>
      <c r="M444" s="1168"/>
      <c r="N444" s="1149"/>
      <c r="O444" s="141" t="str">
        <f t="shared" si="6"/>
        <v xml:space="preserve">طيبي  عبد القادر </v>
      </c>
      <c r="P444" s="141" t="s">
        <v>506</v>
      </c>
      <c r="Q444" s="141"/>
      <c r="R444" s="761"/>
      <c r="S444" s="989"/>
      <c r="T444" s="671"/>
      <c r="U444" s="28"/>
    </row>
    <row r="445" spans="1:25" s="422" customFormat="1" ht="16.5" customHeight="1">
      <c r="A445" s="140">
        <v>437</v>
      </c>
      <c r="B445" s="141"/>
      <c r="C445" s="1186" t="s">
        <v>2764</v>
      </c>
      <c r="D445" s="1186" t="s">
        <v>2205</v>
      </c>
      <c r="E445" s="1187" t="s">
        <v>3244</v>
      </c>
      <c r="F445" s="1188" t="s">
        <v>90</v>
      </c>
      <c r="G445" s="1202" t="s">
        <v>8</v>
      </c>
      <c r="H445" s="1213" t="s">
        <v>96</v>
      </c>
      <c r="I445" s="144" t="s">
        <v>340</v>
      </c>
      <c r="J445" s="1221" t="s">
        <v>3371</v>
      </c>
      <c r="K445" s="1234" t="s">
        <v>128</v>
      </c>
      <c r="L445" s="1244" t="s">
        <v>3798</v>
      </c>
      <c r="M445" s="1168"/>
      <c r="N445" s="1149"/>
      <c r="O445" s="141" t="str">
        <f t="shared" si="6"/>
        <v xml:space="preserve">عفان  علي </v>
      </c>
      <c r="P445" s="141" t="s">
        <v>506</v>
      </c>
      <c r="Q445" s="141"/>
      <c r="R445" s="276"/>
      <c r="S445" s="989"/>
      <c r="T445" s="237"/>
      <c r="U445" s="28"/>
      <c r="V445" s="28"/>
      <c r="W445" s="28"/>
      <c r="X445" s="28"/>
      <c r="Y445" s="28"/>
    </row>
    <row r="446" spans="1:25" ht="16.5" customHeight="1">
      <c r="A446" s="140">
        <v>438</v>
      </c>
      <c r="B446" s="141"/>
      <c r="C446" s="1186" t="s">
        <v>2765</v>
      </c>
      <c r="D446" s="1186" t="s">
        <v>28</v>
      </c>
      <c r="E446" s="1187" t="s">
        <v>3190</v>
      </c>
      <c r="F446" s="1188" t="s">
        <v>90</v>
      </c>
      <c r="G446" s="1202" t="s">
        <v>8</v>
      </c>
      <c r="H446" s="1213" t="s">
        <v>91</v>
      </c>
      <c r="I446" s="144" t="s">
        <v>340</v>
      </c>
      <c r="J446" s="1221" t="s">
        <v>2101</v>
      </c>
      <c r="K446" s="1234" t="s">
        <v>111</v>
      </c>
      <c r="L446" s="1244" t="s">
        <v>3799</v>
      </c>
      <c r="M446" s="1168"/>
      <c r="N446" s="1149"/>
      <c r="O446" s="141" t="str">
        <f t="shared" si="6"/>
        <v xml:space="preserve">غاليوي  أحمد </v>
      </c>
      <c r="P446" s="141" t="s">
        <v>506</v>
      </c>
      <c r="Q446" s="141"/>
      <c r="R446" s="276"/>
      <c r="S446" s="989"/>
      <c r="T446" s="237"/>
      <c r="U446" s="28"/>
    </row>
    <row r="447" spans="1:25" s="964" customFormat="1" ht="16.5" customHeight="1">
      <c r="A447" s="140">
        <v>439</v>
      </c>
      <c r="B447" s="141"/>
      <c r="C447" s="1186" t="s">
        <v>2467</v>
      </c>
      <c r="D447" s="1186" t="s">
        <v>2766</v>
      </c>
      <c r="E447" s="1187" t="s">
        <v>3245</v>
      </c>
      <c r="F447" s="1188" t="s">
        <v>1472</v>
      </c>
      <c r="G447" s="1202" t="s">
        <v>8</v>
      </c>
      <c r="H447" s="1213" t="s">
        <v>91</v>
      </c>
      <c r="I447" s="144" t="s">
        <v>340</v>
      </c>
      <c r="J447" s="1221" t="s">
        <v>2101</v>
      </c>
      <c r="K447" s="1235" t="s">
        <v>111</v>
      </c>
      <c r="L447" s="1244" t="s">
        <v>3800</v>
      </c>
      <c r="M447" s="1168"/>
      <c r="N447" s="1149"/>
      <c r="O447" s="141" t="str">
        <f t="shared" si="6"/>
        <v xml:space="preserve">قويدري  أحمد </v>
      </c>
      <c r="P447" s="141" t="s">
        <v>506</v>
      </c>
      <c r="Q447" s="141"/>
      <c r="R447" s="276"/>
      <c r="S447" s="989"/>
      <c r="T447" s="237"/>
      <c r="U447" s="28"/>
      <c r="V447" s="28"/>
      <c r="W447" s="28"/>
      <c r="X447" s="28"/>
      <c r="Y447" s="28"/>
    </row>
    <row r="448" spans="1:25" ht="16.5" customHeight="1">
      <c r="A448" s="140">
        <v>440</v>
      </c>
      <c r="B448" s="141"/>
      <c r="C448" s="1186" t="s">
        <v>2668</v>
      </c>
      <c r="D448" s="1186" t="s">
        <v>2767</v>
      </c>
      <c r="E448" s="1187" t="s">
        <v>3246</v>
      </c>
      <c r="F448" s="1188" t="s">
        <v>202</v>
      </c>
      <c r="G448" s="1202" t="s">
        <v>8</v>
      </c>
      <c r="H448" s="1213" t="s">
        <v>96</v>
      </c>
      <c r="I448" s="144" t="s">
        <v>340</v>
      </c>
      <c r="J448" s="1221" t="s">
        <v>3434</v>
      </c>
      <c r="K448" s="1235" t="s">
        <v>111</v>
      </c>
      <c r="L448" s="1244" t="s">
        <v>3801</v>
      </c>
      <c r="M448" s="1168"/>
      <c r="N448" s="1149"/>
      <c r="O448" s="141" t="str">
        <f t="shared" si="6"/>
        <v xml:space="preserve">مجاهدي  معمر </v>
      </c>
      <c r="P448" s="141" t="s">
        <v>506</v>
      </c>
      <c r="Q448" s="141"/>
      <c r="R448" s="276"/>
      <c r="S448" s="989"/>
      <c r="T448" s="237"/>
      <c r="U448" s="28"/>
    </row>
    <row r="449" spans="1:25" s="964" customFormat="1" ht="16.5" customHeight="1">
      <c r="A449" s="140">
        <v>441</v>
      </c>
      <c r="B449" s="141"/>
      <c r="C449" s="1186" t="s">
        <v>2768</v>
      </c>
      <c r="D449" s="1186" t="s">
        <v>2769</v>
      </c>
      <c r="E449" s="1187" t="s">
        <v>3087</v>
      </c>
      <c r="F449" s="1188" t="s">
        <v>3338</v>
      </c>
      <c r="G449" s="1202" t="s">
        <v>8</v>
      </c>
      <c r="H449" s="1213" t="s">
        <v>91</v>
      </c>
      <c r="I449" s="144" t="s">
        <v>340</v>
      </c>
      <c r="J449" s="1221" t="s">
        <v>1402</v>
      </c>
      <c r="K449" s="1235" t="s">
        <v>111</v>
      </c>
      <c r="L449" s="1244" t="s">
        <v>3802</v>
      </c>
      <c r="M449" s="1168"/>
      <c r="N449" s="1149"/>
      <c r="O449" s="141" t="str">
        <f t="shared" si="6"/>
        <v xml:space="preserve">معاشو  يحياوي </v>
      </c>
      <c r="P449" s="141" t="s">
        <v>506</v>
      </c>
      <c r="Q449" s="141"/>
      <c r="R449" s="276"/>
      <c r="S449" s="989"/>
      <c r="T449" s="237"/>
      <c r="U449" s="28"/>
      <c r="V449" s="28"/>
      <c r="W449" s="28"/>
      <c r="X449" s="28"/>
      <c r="Y449" s="28"/>
    </row>
    <row r="450" spans="1:25" ht="16.5" customHeight="1">
      <c r="A450" s="140">
        <v>442</v>
      </c>
      <c r="B450" s="141"/>
      <c r="C450" s="1186" t="s">
        <v>2313</v>
      </c>
      <c r="D450" s="1186" t="s">
        <v>2770</v>
      </c>
      <c r="E450" s="1187" t="s">
        <v>3202</v>
      </c>
      <c r="F450" s="1188" t="s">
        <v>90</v>
      </c>
      <c r="G450" s="1202" t="s">
        <v>8</v>
      </c>
      <c r="H450" s="1213" t="s">
        <v>96</v>
      </c>
      <c r="I450" s="144" t="s">
        <v>340</v>
      </c>
      <c r="J450" s="1221" t="s">
        <v>2331</v>
      </c>
      <c r="K450" s="1235" t="s">
        <v>111</v>
      </c>
      <c r="L450" s="1244" t="s">
        <v>3803</v>
      </c>
      <c r="M450" s="1168"/>
      <c r="N450" s="1149"/>
      <c r="O450" s="141" t="str">
        <f t="shared" si="6"/>
        <v xml:space="preserve">منصوري  مصطفى </v>
      </c>
      <c r="P450" s="141" t="s">
        <v>506</v>
      </c>
      <c r="Q450" s="141"/>
      <c r="R450" s="276"/>
      <c r="S450" s="989"/>
      <c r="T450" s="237"/>
      <c r="U450" s="28"/>
    </row>
    <row r="451" spans="1:25" s="963" customFormat="1" ht="16.5" customHeight="1">
      <c r="A451" s="140">
        <v>443</v>
      </c>
      <c r="B451" s="141"/>
      <c r="C451" s="1186" t="s">
        <v>2313</v>
      </c>
      <c r="D451" s="1186" t="s">
        <v>94</v>
      </c>
      <c r="E451" s="1187" t="s">
        <v>3247</v>
      </c>
      <c r="F451" s="1188" t="s">
        <v>1190</v>
      </c>
      <c r="G451" s="1202" t="s">
        <v>8</v>
      </c>
      <c r="H451" s="1213" t="s">
        <v>96</v>
      </c>
      <c r="I451" s="144" t="s">
        <v>340</v>
      </c>
      <c r="J451" s="1221" t="s">
        <v>2325</v>
      </c>
      <c r="K451" s="1235" t="s">
        <v>111</v>
      </c>
      <c r="L451" s="1244" t="s">
        <v>3804</v>
      </c>
      <c r="M451" s="1168"/>
      <c r="N451" s="1149"/>
      <c r="O451" s="141" t="str">
        <f t="shared" si="6"/>
        <v xml:space="preserve">منصوري  محمد </v>
      </c>
      <c r="P451" s="141" t="s">
        <v>632</v>
      </c>
      <c r="Q451" s="141"/>
      <c r="R451" s="276"/>
      <c r="S451" s="989"/>
      <c r="T451" s="404"/>
      <c r="U451" s="28"/>
      <c r="V451" s="28"/>
      <c r="W451" s="28"/>
      <c r="X451" s="28"/>
      <c r="Y451" s="28"/>
    </row>
    <row r="452" spans="1:25" ht="16.5" customHeight="1">
      <c r="A452" s="140">
        <v>444</v>
      </c>
      <c r="B452" s="141"/>
      <c r="C452" s="1186" t="s">
        <v>1885</v>
      </c>
      <c r="D452" s="1186" t="s">
        <v>2771</v>
      </c>
      <c r="E452" s="1187" t="s">
        <v>3248</v>
      </c>
      <c r="F452" s="1188" t="s">
        <v>3339</v>
      </c>
      <c r="G452" s="1202" t="s">
        <v>8</v>
      </c>
      <c r="H452" s="1213" t="s">
        <v>91</v>
      </c>
      <c r="I452" s="144" t="s">
        <v>340</v>
      </c>
      <c r="J452" s="1221" t="s">
        <v>2333</v>
      </c>
      <c r="K452" s="1235" t="s">
        <v>103</v>
      </c>
      <c r="L452" s="1244" t="s">
        <v>3805</v>
      </c>
      <c r="M452" s="1168"/>
      <c r="N452" s="1149"/>
      <c r="O452" s="141" t="str">
        <f t="shared" si="6"/>
        <v xml:space="preserve">منور  عباس </v>
      </c>
      <c r="P452" s="141" t="s">
        <v>506</v>
      </c>
      <c r="Q452" s="141"/>
      <c r="R452" s="276"/>
      <c r="S452" s="989"/>
      <c r="T452" s="237"/>
      <c r="U452" s="28"/>
    </row>
    <row r="453" spans="1:25" ht="16.5" customHeight="1">
      <c r="A453" s="140">
        <v>445</v>
      </c>
      <c r="B453" s="141"/>
      <c r="C453" s="1186" t="s">
        <v>2772</v>
      </c>
      <c r="D453" s="1186" t="s">
        <v>2773</v>
      </c>
      <c r="E453" s="1187" t="s">
        <v>3249</v>
      </c>
      <c r="F453" s="1188" t="s">
        <v>90</v>
      </c>
      <c r="G453" s="1202" t="s">
        <v>8</v>
      </c>
      <c r="H453" s="1213" t="s">
        <v>91</v>
      </c>
      <c r="I453" s="144" t="s">
        <v>340</v>
      </c>
      <c r="J453" s="1221" t="s">
        <v>3387</v>
      </c>
      <c r="K453" s="1235" t="s">
        <v>111</v>
      </c>
      <c r="L453" s="1244" t="s">
        <v>3806</v>
      </c>
      <c r="M453" s="1168"/>
      <c r="N453" s="1149"/>
      <c r="O453" s="141" t="str">
        <f t="shared" si="6"/>
        <v xml:space="preserve">ميموني  ميلود </v>
      </c>
      <c r="P453" s="141" t="s">
        <v>506</v>
      </c>
      <c r="Q453" s="141"/>
      <c r="R453" s="276"/>
      <c r="S453" s="989"/>
      <c r="T453" s="237"/>
      <c r="U453" s="28"/>
    </row>
    <row r="454" spans="1:25" ht="16.5" customHeight="1">
      <c r="A454" s="140">
        <v>446</v>
      </c>
      <c r="B454" s="141"/>
      <c r="C454" s="1186" t="s">
        <v>2526</v>
      </c>
      <c r="D454" s="1186" t="s">
        <v>28</v>
      </c>
      <c r="E454" s="1187" t="s">
        <v>3228</v>
      </c>
      <c r="F454" s="1188" t="s">
        <v>202</v>
      </c>
      <c r="G454" s="1202" t="s">
        <v>8</v>
      </c>
      <c r="H454" s="1213" t="s">
        <v>91</v>
      </c>
      <c r="I454" s="144" t="s">
        <v>340</v>
      </c>
      <c r="J454" s="1221" t="s">
        <v>2325</v>
      </c>
      <c r="K454" s="1235" t="s">
        <v>111</v>
      </c>
      <c r="L454" s="1244" t="s">
        <v>3807</v>
      </c>
      <c r="M454" s="1168"/>
      <c r="N454" s="1149"/>
      <c r="O454" s="141" t="str">
        <f t="shared" si="6"/>
        <v xml:space="preserve">هاشمي  محمد </v>
      </c>
      <c r="P454" s="141" t="s">
        <v>506</v>
      </c>
      <c r="Q454" s="141"/>
      <c r="R454" s="276"/>
      <c r="S454" s="989"/>
      <c r="T454" s="237"/>
      <c r="U454" s="28"/>
    </row>
    <row r="455" spans="1:25" ht="16.5" customHeight="1">
      <c r="A455" s="140">
        <v>447</v>
      </c>
      <c r="B455" s="141"/>
      <c r="C455" s="1186" t="s">
        <v>2774</v>
      </c>
      <c r="D455" s="1186" t="s">
        <v>69</v>
      </c>
      <c r="E455" s="1187" t="s">
        <v>3250</v>
      </c>
      <c r="F455" s="1188" t="s">
        <v>90</v>
      </c>
      <c r="G455" s="1202" t="s">
        <v>8</v>
      </c>
      <c r="H455" s="1213" t="s">
        <v>91</v>
      </c>
      <c r="I455" s="144" t="s">
        <v>340</v>
      </c>
      <c r="J455" s="1221" t="s">
        <v>1576</v>
      </c>
      <c r="K455" s="1235" t="s">
        <v>160</v>
      </c>
      <c r="L455" s="1244" t="s">
        <v>494</v>
      </c>
      <c r="M455" s="1168"/>
      <c r="N455" s="1149"/>
      <c r="O455" s="141" t="str">
        <f t="shared" si="6"/>
        <v xml:space="preserve">هبيتة  بلخير </v>
      </c>
      <c r="P455" s="141" t="s">
        <v>507</v>
      </c>
      <c r="Q455" s="141"/>
      <c r="R455" s="276"/>
      <c r="S455" s="989"/>
      <c r="T455" s="259"/>
      <c r="U455" s="28"/>
    </row>
    <row r="456" spans="1:25" ht="16.5" customHeight="1">
      <c r="A456" s="140">
        <v>448</v>
      </c>
      <c r="B456" s="141"/>
      <c r="C456" s="1186" t="s">
        <v>2527</v>
      </c>
      <c r="D456" s="1186" t="s">
        <v>2775</v>
      </c>
      <c r="E456" s="1187" t="s">
        <v>2984</v>
      </c>
      <c r="F456" s="1188" t="s">
        <v>3339</v>
      </c>
      <c r="G456" s="1202" t="s">
        <v>8</v>
      </c>
      <c r="H456" s="1213" t="s">
        <v>96</v>
      </c>
      <c r="I456" s="144" t="s">
        <v>340</v>
      </c>
      <c r="J456" s="1221" t="s">
        <v>2325</v>
      </c>
      <c r="K456" s="1235" t="s">
        <v>128</v>
      </c>
      <c r="L456" s="1244" t="s">
        <v>3624</v>
      </c>
      <c r="M456" s="1168"/>
      <c r="N456" s="1149"/>
      <c r="O456" s="141" t="str">
        <f t="shared" si="6"/>
        <v xml:space="preserve">هريوي  محمد </v>
      </c>
      <c r="P456" s="141" t="s">
        <v>630</v>
      </c>
      <c r="Q456" s="141"/>
      <c r="R456" s="276"/>
      <c r="S456" s="989"/>
      <c r="T456" s="237"/>
      <c r="U456" s="28"/>
    </row>
    <row r="457" spans="1:25" ht="16.5" customHeight="1">
      <c r="A457" s="140">
        <v>449</v>
      </c>
      <c r="B457" s="141"/>
      <c r="C457" s="1186" t="s">
        <v>2423</v>
      </c>
      <c r="D457" s="1186" t="s">
        <v>2776</v>
      </c>
      <c r="E457" s="1187" t="s">
        <v>3251</v>
      </c>
      <c r="F457" s="1188" t="s">
        <v>90</v>
      </c>
      <c r="G457" s="1202" t="s">
        <v>8</v>
      </c>
      <c r="H457" s="1213" t="s">
        <v>91</v>
      </c>
      <c r="I457" s="144" t="s">
        <v>340</v>
      </c>
      <c r="J457" s="1221" t="s">
        <v>3471</v>
      </c>
      <c r="K457" s="1235" t="s">
        <v>805</v>
      </c>
      <c r="L457" s="1244" t="s">
        <v>3808</v>
      </c>
      <c r="M457" s="1168"/>
      <c r="N457" s="1149"/>
      <c r="O457" s="141" t="str">
        <f t="shared" si="6"/>
        <v xml:space="preserve">وافي  بن عودة </v>
      </c>
      <c r="P457" s="141" t="s">
        <v>630</v>
      </c>
      <c r="Q457" s="141"/>
      <c r="R457" s="276"/>
      <c r="S457" s="989"/>
      <c r="T457" s="259"/>
      <c r="U457" s="28"/>
    </row>
    <row r="458" spans="1:25" ht="16.5" customHeight="1">
      <c r="A458" s="140">
        <v>450</v>
      </c>
      <c r="B458" s="141"/>
      <c r="C458" s="1186" t="s">
        <v>2787</v>
      </c>
      <c r="D458" s="1186" t="s">
        <v>43</v>
      </c>
      <c r="E458" s="1187" t="s">
        <v>3262</v>
      </c>
      <c r="F458" s="1188" t="s">
        <v>90</v>
      </c>
      <c r="G458" s="1202" t="s">
        <v>525</v>
      </c>
      <c r="H458" s="1212" t="s">
        <v>1458</v>
      </c>
      <c r="I458" s="144" t="s">
        <v>340</v>
      </c>
      <c r="J458" s="1221" t="s">
        <v>3391</v>
      </c>
      <c r="K458" s="1235" t="s">
        <v>97</v>
      </c>
      <c r="L458" s="1244" t="s">
        <v>3817</v>
      </c>
      <c r="M458" s="1168"/>
      <c r="N458" s="1149"/>
      <c r="O458" s="141" t="str">
        <f t="shared" ref="O458:O521" si="7">(C458&amp;"  "&amp;J458)</f>
        <v xml:space="preserve">بن صالح  طيب </v>
      </c>
      <c r="P458" s="141" t="s">
        <v>630</v>
      </c>
      <c r="Q458" s="141"/>
      <c r="R458" s="276"/>
      <c r="S458" s="989"/>
      <c r="T458" s="671"/>
      <c r="U458" s="28"/>
    </row>
    <row r="459" spans="1:25" ht="16.5" customHeight="1">
      <c r="A459" s="140">
        <v>451</v>
      </c>
      <c r="B459" s="141"/>
      <c r="C459" s="1186" t="s">
        <v>170</v>
      </c>
      <c r="D459" s="1186" t="s">
        <v>2016</v>
      </c>
      <c r="E459" s="1187" t="s">
        <v>3252</v>
      </c>
      <c r="F459" s="1188" t="s">
        <v>3339</v>
      </c>
      <c r="G459" s="1202" t="s">
        <v>525</v>
      </c>
      <c r="H459" s="1212" t="s">
        <v>1458</v>
      </c>
      <c r="I459" s="144" t="s">
        <v>340</v>
      </c>
      <c r="J459" s="1221" t="s">
        <v>3406</v>
      </c>
      <c r="K459" s="1235" t="s">
        <v>97</v>
      </c>
      <c r="L459" s="1244" t="s">
        <v>3809</v>
      </c>
      <c r="M459" s="1168"/>
      <c r="N459" s="1149"/>
      <c r="O459" s="141" t="str">
        <f t="shared" si="7"/>
        <v xml:space="preserve">تيرس  زواوي </v>
      </c>
      <c r="P459" s="141" t="s">
        <v>630</v>
      </c>
      <c r="Q459" s="141"/>
      <c r="R459" s="276"/>
      <c r="S459" s="989"/>
      <c r="T459" s="237"/>
      <c r="U459" s="28"/>
      <c r="X459"/>
      <c r="Y459"/>
    </row>
    <row r="460" spans="1:25" ht="16.5" customHeight="1">
      <c r="A460" s="140">
        <v>452</v>
      </c>
      <c r="B460" s="141"/>
      <c r="C460" s="1186" t="s">
        <v>2545</v>
      </c>
      <c r="D460" s="1186" t="s">
        <v>2777</v>
      </c>
      <c r="E460" s="1187" t="s">
        <v>3253</v>
      </c>
      <c r="F460" s="1188" t="s">
        <v>90</v>
      </c>
      <c r="G460" s="1202" t="s">
        <v>525</v>
      </c>
      <c r="H460" s="1212" t="s">
        <v>1459</v>
      </c>
      <c r="I460" s="144" t="s">
        <v>341</v>
      </c>
      <c r="J460" s="1221" t="s">
        <v>3398</v>
      </c>
      <c r="K460" s="1235" t="s">
        <v>111</v>
      </c>
      <c r="L460" s="1244" t="s">
        <v>3810</v>
      </c>
      <c r="M460" s="1168"/>
      <c r="N460" s="1149"/>
      <c r="O460" s="141" t="str">
        <f t="shared" si="7"/>
        <v xml:space="preserve">صلات  مراد </v>
      </c>
      <c r="P460" s="141" t="s">
        <v>630</v>
      </c>
      <c r="Q460" s="141"/>
      <c r="R460" s="276"/>
      <c r="S460" s="989"/>
      <c r="T460" s="688"/>
      <c r="U460" s="28"/>
      <c r="X460"/>
      <c r="Y460"/>
    </row>
    <row r="461" spans="1:25" ht="16.5" customHeight="1">
      <c r="A461" s="140">
        <v>453</v>
      </c>
      <c r="B461" s="141"/>
      <c r="C461" s="1186" t="s">
        <v>2423</v>
      </c>
      <c r="D461" s="1186" t="s">
        <v>2797</v>
      </c>
      <c r="E461" s="1187" t="s">
        <v>3280</v>
      </c>
      <c r="F461" s="1188" t="s">
        <v>90</v>
      </c>
      <c r="G461" s="1202" t="s">
        <v>525</v>
      </c>
      <c r="H461" s="1212" t="s">
        <v>1458</v>
      </c>
      <c r="I461" s="144" t="s">
        <v>341</v>
      </c>
      <c r="J461" s="1221" t="s">
        <v>494</v>
      </c>
      <c r="K461" s="1235"/>
      <c r="L461" s="1244" t="s">
        <v>494</v>
      </c>
      <c r="M461" s="1168"/>
      <c r="N461" s="1149"/>
      <c r="O461" s="141" t="str">
        <f t="shared" si="7"/>
        <v xml:space="preserve">وافي   </v>
      </c>
      <c r="P461" s="141" t="s">
        <v>507</v>
      </c>
      <c r="Q461" s="141"/>
      <c r="R461" s="276"/>
      <c r="S461" s="989"/>
      <c r="T461" s="237"/>
      <c r="U461" s="28"/>
      <c r="X461"/>
      <c r="Y461"/>
    </row>
    <row r="462" spans="1:25" ht="16.5" customHeight="1">
      <c r="A462" s="140">
        <v>454</v>
      </c>
      <c r="B462" s="141"/>
      <c r="C462" s="1186" t="s">
        <v>2634</v>
      </c>
      <c r="D462" s="1186" t="s">
        <v>2779</v>
      </c>
      <c r="E462" s="1187" t="s">
        <v>3255</v>
      </c>
      <c r="F462" s="1188" t="s">
        <v>3339</v>
      </c>
      <c r="G462" s="1202" t="s">
        <v>525</v>
      </c>
      <c r="H462" s="1213" t="s">
        <v>91</v>
      </c>
      <c r="I462" s="144" t="s">
        <v>341</v>
      </c>
      <c r="J462" s="1221" t="s">
        <v>3457</v>
      </c>
      <c r="K462" s="1235" t="s">
        <v>111</v>
      </c>
      <c r="L462" s="1244" t="s">
        <v>3812</v>
      </c>
      <c r="M462" s="1168"/>
      <c r="N462" s="1149"/>
      <c r="O462" s="141" t="str">
        <f t="shared" si="7"/>
        <v xml:space="preserve">بادي  زين الدين </v>
      </c>
      <c r="P462" s="141" t="s">
        <v>507</v>
      </c>
      <c r="Q462" s="141"/>
      <c r="R462" s="276"/>
      <c r="S462" s="989"/>
      <c r="T462" s="237"/>
      <c r="U462" s="28"/>
      <c r="X462"/>
      <c r="Y462"/>
    </row>
    <row r="463" spans="1:25" ht="16.5" customHeight="1">
      <c r="A463" s="140">
        <v>455</v>
      </c>
      <c r="B463" s="141"/>
      <c r="C463" s="1186" t="s">
        <v>2780</v>
      </c>
      <c r="D463" s="1186" t="s">
        <v>2781</v>
      </c>
      <c r="E463" s="1187" t="s">
        <v>3256</v>
      </c>
      <c r="F463" s="1188" t="s">
        <v>3339</v>
      </c>
      <c r="G463" s="1202" t="s">
        <v>525</v>
      </c>
      <c r="H463" s="1213" t="s">
        <v>96</v>
      </c>
      <c r="I463" s="144" t="s">
        <v>340</v>
      </c>
      <c r="J463" s="1221"/>
      <c r="K463" s="1235" t="s">
        <v>97</v>
      </c>
      <c r="L463" s="1244"/>
      <c r="M463" s="1168"/>
      <c r="N463" s="1149"/>
      <c r="O463" s="141" t="str">
        <f t="shared" si="7"/>
        <v xml:space="preserve">باقي  </v>
      </c>
      <c r="P463" s="141" t="s">
        <v>630</v>
      </c>
      <c r="Q463" s="141"/>
      <c r="R463" s="276"/>
      <c r="S463" s="989"/>
      <c r="T463" s="671" t="s">
        <v>628</v>
      </c>
      <c r="U463" s="28"/>
      <c r="X463"/>
      <c r="Y463"/>
    </row>
    <row r="464" spans="1:25" ht="16.5" customHeight="1">
      <c r="A464" s="140">
        <v>456</v>
      </c>
      <c r="B464" s="141"/>
      <c r="C464" s="1186" t="s">
        <v>514</v>
      </c>
      <c r="D464" s="1186" t="s">
        <v>2782</v>
      </c>
      <c r="E464" s="1187" t="s">
        <v>3257</v>
      </c>
      <c r="F464" s="1188" t="s">
        <v>3339</v>
      </c>
      <c r="G464" s="1202" t="s">
        <v>525</v>
      </c>
      <c r="H464" s="1213" t="s">
        <v>91</v>
      </c>
      <c r="I464" s="144" t="s">
        <v>340</v>
      </c>
      <c r="J464" s="1221" t="s">
        <v>2334</v>
      </c>
      <c r="K464" s="1234" t="s">
        <v>159</v>
      </c>
      <c r="L464" s="1244" t="s">
        <v>494</v>
      </c>
      <c r="M464" s="1168"/>
      <c r="N464" s="1149"/>
      <c r="O464" s="141" t="str">
        <f t="shared" si="7"/>
        <v xml:space="preserve">براهمي  جيلالي </v>
      </c>
      <c r="P464" s="141" t="s">
        <v>507</v>
      </c>
      <c r="Q464" s="141"/>
      <c r="R464" s="276"/>
      <c r="S464" s="989"/>
      <c r="T464" s="671" t="s">
        <v>628</v>
      </c>
      <c r="U464" s="28"/>
      <c r="X464"/>
      <c r="Y464"/>
    </row>
    <row r="465" spans="1:25" ht="16.5" customHeight="1">
      <c r="A465" s="140">
        <v>457</v>
      </c>
      <c r="B465" s="141"/>
      <c r="C465" s="1186" t="s">
        <v>2783</v>
      </c>
      <c r="D465" s="1186" t="s">
        <v>2537</v>
      </c>
      <c r="E465" s="1187" t="s">
        <v>3259</v>
      </c>
      <c r="F465" s="1188" t="s">
        <v>3338</v>
      </c>
      <c r="G465" s="1202" t="s">
        <v>525</v>
      </c>
      <c r="H465" s="1213" t="s">
        <v>96</v>
      </c>
      <c r="I465" s="144" t="s">
        <v>340</v>
      </c>
      <c r="J465" s="1221" t="s">
        <v>3386</v>
      </c>
      <c r="K465" s="1235" t="s">
        <v>111</v>
      </c>
      <c r="L465" s="1244" t="s">
        <v>3814</v>
      </c>
      <c r="M465" s="1168"/>
      <c r="N465" s="1149"/>
      <c r="O465" s="141" t="str">
        <f t="shared" si="7"/>
        <v xml:space="preserve">بركان  عبد الكريم </v>
      </c>
      <c r="P465" s="141" t="s">
        <v>630</v>
      </c>
      <c r="Q465" s="141"/>
      <c r="R465" s="276"/>
      <c r="S465" s="989"/>
      <c r="T465" s="671" t="s">
        <v>628</v>
      </c>
      <c r="U465" s="28"/>
      <c r="X465"/>
      <c r="Y465"/>
    </row>
    <row r="466" spans="1:25" ht="16.5" customHeight="1">
      <c r="A466" s="140">
        <v>458</v>
      </c>
      <c r="B466" s="141"/>
      <c r="C466" s="1186" t="s">
        <v>2378</v>
      </c>
      <c r="D466" s="1186" t="s">
        <v>2784</v>
      </c>
      <c r="E466" s="1187" t="s">
        <v>3260</v>
      </c>
      <c r="F466" s="1188" t="s">
        <v>90</v>
      </c>
      <c r="G466" s="1202" t="s">
        <v>525</v>
      </c>
      <c r="H466" s="1213" t="s">
        <v>91</v>
      </c>
      <c r="I466" s="144" t="s">
        <v>340</v>
      </c>
      <c r="J466" s="1221" t="s">
        <v>3411</v>
      </c>
      <c r="K466" s="1235" t="s">
        <v>97</v>
      </c>
      <c r="L466" s="1244" t="s">
        <v>3815</v>
      </c>
      <c r="M466" s="1168"/>
      <c r="N466" s="1149"/>
      <c r="O466" s="141" t="str">
        <f t="shared" si="7"/>
        <v xml:space="preserve">بلعيد  كمال </v>
      </c>
      <c r="P466" s="141" t="s">
        <v>507</v>
      </c>
      <c r="Q466" s="141"/>
      <c r="R466" s="276"/>
      <c r="S466" s="989"/>
      <c r="T466" s="671" t="s">
        <v>628</v>
      </c>
      <c r="U466" s="28"/>
      <c r="X466"/>
      <c r="Y466"/>
    </row>
    <row r="467" spans="1:25" ht="16.5" customHeight="1">
      <c r="A467" s="140">
        <v>459</v>
      </c>
      <c r="B467" s="141"/>
      <c r="C467" s="1186" t="s">
        <v>16</v>
      </c>
      <c r="D467" s="1186" t="s">
        <v>2785</v>
      </c>
      <c r="E467" s="1187" t="s">
        <v>3246</v>
      </c>
      <c r="F467" s="1188" t="s">
        <v>90</v>
      </c>
      <c r="G467" s="1202" t="s">
        <v>525</v>
      </c>
      <c r="H467" s="1213" t="s">
        <v>91</v>
      </c>
      <c r="I467" s="144" t="s">
        <v>340</v>
      </c>
      <c r="J467" s="1221" t="s">
        <v>3391</v>
      </c>
      <c r="K467" s="1235"/>
      <c r="L467" s="1244" t="s">
        <v>3816</v>
      </c>
      <c r="M467" s="1168"/>
      <c r="N467" s="1149"/>
      <c r="O467" s="141" t="str">
        <f t="shared" si="7"/>
        <v xml:space="preserve">بلفكرون  طيب </v>
      </c>
      <c r="P467" s="141" t="s">
        <v>507</v>
      </c>
      <c r="Q467" s="141"/>
      <c r="R467" s="276"/>
      <c r="S467" s="989"/>
      <c r="T467" s="671" t="s">
        <v>628</v>
      </c>
      <c r="U467" s="28"/>
      <c r="X467"/>
      <c r="Y467"/>
    </row>
    <row r="468" spans="1:25" ht="16.5" customHeight="1">
      <c r="A468" s="140">
        <v>460</v>
      </c>
      <c r="B468" s="141"/>
      <c r="C468" s="1186" t="s">
        <v>2454</v>
      </c>
      <c r="D468" s="1186" t="s">
        <v>2043</v>
      </c>
      <c r="E468" s="1187" t="s">
        <v>3265</v>
      </c>
      <c r="F468" s="1188" t="s">
        <v>90</v>
      </c>
      <c r="G468" s="1202" t="s">
        <v>525</v>
      </c>
      <c r="H468" s="1213" t="s">
        <v>91</v>
      </c>
      <c r="I468" s="144" t="s">
        <v>340</v>
      </c>
      <c r="J468" s="1221" t="s">
        <v>2325</v>
      </c>
      <c r="K468" s="1235" t="s">
        <v>123</v>
      </c>
      <c r="L468" s="1244" t="s">
        <v>3819</v>
      </c>
      <c r="M468" s="1168"/>
      <c r="N468" s="1149"/>
      <c r="O468" s="141" t="str">
        <f t="shared" si="7"/>
        <v xml:space="preserve">بليل  محمد </v>
      </c>
      <c r="P468" s="141" t="s">
        <v>507</v>
      </c>
      <c r="Q468" s="141"/>
      <c r="R468" s="276"/>
      <c r="S468" s="989"/>
      <c r="T468" s="671"/>
      <c r="U468" s="28"/>
      <c r="X468"/>
      <c r="Y468"/>
    </row>
    <row r="469" spans="1:25" ht="16.5" customHeight="1">
      <c r="A469" s="140">
        <v>461</v>
      </c>
      <c r="B469" s="141"/>
      <c r="C469" s="1186" t="s">
        <v>2088</v>
      </c>
      <c r="D469" s="1186" t="s">
        <v>2786</v>
      </c>
      <c r="E469" s="1187" t="s">
        <v>3261</v>
      </c>
      <c r="F469" s="1188" t="s">
        <v>1515</v>
      </c>
      <c r="G469" s="1202" t="s">
        <v>525</v>
      </c>
      <c r="H469" s="1213" t="s">
        <v>91</v>
      </c>
      <c r="I469" s="144" t="s">
        <v>340</v>
      </c>
      <c r="J469" s="1221"/>
      <c r="K469" s="1235" t="s">
        <v>805</v>
      </c>
      <c r="L469" s="1244"/>
      <c r="M469" s="1168"/>
      <c r="N469" s="1149"/>
      <c r="O469" s="141" t="str">
        <f t="shared" si="7"/>
        <v xml:space="preserve">بن سجاد  </v>
      </c>
      <c r="P469" s="141" t="s">
        <v>507</v>
      </c>
      <c r="Q469" s="141"/>
      <c r="R469" s="276"/>
      <c r="S469" s="989"/>
      <c r="T469" s="237"/>
      <c r="U469" s="28"/>
      <c r="W469" s="28" t="s">
        <v>90</v>
      </c>
      <c r="X469"/>
      <c r="Y469"/>
    </row>
    <row r="470" spans="1:25" ht="16.5" customHeight="1">
      <c r="A470" s="140">
        <v>462</v>
      </c>
      <c r="B470" s="141"/>
      <c r="C470" s="1186" t="s">
        <v>2680</v>
      </c>
      <c r="D470" s="1186" t="s">
        <v>2017</v>
      </c>
      <c r="E470" s="1187" t="s">
        <v>3258</v>
      </c>
      <c r="F470" s="1188" t="s">
        <v>3338</v>
      </c>
      <c r="G470" s="1202" t="s">
        <v>525</v>
      </c>
      <c r="H470" s="1213" t="s">
        <v>91</v>
      </c>
      <c r="I470" s="144" t="s">
        <v>340</v>
      </c>
      <c r="J470" s="1221" t="s">
        <v>3390</v>
      </c>
      <c r="K470" s="1235" t="s">
        <v>1886</v>
      </c>
      <c r="L470" s="1244" t="s">
        <v>3813</v>
      </c>
      <c r="M470" s="1168"/>
      <c r="N470" s="1149"/>
      <c r="O470" s="141" t="str">
        <f t="shared" si="7"/>
        <v xml:space="preserve">بن شهرة  حبيب </v>
      </c>
      <c r="P470" s="141" t="s">
        <v>507</v>
      </c>
      <c r="Q470" s="141"/>
      <c r="R470" s="276"/>
      <c r="S470" s="989"/>
      <c r="T470" s="237"/>
      <c r="U470" s="28"/>
      <c r="X470"/>
      <c r="Y470"/>
    </row>
    <row r="471" spans="1:25" ht="16.5" customHeight="1">
      <c r="A471" s="140">
        <v>463</v>
      </c>
      <c r="B471" s="141"/>
      <c r="C471" s="1186" t="s">
        <v>2196</v>
      </c>
      <c r="D471" s="1186" t="s">
        <v>2788</v>
      </c>
      <c r="E471" s="1187" t="s">
        <v>3263</v>
      </c>
      <c r="F471" s="1188" t="s">
        <v>3339</v>
      </c>
      <c r="G471" s="1202" t="s">
        <v>525</v>
      </c>
      <c r="H471" s="1213" t="s">
        <v>96</v>
      </c>
      <c r="I471" s="144" t="s">
        <v>340</v>
      </c>
      <c r="J471" s="1221" t="s">
        <v>3472</v>
      </c>
      <c r="K471" s="1235" t="s">
        <v>111</v>
      </c>
      <c r="L471" s="1244" t="s">
        <v>3565</v>
      </c>
      <c r="M471" s="1168"/>
      <c r="N471" s="1149"/>
      <c r="O471" s="141" t="str">
        <f t="shared" si="7"/>
        <v xml:space="preserve">بن يحي  فؤاد </v>
      </c>
      <c r="P471" s="141" t="s">
        <v>630</v>
      </c>
      <c r="Q471" s="141"/>
      <c r="R471" s="276"/>
      <c r="S471" s="989"/>
      <c r="T471" s="237"/>
      <c r="U471" s="28"/>
      <c r="X471"/>
      <c r="Y471"/>
    </row>
    <row r="472" spans="1:25" s="969" customFormat="1" ht="16.5" customHeight="1">
      <c r="A472" s="140">
        <v>464</v>
      </c>
      <c r="B472" s="141"/>
      <c r="C472" s="1186" t="s">
        <v>2364</v>
      </c>
      <c r="D472" s="1186" t="s">
        <v>2362</v>
      </c>
      <c r="E472" s="1187" t="s">
        <v>3264</v>
      </c>
      <c r="F472" s="1188" t="s">
        <v>90</v>
      </c>
      <c r="G472" s="1202" t="s">
        <v>525</v>
      </c>
      <c r="H472" s="1213" t="s">
        <v>96</v>
      </c>
      <c r="I472" s="144" t="s">
        <v>340</v>
      </c>
      <c r="J472" s="1221" t="s">
        <v>2331</v>
      </c>
      <c r="K472" s="1235" t="s">
        <v>119</v>
      </c>
      <c r="L472" s="1244" t="s">
        <v>3818</v>
      </c>
      <c r="M472" s="1168"/>
      <c r="N472" s="1149"/>
      <c r="O472" s="141" t="str">
        <f t="shared" ref="O472:O479" si="8">(C472&amp;"  "&amp;J472)</f>
        <v xml:space="preserve">بنور  مصطفى </v>
      </c>
      <c r="P472" s="141" t="s">
        <v>507</v>
      </c>
      <c r="Q472" s="141"/>
      <c r="R472" s="276"/>
      <c r="S472" s="989"/>
      <c r="T472" s="237"/>
      <c r="U472" s="28"/>
      <c r="V472" s="28"/>
      <c r="W472" s="28"/>
    </row>
    <row r="473" spans="1:25" ht="16.5" customHeight="1">
      <c r="A473" s="140">
        <v>465</v>
      </c>
      <c r="B473" s="141"/>
      <c r="C473" s="1186" t="s">
        <v>2789</v>
      </c>
      <c r="D473" s="1186" t="s">
        <v>138</v>
      </c>
      <c r="E473" s="1187" t="s">
        <v>3266</v>
      </c>
      <c r="F473" s="1188" t="s">
        <v>3339</v>
      </c>
      <c r="G473" s="1202" t="s">
        <v>525</v>
      </c>
      <c r="H473" s="1213" t="s">
        <v>91</v>
      </c>
      <c r="I473" s="144" t="s">
        <v>340</v>
      </c>
      <c r="J473" s="1221" t="s">
        <v>3388</v>
      </c>
      <c r="K473" s="1235" t="s">
        <v>97</v>
      </c>
      <c r="L473" s="1244" t="s">
        <v>3820</v>
      </c>
      <c r="M473" s="1168"/>
      <c r="N473" s="1149"/>
      <c r="O473" s="141" t="str">
        <f t="shared" si="8"/>
        <v xml:space="preserve">بولعراف  قاسم </v>
      </c>
      <c r="P473" s="141" t="s">
        <v>630</v>
      </c>
      <c r="Q473" s="141"/>
      <c r="R473" s="276"/>
      <c r="S473" s="989"/>
      <c r="T473" s="237"/>
      <c r="U473" s="28"/>
      <c r="X473"/>
      <c r="Y473"/>
    </row>
    <row r="474" spans="1:25" ht="16.5" customHeight="1">
      <c r="A474" s="140">
        <v>466</v>
      </c>
      <c r="B474" s="141"/>
      <c r="C474" s="1186" t="s">
        <v>2566</v>
      </c>
      <c r="D474" s="1186" t="s">
        <v>107</v>
      </c>
      <c r="E474" s="1187" t="s">
        <v>3267</v>
      </c>
      <c r="F474" s="1188" t="s">
        <v>3339</v>
      </c>
      <c r="G474" s="1202" t="s">
        <v>525</v>
      </c>
      <c r="H474" s="1213" t="s">
        <v>91</v>
      </c>
      <c r="I474" s="144" t="s">
        <v>340</v>
      </c>
      <c r="J474" s="1221" t="s">
        <v>3384</v>
      </c>
      <c r="K474" s="1235" t="s">
        <v>160</v>
      </c>
      <c r="L474" s="1244" t="s">
        <v>3821</v>
      </c>
      <c r="M474" s="1168"/>
      <c r="N474" s="1149"/>
      <c r="O474" s="141" t="str">
        <f t="shared" si="8"/>
        <v xml:space="preserve">تواب  بغداد </v>
      </c>
      <c r="P474" s="141" t="s">
        <v>506</v>
      </c>
      <c r="Q474" s="141"/>
      <c r="R474" s="276"/>
      <c r="S474" s="989"/>
      <c r="T474" s="237"/>
      <c r="U474" s="28"/>
      <c r="X474"/>
      <c r="Y474"/>
    </row>
    <row r="475" spans="1:25" s="1157" customFormat="1" ht="16.5" customHeight="1">
      <c r="A475" s="140">
        <v>467</v>
      </c>
      <c r="B475" s="141"/>
      <c r="C475" s="1186" t="s">
        <v>2382</v>
      </c>
      <c r="D475" s="1186" t="s">
        <v>2790</v>
      </c>
      <c r="E475" s="1187" t="s">
        <v>3268</v>
      </c>
      <c r="F475" s="1188" t="s">
        <v>3339</v>
      </c>
      <c r="G475" s="1202" t="s">
        <v>525</v>
      </c>
      <c r="H475" s="1213" t="s">
        <v>96</v>
      </c>
      <c r="I475" s="144" t="s">
        <v>340</v>
      </c>
      <c r="J475" s="1221" t="s">
        <v>2173</v>
      </c>
      <c r="K475" s="1235" t="s">
        <v>1192</v>
      </c>
      <c r="L475" s="1244" t="s">
        <v>3822</v>
      </c>
      <c r="M475" s="1168"/>
      <c r="N475" s="1149"/>
      <c r="O475" s="141" t="str">
        <f t="shared" si="8"/>
        <v xml:space="preserve">تونسي  قادة </v>
      </c>
      <c r="P475" s="141" t="s">
        <v>632</v>
      </c>
      <c r="Q475" s="141"/>
      <c r="R475" s="276"/>
      <c r="S475" s="989"/>
      <c r="T475" s="237"/>
      <c r="U475" s="28"/>
      <c r="V475" s="28"/>
      <c r="W475" s="28"/>
    </row>
    <row r="476" spans="1:25" s="960" customFormat="1" ht="16.5" customHeight="1">
      <c r="A476" s="140">
        <v>468</v>
      </c>
      <c r="B476" s="141"/>
      <c r="C476" s="1186" t="s">
        <v>2461</v>
      </c>
      <c r="D476" s="1186" t="s">
        <v>2033</v>
      </c>
      <c r="E476" s="1187" t="s">
        <v>3269</v>
      </c>
      <c r="F476" s="1188" t="s">
        <v>3339</v>
      </c>
      <c r="G476" s="1202" t="s">
        <v>525</v>
      </c>
      <c r="H476" s="1213" t="s">
        <v>96</v>
      </c>
      <c r="I476" s="144" t="s">
        <v>340</v>
      </c>
      <c r="J476" s="1221" t="s">
        <v>2325</v>
      </c>
      <c r="K476" s="1235" t="s">
        <v>1192</v>
      </c>
      <c r="L476" s="1244" t="s">
        <v>3823</v>
      </c>
      <c r="M476" s="1168"/>
      <c r="N476" s="1149"/>
      <c r="O476" s="141" t="str">
        <f t="shared" si="8"/>
        <v xml:space="preserve">جبار  محمد </v>
      </c>
      <c r="P476" s="141" t="s">
        <v>506</v>
      </c>
      <c r="Q476" s="141"/>
      <c r="R476" s="276"/>
      <c r="S476" s="989"/>
      <c r="T476" s="237"/>
      <c r="U476" s="28"/>
      <c r="V476" s="28"/>
      <c r="W476" s="28"/>
    </row>
    <row r="477" spans="1:25" ht="16.5" customHeight="1">
      <c r="A477" s="140">
        <v>469</v>
      </c>
      <c r="B477" s="141"/>
      <c r="C477" s="1186" t="s">
        <v>2496</v>
      </c>
      <c r="D477" s="1186" t="s">
        <v>2791</v>
      </c>
      <c r="E477" s="1187" t="s">
        <v>3197</v>
      </c>
      <c r="F477" s="1188" t="s">
        <v>90</v>
      </c>
      <c r="G477" s="1202" t="s">
        <v>525</v>
      </c>
      <c r="H477" s="1213" t="s">
        <v>96</v>
      </c>
      <c r="I477" s="144" t="s">
        <v>340</v>
      </c>
      <c r="J477" s="1221" t="s">
        <v>2316</v>
      </c>
      <c r="K477" s="1235" t="s">
        <v>103</v>
      </c>
      <c r="L477" s="1244" t="s">
        <v>3513</v>
      </c>
      <c r="M477" s="1168"/>
      <c r="N477" s="1149"/>
      <c r="O477" s="141" t="str">
        <f t="shared" si="8"/>
        <v xml:space="preserve">خمسي  قدور </v>
      </c>
      <c r="P477" s="141" t="s">
        <v>506</v>
      </c>
      <c r="Q477" s="141"/>
      <c r="R477" s="276"/>
      <c r="S477" s="989"/>
      <c r="T477" s="237"/>
      <c r="U477" s="28"/>
      <c r="X477"/>
      <c r="Y477"/>
    </row>
    <row r="478" spans="1:25" s="818" customFormat="1" ht="16.5" customHeight="1">
      <c r="A478" s="140">
        <v>470</v>
      </c>
      <c r="B478" s="141"/>
      <c r="C478" s="1186" t="s">
        <v>2498</v>
      </c>
      <c r="D478" s="1186" t="s">
        <v>25</v>
      </c>
      <c r="E478" s="1187" t="s">
        <v>3270</v>
      </c>
      <c r="F478" s="1188" t="s">
        <v>670</v>
      </c>
      <c r="G478" s="1202" t="s">
        <v>525</v>
      </c>
      <c r="H478" s="1213" t="s">
        <v>91</v>
      </c>
      <c r="I478" s="144" t="s">
        <v>340</v>
      </c>
      <c r="J478" s="1221" t="s">
        <v>3371</v>
      </c>
      <c r="K478" s="1235" t="s">
        <v>103</v>
      </c>
      <c r="L478" s="1244" t="s">
        <v>3824</v>
      </c>
      <c r="M478" s="1168"/>
      <c r="N478" s="1149"/>
      <c r="O478" s="141" t="str">
        <f t="shared" si="8"/>
        <v xml:space="preserve">دريسي  علي </v>
      </c>
      <c r="P478" s="141" t="s">
        <v>630</v>
      </c>
      <c r="Q478" s="141"/>
      <c r="R478" s="276"/>
      <c r="S478" s="990"/>
      <c r="T478" s="237"/>
      <c r="U478" s="28"/>
      <c r="V478" s="28"/>
      <c r="W478" s="28"/>
    </row>
    <row r="479" spans="1:25" ht="16.5" customHeight="1">
      <c r="A479" s="140">
        <v>471</v>
      </c>
      <c r="B479" s="141"/>
      <c r="C479" s="1186" t="s">
        <v>2778</v>
      </c>
      <c r="D479" s="1186" t="s">
        <v>101</v>
      </c>
      <c r="E479" s="1187" t="s">
        <v>3254</v>
      </c>
      <c r="F479" s="1188" t="s">
        <v>3339</v>
      </c>
      <c r="G479" s="1202" t="s">
        <v>525</v>
      </c>
      <c r="H479" s="1213" t="s">
        <v>96</v>
      </c>
      <c r="I479" s="144" t="s">
        <v>340</v>
      </c>
      <c r="J479" s="1221" t="s">
        <v>3390</v>
      </c>
      <c r="K479" s="1235" t="s">
        <v>160</v>
      </c>
      <c r="L479" s="1244" t="s">
        <v>3811</v>
      </c>
      <c r="M479" s="1168"/>
      <c r="N479" s="1149"/>
      <c r="O479" s="141" t="str">
        <f t="shared" si="8"/>
        <v xml:space="preserve">عبد النبي  حبيب </v>
      </c>
      <c r="P479" s="141" t="s">
        <v>507</v>
      </c>
      <c r="Q479" s="141"/>
      <c r="R479" s="276"/>
      <c r="S479" s="754"/>
      <c r="T479" s="237"/>
      <c r="U479" s="28"/>
      <c r="V479"/>
      <c r="W479"/>
      <c r="X479"/>
      <c r="Y479"/>
    </row>
    <row r="480" spans="1:25" s="818" customFormat="1" ht="16.5" customHeight="1">
      <c r="A480" s="140">
        <v>472</v>
      </c>
      <c r="B480" s="141"/>
      <c r="C480" s="1186" t="s">
        <v>2404</v>
      </c>
      <c r="D480" s="1186" t="s">
        <v>2792</v>
      </c>
      <c r="E480" s="1187" t="s">
        <v>3271</v>
      </c>
      <c r="F480" s="1188" t="s">
        <v>133</v>
      </c>
      <c r="G480" s="1202" t="s">
        <v>525</v>
      </c>
      <c r="H480" s="1213" t="s">
        <v>96</v>
      </c>
      <c r="I480" s="144" t="s">
        <v>340</v>
      </c>
      <c r="J480" s="1221" t="s">
        <v>2325</v>
      </c>
      <c r="K480" s="1235" t="s">
        <v>128</v>
      </c>
      <c r="L480" s="1244" t="s">
        <v>3825</v>
      </c>
      <c r="M480" s="1168"/>
      <c r="N480" s="1149"/>
      <c r="O480" s="141" t="str">
        <f t="shared" si="7"/>
        <v xml:space="preserve">عبدالي  محمد </v>
      </c>
      <c r="P480" s="141" t="s">
        <v>507</v>
      </c>
      <c r="Q480" s="141"/>
      <c r="R480" s="276"/>
      <c r="S480" s="754"/>
      <c r="T480" s="237"/>
      <c r="U480" s="28"/>
    </row>
    <row r="481" spans="1:25" s="969" customFormat="1" ht="16.5" customHeight="1">
      <c r="A481" s="140">
        <v>473</v>
      </c>
      <c r="B481" s="141"/>
      <c r="C481" s="1186" t="s">
        <v>2765</v>
      </c>
      <c r="D481" s="1186" t="s">
        <v>38</v>
      </c>
      <c r="E481" s="1187" t="s">
        <v>3272</v>
      </c>
      <c r="F481" s="1188" t="s">
        <v>90</v>
      </c>
      <c r="G481" s="1202" t="s">
        <v>525</v>
      </c>
      <c r="H481" s="1213" t="s">
        <v>91</v>
      </c>
      <c r="I481" s="144" t="s">
        <v>340</v>
      </c>
      <c r="J481" s="1221" t="s">
        <v>3372</v>
      </c>
      <c r="K481" s="1235" t="s">
        <v>2321</v>
      </c>
      <c r="L481" s="1244" t="s">
        <v>3826</v>
      </c>
      <c r="M481" s="1168"/>
      <c r="N481" s="1149"/>
      <c r="O481" s="141" t="str">
        <f t="shared" si="7"/>
        <v xml:space="preserve">غاليوي  لخضر </v>
      </c>
      <c r="P481" s="141" t="s">
        <v>630</v>
      </c>
      <c r="Q481" s="141"/>
      <c r="R481" s="276"/>
      <c r="S481" s="754"/>
      <c r="T481" s="237"/>
      <c r="U481" s="28"/>
    </row>
    <row r="482" spans="1:25" s="827" customFormat="1" ht="16.5" customHeight="1">
      <c r="A482" s="140">
        <v>474</v>
      </c>
      <c r="B482" s="141"/>
      <c r="C482" s="1186" t="s">
        <v>63</v>
      </c>
      <c r="D482" s="1186" t="s">
        <v>23</v>
      </c>
      <c r="E482" s="1187" t="s">
        <v>3273</v>
      </c>
      <c r="F482" s="1188" t="s">
        <v>90</v>
      </c>
      <c r="G482" s="1202" t="s">
        <v>525</v>
      </c>
      <c r="H482" s="1213" t="s">
        <v>91</v>
      </c>
      <c r="I482" s="144" t="s">
        <v>340</v>
      </c>
      <c r="J482" s="1221" t="s">
        <v>3383</v>
      </c>
      <c r="K482" s="1235" t="s">
        <v>159</v>
      </c>
      <c r="L482" s="1244" t="s">
        <v>3827</v>
      </c>
      <c r="M482" s="1168"/>
      <c r="N482" s="1149"/>
      <c r="O482" s="141" t="str">
        <f t="shared" si="7"/>
        <v xml:space="preserve">لكحل  بومدين </v>
      </c>
      <c r="P482" s="141" t="s">
        <v>507</v>
      </c>
      <c r="Q482" s="141"/>
      <c r="R482" s="276"/>
      <c r="S482" s="754"/>
      <c r="T482" s="237"/>
      <c r="U482" s="28"/>
    </row>
    <row r="483" spans="1:25" s="820" customFormat="1" ht="16.5" customHeight="1">
      <c r="A483" s="140">
        <v>475</v>
      </c>
      <c r="B483" s="141"/>
      <c r="C483" s="1186" t="s">
        <v>145</v>
      </c>
      <c r="D483" s="1186" t="s">
        <v>120</v>
      </c>
      <c r="E483" s="1187" t="s">
        <v>3274</v>
      </c>
      <c r="F483" s="1188" t="s">
        <v>90</v>
      </c>
      <c r="G483" s="1202" t="s">
        <v>525</v>
      </c>
      <c r="H483" s="1213" t="s">
        <v>91</v>
      </c>
      <c r="I483" s="144" t="s">
        <v>340</v>
      </c>
      <c r="J483" s="1221" t="s">
        <v>2329</v>
      </c>
      <c r="K483" s="1235" t="s">
        <v>111</v>
      </c>
      <c r="L483" s="1244" t="s">
        <v>3828</v>
      </c>
      <c r="M483" s="1168"/>
      <c r="N483" s="1149"/>
      <c r="O483" s="141" t="str">
        <f t="shared" si="7"/>
        <v xml:space="preserve">محال  احمد </v>
      </c>
      <c r="P483" s="141" t="s">
        <v>507</v>
      </c>
      <c r="Q483" s="141"/>
      <c r="R483" s="276"/>
      <c r="S483" s="754"/>
      <c r="T483" s="237"/>
      <c r="U483" s="28"/>
    </row>
    <row r="484" spans="1:25" ht="16.5" customHeight="1">
      <c r="A484" s="140">
        <v>476</v>
      </c>
      <c r="B484" s="141"/>
      <c r="C484" s="1186" t="s">
        <v>2713</v>
      </c>
      <c r="D484" s="1186" t="s">
        <v>146</v>
      </c>
      <c r="E484" s="1187" t="s">
        <v>3276</v>
      </c>
      <c r="F484" s="1188" t="s">
        <v>3338</v>
      </c>
      <c r="G484" s="1202" t="s">
        <v>525</v>
      </c>
      <c r="H484" s="1213" t="s">
        <v>96</v>
      </c>
      <c r="I484" s="144" t="s">
        <v>340</v>
      </c>
      <c r="J484" s="1221" t="s">
        <v>2184</v>
      </c>
      <c r="K484" s="1235" t="s">
        <v>128</v>
      </c>
      <c r="L484" s="1244" t="s">
        <v>3829</v>
      </c>
      <c r="M484" s="1168"/>
      <c r="N484" s="1149"/>
      <c r="O484" s="141" t="str">
        <f t="shared" si="7"/>
        <v xml:space="preserve">مدوري  مهاجي </v>
      </c>
      <c r="P484" s="141" t="s">
        <v>507</v>
      </c>
      <c r="Q484" s="141"/>
      <c r="R484" s="276"/>
      <c r="S484" s="989"/>
      <c r="T484" s="237"/>
      <c r="U484" s="28"/>
      <c r="V484"/>
      <c r="W484"/>
      <c r="X484"/>
      <c r="Y484"/>
    </row>
    <row r="485" spans="1:25" ht="16.5" customHeight="1">
      <c r="A485" s="140">
        <v>477</v>
      </c>
      <c r="B485" s="141"/>
      <c r="C485" s="1186" t="s">
        <v>2794</v>
      </c>
      <c r="D485" s="1186" t="s">
        <v>2795</v>
      </c>
      <c r="E485" s="1187" t="s">
        <v>3277</v>
      </c>
      <c r="F485" s="1188" t="s">
        <v>3347</v>
      </c>
      <c r="G485" s="1202" t="s">
        <v>525</v>
      </c>
      <c r="H485" s="1213" t="s">
        <v>91</v>
      </c>
      <c r="I485" s="144" t="s">
        <v>340</v>
      </c>
      <c r="J485" s="1221" t="s">
        <v>3432</v>
      </c>
      <c r="K485" s="1240" t="s">
        <v>102</v>
      </c>
      <c r="L485" s="1244" t="s">
        <v>494</v>
      </c>
      <c r="M485" s="1168"/>
      <c r="N485" s="1149"/>
      <c r="O485" s="141" t="str">
        <f t="shared" si="7"/>
        <v xml:space="preserve">مرزوق  نور الدين </v>
      </c>
      <c r="P485" s="141" t="s">
        <v>507</v>
      </c>
      <c r="Q485" s="141"/>
      <c r="R485" s="276"/>
      <c r="S485" s="989"/>
      <c r="T485" s="417"/>
      <c r="U485" s="28"/>
      <c r="V485"/>
      <c r="W485"/>
      <c r="X485"/>
      <c r="Y485"/>
    </row>
    <row r="486" spans="1:25" ht="16.5" customHeight="1">
      <c r="A486" s="140">
        <v>478</v>
      </c>
      <c r="B486" s="141"/>
      <c r="C486" s="1186" t="s">
        <v>2793</v>
      </c>
      <c r="D486" s="1186" t="s">
        <v>101</v>
      </c>
      <c r="E486" s="1187" t="s">
        <v>3275</v>
      </c>
      <c r="F486" s="1188" t="s">
        <v>3339</v>
      </c>
      <c r="G486" s="1202" t="s">
        <v>525</v>
      </c>
      <c r="H486" s="1213" t="s">
        <v>96</v>
      </c>
      <c r="I486" s="144" t="s">
        <v>340</v>
      </c>
      <c r="J486" s="1221" t="s">
        <v>3432</v>
      </c>
      <c r="K486" s="1235" t="s">
        <v>111</v>
      </c>
      <c r="L486" s="1244" t="s">
        <v>494</v>
      </c>
      <c r="M486" s="1168"/>
      <c r="N486" s="1149"/>
      <c r="O486" s="141" t="str">
        <f t="shared" si="7"/>
        <v xml:space="preserve">مشتت  نور الدين </v>
      </c>
      <c r="P486" s="141" t="s">
        <v>507</v>
      </c>
      <c r="Q486" s="141"/>
      <c r="R486" s="276"/>
      <c r="S486" s="989"/>
      <c r="T486" s="404"/>
      <c r="U486" s="28"/>
      <c r="V486"/>
      <c r="W486"/>
      <c r="X486"/>
      <c r="Y486"/>
    </row>
    <row r="487" spans="1:25" ht="16.5" customHeight="1">
      <c r="A487" s="140">
        <v>479</v>
      </c>
      <c r="B487" s="141"/>
      <c r="C487" s="1186" t="s">
        <v>190</v>
      </c>
      <c r="D487" s="1186" t="s">
        <v>2627</v>
      </c>
      <c r="E487" s="1187" t="s">
        <v>3278</v>
      </c>
      <c r="F487" s="1188" t="s">
        <v>3339</v>
      </c>
      <c r="G487" s="1202" t="s">
        <v>525</v>
      </c>
      <c r="H487" s="1213" t="s">
        <v>96</v>
      </c>
      <c r="I487" s="144" t="s">
        <v>340</v>
      </c>
      <c r="J487" s="1221" t="s">
        <v>3374</v>
      </c>
      <c r="K487" s="1235" t="s">
        <v>103</v>
      </c>
      <c r="L487" s="1244" t="s">
        <v>3830</v>
      </c>
      <c r="M487" s="1168"/>
      <c r="N487" s="1149"/>
      <c r="O487" s="141" t="str">
        <f t="shared" si="7"/>
        <v xml:space="preserve">معرف  مختار </v>
      </c>
      <c r="P487" s="141" t="s">
        <v>630</v>
      </c>
      <c r="Q487" s="141"/>
      <c r="R487" s="276"/>
      <c r="S487" s="989"/>
      <c r="T487" s="237"/>
      <c r="U487" s="28"/>
      <c r="V487"/>
      <c r="W487"/>
      <c r="X487"/>
      <c r="Y487"/>
    </row>
    <row r="488" spans="1:25" ht="16.5" customHeight="1">
      <c r="A488" s="140">
        <v>480</v>
      </c>
      <c r="B488" s="141"/>
      <c r="C488" s="1186" t="s">
        <v>185</v>
      </c>
      <c r="D488" s="1186" t="s">
        <v>2796</v>
      </c>
      <c r="E488" s="1187" t="s">
        <v>3279</v>
      </c>
      <c r="F488" s="1188" t="s">
        <v>90</v>
      </c>
      <c r="G488" s="1202" t="s">
        <v>525</v>
      </c>
      <c r="H488" s="1213" t="s">
        <v>91</v>
      </c>
      <c r="I488" s="144" t="s">
        <v>340</v>
      </c>
      <c r="J488" s="1221" t="s">
        <v>494</v>
      </c>
      <c r="K488" s="1235" t="s">
        <v>805</v>
      </c>
      <c r="L488" s="1244" t="s">
        <v>494</v>
      </c>
      <c r="M488" s="1168"/>
      <c r="N488" s="1149"/>
      <c r="O488" s="141" t="str">
        <f t="shared" si="7"/>
        <v xml:space="preserve">نوالة   </v>
      </c>
      <c r="P488" s="141" t="s">
        <v>507</v>
      </c>
      <c r="Q488" s="141"/>
      <c r="R488" s="276"/>
      <c r="S488" s="989"/>
      <c r="T488" s="237"/>
      <c r="U488" s="28"/>
      <c r="V488"/>
      <c r="W488"/>
      <c r="X488"/>
      <c r="Y488"/>
    </row>
    <row r="489" spans="1:25" ht="16.5" customHeight="1">
      <c r="A489" s="140">
        <v>481</v>
      </c>
      <c r="B489" s="141"/>
      <c r="C489" s="1186" t="s">
        <v>879</v>
      </c>
      <c r="D489" s="1186" t="s">
        <v>920</v>
      </c>
      <c r="E489" s="1187" t="s">
        <v>3281</v>
      </c>
      <c r="F489" s="1188" t="s">
        <v>90</v>
      </c>
      <c r="G489" s="1202" t="s">
        <v>3889</v>
      </c>
      <c r="H489" s="1212" t="s">
        <v>1458</v>
      </c>
      <c r="I489" s="144" t="s">
        <v>340</v>
      </c>
      <c r="J489" s="1221" t="s">
        <v>3374</v>
      </c>
      <c r="K489" s="1235" t="s">
        <v>111</v>
      </c>
      <c r="L489" s="1244" t="s">
        <v>3706</v>
      </c>
      <c r="M489" s="1168"/>
      <c r="N489" s="1149"/>
      <c r="O489" s="141" t="str">
        <f t="shared" si="7"/>
        <v xml:space="preserve">بسباس  مختار </v>
      </c>
      <c r="P489" s="141" t="s">
        <v>630</v>
      </c>
      <c r="Q489" s="141"/>
      <c r="R489" s="276"/>
      <c r="S489" s="989"/>
      <c r="T489" s="404"/>
      <c r="U489" s="28"/>
      <c r="V489"/>
      <c r="W489"/>
      <c r="X489"/>
      <c r="Y489"/>
    </row>
    <row r="490" spans="1:25" ht="16.5" customHeight="1">
      <c r="A490" s="140">
        <v>482</v>
      </c>
      <c r="B490" s="141"/>
      <c r="C490" s="1186" t="s">
        <v>2587</v>
      </c>
      <c r="D490" s="1186" t="s">
        <v>2799</v>
      </c>
      <c r="E490" s="1187" t="s">
        <v>3130</v>
      </c>
      <c r="F490" s="1188" t="s">
        <v>90</v>
      </c>
      <c r="G490" s="1202" t="s">
        <v>3889</v>
      </c>
      <c r="H490" s="1212" t="s">
        <v>1459</v>
      </c>
      <c r="I490" s="144" t="s">
        <v>340</v>
      </c>
      <c r="J490" s="1221" t="s">
        <v>3371</v>
      </c>
      <c r="K490" s="1235" t="s">
        <v>111</v>
      </c>
      <c r="L490" s="1244" t="s">
        <v>494</v>
      </c>
      <c r="M490" s="1168"/>
      <c r="N490" s="1149"/>
      <c r="O490" s="141" t="str">
        <f t="shared" si="7"/>
        <v xml:space="preserve">بومعزة  علي </v>
      </c>
      <c r="P490" s="141" t="s">
        <v>507</v>
      </c>
      <c r="Q490" s="141"/>
      <c r="R490" s="276"/>
      <c r="S490" s="989"/>
      <c r="T490" s="259"/>
      <c r="U490" s="28"/>
      <c r="V490"/>
      <c r="W490"/>
      <c r="X490"/>
      <c r="Y490"/>
    </row>
    <row r="491" spans="1:25" ht="16.5" customHeight="1">
      <c r="A491" s="140">
        <v>483</v>
      </c>
      <c r="B491" s="141"/>
      <c r="C491" s="1186" t="s">
        <v>2831</v>
      </c>
      <c r="D491" s="1186" t="s">
        <v>1103</v>
      </c>
      <c r="E491" s="1192">
        <v>40166</v>
      </c>
      <c r="F491" s="1188"/>
      <c r="G491" s="1202" t="s">
        <v>3889</v>
      </c>
      <c r="H491" s="1212" t="s">
        <v>1459</v>
      </c>
      <c r="I491" s="144" t="s">
        <v>341</v>
      </c>
      <c r="J491" s="1221"/>
      <c r="K491" s="1238"/>
      <c r="L491" s="1244" t="s">
        <v>494</v>
      </c>
      <c r="M491" s="1168"/>
      <c r="N491" s="1149"/>
      <c r="O491" s="141" t="str">
        <f t="shared" si="7"/>
        <v xml:space="preserve">رحو   </v>
      </c>
      <c r="P491" s="141" t="s">
        <v>507</v>
      </c>
      <c r="Q491" s="141"/>
      <c r="R491" s="276"/>
      <c r="S491" s="989"/>
      <c r="T491" s="237"/>
      <c r="U491" s="28"/>
      <c r="V491"/>
      <c r="W491"/>
      <c r="X491"/>
      <c r="Y491"/>
    </row>
    <row r="492" spans="1:25" ht="16.5" customHeight="1">
      <c r="A492" s="140">
        <v>484</v>
      </c>
      <c r="B492" s="141"/>
      <c r="C492" s="1186" t="s">
        <v>2321</v>
      </c>
      <c r="D492" s="1186" t="s">
        <v>2346</v>
      </c>
      <c r="E492" s="1192">
        <v>40328</v>
      </c>
      <c r="F492" s="1188"/>
      <c r="G492" s="1202" t="s">
        <v>3889</v>
      </c>
      <c r="H492" s="1212" t="s">
        <v>1458</v>
      </c>
      <c r="I492" s="144" t="s">
        <v>341</v>
      </c>
      <c r="J492" s="1221"/>
      <c r="K492" s="1235"/>
      <c r="L492" s="1244"/>
      <c r="M492" s="1168"/>
      <c r="N492" s="1149"/>
      <c r="O492" s="141" t="str">
        <f t="shared" si="7"/>
        <v xml:space="preserve">طبيب  </v>
      </c>
      <c r="P492" s="141" t="s">
        <v>507</v>
      </c>
      <c r="Q492" s="141"/>
      <c r="R492" s="276"/>
      <c r="S492" s="989"/>
      <c r="T492" s="237"/>
      <c r="U492" s="28"/>
      <c r="V492"/>
      <c r="W492"/>
      <c r="X492"/>
      <c r="Y492"/>
    </row>
    <row r="493" spans="1:25" ht="16.5" customHeight="1">
      <c r="A493" s="140">
        <v>485</v>
      </c>
      <c r="B493" s="141"/>
      <c r="C493" s="1186" t="s">
        <v>2800</v>
      </c>
      <c r="D493" s="1186" t="s">
        <v>826</v>
      </c>
      <c r="E493" s="1187" t="s">
        <v>3283</v>
      </c>
      <c r="F493" s="1188" t="s">
        <v>90</v>
      </c>
      <c r="G493" s="1202" t="s">
        <v>3889</v>
      </c>
      <c r="H493" s="1208" t="s">
        <v>1458</v>
      </c>
      <c r="I493" s="144" t="s">
        <v>341</v>
      </c>
      <c r="J493" s="1221"/>
      <c r="K493" s="1235"/>
      <c r="L493" s="1244"/>
      <c r="M493" s="1168"/>
      <c r="N493" s="1149"/>
      <c r="O493" s="141" t="str">
        <f t="shared" si="7"/>
        <v xml:space="preserve">عليوان  </v>
      </c>
      <c r="P493" s="141" t="s">
        <v>507</v>
      </c>
      <c r="Q493" s="141"/>
      <c r="R493" s="276"/>
      <c r="S493" s="989"/>
      <c r="T493" s="404"/>
      <c r="U493" s="28"/>
      <c r="V493"/>
      <c r="W493"/>
      <c r="X493"/>
      <c r="Y493"/>
    </row>
    <row r="494" spans="1:25" ht="16.5" customHeight="1">
      <c r="A494" s="140">
        <v>486</v>
      </c>
      <c r="B494" s="141"/>
      <c r="C494" s="1186" t="s">
        <v>2478</v>
      </c>
      <c r="D494" s="1186" t="s">
        <v>2475</v>
      </c>
      <c r="E494" s="1187" t="s">
        <v>3121</v>
      </c>
      <c r="F494" s="1188" t="s">
        <v>3338</v>
      </c>
      <c r="G494" s="1202" t="s">
        <v>3889</v>
      </c>
      <c r="H494" s="1208" t="s">
        <v>1458</v>
      </c>
      <c r="I494" s="144" t="s">
        <v>341</v>
      </c>
      <c r="J494" s="1221" t="s">
        <v>3385</v>
      </c>
      <c r="K494" s="1235" t="s">
        <v>103</v>
      </c>
      <c r="L494" s="1244" t="s">
        <v>494</v>
      </c>
      <c r="M494" s="1168"/>
      <c r="N494" s="1149"/>
      <c r="O494" s="141" t="str">
        <f t="shared" si="7"/>
        <v xml:space="preserve">ميلودي  بشير </v>
      </c>
      <c r="P494" s="141" t="s">
        <v>507</v>
      </c>
      <c r="Q494" s="141"/>
      <c r="R494" s="276"/>
      <c r="S494" s="989"/>
      <c r="T494" s="237"/>
      <c r="U494" s="28"/>
      <c r="V494"/>
      <c r="W494"/>
      <c r="X494"/>
      <c r="Y494"/>
    </row>
    <row r="495" spans="1:25" ht="16.5" customHeight="1">
      <c r="A495" s="140">
        <v>487</v>
      </c>
      <c r="B495" s="141"/>
      <c r="C495" s="1186" t="s">
        <v>2371</v>
      </c>
      <c r="D495" s="1186" t="s">
        <v>2802</v>
      </c>
      <c r="E495" s="1187" t="s">
        <v>3284</v>
      </c>
      <c r="F495" s="1188" t="s">
        <v>3347</v>
      </c>
      <c r="G495" s="1202" t="s">
        <v>3889</v>
      </c>
      <c r="H495" s="1213" t="s">
        <v>96</v>
      </c>
      <c r="I495" s="144" t="s">
        <v>341</v>
      </c>
      <c r="J495" s="1221" t="s">
        <v>2331</v>
      </c>
      <c r="K495" s="1235" t="s">
        <v>805</v>
      </c>
      <c r="L495" s="1244" t="s">
        <v>3818</v>
      </c>
      <c r="M495" s="1168"/>
      <c r="N495" s="1149"/>
      <c r="O495" s="141" t="str">
        <f t="shared" si="7"/>
        <v xml:space="preserve">أبري  مصطفى </v>
      </c>
      <c r="P495" s="141" t="s">
        <v>507</v>
      </c>
      <c r="Q495" s="141"/>
      <c r="R495" s="276"/>
      <c r="S495" s="989"/>
      <c r="T495" s="671" t="s">
        <v>628</v>
      </c>
      <c r="U495" s="28"/>
      <c r="V495"/>
      <c r="W495"/>
      <c r="X495"/>
      <c r="Y495"/>
    </row>
    <row r="496" spans="1:25" ht="16.5" customHeight="1">
      <c r="A496" s="140">
        <v>488</v>
      </c>
      <c r="B496" s="141"/>
      <c r="C496" s="1186" t="s">
        <v>2487</v>
      </c>
      <c r="D496" s="1186" t="s">
        <v>77</v>
      </c>
      <c r="E496" s="1187" t="s">
        <v>3154</v>
      </c>
      <c r="F496" s="1188" t="s">
        <v>90</v>
      </c>
      <c r="G496" s="1202" t="s">
        <v>3889</v>
      </c>
      <c r="H496" s="1213" t="s">
        <v>96</v>
      </c>
      <c r="I496" s="144" t="s">
        <v>341</v>
      </c>
      <c r="J496" s="1221" t="s">
        <v>2325</v>
      </c>
      <c r="K496" s="1235" t="s">
        <v>113</v>
      </c>
      <c r="L496" s="1244" t="s">
        <v>494</v>
      </c>
      <c r="M496" s="1168"/>
      <c r="N496" s="1149"/>
      <c r="O496" s="141" t="str">
        <f t="shared" si="7"/>
        <v xml:space="preserve">النميش  محمد </v>
      </c>
      <c r="P496" s="141" t="s">
        <v>507</v>
      </c>
      <c r="Q496" s="141"/>
      <c r="R496" s="276"/>
      <c r="S496" s="989"/>
      <c r="T496" s="671"/>
      <c r="U496" s="28"/>
      <c r="V496"/>
      <c r="W496"/>
      <c r="X496"/>
      <c r="Y496"/>
    </row>
    <row r="497" spans="1:25" ht="16.5" customHeight="1">
      <c r="A497" s="140">
        <v>489</v>
      </c>
      <c r="B497" s="141"/>
      <c r="C497" s="1186" t="s">
        <v>2803</v>
      </c>
      <c r="D497" s="1186" t="s">
        <v>189</v>
      </c>
      <c r="E497" s="1187" t="s">
        <v>3285</v>
      </c>
      <c r="F497" s="1188" t="s">
        <v>90</v>
      </c>
      <c r="G497" s="1202" t="s">
        <v>3889</v>
      </c>
      <c r="H497" s="1213" t="s">
        <v>96</v>
      </c>
      <c r="I497" s="144" t="s">
        <v>341</v>
      </c>
      <c r="J497" s="1221" t="s">
        <v>2332</v>
      </c>
      <c r="K497" s="1238" t="s">
        <v>3484</v>
      </c>
      <c r="L497" s="1244" t="s">
        <v>494</v>
      </c>
      <c r="M497" s="1168"/>
      <c r="N497" s="1149"/>
      <c r="O497" s="141" t="str">
        <f t="shared" si="7"/>
        <v xml:space="preserve">بستون شيباني  عبد القادر </v>
      </c>
      <c r="P497" s="141" t="s">
        <v>507</v>
      </c>
      <c r="Q497" s="141"/>
      <c r="R497" s="276"/>
      <c r="S497" s="989"/>
      <c r="T497" s="671" t="s">
        <v>628</v>
      </c>
      <c r="U497" s="28"/>
      <c r="V497"/>
      <c r="W497"/>
      <c r="X497"/>
      <c r="Y497"/>
    </row>
    <row r="498" spans="1:25" ht="16.5" customHeight="1">
      <c r="A498" s="140">
        <v>490</v>
      </c>
      <c r="B498" s="141"/>
      <c r="C498" s="1186" t="s">
        <v>2616</v>
      </c>
      <c r="D498" s="1186" t="s">
        <v>2303</v>
      </c>
      <c r="E498" s="1187" t="s">
        <v>3286</v>
      </c>
      <c r="F498" s="1188" t="s">
        <v>897</v>
      </c>
      <c r="G498" s="1202" t="s">
        <v>3889</v>
      </c>
      <c r="H498" s="1213" t="s">
        <v>91</v>
      </c>
      <c r="I498" s="144" t="s">
        <v>340</v>
      </c>
      <c r="J498" s="1221" t="s">
        <v>2184</v>
      </c>
      <c r="K498" s="1238" t="s">
        <v>113</v>
      </c>
      <c r="L498" s="1244" t="s">
        <v>3833</v>
      </c>
      <c r="M498" s="1168"/>
      <c r="N498" s="1149"/>
      <c r="O498" s="141" t="str">
        <f t="shared" si="7"/>
        <v xml:space="preserve">بلجريوات  مهاجي </v>
      </c>
      <c r="P498" s="141" t="s">
        <v>630</v>
      </c>
      <c r="Q498" s="141"/>
      <c r="R498" s="276"/>
      <c r="S498" s="989"/>
      <c r="T498" s="671" t="s">
        <v>628</v>
      </c>
      <c r="U498" s="28"/>
      <c r="W498"/>
      <c r="X498"/>
      <c r="Y498"/>
    </row>
    <row r="499" spans="1:25" ht="16.5" customHeight="1">
      <c r="A499" s="140">
        <v>491</v>
      </c>
      <c r="B499" s="141"/>
      <c r="C499" s="1186" t="s">
        <v>2804</v>
      </c>
      <c r="D499" s="1186" t="s">
        <v>2805</v>
      </c>
      <c r="E499" s="1187" t="s">
        <v>3287</v>
      </c>
      <c r="F499" s="1188" t="s">
        <v>133</v>
      </c>
      <c r="G499" s="1202" t="s">
        <v>3889</v>
      </c>
      <c r="H499" s="1213" t="s">
        <v>96</v>
      </c>
      <c r="I499" s="144" t="s">
        <v>340</v>
      </c>
      <c r="J499" s="1221"/>
      <c r="K499" s="1238" t="s">
        <v>3485</v>
      </c>
      <c r="L499" s="1244"/>
      <c r="M499" s="1168"/>
      <c r="N499" s="1149"/>
      <c r="O499" s="141" t="str">
        <f t="shared" si="7"/>
        <v xml:space="preserve">بلحاجي  </v>
      </c>
      <c r="P499" s="141" t="s">
        <v>630</v>
      </c>
      <c r="Q499" s="141"/>
      <c r="R499" s="276"/>
      <c r="S499" s="989"/>
      <c r="T499" s="671"/>
      <c r="U499" s="28"/>
      <c r="W499"/>
      <c r="X499"/>
      <c r="Y499"/>
    </row>
    <row r="500" spans="1:25" ht="16.5" customHeight="1">
      <c r="A500" s="140">
        <v>492</v>
      </c>
      <c r="B500" s="141"/>
      <c r="C500" s="1186" t="s">
        <v>2806</v>
      </c>
      <c r="D500" s="1186" t="s">
        <v>2807</v>
      </c>
      <c r="E500" s="1187" t="s">
        <v>3288</v>
      </c>
      <c r="F500" s="1188" t="s">
        <v>90</v>
      </c>
      <c r="G500" s="1202" t="s">
        <v>3889</v>
      </c>
      <c r="H500" s="1213" t="s">
        <v>91</v>
      </c>
      <c r="I500" s="144" t="s">
        <v>340</v>
      </c>
      <c r="J500" s="1221" t="s">
        <v>3391</v>
      </c>
      <c r="K500" s="1238" t="s">
        <v>3485</v>
      </c>
      <c r="L500" s="1244" t="s">
        <v>3834</v>
      </c>
      <c r="M500" s="1168"/>
      <c r="N500" s="1149"/>
      <c r="O500" s="141" t="str">
        <f t="shared" si="7"/>
        <v xml:space="preserve">بلقادي  طيب </v>
      </c>
      <c r="P500" s="141" t="s">
        <v>507</v>
      </c>
      <c r="Q500" s="141"/>
      <c r="R500" s="144"/>
      <c r="S500" s="989"/>
      <c r="T500" s="237"/>
      <c r="U500" s="28"/>
      <c r="W500"/>
      <c r="X500"/>
      <c r="Y500"/>
    </row>
    <row r="501" spans="1:25" s="845" customFormat="1" ht="16.5" customHeight="1">
      <c r="A501" s="140">
        <v>493</v>
      </c>
      <c r="B501" s="141"/>
      <c r="C501" s="1186" t="s">
        <v>1077</v>
      </c>
      <c r="D501" s="1186" t="s">
        <v>2798</v>
      </c>
      <c r="E501" s="1187" t="s">
        <v>2923</v>
      </c>
      <c r="F501" s="1188" t="s">
        <v>3339</v>
      </c>
      <c r="G501" s="1202" t="s">
        <v>3889</v>
      </c>
      <c r="H501" s="1213" t="s">
        <v>91</v>
      </c>
      <c r="I501" s="144" t="s">
        <v>340</v>
      </c>
      <c r="J501" s="1221" t="s">
        <v>2171</v>
      </c>
      <c r="K501" s="1235" t="s">
        <v>805</v>
      </c>
      <c r="L501" s="1244" t="s">
        <v>3831</v>
      </c>
      <c r="M501" s="1168"/>
      <c r="N501" s="1149"/>
      <c r="O501" s="141" t="str">
        <f t="shared" si="7"/>
        <v xml:space="preserve">بن قانة  بن عتو </v>
      </c>
      <c r="P501" s="141" t="s">
        <v>630</v>
      </c>
      <c r="Q501" s="141"/>
      <c r="R501" s="275"/>
      <c r="S501" s="989"/>
      <c r="T501" s="404"/>
      <c r="U501" s="28"/>
      <c r="V501" s="28"/>
    </row>
    <row r="502" spans="1:25" ht="16.5" customHeight="1">
      <c r="A502" s="140">
        <v>494</v>
      </c>
      <c r="B502" s="141"/>
      <c r="C502" s="1186" t="s">
        <v>2396</v>
      </c>
      <c r="D502" s="1186" t="s">
        <v>37</v>
      </c>
      <c r="E502" s="1187" t="s">
        <v>2933</v>
      </c>
      <c r="F502" s="1188" t="s">
        <v>90</v>
      </c>
      <c r="G502" s="1202" t="s">
        <v>3889</v>
      </c>
      <c r="H502" s="1213" t="s">
        <v>91</v>
      </c>
      <c r="I502" s="144" t="s">
        <v>340</v>
      </c>
      <c r="J502" s="1221" t="s">
        <v>3452</v>
      </c>
      <c r="K502" s="1238"/>
      <c r="L502" s="1244" t="s">
        <v>3835</v>
      </c>
      <c r="M502" s="1168"/>
      <c r="N502" s="1149"/>
      <c r="O502" s="141" t="str">
        <f t="shared" si="7"/>
        <v xml:space="preserve">بن مايسة  مراجي </v>
      </c>
      <c r="P502" s="141" t="s">
        <v>507</v>
      </c>
      <c r="Q502" s="141"/>
      <c r="R502" s="276"/>
      <c r="S502" s="989"/>
      <c r="T502" s="671" t="s">
        <v>628</v>
      </c>
      <c r="U502" s="28"/>
      <c r="V502" s="230" t="s">
        <v>606</v>
      </c>
      <c r="W502"/>
      <c r="X502"/>
      <c r="Y502"/>
    </row>
    <row r="503" spans="1:25" ht="16.5" customHeight="1">
      <c r="A503" s="140">
        <v>495</v>
      </c>
      <c r="B503" s="141"/>
      <c r="C503" s="1186" t="s">
        <v>2364</v>
      </c>
      <c r="D503" s="1186" t="s">
        <v>1080</v>
      </c>
      <c r="E503" s="1187" t="s">
        <v>3289</v>
      </c>
      <c r="F503" s="1188" t="s">
        <v>90</v>
      </c>
      <c r="G503" s="1202" t="s">
        <v>3889</v>
      </c>
      <c r="H503" s="1213" t="s">
        <v>96</v>
      </c>
      <c r="I503" s="144" t="s">
        <v>340</v>
      </c>
      <c r="J503" s="1221" t="s">
        <v>2179</v>
      </c>
      <c r="K503" s="1238"/>
      <c r="L503" s="1244" t="s">
        <v>3836</v>
      </c>
      <c r="M503" s="1168"/>
      <c r="N503" s="1149"/>
      <c r="O503" s="141" t="str">
        <f t="shared" si="7"/>
        <v xml:space="preserve">بنور  جلول </v>
      </c>
      <c r="P503" s="141" t="s">
        <v>507</v>
      </c>
      <c r="Q503" s="141"/>
      <c r="R503" s="276"/>
      <c r="S503" s="989"/>
      <c r="T503" s="671" t="s">
        <v>628</v>
      </c>
      <c r="U503" s="28"/>
      <c r="W503"/>
      <c r="X503"/>
      <c r="Y503"/>
    </row>
    <row r="504" spans="1:25" ht="16.5" customHeight="1">
      <c r="A504" s="140">
        <v>496</v>
      </c>
      <c r="B504" s="141"/>
      <c r="C504" s="1186" t="s">
        <v>168</v>
      </c>
      <c r="D504" s="1186" t="s">
        <v>2808</v>
      </c>
      <c r="E504" s="1187" t="s">
        <v>3290</v>
      </c>
      <c r="F504" s="1188" t="s">
        <v>3339</v>
      </c>
      <c r="G504" s="1202" t="s">
        <v>3889</v>
      </c>
      <c r="H504" s="1213" t="s">
        <v>96</v>
      </c>
      <c r="I504" s="144" t="s">
        <v>340</v>
      </c>
      <c r="J504" s="1221" t="s">
        <v>2173</v>
      </c>
      <c r="K504" s="1238" t="s">
        <v>805</v>
      </c>
      <c r="L504" s="1244" t="s">
        <v>3837</v>
      </c>
      <c r="M504" s="1168"/>
      <c r="N504" s="1149"/>
      <c r="O504" s="141" t="str">
        <f t="shared" si="7"/>
        <v xml:space="preserve">بوخالفة  قادة </v>
      </c>
      <c r="P504" s="141" t="s">
        <v>2318</v>
      </c>
      <c r="Q504" s="141"/>
      <c r="R504" s="276"/>
      <c r="S504" s="989"/>
      <c r="T504" s="259"/>
      <c r="U504" s="28"/>
      <c r="W504"/>
      <c r="X504"/>
      <c r="Y504"/>
    </row>
    <row r="505" spans="1:25" ht="16.5" customHeight="1">
      <c r="A505" s="140">
        <v>497</v>
      </c>
      <c r="B505" s="141"/>
      <c r="C505" s="1186" t="s">
        <v>2699</v>
      </c>
      <c r="D505" s="1186" t="s">
        <v>2809</v>
      </c>
      <c r="E505" s="1187" t="s">
        <v>3291</v>
      </c>
      <c r="F505" s="1188" t="s">
        <v>90</v>
      </c>
      <c r="G505" s="1202" t="s">
        <v>3889</v>
      </c>
      <c r="H505" s="1213" t="s">
        <v>91</v>
      </c>
      <c r="I505" s="144" t="s">
        <v>340</v>
      </c>
      <c r="J505" s="1221" t="s">
        <v>2173</v>
      </c>
      <c r="K505" s="1235" t="s">
        <v>805</v>
      </c>
      <c r="L505" s="1244" t="s">
        <v>494</v>
      </c>
      <c r="M505" s="1168"/>
      <c r="N505" s="1149"/>
      <c r="O505" s="141" t="str">
        <f t="shared" si="7"/>
        <v xml:space="preserve">بوطالب  قادة </v>
      </c>
      <c r="P505" s="141" t="s">
        <v>2318</v>
      </c>
      <c r="Q505" s="141"/>
      <c r="R505" s="276"/>
      <c r="S505" s="989"/>
      <c r="T505" s="237"/>
      <c r="U505" s="28"/>
      <c r="W505"/>
      <c r="X505"/>
      <c r="Y505"/>
    </row>
    <row r="506" spans="1:25" ht="16.5" customHeight="1">
      <c r="A506" s="140">
        <v>498</v>
      </c>
      <c r="B506" s="141"/>
      <c r="C506" s="1186" t="s">
        <v>2426</v>
      </c>
      <c r="D506" s="1186" t="s">
        <v>2810</v>
      </c>
      <c r="E506" s="1187" t="s">
        <v>3292</v>
      </c>
      <c r="F506" s="1188" t="s">
        <v>90</v>
      </c>
      <c r="G506" s="1202" t="s">
        <v>3889</v>
      </c>
      <c r="H506" s="1213" t="s">
        <v>91</v>
      </c>
      <c r="I506" s="144" t="s">
        <v>340</v>
      </c>
      <c r="J506" s="1221" t="s">
        <v>3374</v>
      </c>
      <c r="K506" s="1238"/>
      <c r="L506" s="1244" t="s">
        <v>3838</v>
      </c>
      <c r="M506" s="1168"/>
      <c r="N506" s="1148"/>
      <c r="O506" s="141" t="str">
        <f t="shared" si="7"/>
        <v xml:space="preserve">بوقناية  مختار </v>
      </c>
      <c r="P506" s="141" t="s">
        <v>2318</v>
      </c>
      <c r="Q506" s="141"/>
      <c r="R506" s="276"/>
      <c r="S506" s="989"/>
      <c r="T506" s="237"/>
      <c r="U506" s="28"/>
      <c r="W506"/>
      <c r="X506"/>
      <c r="Y506"/>
    </row>
    <row r="507" spans="1:25" ht="16.5" customHeight="1">
      <c r="A507" s="140">
        <v>499</v>
      </c>
      <c r="B507" s="141"/>
      <c r="C507" s="1186" t="s">
        <v>2566</v>
      </c>
      <c r="D507" s="1186" t="s">
        <v>2560</v>
      </c>
      <c r="E507" s="1187" t="s">
        <v>3236</v>
      </c>
      <c r="F507" s="1188" t="s">
        <v>90</v>
      </c>
      <c r="G507" s="1202" t="s">
        <v>3889</v>
      </c>
      <c r="H507" s="1213" t="s">
        <v>96</v>
      </c>
      <c r="I507" s="144" t="s">
        <v>340</v>
      </c>
      <c r="J507" s="1221" t="s">
        <v>2332</v>
      </c>
      <c r="K507" s="1235" t="s">
        <v>111</v>
      </c>
      <c r="L507" s="1244" t="s">
        <v>3839</v>
      </c>
      <c r="M507" s="1168"/>
      <c r="N507" s="1148"/>
      <c r="O507" s="141" t="str">
        <f t="shared" si="7"/>
        <v xml:space="preserve">تواب  عبد القادر </v>
      </c>
      <c r="P507" s="141" t="s">
        <v>511</v>
      </c>
      <c r="Q507" s="141"/>
      <c r="R507" s="276"/>
      <c r="S507" s="989"/>
      <c r="T507" s="237"/>
      <c r="U507" s="28"/>
      <c r="W507"/>
      <c r="X507"/>
      <c r="Y507"/>
    </row>
    <row r="508" spans="1:25" ht="16.5" customHeight="1">
      <c r="A508" s="140">
        <v>500</v>
      </c>
      <c r="B508" s="141"/>
      <c r="C508" s="1186" t="s">
        <v>2382</v>
      </c>
      <c r="D508" s="1186" t="s">
        <v>2307</v>
      </c>
      <c r="E508" s="1187" t="s">
        <v>3282</v>
      </c>
      <c r="F508" s="1188" t="s">
        <v>90</v>
      </c>
      <c r="G508" s="1202" t="s">
        <v>3889</v>
      </c>
      <c r="H508" s="1213" t="s">
        <v>91</v>
      </c>
      <c r="I508" s="144" t="s">
        <v>340</v>
      </c>
      <c r="J508" s="1221" t="s">
        <v>3387</v>
      </c>
      <c r="K508" s="1235" t="s">
        <v>111</v>
      </c>
      <c r="L508" s="1244" t="s">
        <v>3832</v>
      </c>
      <c r="M508" s="1168"/>
      <c r="N508" s="1148"/>
      <c r="O508" s="141" t="str">
        <f t="shared" si="7"/>
        <v xml:space="preserve">تونسي  ميلود </v>
      </c>
      <c r="P508" s="141" t="s">
        <v>511</v>
      </c>
      <c r="Q508" s="141"/>
      <c r="R508" s="276"/>
      <c r="S508" s="989"/>
      <c r="T508" s="237"/>
      <c r="U508" s="28"/>
      <c r="W508"/>
      <c r="X508"/>
      <c r="Y508"/>
    </row>
    <row r="509" spans="1:25" ht="16.5" customHeight="1">
      <c r="A509" s="140">
        <v>501</v>
      </c>
      <c r="B509" s="141"/>
      <c r="C509" s="1186" t="s">
        <v>170</v>
      </c>
      <c r="D509" s="1186" t="s">
        <v>2575</v>
      </c>
      <c r="E509" s="1187" t="s">
        <v>3293</v>
      </c>
      <c r="F509" s="1188" t="s">
        <v>3347</v>
      </c>
      <c r="G509" s="1202" t="s">
        <v>3889</v>
      </c>
      <c r="H509" s="1213" t="s">
        <v>96</v>
      </c>
      <c r="I509" s="144" t="s">
        <v>340</v>
      </c>
      <c r="J509" s="1221" t="s">
        <v>3451</v>
      </c>
      <c r="K509" s="1238" t="s">
        <v>121</v>
      </c>
      <c r="L509" s="1244" t="s">
        <v>3840</v>
      </c>
      <c r="M509" s="1168"/>
      <c r="N509" s="1149"/>
      <c r="O509" s="141" t="str">
        <f t="shared" si="7"/>
        <v xml:space="preserve">تيرس  لعرج </v>
      </c>
      <c r="P509" s="141" t="s">
        <v>512</v>
      </c>
      <c r="Q509" s="141"/>
      <c r="R509" s="276"/>
      <c r="S509" s="989"/>
      <c r="T509" s="237"/>
      <c r="U509" s="28"/>
      <c r="W509"/>
      <c r="X509"/>
      <c r="Y509"/>
    </row>
    <row r="510" spans="1:25" ht="16.5" customHeight="1">
      <c r="A510" s="140">
        <v>502</v>
      </c>
      <c r="B510" s="141"/>
      <c r="C510" s="1186" t="s">
        <v>2461</v>
      </c>
      <c r="D510" s="1186" t="s">
        <v>2811</v>
      </c>
      <c r="E510" s="1187" t="s">
        <v>3294</v>
      </c>
      <c r="F510" s="1188" t="s">
        <v>3339</v>
      </c>
      <c r="G510" s="1202" t="s">
        <v>3889</v>
      </c>
      <c r="H510" s="1213" t="s">
        <v>96</v>
      </c>
      <c r="I510" s="144" t="s">
        <v>340</v>
      </c>
      <c r="J510" s="1221" t="s">
        <v>2079</v>
      </c>
      <c r="K510" s="1235" t="s">
        <v>2323</v>
      </c>
      <c r="L510" s="1244" t="s">
        <v>494</v>
      </c>
      <c r="M510" s="1168"/>
      <c r="N510" s="1149"/>
      <c r="O510" s="141" t="str">
        <f t="shared" si="7"/>
        <v xml:space="preserve">جبار  سحنون </v>
      </c>
      <c r="P510" s="141" t="s">
        <v>511</v>
      </c>
      <c r="Q510" s="141"/>
      <c r="R510" s="276"/>
      <c r="S510" s="989"/>
      <c r="T510" s="237"/>
      <c r="U510" s="28"/>
      <c r="W510"/>
      <c r="X510"/>
      <c r="Y510"/>
    </row>
    <row r="511" spans="1:25" ht="16.5" customHeight="1">
      <c r="A511" s="140">
        <v>503</v>
      </c>
      <c r="B511" s="141"/>
      <c r="C511" s="1186" t="s">
        <v>2812</v>
      </c>
      <c r="D511" s="1186" t="s">
        <v>146</v>
      </c>
      <c r="E511" s="1187" t="s">
        <v>3295</v>
      </c>
      <c r="F511" s="1188" t="s">
        <v>3339</v>
      </c>
      <c r="G511" s="1202" t="s">
        <v>3889</v>
      </c>
      <c r="H511" s="1213" t="s">
        <v>96</v>
      </c>
      <c r="I511" s="144" t="s">
        <v>340</v>
      </c>
      <c r="J511" s="1221" t="s">
        <v>2332</v>
      </c>
      <c r="K511" s="1235" t="s">
        <v>805</v>
      </c>
      <c r="L511" s="1244" t="s">
        <v>3841</v>
      </c>
      <c r="M511" s="1168"/>
      <c r="N511" s="1149"/>
      <c r="O511" s="141" t="str">
        <f t="shared" si="7"/>
        <v xml:space="preserve">جدي  عبد القادر </v>
      </c>
      <c r="P511" s="141" t="s">
        <v>512</v>
      </c>
      <c r="Q511" s="141"/>
      <c r="R511" s="276"/>
      <c r="S511" s="989"/>
      <c r="T511" s="237"/>
      <c r="U511" s="28"/>
      <c r="W511"/>
      <c r="X511"/>
      <c r="Y511"/>
    </row>
    <row r="512" spans="1:25" s="826" customFormat="1" ht="16.5" customHeight="1">
      <c r="A512" s="140">
        <v>504</v>
      </c>
      <c r="B512" s="141"/>
      <c r="C512" s="1186" t="s">
        <v>1133</v>
      </c>
      <c r="D512" s="1186" t="s">
        <v>1003</v>
      </c>
      <c r="E512" s="1187" t="s">
        <v>3296</v>
      </c>
      <c r="F512" s="1188" t="s">
        <v>3339</v>
      </c>
      <c r="G512" s="1202" t="s">
        <v>3889</v>
      </c>
      <c r="H512" s="1213" t="s">
        <v>96</v>
      </c>
      <c r="I512" s="144" t="s">
        <v>340</v>
      </c>
      <c r="J512" s="1221" t="s">
        <v>2101</v>
      </c>
      <c r="K512" s="1235" t="s">
        <v>111</v>
      </c>
      <c r="L512" s="1244" t="s">
        <v>3842</v>
      </c>
      <c r="M512" s="1168"/>
      <c r="N512" s="1149"/>
      <c r="O512" s="141" t="str">
        <f t="shared" si="7"/>
        <v xml:space="preserve">خديم  أحمد </v>
      </c>
      <c r="P512" s="141" t="s">
        <v>511</v>
      </c>
      <c r="Q512" s="141"/>
      <c r="R512" s="276"/>
      <c r="S512" s="989"/>
      <c r="T512" s="237"/>
      <c r="U512" s="28"/>
      <c r="V512" s="28"/>
    </row>
    <row r="513" spans="1:25" s="984" customFormat="1" ht="16.5" customHeight="1">
      <c r="A513" s="140">
        <v>505</v>
      </c>
      <c r="B513" s="141"/>
      <c r="C513" s="1186" t="s">
        <v>2813</v>
      </c>
      <c r="D513" s="1186" t="s">
        <v>884</v>
      </c>
      <c r="E513" s="1187" t="s">
        <v>3007</v>
      </c>
      <c r="F513" s="1188" t="s">
        <v>3339</v>
      </c>
      <c r="G513" s="1202" t="s">
        <v>3889</v>
      </c>
      <c r="H513" s="1213" t="s">
        <v>91</v>
      </c>
      <c r="I513" s="144" t="s">
        <v>340</v>
      </c>
      <c r="J513" s="1221" t="s">
        <v>2173</v>
      </c>
      <c r="K513" s="1235" t="s">
        <v>102</v>
      </c>
      <c r="L513" s="1244" t="s">
        <v>3843</v>
      </c>
      <c r="M513" s="1168"/>
      <c r="N513" s="1149"/>
      <c r="O513" s="141" t="str">
        <f t="shared" si="7"/>
        <v xml:space="preserve">دومة  قادة </v>
      </c>
      <c r="P513" s="141" t="s">
        <v>512</v>
      </c>
      <c r="Q513" s="141"/>
      <c r="R513" s="276"/>
      <c r="S513" s="989"/>
      <c r="T513" s="237"/>
      <c r="U513" s="28"/>
      <c r="V513" s="28"/>
    </row>
    <row r="514" spans="1:25" ht="16.5" customHeight="1">
      <c r="A514" s="140">
        <v>506</v>
      </c>
      <c r="B514" s="141"/>
      <c r="C514" s="1186" t="s">
        <v>2703</v>
      </c>
      <c r="D514" s="1186" t="s">
        <v>2814</v>
      </c>
      <c r="E514" s="1187" t="s">
        <v>3297</v>
      </c>
      <c r="F514" s="1188" t="s">
        <v>90</v>
      </c>
      <c r="G514" s="1202" t="s">
        <v>3889</v>
      </c>
      <c r="H514" s="1213" t="s">
        <v>91</v>
      </c>
      <c r="I514" s="144" t="s">
        <v>340</v>
      </c>
      <c r="J514" s="1221" t="s">
        <v>3473</v>
      </c>
      <c r="K514" s="1238"/>
      <c r="L514" s="1244" t="s">
        <v>494</v>
      </c>
      <c r="M514" s="1168"/>
      <c r="N514" s="1149"/>
      <c r="O514" s="141" t="str">
        <f t="shared" si="7"/>
        <v xml:space="preserve">دين  رشدي </v>
      </c>
      <c r="P514" s="141" t="s">
        <v>512</v>
      </c>
      <c r="Q514" s="141"/>
      <c r="R514" s="276"/>
      <c r="S514" s="989"/>
      <c r="T514" s="237"/>
      <c r="U514" s="28"/>
    </row>
    <row r="515" spans="1:25" ht="16.5" customHeight="1">
      <c r="A515" s="140">
        <v>507</v>
      </c>
      <c r="B515" s="141"/>
      <c r="C515" s="1186" t="s">
        <v>2367</v>
      </c>
      <c r="D515" s="1186" t="s">
        <v>2815</v>
      </c>
      <c r="E515" s="1187" t="s">
        <v>3298</v>
      </c>
      <c r="F515" s="1188" t="s">
        <v>202</v>
      </c>
      <c r="G515" s="1202" t="s">
        <v>3889</v>
      </c>
      <c r="H515" s="1213" t="s">
        <v>91</v>
      </c>
      <c r="I515" s="144" t="s">
        <v>340</v>
      </c>
      <c r="J515" s="1221" t="s">
        <v>3382</v>
      </c>
      <c r="K515" s="1235" t="s">
        <v>103</v>
      </c>
      <c r="L515" s="1244" t="s">
        <v>3844</v>
      </c>
      <c r="M515" s="1168"/>
      <c r="N515" s="1149"/>
      <c r="O515" s="141" t="str">
        <f t="shared" si="7"/>
        <v xml:space="preserve">رحال  بن ويس </v>
      </c>
      <c r="P515" s="141" t="s">
        <v>512</v>
      </c>
      <c r="Q515" s="141"/>
      <c r="R515" s="276"/>
      <c r="S515" s="989"/>
      <c r="T515" s="237"/>
      <c r="U515" s="28"/>
    </row>
    <row r="516" spans="1:25" ht="16.5" customHeight="1">
      <c r="A516" s="140">
        <v>508</v>
      </c>
      <c r="B516" s="141"/>
      <c r="C516" s="1186" t="s">
        <v>1524</v>
      </c>
      <c r="D516" s="1186" t="s">
        <v>2816</v>
      </c>
      <c r="E516" s="1187" t="s">
        <v>3266</v>
      </c>
      <c r="F516" s="1188" t="s">
        <v>3367</v>
      </c>
      <c r="G516" s="1202" t="s">
        <v>3889</v>
      </c>
      <c r="H516" s="1213" t="s">
        <v>96</v>
      </c>
      <c r="I516" s="144" t="s">
        <v>340</v>
      </c>
      <c r="J516" s="1221"/>
      <c r="K516" s="1238" t="s">
        <v>128</v>
      </c>
      <c r="L516" s="1244"/>
      <c r="M516" s="1168"/>
      <c r="N516" s="1149"/>
      <c r="O516" s="141" t="str">
        <f t="shared" si="7"/>
        <v xml:space="preserve">رحماني  </v>
      </c>
      <c r="P516" s="141" t="s">
        <v>512</v>
      </c>
      <c r="Q516" s="141"/>
      <c r="R516" s="276"/>
      <c r="S516" s="989"/>
      <c r="T516" s="237"/>
      <c r="U516" s="28"/>
    </row>
    <row r="517" spans="1:25" ht="16.5" customHeight="1">
      <c r="A517" s="140">
        <v>509</v>
      </c>
      <c r="B517" s="141"/>
      <c r="C517" s="1186" t="s">
        <v>2817</v>
      </c>
      <c r="D517" s="1186" t="s">
        <v>1997</v>
      </c>
      <c r="E517" s="1187" t="s">
        <v>3299</v>
      </c>
      <c r="F517" s="1188" t="s">
        <v>3368</v>
      </c>
      <c r="G517" s="1202" t="s">
        <v>3889</v>
      </c>
      <c r="H517" s="1213" t="s">
        <v>96</v>
      </c>
      <c r="I517" s="144" t="s">
        <v>340</v>
      </c>
      <c r="J517" s="1221" t="s">
        <v>3474</v>
      </c>
      <c r="K517" s="1238" t="s">
        <v>2178</v>
      </c>
      <c r="L517" s="1244" t="s">
        <v>3845</v>
      </c>
      <c r="M517" s="1168"/>
      <c r="N517" s="1149"/>
      <c r="O517" s="141" t="str">
        <f t="shared" si="7"/>
        <v xml:space="preserve">شيحاني  عبد الحليم بن الحسناوي </v>
      </c>
      <c r="P517" s="141" t="s">
        <v>511</v>
      </c>
      <c r="Q517" s="141"/>
      <c r="R517" s="276"/>
      <c r="S517" s="989"/>
      <c r="T517" s="237"/>
      <c r="U517" s="28"/>
    </row>
    <row r="518" spans="1:25" ht="16.5" customHeight="1">
      <c r="A518" s="140">
        <v>510</v>
      </c>
      <c r="B518" s="141"/>
      <c r="C518" s="1186" t="s">
        <v>2033</v>
      </c>
      <c r="D518" s="1186" t="s">
        <v>2818</v>
      </c>
      <c r="E518" s="1187" t="s">
        <v>3300</v>
      </c>
      <c r="F518" s="1188" t="s">
        <v>3339</v>
      </c>
      <c r="G518" s="1202" t="s">
        <v>3889</v>
      </c>
      <c r="H518" s="1213" t="s">
        <v>91</v>
      </c>
      <c r="I518" s="144" t="s">
        <v>340</v>
      </c>
      <c r="J518" s="1221" t="s">
        <v>2330</v>
      </c>
      <c r="K518" s="1238" t="s">
        <v>128</v>
      </c>
      <c r="L518" s="1244" t="s">
        <v>3846</v>
      </c>
      <c r="M518" s="1168"/>
      <c r="N518" s="1149"/>
      <c r="O518" s="141" t="str">
        <f t="shared" si="7"/>
        <v xml:space="preserve">عبد الحميد  يحي </v>
      </c>
      <c r="P518" s="141" t="s">
        <v>512</v>
      </c>
      <c r="Q518" s="141"/>
      <c r="R518" s="144"/>
      <c r="S518" s="989"/>
      <c r="T518" s="237"/>
      <c r="U518" s="28"/>
    </row>
    <row r="519" spans="1:25" s="443" customFormat="1" ht="16.5" customHeight="1">
      <c r="A519" s="140">
        <v>511</v>
      </c>
      <c r="B519" s="141"/>
      <c r="C519" s="1186" t="s">
        <v>56</v>
      </c>
      <c r="D519" s="1186" t="s">
        <v>676</v>
      </c>
      <c r="E519" s="1187" t="s">
        <v>3148</v>
      </c>
      <c r="F519" s="1188" t="s">
        <v>90</v>
      </c>
      <c r="G519" s="1202" t="s">
        <v>3889</v>
      </c>
      <c r="H519" s="1213" t="s">
        <v>91</v>
      </c>
      <c r="I519" s="144" t="s">
        <v>340</v>
      </c>
      <c r="J519" s="1221" t="s">
        <v>2325</v>
      </c>
      <c r="K519" s="1238"/>
      <c r="L519" s="1244" t="s">
        <v>3847</v>
      </c>
      <c r="M519" s="1168"/>
      <c r="N519" s="1149"/>
      <c r="O519" s="141" t="str">
        <f t="shared" si="7"/>
        <v xml:space="preserve">عدوني  محمد </v>
      </c>
      <c r="P519" s="141" t="s">
        <v>512</v>
      </c>
      <c r="Q519" s="141"/>
      <c r="R519" s="276"/>
      <c r="S519" s="989"/>
      <c r="T519" s="237"/>
      <c r="U519" s="28"/>
      <c r="V519" s="28"/>
      <c r="W519" s="28"/>
      <c r="X519" s="28"/>
      <c r="Y519" s="28"/>
    </row>
    <row r="520" spans="1:25" ht="16.5" customHeight="1">
      <c r="A520" s="140">
        <v>512</v>
      </c>
      <c r="B520" s="141"/>
      <c r="C520" s="1183" t="s">
        <v>2819</v>
      </c>
      <c r="D520" s="1183" t="s">
        <v>2820</v>
      </c>
      <c r="E520" s="1184" t="s">
        <v>3301</v>
      </c>
      <c r="F520" s="1185" t="s">
        <v>3338</v>
      </c>
      <c r="G520" s="1201" t="s">
        <v>3889</v>
      </c>
      <c r="H520" s="1209" t="s">
        <v>91</v>
      </c>
      <c r="I520" s="144" t="s">
        <v>340</v>
      </c>
      <c r="J520" s="1220" t="s">
        <v>2330</v>
      </c>
      <c r="K520" s="1233" t="s">
        <v>103</v>
      </c>
      <c r="L520" s="1245" t="s">
        <v>3708</v>
      </c>
      <c r="M520" s="1168"/>
      <c r="N520" s="1149"/>
      <c r="O520" s="141" t="str">
        <f t="shared" si="7"/>
        <v xml:space="preserve">عقادي  يحي </v>
      </c>
      <c r="P520" s="141" t="s">
        <v>511</v>
      </c>
      <c r="Q520" s="141"/>
      <c r="R520" s="276"/>
      <c r="S520" s="989"/>
      <c r="T520" s="237"/>
      <c r="U520" s="28"/>
    </row>
    <row r="521" spans="1:25" ht="16.5" customHeight="1">
      <c r="A521" s="140">
        <v>513</v>
      </c>
      <c r="B521" s="141"/>
      <c r="C521" s="1186" t="s">
        <v>2765</v>
      </c>
      <c r="D521" s="1186" t="s">
        <v>2821</v>
      </c>
      <c r="E521" s="1187" t="s">
        <v>2919</v>
      </c>
      <c r="F521" s="1188" t="s">
        <v>90</v>
      </c>
      <c r="G521" s="1202" t="s">
        <v>3889</v>
      </c>
      <c r="H521" s="1213" t="s">
        <v>91</v>
      </c>
      <c r="I521" s="144" t="s">
        <v>340</v>
      </c>
      <c r="J521" s="1221" t="s">
        <v>2332</v>
      </c>
      <c r="K521" s="1238" t="s">
        <v>103</v>
      </c>
      <c r="L521" s="1244" t="s">
        <v>3848</v>
      </c>
      <c r="M521" s="1169"/>
      <c r="N521" s="1149"/>
      <c r="O521" s="141" t="str">
        <f t="shared" si="7"/>
        <v xml:space="preserve">غاليوي  عبد القادر </v>
      </c>
      <c r="P521" s="141" t="s">
        <v>512</v>
      </c>
      <c r="Q521" s="141"/>
      <c r="R521" s="276"/>
      <c r="S521" s="989"/>
      <c r="T521" s="237"/>
      <c r="U521" s="28"/>
    </row>
    <row r="522" spans="1:25" ht="16.5" customHeight="1">
      <c r="A522" s="140">
        <v>514</v>
      </c>
      <c r="B522" s="141"/>
      <c r="C522" s="1186" t="s">
        <v>2822</v>
      </c>
      <c r="D522" s="1186" t="s">
        <v>2823</v>
      </c>
      <c r="E522" s="1187" t="s">
        <v>3302</v>
      </c>
      <c r="F522" s="1188" t="s">
        <v>90</v>
      </c>
      <c r="G522" s="1202" t="s">
        <v>3889</v>
      </c>
      <c r="H522" s="1213" t="s">
        <v>91</v>
      </c>
      <c r="I522" s="144" t="s">
        <v>340</v>
      </c>
      <c r="J522" s="1221" t="s">
        <v>2335</v>
      </c>
      <c r="K522" s="1238" t="s">
        <v>102</v>
      </c>
      <c r="L522" s="1244" t="s">
        <v>494</v>
      </c>
      <c r="M522" s="1168"/>
      <c r="N522" s="1149"/>
      <c r="O522" s="141" t="str">
        <f t="shared" ref="O522:O575" si="9">(C522&amp;"  "&amp;J522)</f>
        <v xml:space="preserve">قاتر قرد  سعيد </v>
      </c>
      <c r="P522" s="141" t="s">
        <v>511</v>
      </c>
      <c r="Q522" s="141"/>
      <c r="R522" s="276"/>
      <c r="S522" s="989"/>
      <c r="T522" s="237"/>
      <c r="U522" s="28"/>
    </row>
    <row r="523" spans="1:25" ht="16.5" customHeight="1">
      <c r="A523" s="140">
        <v>515</v>
      </c>
      <c r="B523" s="141"/>
      <c r="C523" s="1186" t="s">
        <v>2824</v>
      </c>
      <c r="D523" s="1186" t="s">
        <v>2825</v>
      </c>
      <c r="E523" s="1187" t="s">
        <v>3201</v>
      </c>
      <c r="F523" s="1188" t="s">
        <v>3339</v>
      </c>
      <c r="G523" s="1202" t="s">
        <v>3889</v>
      </c>
      <c r="H523" s="1213" t="s">
        <v>96</v>
      </c>
      <c r="I523" s="144" t="s">
        <v>340</v>
      </c>
      <c r="J523" s="1221" t="s">
        <v>494</v>
      </c>
      <c r="K523" s="1238"/>
      <c r="L523" s="1244" t="s">
        <v>3628</v>
      </c>
      <c r="M523" s="1168"/>
      <c r="N523" s="1149"/>
      <c r="O523" s="141" t="str">
        <f t="shared" si="9"/>
        <v xml:space="preserve">قاسم   </v>
      </c>
      <c r="P523" s="141" t="s">
        <v>511</v>
      </c>
      <c r="Q523" s="141"/>
      <c r="R523" s="276"/>
      <c r="S523" s="989"/>
      <c r="T523" s="237"/>
      <c r="U523" s="28"/>
    </row>
    <row r="524" spans="1:25" ht="16.5" customHeight="1">
      <c r="A524" s="140">
        <v>516</v>
      </c>
      <c r="B524" s="141"/>
      <c r="C524" s="1186" t="s">
        <v>1157</v>
      </c>
      <c r="D524" s="1186" t="s">
        <v>673</v>
      </c>
      <c r="E524" s="1187" t="s">
        <v>3303</v>
      </c>
      <c r="F524" s="1188" t="s">
        <v>3338</v>
      </c>
      <c r="G524" s="1202" t="s">
        <v>3889</v>
      </c>
      <c r="H524" s="1213" t="s">
        <v>96</v>
      </c>
      <c r="I524" s="144" t="s">
        <v>340</v>
      </c>
      <c r="J524" s="1221" t="s">
        <v>3391</v>
      </c>
      <c r="K524" s="1238" t="s">
        <v>128</v>
      </c>
      <c r="L524" s="1244" t="s">
        <v>494</v>
      </c>
      <c r="M524" s="1168"/>
      <c r="N524" s="1149"/>
      <c r="O524" s="141" t="str">
        <f t="shared" si="9"/>
        <v xml:space="preserve">مرين  طيب </v>
      </c>
      <c r="P524" s="141" t="s">
        <v>512</v>
      </c>
      <c r="Q524" s="141"/>
      <c r="R524" s="276"/>
      <c r="S524" s="989"/>
      <c r="T524" s="237"/>
      <c r="U524" s="28"/>
    </row>
    <row r="525" spans="1:25" ht="16.5" customHeight="1">
      <c r="A525" s="140">
        <v>517</v>
      </c>
      <c r="B525" s="141"/>
      <c r="C525" s="1186" t="s">
        <v>2826</v>
      </c>
      <c r="D525" s="1186" t="s">
        <v>98</v>
      </c>
      <c r="E525" s="1187" t="s">
        <v>3304</v>
      </c>
      <c r="F525" s="1188" t="s">
        <v>3369</v>
      </c>
      <c r="G525" s="1202" t="s">
        <v>3889</v>
      </c>
      <c r="H525" s="1213" t="s">
        <v>96</v>
      </c>
      <c r="I525" s="144" t="s">
        <v>340</v>
      </c>
      <c r="J525" s="1221"/>
      <c r="K525" s="1238" t="s">
        <v>113</v>
      </c>
      <c r="L525" s="1244"/>
      <c r="M525" s="1168"/>
      <c r="N525" s="1149"/>
      <c r="O525" s="141" t="str">
        <f t="shared" si="9"/>
        <v xml:space="preserve">مسعودي  </v>
      </c>
      <c r="P525" s="141" t="s">
        <v>511</v>
      </c>
      <c r="Q525" s="141"/>
      <c r="R525" s="276"/>
      <c r="S525" s="989"/>
      <c r="T525" s="404"/>
      <c r="U525" s="28"/>
    </row>
    <row r="526" spans="1:25" ht="16.5" customHeight="1">
      <c r="A526" s="140">
        <v>518</v>
      </c>
      <c r="B526" s="141"/>
      <c r="C526" s="1186" t="s">
        <v>2827</v>
      </c>
      <c r="D526" s="1186" t="s">
        <v>2828</v>
      </c>
      <c r="E526" s="1187" t="s">
        <v>3305</v>
      </c>
      <c r="F526" s="1188" t="s">
        <v>3347</v>
      </c>
      <c r="G526" s="1202" t="s">
        <v>3889</v>
      </c>
      <c r="H526" s="1213" t="s">
        <v>91</v>
      </c>
      <c r="I526" s="144" t="s">
        <v>340</v>
      </c>
      <c r="J526" s="1221" t="s">
        <v>2332</v>
      </c>
      <c r="K526" s="1238" t="s">
        <v>128</v>
      </c>
      <c r="L526" s="1244" t="s">
        <v>3849</v>
      </c>
      <c r="M526" s="1168"/>
      <c r="N526" s="1149"/>
      <c r="O526" s="141" t="str">
        <f t="shared" si="9"/>
        <v xml:space="preserve">مسلك  عبد القادر </v>
      </c>
      <c r="P526" s="141" t="s">
        <v>512</v>
      </c>
      <c r="Q526" s="141"/>
      <c r="R526" s="276"/>
      <c r="S526" s="989"/>
      <c r="T526" s="671"/>
      <c r="U526" s="28"/>
    </row>
    <row r="527" spans="1:25" ht="16.5" customHeight="1">
      <c r="A527" s="140">
        <v>519</v>
      </c>
      <c r="B527" s="141"/>
      <c r="C527" s="1186" t="s">
        <v>1013</v>
      </c>
      <c r="D527" s="1186" t="s">
        <v>2829</v>
      </c>
      <c r="E527" s="1187" t="s">
        <v>3306</v>
      </c>
      <c r="F527" s="1188" t="s">
        <v>133</v>
      </c>
      <c r="G527" s="1202" t="s">
        <v>3889</v>
      </c>
      <c r="H527" s="1213" t="s">
        <v>96</v>
      </c>
      <c r="I527" s="144" t="s">
        <v>340</v>
      </c>
      <c r="J527" s="1221" t="s">
        <v>3387</v>
      </c>
      <c r="K527" s="1235" t="s">
        <v>103</v>
      </c>
      <c r="L527" s="1244" t="s">
        <v>3850</v>
      </c>
      <c r="M527" s="1168"/>
      <c r="N527" s="1149"/>
      <c r="O527" s="141" t="str">
        <f t="shared" si="9"/>
        <v xml:space="preserve">معطى الله  ميلود </v>
      </c>
      <c r="P527" s="141" t="s">
        <v>511</v>
      </c>
      <c r="Q527" s="141"/>
      <c r="R527" s="276"/>
      <c r="S527" s="989"/>
      <c r="T527" s="671"/>
      <c r="U527" s="28"/>
    </row>
    <row r="528" spans="1:25" ht="16.5" customHeight="1">
      <c r="A528" s="140">
        <v>520</v>
      </c>
      <c r="B528" s="141"/>
      <c r="C528" s="1186" t="s">
        <v>46</v>
      </c>
      <c r="D528" s="1186" t="s">
        <v>2037</v>
      </c>
      <c r="E528" s="1187" t="s">
        <v>3307</v>
      </c>
      <c r="F528" s="1188" t="s">
        <v>90</v>
      </c>
      <c r="G528" s="1202" t="s">
        <v>3889</v>
      </c>
      <c r="H528" s="1213" t="s">
        <v>91</v>
      </c>
      <c r="I528" s="144" t="s">
        <v>340</v>
      </c>
      <c r="J528" s="1221" t="s">
        <v>3387</v>
      </c>
      <c r="K528" s="1238" t="s">
        <v>111</v>
      </c>
      <c r="L528" s="1244" t="s">
        <v>3851</v>
      </c>
      <c r="M528" s="1168"/>
      <c r="N528" s="1149"/>
      <c r="O528" s="141" t="str">
        <f t="shared" si="9"/>
        <v xml:space="preserve">مكيكة  ميلود </v>
      </c>
      <c r="P528" s="141" t="s">
        <v>512</v>
      </c>
      <c r="Q528" s="141"/>
      <c r="R528" s="276"/>
      <c r="S528" s="989"/>
      <c r="T528" s="671"/>
      <c r="U528" s="28"/>
    </row>
    <row r="529" spans="1:25" s="822" customFormat="1" ht="16.5" customHeight="1">
      <c r="A529" s="140">
        <v>521</v>
      </c>
      <c r="B529" s="141"/>
      <c r="C529" s="1186" t="s">
        <v>2671</v>
      </c>
      <c r="D529" s="1186" t="s">
        <v>2830</v>
      </c>
      <c r="E529" s="1187" t="s">
        <v>3284</v>
      </c>
      <c r="F529" s="1188" t="s">
        <v>90</v>
      </c>
      <c r="G529" s="1202" t="s">
        <v>3889</v>
      </c>
      <c r="H529" s="1213" t="s">
        <v>96</v>
      </c>
      <c r="I529" s="144" t="s">
        <v>340</v>
      </c>
      <c r="J529" s="1221" t="s">
        <v>2329</v>
      </c>
      <c r="K529" s="1238" t="s">
        <v>102</v>
      </c>
      <c r="L529" s="1244" t="s">
        <v>3852</v>
      </c>
      <c r="M529" s="1168"/>
      <c r="N529" s="1149"/>
      <c r="O529" s="141" t="str">
        <f t="shared" si="9"/>
        <v xml:space="preserve">مومين  احمد </v>
      </c>
      <c r="P529" s="141" t="s">
        <v>511</v>
      </c>
      <c r="Q529" s="141"/>
      <c r="R529" s="276"/>
      <c r="S529" s="989"/>
      <c r="T529" s="671"/>
      <c r="U529" s="28"/>
      <c r="V529" s="28"/>
      <c r="W529" s="28"/>
      <c r="X529" s="28"/>
      <c r="Y529" s="28"/>
    </row>
    <row r="530" spans="1:25" ht="16.5" customHeight="1">
      <c r="A530" s="140">
        <v>522</v>
      </c>
      <c r="B530" s="141"/>
      <c r="C530" s="1186" t="s">
        <v>2393</v>
      </c>
      <c r="D530" s="1186" t="s">
        <v>2801</v>
      </c>
      <c r="E530" s="1187" t="s">
        <v>2880</v>
      </c>
      <c r="F530" s="1188" t="s">
        <v>90</v>
      </c>
      <c r="G530" s="1202" t="s">
        <v>3889</v>
      </c>
      <c r="H530" s="1213" t="s">
        <v>91</v>
      </c>
      <c r="I530" s="144" t="s">
        <v>340</v>
      </c>
      <c r="J530" s="1221" t="s">
        <v>3437</v>
      </c>
      <c r="K530" s="1235"/>
      <c r="L530" s="1244" t="s">
        <v>494</v>
      </c>
      <c r="M530" s="1168"/>
      <c r="N530" s="1149"/>
      <c r="O530" s="141" t="str">
        <f t="shared" si="9"/>
        <v xml:space="preserve">هامل  نوار </v>
      </c>
      <c r="P530" s="141" t="s">
        <v>511</v>
      </c>
      <c r="Q530" s="141"/>
      <c r="R530" s="276"/>
      <c r="S530" s="989"/>
      <c r="T530" s="404"/>
      <c r="U530" s="28"/>
    </row>
    <row r="531" spans="1:25" ht="16.5" customHeight="1">
      <c r="A531" s="140">
        <v>523</v>
      </c>
      <c r="B531" s="141"/>
      <c r="C531" s="1186" t="s">
        <v>2492</v>
      </c>
      <c r="D531" s="1186" t="s">
        <v>151</v>
      </c>
      <c r="E531" s="1187" t="s">
        <v>2993</v>
      </c>
      <c r="F531" s="1188" t="s">
        <v>3339</v>
      </c>
      <c r="G531" s="1202" t="s">
        <v>3890</v>
      </c>
      <c r="H531" s="1212" t="s">
        <v>1459</v>
      </c>
      <c r="I531" s="144" t="s">
        <v>340</v>
      </c>
      <c r="J531" s="1221" t="s">
        <v>2184</v>
      </c>
      <c r="K531" s="1238" t="s">
        <v>121</v>
      </c>
      <c r="L531" s="1244" t="s">
        <v>494</v>
      </c>
      <c r="M531" s="1168"/>
      <c r="N531" s="1149"/>
      <c r="O531" s="141" t="str">
        <f t="shared" si="9"/>
        <v xml:space="preserve">بن حدو  مهاجي </v>
      </c>
      <c r="P531" s="141" t="s">
        <v>512</v>
      </c>
      <c r="Q531" s="141"/>
      <c r="R531" s="276"/>
      <c r="S531" s="989"/>
      <c r="T531" s="404"/>
      <c r="U531" s="28"/>
    </row>
    <row r="532" spans="1:25" ht="16.5" customHeight="1">
      <c r="A532" s="140">
        <v>524</v>
      </c>
      <c r="B532" s="141"/>
      <c r="C532" s="1186" t="s">
        <v>2396</v>
      </c>
      <c r="D532" s="1186" t="s">
        <v>2839</v>
      </c>
      <c r="E532" s="1187" t="s">
        <v>2965</v>
      </c>
      <c r="F532" s="1188" t="s">
        <v>3338</v>
      </c>
      <c r="G532" s="1202" t="s">
        <v>3890</v>
      </c>
      <c r="H532" s="1208" t="s">
        <v>1458</v>
      </c>
      <c r="I532" s="144" t="s">
        <v>341</v>
      </c>
      <c r="J532" s="1221" t="s">
        <v>2180</v>
      </c>
      <c r="K532" s="1238"/>
      <c r="L532" s="1244" t="s">
        <v>3861</v>
      </c>
      <c r="M532" s="1168"/>
      <c r="N532" s="1149"/>
      <c r="O532" s="141" t="str">
        <f t="shared" si="9"/>
        <v xml:space="preserve">بن مايسة  بقدور </v>
      </c>
      <c r="P532" s="141" t="s">
        <v>511</v>
      </c>
      <c r="Q532" s="141"/>
      <c r="R532" s="276"/>
      <c r="S532" s="989"/>
      <c r="T532" s="671" t="s">
        <v>628</v>
      </c>
      <c r="U532" s="28"/>
    </row>
    <row r="533" spans="1:25" ht="16.5" customHeight="1">
      <c r="A533" s="140">
        <v>525</v>
      </c>
      <c r="B533" s="141"/>
      <c r="C533" s="1186" t="s">
        <v>2388</v>
      </c>
      <c r="D533" s="1186" t="s">
        <v>2643</v>
      </c>
      <c r="E533" s="1187" t="s">
        <v>3248</v>
      </c>
      <c r="F533" s="1188" t="s">
        <v>90</v>
      </c>
      <c r="G533" s="1202" t="s">
        <v>3890</v>
      </c>
      <c r="H533" s="1212" t="s">
        <v>1459</v>
      </c>
      <c r="I533" s="144" t="s">
        <v>341</v>
      </c>
      <c r="J533" s="1221" t="s">
        <v>2173</v>
      </c>
      <c r="K533" s="1238" t="s">
        <v>135</v>
      </c>
      <c r="L533" s="1244" t="s">
        <v>3855</v>
      </c>
      <c r="M533" s="1168"/>
      <c r="N533" s="1149"/>
      <c r="O533" s="141" t="str">
        <f t="shared" si="9"/>
        <v xml:space="preserve">عسال  قادة </v>
      </c>
      <c r="P533" s="141" t="s">
        <v>512</v>
      </c>
      <c r="Q533" s="141"/>
      <c r="R533" s="276"/>
      <c r="S533" s="989"/>
      <c r="T533" s="671" t="s">
        <v>628</v>
      </c>
      <c r="U533" s="28"/>
    </row>
    <row r="534" spans="1:25" s="831" customFormat="1" ht="16.5" customHeight="1">
      <c r="A534" s="140">
        <v>526</v>
      </c>
      <c r="B534" s="141"/>
      <c r="C534" s="1186" t="s">
        <v>1013</v>
      </c>
      <c r="D534" s="1186" t="s">
        <v>2834</v>
      </c>
      <c r="E534" s="1187" t="s">
        <v>3310</v>
      </c>
      <c r="F534" s="1188" t="s">
        <v>90</v>
      </c>
      <c r="G534" s="1202" t="s">
        <v>3890</v>
      </c>
      <c r="H534" s="1212" t="s">
        <v>1459</v>
      </c>
      <c r="I534" s="144" t="s">
        <v>341</v>
      </c>
      <c r="J534" s="1221" t="s">
        <v>3437</v>
      </c>
      <c r="K534" s="1238" t="s">
        <v>3484</v>
      </c>
      <c r="L534" s="1244" t="s">
        <v>494</v>
      </c>
      <c r="M534" s="1168"/>
      <c r="N534" s="1149"/>
      <c r="O534" s="141" t="str">
        <f t="shared" si="9"/>
        <v xml:space="preserve">معطى الله  نوار </v>
      </c>
      <c r="P534" s="141" t="s">
        <v>512</v>
      </c>
      <c r="Q534" s="141"/>
      <c r="R534" s="276"/>
      <c r="S534" s="989"/>
      <c r="T534" s="671"/>
      <c r="U534" s="28"/>
      <c r="V534" s="28"/>
      <c r="W534" s="28"/>
      <c r="X534" s="28"/>
      <c r="Y534" s="28"/>
    </row>
    <row r="535" spans="1:25" ht="16.5" customHeight="1">
      <c r="A535" s="140">
        <v>527</v>
      </c>
      <c r="B535" s="141"/>
      <c r="C535" s="1186" t="s">
        <v>2478</v>
      </c>
      <c r="D535" s="1186" t="s">
        <v>2863</v>
      </c>
      <c r="E535" s="1187" t="s">
        <v>3333</v>
      </c>
      <c r="F535" s="1188" t="s">
        <v>3338</v>
      </c>
      <c r="G535" s="1202" t="s">
        <v>3890</v>
      </c>
      <c r="H535" s="1208" t="s">
        <v>1458</v>
      </c>
      <c r="I535" s="144" t="s">
        <v>341</v>
      </c>
      <c r="J535" s="1221" t="s">
        <v>3483</v>
      </c>
      <c r="K535" s="1238" t="s">
        <v>111</v>
      </c>
      <c r="L535" s="1244" t="s">
        <v>494</v>
      </c>
      <c r="M535" s="1168"/>
      <c r="N535" s="1149"/>
      <c r="O535" s="141" t="str">
        <f t="shared" si="9"/>
        <v xml:space="preserve">ميلودي  خالد </v>
      </c>
      <c r="P535" s="141" t="s">
        <v>511</v>
      </c>
      <c r="Q535" s="141"/>
      <c r="R535" s="276"/>
      <c r="S535" s="989"/>
      <c r="T535" s="671" t="s">
        <v>628</v>
      </c>
      <c r="U535" s="28"/>
    </row>
    <row r="536" spans="1:25" ht="16.5" customHeight="1">
      <c r="A536" s="140">
        <v>528</v>
      </c>
      <c r="B536" s="141"/>
      <c r="C536" s="1186" t="s">
        <v>514</v>
      </c>
      <c r="D536" s="1186" t="s">
        <v>2835</v>
      </c>
      <c r="E536" s="1187" t="s">
        <v>3311</v>
      </c>
      <c r="F536" s="1188" t="s">
        <v>3338</v>
      </c>
      <c r="G536" s="1202" t="s">
        <v>3890</v>
      </c>
      <c r="H536" s="1213" t="s">
        <v>96</v>
      </c>
      <c r="I536" s="144" t="s">
        <v>341</v>
      </c>
      <c r="J536" s="1221" t="s">
        <v>2101</v>
      </c>
      <c r="K536" s="1238" t="s">
        <v>135</v>
      </c>
      <c r="L536" s="1244" t="s">
        <v>3856</v>
      </c>
      <c r="M536" s="1168"/>
      <c r="N536" s="1149"/>
      <c r="O536" s="141" t="str">
        <f t="shared" si="9"/>
        <v xml:space="preserve">براهمي  أحمد </v>
      </c>
      <c r="P536" s="141" t="s">
        <v>511</v>
      </c>
      <c r="Q536" s="141"/>
      <c r="R536" s="276"/>
      <c r="S536" s="989"/>
      <c r="T536" s="671" t="s">
        <v>628</v>
      </c>
      <c r="U536" s="28"/>
    </row>
    <row r="537" spans="1:25" ht="16.5" customHeight="1">
      <c r="A537" s="140">
        <v>529</v>
      </c>
      <c r="B537" s="141"/>
      <c r="C537" s="1186" t="s">
        <v>2581</v>
      </c>
      <c r="D537" s="1186" t="s">
        <v>2036</v>
      </c>
      <c r="E537" s="1187" t="s">
        <v>3072</v>
      </c>
      <c r="F537" s="1188" t="s">
        <v>797</v>
      </c>
      <c r="G537" s="1202" t="s">
        <v>3890</v>
      </c>
      <c r="H537" s="1213" t="s">
        <v>96</v>
      </c>
      <c r="I537" s="144" t="s">
        <v>340</v>
      </c>
      <c r="J537" s="1221"/>
      <c r="K537" s="1238" t="s">
        <v>2328</v>
      </c>
      <c r="L537" s="1244"/>
      <c r="M537" s="1168"/>
      <c r="N537" s="1149"/>
      <c r="O537" s="141" t="str">
        <f t="shared" si="9"/>
        <v xml:space="preserve">برياح  </v>
      </c>
      <c r="P537" s="141" t="s">
        <v>512</v>
      </c>
      <c r="Q537" s="141"/>
      <c r="R537" s="276"/>
      <c r="S537" s="989"/>
      <c r="T537" s="671" t="s">
        <v>628</v>
      </c>
      <c r="U537" s="28"/>
    </row>
    <row r="538" spans="1:25" ht="16.5" customHeight="1">
      <c r="A538" s="140">
        <v>530</v>
      </c>
      <c r="B538" s="141"/>
      <c r="C538" s="1186" t="s">
        <v>879</v>
      </c>
      <c r="D538" s="1186" t="s">
        <v>2784</v>
      </c>
      <c r="E538" s="1187" t="s">
        <v>3312</v>
      </c>
      <c r="F538" s="1188" t="s">
        <v>90</v>
      </c>
      <c r="G538" s="1202" t="s">
        <v>3890</v>
      </c>
      <c r="H538" s="1213" t="s">
        <v>91</v>
      </c>
      <c r="I538" s="144" t="s">
        <v>340</v>
      </c>
      <c r="J538" s="1221" t="s">
        <v>1626</v>
      </c>
      <c r="K538" s="1238" t="s">
        <v>128</v>
      </c>
      <c r="L538" s="1244" t="s">
        <v>3857</v>
      </c>
      <c r="M538" s="1168"/>
      <c r="N538" s="1149"/>
      <c r="O538" s="141" t="str">
        <f t="shared" si="9"/>
        <v xml:space="preserve">بسباس  بوزيان </v>
      </c>
      <c r="P538" s="141" t="s">
        <v>512</v>
      </c>
      <c r="Q538" s="141"/>
      <c r="R538" s="276"/>
      <c r="S538" s="989"/>
      <c r="T538" s="237"/>
      <c r="U538" s="28"/>
    </row>
    <row r="539" spans="1:25" ht="16.5" customHeight="1">
      <c r="A539" s="140">
        <v>531</v>
      </c>
      <c r="B539" s="141"/>
      <c r="C539" s="1183" t="s">
        <v>879</v>
      </c>
      <c r="D539" s="1183" t="s">
        <v>2836</v>
      </c>
      <c r="E539" s="1184" t="s">
        <v>3313</v>
      </c>
      <c r="F539" s="1185" t="s">
        <v>90</v>
      </c>
      <c r="G539" s="1201" t="s">
        <v>3890</v>
      </c>
      <c r="H539" s="1209" t="s">
        <v>91</v>
      </c>
      <c r="I539" s="144" t="s">
        <v>340</v>
      </c>
      <c r="J539" s="1222" t="s">
        <v>3380</v>
      </c>
      <c r="K539" s="1239" t="s">
        <v>128</v>
      </c>
      <c r="L539" s="1246" t="s">
        <v>3858</v>
      </c>
      <c r="M539" s="1168"/>
      <c r="N539" s="1149"/>
      <c r="O539" s="141" t="str">
        <f t="shared" si="9"/>
        <v xml:space="preserve">بسباس  قويدر </v>
      </c>
      <c r="P539" s="141" t="s">
        <v>511</v>
      </c>
      <c r="Q539" s="141"/>
      <c r="R539" s="276"/>
      <c r="S539" s="989"/>
      <c r="T539" s="237"/>
      <c r="U539" s="28"/>
    </row>
    <row r="540" spans="1:25" ht="16.5" customHeight="1">
      <c r="A540" s="140">
        <v>532</v>
      </c>
      <c r="B540" s="141"/>
      <c r="C540" s="1186" t="s">
        <v>2837</v>
      </c>
      <c r="D540" s="1186" t="s">
        <v>2838</v>
      </c>
      <c r="E540" s="1187" t="s">
        <v>3314</v>
      </c>
      <c r="F540" s="1188" t="s">
        <v>3339</v>
      </c>
      <c r="G540" s="1202" t="s">
        <v>3890</v>
      </c>
      <c r="H540" s="1213" t="s">
        <v>96</v>
      </c>
      <c r="I540" s="144" t="s">
        <v>340</v>
      </c>
      <c r="J540" s="1221" t="s">
        <v>3475</v>
      </c>
      <c r="K540" s="1238" t="s">
        <v>135</v>
      </c>
      <c r="L540" s="1244" t="s">
        <v>3859</v>
      </c>
      <c r="M540" s="1168"/>
      <c r="N540" s="1149"/>
      <c r="O540" s="141" t="str">
        <f t="shared" si="9"/>
        <v xml:space="preserve">بعلوج  سليم </v>
      </c>
      <c r="P540" s="141" t="s">
        <v>511</v>
      </c>
      <c r="Q540" s="141"/>
      <c r="R540" s="276"/>
      <c r="S540" s="989"/>
      <c r="T540" s="237"/>
      <c r="U540" s="28"/>
    </row>
    <row r="541" spans="1:25" ht="16.5" customHeight="1">
      <c r="A541" s="140">
        <v>533</v>
      </c>
      <c r="B541" s="141"/>
      <c r="C541" s="1186" t="s">
        <v>1098</v>
      </c>
      <c r="D541" s="1186" t="s">
        <v>2030</v>
      </c>
      <c r="E541" s="1187" t="s">
        <v>3315</v>
      </c>
      <c r="F541" s="1188" t="s">
        <v>202</v>
      </c>
      <c r="G541" s="1202" t="s">
        <v>3890</v>
      </c>
      <c r="H541" s="1213" t="s">
        <v>91</v>
      </c>
      <c r="I541" s="144" t="s">
        <v>340</v>
      </c>
      <c r="J541" s="1221"/>
      <c r="K541" s="1238" t="s">
        <v>119</v>
      </c>
      <c r="L541" s="1244"/>
      <c r="M541" s="1170"/>
      <c r="N541" s="1149"/>
      <c r="O541" s="141" t="str">
        <f t="shared" si="9"/>
        <v xml:space="preserve">بن حمو  </v>
      </c>
      <c r="P541" s="141" t="s">
        <v>512</v>
      </c>
      <c r="Q541" s="141"/>
      <c r="R541" s="144"/>
      <c r="S541" s="989"/>
      <c r="T541" s="237"/>
      <c r="U541" s="28"/>
    </row>
    <row r="542" spans="1:25" s="968" customFormat="1" ht="16.5" customHeight="1">
      <c r="A542" s="140">
        <v>534</v>
      </c>
      <c r="B542" s="141"/>
      <c r="C542" s="1186" t="s">
        <v>1077</v>
      </c>
      <c r="D542" s="1186" t="s">
        <v>101</v>
      </c>
      <c r="E542" s="1187" t="s">
        <v>3316</v>
      </c>
      <c r="F542" s="1188" t="s">
        <v>3339</v>
      </c>
      <c r="G542" s="1202" t="s">
        <v>3890</v>
      </c>
      <c r="H542" s="1213" t="s">
        <v>96</v>
      </c>
      <c r="I542" s="144" t="s">
        <v>340</v>
      </c>
      <c r="J542" s="1221" t="s">
        <v>3406</v>
      </c>
      <c r="K542" s="1235" t="s">
        <v>805</v>
      </c>
      <c r="L542" s="1244" t="s">
        <v>3860</v>
      </c>
      <c r="M542" s="1168"/>
      <c r="N542" s="1149"/>
      <c r="O542" s="141" t="str">
        <f t="shared" si="9"/>
        <v xml:space="preserve">بن قانة  زواوي </v>
      </c>
      <c r="P542" s="141" t="s">
        <v>511</v>
      </c>
      <c r="Q542" s="141"/>
      <c r="R542" s="275"/>
      <c r="S542" s="989"/>
      <c r="T542" s="237"/>
      <c r="U542" s="28"/>
      <c r="V542" s="28"/>
      <c r="W542" s="28"/>
      <c r="X542" s="28"/>
      <c r="Y542" s="28"/>
    </row>
    <row r="543" spans="1:25" s="441" customFormat="1" ht="16.5" customHeight="1">
      <c r="A543" s="140">
        <v>535</v>
      </c>
      <c r="B543" s="141"/>
      <c r="C543" s="1186" t="s">
        <v>2396</v>
      </c>
      <c r="D543" s="1186" t="s">
        <v>2055</v>
      </c>
      <c r="E543" s="1187" t="s">
        <v>3317</v>
      </c>
      <c r="F543" s="1188" t="s">
        <v>90</v>
      </c>
      <c r="G543" s="1202" t="s">
        <v>3890</v>
      </c>
      <c r="H543" s="1213" t="s">
        <v>91</v>
      </c>
      <c r="I543" s="144" t="s">
        <v>340</v>
      </c>
      <c r="J543" s="1221" t="s">
        <v>2325</v>
      </c>
      <c r="K543" s="1238"/>
      <c r="L543" s="1244" t="s">
        <v>494</v>
      </c>
      <c r="M543" s="1168"/>
      <c r="N543" s="1149"/>
      <c r="O543" s="141" t="str">
        <f t="shared" si="9"/>
        <v xml:space="preserve">بن مايسة  محمد </v>
      </c>
      <c r="P543" s="141" t="s">
        <v>512</v>
      </c>
      <c r="Q543" s="141"/>
      <c r="R543" s="276"/>
      <c r="S543" s="989"/>
      <c r="T543" s="237"/>
      <c r="U543" s="28"/>
      <c r="V543" s="28"/>
      <c r="W543" s="28"/>
      <c r="X543" s="28"/>
      <c r="Y543" s="28"/>
    </row>
    <row r="544" spans="1:25" ht="16.5" customHeight="1">
      <c r="A544" s="140">
        <v>536</v>
      </c>
      <c r="B544" s="141"/>
      <c r="C544" s="1186" t="s">
        <v>2364</v>
      </c>
      <c r="D544" s="1186" t="s">
        <v>101</v>
      </c>
      <c r="E544" s="1187" t="s">
        <v>3172</v>
      </c>
      <c r="F544" s="1188" t="s">
        <v>3339</v>
      </c>
      <c r="G544" s="1202" t="s">
        <v>3890</v>
      </c>
      <c r="H544" s="1213" t="s">
        <v>96</v>
      </c>
      <c r="I544" s="144" t="s">
        <v>340</v>
      </c>
      <c r="J544" s="1221" t="s">
        <v>3476</v>
      </c>
      <c r="K544" s="1238" t="s">
        <v>103</v>
      </c>
      <c r="L544" s="1244" t="s">
        <v>494</v>
      </c>
      <c r="M544" s="1168"/>
      <c r="N544" s="1149"/>
      <c r="O544" s="141" t="str">
        <f t="shared" si="9"/>
        <v xml:space="preserve">بنور  موسى </v>
      </c>
      <c r="P544" s="141" t="s">
        <v>511</v>
      </c>
      <c r="Q544" s="141"/>
      <c r="R544" s="276"/>
      <c r="S544" s="989"/>
      <c r="T544" s="237"/>
      <c r="U544" s="28"/>
      <c r="V544"/>
      <c r="W544"/>
      <c r="X544"/>
      <c r="Y544"/>
    </row>
    <row r="545" spans="1:25" ht="16.5" customHeight="1">
      <c r="A545" s="140">
        <v>537</v>
      </c>
      <c r="B545" s="141"/>
      <c r="C545" s="1186" t="s">
        <v>2364</v>
      </c>
      <c r="D545" s="1186" t="s">
        <v>201</v>
      </c>
      <c r="E545" s="1187" t="s">
        <v>3318</v>
      </c>
      <c r="F545" s="1188" t="s">
        <v>90</v>
      </c>
      <c r="G545" s="1202" t="s">
        <v>3890</v>
      </c>
      <c r="H545" s="1213" t="s">
        <v>96</v>
      </c>
      <c r="I545" s="144" t="s">
        <v>340</v>
      </c>
      <c r="J545" s="1221" t="s">
        <v>3477</v>
      </c>
      <c r="K545" s="1238" t="s">
        <v>111</v>
      </c>
      <c r="L545" s="1244" t="s">
        <v>3862</v>
      </c>
      <c r="M545" s="1168"/>
      <c r="N545" s="1149"/>
      <c r="O545" s="141" t="str">
        <f t="shared" si="9"/>
        <v xml:space="preserve">بنور  توفيق </v>
      </c>
      <c r="P545" s="141" t="s">
        <v>2318</v>
      </c>
      <c r="Q545" s="141"/>
      <c r="R545" s="276"/>
      <c r="S545" s="989"/>
      <c r="T545" s="237"/>
      <c r="U545" s="28"/>
      <c r="V545"/>
      <c r="W545"/>
      <c r="X545"/>
      <c r="Y545"/>
    </row>
    <row r="546" spans="1:25" s="969" customFormat="1" ht="16.5" customHeight="1">
      <c r="A546" s="140">
        <v>538</v>
      </c>
      <c r="B546" s="141"/>
      <c r="C546" s="1186" t="s">
        <v>2832</v>
      </c>
      <c r="D546" s="1186" t="s">
        <v>2833</v>
      </c>
      <c r="E546" s="1187" t="s">
        <v>3308</v>
      </c>
      <c r="F546" s="1188" t="s">
        <v>3339</v>
      </c>
      <c r="G546" s="1202" t="s">
        <v>3890</v>
      </c>
      <c r="H546" s="1213" t="s">
        <v>96</v>
      </c>
      <c r="I546" s="144" t="s">
        <v>340</v>
      </c>
      <c r="J546" s="1221" t="s">
        <v>2325</v>
      </c>
      <c r="K546" s="1238" t="s">
        <v>102</v>
      </c>
      <c r="L546" s="1244" t="s">
        <v>3853</v>
      </c>
      <c r="M546" s="1168"/>
      <c r="N546" s="1149"/>
      <c r="O546" s="141" t="str">
        <f t="shared" si="9"/>
        <v xml:space="preserve">بنياني  محمد </v>
      </c>
      <c r="P546" s="141" t="s">
        <v>2318</v>
      </c>
      <c r="Q546" s="141"/>
      <c r="R546" s="276"/>
      <c r="S546" s="989"/>
      <c r="T546" s="237"/>
      <c r="U546" s="28"/>
    </row>
    <row r="547" spans="1:25" s="969" customFormat="1" ht="16.5" customHeight="1">
      <c r="A547" s="140">
        <v>539</v>
      </c>
      <c r="B547" s="141"/>
      <c r="C547" s="1186" t="s">
        <v>2840</v>
      </c>
      <c r="D547" s="1186" t="s">
        <v>2841</v>
      </c>
      <c r="E547" s="1187" t="s">
        <v>3319</v>
      </c>
      <c r="F547" s="1188" t="s">
        <v>3339</v>
      </c>
      <c r="G547" s="1202" t="s">
        <v>3890</v>
      </c>
      <c r="H547" s="1213" t="s">
        <v>91</v>
      </c>
      <c r="I547" s="144" t="s">
        <v>340</v>
      </c>
      <c r="J547" s="1221" t="s">
        <v>3478</v>
      </c>
      <c r="K547" s="1238" t="s">
        <v>128</v>
      </c>
      <c r="L547" s="1244" t="s">
        <v>3863</v>
      </c>
      <c r="M547" s="1168"/>
      <c r="N547" s="1149"/>
      <c r="O547" s="141" t="str">
        <f t="shared" si="9"/>
        <v xml:space="preserve">بوجرار  محفوظ </v>
      </c>
      <c r="P547" s="141" t="s">
        <v>2318</v>
      </c>
      <c r="Q547" s="141"/>
      <c r="R547" s="276"/>
      <c r="S547" s="989"/>
      <c r="T547" s="237"/>
      <c r="U547" s="28"/>
    </row>
    <row r="548" spans="1:25" s="833" customFormat="1" ht="16.5" customHeight="1">
      <c r="A548" s="140">
        <v>540</v>
      </c>
      <c r="B548" s="141"/>
      <c r="C548" s="1186" t="s">
        <v>2842</v>
      </c>
      <c r="D548" s="1186" t="s">
        <v>2843</v>
      </c>
      <c r="E548" s="1187" t="s">
        <v>3320</v>
      </c>
      <c r="F548" s="1188" t="s">
        <v>90</v>
      </c>
      <c r="G548" s="1202" t="s">
        <v>3890</v>
      </c>
      <c r="H548" s="1213" t="s">
        <v>96</v>
      </c>
      <c r="I548" s="144" t="s">
        <v>340</v>
      </c>
      <c r="J548" s="1221" t="s">
        <v>2332</v>
      </c>
      <c r="K548" s="1235" t="s">
        <v>111</v>
      </c>
      <c r="L548" s="1244" t="s">
        <v>3864</v>
      </c>
      <c r="M548" s="1168"/>
      <c r="N548" s="1149"/>
      <c r="O548" s="141" t="str">
        <f t="shared" si="9"/>
        <v xml:space="preserve">بوحسون  عبد القادر </v>
      </c>
      <c r="P548" s="141" t="s">
        <v>2318</v>
      </c>
      <c r="Q548" s="141"/>
      <c r="R548" s="276"/>
      <c r="S548" s="989"/>
      <c r="T548" s="237"/>
      <c r="U548" s="28"/>
    </row>
    <row r="549" spans="1:25" ht="16.5" customHeight="1">
      <c r="A549" s="140">
        <v>541</v>
      </c>
      <c r="B549" s="141"/>
      <c r="C549" s="1186" t="s">
        <v>2494</v>
      </c>
      <c r="D549" s="1186" t="s">
        <v>2055</v>
      </c>
      <c r="E549" s="1187" t="s">
        <v>3321</v>
      </c>
      <c r="F549" s="1188" t="s">
        <v>3339</v>
      </c>
      <c r="G549" s="1202" t="s">
        <v>3890</v>
      </c>
      <c r="H549" s="1213" t="s">
        <v>91</v>
      </c>
      <c r="I549" s="144" t="s">
        <v>340</v>
      </c>
      <c r="J549" s="1221" t="s">
        <v>3380</v>
      </c>
      <c r="K549" s="1235" t="s">
        <v>111</v>
      </c>
      <c r="L549" s="1244" t="s">
        <v>3865</v>
      </c>
      <c r="M549" s="1168"/>
      <c r="N549" s="1149"/>
      <c r="O549" s="141" t="str">
        <f t="shared" si="9"/>
        <v xml:space="preserve">بوخاتمي  قويدر </v>
      </c>
      <c r="P549" s="141" t="s">
        <v>511</v>
      </c>
      <c r="Q549" s="141"/>
      <c r="R549" s="276"/>
      <c r="S549" s="989"/>
      <c r="T549" s="237"/>
      <c r="U549" s="28"/>
      <c r="V549"/>
      <c r="W549"/>
      <c r="X549"/>
      <c r="Y549"/>
    </row>
    <row r="550" spans="1:25" s="969" customFormat="1" ht="16.5" customHeight="1">
      <c r="A550" s="140">
        <v>542</v>
      </c>
      <c r="B550" s="141"/>
      <c r="C550" s="1183" t="s">
        <v>2844</v>
      </c>
      <c r="D550" s="1183" t="s">
        <v>2845</v>
      </c>
      <c r="E550" s="1190" t="s">
        <v>3307</v>
      </c>
      <c r="F550" s="1191" t="s">
        <v>90</v>
      </c>
      <c r="G550" s="1201" t="s">
        <v>3890</v>
      </c>
      <c r="H550" s="1209" t="s">
        <v>96</v>
      </c>
      <c r="I550" s="144" t="s">
        <v>340</v>
      </c>
      <c r="J550" s="1222" t="s">
        <v>3479</v>
      </c>
      <c r="K550" s="1239" t="s">
        <v>2077</v>
      </c>
      <c r="L550" s="1246" t="s">
        <v>3866</v>
      </c>
      <c r="M550" s="1168"/>
      <c r="N550" s="1149"/>
      <c r="O550" s="141" t="str">
        <f t="shared" si="9"/>
        <v xml:space="preserve">تامرت  ياسين </v>
      </c>
      <c r="P550" s="141" t="s">
        <v>512</v>
      </c>
      <c r="Q550" s="141"/>
      <c r="R550" s="276"/>
      <c r="S550" s="989"/>
      <c r="T550" s="237"/>
      <c r="U550" s="28"/>
    </row>
    <row r="551" spans="1:25" ht="16.5" customHeight="1">
      <c r="A551" s="140">
        <v>543</v>
      </c>
      <c r="B551" s="141"/>
      <c r="C551" s="1186" t="s">
        <v>2382</v>
      </c>
      <c r="D551" s="1186" t="s">
        <v>2846</v>
      </c>
      <c r="E551" s="1187" t="s">
        <v>3322</v>
      </c>
      <c r="F551" s="1188" t="s">
        <v>90</v>
      </c>
      <c r="G551" s="1202" t="s">
        <v>3890</v>
      </c>
      <c r="H551" s="1213" t="s">
        <v>96</v>
      </c>
      <c r="I551" s="144" t="s">
        <v>340</v>
      </c>
      <c r="J551" s="1221" t="s">
        <v>2330</v>
      </c>
      <c r="K551" s="1238" t="s">
        <v>102</v>
      </c>
      <c r="L551" s="1244" t="s">
        <v>494</v>
      </c>
      <c r="M551" s="1168"/>
      <c r="N551" s="1149"/>
      <c r="O551" s="141" t="str">
        <f t="shared" si="9"/>
        <v xml:space="preserve">تونسي  يحي </v>
      </c>
      <c r="P551" s="141" t="s">
        <v>512</v>
      </c>
      <c r="Q551" s="141"/>
      <c r="R551" s="276"/>
      <c r="S551" s="989"/>
      <c r="T551" s="237"/>
      <c r="U551" s="28"/>
      <c r="V551"/>
      <c r="W551"/>
      <c r="X551"/>
      <c r="Y551"/>
    </row>
    <row r="552" spans="1:25" ht="16.5" customHeight="1">
      <c r="A552" s="140">
        <v>544</v>
      </c>
      <c r="B552" s="141"/>
      <c r="C552" s="1186" t="s">
        <v>170</v>
      </c>
      <c r="D552" s="1186" t="s">
        <v>2053</v>
      </c>
      <c r="E552" s="1187" t="s">
        <v>3309</v>
      </c>
      <c r="F552" s="1188" t="s">
        <v>90</v>
      </c>
      <c r="G552" s="1202" t="s">
        <v>3890</v>
      </c>
      <c r="H552" s="1213" t="s">
        <v>91</v>
      </c>
      <c r="I552" s="144" t="s">
        <v>340</v>
      </c>
      <c r="J552" s="1221" t="s">
        <v>2079</v>
      </c>
      <c r="K552" s="1238" t="s">
        <v>1192</v>
      </c>
      <c r="L552" s="1244" t="s">
        <v>3854</v>
      </c>
      <c r="M552" s="1170"/>
      <c r="N552" s="1149"/>
      <c r="O552" s="141" t="str">
        <f t="shared" si="9"/>
        <v xml:space="preserve">تيرس  سحنون </v>
      </c>
      <c r="P552" s="141" t="s">
        <v>512</v>
      </c>
      <c r="Q552" s="141"/>
      <c r="R552" s="276"/>
      <c r="S552" s="754"/>
      <c r="T552" s="237"/>
      <c r="U552" s="28"/>
      <c r="V552"/>
      <c r="W552"/>
      <c r="X552"/>
      <c r="Y552"/>
    </row>
    <row r="553" spans="1:25" ht="16.5" customHeight="1">
      <c r="A553" s="140">
        <v>545</v>
      </c>
      <c r="B553" s="141"/>
      <c r="C553" s="1186" t="s">
        <v>1121</v>
      </c>
      <c r="D553" s="1186" t="s">
        <v>2847</v>
      </c>
      <c r="E553" s="1187" t="s">
        <v>3323</v>
      </c>
      <c r="F553" s="1188" t="s">
        <v>90</v>
      </c>
      <c r="G553" s="1202" t="s">
        <v>3890</v>
      </c>
      <c r="H553" s="1213" t="s">
        <v>91</v>
      </c>
      <c r="I553" s="144" t="s">
        <v>340</v>
      </c>
      <c r="J553" s="1221"/>
      <c r="K553" s="1238" t="s">
        <v>111</v>
      </c>
      <c r="L553" s="1244"/>
      <c r="M553" s="1168"/>
      <c r="N553" s="1149"/>
      <c r="O553" s="141" t="str">
        <f t="shared" si="9"/>
        <v xml:space="preserve">حسني  </v>
      </c>
      <c r="P553" s="141" t="s">
        <v>511</v>
      </c>
      <c r="Q553" s="141"/>
      <c r="R553" s="276"/>
      <c r="S553" s="989"/>
      <c r="T553" s="237"/>
      <c r="U553" s="28"/>
      <c r="V553"/>
      <c r="W553"/>
      <c r="X553"/>
      <c r="Y553"/>
    </row>
    <row r="554" spans="1:25" ht="16.5" customHeight="1">
      <c r="A554" s="140">
        <v>546</v>
      </c>
      <c r="B554" s="141"/>
      <c r="C554" s="1186" t="s">
        <v>2595</v>
      </c>
      <c r="D554" s="1186" t="s">
        <v>2848</v>
      </c>
      <c r="E554" s="1187" t="s">
        <v>2894</v>
      </c>
      <c r="F554" s="1188" t="s">
        <v>90</v>
      </c>
      <c r="G554" s="1202" t="s">
        <v>3890</v>
      </c>
      <c r="H554" s="1213" t="s">
        <v>91</v>
      </c>
      <c r="I554" s="144" t="s">
        <v>340</v>
      </c>
      <c r="J554" s="1221" t="s">
        <v>3453</v>
      </c>
      <c r="K554" s="1238" t="s">
        <v>113</v>
      </c>
      <c r="L554" s="1244" t="s">
        <v>3867</v>
      </c>
      <c r="M554" s="1168"/>
      <c r="N554" s="1149"/>
      <c r="O554" s="141" t="str">
        <f t="shared" si="9"/>
        <v xml:space="preserve">خليفة  طاهر </v>
      </c>
      <c r="P554" s="141" t="s">
        <v>511</v>
      </c>
      <c r="Q554" s="141"/>
      <c r="R554" s="276"/>
      <c r="S554" s="989"/>
      <c r="T554" s="237"/>
      <c r="U554" s="28"/>
      <c r="V554"/>
      <c r="W554"/>
      <c r="X554"/>
      <c r="Y554"/>
    </row>
    <row r="555" spans="1:25" ht="16.5" customHeight="1">
      <c r="A555" s="140">
        <v>547</v>
      </c>
      <c r="B555" s="141"/>
      <c r="C555" s="1186" t="s">
        <v>2813</v>
      </c>
      <c r="D555" s="1186" t="s">
        <v>2849</v>
      </c>
      <c r="E555" s="1187" t="s">
        <v>3324</v>
      </c>
      <c r="F555" s="1188" t="s">
        <v>3339</v>
      </c>
      <c r="G555" s="1202" t="s">
        <v>3890</v>
      </c>
      <c r="H555" s="1213" t="s">
        <v>91</v>
      </c>
      <c r="I555" s="144" t="s">
        <v>340</v>
      </c>
      <c r="J555" s="1221" t="s">
        <v>2173</v>
      </c>
      <c r="K555" s="1238" t="s">
        <v>128</v>
      </c>
      <c r="L555" s="1244" t="s">
        <v>3868</v>
      </c>
      <c r="M555" s="1168"/>
      <c r="N555" s="1149"/>
      <c r="O555" s="141" t="str">
        <f t="shared" si="9"/>
        <v xml:space="preserve">دومة  قادة </v>
      </c>
      <c r="P555" s="141" t="s">
        <v>511</v>
      </c>
      <c r="Q555" s="141"/>
      <c r="R555" s="276"/>
      <c r="S555" s="989"/>
      <c r="T555" s="237"/>
      <c r="U555" s="28"/>
      <c r="V555"/>
      <c r="W555"/>
      <c r="X555"/>
      <c r="Y555"/>
    </row>
    <row r="556" spans="1:25" s="817" customFormat="1" ht="16.5" customHeight="1">
      <c r="A556" s="140">
        <v>548</v>
      </c>
      <c r="B556" s="141"/>
      <c r="C556" s="1186" t="s">
        <v>1055</v>
      </c>
      <c r="D556" s="1186" t="s">
        <v>2850</v>
      </c>
      <c r="E556" s="1187" t="s">
        <v>3291</v>
      </c>
      <c r="F556" s="1188" t="s">
        <v>90</v>
      </c>
      <c r="G556" s="1202" t="s">
        <v>3890</v>
      </c>
      <c r="H556" s="1213" t="s">
        <v>96</v>
      </c>
      <c r="I556" s="144" t="s">
        <v>340</v>
      </c>
      <c r="J556" s="1221" t="s">
        <v>3443</v>
      </c>
      <c r="K556" s="1238"/>
      <c r="L556" s="1244" t="s">
        <v>494</v>
      </c>
      <c r="M556" s="1168"/>
      <c r="N556" s="1149"/>
      <c r="O556" s="141" t="str">
        <f t="shared" si="9"/>
        <v xml:space="preserve">ديدان  حاج </v>
      </c>
      <c r="P556" s="141" t="s">
        <v>512</v>
      </c>
      <c r="Q556" s="141"/>
      <c r="R556" s="276"/>
      <c r="S556" s="989"/>
      <c r="T556" s="237"/>
      <c r="U556" s="28"/>
    </row>
    <row r="557" spans="1:25" ht="16.5" customHeight="1">
      <c r="A557" s="140">
        <v>549</v>
      </c>
      <c r="B557" s="141"/>
      <c r="C557" s="1186" t="s">
        <v>2648</v>
      </c>
      <c r="D557" s="1186" t="s">
        <v>2851</v>
      </c>
      <c r="E557" s="1187" t="s">
        <v>3325</v>
      </c>
      <c r="F557" s="1188" t="s">
        <v>3359</v>
      </c>
      <c r="G557" s="1202" t="s">
        <v>3890</v>
      </c>
      <c r="H557" s="1213" t="s">
        <v>96</v>
      </c>
      <c r="I557" s="144" t="s">
        <v>340</v>
      </c>
      <c r="J557" s="1221"/>
      <c r="K557" s="1238" t="s">
        <v>103</v>
      </c>
      <c r="L557" s="1244"/>
      <c r="M557" s="1168"/>
      <c r="N557" s="1149"/>
      <c r="O557" s="141" t="str">
        <f t="shared" si="9"/>
        <v xml:space="preserve">رابح  </v>
      </c>
      <c r="P557" s="141" t="s">
        <v>512</v>
      </c>
      <c r="Q557" s="141"/>
      <c r="R557" s="276"/>
      <c r="S557" s="989"/>
      <c r="T557" s="237"/>
      <c r="U557" s="28"/>
      <c r="V557"/>
      <c r="W557"/>
      <c r="X557"/>
      <c r="Y557"/>
    </row>
    <row r="558" spans="1:25" ht="16.5" customHeight="1">
      <c r="A558" s="140">
        <v>550</v>
      </c>
      <c r="B558" s="141"/>
      <c r="C558" s="1194" t="s">
        <v>2867</v>
      </c>
      <c r="D558" s="1194" t="s">
        <v>2868</v>
      </c>
      <c r="E558" s="1195">
        <v>39580</v>
      </c>
      <c r="F558" s="1182"/>
      <c r="G558" s="1202" t="s">
        <v>3890</v>
      </c>
      <c r="H558" s="1213" t="s">
        <v>96</v>
      </c>
      <c r="I558" s="144" t="s">
        <v>340</v>
      </c>
      <c r="J558" s="1219"/>
      <c r="K558" s="1238"/>
      <c r="L558" s="1247"/>
      <c r="M558" s="1168"/>
      <c r="N558" s="1149"/>
      <c r="O558" s="141" t="str">
        <f t="shared" si="9"/>
        <v xml:space="preserve">زناسلي  </v>
      </c>
      <c r="P558" s="141" t="s">
        <v>511</v>
      </c>
      <c r="Q558" s="141"/>
      <c r="R558" s="276"/>
      <c r="S558" s="989"/>
      <c r="T558" s="237"/>
      <c r="U558" s="28"/>
      <c r="V558"/>
      <c r="W558"/>
      <c r="X558"/>
      <c r="Y558"/>
    </row>
    <row r="559" spans="1:25" s="397" customFormat="1" ht="16.5" customHeight="1">
      <c r="A559" s="140">
        <v>551</v>
      </c>
      <c r="B559" s="141"/>
      <c r="C559" s="1186" t="s">
        <v>2852</v>
      </c>
      <c r="D559" s="1186" t="s">
        <v>2853</v>
      </c>
      <c r="E559" s="1187" t="s">
        <v>3326</v>
      </c>
      <c r="F559" s="1188" t="s">
        <v>90</v>
      </c>
      <c r="G559" s="1202" t="s">
        <v>3890</v>
      </c>
      <c r="H559" s="1213" t="s">
        <v>91</v>
      </c>
      <c r="I559" s="144" t="s">
        <v>340</v>
      </c>
      <c r="J559" s="1221" t="s">
        <v>3480</v>
      </c>
      <c r="K559" s="1238" t="s">
        <v>128</v>
      </c>
      <c r="L559" s="1244" t="s">
        <v>3869</v>
      </c>
      <c r="M559" s="1168"/>
      <c r="N559" s="1149"/>
      <c r="O559" s="141" t="str">
        <f t="shared" si="9"/>
        <v xml:space="preserve">زوهري  زيتوني </v>
      </c>
      <c r="P559" s="141" t="s">
        <v>511</v>
      </c>
      <c r="Q559" s="141"/>
      <c r="R559" s="276"/>
      <c r="S559" s="989"/>
      <c r="T559" s="237"/>
      <c r="U559" s="28"/>
      <c r="V559" s="28"/>
      <c r="W559" s="28"/>
      <c r="X559" s="28"/>
      <c r="Y559" s="28"/>
    </row>
    <row r="560" spans="1:25" s="815" customFormat="1" ht="16.5" customHeight="1">
      <c r="A560" s="140">
        <v>552</v>
      </c>
      <c r="B560" s="141"/>
      <c r="C560" s="1183" t="s">
        <v>2854</v>
      </c>
      <c r="D560" s="1183" t="s">
        <v>2855</v>
      </c>
      <c r="E560" s="1184" t="s">
        <v>3009</v>
      </c>
      <c r="F560" s="1185" t="s">
        <v>3338</v>
      </c>
      <c r="G560" s="1201" t="s">
        <v>3890</v>
      </c>
      <c r="H560" s="1209" t="s">
        <v>91</v>
      </c>
      <c r="I560" s="144" t="s">
        <v>340</v>
      </c>
      <c r="J560" s="1222" t="s">
        <v>3441</v>
      </c>
      <c r="K560" s="1239" t="s">
        <v>1886</v>
      </c>
      <c r="L560" s="1246" t="s">
        <v>3870</v>
      </c>
      <c r="M560" s="1171"/>
      <c r="N560" s="1149"/>
      <c r="O560" s="141" t="str">
        <f t="shared" si="9"/>
        <v xml:space="preserve">ضياف  عثمان </v>
      </c>
      <c r="P560" s="141" t="s">
        <v>512</v>
      </c>
      <c r="Q560" s="141"/>
      <c r="R560" s="276"/>
      <c r="S560" s="989"/>
      <c r="T560" s="237"/>
      <c r="U560" s="28"/>
      <c r="V560" s="28"/>
      <c r="W560" s="28"/>
      <c r="X560" s="28"/>
      <c r="Y560" s="28"/>
    </row>
    <row r="561" spans="1:25" s="969" customFormat="1" ht="16.5" customHeight="1">
      <c r="A561" s="140">
        <v>553</v>
      </c>
      <c r="B561" s="141"/>
      <c r="C561" s="1186" t="s">
        <v>56</v>
      </c>
      <c r="D561" s="1186" t="s">
        <v>2055</v>
      </c>
      <c r="E561" s="1187" t="s">
        <v>3327</v>
      </c>
      <c r="F561" s="1188" t="s">
        <v>90</v>
      </c>
      <c r="G561" s="1202" t="s">
        <v>3890</v>
      </c>
      <c r="H561" s="1213" t="s">
        <v>91</v>
      </c>
      <c r="I561" s="144" t="s">
        <v>340</v>
      </c>
      <c r="J561" s="1221" t="s">
        <v>3376</v>
      </c>
      <c r="K561" s="1238"/>
      <c r="L561" s="1244" t="s">
        <v>3871</v>
      </c>
      <c r="M561" s="1168"/>
      <c r="N561" s="1149"/>
      <c r="O561" s="141" t="str">
        <f t="shared" si="9"/>
        <v xml:space="preserve">عدوني  يوسف </v>
      </c>
      <c r="P561" s="141" t="s">
        <v>511</v>
      </c>
      <c r="Q561" s="141"/>
      <c r="R561" s="276"/>
      <c r="S561" s="989"/>
      <c r="T561" s="237"/>
      <c r="U561" s="28"/>
      <c r="V561" s="28"/>
      <c r="W561" s="28"/>
      <c r="X561" s="28"/>
      <c r="Y561" s="28"/>
    </row>
    <row r="562" spans="1:25" ht="16.5" customHeight="1">
      <c r="A562" s="140">
        <v>554</v>
      </c>
      <c r="B562" s="141"/>
      <c r="C562" s="1186" t="s">
        <v>2856</v>
      </c>
      <c r="D562" s="1186" t="s">
        <v>2857</v>
      </c>
      <c r="E562" s="1187" t="s">
        <v>3224</v>
      </c>
      <c r="F562" s="1188" t="s">
        <v>3339</v>
      </c>
      <c r="G562" s="1202" t="s">
        <v>3890</v>
      </c>
      <c r="H562" s="1213" t="s">
        <v>91</v>
      </c>
      <c r="I562" s="144" t="s">
        <v>340</v>
      </c>
      <c r="J562" s="1221" t="s">
        <v>3481</v>
      </c>
      <c r="K562" s="1238" t="s">
        <v>111</v>
      </c>
      <c r="L562" s="1244" t="s">
        <v>3872</v>
      </c>
      <c r="M562" s="1170"/>
      <c r="N562" s="1149"/>
      <c r="O562" s="141" t="str">
        <f t="shared" si="9"/>
        <v xml:space="preserve">فريكش  رابح </v>
      </c>
      <c r="P562" s="141" t="s">
        <v>511</v>
      </c>
      <c r="Q562" s="141"/>
      <c r="R562" s="276"/>
      <c r="S562" s="991"/>
      <c r="T562" s="237"/>
      <c r="U562" s="28"/>
    </row>
    <row r="563" spans="1:25" ht="16.5" customHeight="1">
      <c r="A563" s="140">
        <v>555</v>
      </c>
      <c r="B563" s="141"/>
      <c r="C563" s="1186" t="s">
        <v>2858</v>
      </c>
      <c r="D563" s="1186" t="s">
        <v>2859</v>
      </c>
      <c r="E563" s="1187" t="s">
        <v>3328</v>
      </c>
      <c r="F563" s="1188" t="s">
        <v>3339</v>
      </c>
      <c r="G563" s="1202" t="s">
        <v>3890</v>
      </c>
      <c r="H563" s="1213" t="s">
        <v>91</v>
      </c>
      <c r="I563" s="144" t="s">
        <v>340</v>
      </c>
      <c r="J563" s="1221" t="s">
        <v>2325</v>
      </c>
      <c r="K563" s="1238" t="s">
        <v>102</v>
      </c>
      <c r="L563" s="1244" t="s">
        <v>3580</v>
      </c>
      <c r="M563" s="1168"/>
      <c r="N563" s="1149"/>
      <c r="O563" s="141" t="str">
        <f t="shared" si="9"/>
        <v xml:space="preserve">محمودي  محمد </v>
      </c>
      <c r="P563" s="141" t="s">
        <v>511</v>
      </c>
      <c r="Q563" s="141"/>
      <c r="R563" s="276"/>
      <c r="S563" s="991"/>
      <c r="T563" s="404"/>
      <c r="U563" s="28"/>
    </row>
    <row r="564" spans="1:25" s="833" customFormat="1" ht="16.5" customHeight="1">
      <c r="A564" s="140">
        <v>556</v>
      </c>
      <c r="B564" s="141"/>
      <c r="C564" s="1186" t="s">
        <v>2406</v>
      </c>
      <c r="D564" s="1186" t="s">
        <v>2031</v>
      </c>
      <c r="E564" s="1187" t="s">
        <v>3329</v>
      </c>
      <c r="F564" s="1188" t="s">
        <v>90</v>
      </c>
      <c r="G564" s="1202" t="s">
        <v>3890</v>
      </c>
      <c r="H564" s="1213" t="s">
        <v>91</v>
      </c>
      <c r="I564" s="144" t="s">
        <v>340</v>
      </c>
      <c r="J564" s="1221" t="s">
        <v>2332</v>
      </c>
      <c r="K564" s="1238" t="s">
        <v>111</v>
      </c>
      <c r="L564" s="1244" t="s">
        <v>3642</v>
      </c>
      <c r="M564" s="1168"/>
      <c r="N564" s="1149"/>
      <c r="O564" s="141" t="str">
        <f t="shared" si="9"/>
        <v xml:space="preserve">مرابط  عبد القادر </v>
      </c>
      <c r="P564" s="141" t="s">
        <v>511</v>
      </c>
      <c r="Q564" s="141"/>
      <c r="R564" s="276"/>
      <c r="S564" s="991"/>
      <c r="T564" s="404"/>
      <c r="U564" s="28"/>
      <c r="V564" s="28"/>
      <c r="W564" s="28"/>
      <c r="X564" s="28"/>
      <c r="Y564" s="28"/>
    </row>
    <row r="565" spans="1:25" s="421" customFormat="1" ht="16.5" customHeight="1">
      <c r="A565" s="140">
        <v>557</v>
      </c>
      <c r="B565" s="141"/>
      <c r="C565" s="1186" t="s">
        <v>2793</v>
      </c>
      <c r="D565" s="1186" t="s">
        <v>61</v>
      </c>
      <c r="E565" s="1187" t="s">
        <v>3330</v>
      </c>
      <c r="F565" s="1188" t="s">
        <v>90</v>
      </c>
      <c r="G565" s="1202" t="s">
        <v>3890</v>
      </c>
      <c r="H565" s="1213" t="s">
        <v>91</v>
      </c>
      <c r="I565" s="144" t="s">
        <v>340</v>
      </c>
      <c r="J565" s="1221" t="s">
        <v>3443</v>
      </c>
      <c r="K565" s="1238" t="s">
        <v>111</v>
      </c>
      <c r="L565" s="1244" t="s">
        <v>494</v>
      </c>
      <c r="M565" s="1168"/>
      <c r="N565" s="1149"/>
      <c r="O565" s="141" t="str">
        <f t="shared" si="9"/>
        <v xml:space="preserve">مشتت  حاج </v>
      </c>
      <c r="P565" s="141" t="s">
        <v>511</v>
      </c>
      <c r="Q565" s="141"/>
      <c r="R565" s="276"/>
      <c r="S565" s="991"/>
      <c r="T565" s="237"/>
      <c r="U565" s="28"/>
      <c r="V565" s="28"/>
      <c r="W565" s="28"/>
      <c r="X565" s="28"/>
      <c r="Y565" s="28"/>
    </row>
    <row r="566" spans="1:25" ht="16.5" customHeight="1">
      <c r="A566" s="140">
        <v>558</v>
      </c>
      <c r="B566" s="141"/>
      <c r="C566" s="1186" t="s">
        <v>2606</v>
      </c>
      <c r="D566" s="1186" t="s">
        <v>2055</v>
      </c>
      <c r="E566" s="1187" t="s">
        <v>3308</v>
      </c>
      <c r="F566" s="1188" t="s">
        <v>90</v>
      </c>
      <c r="G566" s="1202" t="s">
        <v>3890</v>
      </c>
      <c r="H566" s="1213" t="s">
        <v>91</v>
      </c>
      <c r="I566" s="144" t="s">
        <v>340</v>
      </c>
      <c r="J566" s="1221" t="s">
        <v>2332</v>
      </c>
      <c r="K566" s="1238" t="s">
        <v>103</v>
      </c>
      <c r="L566" s="1244" t="s">
        <v>3873</v>
      </c>
      <c r="M566" s="1168"/>
      <c r="N566" s="1149"/>
      <c r="O566" s="141" t="str">
        <f t="shared" si="9"/>
        <v xml:space="preserve">مصري  عبد القادر </v>
      </c>
      <c r="P566" s="141" t="s">
        <v>511</v>
      </c>
      <c r="Q566" s="141"/>
      <c r="R566" s="276"/>
      <c r="S566" s="991"/>
      <c r="T566" s="237"/>
      <c r="U566" s="28"/>
    </row>
    <row r="567" spans="1:25" s="830" customFormat="1" ht="16.5" customHeight="1">
      <c r="A567" s="140">
        <v>559</v>
      </c>
      <c r="B567" s="141"/>
      <c r="C567" s="1186" t="s">
        <v>1013</v>
      </c>
      <c r="D567" s="1186" t="s">
        <v>2860</v>
      </c>
      <c r="E567" s="1187" t="s">
        <v>3331</v>
      </c>
      <c r="F567" s="1188" t="s">
        <v>90</v>
      </c>
      <c r="G567" s="1202" t="s">
        <v>3890</v>
      </c>
      <c r="H567" s="1213" t="s">
        <v>91</v>
      </c>
      <c r="I567" s="144" t="s">
        <v>340</v>
      </c>
      <c r="J567" s="1221" t="s">
        <v>3482</v>
      </c>
      <c r="K567" s="1238"/>
      <c r="L567" s="1244" t="s">
        <v>494</v>
      </c>
      <c r="M567" s="1168"/>
      <c r="N567" s="1149"/>
      <c r="O567" s="141" t="str">
        <f t="shared" si="9"/>
        <v xml:space="preserve">معطى الله  نور العرب </v>
      </c>
      <c r="P567" s="141" t="s">
        <v>512</v>
      </c>
      <c r="Q567" s="141"/>
      <c r="R567" s="276"/>
      <c r="S567" s="991"/>
      <c r="T567" s="237"/>
      <c r="U567" s="28"/>
      <c r="V567" s="28"/>
      <c r="W567" s="28"/>
      <c r="X567" s="28"/>
      <c r="Y567" s="28"/>
    </row>
    <row r="568" spans="1:25" ht="16.5" customHeight="1">
      <c r="A568" s="140">
        <v>560</v>
      </c>
      <c r="B568" s="141"/>
      <c r="C568" s="1183" t="s">
        <v>2450</v>
      </c>
      <c r="D568" s="1183" t="s">
        <v>2861</v>
      </c>
      <c r="E568" s="1184" t="s">
        <v>3332</v>
      </c>
      <c r="F568" s="1191" t="s">
        <v>3339</v>
      </c>
      <c r="G568" s="1201" t="s">
        <v>3890</v>
      </c>
      <c r="H568" s="1209" t="s">
        <v>91</v>
      </c>
      <c r="I568" s="144" t="s">
        <v>340</v>
      </c>
      <c r="J568" s="1222" t="s">
        <v>2325</v>
      </c>
      <c r="K568" s="1239" t="s">
        <v>97</v>
      </c>
      <c r="L568" s="1246" t="s">
        <v>3874</v>
      </c>
      <c r="M568" s="1168"/>
      <c r="N568" s="1149"/>
      <c r="O568" s="141" t="str">
        <f t="shared" si="9"/>
        <v xml:space="preserve">مكي  محمد </v>
      </c>
      <c r="P568" s="141" t="s">
        <v>511</v>
      </c>
      <c r="Q568" s="141"/>
      <c r="R568" s="276"/>
      <c r="S568" s="991"/>
      <c r="T568" s="237"/>
      <c r="U568" s="28"/>
    </row>
    <row r="569" spans="1:25" ht="16.5" customHeight="1">
      <c r="A569" s="140">
        <v>561</v>
      </c>
      <c r="B569" s="141"/>
      <c r="C569" s="1186" t="s">
        <v>1885</v>
      </c>
      <c r="D569" s="1186" t="s">
        <v>2862</v>
      </c>
      <c r="E569" s="1187" t="s">
        <v>3249</v>
      </c>
      <c r="F569" s="1188" t="s">
        <v>3339</v>
      </c>
      <c r="G569" s="1202" t="s">
        <v>3890</v>
      </c>
      <c r="H569" s="1213" t="s">
        <v>91</v>
      </c>
      <c r="I569" s="144" t="s">
        <v>340</v>
      </c>
      <c r="J569" s="1221" t="s">
        <v>3406</v>
      </c>
      <c r="K569" s="1238" t="s">
        <v>111</v>
      </c>
      <c r="L569" s="1244" t="s">
        <v>3875</v>
      </c>
      <c r="M569" s="1168"/>
      <c r="N569" s="1149"/>
      <c r="O569" s="141" t="str">
        <f t="shared" si="9"/>
        <v xml:space="preserve">منور  زواوي </v>
      </c>
      <c r="P569" s="141" t="s">
        <v>511</v>
      </c>
      <c r="Q569" s="141"/>
      <c r="R569" s="276"/>
      <c r="S569" s="991"/>
      <c r="T569" s="237"/>
      <c r="U569" s="28"/>
    </row>
    <row r="570" spans="1:25" ht="16.5" customHeight="1">
      <c r="A570" s="140">
        <v>562</v>
      </c>
      <c r="B570" s="141"/>
      <c r="C570" s="1186" t="s">
        <v>2525</v>
      </c>
      <c r="D570" s="1186" t="s">
        <v>1877</v>
      </c>
      <c r="E570" s="1187" t="s">
        <v>3334</v>
      </c>
      <c r="F570" s="1188" t="s">
        <v>3339</v>
      </c>
      <c r="G570" s="1202" t="s">
        <v>3890</v>
      </c>
      <c r="H570" s="1213" t="s">
        <v>96</v>
      </c>
      <c r="I570" s="144" t="s">
        <v>340</v>
      </c>
      <c r="J570" s="1221" t="s">
        <v>2325</v>
      </c>
      <c r="K570" s="1238"/>
      <c r="L570" s="1244" t="s">
        <v>3876</v>
      </c>
      <c r="M570" s="1170"/>
      <c r="N570" s="1149"/>
      <c r="O570" s="141" t="str">
        <f t="shared" si="9"/>
        <v xml:space="preserve">نوار  محمد </v>
      </c>
      <c r="P570" s="141" t="s">
        <v>512</v>
      </c>
      <c r="Q570" s="141"/>
      <c r="R570" s="276"/>
      <c r="S570" s="991"/>
      <c r="T570" s="404"/>
      <c r="U570" s="28"/>
    </row>
    <row r="571" spans="1:25" s="831" customFormat="1" ht="16.5" customHeight="1">
      <c r="A571" s="140">
        <v>563</v>
      </c>
      <c r="B571" s="141"/>
      <c r="C571" s="1186" t="s">
        <v>2393</v>
      </c>
      <c r="D571" s="1186" t="s">
        <v>2864</v>
      </c>
      <c r="E571" s="1187" t="s">
        <v>3335</v>
      </c>
      <c r="F571" s="1188" t="s">
        <v>3339</v>
      </c>
      <c r="G571" s="1202" t="s">
        <v>3890</v>
      </c>
      <c r="H571" s="1213" t="s">
        <v>91</v>
      </c>
      <c r="I571" s="144" t="s">
        <v>340</v>
      </c>
      <c r="J571" s="1221" t="s">
        <v>3387</v>
      </c>
      <c r="K571" s="1235" t="s">
        <v>102</v>
      </c>
      <c r="L571" s="1244" t="s">
        <v>3877</v>
      </c>
      <c r="M571" s="1168"/>
      <c r="N571" s="1149"/>
      <c r="O571" s="141" t="str">
        <f t="shared" si="9"/>
        <v xml:space="preserve">هامل  ميلود </v>
      </c>
      <c r="P571" s="141" t="s">
        <v>512</v>
      </c>
      <c r="Q571" s="141"/>
      <c r="R571" s="276"/>
      <c r="S571" s="991"/>
      <c r="T571" s="404"/>
      <c r="U571" s="28"/>
      <c r="V571" s="28"/>
      <c r="W571" s="28"/>
      <c r="X571" s="28"/>
      <c r="Y571" s="28"/>
    </row>
    <row r="572" spans="1:25" ht="16.5" customHeight="1">
      <c r="A572" s="140">
        <v>564</v>
      </c>
      <c r="B572" s="141"/>
      <c r="C572" s="1186" t="s">
        <v>1847</v>
      </c>
      <c r="D572" s="1186" t="s">
        <v>53</v>
      </c>
      <c r="E572" s="1187" t="s">
        <v>3336</v>
      </c>
      <c r="F572" s="1188" t="s">
        <v>90</v>
      </c>
      <c r="G572" s="1202" t="s">
        <v>3890</v>
      </c>
      <c r="H572" s="1213" t="s">
        <v>91</v>
      </c>
      <c r="I572" s="144" t="s">
        <v>340</v>
      </c>
      <c r="J572" s="1221" t="s">
        <v>1416</v>
      </c>
      <c r="K572" s="1235" t="s">
        <v>805</v>
      </c>
      <c r="L572" s="1244" t="s">
        <v>3878</v>
      </c>
      <c r="M572" s="1168"/>
      <c r="N572" s="1149"/>
      <c r="O572" s="141" t="str">
        <f t="shared" si="9"/>
        <v xml:space="preserve">واجد  شعيب </v>
      </c>
      <c r="P572" s="141" t="s">
        <v>512</v>
      </c>
      <c r="Q572" s="141"/>
      <c r="R572" s="276"/>
      <c r="S572" s="991"/>
      <c r="T572" s="764"/>
      <c r="U572" s="28"/>
    </row>
    <row r="573" spans="1:25" ht="16.5" customHeight="1">
      <c r="A573" s="140">
        <v>565</v>
      </c>
      <c r="B573" s="141"/>
      <c r="C573" s="1186" t="s">
        <v>1997</v>
      </c>
      <c r="D573" s="1186" t="s">
        <v>2865</v>
      </c>
      <c r="E573" s="1187" t="s">
        <v>3337</v>
      </c>
      <c r="F573" s="1188" t="s">
        <v>90</v>
      </c>
      <c r="G573" s="1202" t="s">
        <v>3890</v>
      </c>
      <c r="H573" s="1213" t="s">
        <v>91</v>
      </c>
      <c r="I573" s="144" t="s">
        <v>340</v>
      </c>
      <c r="J573" s="1221" t="s">
        <v>3395</v>
      </c>
      <c r="K573" s="1235" t="s">
        <v>1194</v>
      </c>
      <c r="L573" s="1244" t="s">
        <v>3626</v>
      </c>
      <c r="M573" s="1168"/>
      <c r="N573" s="1149"/>
      <c r="O573" s="141" t="str">
        <f t="shared" si="9"/>
        <v xml:space="preserve">يعقوب  بلقاسم </v>
      </c>
      <c r="P573" s="141" t="s">
        <v>511</v>
      </c>
      <c r="Q573" s="141"/>
      <c r="R573" s="144"/>
      <c r="S573" s="991"/>
      <c r="T573" s="237"/>
      <c r="U573" s="28"/>
    </row>
    <row r="574" spans="1:25" ht="16.5" customHeight="1">
      <c r="A574" s="140">
        <v>566</v>
      </c>
      <c r="B574" s="141"/>
      <c r="C574" s="1186" t="s">
        <v>1472</v>
      </c>
      <c r="D574" s="1186" t="s">
        <v>2866</v>
      </c>
      <c r="E574" s="1187" t="s">
        <v>3091</v>
      </c>
      <c r="F574" s="1188" t="s">
        <v>3339</v>
      </c>
      <c r="G574" s="1202" t="s">
        <v>3890</v>
      </c>
      <c r="H574" s="1213" t="s">
        <v>91</v>
      </c>
      <c r="I574" s="144" t="s">
        <v>340</v>
      </c>
      <c r="J574" s="1221" t="s">
        <v>2316</v>
      </c>
      <c r="K574" s="1228" t="s">
        <v>111</v>
      </c>
      <c r="L574" s="1244" t="s">
        <v>3879</v>
      </c>
      <c r="M574" s="1168"/>
      <c r="N574" s="1149"/>
      <c r="O574" s="141" t="str">
        <f t="shared" si="9"/>
        <v xml:space="preserve">يوب  قدور </v>
      </c>
      <c r="P574" s="141" t="s">
        <v>511</v>
      </c>
      <c r="Q574" s="141"/>
      <c r="R574" s="276"/>
      <c r="S574" s="991"/>
      <c r="T574" s="237"/>
      <c r="U574" s="28"/>
    </row>
    <row r="575" spans="1:25" ht="16.5" customHeight="1">
      <c r="A575" s="140">
        <v>567</v>
      </c>
      <c r="B575" s="141"/>
      <c r="C575" s="1179"/>
      <c r="D575" s="1179"/>
      <c r="E575" s="1174"/>
      <c r="F575" s="1173"/>
      <c r="G575" s="1201"/>
      <c r="H575" s="1209"/>
      <c r="I575" s="144" t="s">
        <v>340</v>
      </c>
      <c r="J575" s="1218"/>
      <c r="K575" s="1224"/>
      <c r="L575" s="1243"/>
      <c r="M575" s="1168"/>
      <c r="N575" s="1149"/>
      <c r="O575" s="141" t="str">
        <f t="shared" si="9"/>
        <v xml:space="preserve">  </v>
      </c>
      <c r="P575" s="141" t="s">
        <v>511</v>
      </c>
      <c r="Q575" s="141"/>
      <c r="R575" s="276"/>
      <c r="S575" s="991"/>
      <c r="T575" s="237"/>
      <c r="U575" s="28"/>
    </row>
    <row r="576" spans="1:25" s="818" customFormat="1" ht="16.5" customHeight="1">
      <c r="A576" s="140">
        <v>568</v>
      </c>
      <c r="B576" s="141"/>
      <c r="C576" s="1179"/>
      <c r="D576" s="1179"/>
      <c r="E576" s="1174"/>
      <c r="F576" s="1173"/>
      <c r="G576" s="1201"/>
      <c r="H576" s="1209"/>
      <c r="I576" s="144"/>
      <c r="J576" s="1165" t="s">
        <v>2316</v>
      </c>
      <c r="K576" s="1225"/>
      <c r="L576" s="1243"/>
      <c r="M576" s="1168"/>
      <c r="N576" s="1149"/>
      <c r="O576" s="141"/>
      <c r="P576" s="141"/>
      <c r="Q576" s="141"/>
      <c r="R576" s="276"/>
      <c r="S576" s="991"/>
      <c r="T576" s="404"/>
      <c r="U576" s="28"/>
      <c r="V576" s="28"/>
      <c r="W576" s="28"/>
      <c r="X576" s="28"/>
      <c r="Y576" s="28"/>
    </row>
    <row r="577" spans="1:25" ht="16.5" customHeight="1">
      <c r="A577" s="140">
        <v>569</v>
      </c>
      <c r="B577" s="141"/>
      <c r="C577" s="1179"/>
      <c r="D577" s="1179"/>
      <c r="E577" s="1174"/>
      <c r="F577" s="1173"/>
      <c r="G577" s="1201"/>
      <c r="H577" s="1209"/>
      <c r="I577" s="144"/>
      <c r="J577" s="1149"/>
      <c r="K577" s="1149"/>
      <c r="L577" s="1243"/>
      <c r="M577" s="1149"/>
      <c r="N577" s="1149"/>
      <c r="O577" s="141"/>
      <c r="P577" s="141"/>
      <c r="Q577" s="141"/>
      <c r="R577" s="276"/>
      <c r="S577" s="991"/>
      <c r="T577" s="671"/>
      <c r="U577" s="28"/>
      <c r="V577"/>
      <c r="W577"/>
      <c r="X577"/>
      <c r="Y577"/>
    </row>
    <row r="578" spans="1:25" ht="16.5" customHeight="1">
      <c r="A578" s="140">
        <v>570</v>
      </c>
      <c r="B578" s="141"/>
      <c r="C578" s="1179"/>
      <c r="D578" s="1179"/>
      <c r="E578" s="1174"/>
      <c r="F578" s="1173"/>
      <c r="G578" s="1201"/>
      <c r="H578" s="1209"/>
      <c r="I578" s="144"/>
      <c r="J578" s="1149"/>
      <c r="K578" s="1167"/>
      <c r="L578" s="1243"/>
      <c r="M578" s="1149"/>
      <c r="N578" s="1149"/>
      <c r="O578" s="141"/>
      <c r="P578" s="141"/>
      <c r="Q578" s="141"/>
      <c r="R578" s="276"/>
      <c r="S578" s="991"/>
      <c r="T578" s="671" t="s">
        <v>628</v>
      </c>
      <c r="U578" s="28"/>
      <c r="V578"/>
      <c r="W578"/>
      <c r="X578"/>
      <c r="Y578"/>
    </row>
    <row r="579" spans="1:25" ht="16.5" customHeight="1">
      <c r="A579" s="140">
        <v>571</v>
      </c>
      <c r="B579" s="141"/>
      <c r="C579" s="1179"/>
      <c r="D579" s="1179"/>
      <c r="E579" s="1174"/>
      <c r="F579" s="1173"/>
      <c r="G579" s="1201"/>
      <c r="H579" s="1208"/>
      <c r="I579" s="144"/>
      <c r="J579" s="1149"/>
      <c r="K579" s="1149"/>
      <c r="L579" s="1243"/>
      <c r="M579" s="1149"/>
      <c r="N579" s="1149"/>
      <c r="O579" s="141"/>
      <c r="P579" s="141"/>
      <c r="Q579" s="141"/>
      <c r="R579" s="276"/>
      <c r="S579" s="753"/>
      <c r="T579" s="671" t="s">
        <v>628</v>
      </c>
      <c r="U579" s="28"/>
      <c r="V579"/>
      <c r="W579"/>
      <c r="X579"/>
      <c r="Y579"/>
    </row>
    <row r="580" spans="1:25" ht="16.5" customHeight="1">
      <c r="A580" s="140">
        <v>572</v>
      </c>
      <c r="B580" s="141"/>
      <c r="C580" s="1179"/>
      <c r="D580" s="1179"/>
      <c r="E580" s="1174"/>
      <c r="F580" s="1178"/>
      <c r="G580" s="1158"/>
      <c r="H580" s="1208"/>
      <c r="I580" s="144"/>
      <c r="J580" s="1149"/>
      <c r="K580" s="1149"/>
      <c r="L580" s="1243"/>
      <c r="M580" s="1149"/>
      <c r="N580" s="1149"/>
      <c r="O580" s="141"/>
      <c r="P580" s="141"/>
      <c r="Q580" s="141"/>
      <c r="R580" s="276"/>
      <c r="S580" s="753"/>
      <c r="T580" s="259"/>
      <c r="U580" s="28"/>
      <c r="V580"/>
      <c r="W580"/>
      <c r="X580"/>
      <c r="Y580"/>
    </row>
    <row r="581" spans="1:25" ht="16.5" customHeight="1">
      <c r="A581" s="140">
        <v>573</v>
      </c>
      <c r="B581" s="141"/>
      <c r="C581" s="1179"/>
      <c r="D581" s="1179"/>
      <c r="E581" s="1174"/>
      <c r="F581" s="1173"/>
      <c r="G581" s="1158"/>
      <c r="H581" s="1208"/>
      <c r="I581" s="144"/>
      <c r="J581" s="1149"/>
      <c r="K581" s="1149"/>
      <c r="L581" s="1149"/>
      <c r="M581" s="1149"/>
      <c r="N581" s="1149"/>
      <c r="O581" s="141"/>
      <c r="P581" s="141"/>
      <c r="Q581" s="141"/>
      <c r="R581" s="276"/>
      <c r="S581" s="753"/>
      <c r="T581" s="237"/>
      <c r="U581" s="28"/>
      <c r="V581"/>
      <c r="W581"/>
      <c r="X581"/>
      <c r="Y581"/>
    </row>
    <row r="582" spans="1:25" s="969" customFormat="1" ht="16.5" customHeight="1">
      <c r="A582" s="140">
        <v>574</v>
      </c>
      <c r="B582" s="141"/>
      <c r="C582" s="1179"/>
      <c r="D582" s="1179"/>
      <c r="E582" s="1174"/>
      <c r="F582" s="1177"/>
      <c r="G582" s="1158"/>
      <c r="H582" s="1160"/>
      <c r="I582" s="144"/>
      <c r="J582" s="1167"/>
      <c r="K582" s="1167"/>
      <c r="L582" s="1149"/>
      <c r="M582" s="1149"/>
      <c r="N582" s="1149"/>
      <c r="O582" s="141"/>
      <c r="P582" s="141"/>
      <c r="Q582" s="141"/>
      <c r="R582" s="276"/>
      <c r="S582" s="753"/>
      <c r="T582" s="237"/>
      <c r="U582" s="28"/>
    </row>
    <row r="583" spans="1:25" ht="16.5" customHeight="1">
      <c r="A583" s="140">
        <v>575</v>
      </c>
      <c r="B583" s="141"/>
      <c r="C583" s="1179"/>
      <c r="D583" s="1179"/>
      <c r="E583" s="1174"/>
      <c r="F583" s="1173"/>
      <c r="G583" s="1158"/>
      <c r="H583" s="1160"/>
      <c r="I583" s="144"/>
      <c r="J583" s="1149"/>
      <c r="K583" s="1149"/>
      <c r="L583" s="1149"/>
      <c r="M583" s="1149"/>
      <c r="N583" s="1149"/>
      <c r="O583" s="141"/>
      <c r="P583" s="141"/>
      <c r="Q583" s="141"/>
      <c r="R583" s="276"/>
      <c r="S583" s="753"/>
      <c r="T583" s="237"/>
      <c r="U583" s="28"/>
      <c r="V583"/>
      <c r="W583"/>
      <c r="X583"/>
      <c r="Y583"/>
    </row>
    <row r="584" spans="1:25" s="830" customFormat="1" ht="16.5" customHeight="1">
      <c r="A584" s="140">
        <v>576</v>
      </c>
      <c r="B584" s="141"/>
      <c r="C584" s="1179"/>
      <c r="D584" s="1179"/>
      <c r="E584" s="1174"/>
      <c r="F584" s="1173"/>
      <c r="G584" s="1158"/>
      <c r="H584" s="1160"/>
      <c r="I584" s="144"/>
      <c r="J584" s="1167"/>
      <c r="K584" s="1167"/>
      <c r="L584" s="1149"/>
      <c r="M584" s="1149"/>
      <c r="N584" s="1149"/>
      <c r="O584" s="141"/>
      <c r="P584" s="141"/>
      <c r="Q584" s="141"/>
      <c r="R584" s="276"/>
      <c r="S584" s="753"/>
      <c r="T584" s="237"/>
      <c r="U584" s="28"/>
    </row>
    <row r="585" spans="1:25" ht="16.5" customHeight="1">
      <c r="A585" s="140">
        <v>577</v>
      </c>
      <c r="B585" s="141"/>
      <c r="C585" s="1179"/>
      <c r="D585" s="1179"/>
      <c r="E585" s="1174"/>
      <c r="F585" s="1173"/>
      <c r="G585" s="1158"/>
      <c r="H585" s="1160"/>
      <c r="I585" s="144"/>
      <c r="J585" s="1149"/>
      <c r="K585" s="1149"/>
      <c r="L585" s="1149"/>
      <c r="M585" s="1149"/>
      <c r="N585" s="1149"/>
      <c r="O585" s="141"/>
      <c r="P585" s="141"/>
      <c r="Q585" s="141"/>
      <c r="R585" s="276"/>
      <c r="S585" s="753"/>
      <c r="T585" s="237"/>
      <c r="U585" s="28"/>
      <c r="V585"/>
      <c r="W585"/>
      <c r="X585"/>
      <c r="Y585"/>
    </row>
    <row r="586" spans="1:25" ht="16.5" customHeight="1">
      <c r="A586" s="140">
        <v>578</v>
      </c>
      <c r="B586" s="141"/>
      <c r="C586" s="1179"/>
      <c r="D586" s="1179"/>
      <c r="E586" s="1174"/>
      <c r="F586" s="1173"/>
      <c r="G586" s="1158"/>
      <c r="H586" s="1159"/>
      <c r="I586" s="144"/>
      <c r="J586" s="1149"/>
      <c r="K586" s="1149"/>
      <c r="L586" s="1149"/>
      <c r="M586" s="1149"/>
      <c r="N586" s="1149"/>
      <c r="O586" s="141"/>
      <c r="P586" s="141"/>
      <c r="Q586" s="141"/>
      <c r="R586" s="276"/>
      <c r="S586" s="753"/>
      <c r="T586" s="237"/>
      <c r="U586" s="28"/>
      <c r="V586"/>
      <c r="W586"/>
      <c r="X586"/>
      <c r="Y586"/>
    </row>
    <row r="587" spans="1:25" s="968" customFormat="1" ht="16.5" customHeight="1">
      <c r="A587" s="140">
        <v>579</v>
      </c>
      <c r="B587" s="141"/>
      <c r="C587" s="1179"/>
      <c r="D587" s="1179"/>
      <c r="E587" s="1174"/>
      <c r="F587" s="1173"/>
      <c r="G587" s="1158"/>
      <c r="H587" s="1159"/>
      <c r="I587" s="144"/>
      <c r="J587" s="1149"/>
      <c r="K587" s="1149"/>
      <c r="L587" s="720"/>
      <c r="M587" s="1149"/>
      <c r="N587" s="1149"/>
      <c r="O587" s="141"/>
      <c r="P587" s="141"/>
      <c r="Q587" s="141"/>
      <c r="R587" s="276"/>
      <c r="S587" s="753"/>
      <c r="T587" s="237"/>
      <c r="U587" s="28"/>
    </row>
    <row r="588" spans="1:25" ht="16.5" customHeight="1">
      <c r="A588" s="140">
        <v>580</v>
      </c>
      <c r="B588" s="141"/>
      <c r="C588" s="1179"/>
      <c r="D588" s="1179"/>
      <c r="E588" s="1174"/>
      <c r="F588" s="1173"/>
      <c r="G588" s="1158"/>
      <c r="H588" s="1159"/>
      <c r="I588" s="144"/>
      <c r="J588" s="1149"/>
      <c r="K588" s="1149"/>
      <c r="L588" s="1149"/>
      <c r="M588" s="1149"/>
      <c r="N588" s="1149"/>
      <c r="O588" s="141"/>
      <c r="P588" s="141"/>
      <c r="Q588" s="141"/>
      <c r="R588" s="276"/>
      <c r="S588" s="753"/>
      <c r="T588" s="237"/>
      <c r="U588" s="28"/>
      <c r="V588"/>
      <c r="W588"/>
      <c r="X588"/>
      <c r="Y588"/>
    </row>
    <row r="589" spans="1:25" ht="16.5" customHeight="1">
      <c r="A589" s="140">
        <v>581</v>
      </c>
      <c r="B589" s="141"/>
      <c r="C589" s="1179"/>
      <c r="D589" s="1179"/>
      <c r="E589" s="1174"/>
      <c r="F589" s="1173"/>
      <c r="G589" s="1158"/>
      <c r="H589" s="1159"/>
      <c r="I589" s="144"/>
      <c r="J589" s="1149"/>
      <c r="K589" s="1149"/>
      <c r="L589" s="1149"/>
      <c r="M589" s="1149"/>
      <c r="N589" s="1149"/>
      <c r="O589" s="141"/>
      <c r="P589" s="141"/>
      <c r="Q589" s="141"/>
      <c r="R589" s="276"/>
      <c r="S589" s="753"/>
      <c r="T589" s="237"/>
      <c r="U589" s="28"/>
      <c r="V589"/>
      <c r="W589"/>
      <c r="X589"/>
      <c r="Y589"/>
    </row>
    <row r="590" spans="1:25" s="961" customFormat="1" ht="16.5" customHeight="1">
      <c r="A590" s="140">
        <v>582</v>
      </c>
      <c r="B590" s="141"/>
      <c r="C590" s="1179"/>
      <c r="D590" s="1179"/>
      <c r="E590" s="1174"/>
      <c r="F590" s="1173"/>
      <c r="G590" s="1158"/>
      <c r="H590" s="1159"/>
      <c r="I590" s="144"/>
      <c r="J590" s="1149"/>
      <c r="K590" s="1149"/>
      <c r="L590" s="1149"/>
      <c r="M590" s="1149"/>
      <c r="N590" s="1149"/>
      <c r="O590" s="141"/>
      <c r="P590" s="141"/>
      <c r="Q590" s="141"/>
      <c r="R590" s="276"/>
      <c r="S590" s="753"/>
      <c r="T590" s="237"/>
      <c r="U590" s="28"/>
    </row>
    <row r="591" spans="1:25" ht="16.5" customHeight="1">
      <c r="A591" s="140">
        <v>583</v>
      </c>
      <c r="B591" s="141"/>
      <c r="C591" s="1179"/>
      <c r="D591" s="1179"/>
      <c r="E591" s="1174"/>
      <c r="F591" s="1173"/>
      <c r="G591" s="1158"/>
      <c r="H591" s="1160"/>
      <c r="I591" s="144"/>
      <c r="J591" s="1149"/>
      <c r="K591" s="1149"/>
      <c r="L591" s="1149"/>
      <c r="M591" s="1149"/>
      <c r="N591" s="1149"/>
      <c r="O591" s="141"/>
      <c r="P591" s="141"/>
      <c r="Q591" s="141"/>
      <c r="R591" s="276"/>
      <c r="S591" s="753"/>
      <c r="T591" s="259"/>
      <c r="U591" s="28"/>
      <c r="V591"/>
      <c r="W591"/>
      <c r="X591"/>
      <c r="Y591"/>
    </row>
    <row r="592" spans="1:25" ht="16.5" customHeight="1">
      <c r="A592" s="140">
        <v>584</v>
      </c>
      <c r="B592" s="141"/>
      <c r="C592" s="1179"/>
      <c r="D592" s="1179"/>
      <c r="E592" s="1174"/>
      <c r="F592" s="1173"/>
      <c r="G592" s="1158"/>
      <c r="H592" s="1160"/>
      <c r="I592" s="144"/>
      <c r="J592" s="1149"/>
      <c r="K592" s="1149"/>
      <c r="L592" s="1149"/>
      <c r="M592" s="1149"/>
      <c r="N592" s="1149"/>
      <c r="O592" s="141"/>
      <c r="P592" s="141"/>
      <c r="Q592" s="141"/>
      <c r="R592" s="276"/>
      <c r="S592" s="753"/>
      <c r="T592" s="404"/>
      <c r="U592" s="28"/>
      <c r="V592"/>
      <c r="W592"/>
      <c r="X592"/>
      <c r="Y592"/>
    </row>
    <row r="593" spans="1:27" ht="16.5" customHeight="1">
      <c r="A593" s="140">
        <v>585</v>
      </c>
      <c r="B593" s="141"/>
      <c r="C593" s="1179"/>
      <c r="D593" s="1179"/>
      <c r="E593" s="1174"/>
      <c r="F593" s="1173"/>
      <c r="G593" s="1158"/>
      <c r="H593" s="1160"/>
      <c r="I593" s="144"/>
      <c r="J593" s="1149"/>
      <c r="K593" s="1149"/>
      <c r="L593" s="1149"/>
      <c r="M593" s="1149"/>
      <c r="N593" s="1149"/>
      <c r="O593" s="141"/>
      <c r="P593" s="141"/>
      <c r="Q593" s="141"/>
      <c r="R593" s="276"/>
      <c r="S593" s="753"/>
      <c r="T593" s="404"/>
      <c r="U593" s="28"/>
      <c r="V593"/>
      <c r="W593"/>
      <c r="X593"/>
      <c r="Y593"/>
    </row>
    <row r="594" spans="1:27" ht="16.5" customHeight="1">
      <c r="A594" s="140">
        <v>586</v>
      </c>
      <c r="B594" s="141"/>
      <c r="C594" s="1179"/>
      <c r="D594" s="1179"/>
      <c r="E594" s="1174"/>
      <c r="F594" s="1173"/>
      <c r="G594" s="1158"/>
      <c r="H594" s="1160"/>
      <c r="I594" s="144"/>
      <c r="J594" s="1149"/>
      <c r="K594" s="1149"/>
      <c r="L594" s="1149"/>
      <c r="M594" s="1149"/>
      <c r="N594" s="1149"/>
      <c r="O594" s="141"/>
      <c r="P594" s="141"/>
      <c r="Q594" s="141"/>
      <c r="R594" s="276"/>
      <c r="S594" s="753"/>
      <c r="T594" s="671"/>
      <c r="U594" s="28"/>
      <c r="V594"/>
      <c r="W594"/>
      <c r="X594"/>
      <c r="Y594"/>
    </row>
    <row r="595" spans="1:27" ht="16.5" customHeight="1">
      <c r="A595" s="140">
        <v>587</v>
      </c>
      <c r="B595" s="141"/>
      <c r="C595" s="1179"/>
      <c r="D595" s="1179"/>
      <c r="E595" s="1174"/>
      <c r="F595" s="1173"/>
      <c r="G595" s="1158"/>
      <c r="H595" s="1160"/>
      <c r="I595" s="144"/>
      <c r="J595" s="1149"/>
      <c r="K595" s="1149"/>
      <c r="L595" s="1149"/>
      <c r="M595" s="1149"/>
      <c r="N595" s="1149"/>
      <c r="O595" s="141"/>
      <c r="P595" s="141"/>
      <c r="Q595" s="141"/>
      <c r="R595" s="276"/>
      <c r="S595" s="753"/>
      <c r="T595" s="671"/>
      <c r="U595" s="28"/>
      <c r="V595"/>
      <c r="W595"/>
      <c r="X595"/>
      <c r="Y595"/>
    </row>
    <row r="596" spans="1:27" ht="16.5" customHeight="1">
      <c r="A596" s="140">
        <v>588</v>
      </c>
      <c r="B596" s="141"/>
      <c r="C596" s="1179"/>
      <c r="D596" s="1179"/>
      <c r="E596" s="1174"/>
      <c r="F596" s="1173"/>
      <c r="G596" s="1158"/>
      <c r="H596" s="1160"/>
      <c r="I596" s="144"/>
      <c r="J596" s="1149"/>
      <c r="K596" s="1149"/>
      <c r="L596" s="1149"/>
      <c r="M596" s="1149"/>
      <c r="N596" s="1149"/>
      <c r="O596" s="141"/>
      <c r="P596" s="141"/>
      <c r="Q596" s="141"/>
      <c r="R596" s="276"/>
      <c r="S596" s="753"/>
      <c r="T596" s="237"/>
      <c r="U596" s="28"/>
      <c r="V596"/>
      <c r="W596"/>
      <c r="X596"/>
      <c r="Y596"/>
    </row>
    <row r="597" spans="1:27" ht="16.5" customHeight="1">
      <c r="A597" s="140">
        <v>589</v>
      </c>
      <c r="B597" s="141"/>
      <c r="C597" s="1179"/>
      <c r="D597" s="1179"/>
      <c r="E597" s="1174"/>
      <c r="F597" s="1176"/>
      <c r="G597" s="1158"/>
      <c r="H597" s="1160"/>
      <c r="I597" s="144"/>
      <c r="J597" s="1149"/>
      <c r="K597" s="1149"/>
      <c r="L597" s="1149"/>
      <c r="M597" s="1149"/>
      <c r="N597" s="1149"/>
      <c r="O597" s="141"/>
      <c r="P597" s="141"/>
      <c r="Q597" s="141"/>
      <c r="R597" s="276"/>
      <c r="S597" s="753"/>
      <c r="T597" s="671"/>
      <c r="U597" s="28"/>
      <c r="V597"/>
      <c r="W597"/>
      <c r="X597"/>
      <c r="Y597"/>
    </row>
    <row r="598" spans="1:27" s="977" customFormat="1" ht="16.5" customHeight="1">
      <c r="A598" s="140">
        <v>590</v>
      </c>
      <c r="B598" s="141"/>
      <c r="C598" s="1179"/>
      <c r="D598" s="1179"/>
      <c r="E598" s="1174"/>
      <c r="F598" s="1177"/>
      <c r="G598" s="1158"/>
      <c r="H598" s="1160"/>
      <c r="I598" s="144"/>
      <c r="J598" s="1149"/>
      <c r="K598" s="1149"/>
      <c r="L598" s="1149"/>
      <c r="M598" s="1149"/>
      <c r="N598" s="1149"/>
      <c r="O598" s="141"/>
      <c r="P598" s="141"/>
      <c r="Q598" s="141"/>
      <c r="R598" s="276"/>
      <c r="S598" s="753"/>
      <c r="T598" s="671"/>
      <c r="U598" s="28"/>
    </row>
    <row r="599" spans="1:27" s="977" customFormat="1" ht="16.5" customHeight="1">
      <c r="A599" s="140">
        <v>591</v>
      </c>
      <c r="B599" s="141"/>
      <c r="C599" s="1179"/>
      <c r="D599" s="1179"/>
      <c r="E599" s="1174"/>
      <c r="F599" s="1177"/>
      <c r="G599" s="1158"/>
      <c r="H599" s="1160"/>
      <c r="I599" s="144"/>
      <c r="J599" s="1167"/>
      <c r="K599" s="1167"/>
      <c r="L599" s="1149"/>
      <c r="M599" s="1149"/>
      <c r="N599" s="1149"/>
      <c r="O599" s="141"/>
      <c r="P599" s="141"/>
      <c r="Q599" s="141"/>
      <c r="R599" s="276"/>
      <c r="S599" s="753"/>
      <c r="T599" s="671"/>
      <c r="U599" s="28"/>
    </row>
    <row r="600" spans="1:27" ht="16.5" customHeight="1">
      <c r="A600" s="140">
        <v>592</v>
      </c>
      <c r="B600" s="141"/>
      <c r="C600" s="1179"/>
      <c r="D600" s="1179"/>
      <c r="E600" s="1174"/>
      <c r="F600" s="1173"/>
      <c r="G600" s="1158"/>
      <c r="H600" s="1160"/>
      <c r="I600" s="144"/>
      <c r="J600" s="1167"/>
      <c r="K600" s="1167"/>
      <c r="L600" s="1149"/>
      <c r="M600" s="1149"/>
      <c r="N600" s="1149"/>
      <c r="O600" s="141"/>
      <c r="P600" s="141"/>
      <c r="Q600" s="141"/>
      <c r="R600" s="276"/>
      <c r="S600" s="753"/>
      <c r="T600" s="671"/>
      <c r="U600" s="28"/>
      <c r="V600"/>
      <c r="W600"/>
      <c r="X600"/>
      <c r="Y600"/>
    </row>
    <row r="601" spans="1:27" ht="16.5" customHeight="1">
      <c r="A601" s="140">
        <v>593</v>
      </c>
      <c r="B601" s="141"/>
      <c r="C601" s="1179"/>
      <c r="D601" s="1179"/>
      <c r="E601" s="1174"/>
      <c r="F601" s="1177"/>
      <c r="G601" s="1158"/>
      <c r="H601" s="1160"/>
      <c r="I601" s="144"/>
      <c r="J601" s="1149"/>
      <c r="K601" s="1149"/>
      <c r="L601" s="1149"/>
      <c r="M601" s="1149"/>
      <c r="N601" s="1149"/>
      <c r="O601" s="141"/>
      <c r="P601" s="141"/>
      <c r="Q601" s="141"/>
      <c r="R601" s="276"/>
      <c r="S601" s="753"/>
      <c r="T601" s="237"/>
      <c r="U601" s="28"/>
      <c r="V601"/>
      <c r="W601"/>
      <c r="X601"/>
      <c r="Y601"/>
    </row>
    <row r="602" spans="1:27" ht="16.5" customHeight="1">
      <c r="A602" s="140">
        <v>594</v>
      </c>
      <c r="B602" s="141"/>
      <c r="C602" s="1179"/>
      <c r="D602" s="1179"/>
      <c r="E602" s="1174"/>
      <c r="F602" s="1173"/>
      <c r="G602" s="1158"/>
      <c r="H602" s="1160"/>
      <c r="I602" s="144"/>
      <c r="J602" s="720"/>
      <c r="K602" s="1149"/>
      <c r="L602" s="1149"/>
      <c r="M602" s="1149"/>
      <c r="N602" s="1149"/>
      <c r="O602" s="141"/>
      <c r="P602" s="141"/>
      <c r="Q602" s="141"/>
      <c r="R602" s="276"/>
      <c r="S602" s="753"/>
      <c r="T602" s="237"/>
      <c r="U602" s="28"/>
      <c r="V602"/>
      <c r="W602"/>
      <c r="X602"/>
      <c r="Y602"/>
    </row>
    <row r="603" spans="1:27" ht="16.5" customHeight="1">
      <c r="A603" s="140">
        <v>595</v>
      </c>
      <c r="B603" s="141"/>
      <c r="C603" s="1179"/>
      <c r="D603" s="1179"/>
      <c r="E603" s="1174"/>
      <c r="F603" s="1173"/>
      <c r="G603" s="1158"/>
      <c r="H603" s="1160"/>
      <c r="I603" s="144"/>
      <c r="J603" s="1038"/>
      <c r="K603" s="1167"/>
      <c r="L603" s="1149"/>
      <c r="M603" s="1149"/>
      <c r="N603" s="1149"/>
      <c r="O603" s="141"/>
      <c r="P603" s="141"/>
      <c r="Q603" s="141"/>
      <c r="R603" s="276"/>
      <c r="S603" s="753"/>
      <c r="T603" s="237"/>
      <c r="U603" s="28"/>
      <c r="V603"/>
      <c r="W603"/>
      <c r="X603"/>
      <c r="Y603"/>
    </row>
    <row r="604" spans="1:27" ht="16.5" customHeight="1">
      <c r="A604" s="140">
        <v>596</v>
      </c>
      <c r="B604" s="141"/>
      <c r="C604" s="1179"/>
      <c r="D604" s="1179"/>
      <c r="E604" s="1174"/>
      <c r="F604" s="1173"/>
      <c r="G604" s="1158"/>
      <c r="H604" s="1160"/>
      <c r="I604" s="144"/>
      <c r="J604" s="1038"/>
      <c r="K604" s="1149"/>
      <c r="L604" s="1149"/>
      <c r="M604" s="1149"/>
      <c r="N604" s="1149"/>
      <c r="O604" s="141"/>
      <c r="P604" s="141"/>
      <c r="Q604" s="141"/>
      <c r="R604" s="276"/>
      <c r="S604" s="753"/>
      <c r="T604" s="237"/>
      <c r="U604" s="28"/>
    </row>
    <row r="605" spans="1:27" ht="16.5" customHeight="1">
      <c r="A605" s="140">
        <v>597</v>
      </c>
      <c r="B605" s="141"/>
      <c r="C605" s="1179"/>
      <c r="D605" s="1179"/>
      <c r="E605" s="1174"/>
      <c r="F605" s="1173"/>
      <c r="G605" s="1158"/>
      <c r="H605" s="1160"/>
      <c r="I605" s="144"/>
      <c r="J605" s="720"/>
      <c r="K605" s="1149"/>
      <c r="L605" s="1149"/>
      <c r="M605" s="1149"/>
      <c r="N605" s="1149"/>
      <c r="O605" s="141"/>
      <c r="P605" s="141"/>
      <c r="Q605" s="141"/>
      <c r="R605" s="276"/>
      <c r="S605" s="753"/>
      <c r="T605" s="237"/>
      <c r="U605" s="28"/>
    </row>
    <row r="606" spans="1:27" ht="16.5" customHeight="1">
      <c r="A606" s="140">
        <v>598</v>
      </c>
      <c r="B606" s="141"/>
      <c r="C606" s="1179"/>
      <c r="D606" s="1179"/>
      <c r="E606" s="1174"/>
      <c r="F606" s="1173"/>
      <c r="G606" s="1158"/>
      <c r="H606" s="1160"/>
      <c r="I606" s="144"/>
      <c r="J606" s="720"/>
      <c r="K606" s="1149"/>
      <c r="L606" s="1172"/>
      <c r="M606" s="1172"/>
      <c r="N606" s="1149"/>
      <c r="O606" s="141"/>
      <c r="P606" s="141"/>
      <c r="Q606" s="141"/>
      <c r="R606" s="276"/>
      <c r="S606" s="753"/>
      <c r="T606" s="237"/>
      <c r="U606" s="28"/>
      <c r="W606" s="234"/>
      <c r="X606" s="234"/>
      <c r="Y606" s="234"/>
      <c r="Z606" s="1"/>
      <c r="AA606" s="1"/>
    </row>
    <row r="607" spans="1:27" ht="16.5" customHeight="1">
      <c r="A607" s="140">
        <v>599</v>
      </c>
      <c r="B607" s="141"/>
      <c r="C607" s="1179"/>
      <c r="D607" s="1179"/>
      <c r="E607" s="1174"/>
      <c r="F607" s="1173"/>
      <c r="G607" s="1158"/>
      <c r="H607" s="1160"/>
      <c r="I607" s="144"/>
      <c r="J607" s="1038"/>
      <c r="K607" s="1149"/>
      <c r="L607" s="1172"/>
      <c r="M607" s="1149"/>
      <c r="N607" s="1149"/>
      <c r="O607" s="141"/>
      <c r="P607" s="141"/>
      <c r="Q607" s="141"/>
      <c r="R607" s="276"/>
      <c r="S607" s="753"/>
      <c r="T607" s="237"/>
      <c r="U607" s="28"/>
      <c r="W607" s="169"/>
      <c r="X607" s="232"/>
      <c r="Y607" s="233"/>
      <c r="Z607" s="169"/>
      <c r="AA607" s="1"/>
    </row>
    <row r="608" spans="1:27" ht="16.5" customHeight="1">
      <c r="A608" s="140">
        <v>600</v>
      </c>
      <c r="B608" s="141"/>
      <c r="C608" s="1179"/>
      <c r="D608" s="1179"/>
      <c r="E608" s="1174"/>
      <c r="F608" s="1173"/>
      <c r="G608" s="1158"/>
      <c r="H608" s="1160"/>
      <c r="I608" s="144"/>
      <c r="J608" s="720"/>
      <c r="K608" s="1149"/>
      <c r="L608" s="1149"/>
      <c r="M608" s="1149"/>
      <c r="N608" s="1149"/>
      <c r="O608" s="141"/>
      <c r="P608" s="141"/>
      <c r="Q608" s="141"/>
      <c r="R608" s="276"/>
      <c r="S608" s="753"/>
      <c r="T608" s="237"/>
      <c r="U608" s="28"/>
      <c r="W608" s="169"/>
      <c r="X608" s="232"/>
      <c r="Y608" s="233"/>
      <c r="Z608" s="169"/>
      <c r="AA608" s="1"/>
    </row>
    <row r="609" spans="1:27" ht="16.5" customHeight="1">
      <c r="A609" s="140">
        <v>601</v>
      </c>
      <c r="B609" s="141"/>
      <c r="C609" s="1179"/>
      <c r="D609" s="1179"/>
      <c r="E609" s="1174"/>
      <c r="F609" s="1173"/>
      <c r="G609" s="1158"/>
      <c r="H609" s="1160"/>
      <c r="I609" s="144"/>
      <c r="J609" s="720"/>
      <c r="K609" s="1149"/>
      <c r="L609" s="1149"/>
      <c r="M609" s="1149"/>
      <c r="N609" s="1149"/>
      <c r="O609" s="141"/>
      <c r="P609" s="141"/>
      <c r="Q609" s="141"/>
      <c r="R609" s="276"/>
      <c r="S609" s="753"/>
      <c r="T609" s="237"/>
      <c r="U609" s="28"/>
      <c r="W609" s="169"/>
      <c r="X609" s="232"/>
      <c r="Y609" s="233"/>
      <c r="Z609" s="169"/>
      <c r="AA609" s="1"/>
    </row>
    <row r="610" spans="1:27" ht="16.5" customHeight="1">
      <c r="A610" s="140">
        <v>602</v>
      </c>
      <c r="B610" s="141"/>
      <c r="C610" s="1179"/>
      <c r="D610" s="1179"/>
      <c r="E610" s="1174"/>
      <c r="F610" s="1173"/>
      <c r="G610" s="1158"/>
      <c r="H610" s="1160"/>
      <c r="I610" s="144"/>
      <c r="J610" s="720"/>
      <c r="K610" s="1149"/>
      <c r="L610" s="1149"/>
      <c r="M610" s="1149"/>
      <c r="N610" s="1149"/>
      <c r="O610" s="141"/>
      <c r="P610" s="141"/>
      <c r="Q610" s="141"/>
      <c r="R610" s="276"/>
      <c r="S610" s="753"/>
      <c r="T610" s="671" t="s">
        <v>628</v>
      </c>
      <c r="U610" s="28"/>
      <c r="W610" s="169"/>
      <c r="X610" s="232"/>
      <c r="Y610" s="233"/>
      <c r="Z610" s="169"/>
      <c r="AA610" s="1"/>
    </row>
    <row r="611" spans="1:27" ht="16.5" customHeight="1">
      <c r="A611" s="140">
        <v>603</v>
      </c>
      <c r="B611" s="141"/>
      <c r="C611" s="1179"/>
      <c r="D611" s="1179"/>
      <c r="E611" s="1174"/>
      <c r="F611" s="1173"/>
      <c r="G611" s="1158"/>
      <c r="H611" s="1160"/>
      <c r="I611" s="144"/>
      <c r="J611" s="720"/>
      <c r="K611" s="1149"/>
      <c r="L611" s="1149"/>
      <c r="M611" s="1149"/>
      <c r="N611" s="1149"/>
      <c r="O611" s="141"/>
      <c r="P611" s="141"/>
      <c r="Q611" s="141"/>
      <c r="R611" s="276"/>
      <c r="S611" s="753"/>
      <c r="T611" s="671"/>
      <c r="U611" s="28"/>
      <c r="W611" s="169"/>
      <c r="X611" s="232"/>
      <c r="Y611" s="233"/>
      <c r="Z611" s="169"/>
      <c r="AA611" s="1"/>
    </row>
    <row r="612" spans="1:27" ht="16.5" customHeight="1">
      <c r="A612" s="140">
        <v>604</v>
      </c>
      <c r="B612" s="141"/>
      <c r="C612" s="1179"/>
      <c r="D612" s="1179"/>
      <c r="E612" s="1174"/>
      <c r="F612" s="1180"/>
      <c r="G612" s="1158"/>
      <c r="H612" s="1160"/>
      <c r="I612" s="144"/>
      <c r="J612" s="720"/>
      <c r="K612" s="1149"/>
      <c r="L612" s="1149"/>
      <c r="M612" s="1149"/>
      <c r="N612" s="1149"/>
      <c r="O612" s="141"/>
      <c r="P612" s="141"/>
      <c r="Q612" s="141"/>
      <c r="R612" s="276"/>
      <c r="S612" s="753"/>
      <c r="T612" s="671" t="s">
        <v>628</v>
      </c>
      <c r="U612" s="28"/>
    </row>
    <row r="613" spans="1:27" ht="16.5" customHeight="1">
      <c r="A613" s="140">
        <v>605</v>
      </c>
      <c r="B613" s="141"/>
      <c r="C613" s="1179"/>
      <c r="D613" s="1179"/>
      <c r="E613" s="1174"/>
      <c r="F613" s="1173"/>
      <c r="G613" s="1158"/>
      <c r="H613" s="1160"/>
      <c r="I613" s="144"/>
      <c r="J613" s="720"/>
      <c r="K613" s="1149"/>
      <c r="L613" s="1149"/>
      <c r="M613" s="1149"/>
      <c r="N613" s="1149"/>
      <c r="O613" s="141"/>
      <c r="P613" s="141"/>
      <c r="Q613" s="141"/>
      <c r="R613" s="276"/>
      <c r="S613" s="753"/>
      <c r="T613" s="671" t="s">
        <v>628</v>
      </c>
      <c r="U613" s="28"/>
    </row>
    <row r="614" spans="1:27" ht="16.5" customHeight="1">
      <c r="A614" s="140">
        <v>606</v>
      </c>
      <c r="B614" s="141"/>
      <c r="C614" s="1179"/>
      <c r="D614" s="1179"/>
      <c r="E614" s="1174"/>
      <c r="F614" s="1173"/>
      <c r="G614" s="1158"/>
      <c r="H614" s="1160"/>
      <c r="I614" s="144"/>
      <c r="J614" s="720"/>
      <c r="K614" s="1167"/>
      <c r="L614" s="1149"/>
      <c r="M614" s="1149"/>
      <c r="N614" s="1149"/>
      <c r="O614" s="141"/>
      <c r="P614" s="141"/>
      <c r="Q614" s="141"/>
      <c r="R614" s="276"/>
      <c r="S614" s="753"/>
      <c r="T614" s="671" t="s">
        <v>628</v>
      </c>
      <c r="U614" s="28"/>
    </row>
    <row r="615" spans="1:27" ht="16.5" customHeight="1">
      <c r="A615" s="140">
        <v>607</v>
      </c>
      <c r="B615" s="141"/>
      <c r="C615" s="1179"/>
      <c r="D615" s="1179"/>
      <c r="E615" s="1174"/>
      <c r="F615" s="1173"/>
      <c r="G615" s="1158"/>
      <c r="H615" s="1160"/>
      <c r="I615" s="144"/>
      <c r="J615" s="720"/>
      <c r="K615" s="1149"/>
      <c r="L615" s="1149"/>
      <c r="M615" s="1149"/>
      <c r="N615" s="1149"/>
      <c r="O615" s="141"/>
      <c r="P615" s="141"/>
      <c r="Q615" s="141"/>
      <c r="R615" s="276"/>
      <c r="S615" s="753"/>
      <c r="T615" s="671" t="s">
        <v>628</v>
      </c>
      <c r="U615" s="28"/>
    </row>
    <row r="616" spans="1:27" ht="16.5" customHeight="1">
      <c r="A616" s="140">
        <v>608</v>
      </c>
      <c r="B616" s="141"/>
      <c r="C616" s="1179"/>
      <c r="D616" s="1179"/>
      <c r="E616" s="1174"/>
      <c r="F616" s="1173"/>
      <c r="G616" s="1158"/>
      <c r="H616" s="1160"/>
      <c r="I616" s="144"/>
      <c r="J616" s="720"/>
      <c r="K616" s="1149"/>
      <c r="L616" s="1149"/>
      <c r="M616" s="1149"/>
      <c r="N616" s="1149"/>
      <c r="O616" s="141"/>
      <c r="P616" s="141"/>
      <c r="Q616" s="141"/>
      <c r="R616" s="276"/>
      <c r="S616" s="753"/>
      <c r="T616" s="671" t="s">
        <v>628</v>
      </c>
      <c r="U616" s="28"/>
    </row>
    <row r="617" spans="1:27" s="968" customFormat="1" ht="16.5" customHeight="1">
      <c r="A617" s="140">
        <v>609</v>
      </c>
      <c r="B617" s="141"/>
      <c r="C617" s="1179"/>
      <c r="D617" s="1179"/>
      <c r="E617" s="1174"/>
      <c r="F617" s="1173"/>
      <c r="G617" s="1158"/>
      <c r="H617" s="1160"/>
      <c r="I617" s="144"/>
      <c r="J617" s="720"/>
      <c r="K617" s="1149"/>
      <c r="L617" s="1149"/>
      <c r="M617" s="1149"/>
      <c r="N617" s="1149"/>
      <c r="O617" s="141"/>
      <c r="P617" s="141"/>
      <c r="Q617" s="141"/>
      <c r="R617" s="276"/>
      <c r="S617" s="753"/>
      <c r="T617" s="671"/>
      <c r="U617" s="28"/>
      <c r="V617" s="28"/>
      <c r="W617" s="28"/>
      <c r="X617" s="28"/>
      <c r="Y617" s="28"/>
    </row>
    <row r="618" spans="1:27" s="822" customFormat="1" ht="16.5" customHeight="1">
      <c r="A618" s="140">
        <v>610</v>
      </c>
      <c r="B618" s="141"/>
      <c r="C618" s="1179"/>
      <c r="D618" s="1179"/>
      <c r="E618" s="1174"/>
      <c r="F618" s="1173"/>
      <c r="G618" s="1158"/>
      <c r="H618" s="1160"/>
      <c r="I618" s="144"/>
      <c r="J618" s="720"/>
      <c r="K618" s="1149"/>
      <c r="L618" s="1149"/>
      <c r="M618" s="1149"/>
      <c r="N618" s="1149"/>
      <c r="O618" s="141"/>
      <c r="P618" s="141"/>
      <c r="Q618" s="141"/>
      <c r="R618" s="276"/>
      <c r="S618" s="753"/>
      <c r="T618" s="671"/>
      <c r="U618" s="28"/>
      <c r="V618" s="28"/>
      <c r="W618" s="28"/>
      <c r="X618" s="28"/>
      <c r="Y618" s="28"/>
    </row>
    <row r="619" spans="1:27" ht="16.5" customHeight="1">
      <c r="A619" s="140">
        <v>611</v>
      </c>
      <c r="B619" s="141"/>
      <c r="C619" s="1179"/>
      <c r="D619" s="1179"/>
      <c r="E619" s="1174"/>
      <c r="F619" s="1173"/>
      <c r="G619" s="1158"/>
      <c r="H619" s="1160"/>
      <c r="I619" s="144"/>
      <c r="J619" s="1038"/>
      <c r="K619" s="1149"/>
      <c r="L619" s="1149"/>
      <c r="M619" s="1149"/>
      <c r="N619" s="1149"/>
      <c r="O619" s="141"/>
      <c r="P619" s="141"/>
      <c r="Q619" s="141"/>
      <c r="R619" s="276"/>
      <c r="S619" s="753"/>
      <c r="T619" s="404"/>
      <c r="U619" s="28"/>
    </row>
    <row r="620" spans="1:27" ht="16.5" customHeight="1">
      <c r="A620" s="140">
        <v>612</v>
      </c>
      <c r="B620" s="141"/>
      <c r="C620" s="1179"/>
      <c r="D620" s="1179"/>
      <c r="E620" s="1174"/>
      <c r="F620" s="1173"/>
      <c r="G620" s="1158"/>
      <c r="H620" s="1160"/>
      <c r="I620" s="144"/>
      <c r="J620" s="720"/>
      <c r="K620" s="1149"/>
      <c r="L620" s="1149"/>
      <c r="M620" s="1149"/>
      <c r="N620" s="1149"/>
      <c r="O620" s="141"/>
      <c r="P620" s="141"/>
      <c r="Q620" s="141"/>
      <c r="R620" s="276"/>
      <c r="S620" s="753"/>
      <c r="T620" s="404"/>
      <c r="U620" s="28"/>
    </row>
    <row r="621" spans="1:27" ht="16.5" customHeight="1">
      <c r="A621" s="140">
        <v>613</v>
      </c>
      <c r="B621" s="141"/>
      <c r="C621" s="1179"/>
      <c r="D621" s="1179"/>
      <c r="E621" s="1174"/>
      <c r="F621" s="1173"/>
      <c r="G621" s="1158"/>
      <c r="H621" s="1160"/>
      <c r="I621" s="144"/>
      <c r="J621" s="720"/>
      <c r="K621" s="1149"/>
      <c r="L621" s="1149"/>
      <c r="M621" s="1149"/>
      <c r="N621" s="1149"/>
      <c r="O621" s="141"/>
      <c r="P621" s="141"/>
      <c r="Q621" s="141"/>
      <c r="R621" s="276"/>
      <c r="S621" s="753"/>
      <c r="T621" s="237"/>
      <c r="U621" s="28"/>
    </row>
    <row r="622" spans="1:27" ht="16.5" customHeight="1">
      <c r="A622" s="140">
        <v>614</v>
      </c>
      <c r="B622" s="141"/>
      <c r="C622" s="1179"/>
      <c r="D622" s="1179"/>
      <c r="E622" s="1174"/>
      <c r="F622" s="1180"/>
      <c r="G622" s="1158"/>
      <c r="H622" s="1160"/>
      <c r="I622" s="144"/>
      <c r="J622" s="720"/>
      <c r="K622" s="1149"/>
      <c r="L622" s="1149"/>
      <c r="M622" s="1149"/>
      <c r="N622" s="1149"/>
      <c r="O622" s="141"/>
      <c r="P622" s="141"/>
      <c r="Q622" s="141"/>
      <c r="R622" s="276"/>
      <c r="S622" s="753"/>
      <c r="T622" s="404"/>
      <c r="U622" s="28"/>
    </row>
    <row r="623" spans="1:27" s="969" customFormat="1" ht="16.5" customHeight="1">
      <c r="A623" s="140">
        <v>615</v>
      </c>
      <c r="B623" s="141"/>
      <c r="C623" s="1179"/>
      <c r="D623" s="1179"/>
      <c r="E623" s="1174"/>
      <c r="F623" s="1173"/>
      <c r="G623" s="1158"/>
      <c r="H623" s="1160"/>
      <c r="I623" s="144"/>
      <c r="J623" s="720"/>
      <c r="K623" s="1149"/>
      <c r="L623" s="1149"/>
      <c r="M623" s="1149"/>
      <c r="N623" s="1149"/>
      <c r="O623" s="141"/>
      <c r="P623" s="141"/>
      <c r="Q623" s="141"/>
      <c r="R623" s="276"/>
      <c r="S623" s="753"/>
      <c r="T623" s="404"/>
      <c r="U623" s="28"/>
      <c r="V623" s="28"/>
      <c r="W623" s="28"/>
      <c r="X623" s="28"/>
      <c r="Y623" s="28"/>
    </row>
    <row r="624" spans="1:27" ht="16.5" customHeight="1">
      <c r="A624" s="140">
        <v>616</v>
      </c>
      <c r="B624" s="141"/>
      <c r="C624" s="1179"/>
      <c r="D624" s="1179"/>
      <c r="E624" s="1174"/>
      <c r="F624" s="1181"/>
      <c r="G624" s="1158"/>
      <c r="H624" s="1160"/>
      <c r="I624" s="144"/>
      <c r="J624" s="720"/>
      <c r="K624" s="1167"/>
      <c r="L624" s="1149"/>
      <c r="M624" s="1149"/>
      <c r="N624" s="1149"/>
      <c r="O624" s="141"/>
      <c r="P624" s="141"/>
      <c r="Q624" s="141"/>
      <c r="R624" s="276"/>
      <c r="S624" s="753"/>
      <c r="T624" s="671"/>
      <c r="U624" s="28"/>
      <c r="X624" s="234"/>
      <c r="Y624" s="234"/>
      <c r="Z624" s="1"/>
      <c r="AA624" s="1"/>
    </row>
    <row r="625" spans="1:27" ht="16.5" customHeight="1">
      <c r="A625" s="140">
        <v>617</v>
      </c>
      <c r="B625" s="141"/>
      <c r="C625" s="1179"/>
      <c r="D625" s="1179"/>
      <c r="E625" s="1174"/>
      <c r="F625" s="1173"/>
      <c r="G625" s="1158"/>
      <c r="H625" s="1159"/>
      <c r="I625" s="144"/>
      <c r="J625" s="720"/>
      <c r="K625" s="1149"/>
      <c r="L625" s="1149"/>
      <c r="M625" s="1149"/>
      <c r="N625" s="1149"/>
      <c r="O625" s="141"/>
      <c r="P625" s="141"/>
      <c r="Q625" s="141"/>
      <c r="R625" s="276"/>
      <c r="S625" s="753"/>
      <c r="T625" s="237"/>
      <c r="U625" s="28"/>
      <c r="X625" s="169"/>
      <c r="Y625" s="232"/>
      <c r="Z625" s="146"/>
      <c r="AA625" s="169"/>
    </row>
    <row r="626" spans="1:27" ht="16.5" customHeight="1">
      <c r="A626" s="140">
        <v>618</v>
      </c>
      <c r="B626" s="141"/>
      <c r="C626" s="1179"/>
      <c r="D626" s="1179"/>
      <c r="E626" s="1174"/>
      <c r="F626" s="1173"/>
      <c r="G626" s="1158"/>
      <c r="H626" s="1159"/>
      <c r="I626" s="144"/>
      <c r="J626" s="720"/>
      <c r="K626" s="1167"/>
      <c r="L626" s="1149"/>
      <c r="M626" s="1149"/>
      <c r="N626" s="1149"/>
      <c r="O626" s="141"/>
      <c r="P626" s="141"/>
      <c r="Q626" s="141"/>
      <c r="R626" s="276"/>
      <c r="S626" s="753"/>
      <c r="T626" s="671"/>
      <c r="U626" s="28"/>
      <c r="X626" s="169"/>
      <c r="Y626" s="232"/>
      <c r="Z626" s="146"/>
      <c r="AA626" s="169"/>
    </row>
    <row r="627" spans="1:27" ht="16.5" customHeight="1">
      <c r="A627" s="140">
        <v>619</v>
      </c>
      <c r="B627" s="141"/>
      <c r="C627" s="1179"/>
      <c r="D627" s="1179"/>
      <c r="E627" s="1174"/>
      <c r="F627" s="1173"/>
      <c r="G627" s="1158"/>
      <c r="H627" s="1159"/>
      <c r="I627" s="144"/>
      <c r="J627" s="720"/>
      <c r="K627" s="1149"/>
      <c r="L627" s="1149"/>
      <c r="M627" s="1149"/>
      <c r="N627" s="1149"/>
      <c r="O627" s="141"/>
      <c r="P627" s="141"/>
      <c r="Q627" s="141"/>
      <c r="R627" s="276"/>
      <c r="S627" s="753"/>
      <c r="T627" s="671"/>
      <c r="U627" s="28"/>
      <c r="X627" s="169"/>
      <c r="Y627" s="232"/>
      <c r="Z627" s="146"/>
      <c r="AA627" s="169"/>
    </row>
    <row r="628" spans="1:27" ht="16.5" customHeight="1">
      <c r="A628" s="140">
        <v>620</v>
      </c>
      <c r="B628" s="141"/>
      <c r="C628" s="1179"/>
      <c r="D628" s="1179"/>
      <c r="E628" s="1174"/>
      <c r="F628" s="1173"/>
      <c r="G628" s="1158"/>
      <c r="H628" s="1159"/>
      <c r="I628" s="144"/>
      <c r="J628" s="720"/>
      <c r="K628" s="1149"/>
      <c r="L628" s="1149"/>
      <c r="M628" s="1149"/>
      <c r="N628" s="1149"/>
      <c r="O628" s="141"/>
      <c r="P628" s="141"/>
      <c r="Q628" s="141"/>
      <c r="R628" s="276"/>
      <c r="S628" s="753"/>
      <c r="T628" s="671"/>
      <c r="U628" s="28"/>
      <c r="X628" s="169"/>
      <c r="Y628" s="232"/>
      <c r="Z628" s="146"/>
      <c r="AA628" s="169"/>
    </row>
    <row r="629" spans="1:27" ht="16.5" customHeight="1">
      <c r="A629" s="140">
        <v>621</v>
      </c>
      <c r="B629" s="141"/>
      <c r="C629" s="1179"/>
      <c r="D629" s="1179"/>
      <c r="E629" s="1174"/>
      <c r="F629" s="1173"/>
      <c r="G629" s="1158"/>
      <c r="H629" s="1159"/>
      <c r="I629" s="144"/>
      <c r="J629" s="1038"/>
      <c r="K629" s="1149"/>
      <c r="L629" s="1149"/>
      <c r="M629" s="1149"/>
      <c r="N629" s="1149"/>
      <c r="O629" s="141"/>
      <c r="P629" s="141"/>
      <c r="Q629" s="141"/>
      <c r="R629" s="276"/>
      <c r="S629" s="753"/>
      <c r="T629" s="404"/>
      <c r="U629" s="28"/>
      <c r="X629" s="169"/>
      <c r="Y629" s="232"/>
      <c r="Z629" s="146"/>
      <c r="AA629" s="169"/>
    </row>
    <row r="630" spans="1:27" ht="16.5" customHeight="1">
      <c r="A630" s="140">
        <v>622</v>
      </c>
      <c r="B630" s="141"/>
      <c r="C630" s="1179"/>
      <c r="D630" s="1179"/>
      <c r="E630" s="1174"/>
      <c r="F630" s="1173"/>
      <c r="G630" s="1158"/>
      <c r="H630" s="1160"/>
      <c r="I630" s="144"/>
      <c r="J630" s="720"/>
      <c r="K630" s="1149"/>
      <c r="L630" s="1149"/>
      <c r="M630" s="1149"/>
      <c r="N630" s="1149"/>
      <c r="O630" s="141"/>
      <c r="P630" s="141"/>
      <c r="Q630" s="141"/>
      <c r="R630" s="276"/>
      <c r="S630" s="753"/>
      <c r="T630" s="671"/>
      <c r="U630" s="28"/>
      <c r="X630" s="169"/>
      <c r="Y630" s="232"/>
      <c r="Z630" s="146"/>
      <c r="AA630" s="169"/>
    </row>
    <row r="631" spans="1:27" s="969" customFormat="1" ht="16.5" customHeight="1">
      <c r="A631" s="140">
        <v>623</v>
      </c>
      <c r="B631" s="141"/>
      <c r="C631" s="1179"/>
      <c r="D631" s="1179"/>
      <c r="E631" s="1174"/>
      <c r="F631" s="1173"/>
      <c r="G631" s="1158"/>
      <c r="H631" s="1160"/>
      <c r="I631" s="144"/>
      <c r="J631" s="1038"/>
      <c r="K631" s="1149"/>
      <c r="L631" s="1149"/>
      <c r="M631" s="1149"/>
      <c r="N631" s="1149"/>
      <c r="O631" s="141"/>
      <c r="P631" s="141"/>
      <c r="Q631" s="141"/>
      <c r="R631" s="276"/>
      <c r="S631" s="753"/>
      <c r="T631" s="671"/>
      <c r="U631" s="28"/>
      <c r="V631" s="28"/>
      <c r="W631" s="28"/>
      <c r="X631" s="169"/>
      <c r="Y631" s="232"/>
      <c r="Z631" s="146"/>
      <c r="AA631" s="169"/>
    </row>
    <row r="632" spans="1:27" ht="16.5" customHeight="1">
      <c r="A632" s="140">
        <v>624</v>
      </c>
      <c r="B632" s="141"/>
      <c r="C632" s="1179"/>
      <c r="D632" s="1179"/>
      <c r="E632" s="1174"/>
      <c r="F632" s="1173"/>
      <c r="G632" s="1158"/>
      <c r="H632" s="1160"/>
      <c r="I632" s="144"/>
      <c r="J632" s="720"/>
      <c r="K632" s="1149"/>
      <c r="L632" s="1149"/>
      <c r="M632" s="1149"/>
      <c r="N632" s="1156"/>
      <c r="O632" s="141"/>
      <c r="P632" s="141"/>
      <c r="Q632" s="141"/>
      <c r="R632" s="276"/>
      <c r="S632" s="753"/>
      <c r="T632" s="671"/>
      <c r="U632" s="28"/>
      <c r="X632" s="234"/>
      <c r="Y632" s="234"/>
      <c r="Z632" s="1"/>
      <c r="AA632" s="1"/>
    </row>
    <row r="633" spans="1:27" ht="16.5" customHeight="1">
      <c r="A633" s="140">
        <v>625</v>
      </c>
      <c r="B633" s="141"/>
      <c r="C633" s="1179"/>
      <c r="D633" s="1179"/>
      <c r="E633" s="1174"/>
      <c r="F633" s="1173"/>
      <c r="G633" s="1158"/>
      <c r="H633" s="1160"/>
      <c r="I633" s="144"/>
      <c r="J633" s="720"/>
      <c r="K633" s="1149"/>
      <c r="L633" s="1149"/>
      <c r="M633" s="1149"/>
      <c r="N633" s="1149"/>
      <c r="O633" s="141"/>
      <c r="P633" s="141"/>
      <c r="Q633" s="141"/>
      <c r="R633" s="276"/>
      <c r="S633" s="753"/>
      <c r="T633" s="259"/>
      <c r="U633" s="28"/>
      <c r="X633" s="234"/>
      <c r="Y633" s="234"/>
      <c r="Z633" s="1"/>
      <c r="AA633" s="1"/>
    </row>
    <row r="634" spans="1:27" ht="16.5" customHeight="1">
      <c r="A634" s="140">
        <v>626</v>
      </c>
      <c r="B634" s="141"/>
      <c r="C634" s="1179"/>
      <c r="D634" s="1179"/>
      <c r="E634" s="1174"/>
      <c r="F634" s="1173"/>
      <c r="G634" s="1158"/>
      <c r="H634" s="1160"/>
      <c r="I634" s="144"/>
      <c r="J634" s="720"/>
      <c r="K634" s="1149"/>
      <c r="L634" s="1149"/>
      <c r="M634" s="1149"/>
      <c r="N634" s="1149"/>
      <c r="O634" s="141"/>
      <c r="P634" s="141"/>
      <c r="Q634" s="141"/>
      <c r="R634" s="276"/>
      <c r="S634" s="753"/>
      <c r="T634" s="259"/>
      <c r="U634" s="28"/>
    </row>
    <row r="635" spans="1:27" s="438" customFormat="1" ht="16.5" customHeight="1">
      <c r="A635" s="140">
        <v>627</v>
      </c>
      <c r="B635" s="141"/>
      <c r="C635" s="1179"/>
      <c r="D635" s="1179"/>
      <c r="E635" s="1174"/>
      <c r="F635" s="1177"/>
      <c r="G635" s="1158"/>
      <c r="H635" s="1160"/>
      <c r="I635" s="144"/>
      <c r="J635" s="720"/>
      <c r="K635" s="1149"/>
      <c r="L635" s="1149"/>
      <c r="M635" s="1149"/>
      <c r="N635" s="1149"/>
      <c r="O635" s="141"/>
      <c r="P635" s="141"/>
      <c r="Q635" s="141"/>
      <c r="R635" s="144"/>
      <c r="S635" s="753"/>
      <c r="T635" s="404"/>
      <c r="U635" s="28"/>
      <c r="V635" s="28"/>
      <c r="W635" s="28"/>
      <c r="X635" s="28"/>
      <c r="Y635" s="28"/>
    </row>
    <row r="636" spans="1:27" s="438" customFormat="1" ht="16.5" customHeight="1">
      <c r="A636" s="140">
        <v>628</v>
      </c>
      <c r="B636" s="141"/>
      <c r="C636" s="1179"/>
      <c r="D636" s="1179"/>
      <c r="E636" s="1174"/>
      <c r="F636" s="1173"/>
      <c r="G636" s="1158"/>
      <c r="H636" s="1160"/>
      <c r="I636" s="144"/>
      <c r="J636" s="720"/>
      <c r="K636" s="1149"/>
      <c r="L636" s="1149"/>
      <c r="M636" s="1149"/>
      <c r="N636" s="1149"/>
      <c r="O636" s="141"/>
      <c r="P636" s="141"/>
      <c r="Q636" s="141"/>
      <c r="R636" s="276"/>
      <c r="S636" s="753"/>
      <c r="T636" s="404"/>
      <c r="U636" s="28"/>
      <c r="V636" s="28"/>
      <c r="W636" s="28"/>
      <c r="X636" s="28"/>
      <c r="Y636" s="28"/>
    </row>
    <row r="637" spans="1:27" s="968" customFormat="1" ht="16.5" customHeight="1">
      <c r="A637" s="140">
        <v>629</v>
      </c>
      <c r="B637" s="141"/>
      <c r="C637" s="1179"/>
      <c r="D637" s="1179"/>
      <c r="E637" s="1174"/>
      <c r="F637" s="1173"/>
      <c r="G637" s="1158"/>
      <c r="H637" s="1160"/>
      <c r="I637" s="144"/>
      <c r="J637" s="720"/>
      <c r="K637" s="1167"/>
      <c r="L637" s="1149"/>
      <c r="M637" s="1149"/>
      <c r="N637" s="1149"/>
      <c r="O637" s="141"/>
      <c r="P637" s="141"/>
      <c r="Q637" s="141"/>
      <c r="R637" s="276"/>
      <c r="S637" s="753"/>
      <c r="T637" s="404"/>
      <c r="U637" s="28"/>
      <c r="V637" s="28"/>
      <c r="W637" s="28"/>
      <c r="X637" s="28"/>
      <c r="Y637" s="28"/>
    </row>
    <row r="638" spans="1:27" s="993" customFormat="1" ht="16.5" customHeight="1">
      <c r="A638" s="140">
        <v>630</v>
      </c>
      <c r="B638" s="141"/>
      <c r="C638" s="1179"/>
      <c r="D638" s="1179"/>
      <c r="E638" s="1174"/>
      <c r="F638" s="1173"/>
      <c r="G638" s="1158"/>
      <c r="H638" s="1160"/>
      <c r="I638" s="144"/>
      <c r="J638" s="720"/>
      <c r="K638" s="1149"/>
      <c r="L638" s="1149"/>
      <c r="M638" s="1149"/>
      <c r="N638" s="1149"/>
      <c r="O638" s="141"/>
      <c r="P638" s="141"/>
      <c r="Q638" s="141"/>
      <c r="R638" s="276"/>
      <c r="S638" s="753"/>
      <c r="T638" s="404"/>
      <c r="U638" s="28"/>
      <c r="V638" s="28"/>
      <c r="W638" s="28"/>
      <c r="X638" s="28"/>
      <c r="Y638" s="28"/>
    </row>
    <row r="639" spans="1:27" s="440" customFormat="1" ht="16.5" customHeight="1">
      <c r="A639" s="140">
        <v>631</v>
      </c>
      <c r="B639" s="141"/>
      <c r="C639" s="1179"/>
      <c r="D639" s="1179"/>
      <c r="E639" s="1174"/>
      <c r="F639" s="1173"/>
      <c r="G639" s="1158"/>
      <c r="H639" s="1160"/>
      <c r="I639" s="144"/>
      <c r="J639" s="720"/>
      <c r="K639" s="1149"/>
      <c r="L639" s="1149"/>
      <c r="M639" s="1149"/>
      <c r="N639" s="1149"/>
      <c r="O639" s="141"/>
      <c r="P639" s="141"/>
      <c r="Q639" s="141"/>
      <c r="R639" s="276"/>
      <c r="S639" s="753"/>
      <c r="T639" s="237"/>
      <c r="U639" s="28"/>
      <c r="V639" s="28"/>
      <c r="W639" s="28"/>
      <c r="X639" s="28"/>
      <c r="Y639" s="28"/>
    </row>
    <row r="640" spans="1:27" s="968" customFormat="1" ht="16.5" customHeight="1">
      <c r="A640" s="140">
        <v>632</v>
      </c>
      <c r="B640" s="141"/>
      <c r="C640" s="1179"/>
      <c r="D640" s="1179"/>
      <c r="E640" s="1174"/>
      <c r="F640" s="1177"/>
      <c r="G640" s="1158"/>
      <c r="H640" s="1160"/>
      <c r="I640" s="144"/>
      <c r="J640" s="720"/>
      <c r="K640" s="1149"/>
      <c r="L640" s="1149"/>
      <c r="M640" s="1149"/>
      <c r="N640" s="1149"/>
      <c r="O640" s="141"/>
      <c r="P640" s="141"/>
      <c r="Q640" s="141"/>
      <c r="R640" s="276"/>
      <c r="S640" s="753"/>
      <c r="T640" s="237"/>
      <c r="U640" s="28"/>
      <c r="V640" s="28"/>
      <c r="W640" s="28"/>
      <c r="X640" s="28"/>
      <c r="Y640" s="28"/>
    </row>
    <row r="641" spans="1:27" s="968" customFormat="1" ht="16.5" customHeight="1">
      <c r="A641" s="140">
        <v>633</v>
      </c>
      <c r="B641" s="141"/>
      <c r="C641" s="1179"/>
      <c r="D641" s="1179"/>
      <c r="E641" s="1174"/>
      <c r="F641" s="1175"/>
      <c r="G641" s="1158"/>
      <c r="H641" s="1160"/>
      <c r="I641" s="144"/>
      <c r="J641" s="720"/>
      <c r="K641" s="1149"/>
      <c r="L641" s="1149"/>
      <c r="M641" s="1149"/>
      <c r="N641" s="1149"/>
      <c r="O641" s="141"/>
      <c r="P641" s="141"/>
      <c r="Q641" s="141"/>
      <c r="R641" s="276"/>
      <c r="S641" s="753"/>
      <c r="T641" s="237"/>
      <c r="U641" s="28"/>
      <c r="V641" s="28"/>
      <c r="W641" s="28"/>
      <c r="X641" s="28"/>
      <c r="Y641" s="28"/>
    </row>
    <row r="642" spans="1:27" s="815" customFormat="1" ht="16.5" customHeight="1">
      <c r="A642" s="140">
        <v>634</v>
      </c>
      <c r="B642" s="141"/>
      <c r="C642" s="1179"/>
      <c r="D642" s="1179"/>
      <c r="E642" s="1174"/>
      <c r="F642" s="1173"/>
      <c r="G642" s="1158"/>
      <c r="H642" s="1160"/>
      <c r="I642" s="144"/>
      <c r="J642" s="1038"/>
      <c r="K642" s="1167"/>
      <c r="L642" s="1149"/>
      <c r="M642" s="1149"/>
      <c r="N642" s="1155"/>
      <c r="O642" s="141"/>
      <c r="P642" s="141"/>
      <c r="Q642" s="141"/>
      <c r="R642" s="276"/>
      <c r="S642" s="753"/>
      <c r="T642" s="237"/>
      <c r="U642" s="28"/>
      <c r="V642" s="28"/>
      <c r="W642" s="28"/>
      <c r="X642" s="28"/>
      <c r="Y642" s="28"/>
    </row>
    <row r="643" spans="1:27" ht="16.5" customHeight="1">
      <c r="A643" s="140">
        <v>635</v>
      </c>
      <c r="B643" s="141"/>
      <c r="C643" s="1179"/>
      <c r="D643" s="1179"/>
      <c r="E643" s="1174"/>
      <c r="F643" s="1173"/>
      <c r="G643" s="1158"/>
      <c r="H643" s="1160"/>
      <c r="I643" s="144"/>
      <c r="J643" s="720"/>
      <c r="K643" s="720"/>
      <c r="L643" s="720"/>
      <c r="M643" s="145"/>
      <c r="N643" s="1149"/>
      <c r="O643" s="141"/>
      <c r="P643" s="141"/>
      <c r="Q643" s="141"/>
      <c r="R643" s="276"/>
      <c r="S643" s="753"/>
      <c r="T643" s="237"/>
      <c r="U643" s="28"/>
    </row>
    <row r="644" spans="1:27" ht="16.5" customHeight="1">
      <c r="A644" s="140">
        <v>636</v>
      </c>
      <c r="B644" s="141"/>
      <c r="C644" s="1179"/>
      <c r="D644" s="1179"/>
      <c r="E644" s="1174"/>
      <c r="F644" s="1173"/>
      <c r="G644" s="1158"/>
      <c r="H644" s="1160"/>
      <c r="I644" s="144"/>
      <c r="J644" s="720"/>
      <c r="K644" s="720"/>
      <c r="L644" s="720"/>
      <c r="M644" s="145"/>
      <c r="N644" s="1149"/>
      <c r="O644" s="141"/>
      <c r="P644" s="141"/>
      <c r="Q644" s="141"/>
      <c r="R644" s="276"/>
      <c r="S644" s="753"/>
      <c r="T644" s="237"/>
      <c r="U644" s="28"/>
    </row>
    <row r="645" spans="1:27" s="831" customFormat="1" ht="16.5" customHeight="1">
      <c r="A645" s="140">
        <v>637</v>
      </c>
      <c r="B645" s="141"/>
      <c r="C645" s="1179"/>
      <c r="D645" s="1179"/>
      <c r="E645" s="1174"/>
      <c r="F645" s="1177"/>
      <c r="G645" s="1158"/>
      <c r="H645" s="1160"/>
      <c r="I645" s="144"/>
      <c r="J645" s="720"/>
      <c r="K645" s="720"/>
      <c r="L645" s="720"/>
      <c r="M645" s="145"/>
      <c r="N645" s="1149"/>
      <c r="O645" s="141"/>
      <c r="P645" s="141"/>
      <c r="Q645" s="141"/>
      <c r="R645" s="276"/>
      <c r="S645" s="753"/>
      <c r="T645" s="237"/>
      <c r="U645" s="28"/>
      <c r="V645" s="28"/>
      <c r="W645" s="28"/>
      <c r="X645" s="28"/>
      <c r="Y645" s="28"/>
    </row>
    <row r="646" spans="1:27" ht="16.5" customHeight="1">
      <c r="A646" s="140">
        <v>638</v>
      </c>
      <c r="B646" s="141"/>
      <c r="C646" s="1179"/>
      <c r="D646" s="1179"/>
      <c r="E646" s="1174"/>
      <c r="F646" s="1173"/>
      <c r="G646" s="1158"/>
      <c r="H646" s="1160"/>
      <c r="I646" s="144"/>
      <c r="J646" s="720"/>
      <c r="K646" s="720"/>
      <c r="L646" s="720"/>
      <c r="M646" s="145"/>
      <c r="N646" s="1149"/>
      <c r="O646" s="141"/>
      <c r="P646" s="141"/>
      <c r="Q646" s="141"/>
      <c r="R646" s="144"/>
      <c r="S646" s="753"/>
      <c r="T646" s="237"/>
      <c r="U646" s="28"/>
      <c r="X646" s="169"/>
      <c r="Y646" s="232"/>
      <c r="Z646" s="146"/>
      <c r="AA646" s="169"/>
    </row>
    <row r="647" spans="1:27" ht="16.5" customHeight="1">
      <c r="A647" s="140">
        <v>639</v>
      </c>
      <c r="B647" s="141"/>
      <c r="C647" s="1179"/>
      <c r="D647" s="1179"/>
      <c r="E647" s="1174"/>
      <c r="F647" s="1173"/>
      <c r="G647" s="1158"/>
      <c r="H647" s="1160"/>
      <c r="I647" s="144"/>
      <c r="J647" s="1038"/>
      <c r="K647" s="1038"/>
      <c r="L647" s="720"/>
      <c r="M647" s="145"/>
      <c r="N647" s="1149"/>
      <c r="O647" s="141"/>
      <c r="P647" s="141"/>
      <c r="Q647" s="141"/>
      <c r="R647" s="276"/>
      <c r="S647" s="753"/>
      <c r="T647" s="237"/>
      <c r="U647" s="28"/>
      <c r="X647" s="169"/>
      <c r="Y647" s="232"/>
      <c r="Z647" s="146"/>
      <c r="AA647" s="169"/>
    </row>
    <row r="648" spans="1:27" ht="16.5" customHeight="1">
      <c r="A648" s="140">
        <v>640</v>
      </c>
      <c r="B648" s="141"/>
      <c r="C648" s="1179"/>
      <c r="D648" s="1179"/>
      <c r="E648" s="1174"/>
      <c r="F648" s="1173"/>
      <c r="G648" s="1158"/>
      <c r="H648" s="1160"/>
      <c r="I648" s="144"/>
      <c r="J648" s="1038"/>
      <c r="K648" s="1038"/>
      <c r="L648" s="720"/>
      <c r="M648" s="145"/>
      <c r="N648" s="1149"/>
      <c r="O648" s="141"/>
      <c r="P648" s="141"/>
      <c r="Q648" s="141"/>
      <c r="R648" s="276"/>
      <c r="S648" s="753"/>
      <c r="T648" s="404"/>
      <c r="U648" s="28"/>
      <c r="X648" s="169"/>
      <c r="Y648" s="232"/>
      <c r="Z648" s="146"/>
      <c r="AA648" s="169"/>
    </row>
    <row r="649" spans="1:27" ht="16.5" customHeight="1">
      <c r="A649" s="140">
        <v>641</v>
      </c>
      <c r="B649" s="141"/>
      <c r="C649" s="1179"/>
      <c r="D649" s="1179"/>
      <c r="E649" s="1174"/>
      <c r="F649" s="1173"/>
      <c r="G649" s="1158"/>
      <c r="H649" s="1160"/>
      <c r="I649" s="144"/>
      <c r="J649" s="720"/>
      <c r="K649" s="720"/>
      <c r="L649" s="720"/>
      <c r="M649" s="145"/>
      <c r="N649" s="1149"/>
      <c r="O649" s="141"/>
      <c r="P649" s="141"/>
      <c r="Q649" s="141"/>
      <c r="R649" s="276"/>
      <c r="S649" s="753"/>
      <c r="T649" s="237"/>
      <c r="U649" s="28"/>
      <c r="X649" s="169"/>
      <c r="Y649" s="232"/>
      <c r="Z649" s="146"/>
      <c r="AA649" s="169"/>
    </row>
    <row r="650" spans="1:27" ht="16.5" customHeight="1">
      <c r="A650" s="140">
        <v>642</v>
      </c>
      <c r="B650" s="141"/>
      <c r="C650" s="1179"/>
      <c r="D650" s="1179"/>
      <c r="E650" s="1174"/>
      <c r="F650" s="1173"/>
      <c r="G650" s="1158"/>
      <c r="H650" s="1160"/>
      <c r="I650" s="144"/>
      <c r="J650" s="720"/>
      <c r="K650" s="720"/>
      <c r="L650" s="720"/>
      <c r="M650" s="145"/>
      <c r="N650" s="1149"/>
      <c r="O650" s="141"/>
      <c r="P650" s="141"/>
      <c r="Q650" s="141"/>
      <c r="R650" s="276"/>
      <c r="S650" s="753"/>
      <c r="T650" s="237"/>
      <c r="U650" s="28"/>
      <c r="X650" s="169"/>
      <c r="Y650" s="232"/>
      <c r="Z650" s="146"/>
      <c r="AA650" s="169"/>
    </row>
    <row r="651" spans="1:27" ht="16.5" customHeight="1">
      <c r="A651" s="140">
        <v>643</v>
      </c>
      <c r="B651" s="141"/>
      <c r="C651" s="1179"/>
      <c r="D651" s="1179"/>
      <c r="E651" s="1174"/>
      <c r="F651" s="1173"/>
      <c r="G651" s="1158"/>
      <c r="H651" s="1160"/>
      <c r="I651" s="144"/>
      <c r="J651" s="720"/>
      <c r="K651" s="720"/>
      <c r="L651" s="720"/>
      <c r="M651" s="145"/>
      <c r="N651" s="1149"/>
      <c r="O651" s="141"/>
      <c r="P651" s="141"/>
      <c r="Q651" s="141"/>
      <c r="R651" s="276"/>
      <c r="S651" s="753"/>
      <c r="T651" s="237"/>
      <c r="U651" s="28"/>
      <c r="X651" s="169"/>
      <c r="Y651" s="232"/>
      <c r="Z651" s="146"/>
      <c r="AA651" s="169"/>
    </row>
    <row r="652" spans="1:27" ht="16.5" customHeight="1">
      <c r="A652" s="140">
        <v>644</v>
      </c>
      <c r="B652" s="141"/>
      <c r="C652" s="1179"/>
      <c r="D652" s="1179"/>
      <c r="E652" s="1174"/>
      <c r="F652" s="1173"/>
      <c r="G652" s="1158"/>
      <c r="H652" s="1160"/>
      <c r="I652" s="144"/>
      <c r="J652" s="1038"/>
      <c r="K652" s="1038"/>
      <c r="L652" s="720"/>
      <c r="M652" s="145"/>
      <c r="N652" s="1149"/>
      <c r="O652" s="141"/>
      <c r="P652" s="141"/>
      <c r="Q652" s="141"/>
      <c r="R652" s="276"/>
      <c r="S652" s="753"/>
      <c r="T652" s="237"/>
      <c r="U652" s="28"/>
      <c r="X652" s="169"/>
      <c r="Y652" s="232"/>
      <c r="Z652" s="146"/>
      <c r="AA652" s="169"/>
    </row>
    <row r="653" spans="1:27" s="969" customFormat="1" ht="16.5" customHeight="1">
      <c r="A653" s="140">
        <v>645</v>
      </c>
      <c r="B653" s="141"/>
      <c r="C653" s="1179"/>
      <c r="D653" s="1179"/>
      <c r="E653" s="1174"/>
      <c r="F653" s="1173"/>
      <c r="G653" s="1158"/>
      <c r="H653" s="1160"/>
      <c r="I653" s="144"/>
      <c r="J653" s="720"/>
      <c r="K653" s="720"/>
      <c r="L653" s="720"/>
      <c r="M653" s="145"/>
      <c r="N653" s="1149"/>
      <c r="O653" s="141"/>
      <c r="P653" s="141"/>
      <c r="Q653" s="141"/>
      <c r="R653" s="276"/>
      <c r="S653" s="753"/>
      <c r="T653" s="237"/>
      <c r="U653" s="28"/>
      <c r="V653" s="28"/>
      <c r="W653" s="28"/>
      <c r="X653" s="169"/>
      <c r="Y653" s="232"/>
      <c r="Z653" s="146"/>
      <c r="AA653" s="169"/>
    </row>
    <row r="654" spans="1:27" ht="16.5" customHeight="1">
      <c r="A654" s="140">
        <v>646</v>
      </c>
      <c r="B654" s="141"/>
      <c r="C654" s="1179"/>
      <c r="D654" s="1179"/>
      <c r="E654" s="1174"/>
      <c r="F654" s="1173"/>
      <c r="G654" s="1158"/>
      <c r="H654" s="1160"/>
      <c r="I654" s="144"/>
      <c r="J654" s="720"/>
      <c r="K654" s="720"/>
      <c r="L654" s="720"/>
      <c r="M654" s="145"/>
      <c r="N654" s="1149"/>
      <c r="O654" s="141"/>
      <c r="P654" s="141"/>
      <c r="Q654" s="141"/>
      <c r="R654" s="276"/>
      <c r="S654" s="753"/>
      <c r="T654" s="237"/>
      <c r="U654" s="28"/>
      <c r="X654" s="169"/>
      <c r="Y654" s="232"/>
      <c r="Z654" s="146"/>
      <c r="AA654" s="169"/>
    </row>
    <row r="655" spans="1:27" s="969" customFormat="1" ht="16.5" customHeight="1">
      <c r="A655" s="140">
        <v>647</v>
      </c>
      <c r="B655" s="141"/>
      <c r="C655" s="1179"/>
      <c r="D655" s="1179"/>
      <c r="E655" s="1174"/>
      <c r="F655" s="1173"/>
      <c r="G655" s="1158"/>
      <c r="H655" s="1160"/>
      <c r="I655" s="144"/>
      <c r="J655" s="720"/>
      <c r="K655" s="720"/>
      <c r="L655" s="720"/>
      <c r="M655" s="145"/>
      <c r="N655" s="1149"/>
      <c r="O655" s="141"/>
      <c r="P655" s="141"/>
      <c r="Q655" s="141"/>
      <c r="R655" s="276"/>
      <c r="S655" s="753"/>
      <c r="T655" s="237"/>
      <c r="U655" s="28"/>
      <c r="V655" s="28"/>
      <c r="W655" s="28"/>
      <c r="X655" s="169"/>
      <c r="Y655" s="232"/>
      <c r="Z655" s="146"/>
      <c r="AA655" s="169"/>
    </row>
    <row r="656" spans="1:27" ht="16.5" customHeight="1">
      <c r="A656" s="140">
        <v>648</v>
      </c>
      <c r="B656" s="141"/>
      <c r="C656" s="1179"/>
      <c r="D656" s="1179"/>
      <c r="E656" s="1174"/>
      <c r="F656" s="1173"/>
      <c r="G656" s="1158"/>
      <c r="H656" s="1160"/>
      <c r="I656" s="144"/>
      <c r="J656" s="720"/>
      <c r="K656" s="720"/>
      <c r="L656" s="720"/>
      <c r="M656" s="145"/>
      <c r="N656" s="1149"/>
      <c r="O656" s="141"/>
      <c r="P656" s="141"/>
      <c r="Q656" s="141"/>
      <c r="R656" s="276"/>
      <c r="S656" s="753"/>
      <c r="T656" s="237"/>
      <c r="U656" s="28"/>
      <c r="X656" s="169"/>
      <c r="Y656" s="232"/>
      <c r="Z656" s="146"/>
      <c r="AA656" s="169"/>
    </row>
    <row r="657" spans="1:27" ht="16.5" customHeight="1">
      <c r="A657" s="140">
        <v>649</v>
      </c>
      <c r="B657" s="141"/>
      <c r="C657" s="1179"/>
      <c r="D657" s="1179"/>
      <c r="E657" s="1174"/>
      <c r="F657" s="1173"/>
      <c r="G657" s="1158"/>
      <c r="H657" s="1160"/>
      <c r="I657" s="144"/>
      <c r="J657" s="720"/>
      <c r="K657" s="720"/>
      <c r="L657" s="720"/>
      <c r="M657" s="145"/>
      <c r="N657" s="1149"/>
      <c r="O657" s="141"/>
      <c r="P657" s="141"/>
      <c r="Q657" s="141"/>
      <c r="R657" s="276"/>
      <c r="S657" s="753"/>
      <c r="T657" s="237"/>
      <c r="U657" s="28"/>
      <c r="X657" s="169"/>
      <c r="Y657" s="232"/>
      <c r="Z657" s="146"/>
      <c r="AA657" s="169"/>
    </row>
    <row r="658" spans="1:27" ht="16.5" customHeight="1">
      <c r="A658" s="140">
        <v>650</v>
      </c>
      <c r="B658" s="141"/>
      <c r="C658" s="1179"/>
      <c r="D658" s="1179"/>
      <c r="E658" s="1174"/>
      <c r="F658" s="1173"/>
      <c r="G658" s="1158"/>
      <c r="H658" s="1160"/>
      <c r="I658" s="144"/>
      <c r="J658" s="720"/>
      <c r="K658" s="720"/>
      <c r="L658" s="720"/>
      <c r="M658" s="145"/>
      <c r="N658" s="1149"/>
      <c r="O658" s="141"/>
      <c r="P658" s="141"/>
      <c r="Q658" s="141"/>
      <c r="R658" s="276"/>
      <c r="S658" s="753"/>
      <c r="T658" s="237"/>
      <c r="U658" s="28"/>
    </row>
    <row r="659" spans="1:27" s="823" customFormat="1" ht="16.5" customHeight="1">
      <c r="A659" s="140">
        <v>651</v>
      </c>
      <c r="B659" s="141"/>
      <c r="C659" s="1179"/>
      <c r="D659" s="1179"/>
      <c r="E659" s="1174"/>
      <c r="F659" s="1173"/>
      <c r="G659" s="1158"/>
      <c r="H659" s="1160"/>
      <c r="I659" s="144"/>
      <c r="J659" s="720"/>
      <c r="K659" s="720"/>
      <c r="L659" s="1163"/>
      <c r="M659" s="145"/>
      <c r="N659" s="1149"/>
      <c r="O659" s="141"/>
      <c r="P659" s="141"/>
      <c r="Q659" s="141"/>
      <c r="R659" s="276"/>
      <c r="S659" s="753"/>
      <c r="T659" s="404"/>
      <c r="U659" s="28"/>
      <c r="V659" s="28"/>
      <c r="W659" s="28"/>
      <c r="X659" s="28"/>
      <c r="Y659" s="28"/>
    </row>
    <row r="660" spans="1:27" ht="16.5" customHeight="1">
      <c r="A660" s="140">
        <v>652</v>
      </c>
      <c r="B660" s="141"/>
      <c r="C660" s="1179"/>
      <c r="D660" s="1179"/>
      <c r="E660" s="1174"/>
      <c r="F660" s="1173"/>
      <c r="G660" s="1158"/>
      <c r="H660" s="1160"/>
      <c r="I660" s="144"/>
      <c r="J660" s="720"/>
      <c r="K660" s="720"/>
      <c r="L660" s="720"/>
      <c r="M660" s="145"/>
      <c r="N660" s="1149"/>
      <c r="O660" s="141"/>
      <c r="P660" s="141"/>
      <c r="Q660" s="141"/>
      <c r="R660" s="276"/>
      <c r="S660" s="753"/>
      <c r="T660" s="671" t="s">
        <v>628</v>
      </c>
      <c r="U660" s="28"/>
      <c r="V660" s="230" t="s">
        <v>606</v>
      </c>
    </row>
    <row r="661" spans="1:27" ht="16.5" customHeight="1">
      <c r="A661" s="140">
        <v>653</v>
      </c>
      <c r="B661" s="141"/>
      <c r="C661" s="1151"/>
      <c r="D661" s="1151"/>
      <c r="E661" s="278"/>
      <c r="F661" s="145"/>
      <c r="G661" s="1158"/>
      <c r="H661" s="1160"/>
      <c r="I661" s="144"/>
      <c r="J661" s="720"/>
      <c r="K661" s="720"/>
      <c r="L661" s="720"/>
      <c r="M661" s="145"/>
      <c r="N661" s="1149"/>
      <c r="O661" s="141"/>
      <c r="P661" s="141"/>
      <c r="Q661" s="141"/>
      <c r="R661" s="276"/>
      <c r="S661" s="753"/>
      <c r="T661" s="671" t="s">
        <v>628</v>
      </c>
      <c r="U661" s="28"/>
    </row>
    <row r="662" spans="1:27" ht="16.5" customHeight="1">
      <c r="A662" s="140">
        <v>654</v>
      </c>
      <c r="B662" s="141"/>
      <c r="C662" s="1151"/>
      <c r="D662" s="1151"/>
      <c r="E662" s="278"/>
      <c r="F662" s="145"/>
      <c r="G662" s="1158"/>
      <c r="H662" s="1160"/>
      <c r="I662" s="144"/>
      <c r="J662" s="720"/>
      <c r="K662" s="720"/>
      <c r="L662" s="720"/>
      <c r="M662" s="145"/>
      <c r="N662" s="1149"/>
      <c r="O662" s="141"/>
      <c r="P662" s="141"/>
      <c r="Q662" s="141"/>
      <c r="R662" s="276"/>
      <c r="S662" s="753"/>
      <c r="T662" s="671" t="s">
        <v>628</v>
      </c>
      <c r="U662" s="28"/>
    </row>
    <row r="663" spans="1:27" ht="16.5" customHeight="1">
      <c r="A663" s="140">
        <v>655</v>
      </c>
      <c r="B663" s="141"/>
      <c r="C663" s="1151"/>
      <c r="D663" s="1151"/>
      <c r="E663" s="278"/>
      <c r="F663" s="145"/>
      <c r="G663" s="1158"/>
      <c r="H663" s="1160"/>
      <c r="I663" s="144"/>
      <c r="J663" s="720"/>
      <c r="K663" s="720"/>
      <c r="L663" s="720"/>
      <c r="M663" s="145"/>
      <c r="N663" s="1149"/>
      <c r="O663" s="141"/>
      <c r="P663" s="141"/>
      <c r="Q663" s="141"/>
      <c r="R663" s="276"/>
      <c r="S663" s="753"/>
      <c r="T663" s="237"/>
      <c r="U663" s="28"/>
    </row>
    <row r="664" spans="1:27" s="833" customFormat="1" ht="16.5" customHeight="1">
      <c r="A664" s="140">
        <v>656</v>
      </c>
      <c r="B664" s="141"/>
      <c r="C664" s="1151"/>
      <c r="D664" s="1151"/>
      <c r="E664" s="278"/>
      <c r="F664" s="145"/>
      <c r="G664" s="1158"/>
      <c r="H664" s="1160"/>
      <c r="I664" s="144"/>
      <c r="J664" s="720"/>
      <c r="K664" s="720"/>
      <c r="L664" s="720"/>
      <c r="M664" s="145"/>
      <c r="N664" s="1149"/>
      <c r="O664" s="141"/>
      <c r="P664" s="141"/>
      <c r="Q664" s="141"/>
      <c r="R664" s="145"/>
      <c r="S664" s="753"/>
      <c r="T664" s="259"/>
      <c r="U664" s="28"/>
      <c r="V664" s="28"/>
      <c r="W664" s="28"/>
      <c r="X664" s="28"/>
      <c r="Y664" s="28"/>
    </row>
    <row r="665" spans="1:27" s="969" customFormat="1" ht="16.5" customHeight="1">
      <c r="A665" s="140">
        <v>657</v>
      </c>
      <c r="B665" s="141"/>
      <c r="C665" s="1151"/>
      <c r="D665" s="1151"/>
      <c r="E665" s="278"/>
      <c r="F665" s="145"/>
      <c r="G665" s="1158"/>
      <c r="H665" s="1159"/>
      <c r="I665" s="144"/>
      <c r="J665" s="720"/>
      <c r="K665" s="720"/>
      <c r="L665" s="720"/>
      <c r="M665" s="145"/>
      <c r="N665" s="1149"/>
      <c r="O665" s="141"/>
      <c r="P665" s="141"/>
      <c r="Q665" s="141"/>
      <c r="R665" s="145"/>
      <c r="S665" s="753"/>
      <c r="T665" s="259"/>
      <c r="U665" s="28"/>
      <c r="V665" s="28"/>
      <c r="W665" s="28"/>
      <c r="X665" s="28"/>
      <c r="Y665" s="28"/>
    </row>
    <row r="666" spans="1:27" s="822" customFormat="1" ht="16.5" customHeight="1">
      <c r="A666" s="140">
        <v>658</v>
      </c>
      <c r="B666" s="141"/>
      <c r="C666" s="1151"/>
      <c r="D666" s="1151"/>
      <c r="E666" s="278"/>
      <c r="F666" s="145"/>
      <c r="G666" s="1158"/>
      <c r="H666" s="1159"/>
      <c r="I666" s="144"/>
      <c r="J666" s="720"/>
      <c r="K666" s="720"/>
      <c r="L666" s="720"/>
      <c r="M666" s="145"/>
      <c r="N666" s="1149"/>
      <c r="O666" s="141"/>
      <c r="P666" s="141"/>
      <c r="Q666" s="141"/>
      <c r="R666" s="145"/>
      <c r="S666" s="753"/>
      <c r="T666" s="259"/>
      <c r="U666" s="28"/>
      <c r="V666" s="28"/>
      <c r="W666" s="28"/>
      <c r="X666" s="28"/>
      <c r="Y666" s="28"/>
    </row>
    <row r="667" spans="1:27" ht="16.5" customHeight="1">
      <c r="A667" s="140">
        <v>659</v>
      </c>
      <c r="B667" s="141"/>
      <c r="C667" s="1151"/>
      <c r="D667" s="1151"/>
      <c r="E667" s="278"/>
      <c r="F667" s="145"/>
      <c r="G667" s="1158"/>
      <c r="H667" s="1159"/>
      <c r="I667" s="144"/>
      <c r="J667" s="720"/>
      <c r="K667" s="720"/>
      <c r="L667" s="720"/>
      <c r="M667" s="145"/>
      <c r="N667" s="1149"/>
      <c r="O667" s="141"/>
      <c r="P667" s="141"/>
      <c r="Q667" s="141"/>
      <c r="R667" s="145"/>
      <c r="S667" s="753"/>
      <c r="T667" s="237"/>
      <c r="U667" s="28"/>
    </row>
    <row r="668" spans="1:27" ht="16.5" customHeight="1">
      <c r="A668" s="140">
        <v>660</v>
      </c>
      <c r="B668" s="141"/>
      <c r="C668" s="1151"/>
      <c r="D668" s="1151"/>
      <c r="E668" s="278"/>
      <c r="F668" s="145"/>
      <c r="G668" s="1158"/>
      <c r="H668" s="1159"/>
      <c r="I668" s="144"/>
      <c r="J668" s="720"/>
      <c r="K668" s="720"/>
      <c r="L668" s="720"/>
      <c r="M668" s="145"/>
      <c r="N668" s="1149"/>
      <c r="O668" s="141"/>
      <c r="P668" s="141"/>
      <c r="Q668" s="141"/>
      <c r="R668" s="145"/>
      <c r="S668" s="753"/>
      <c r="T668" s="237"/>
      <c r="U668" s="28"/>
    </row>
    <row r="669" spans="1:27" ht="16.5" customHeight="1">
      <c r="A669" s="140">
        <v>661</v>
      </c>
      <c r="B669" s="141"/>
      <c r="C669" s="1151"/>
      <c r="D669" s="1151"/>
      <c r="E669" s="278"/>
      <c r="F669" s="145"/>
      <c r="G669" s="1158"/>
      <c r="H669" s="1159"/>
      <c r="I669" s="144"/>
      <c r="J669" s="720"/>
      <c r="K669" s="720"/>
      <c r="L669" s="720"/>
      <c r="M669" s="145"/>
      <c r="N669" s="1149"/>
      <c r="O669" s="141"/>
      <c r="P669" s="141"/>
      <c r="Q669" s="141"/>
      <c r="R669" s="145"/>
      <c r="S669" s="753"/>
      <c r="T669" s="237"/>
      <c r="U669" s="28"/>
    </row>
    <row r="670" spans="1:27" ht="16.5" customHeight="1">
      <c r="A670" s="140">
        <v>662</v>
      </c>
      <c r="B670" s="141"/>
      <c r="C670" s="1151"/>
      <c r="D670" s="1151"/>
      <c r="E670" s="278"/>
      <c r="F670" s="145"/>
      <c r="G670" s="1158"/>
      <c r="H670" s="1160"/>
      <c r="I670" s="144"/>
      <c r="J670" s="720"/>
      <c r="K670" s="720"/>
      <c r="L670" s="720"/>
      <c r="M670" s="145"/>
      <c r="N670" s="1149"/>
      <c r="O670" s="141"/>
      <c r="P670" s="141"/>
      <c r="Q670" s="141"/>
      <c r="R670" s="145"/>
      <c r="S670" s="753"/>
      <c r="T670" s="237"/>
      <c r="U670" s="28"/>
      <c r="V670"/>
      <c r="W670"/>
      <c r="X670"/>
      <c r="Y670"/>
    </row>
    <row r="671" spans="1:27" s="984" customFormat="1" ht="16.5" customHeight="1">
      <c r="A671" s="140">
        <v>663</v>
      </c>
      <c r="B671" s="141"/>
      <c r="C671" s="1151"/>
      <c r="D671" s="1151"/>
      <c r="E671" s="278"/>
      <c r="F671" s="145"/>
      <c r="G671" s="1158"/>
      <c r="H671" s="1160"/>
      <c r="I671" s="144"/>
      <c r="J671" s="720"/>
      <c r="K671" s="720"/>
      <c r="L671" s="720"/>
      <c r="M671" s="145"/>
      <c r="N671" s="1149"/>
      <c r="O671" s="141"/>
      <c r="P671" s="141"/>
      <c r="Q671" s="141"/>
      <c r="R671" s="145"/>
      <c r="S671" s="753"/>
      <c r="T671" s="237"/>
      <c r="U671" s="28"/>
    </row>
    <row r="672" spans="1:27" ht="16.5" customHeight="1">
      <c r="A672" s="140">
        <v>664</v>
      </c>
      <c r="B672" s="141"/>
      <c r="C672" s="1151"/>
      <c r="D672" s="1151"/>
      <c r="E672" s="278"/>
      <c r="F672" s="145"/>
      <c r="G672" s="1158"/>
      <c r="H672" s="1160"/>
      <c r="I672" s="144"/>
      <c r="J672" s="720"/>
      <c r="K672" s="720"/>
      <c r="L672" s="720"/>
      <c r="M672" s="145"/>
      <c r="N672" s="1149"/>
      <c r="O672" s="141"/>
      <c r="P672" s="141"/>
      <c r="Q672" s="141"/>
      <c r="R672" s="145"/>
      <c r="S672" s="753"/>
      <c r="T672" s="237"/>
      <c r="U672" s="28"/>
      <c r="V672"/>
      <c r="W672"/>
      <c r="X672"/>
      <c r="Y672"/>
    </row>
    <row r="673" spans="1:25" s="959" customFormat="1" ht="16.5" customHeight="1">
      <c r="A673" s="140">
        <v>665</v>
      </c>
      <c r="B673" s="141"/>
      <c r="C673" s="1151"/>
      <c r="D673" s="1151"/>
      <c r="E673" s="278"/>
      <c r="F673" s="145"/>
      <c r="G673" s="1158"/>
      <c r="H673" s="1160"/>
      <c r="I673" s="144"/>
      <c r="J673" s="720"/>
      <c r="K673" s="720"/>
      <c r="L673" s="720"/>
      <c r="M673" s="145"/>
      <c r="N673" s="1149"/>
      <c r="O673" s="141"/>
      <c r="P673" s="141"/>
      <c r="Q673" s="141"/>
      <c r="R673" s="145"/>
      <c r="S673" s="753"/>
      <c r="T673" s="237"/>
      <c r="U673" s="28"/>
    </row>
    <row r="674" spans="1:25" ht="16.5" customHeight="1">
      <c r="A674" s="140">
        <v>666</v>
      </c>
      <c r="B674" s="141"/>
      <c r="C674" s="1151"/>
      <c r="D674" s="1151"/>
      <c r="E674" s="278"/>
      <c r="F674" s="145"/>
      <c r="G674" s="1158"/>
      <c r="H674" s="1160"/>
      <c r="I674" s="144"/>
      <c r="J674" s="720"/>
      <c r="K674" s="720"/>
      <c r="L674" s="720"/>
      <c r="M674" s="145"/>
      <c r="N674" s="1149"/>
      <c r="O674" s="141"/>
      <c r="P674" s="141"/>
      <c r="Q674" s="141"/>
      <c r="R674" s="145"/>
      <c r="S674" s="753"/>
      <c r="T674" s="237"/>
      <c r="U674" s="28"/>
      <c r="V674"/>
      <c r="W674"/>
      <c r="X674"/>
      <c r="Y674"/>
    </row>
    <row r="675" spans="1:25" ht="16.5" customHeight="1">
      <c r="A675" s="140">
        <v>667</v>
      </c>
      <c r="B675" s="141"/>
      <c r="C675" s="1151"/>
      <c r="D675" s="1151"/>
      <c r="E675" s="278"/>
      <c r="F675" s="145"/>
      <c r="G675" s="1158"/>
      <c r="H675" s="1160"/>
      <c r="I675" s="144"/>
      <c r="J675" s="720"/>
      <c r="K675" s="720"/>
      <c r="L675" s="720"/>
      <c r="M675" s="145"/>
      <c r="N675" s="1149"/>
      <c r="O675" s="141"/>
      <c r="P675" s="141"/>
      <c r="Q675" s="141"/>
      <c r="R675" s="145"/>
      <c r="S675" s="753"/>
      <c r="T675" s="237"/>
      <c r="U675" s="28"/>
      <c r="V675"/>
      <c r="W675"/>
      <c r="X675"/>
      <c r="Y675"/>
    </row>
    <row r="676" spans="1:25" ht="16.5" customHeight="1">
      <c r="A676" s="140">
        <v>668</v>
      </c>
      <c r="B676" s="141"/>
      <c r="C676" s="1151"/>
      <c r="D676" s="1151"/>
      <c r="E676" s="278"/>
      <c r="F676" s="145"/>
      <c r="G676" s="1158"/>
      <c r="H676" s="1160"/>
      <c r="I676" s="144"/>
      <c r="J676" s="720"/>
      <c r="K676" s="720"/>
      <c r="L676" s="720"/>
      <c r="M676" s="145"/>
      <c r="N676" s="1149"/>
      <c r="O676" s="141"/>
      <c r="P676" s="141"/>
      <c r="Q676" s="141"/>
      <c r="R676" s="145"/>
      <c r="S676" s="753"/>
      <c r="T676" s="237"/>
      <c r="U676" s="28"/>
      <c r="V676"/>
      <c r="W676"/>
      <c r="X676"/>
      <c r="Y676"/>
    </row>
    <row r="677" spans="1:25" ht="16.5" customHeight="1">
      <c r="A677" s="140">
        <v>669</v>
      </c>
      <c r="B677" s="141"/>
      <c r="C677" s="1151"/>
      <c r="D677" s="1151"/>
      <c r="E677" s="278"/>
      <c r="F677" s="145"/>
      <c r="G677" s="1158"/>
      <c r="H677" s="1160"/>
      <c r="I677" s="144"/>
      <c r="J677" s="720"/>
      <c r="K677" s="720"/>
      <c r="L677" s="720"/>
      <c r="M677" s="145"/>
      <c r="N677" s="1149"/>
      <c r="O677" s="141"/>
      <c r="P677" s="141"/>
      <c r="Q677" s="141"/>
      <c r="R677" s="145"/>
      <c r="S677" s="753"/>
      <c r="T677" s="237"/>
      <c r="U677" s="28"/>
      <c r="V677"/>
      <c r="W677"/>
      <c r="X677"/>
      <c r="Y677"/>
    </row>
    <row r="678" spans="1:25" ht="16.5" customHeight="1">
      <c r="A678" s="140">
        <v>670</v>
      </c>
      <c r="B678" s="141"/>
      <c r="C678" s="1151"/>
      <c r="D678" s="1151"/>
      <c r="E678" s="278"/>
      <c r="F678" s="145"/>
      <c r="G678" s="1158"/>
      <c r="H678" s="1160"/>
      <c r="I678" s="144"/>
      <c r="J678" s="720"/>
      <c r="K678" s="720"/>
      <c r="L678" s="720"/>
      <c r="M678" s="145"/>
      <c r="N678" s="1149"/>
      <c r="O678" s="141"/>
      <c r="P678" s="141"/>
      <c r="Q678" s="141"/>
      <c r="R678" s="145"/>
      <c r="S678" s="753"/>
      <c r="T678" s="237"/>
      <c r="U678" s="28"/>
      <c r="V678"/>
      <c r="W678"/>
      <c r="X678"/>
      <c r="Y678"/>
    </row>
    <row r="679" spans="1:25" ht="16.5" customHeight="1">
      <c r="A679" s="140">
        <v>671</v>
      </c>
      <c r="B679" s="141"/>
      <c r="C679" s="1151"/>
      <c r="D679" s="1151"/>
      <c r="E679" s="278"/>
      <c r="F679" s="1152"/>
      <c r="G679" s="1158"/>
      <c r="H679" s="1160"/>
      <c r="I679" s="144"/>
      <c r="J679" s="1038"/>
      <c r="K679" s="1038"/>
      <c r="L679" s="720"/>
      <c r="M679" s="145"/>
      <c r="N679" s="1149"/>
      <c r="O679" s="141"/>
      <c r="P679" s="141"/>
      <c r="Q679" s="141"/>
      <c r="R679" s="145"/>
      <c r="S679" s="753"/>
      <c r="T679" s="237"/>
      <c r="U679" s="28"/>
      <c r="V679"/>
      <c r="W679"/>
      <c r="X679"/>
      <c r="Y679"/>
    </row>
    <row r="680" spans="1:25" ht="16.5" customHeight="1">
      <c r="A680" s="140">
        <v>672</v>
      </c>
      <c r="B680" s="141"/>
      <c r="C680" s="1151"/>
      <c r="D680" s="1151"/>
      <c r="E680" s="278"/>
      <c r="F680" s="145"/>
      <c r="G680" s="1158"/>
      <c r="H680" s="1160"/>
      <c r="I680" s="144"/>
      <c r="J680" s="720"/>
      <c r="K680" s="720"/>
      <c r="L680" s="720"/>
      <c r="M680" s="145"/>
      <c r="N680" s="1149"/>
      <c r="O680" s="141"/>
      <c r="P680" s="141"/>
      <c r="Q680" s="141"/>
      <c r="R680" s="145"/>
      <c r="S680" s="989"/>
      <c r="T680" s="237"/>
      <c r="U680" s="28"/>
      <c r="V680"/>
      <c r="W680"/>
      <c r="X680"/>
      <c r="Y680"/>
    </row>
    <row r="681" spans="1:25" ht="16.5" customHeight="1">
      <c r="A681" s="140">
        <v>673</v>
      </c>
      <c r="B681" s="141"/>
      <c r="C681" s="1151"/>
      <c r="D681" s="1151"/>
      <c r="E681" s="278"/>
      <c r="F681" s="145"/>
      <c r="G681" s="1158"/>
      <c r="H681" s="1160"/>
      <c r="I681" s="144"/>
      <c r="J681" s="720"/>
      <c r="K681" s="720"/>
      <c r="L681" s="720"/>
      <c r="M681" s="145"/>
      <c r="N681" s="1149"/>
      <c r="O681" s="141"/>
      <c r="P681" s="141"/>
      <c r="Q681" s="141"/>
      <c r="R681" s="145"/>
      <c r="S681" s="753"/>
      <c r="T681" s="237"/>
      <c r="U681" s="28"/>
      <c r="V681"/>
      <c r="W681"/>
      <c r="X681"/>
      <c r="Y681"/>
    </row>
    <row r="682" spans="1:25" ht="16.5" customHeight="1">
      <c r="A682" s="140">
        <v>674</v>
      </c>
      <c r="B682" s="141"/>
      <c r="C682" s="1151"/>
      <c r="D682" s="1151"/>
      <c r="E682" s="278"/>
      <c r="F682" s="247"/>
      <c r="G682" s="1158"/>
      <c r="H682" s="1160"/>
      <c r="I682" s="144"/>
      <c r="J682" s="1038"/>
      <c r="K682" s="1038"/>
      <c r="L682" s="720"/>
      <c r="M682" s="145"/>
      <c r="N682" s="1149"/>
      <c r="O682" s="141"/>
      <c r="P682" s="141"/>
      <c r="Q682" s="141"/>
      <c r="R682" s="145"/>
      <c r="S682" s="753"/>
      <c r="T682" s="237"/>
      <c r="U682" s="28"/>
      <c r="V682"/>
      <c r="W682"/>
      <c r="X682"/>
      <c r="Y682"/>
    </row>
    <row r="683" spans="1:25" ht="16.5" customHeight="1">
      <c r="A683" s="140">
        <v>675</v>
      </c>
      <c r="B683" s="141"/>
      <c r="C683" s="1151"/>
      <c r="D683" s="1151"/>
      <c r="E683" s="278"/>
      <c r="F683" s="145"/>
      <c r="G683" s="1158"/>
      <c r="H683" s="1160"/>
      <c r="I683" s="144"/>
      <c r="J683" s="720"/>
      <c r="K683" s="720"/>
      <c r="L683" s="720"/>
      <c r="M683" s="145"/>
      <c r="N683" s="1149"/>
      <c r="O683" s="141"/>
      <c r="P683" s="141"/>
      <c r="Q683" s="141"/>
      <c r="R683" s="145"/>
      <c r="S683" s="753"/>
      <c r="T683" s="404"/>
      <c r="U683" s="28"/>
      <c r="V683"/>
      <c r="W683"/>
      <c r="X683"/>
      <c r="Y683"/>
    </row>
    <row r="684" spans="1:25" ht="16.5" customHeight="1">
      <c r="A684" s="140">
        <v>676</v>
      </c>
      <c r="B684" s="141"/>
      <c r="C684" s="1151"/>
      <c r="D684" s="1151"/>
      <c r="E684" s="278"/>
      <c r="F684" s="237"/>
      <c r="G684" s="1158"/>
      <c r="H684" s="1160"/>
      <c r="I684" s="144"/>
      <c r="J684" s="1038"/>
      <c r="K684" s="1038"/>
      <c r="L684" s="720"/>
      <c r="M684" s="145"/>
      <c r="N684" s="1149"/>
      <c r="O684" s="141"/>
      <c r="P684" s="141"/>
      <c r="Q684" s="141"/>
      <c r="R684" s="145"/>
      <c r="S684" s="753"/>
      <c r="T684" s="404"/>
      <c r="U684" s="28"/>
      <c r="V684"/>
      <c r="W684"/>
      <c r="X684"/>
      <c r="Y684"/>
    </row>
    <row r="685" spans="1:25" ht="16.5" customHeight="1">
      <c r="A685" s="140">
        <v>677</v>
      </c>
      <c r="B685" s="141"/>
      <c r="C685" s="1151"/>
      <c r="D685" s="1151"/>
      <c r="E685" s="278"/>
      <c r="F685" s="247"/>
      <c r="G685" s="1158"/>
      <c r="H685" s="1160"/>
      <c r="I685" s="144"/>
      <c r="J685" s="1038"/>
      <c r="K685" s="1038"/>
      <c r="L685" s="720"/>
      <c r="M685" s="145"/>
      <c r="N685" s="1149"/>
      <c r="O685" s="141"/>
      <c r="P685" s="141"/>
      <c r="Q685" s="141"/>
      <c r="R685" s="145"/>
      <c r="S685" s="753"/>
      <c r="T685" s="404"/>
      <c r="U685" s="28"/>
      <c r="V685"/>
      <c r="W685"/>
      <c r="X685"/>
      <c r="Y685"/>
    </row>
    <row r="686" spans="1:25" s="969" customFormat="1" ht="16.5" customHeight="1">
      <c r="A686" s="140">
        <v>678</v>
      </c>
      <c r="B686" s="141"/>
      <c r="C686" s="1151"/>
      <c r="D686" s="1151"/>
      <c r="E686" s="278"/>
      <c r="F686" s="145"/>
      <c r="G686" s="1158"/>
      <c r="H686" s="1160"/>
      <c r="I686" s="144"/>
      <c r="J686" s="720"/>
      <c r="K686" s="720"/>
      <c r="L686" s="720"/>
      <c r="M686" s="145"/>
      <c r="N686" s="1149"/>
      <c r="O686" s="141"/>
      <c r="P686" s="141"/>
      <c r="Q686" s="141"/>
      <c r="R686" s="145"/>
      <c r="S686" s="753"/>
      <c r="T686" s="404"/>
      <c r="U686" s="28"/>
    </row>
    <row r="687" spans="1:25" ht="16.5" customHeight="1">
      <c r="A687" s="140">
        <v>679</v>
      </c>
      <c r="B687" s="141"/>
      <c r="C687" s="1151"/>
      <c r="D687" s="1151"/>
      <c r="E687" s="278"/>
      <c r="F687" s="145"/>
      <c r="G687" s="1158"/>
      <c r="H687" s="1160"/>
      <c r="I687" s="144"/>
      <c r="J687" s="720"/>
      <c r="K687" s="720"/>
      <c r="L687" s="720"/>
      <c r="M687" s="145"/>
      <c r="N687" s="1149"/>
      <c r="O687" s="141"/>
      <c r="P687" s="141"/>
      <c r="Q687" s="141"/>
      <c r="R687" s="145"/>
      <c r="S687" s="753"/>
      <c r="T687" s="404"/>
      <c r="U687" s="28"/>
      <c r="V687"/>
      <c r="W687"/>
      <c r="X687"/>
      <c r="Y687"/>
    </row>
    <row r="688" spans="1:25" ht="16.5" customHeight="1">
      <c r="A688" s="140">
        <v>680</v>
      </c>
      <c r="B688" s="141"/>
      <c r="C688" s="1151"/>
      <c r="D688" s="1151"/>
      <c r="E688" s="278"/>
      <c r="F688" s="145"/>
      <c r="G688" s="1158"/>
      <c r="H688" s="1160"/>
      <c r="I688" s="144"/>
      <c r="J688" s="720"/>
      <c r="K688" s="720"/>
      <c r="L688" s="720"/>
      <c r="M688" s="145"/>
      <c r="N688" s="1149"/>
      <c r="O688" s="141"/>
      <c r="P688" s="141"/>
      <c r="Q688" s="141"/>
      <c r="R688" s="145"/>
      <c r="S688" s="753"/>
      <c r="T688" s="404"/>
      <c r="U688" s="28"/>
      <c r="V688"/>
      <c r="W688"/>
      <c r="X688"/>
      <c r="Y688"/>
    </row>
    <row r="689" spans="1:25" s="969" customFormat="1" ht="16.5" customHeight="1">
      <c r="A689" s="140">
        <v>681</v>
      </c>
      <c r="B689" s="141"/>
      <c r="C689" s="1151"/>
      <c r="D689" s="1151"/>
      <c r="E689" s="278"/>
      <c r="F689" s="145"/>
      <c r="G689" s="1158"/>
      <c r="H689" s="1160"/>
      <c r="I689" s="144"/>
      <c r="J689" s="720"/>
      <c r="K689" s="720"/>
      <c r="L689" s="720"/>
      <c r="M689" s="145"/>
      <c r="N689" s="1149"/>
      <c r="O689" s="141"/>
      <c r="P689" s="141"/>
      <c r="Q689" s="141"/>
      <c r="R689" s="145"/>
      <c r="S689" s="753"/>
      <c r="T689" s="404"/>
      <c r="U689" s="28"/>
    </row>
    <row r="690" spans="1:25" ht="16.5" customHeight="1">
      <c r="A690" s="140">
        <v>682</v>
      </c>
      <c r="B690" s="141"/>
      <c r="C690" s="1151"/>
      <c r="D690" s="1151"/>
      <c r="E690" s="278"/>
      <c r="F690" s="145"/>
      <c r="G690" s="1158"/>
      <c r="H690" s="1160"/>
      <c r="I690" s="144"/>
      <c r="J690" s="720"/>
      <c r="K690" s="720"/>
      <c r="L690" s="720"/>
      <c r="M690" s="145"/>
      <c r="N690" s="1149"/>
      <c r="O690" s="141"/>
      <c r="P690" s="141"/>
      <c r="Q690" s="141"/>
      <c r="R690" s="145"/>
      <c r="S690" s="753"/>
      <c r="T690" s="404"/>
      <c r="U690" s="28"/>
      <c r="V690"/>
      <c r="W690"/>
      <c r="X690"/>
      <c r="Y690"/>
    </row>
    <row r="691" spans="1:25" ht="16.5" customHeight="1">
      <c r="A691" s="140">
        <v>683</v>
      </c>
      <c r="B691" s="141"/>
      <c r="C691" s="1151"/>
      <c r="D691" s="1151"/>
      <c r="E691" s="278"/>
      <c r="F691" s="145"/>
      <c r="G691" s="1158"/>
      <c r="H691" s="1160"/>
      <c r="I691" s="144"/>
      <c r="J691" s="720"/>
      <c r="K691" s="720"/>
      <c r="L691" s="720"/>
      <c r="M691" s="145"/>
      <c r="N691" s="1149"/>
      <c r="O691" s="141"/>
      <c r="P691" s="141"/>
      <c r="Q691" s="141"/>
      <c r="R691" s="145"/>
      <c r="S691" s="753"/>
      <c r="T691" s="671" t="s">
        <v>628</v>
      </c>
      <c r="U691" s="28"/>
      <c r="V691"/>
      <c r="W691"/>
      <c r="X691"/>
      <c r="Y691"/>
    </row>
    <row r="692" spans="1:25" ht="16.5" customHeight="1">
      <c r="A692" s="140">
        <v>684</v>
      </c>
      <c r="B692" s="141"/>
      <c r="C692" s="1151"/>
      <c r="D692" s="1151"/>
      <c r="E692" s="278"/>
      <c r="F692" s="1154"/>
      <c r="G692" s="1158"/>
      <c r="H692" s="1160"/>
      <c r="I692" s="144"/>
      <c r="J692" s="1038"/>
      <c r="K692" s="1038"/>
      <c r="L692" s="720"/>
      <c r="M692" s="145"/>
      <c r="N692" s="1149"/>
      <c r="O692" s="141"/>
      <c r="P692" s="141"/>
      <c r="Q692" s="141"/>
      <c r="R692" s="276"/>
      <c r="S692" s="753"/>
      <c r="T692" s="671" t="s">
        <v>628</v>
      </c>
      <c r="U692" s="28"/>
      <c r="V692"/>
      <c r="W692"/>
      <c r="X692"/>
      <c r="Y692"/>
    </row>
    <row r="693" spans="1:25" s="835" customFormat="1" ht="16.5" customHeight="1">
      <c r="A693" s="140">
        <v>685</v>
      </c>
      <c r="B693" s="141"/>
      <c r="C693" s="1151"/>
      <c r="D693" s="1151"/>
      <c r="E693" s="278"/>
      <c r="F693" s="145"/>
      <c r="G693" s="1158"/>
      <c r="H693" s="1160"/>
      <c r="I693" s="144"/>
      <c r="J693" s="720"/>
      <c r="K693" s="720"/>
      <c r="L693" s="720"/>
      <c r="M693" s="145"/>
      <c r="N693" s="1149"/>
      <c r="O693" s="141"/>
      <c r="P693" s="141"/>
      <c r="Q693" s="141"/>
      <c r="R693" s="276"/>
      <c r="S693" s="753"/>
      <c r="T693" s="671"/>
      <c r="U693" s="28"/>
    </row>
    <row r="694" spans="1:25" ht="16.5" customHeight="1">
      <c r="A694" s="140">
        <v>686</v>
      </c>
      <c r="B694" s="141"/>
      <c r="C694" s="1151"/>
      <c r="D694" s="1151"/>
      <c r="E694" s="278"/>
      <c r="F694" s="145"/>
      <c r="G694" s="1158"/>
      <c r="H694" s="1160"/>
      <c r="I694" s="144"/>
      <c r="J694" s="720"/>
      <c r="K694" s="720"/>
      <c r="L694" s="720"/>
      <c r="M694" s="145"/>
      <c r="N694" s="1149"/>
      <c r="O694" s="141"/>
      <c r="P694" s="141"/>
      <c r="Q694" s="141"/>
      <c r="R694" s="276"/>
      <c r="S694" s="753"/>
      <c r="T694" s="671" t="s">
        <v>628</v>
      </c>
      <c r="U694" s="28"/>
      <c r="V694"/>
      <c r="W694"/>
      <c r="X694"/>
      <c r="Y694"/>
    </row>
    <row r="695" spans="1:25" ht="16.5" customHeight="1">
      <c r="A695" s="140">
        <v>687</v>
      </c>
      <c r="B695" s="141"/>
      <c r="C695" s="1151"/>
      <c r="D695" s="1151"/>
      <c r="E695" s="278"/>
      <c r="F695" s="145"/>
      <c r="G695" s="1158"/>
      <c r="H695" s="1160"/>
      <c r="I695" s="144"/>
      <c r="J695" s="720"/>
      <c r="K695" s="720"/>
      <c r="L695" s="720"/>
      <c r="M695" s="145"/>
      <c r="N695" s="1149"/>
      <c r="O695" s="141"/>
      <c r="P695" s="141"/>
      <c r="Q695" s="141"/>
      <c r="R695" s="276"/>
      <c r="S695" s="753"/>
      <c r="T695" s="671" t="s">
        <v>628</v>
      </c>
      <c r="U695" s="28"/>
      <c r="V695"/>
      <c r="W695"/>
      <c r="X695"/>
      <c r="Y695"/>
    </row>
    <row r="696" spans="1:25" ht="16.5" customHeight="1">
      <c r="A696" s="140">
        <v>688</v>
      </c>
      <c r="B696" s="141"/>
      <c r="C696" s="1151"/>
      <c r="D696" s="1151"/>
      <c r="E696" s="278"/>
      <c r="F696" s="145"/>
      <c r="G696" s="1158"/>
      <c r="H696" s="1160"/>
      <c r="I696" s="144"/>
      <c r="J696" s="720"/>
      <c r="K696" s="720"/>
      <c r="L696" s="720"/>
      <c r="M696" s="145"/>
      <c r="N696" s="1149"/>
      <c r="O696" s="141"/>
      <c r="P696" s="141"/>
      <c r="Q696" s="141"/>
      <c r="R696" s="276"/>
      <c r="S696" s="753"/>
      <c r="T696" s="671" t="s">
        <v>628</v>
      </c>
      <c r="U696" s="28"/>
      <c r="V696"/>
      <c r="W696"/>
      <c r="X696"/>
      <c r="Y696"/>
    </row>
    <row r="697" spans="1:25" ht="16.5" customHeight="1">
      <c r="A697" s="140">
        <v>689</v>
      </c>
      <c r="B697" s="141"/>
      <c r="C697" s="1151"/>
      <c r="D697" s="1151"/>
      <c r="E697" s="278"/>
      <c r="F697" s="145"/>
      <c r="G697" s="1158"/>
      <c r="H697" s="1160"/>
      <c r="I697" s="144"/>
      <c r="J697" s="720"/>
      <c r="K697" s="720"/>
      <c r="L697" s="720"/>
      <c r="M697" s="145"/>
      <c r="N697" s="1149"/>
      <c r="O697" s="141"/>
      <c r="P697" s="141"/>
      <c r="Q697" s="141"/>
      <c r="R697" s="276"/>
      <c r="S697" s="753"/>
      <c r="T697" s="671" t="s">
        <v>628</v>
      </c>
      <c r="U697" s="28"/>
      <c r="V697"/>
      <c r="W697"/>
      <c r="X697"/>
      <c r="Y697"/>
    </row>
    <row r="698" spans="1:25" ht="16.5" customHeight="1">
      <c r="A698" s="140">
        <v>690</v>
      </c>
      <c r="B698" s="141"/>
      <c r="C698" s="1151"/>
      <c r="D698" s="1151"/>
      <c r="E698" s="278"/>
      <c r="F698" s="145"/>
      <c r="G698" s="1158"/>
      <c r="H698" s="1160"/>
      <c r="I698" s="144"/>
      <c r="J698" s="720"/>
      <c r="K698" s="720"/>
      <c r="L698" s="720"/>
      <c r="M698" s="145"/>
      <c r="N698" s="1149"/>
      <c r="O698" s="141"/>
      <c r="P698" s="141"/>
      <c r="Q698" s="141"/>
      <c r="R698" s="276"/>
      <c r="S698" s="753"/>
      <c r="T698" s="671"/>
      <c r="U698" s="28"/>
      <c r="V698"/>
      <c r="W698"/>
      <c r="X698"/>
      <c r="Y698"/>
    </row>
    <row r="699" spans="1:25" ht="16.5" customHeight="1">
      <c r="A699" s="140">
        <v>691</v>
      </c>
      <c r="B699" s="141"/>
      <c r="C699" s="1151"/>
      <c r="D699" s="1151"/>
      <c r="E699" s="278"/>
      <c r="F699" s="145"/>
      <c r="G699" s="1158"/>
      <c r="H699" s="1160"/>
      <c r="I699" s="144"/>
      <c r="J699" s="720"/>
      <c r="K699" s="720"/>
      <c r="L699" s="720"/>
      <c r="M699" s="145"/>
      <c r="N699" s="1149"/>
      <c r="O699" s="141"/>
      <c r="P699" s="141"/>
      <c r="Q699" s="141"/>
      <c r="R699" s="276"/>
      <c r="S699" s="753"/>
      <c r="T699" s="404"/>
      <c r="U699" s="28"/>
      <c r="V699"/>
      <c r="W699"/>
      <c r="X699"/>
      <c r="Y699"/>
    </row>
    <row r="700" spans="1:25" ht="16.5" customHeight="1">
      <c r="A700" s="140">
        <v>692</v>
      </c>
      <c r="B700" s="141"/>
      <c r="C700" s="1151"/>
      <c r="D700" s="1151"/>
      <c r="E700" s="278"/>
      <c r="F700" s="145"/>
      <c r="G700" s="1158"/>
      <c r="H700" s="1160"/>
      <c r="I700" s="144"/>
      <c r="J700" s="720"/>
      <c r="K700" s="720"/>
      <c r="L700" s="720"/>
      <c r="M700" s="145"/>
      <c r="N700" s="1149"/>
      <c r="O700" s="141"/>
      <c r="P700" s="141"/>
      <c r="Q700" s="141"/>
      <c r="R700" s="276"/>
      <c r="S700" s="753"/>
      <c r="T700" s="404"/>
      <c r="U700" s="28"/>
      <c r="V700"/>
      <c r="W700"/>
      <c r="X700"/>
      <c r="Y700"/>
    </row>
    <row r="701" spans="1:25" ht="16.5" customHeight="1">
      <c r="A701" s="140">
        <v>693</v>
      </c>
      <c r="B701" s="141"/>
      <c r="C701" s="1151"/>
      <c r="D701" s="1151"/>
      <c r="E701" s="278"/>
      <c r="F701" s="145"/>
      <c r="G701" s="1158"/>
      <c r="H701" s="1160"/>
      <c r="I701" s="144"/>
      <c r="J701" s="720"/>
      <c r="K701" s="720"/>
      <c r="L701" s="720"/>
      <c r="M701" s="145"/>
      <c r="N701" s="1149"/>
      <c r="O701" s="141"/>
      <c r="P701" s="141"/>
      <c r="Q701" s="141"/>
      <c r="R701" s="276"/>
      <c r="S701" s="753"/>
      <c r="T701" s="404"/>
      <c r="U701" s="28"/>
      <c r="V701"/>
      <c r="W701"/>
      <c r="X701"/>
      <c r="Y701"/>
    </row>
    <row r="702" spans="1:25" ht="16.5" customHeight="1">
      <c r="A702" s="140">
        <v>694</v>
      </c>
      <c r="B702" s="141"/>
      <c r="C702" s="1151"/>
      <c r="D702" s="1151"/>
      <c r="E702" s="278"/>
      <c r="F702" s="145"/>
      <c r="G702" s="1158"/>
      <c r="H702" s="1160"/>
      <c r="I702" s="144"/>
      <c r="J702" s="720"/>
      <c r="K702" s="720"/>
      <c r="L702" s="720"/>
      <c r="M702" s="145"/>
      <c r="N702" s="1149"/>
      <c r="O702" s="141"/>
      <c r="P702" s="141"/>
      <c r="Q702" s="141"/>
      <c r="R702" s="276"/>
      <c r="S702" s="753"/>
      <c r="T702" s="404"/>
      <c r="U702" s="28"/>
      <c r="V702"/>
      <c r="W702"/>
      <c r="X702"/>
      <c r="Y702"/>
    </row>
    <row r="703" spans="1:25" ht="16.5" customHeight="1">
      <c r="A703" s="140">
        <v>695</v>
      </c>
      <c r="B703" s="141"/>
      <c r="C703" s="1151"/>
      <c r="D703" s="1151"/>
      <c r="E703" s="278"/>
      <c r="F703" s="145"/>
      <c r="G703" s="1158"/>
      <c r="H703" s="1160"/>
      <c r="I703" s="144"/>
      <c r="J703" s="720"/>
      <c r="K703" s="720"/>
      <c r="L703" s="720"/>
      <c r="M703" s="145"/>
      <c r="N703" s="1149"/>
      <c r="O703" s="141"/>
      <c r="P703" s="141"/>
      <c r="Q703" s="141"/>
      <c r="R703" s="276"/>
      <c r="S703" s="753"/>
      <c r="T703" s="404"/>
      <c r="U703" s="28"/>
      <c r="V703"/>
      <c r="W703"/>
      <c r="X703"/>
      <c r="Y703"/>
    </row>
    <row r="704" spans="1:25" ht="16.5" customHeight="1">
      <c r="A704" s="140">
        <v>696</v>
      </c>
      <c r="B704" s="141"/>
      <c r="C704" s="1151"/>
      <c r="D704" s="1151"/>
      <c r="E704" s="278"/>
      <c r="F704" s="262"/>
      <c r="G704" s="1158"/>
      <c r="H704" s="1160"/>
      <c r="I704" s="144"/>
      <c r="J704" s="1038"/>
      <c r="K704" s="1038"/>
      <c r="L704" s="720"/>
      <c r="M704" s="145"/>
      <c r="N704" s="1149"/>
      <c r="O704" s="141"/>
      <c r="P704" s="141"/>
      <c r="Q704" s="141"/>
      <c r="R704" s="276"/>
      <c r="S704" s="753"/>
      <c r="T704" s="404"/>
      <c r="U704" s="28"/>
      <c r="V704"/>
      <c r="W704"/>
      <c r="X704"/>
      <c r="Y704"/>
    </row>
    <row r="705" spans="1:25" ht="16.5" customHeight="1">
      <c r="A705" s="140">
        <v>697</v>
      </c>
      <c r="B705" s="141"/>
      <c r="C705" s="1151"/>
      <c r="D705" s="1151"/>
      <c r="E705" s="278"/>
      <c r="F705" s="145"/>
      <c r="G705" s="1158"/>
      <c r="H705" s="1159"/>
      <c r="I705" s="144"/>
      <c r="J705" s="720"/>
      <c r="K705" s="720"/>
      <c r="L705" s="720"/>
      <c r="M705" s="145"/>
      <c r="N705" s="1149"/>
      <c r="O705" s="141"/>
      <c r="P705" s="141"/>
      <c r="Q705" s="141"/>
      <c r="R705" s="276"/>
      <c r="S705" s="753"/>
      <c r="T705" s="404"/>
      <c r="U705" s="28"/>
      <c r="V705"/>
      <c r="W705"/>
      <c r="X705"/>
      <c r="Y705"/>
    </row>
    <row r="706" spans="1:25" ht="16.5" customHeight="1">
      <c r="A706" s="140">
        <v>698</v>
      </c>
      <c r="B706" s="141"/>
      <c r="C706" s="1151"/>
      <c r="D706" s="1151"/>
      <c r="E706" s="278"/>
      <c r="F706" s="145"/>
      <c r="G706" s="1158"/>
      <c r="H706" s="1159"/>
      <c r="I706" s="144"/>
      <c r="J706" s="720"/>
      <c r="K706" s="720"/>
      <c r="L706" s="720"/>
      <c r="M706" s="145"/>
      <c r="N706" s="1149"/>
      <c r="O706" s="141"/>
      <c r="P706" s="141"/>
      <c r="Q706" s="141"/>
      <c r="R706" s="276"/>
      <c r="S706" s="753"/>
      <c r="T706" s="404"/>
      <c r="U706" s="28"/>
      <c r="V706"/>
      <c r="W706"/>
      <c r="X706"/>
      <c r="Y706"/>
    </row>
    <row r="707" spans="1:25" s="824" customFormat="1" ht="16.5" customHeight="1">
      <c r="A707" s="140">
        <v>699</v>
      </c>
      <c r="B707" s="141"/>
      <c r="C707" s="1151"/>
      <c r="D707" s="1151"/>
      <c r="E707" s="278"/>
      <c r="F707" s="145"/>
      <c r="G707" s="1158"/>
      <c r="H707" s="1159"/>
      <c r="I707" s="144"/>
      <c r="J707" s="720"/>
      <c r="K707" s="720"/>
      <c r="L707" s="720"/>
      <c r="M707" s="145"/>
      <c r="N707" s="1149"/>
      <c r="O707" s="141"/>
      <c r="P707" s="141"/>
      <c r="Q707" s="141"/>
      <c r="R707" s="276"/>
      <c r="S707" s="753"/>
      <c r="T707" s="404"/>
      <c r="U707" s="28"/>
    </row>
    <row r="708" spans="1:25" ht="16.5" customHeight="1">
      <c r="A708" s="140">
        <v>700</v>
      </c>
      <c r="B708" s="141"/>
      <c r="C708" s="1151"/>
      <c r="D708" s="1151"/>
      <c r="E708" s="278"/>
      <c r="F708" s="145"/>
      <c r="G708" s="1158"/>
      <c r="H708" s="1159"/>
      <c r="I708" s="144"/>
      <c r="J708" s="720"/>
      <c r="K708" s="720"/>
      <c r="L708" s="720"/>
      <c r="M708" s="145"/>
      <c r="N708" s="1149"/>
      <c r="O708" s="141"/>
      <c r="P708" s="141"/>
      <c r="Q708" s="141"/>
      <c r="R708" s="276"/>
      <c r="S708" s="753"/>
      <c r="T708" s="404"/>
      <c r="U708" s="28"/>
      <c r="V708"/>
      <c r="W708"/>
      <c r="X708"/>
      <c r="Y708"/>
    </row>
    <row r="709" spans="1:25" s="969" customFormat="1" ht="16.5" customHeight="1">
      <c r="A709" s="140">
        <v>701</v>
      </c>
      <c r="B709" s="141"/>
      <c r="C709" s="1151"/>
      <c r="D709" s="1151"/>
      <c r="E709" s="278"/>
      <c r="F709" s="145"/>
      <c r="G709" s="1158"/>
      <c r="H709" s="1160"/>
      <c r="I709" s="144"/>
      <c r="J709" s="720"/>
      <c r="K709" s="720"/>
      <c r="L709" s="720"/>
      <c r="M709" s="145"/>
      <c r="N709" s="1149"/>
      <c r="O709" s="141"/>
      <c r="P709" s="141"/>
      <c r="Q709" s="141"/>
      <c r="R709" s="276"/>
      <c r="S709" s="753"/>
      <c r="T709" s="404"/>
      <c r="U709" s="28"/>
    </row>
    <row r="710" spans="1:25" s="969" customFormat="1" ht="16.5" customHeight="1">
      <c r="A710" s="140">
        <v>702</v>
      </c>
      <c r="B710" s="141"/>
      <c r="C710" s="1151"/>
      <c r="D710" s="1151"/>
      <c r="E710" s="278"/>
      <c r="F710" s="145"/>
      <c r="G710" s="1158"/>
      <c r="H710" s="1160"/>
      <c r="I710" s="144"/>
      <c r="J710" s="720"/>
      <c r="K710" s="720"/>
      <c r="L710" s="720"/>
      <c r="M710" s="145"/>
      <c r="N710" s="1149"/>
      <c r="O710" s="141"/>
      <c r="P710" s="141"/>
      <c r="Q710" s="141"/>
      <c r="R710" s="276"/>
      <c r="S710" s="753"/>
      <c r="T710" s="404"/>
      <c r="U710" s="28"/>
    </row>
    <row r="711" spans="1:25" ht="16.5" customHeight="1">
      <c r="A711" s="140">
        <v>703</v>
      </c>
      <c r="B711" s="141"/>
      <c r="C711" s="1151"/>
      <c r="D711" s="1151"/>
      <c r="E711" s="278"/>
      <c r="F711" s="145"/>
      <c r="G711" s="1158"/>
      <c r="H711" s="1160"/>
      <c r="I711" s="144"/>
      <c r="J711" s="720"/>
      <c r="K711" s="720"/>
      <c r="L711" s="720"/>
      <c r="M711" s="145"/>
      <c r="N711" s="1149"/>
      <c r="O711" s="141"/>
      <c r="P711" s="141"/>
      <c r="Q711" s="141"/>
      <c r="R711" s="276"/>
      <c r="S711" s="753"/>
      <c r="T711" s="404"/>
      <c r="U711" s="28"/>
      <c r="V711"/>
      <c r="W711"/>
      <c r="X711"/>
      <c r="Y711"/>
    </row>
    <row r="712" spans="1:25" ht="16.5" customHeight="1">
      <c r="A712" s="140">
        <v>704</v>
      </c>
      <c r="B712" s="141"/>
      <c r="C712" s="1151"/>
      <c r="D712" s="1151"/>
      <c r="E712" s="278"/>
      <c r="F712" s="145"/>
      <c r="G712" s="1158"/>
      <c r="H712" s="1160"/>
      <c r="I712" s="144"/>
      <c r="J712" s="720"/>
      <c r="K712" s="720"/>
      <c r="L712" s="720"/>
      <c r="M712" s="145"/>
      <c r="N712" s="1149"/>
      <c r="O712" s="141"/>
      <c r="P712" s="141"/>
      <c r="Q712" s="141"/>
      <c r="R712" s="276"/>
      <c r="S712" s="753"/>
      <c r="T712" s="404"/>
      <c r="U712" s="28"/>
      <c r="V712"/>
      <c r="W712"/>
      <c r="X712"/>
      <c r="Y712"/>
    </row>
    <row r="713" spans="1:25" ht="16.5" customHeight="1">
      <c r="A713" s="140">
        <v>705</v>
      </c>
      <c r="B713" s="141"/>
      <c r="C713" s="1151"/>
      <c r="D713" s="1151"/>
      <c r="E713" s="278"/>
      <c r="F713" s="145"/>
      <c r="G713" s="1158"/>
      <c r="H713" s="1160"/>
      <c r="I713" s="144"/>
      <c r="J713" s="720"/>
      <c r="K713" s="720"/>
      <c r="L713" s="720"/>
      <c r="M713" s="145"/>
      <c r="N713" s="1149"/>
      <c r="O713" s="141"/>
      <c r="P713" s="141"/>
      <c r="Q713" s="141"/>
      <c r="R713" s="276"/>
      <c r="S713" s="753"/>
      <c r="T713" s="404"/>
      <c r="U713" s="28"/>
      <c r="V713"/>
      <c r="W713"/>
      <c r="X713"/>
      <c r="Y713"/>
    </row>
    <row r="714" spans="1:25" s="818" customFormat="1" ht="16.5" customHeight="1">
      <c r="A714" s="140">
        <v>706</v>
      </c>
      <c r="B714" s="141"/>
      <c r="C714" s="1151"/>
      <c r="D714" s="1151"/>
      <c r="E714" s="278"/>
      <c r="F714" s="145"/>
      <c r="G714" s="1158"/>
      <c r="H714" s="1160"/>
      <c r="I714" s="144"/>
      <c r="J714" s="720"/>
      <c r="K714" s="720"/>
      <c r="L714" s="720"/>
      <c r="M714" s="145"/>
      <c r="N714" s="1149"/>
      <c r="O714" s="141"/>
      <c r="P714" s="141"/>
      <c r="Q714" s="753"/>
      <c r="R714" s="276"/>
      <c r="S714" s="753"/>
      <c r="T714" s="404"/>
      <c r="U714" s="28"/>
    </row>
    <row r="715" spans="1:25" ht="16.5" customHeight="1">
      <c r="A715" s="140">
        <v>707</v>
      </c>
      <c r="B715" s="141"/>
      <c r="C715" s="1151"/>
      <c r="D715" s="1151"/>
      <c r="E715" s="278"/>
      <c r="F715" s="145"/>
      <c r="G715" s="1158"/>
      <c r="H715" s="1160"/>
      <c r="I715" s="144"/>
      <c r="J715" s="720"/>
      <c r="K715" s="720"/>
      <c r="L715" s="720"/>
      <c r="M715" s="145"/>
      <c r="N715" s="1149"/>
      <c r="O715" s="141"/>
      <c r="P715" s="141"/>
      <c r="Q715" s="141"/>
      <c r="R715" s="276"/>
      <c r="S715" s="753"/>
      <c r="T715" s="404"/>
      <c r="U715" s="28"/>
      <c r="V715"/>
      <c r="W715"/>
      <c r="X715"/>
      <c r="Y715"/>
    </row>
    <row r="716" spans="1:25" ht="16.5" customHeight="1">
      <c r="A716" s="140">
        <v>708</v>
      </c>
      <c r="B716" s="141"/>
      <c r="C716" s="1151"/>
      <c r="D716" s="1151"/>
      <c r="E716" s="278"/>
      <c r="F716" s="145"/>
      <c r="G716" s="1158"/>
      <c r="H716" s="1160"/>
      <c r="I716" s="144"/>
      <c r="J716" s="720"/>
      <c r="K716" s="720"/>
      <c r="L716" s="720"/>
      <c r="M716" s="145"/>
      <c r="N716" s="1149"/>
      <c r="O716" s="141"/>
      <c r="P716" s="141"/>
      <c r="Q716" s="141"/>
      <c r="R716" s="276"/>
      <c r="S716" s="753"/>
      <c r="T716" s="404"/>
      <c r="U716" s="28"/>
      <c r="V716"/>
      <c r="W716"/>
      <c r="X716"/>
      <c r="Y716"/>
    </row>
    <row r="717" spans="1:25" ht="16.5" customHeight="1">
      <c r="A717" s="140">
        <v>709</v>
      </c>
      <c r="B717" s="141"/>
      <c r="C717" s="1151"/>
      <c r="D717" s="1151"/>
      <c r="E717" s="278"/>
      <c r="F717" s="145"/>
      <c r="G717" s="1158"/>
      <c r="H717" s="1160"/>
      <c r="I717" s="144"/>
      <c r="J717" s="720"/>
      <c r="K717" s="720"/>
      <c r="L717" s="720"/>
      <c r="M717" s="145"/>
      <c r="N717" s="1149"/>
      <c r="O717" s="141"/>
      <c r="P717" s="141"/>
      <c r="Q717" s="141"/>
      <c r="R717" s="276"/>
      <c r="S717" s="753"/>
      <c r="T717" s="404"/>
      <c r="U717" s="28"/>
      <c r="V717"/>
      <c r="W717"/>
      <c r="X717"/>
      <c r="Y717"/>
    </row>
    <row r="718" spans="1:25" ht="16.5" customHeight="1">
      <c r="A718" s="140">
        <v>710</v>
      </c>
      <c r="B718" s="141"/>
      <c r="C718" s="1151"/>
      <c r="D718" s="1151"/>
      <c r="E718" s="278"/>
      <c r="F718" s="145"/>
      <c r="G718" s="1158"/>
      <c r="H718" s="1160"/>
      <c r="I718" s="144"/>
      <c r="J718" s="720"/>
      <c r="K718" s="720"/>
      <c r="L718" s="720"/>
      <c r="M718" s="145"/>
      <c r="N718" s="1149"/>
      <c r="O718" s="141"/>
      <c r="P718" s="141"/>
      <c r="Q718" s="141"/>
      <c r="R718" s="276"/>
      <c r="S718" s="753"/>
      <c r="T718" s="404"/>
      <c r="U718" s="28"/>
      <c r="V718"/>
      <c r="W718"/>
      <c r="X718"/>
      <c r="Y718"/>
    </row>
    <row r="719" spans="1:25" ht="16.5" customHeight="1">
      <c r="A719" s="140">
        <v>711</v>
      </c>
      <c r="B719" s="141"/>
      <c r="C719" s="1151"/>
      <c r="D719" s="1151"/>
      <c r="E719" s="278"/>
      <c r="F719" s="145"/>
      <c r="G719" s="1158"/>
      <c r="H719" s="1160"/>
      <c r="I719" s="144"/>
      <c r="J719" s="720"/>
      <c r="K719" s="720"/>
      <c r="L719" s="720"/>
      <c r="M719" s="145"/>
      <c r="N719" s="1149"/>
      <c r="O719" s="141"/>
      <c r="P719" s="141"/>
      <c r="Q719" s="141"/>
      <c r="R719" s="276"/>
      <c r="S719" s="753"/>
      <c r="T719" s="404"/>
      <c r="U719" s="28"/>
      <c r="V719"/>
      <c r="W719"/>
      <c r="X719"/>
      <c r="Y719"/>
    </row>
    <row r="720" spans="1:25" ht="16.5" customHeight="1">
      <c r="A720" s="140">
        <v>712</v>
      </c>
      <c r="B720" s="141"/>
      <c r="C720" s="1151"/>
      <c r="D720" s="1151"/>
      <c r="E720" s="278"/>
      <c r="F720" s="145"/>
      <c r="G720" s="1158"/>
      <c r="H720" s="1160"/>
      <c r="I720" s="144"/>
      <c r="J720" s="720"/>
      <c r="K720" s="720"/>
      <c r="L720" s="720"/>
      <c r="M720" s="145"/>
      <c r="N720" s="1149"/>
      <c r="O720" s="141"/>
      <c r="P720" s="141"/>
      <c r="Q720" s="141"/>
      <c r="R720" s="276"/>
      <c r="S720" s="753"/>
      <c r="T720" s="404"/>
      <c r="U720" s="28"/>
      <c r="V720"/>
      <c r="W720"/>
      <c r="X720"/>
      <c r="Y720"/>
    </row>
    <row r="721" spans="1:25" ht="16.5" customHeight="1">
      <c r="A721" s="140">
        <v>713</v>
      </c>
      <c r="B721" s="141"/>
      <c r="C721" s="1151"/>
      <c r="D721" s="1151"/>
      <c r="E721" s="278"/>
      <c r="F721" s="145"/>
      <c r="G721" s="1158"/>
      <c r="H721" s="1160"/>
      <c r="I721" s="144"/>
      <c r="J721" s="720"/>
      <c r="K721" s="720"/>
      <c r="L721" s="720"/>
      <c r="M721" s="145"/>
      <c r="N721" s="1149"/>
      <c r="O721" s="141"/>
      <c r="P721" s="141"/>
      <c r="Q721" s="141"/>
      <c r="R721" s="276"/>
      <c r="S721" s="753"/>
      <c r="T721" s="404"/>
      <c r="U721" s="28"/>
      <c r="V721"/>
      <c r="W721"/>
      <c r="X721"/>
      <c r="Y721"/>
    </row>
    <row r="722" spans="1:25" ht="16.5" customHeight="1">
      <c r="A722" s="140">
        <v>714</v>
      </c>
      <c r="B722" s="141"/>
      <c r="C722" s="1151"/>
      <c r="D722" s="1151"/>
      <c r="E722" s="278"/>
      <c r="F722" s="145"/>
      <c r="G722" s="1158"/>
      <c r="H722" s="1160"/>
      <c r="I722" s="144"/>
      <c r="J722" s="720"/>
      <c r="K722" s="720"/>
      <c r="L722" s="720"/>
      <c r="M722" s="145"/>
      <c r="N722" s="1149"/>
      <c r="O722" s="141"/>
      <c r="P722" s="141"/>
      <c r="Q722" s="141"/>
      <c r="R722" s="276"/>
      <c r="S722" s="753"/>
      <c r="T722" s="404"/>
      <c r="U722" s="28"/>
      <c r="V722"/>
      <c r="W722"/>
      <c r="X722"/>
      <c r="Y722"/>
    </row>
    <row r="723" spans="1:25" s="839" customFormat="1" ht="16.5" customHeight="1">
      <c r="A723" s="140">
        <v>715</v>
      </c>
      <c r="B723" s="141"/>
      <c r="C723" s="1151"/>
      <c r="D723" s="1151"/>
      <c r="E723" s="278"/>
      <c r="F723" s="145"/>
      <c r="G723" s="1158"/>
      <c r="H723" s="1160"/>
      <c r="I723" s="144"/>
      <c r="J723" s="720"/>
      <c r="K723" s="720"/>
      <c r="L723" s="720"/>
      <c r="M723" s="145"/>
      <c r="N723" s="1149"/>
      <c r="O723" s="141"/>
      <c r="P723" s="141"/>
      <c r="Q723" s="141"/>
      <c r="R723" s="276"/>
      <c r="S723" s="753"/>
      <c r="T723" s="404"/>
      <c r="U723" s="28"/>
    </row>
    <row r="724" spans="1:25" s="823" customFormat="1" ht="16.5" customHeight="1">
      <c r="A724" s="140">
        <v>716</v>
      </c>
      <c r="B724" s="141"/>
      <c r="C724" s="1151"/>
      <c r="D724" s="1151"/>
      <c r="E724" s="278"/>
      <c r="F724" s="145"/>
      <c r="G724" s="1158"/>
      <c r="H724" s="1160"/>
      <c r="I724" s="144"/>
      <c r="J724" s="720"/>
      <c r="K724" s="720"/>
      <c r="L724" s="720"/>
      <c r="M724" s="145"/>
      <c r="N724" s="1149"/>
      <c r="O724" s="141"/>
      <c r="P724" s="141"/>
      <c r="Q724" s="141"/>
      <c r="R724" s="276"/>
      <c r="S724" s="753"/>
      <c r="T724" s="404"/>
      <c r="U724" s="28"/>
    </row>
    <row r="725" spans="1:25" ht="16.5" customHeight="1">
      <c r="A725" s="140">
        <v>717</v>
      </c>
      <c r="B725" s="141"/>
      <c r="C725" s="1151"/>
      <c r="D725" s="1151"/>
      <c r="E725" s="278"/>
      <c r="F725" s="145"/>
      <c r="G725" s="1158"/>
      <c r="H725" s="1160"/>
      <c r="I725" s="144"/>
      <c r="J725" s="720"/>
      <c r="K725" s="720"/>
      <c r="L725" s="720"/>
      <c r="M725" s="145"/>
      <c r="N725" s="1149"/>
      <c r="O725" s="141"/>
      <c r="P725" s="141"/>
      <c r="Q725" s="141"/>
      <c r="R725" s="276"/>
      <c r="S725" s="753"/>
      <c r="T725" s="404"/>
      <c r="U725" s="28"/>
      <c r="V725"/>
      <c r="W725"/>
      <c r="X725"/>
      <c r="Y725"/>
    </row>
    <row r="726" spans="1:25" ht="16.5" customHeight="1">
      <c r="A726" s="140">
        <v>718</v>
      </c>
      <c r="B726" s="141"/>
      <c r="C726" s="1151"/>
      <c r="D726" s="1151"/>
      <c r="E726" s="278"/>
      <c r="F726" s="145"/>
      <c r="G726" s="1158"/>
      <c r="H726" s="1160"/>
      <c r="I726" s="144"/>
      <c r="J726" s="720"/>
      <c r="K726" s="720"/>
      <c r="L726" s="720"/>
      <c r="M726" s="145"/>
      <c r="N726" s="1149"/>
      <c r="O726" s="141"/>
      <c r="P726" s="141"/>
      <c r="Q726" s="141"/>
      <c r="R726" s="276"/>
      <c r="S726" s="753"/>
      <c r="T726" s="404"/>
      <c r="U726" s="28"/>
      <c r="V726"/>
      <c r="W726"/>
      <c r="X726"/>
      <c r="Y726"/>
    </row>
    <row r="727" spans="1:25" ht="16.5" customHeight="1">
      <c r="A727" s="140">
        <v>719</v>
      </c>
      <c r="B727" s="141"/>
      <c r="C727" s="1151"/>
      <c r="D727" s="1151"/>
      <c r="E727" s="278"/>
      <c r="F727" s="145"/>
      <c r="G727" s="1158"/>
      <c r="H727" s="1160"/>
      <c r="I727" s="144"/>
      <c r="J727" s="720"/>
      <c r="K727" s="720"/>
      <c r="L727" s="720"/>
      <c r="M727" s="145"/>
      <c r="N727" s="1149"/>
      <c r="O727" s="141"/>
      <c r="P727" s="141"/>
      <c r="Q727" s="141"/>
      <c r="R727" s="276"/>
      <c r="S727" s="753"/>
      <c r="T727" s="404"/>
      <c r="U727" s="28"/>
      <c r="V727"/>
      <c r="W727"/>
      <c r="X727"/>
      <c r="Y727"/>
    </row>
    <row r="728" spans="1:25" s="959" customFormat="1" ht="16.5" customHeight="1">
      <c r="A728" s="140">
        <v>720</v>
      </c>
      <c r="B728" s="141"/>
      <c r="C728" s="1151"/>
      <c r="D728" s="1151"/>
      <c r="E728" s="278"/>
      <c r="F728" s="145"/>
      <c r="G728" s="1158"/>
      <c r="H728" s="1160"/>
      <c r="I728" s="144"/>
      <c r="J728" s="720"/>
      <c r="K728" s="720"/>
      <c r="L728" s="720"/>
      <c r="M728" s="145"/>
      <c r="N728" s="1149"/>
      <c r="O728" s="141"/>
      <c r="P728" s="141"/>
      <c r="Q728" s="141"/>
      <c r="R728" s="276"/>
      <c r="S728" s="753"/>
      <c r="T728" s="404"/>
      <c r="U728" s="28"/>
    </row>
    <row r="729" spans="1:25" ht="16.5" customHeight="1">
      <c r="A729" s="140">
        <v>721</v>
      </c>
      <c r="B729" s="141"/>
      <c r="C729" s="1151"/>
      <c r="D729" s="1151"/>
      <c r="E729" s="278"/>
      <c r="F729" s="145"/>
      <c r="G729" s="1158"/>
      <c r="H729" s="1160"/>
      <c r="I729" s="144"/>
      <c r="J729" s="720"/>
      <c r="K729" s="720"/>
      <c r="L729" s="720"/>
      <c r="M729" s="145"/>
      <c r="N729" s="1149"/>
      <c r="O729" s="141"/>
      <c r="P729" s="141"/>
      <c r="Q729" s="141"/>
      <c r="R729" s="276"/>
      <c r="S729" s="753"/>
      <c r="T729" s="404"/>
      <c r="U729" s="28"/>
      <c r="V729"/>
      <c r="W729"/>
      <c r="X729"/>
      <c r="Y729"/>
    </row>
    <row r="730" spans="1:25" ht="16.5" customHeight="1">
      <c r="A730" s="140">
        <v>722</v>
      </c>
      <c r="B730" s="141"/>
      <c r="C730" s="1151"/>
      <c r="D730" s="1151"/>
      <c r="E730" s="278"/>
      <c r="F730" s="145"/>
      <c r="G730" s="1158"/>
      <c r="H730" s="1160"/>
      <c r="I730" s="144"/>
      <c r="J730" s="720"/>
      <c r="K730" s="720"/>
      <c r="L730" s="720"/>
      <c r="M730" s="145"/>
      <c r="N730" s="1149"/>
      <c r="O730" s="141"/>
      <c r="P730" s="141"/>
      <c r="Q730" s="141"/>
      <c r="R730" s="276"/>
      <c r="S730" s="753"/>
      <c r="T730" s="404"/>
      <c r="U730" s="28"/>
      <c r="V730"/>
      <c r="W730"/>
      <c r="X730"/>
      <c r="Y730"/>
    </row>
    <row r="731" spans="1:25" ht="16.5" customHeight="1">
      <c r="A731" s="140">
        <v>723</v>
      </c>
      <c r="B731" s="141"/>
      <c r="C731" s="1151"/>
      <c r="D731" s="1151"/>
      <c r="E731" s="278"/>
      <c r="F731" s="145"/>
      <c r="G731" s="1158"/>
      <c r="H731" s="1160"/>
      <c r="I731" s="144"/>
      <c r="J731" s="720"/>
      <c r="K731" s="720"/>
      <c r="L731" s="720"/>
      <c r="M731" s="145"/>
      <c r="N731" s="1149"/>
      <c r="O731" s="141"/>
      <c r="P731" s="141"/>
      <c r="Q731" s="141"/>
      <c r="R731" s="276"/>
      <c r="S731" s="753"/>
      <c r="T731" s="404"/>
      <c r="V731"/>
      <c r="W731"/>
      <c r="X731"/>
      <c r="Y731"/>
    </row>
    <row r="732" spans="1:25" ht="16.5" customHeight="1">
      <c r="A732" s="140">
        <v>724</v>
      </c>
      <c r="B732" s="141"/>
      <c r="C732" s="1151"/>
      <c r="D732" s="1151"/>
      <c r="E732" s="278"/>
      <c r="F732" s="145"/>
      <c r="G732" s="1158"/>
      <c r="H732" s="1160"/>
      <c r="I732" s="144"/>
      <c r="J732" s="720"/>
      <c r="K732" s="720"/>
      <c r="L732" s="720"/>
      <c r="M732" s="145"/>
      <c r="N732" s="1149"/>
      <c r="O732" s="141"/>
      <c r="P732" s="141"/>
      <c r="Q732" s="141"/>
      <c r="R732" s="276"/>
      <c r="S732" s="753"/>
      <c r="T732" s="404"/>
      <c r="V732"/>
      <c r="W732"/>
      <c r="X732"/>
      <c r="Y732"/>
    </row>
    <row r="733" spans="1:25" s="825" customFormat="1" ht="16.5" customHeight="1">
      <c r="A733" s="140">
        <v>725</v>
      </c>
      <c r="B733" s="141"/>
      <c r="C733" s="1151"/>
      <c r="D733" s="1151"/>
      <c r="E733" s="278"/>
      <c r="F733" s="145"/>
      <c r="G733" s="1158"/>
      <c r="H733" s="1160"/>
      <c r="I733" s="144"/>
      <c r="J733" s="720"/>
      <c r="K733" s="720"/>
      <c r="L733" s="720"/>
      <c r="M733" s="145"/>
      <c r="N733" s="1149"/>
      <c r="O733" s="141"/>
      <c r="P733" s="141"/>
      <c r="Q733" s="141"/>
      <c r="R733" s="276"/>
      <c r="S733" s="753"/>
      <c r="T733" s="404"/>
      <c r="U733" s="217"/>
    </row>
    <row r="734" spans="1:25" s="969" customFormat="1" ht="16.5" customHeight="1">
      <c r="A734" s="140">
        <v>726</v>
      </c>
      <c r="B734" s="141"/>
      <c r="C734" s="1151"/>
      <c r="D734" s="1151"/>
      <c r="E734" s="278"/>
      <c r="F734" s="145"/>
      <c r="G734" s="1158"/>
      <c r="H734" s="1160"/>
      <c r="I734" s="144"/>
      <c r="J734" s="720"/>
      <c r="K734" s="720"/>
      <c r="L734" s="720"/>
      <c r="M734" s="145"/>
      <c r="N734" s="1149"/>
      <c r="O734" s="141"/>
      <c r="P734" s="141"/>
      <c r="Q734" s="141"/>
      <c r="R734" s="276"/>
      <c r="S734" s="753"/>
      <c r="T734" s="404"/>
      <c r="U734" s="217"/>
    </row>
    <row r="735" spans="1:25" ht="16.5" customHeight="1">
      <c r="A735" s="140">
        <v>727</v>
      </c>
      <c r="B735" s="141"/>
      <c r="C735" s="1151"/>
      <c r="D735" s="1151"/>
      <c r="E735" s="278"/>
      <c r="F735" s="145"/>
      <c r="G735" s="1158"/>
      <c r="H735" s="1160"/>
      <c r="I735" s="144"/>
      <c r="J735" s="720"/>
      <c r="K735" s="720"/>
      <c r="L735" s="720"/>
      <c r="M735" s="145"/>
      <c r="N735" s="1149"/>
      <c r="O735" s="141"/>
      <c r="P735" s="141"/>
      <c r="Q735" s="141"/>
      <c r="R735" s="276"/>
      <c r="S735" s="753"/>
      <c r="T735" s="757"/>
      <c r="V735"/>
      <c r="W735"/>
      <c r="X735"/>
      <c r="Y735"/>
    </row>
    <row r="736" spans="1:25" ht="16.5" customHeight="1">
      <c r="A736" s="140">
        <v>728</v>
      </c>
      <c r="B736" s="141"/>
      <c r="C736" s="1151"/>
      <c r="D736" s="1151"/>
      <c r="E736" s="278"/>
      <c r="F736" s="145"/>
      <c r="G736" s="1158"/>
      <c r="H736" s="1160"/>
      <c r="I736" s="144"/>
      <c r="J736" s="720"/>
      <c r="K736" s="720"/>
      <c r="L736" s="720"/>
      <c r="M736" s="145"/>
      <c r="N736" s="1149"/>
      <c r="O736" s="141"/>
      <c r="P736" s="141"/>
      <c r="Q736" s="141"/>
      <c r="R736" s="276"/>
      <c r="S736" s="753"/>
      <c r="T736" s="237"/>
      <c r="V736"/>
      <c r="W736"/>
      <c r="X736"/>
      <c r="Y736"/>
    </row>
    <row r="737" spans="1:25" ht="16.5" customHeight="1">
      <c r="A737" s="140">
        <v>729</v>
      </c>
      <c r="B737" s="141"/>
      <c r="C737" s="1151"/>
      <c r="D737" s="1151"/>
      <c r="E737" s="278"/>
      <c r="F737" s="145"/>
      <c r="G737" s="1158"/>
      <c r="H737" s="1160"/>
      <c r="I737" s="144"/>
      <c r="J737" s="720"/>
      <c r="K737" s="720"/>
      <c r="L737" s="720"/>
      <c r="M737" s="145"/>
      <c r="N737" s="1149"/>
      <c r="O737" s="141"/>
      <c r="P737" s="141"/>
      <c r="Q737" s="753"/>
      <c r="R737" s="276"/>
      <c r="S737" s="753"/>
      <c r="T737" s="753"/>
      <c r="V737"/>
      <c r="W737"/>
      <c r="X737"/>
      <c r="Y737"/>
    </row>
    <row r="738" spans="1:25" ht="16.5" customHeight="1">
      <c r="A738" s="140">
        <v>730</v>
      </c>
      <c r="B738" s="141"/>
      <c r="C738" s="1151"/>
      <c r="D738" s="1151"/>
      <c r="E738" s="278"/>
      <c r="F738" s="1153"/>
      <c r="G738" s="1158"/>
      <c r="H738" s="1160"/>
      <c r="I738" s="144"/>
      <c r="J738" s="720"/>
      <c r="K738" s="720"/>
      <c r="L738" s="720"/>
      <c r="M738" s="145"/>
      <c r="N738" s="1149"/>
      <c r="O738" s="141"/>
      <c r="P738" s="141"/>
      <c r="Q738" s="753"/>
      <c r="R738" s="276"/>
      <c r="S738" s="753"/>
      <c r="T738" s="753"/>
      <c r="U738"/>
      <c r="V738"/>
      <c r="W738"/>
      <c r="X738"/>
      <c r="Y738"/>
    </row>
    <row r="739" spans="1:25" ht="16.5" customHeight="1">
      <c r="A739" s="140">
        <v>731</v>
      </c>
      <c r="B739" s="141"/>
      <c r="C739" s="1151"/>
      <c r="D739" s="1151"/>
      <c r="E739" s="278"/>
      <c r="F739" s="145"/>
      <c r="G739" s="1158"/>
      <c r="H739" s="1159"/>
      <c r="I739" s="144"/>
      <c r="J739" s="720"/>
      <c r="K739" s="720"/>
      <c r="L739" s="720"/>
      <c r="M739" s="145"/>
      <c r="N739" s="1149"/>
      <c r="O739" s="141"/>
      <c r="P739" s="141"/>
      <c r="Q739" s="753"/>
      <c r="R739" s="276"/>
      <c r="S739" s="753"/>
      <c r="T739" s="753"/>
      <c r="U739"/>
      <c r="V739"/>
      <c r="W739"/>
      <c r="X739"/>
      <c r="Y739"/>
    </row>
    <row r="740" spans="1:25" ht="16.5" customHeight="1">
      <c r="A740" s="140">
        <v>732</v>
      </c>
      <c r="B740" s="141"/>
      <c r="C740" s="1151"/>
      <c r="D740" s="1151"/>
      <c r="E740" s="278"/>
      <c r="F740" s="145"/>
      <c r="G740" s="1158"/>
      <c r="H740" s="1159"/>
      <c r="I740" s="144"/>
      <c r="J740" s="720"/>
      <c r="K740" s="720"/>
      <c r="L740" s="720"/>
      <c r="M740" s="145"/>
      <c r="N740" s="1149"/>
      <c r="O740" s="141"/>
      <c r="P740" s="141"/>
      <c r="Q740" s="141"/>
      <c r="R740" s="276"/>
      <c r="S740" s="753"/>
      <c r="T740" s="753"/>
      <c r="U740"/>
      <c r="V740"/>
      <c r="W740"/>
      <c r="X740"/>
      <c r="Y740"/>
    </row>
    <row r="741" spans="1:25" ht="16.5" customHeight="1">
      <c r="A741" s="140">
        <v>733</v>
      </c>
      <c r="B741" s="141"/>
      <c r="C741" s="1151"/>
      <c r="D741" s="1151"/>
      <c r="E741" s="278"/>
      <c r="F741" s="145"/>
      <c r="G741" s="1158"/>
      <c r="H741" s="1159"/>
      <c r="I741" s="144"/>
      <c r="J741" s="720"/>
      <c r="K741" s="720"/>
      <c r="L741" s="720"/>
      <c r="M741" s="145"/>
      <c r="N741" s="1149"/>
      <c r="O741" s="141"/>
      <c r="P741" s="141"/>
      <c r="Q741" s="753"/>
      <c r="R741" s="276"/>
      <c r="S741" s="753"/>
      <c r="T741" s="753"/>
      <c r="U741"/>
      <c r="V741"/>
      <c r="W741"/>
      <c r="X741"/>
      <c r="Y741"/>
    </row>
    <row r="742" spans="1:25" ht="16.5" customHeight="1">
      <c r="A742" s="140">
        <v>734</v>
      </c>
      <c r="B742" s="141"/>
      <c r="C742" s="1151"/>
      <c r="D742" s="1151"/>
      <c r="E742" s="278"/>
      <c r="F742" s="145"/>
      <c r="G742" s="1158"/>
      <c r="H742" s="1159"/>
      <c r="I742" s="144"/>
      <c r="J742" s="720"/>
      <c r="K742" s="720"/>
      <c r="L742" s="720"/>
      <c r="M742" s="145"/>
      <c r="N742" s="1149"/>
      <c r="O742" s="141"/>
      <c r="P742" s="141"/>
      <c r="Q742" s="753"/>
      <c r="R742" s="276"/>
      <c r="S742" s="753"/>
      <c r="T742" s="753"/>
      <c r="U742"/>
      <c r="V742"/>
      <c r="W742"/>
      <c r="X742"/>
      <c r="Y742"/>
    </row>
    <row r="743" spans="1:25" ht="16.5" customHeight="1">
      <c r="A743" s="140">
        <v>735</v>
      </c>
      <c r="B743" s="141"/>
      <c r="C743" s="1151"/>
      <c r="D743" s="1151"/>
      <c r="E743" s="278"/>
      <c r="F743" s="145"/>
      <c r="G743" s="1158"/>
      <c r="H743" s="1159"/>
      <c r="I743" s="144"/>
      <c r="J743" s="720"/>
      <c r="K743" s="720"/>
      <c r="L743" s="720"/>
      <c r="M743" s="145"/>
      <c r="N743" s="1149"/>
      <c r="O743" s="141"/>
      <c r="P743" s="141"/>
      <c r="Q743" s="753"/>
      <c r="R743" s="276"/>
      <c r="S743" s="753"/>
      <c r="T743" s="753"/>
      <c r="U743"/>
      <c r="V743"/>
      <c r="W743"/>
      <c r="X743"/>
      <c r="Y743"/>
    </row>
    <row r="744" spans="1:25" ht="16.5" customHeight="1">
      <c r="A744" s="140">
        <v>736</v>
      </c>
      <c r="B744" s="141"/>
      <c r="C744" s="1151"/>
      <c r="D744" s="1151"/>
      <c r="E744" s="278"/>
      <c r="F744" s="145"/>
      <c r="G744" s="1158"/>
      <c r="H744" s="1159"/>
      <c r="I744" s="144"/>
      <c r="J744" s="720"/>
      <c r="K744" s="720"/>
      <c r="L744" s="720"/>
      <c r="M744" s="145"/>
      <c r="N744" s="1149"/>
      <c r="O744" s="141"/>
      <c r="P744" s="141"/>
      <c r="Q744" s="141"/>
      <c r="R744" s="276"/>
      <c r="S744" s="753"/>
      <c r="T744" s="753"/>
      <c r="U744"/>
      <c r="V744"/>
      <c r="W744"/>
      <c r="X744"/>
      <c r="Y744"/>
    </row>
    <row r="745" spans="1:25" ht="16.5" customHeight="1">
      <c r="A745" s="140">
        <v>737</v>
      </c>
      <c r="B745" s="141"/>
      <c r="C745" s="1151"/>
      <c r="D745" s="1151"/>
      <c r="E745" s="278"/>
      <c r="F745" s="145"/>
      <c r="G745" s="1158"/>
      <c r="H745" s="1160"/>
      <c r="I745" s="144"/>
      <c r="J745" s="720"/>
      <c r="K745" s="720"/>
      <c r="L745" s="720"/>
      <c r="M745" s="145"/>
      <c r="N745" s="1149"/>
      <c r="O745" s="141"/>
      <c r="P745" s="141"/>
      <c r="Q745" s="753"/>
      <c r="R745" s="276"/>
      <c r="S745" s="753"/>
      <c r="T745" s="753"/>
      <c r="U745"/>
      <c r="V745"/>
      <c r="W745"/>
      <c r="X745"/>
      <c r="Y745"/>
    </row>
    <row r="746" spans="1:25" ht="16.5" customHeight="1">
      <c r="A746" s="140">
        <v>738</v>
      </c>
      <c r="B746" s="141"/>
      <c r="C746" s="1151"/>
      <c r="D746" s="1151"/>
      <c r="E746" s="278"/>
      <c r="F746" s="145"/>
      <c r="G746" s="1158"/>
      <c r="H746" s="1160"/>
      <c r="I746" s="144"/>
      <c r="J746" s="720"/>
      <c r="K746" s="720"/>
      <c r="L746" s="720"/>
      <c r="M746" s="145"/>
      <c r="N746" s="1149"/>
      <c r="O746" s="141"/>
      <c r="P746" s="141"/>
      <c r="Q746" s="753"/>
      <c r="R746" s="276"/>
      <c r="S746" s="753"/>
      <c r="T746" s="753"/>
      <c r="U746"/>
      <c r="V746"/>
      <c r="W746"/>
      <c r="X746"/>
      <c r="Y746"/>
    </row>
    <row r="747" spans="1:25" ht="16.5" customHeight="1">
      <c r="A747" s="140">
        <v>739</v>
      </c>
      <c r="B747" s="141"/>
      <c r="C747" s="1151"/>
      <c r="D747" s="1151"/>
      <c r="E747" s="278"/>
      <c r="F747" s="145"/>
      <c r="G747" s="1158"/>
      <c r="H747" s="1160"/>
      <c r="I747" s="144"/>
      <c r="J747" s="720"/>
      <c r="K747" s="720"/>
      <c r="L747" s="720"/>
      <c r="M747" s="145"/>
      <c r="N747" s="1149"/>
      <c r="O747" s="141"/>
      <c r="P747" s="141"/>
      <c r="Q747" s="753"/>
      <c r="R747" s="276"/>
      <c r="S747" s="753"/>
      <c r="T747" s="753"/>
      <c r="U747"/>
      <c r="V747"/>
      <c r="W747"/>
      <c r="X747"/>
      <c r="Y747"/>
    </row>
    <row r="748" spans="1:25" ht="16.5" customHeight="1">
      <c r="A748" s="140">
        <v>740</v>
      </c>
      <c r="B748" s="141"/>
      <c r="C748" s="1151"/>
      <c r="D748" s="1151"/>
      <c r="E748" s="278"/>
      <c r="F748" s="145"/>
      <c r="G748" s="1158"/>
      <c r="H748" s="1160"/>
      <c r="I748" s="144"/>
      <c r="J748" s="720"/>
      <c r="K748" s="720"/>
      <c r="L748" s="720"/>
      <c r="M748" s="145"/>
      <c r="N748" s="1149"/>
      <c r="O748" s="141"/>
      <c r="P748" s="141"/>
      <c r="Q748" s="753"/>
      <c r="R748" s="753"/>
      <c r="S748" s="753"/>
      <c r="T748" s="753"/>
      <c r="U748"/>
      <c r="V748"/>
      <c r="W748"/>
      <c r="X748"/>
      <c r="Y748"/>
    </row>
    <row r="749" spans="1:25" ht="16.5" customHeight="1">
      <c r="A749" s="140">
        <v>741</v>
      </c>
      <c r="B749" s="141"/>
      <c r="C749" s="1151"/>
      <c r="D749" s="1151"/>
      <c r="E749" s="278"/>
      <c r="F749" s="145"/>
      <c r="G749" s="1158"/>
      <c r="H749" s="1160"/>
      <c r="I749" s="144"/>
      <c r="J749" s="720"/>
      <c r="K749" s="720"/>
      <c r="L749" s="720"/>
      <c r="M749" s="145"/>
      <c r="N749" s="1149"/>
      <c r="O749" s="141"/>
      <c r="P749" s="141"/>
      <c r="Q749" s="753"/>
      <c r="R749" s="753"/>
      <c r="S749" s="753"/>
      <c r="T749" s="753"/>
      <c r="U749"/>
      <c r="V749"/>
      <c r="W749"/>
      <c r="X749"/>
      <c r="Y749"/>
    </row>
    <row r="750" spans="1:25" ht="16.5" customHeight="1">
      <c r="A750" s="140">
        <v>742</v>
      </c>
      <c r="B750" s="141"/>
      <c r="C750" s="1151"/>
      <c r="D750" s="1151"/>
      <c r="E750" s="278"/>
      <c r="F750" s="145"/>
      <c r="G750" s="1158"/>
      <c r="H750" s="1160"/>
      <c r="I750" s="144"/>
      <c r="J750" s="720"/>
      <c r="K750" s="720"/>
      <c r="L750" s="720"/>
      <c r="M750" s="145"/>
      <c r="N750" s="1149"/>
      <c r="O750" s="141"/>
      <c r="P750" s="141"/>
      <c r="Q750" s="753"/>
      <c r="R750" s="753"/>
      <c r="S750" s="753"/>
      <c r="T750" s="753"/>
      <c r="U750"/>
      <c r="V750"/>
      <c r="W750"/>
      <c r="X750"/>
      <c r="Y750"/>
    </row>
    <row r="751" spans="1:25" ht="16.5" customHeight="1">
      <c r="A751" s="140">
        <v>743</v>
      </c>
      <c r="B751" s="141"/>
      <c r="C751" s="1151"/>
      <c r="D751" s="1151"/>
      <c r="E751" s="278"/>
      <c r="F751" s="405"/>
      <c r="G751" s="1158"/>
      <c r="H751" s="1160"/>
      <c r="I751" s="144"/>
      <c r="J751" s="1038"/>
      <c r="K751" s="1038"/>
      <c r="L751" s="720"/>
      <c r="M751" s="145"/>
      <c r="N751" s="1149"/>
      <c r="O751" s="141"/>
      <c r="P751" s="141"/>
      <c r="Q751" s="753"/>
      <c r="R751" s="753"/>
      <c r="S751" s="753"/>
      <c r="T751" s="753"/>
      <c r="U751" s="141" t="s">
        <v>647</v>
      </c>
      <c r="V751"/>
      <c r="W751"/>
      <c r="X751"/>
      <c r="Y751"/>
    </row>
    <row r="752" spans="1:25" ht="16.5" customHeight="1">
      <c r="A752" s="140">
        <v>744</v>
      </c>
      <c r="B752" s="141"/>
      <c r="C752" s="1151"/>
      <c r="D752" s="1151"/>
      <c r="E752" s="278"/>
      <c r="F752" s="145"/>
      <c r="G752" s="1158"/>
      <c r="H752" s="1160"/>
      <c r="I752" s="144"/>
      <c r="J752" s="720"/>
      <c r="K752" s="720"/>
      <c r="L752" s="720"/>
      <c r="M752" s="145"/>
      <c r="N752" s="1149"/>
      <c r="O752" s="141"/>
      <c r="P752" s="141"/>
      <c r="Q752" s="753"/>
      <c r="R752" s="753"/>
      <c r="S752" s="753"/>
      <c r="T752" s="753"/>
      <c r="U752" s="141" t="s">
        <v>647</v>
      </c>
      <c r="V752"/>
      <c r="W752"/>
      <c r="X752"/>
      <c r="Y752"/>
    </row>
    <row r="753" spans="1:25" ht="16.5" customHeight="1">
      <c r="A753" s="140">
        <v>745</v>
      </c>
      <c r="B753" s="141"/>
      <c r="C753" s="1151"/>
      <c r="D753" s="1151"/>
      <c r="E753" s="278"/>
      <c r="F753" s="145"/>
      <c r="G753" s="1158"/>
      <c r="H753" s="1160"/>
      <c r="I753" s="144"/>
      <c r="J753" s="720"/>
      <c r="K753" s="720"/>
      <c r="L753" s="720"/>
      <c r="M753" s="145"/>
      <c r="N753" s="1149"/>
      <c r="O753" s="141"/>
      <c r="P753" s="141"/>
      <c r="Q753" s="753"/>
      <c r="R753" s="753"/>
      <c r="S753" s="753"/>
      <c r="T753" s="753"/>
      <c r="U753" s="141" t="s">
        <v>648</v>
      </c>
      <c r="V753"/>
      <c r="W753"/>
      <c r="X753"/>
      <c r="Y753"/>
    </row>
    <row r="754" spans="1:25" s="969" customFormat="1" ht="16.5" customHeight="1">
      <c r="A754" s="140">
        <v>746</v>
      </c>
      <c r="B754" s="141"/>
      <c r="C754" s="1151"/>
      <c r="D754" s="1151"/>
      <c r="E754" s="278"/>
      <c r="F754" s="145"/>
      <c r="G754" s="1158"/>
      <c r="H754" s="1160"/>
      <c r="I754" s="144"/>
      <c r="J754" s="720"/>
      <c r="K754" s="720"/>
      <c r="L754" s="720"/>
      <c r="M754" s="145"/>
      <c r="N754" s="1149"/>
      <c r="O754" s="141"/>
      <c r="P754" s="141"/>
      <c r="Q754" s="753"/>
      <c r="R754" s="753"/>
      <c r="S754" s="753"/>
      <c r="T754" s="753"/>
      <c r="U754" s="141"/>
    </row>
    <row r="755" spans="1:25" ht="16.5" customHeight="1">
      <c r="A755" s="140">
        <v>747</v>
      </c>
      <c r="B755" s="141"/>
      <c r="C755" s="1151"/>
      <c r="D755" s="1151"/>
      <c r="E755" s="278"/>
      <c r="F755" s="145"/>
      <c r="G755" s="1158"/>
      <c r="H755" s="1160"/>
      <c r="I755" s="144"/>
      <c r="J755" s="720"/>
      <c r="K755" s="720"/>
      <c r="L755" s="720"/>
      <c r="M755" s="145"/>
      <c r="N755" s="1149"/>
      <c r="O755" s="141"/>
      <c r="P755" s="141"/>
      <c r="Q755" s="753"/>
      <c r="R755" s="753"/>
      <c r="S755" s="753"/>
      <c r="T755" s="753"/>
      <c r="U755" s="141" t="s">
        <v>649</v>
      </c>
      <c r="V755"/>
      <c r="W755"/>
      <c r="X755"/>
      <c r="Y755"/>
    </row>
    <row r="756" spans="1:25" s="992" customFormat="1" ht="16.5" customHeight="1">
      <c r="A756" s="140">
        <v>748</v>
      </c>
      <c r="B756" s="141"/>
      <c r="C756" s="1151"/>
      <c r="D756" s="1151"/>
      <c r="E756" s="278"/>
      <c r="F756" s="145"/>
      <c r="G756" s="1158"/>
      <c r="H756" s="1160"/>
      <c r="I756" s="144"/>
      <c r="J756" s="720"/>
      <c r="K756" s="720"/>
      <c r="L756" s="720"/>
      <c r="M756" s="145"/>
      <c r="N756" s="1149"/>
      <c r="O756" s="141"/>
      <c r="P756" s="141"/>
      <c r="Q756" s="141"/>
      <c r="R756" s="753"/>
      <c r="S756" s="753"/>
      <c r="T756" s="753"/>
      <c r="U756" s="141"/>
    </row>
    <row r="757" spans="1:25" ht="16.5" customHeight="1">
      <c r="A757" s="140">
        <v>749</v>
      </c>
      <c r="B757" s="141"/>
      <c r="C757" s="1151"/>
      <c r="D757" s="1151"/>
      <c r="E757" s="278"/>
      <c r="F757" s="145"/>
      <c r="G757" s="1158"/>
      <c r="H757" s="1160"/>
      <c r="I757" s="144"/>
      <c r="J757" s="720"/>
      <c r="K757" s="720"/>
      <c r="L757" s="720"/>
      <c r="M757" s="145"/>
      <c r="N757" s="1149"/>
      <c r="O757" s="141"/>
      <c r="P757" s="141"/>
      <c r="Q757" s="141"/>
      <c r="R757" s="753"/>
      <c r="S757" s="753"/>
      <c r="T757" s="753"/>
      <c r="U757" s="141" t="s">
        <v>649</v>
      </c>
      <c r="V757"/>
      <c r="W757"/>
      <c r="X757"/>
      <c r="Y757"/>
    </row>
    <row r="758" spans="1:25" s="969" customFormat="1" ht="16.5" customHeight="1">
      <c r="A758" s="140">
        <v>750</v>
      </c>
      <c r="B758" s="141"/>
      <c r="C758" s="1151"/>
      <c r="D758" s="1151"/>
      <c r="E758" s="278"/>
      <c r="F758" s="145"/>
      <c r="G758" s="1158"/>
      <c r="H758" s="1160"/>
      <c r="I758" s="144"/>
      <c r="J758" s="720"/>
      <c r="K758" s="720"/>
      <c r="L758" s="720"/>
      <c r="M758" s="145"/>
      <c r="N758" s="1149"/>
      <c r="O758" s="141"/>
      <c r="P758" s="141"/>
      <c r="Q758" s="141"/>
      <c r="R758" s="753"/>
      <c r="S758" s="753"/>
      <c r="T758" s="753"/>
      <c r="U758" s="169"/>
    </row>
    <row r="759" spans="1:25" ht="16.5" customHeight="1">
      <c r="A759" s="140">
        <v>751</v>
      </c>
      <c r="B759" s="141"/>
      <c r="C759" s="1151"/>
      <c r="D759" s="1151"/>
      <c r="E759" s="278"/>
      <c r="F759" s="145"/>
      <c r="G759" s="1158"/>
      <c r="H759" s="1160"/>
      <c r="I759" s="144"/>
      <c r="J759" s="720"/>
      <c r="K759" s="720"/>
      <c r="L759" s="720"/>
      <c r="M759" s="145"/>
      <c r="N759" s="1149"/>
      <c r="O759" s="141"/>
      <c r="P759" s="141"/>
      <c r="Q759" s="753"/>
      <c r="R759" s="753"/>
      <c r="S759" s="753"/>
      <c r="T759" s="753"/>
      <c r="V759"/>
      <c r="W759"/>
      <c r="X759"/>
      <c r="Y759"/>
    </row>
    <row r="760" spans="1:25" ht="16.5" customHeight="1">
      <c r="A760" s="140">
        <v>752</v>
      </c>
      <c r="B760" s="141"/>
      <c r="C760" s="1151"/>
      <c r="D760" s="1151"/>
      <c r="E760" s="278"/>
      <c r="F760" s="145"/>
      <c r="G760" s="1158"/>
      <c r="H760" s="1160"/>
      <c r="I760" s="144"/>
      <c r="J760" s="720"/>
      <c r="K760" s="720"/>
      <c r="L760" s="720"/>
      <c r="M760" s="145"/>
      <c r="N760" s="1149"/>
      <c r="O760" s="141"/>
      <c r="P760" s="141"/>
      <c r="Q760" s="753"/>
      <c r="R760" s="753"/>
      <c r="S760" s="753"/>
      <c r="T760" s="753"/>
      <c r="V760"/>
      <c r="W760"/>
      <c r="X760"/>
      <c r="Y760"/>
    </row>
    <row r="761" spans="1:25" ht="16.5" customHeight="1">
      <c r="A761" s="140">
        <v>753</v>
      </c>
      <c r="B761" s="141"/>
      <c r="C761" s="1151"/>
      <c r="D761" s="1151"/>
      <c r="E761" s="278"/>
      <c r="F761" s="145"/>
      <c r="G761" s="1158"/>
      <c r="H761" s="1160"/>
      <c r="I761" s="144"/>
      <c r="J761" s="720"/>
      <c r="K761" s="720"/>
      <c r="L761" s="720"/>
      <c r="M761" s="145"/>
      <c r="N761" s="1149"/>
      <c r="O761" s="141"/>
      <c r="P761" s="141"/>
      <c r="Q761" s="753"/>
      <c r="R761" s="753"/>
      <c r="S761" s="753"/>
      <c r="T761" s="753"/>
      <c r="V761"/>
      <c r="W761"/>
      <c r="X761"/>
      <c r="Y761"/>
    </row>
    <row r="762" spans="1:25" ht="16.5" customHeight="1">
      <c r="A762" s="140">
        <v>754</v>
      </c>
      <c r="B762" s="141"/>
      <c r="C762" s="1151"/>
      <c r="D762" s="1151"/>
      <c r="E762" s="278"/>
      <c r="F762" s="145"/>
      <c r="G762" s="1158"/>
      <c r="H762" s="1160"/>
      <c r="I762" s="144"/>
      <c r="J762" s="720"/>
      <c r="K762" s="720"/>
      <c r="L762" s="720"/>
      <c r="M762" s="145"/>
      <c r="N762" s="1149"/>
      <c r="O762" s="141"/>
      <c r="P762" s="141"/>
      <c r="Q762" s="753"/>
      <c r="R762" s="753"/>
      <c r="S762" s="753"/>
      <c r="T762" s="753"/>
      <c r="V762"/>
      <c r="W762"/>
      <c r="X762"/>
      <c r="Y762"/>
    </row>
    <row r="763" spans="1:25" ht="16.5" customHeight="1">
      <c r="A763" s="140">
        <v>755</v>
      </c>
      <c r="B763" s="141"/>
      <c r="C763" s="1151"/>
      <c r="D763" s="1151"/>
      <c r="E763" s="278"/>
      <c r="F763" s="145"/>
      <c r="G763" s="1158"/>
      <c r="H763" s="1160"/>
      <c r="I763" s="144"/>
      <c r="J763" s="720"/>
      <c r="K763" s="720"/>
      <c r="L763" s="720"/>
      <c r="M763" s="145"/>
      <c r="N763" s="1149"/>
      <c r="O763" s="141"/>
      <c r="P763" s="141"/>
      <c r="Q763" s="753"/>
      <c r="R763" s="753"/>
      <c r="S763" s="753"/>
      <c r="T763" s="753"/>
      <c r="V763"/>
      <c r="W763"/>
      <c r="X763"/>
      <c r="Y763"/>
    </row>
    <row r="764" spans="1:25" s="969" customFormat="1" ht="16.5" customHeight="1">
      <c r="A764" s="140">
        <v>756</v>
      </c>
      <c r="B764" s="141"/>
      <c r="C764" s="1151"/>
      <c r="D764" s="1151"/>
      <c r="E764" s="278"/>
      <c r="F764" s="145"/>
      <c r="G764" s="1158"/>
      <c r="H764" s="1160"/>
      <c r="I764" s="144"/>
      <c r="J764" s="720"/>
      <c r="K764" s="720"/>
      <c r="L764" s="720"/>
      <c r="M764" s="145"/>
      <c r="N764" s="1149"/>
      <c r="O764" s="141"/>
      <c r="P764" s="141"/>
      <c r="Q764" s="753"/>
      <c r="R764" s="753"/>
      <c r="S764" s="753"/>
      <c r="T764" s="753"/>
      <c r="U764" s="217"/>
    </row>
    <row r="765" spans="1:25" ht="16.5" customHeight="1">
      <c r="A765" s="140">
        <v>757</v>
      </c>
      <c r="B765" s="141"/>
      <c r="C765" s="1151"/>
      <c r="D765" s="1151"/>
      <c r="E765" s="278"/>
      <c r="F765" s="145"/>
      <c r="G765" s="1158"/>
      <c r="H765" s="1160"/>
      <c r="I765" s="144"/>
      <c r="J765" s="720"/>
      <c r="K765" s="720"/>
      <c r="L765" s="720"/>
      <c r="M765" s="145"/>
      <c r="N765" s="1149"/>
      <c r="O765" s="141"/>
      <c r="P765" s="141"/>
      <c r="Q765" s="753"/>
      <c r="R765" s="753"/>
      <c r="S765" s="753"/>
      <c r="T765" s="753"/>
      <c r="V765"/>
      <c r="W765"/>
      <c r="X765"/>
      <c r="Y765"/>
    </row>
    <row r="766" spans="1:25" ht="16.5" customHeight="1">
      <c r="A766" s="140">
        <v>758</v>
      </c>
      <c r="B766" s="141"/>
      <c r="C766" s="1151"/>
      <c r="D766" s="1151"/>
      <c r="E766" s="278"/>
      <c r="F766" s="145"/>
      <c r="G766" s="1158"/>
      <c r="H766" s="1160"/>
      <c r="I766" s="144"/>
      <c r="J766" s="720"/>
      <c r="K766" s="720"/>
      <c r="L766" s="720"/>
      <c r="M766" s="145"/>
      <c r="N766" s="1149"/>
      <c r="O766" s="141"/>
      <c r="P766" s="141"/>
      <c r="Q766" s="753"/>
      <c r="R766" s="753"/>
      <c r="S766" s="753"/>
      <c r="T766" s="753"/>
      <c r="V766"/>
      <c r="W766"/>
      <c r="X766"/>
      <c r="Y766"/>
    </row>
    <row r="767" spans="1:25" s="969" customFormat="1" ht="16.5" customHeight="1">
      <c r="A767" s="140">
        <v>759</v>
      </c>
      <c r="B767" s="141"/>
      <c r="C767" s="1151"/>
      <c r="D767" s="1151"/>
      <c r="E767" s="278"/>
      <c r="F767" s="145"/>
      <c r="G767" s="1158"/>
      <c r="H767" s="1160"/>
      <c r="I767" s="144"/>
      <c r="J767" s="720"/>
      <c r="K767" s="720"/>
      <c r="L767" s="720"/>
      <c r="M767" s="145"/>
      <c r="N767" s="1149"/>
      <c r="O767" s="141"/>
      <c r="P767" s="141"/>
      <c r="Q767" s="753"/>
      <c r="R767" s="753"/>
      <c r="S767" s="753"/>
      <c r="T767" s="753"/>
      <c r="U767" s="217"/>
    </row>
    <row r="768" spans="1:25" ht="16.5" customHeight="1">
      <c r="A768" s="140">
        <v>760</v>
      </c>
      <c r="B768" s="141"/>
      <c r="C768" s="1151"/>
      <c r="D768" s="1151"/>
      <c r="E768" s="278"/>
      <c r="F768" s="248"/>
      <c r="G768" s="1158"/>
      <c r="H768" s="1160"/>
      <c r="I768" s="144"/>
      <c r="J768" s="720"/>
      <c r="K768" s="720"/>
      <c r="L768" s="720"/>
      <c r="M768" s="145"/>
      <c r="N768" s="1149"/>
      <c r="O768" s="141"/>
      <c r="P768" s="141"/>
      <c r="Q768" s="753"/>
      <c r="R768" s="753"/>
      <c r="S768" s="753"/>
      <c r="T768" s="753"/>
      <c r="V768"/>
      <c r="W768"/>
      <c r="X768"/>
      <c r="Y768"/>
    </row>
    <row r="769" spans="1:25" ht="16.5" customHeight="1">
      <c r="A769" s="140">
        <v>761</v>
      </c>
      <c r="B769" s="141"/>
      <c r="C769" s="1151"/>
      <c r="D769" s="1151"/>
      <c r="E769" s="278"/>
      <c r="F769" s="145"/>
      <c r="G769" s="1158"/>
      <c r="H769" s="1160"/>
      <c r="I769" s="144"/>
      <c r="J769" s="720"/>
      <c r="K769" s="720"/>
      <c r="L769" s="720"/>
      <c r="M769" s="145"/>
      <c r="N769" s="1149"/>
      <c r="O769" s="141"/>
      <c r="P769" s="141"/>
      <c r="Q769" s="141"/>
      <c r="R769" s="759"/>
      <c r="S769" s="753"/>
      <c r="T769" s="753"/>
      <c r="V769"/>
      <c r="W769"/>
      <c r="X769"/>
      <c r="Y769"/>
    </row>
    <row r="770" spans="1:25" ht="16.5" customHeight="1">
      <c r="A770" s="140">
        <v>762</v>
      </c>
      <c r="B770" s="141"/>
      <c r="C770" s="1151"/>
      <c r="D770" s="1151"/>
      <c r="E770" s="278"/>
      <c r="F770" s="145"/>
      <c r="G770" s="1158"/>
      <c r="H770" s="1160"/>
      <c r="I770" s="144"/>
      <c r="J770" s="720"/>
      <c r="K770" s="720"/>
      <c r="L770" s="720"/>
      <c r="M770" s="145"/>
      <c r="N770" s="1149"/>
      <c r="O770" s="141"/>
      <c r="P770" s="141"/>
      <c r="Q770" s="753"/>
      <c r="R770" s="753"/>
      <c r="S770" s="753"/>
      <c r="T770" s="753"/>
      <c r="V770"/>
      <c r="W770"/>
      <c r="X770"/>
      <c r="Y770"/>
    </row>
    <row r="771" spans="1:25" ht="16.5" customHeight="1">
      <c r="A771" s="140">
        <v>763</v>
      </c>
      <c r="B771" s="141"/>
      <c r="C771" s="1151"/>
      <c r="D771" s="1151"/>
      <c r="E771" s="278"/>
      <c r="F771" s="145"/>
      <c r="G771" s="1158"/>
      <c r="H771" s="1160"/>
      <c r="I771" s="144"/>
      <c r="J771" s="720"/>
      <c r="K771" s="720"/>
      <c r="L771" s="720"/>
      <c r="M771" s="145"/>
      <c r="N771" s="1149"/>
      <c r="O771" s="141"/>
      <c r="P771" s="141"/>
      <c r="Q771" s="753"/>
      <c r="R771" s="753"/>
      <c r="S771" s="753"/>
      <c r="T771" s="753"/>
      <c r="V771"/>
      <c r="W771"/>
      <c r="X771"/>
      <c r="Y771"/>
    </row>
    <row r="772" spans="1:25" ht="16.5" customHeight="1">
      <c r="A772" s="140">
        <v>764</v>
      </c>
      <c r="B772" s="141"/>
      <c r="C772" s="1151"/>
      <c r="D772" s="1151"/>
      <c r="E772" s="278"/>
      <c r="F772" s="145"/>
      <c r="G772" s="1158"/>
      <c r="H772" s="1160"/>
      <c r="I772" s="144"/>
      <c r="J772" s="720"/>
      <c r="K772" s="720"/>
      <c r="L772" s="720"/>
      <c r="M772" s="145"/>
      <c r="N772" s="1149"/>
      <c r="O772" s="141"/>
      <c r="P772" s="141"/>
      <c r="Q772" s="753"/>
      <c r="R772" s="753"/>
      <c r="S772" s="753"/>
      <c r="T772" s="753"/>
      <c r="U772"/>
      <c r="V772"/>
      <c r="W772"/>
      <c r="X772"/>
      <c r="Y772"/>
    </row>
    <row r="773" spans="1:25" ht="16.5" customHeight="1">
      <c r="A773" s="140">
        <v>765</v>
      </c>
      <c r="B773" s="141"/>
      <c r="C773" s="1151"/>
      <c r="D773" s="1151"/>
      <c r="E773" s="278"/>
      <c r="F773" s="145"/>
      <c r="G773" s="1158"/>
      <c r="H773" s="1159"/>
      <c r="I773" s="144"/>
      <c r="J773" s="720"/>
      <c r="K773" s="720"/>
      <c r="L773" s="720"/>
      <c r="M773" s="145"/>
      <c r="N773" s="1149"/>
      <c r="O773" s="141"/>
      <c r="P773" s="141"/>
      <c r="Q773" s="753"/>
      <c r="R773" s="753"/>
      <c r="S773" s="753"/>
      <c r="T773" s="753"/>
      <c r="U773"/>
      <c r="V773"/>
      <c r="W773"/>
      <c r="X773"/>
      <c r="Y773"/>
    </row>
    <row r="774" spans="1:25" ht="16.5" customHeight="1">
      <c r="A774" s="140">
        <v>766</v>
      </c>
      <c r="B774" s="141"/>
      <c r="C774" s="1151"/>
      <c r="D774" s="1151"/>
      <c r="E774" s="278"/>
      <c r="F774" s="145"/>
      <c r="G774" s="1158"/>
      <c r="H774" s="1159"/>
      <c r="I774" s="144"/>
      <c r="J774" s="720"/>
      <c r="K774" s="720"/>
      <c r="L774" s="720"/>
      <c r="M774" s="145"/>
      <c r="N774" s="1149"/>
      <c r="O774" s="141"/>
      <c r="P774" s="141"/>
      <c r="Q774" s="753"/>
      <c r="R774" s="753"/>
      <c r="S774" s="753"/>
      <c r="T774" s="753"/>
      <c r="U774"/>
      <c r="V774"/>
      <c r="W774"/>
      <c r="X774"/>
      <c r="Y774"/>
    </row>
    <row r="775" spans="1:25" ht="16.5" customHeight="1">
      <c r="A775" s="140">
        <v>767</v>
      </c>
      <c r="B775" s="141"/>
      <c r="C775" s="1151"/>
      <c r="D775" s="1151"/>
      <c r="E775" s="278"/>
      <c r="F775" s="145"/>
      <c r="G775" s="1158"/>
      <c r="H775" s="1159"/>
      <c r="I775" s="144"/>
      <c r="J775" s="720"/>
      <c r="K775" s="720"/>
      <c r="L775" s="720"/>
      <c r="M775" s="145"/>
      <c r="N775" s="1149"/>
      <c r="O775" s="141"/>
      <c r="P775" s="141"/>
      <c r="Q775" s="753"/>
      <c r="R775" s="753"/>
      <c r="S775" s="753"/>
      <c r="T775" s="753"/>
      <c r="U775"/>
      <c r="V775"/>
      <c r="W775"/>
      <c r="X775"/>
      <c r="Y775"/>
    </row>
    <row r="776" spans="1:25" ht="16.5" customHeight="1">
      <c r="A776" s="140">
        <v>768</v>
      </c>
      <c r="B776" s="141"/>
      <c r="C776" s="1151"/>
      <c r="D776" s="1151"/>
      <c r="E776" s="278"/>
      <c r="F776" s="145"/>
      <c r="G776" s="1158"/>
      <c r="H776" s="1159"/>
      <c r="I776" s="144"/>
      <c r="J776" s="720"/>
      <c r="K776" s="720"/>
      <c r="L776" s="720"/>
      <c r="M776" s="145"/>
      <c r="N776" s="1149"/>
      <c r="O776" s="141"/>
      <c r="P776" s="141"/>
      <c r="Q776" s="753"/>
      <c r="R776" s="753"/>
      <c r="S776" s="753"/>
      <c r="T776" s="753"/>
      <c r="U776"/>
      <c r="V776"/>
      <c r="W776"/>
      <c r="X776"/>
      <c r="Y776"/>
    </row>
    <row r="777" spans="1:25" ht="16.5" customHeight="1">
      <c r="A777" s="140">
        <v>769</v>
      </c>
      <c r="B777" s="141"/>
      <c r="C777" s="1151"/>
      <c r="D777" s="1151"/>
      <c r="E777" s="278"/>
      <c r="F777" s="145"/>
      <c r="G777" s="1158"/>
      <c r="H777" s="1159"/>
      <c r="I777" s="144"/>
      <c r="J777" s="720"/>
      <c r="K777" s="720"/>
      <c r="L777" s="720"/>
      <c r="M777" s="145"/>
      <c r="N777" s="1149"/>
      <c r="O777" s="141"/>
      <c r="P777" s="141"/>
      <c r="Q777" s="753"/>
      <c r="R777" s="753"/>
      <c r="S777" s="753"/>
      <c r="T777" s="753"/>
      <c r="U777"/>
      <c r="V777"/>
      <c r="W777"/>
      <c r="X777"/>
      <c r="Y777"/>
    </row>
    <row r="778" spans="1:25" ht="16.5" customHeight="1">
      <c r="A778" s="140">
        <v>770</v>
      </c>
      <c r="B778" s="141"/>
      <c r="C778" s="1151"/>
      <c r="D778" s="1151"/>
      <c r="E778" s="278"/>
      <c r="F778" s="145"/>
      <c r="G778" s="1158"/>
      <c r="H778" s="1159"/>
      <c r="I778" s="144"/>
      <c r="J778" s="720"/>
      <c r="K778" s="720"/>
      <c r="L778" s="720"/>
      <c r="M778" s="145"/>
      <c r="N778" s="1149"/>
      <c r="O778" s="141"/>
      <c r="P778" s="141"/>
      <c r="Q778" s="753"/>
      <c r="R778" s="753"/>
      <c r="S778" s="753"/>
      <c r="T778" s="753"/>
      <c r="U778"/>
      <c r="V778"/>
      <c r="W778"/>
      <c r="X778"/>
      <c r="Y778"/>
    </row>
    <row r="779" spans="1:25" ht="16.5" customHeight="1">
      <c r="A779" s="140">
        <v>771</v>
      </c>
      <c r="B779" s="141"/>
      <c r="C779" s="1151"/>
      <c r="D779" s="1151"/>
      <c r="E779" s="278"/>
      <c r="F779" s="145"/>
      <c r="G779" s="1158"/>
      <c r="H779" s="1159"/>
      <c r="I779" s="144"/>
      <c r="J779" s="720"/>
      <c r="K779" s="720"/>
      <c r="L779" s="720"/>
      <c r="M779" s="145"/>
      <c r="N779" s="1149"/>
      <c r="O779" s="141"/>
      <c r="P779" s="141"/>
      <c r="Q779" s="753"/>
      <c r="R779" s="753"/>
      <c r="S779" s="753"/>
      <c r="T779" s="753"/>
      <c r="U779"/>
      <c r="V779"/>
      <c r="W779"/>
      <c r="X779"/>
      <c r="Y779"/>
    </row>
    <row r="780" spans="1:25" ht="16.5" customHeight="1">
      <c r="A780" s="140">
        <v>772</v>
      </c>
      <c r="B780" s="141"/>
      <c r="C780" s="1151"/>
      <c r="D780" s="1151"/>
      <c r="E780" s="278"/>
      <c r="F780" s="145"/>
      <c r="G780" s="1158"/>
      <c r="H780" s="1159"/>
      <c r="I780" s="144"/>
      <c r="J780" s="720"/>
      <c r="K780" s="720"/>
      <c r="L780" s="720"/>
      <c r="M780" s="145"/>
      <c r="N780" s="1149"/>
      <c r="O780" s="141"/>
      <c r="P780" s="141"/>
      <c r="Q780" s="753"/>
      <c r="R780" s="753"/>
      <c r="S780" s="753"/>
      <c r="T780" s="753"/>
      <c r="U780"/>
      <c r="V780"/>
      <c r="W780"/>
      <c r="X780"/>
      <c r="Y780"/>
    </row>
    <row r="781" spans="1:25" ht="16.5" customHeight="1">
      <c r="A781" s="140">
        <v>773</v>
      </c>
      <c r="B781" s="141"/>
      <c r="C781" s="1151"/>
      <c r="D781" s="1151"/>
      <c r="E781" s="278"/>
      <c r="F781" s="145"/>
      <c r="G781" s="1158"/>
      <c r="H781" s="1160"/>
      <c r="I781" s="144"/>
      <c r="J781" s="720"/>
      <c r="K781" s="720"/>
      <c r="L781" s="720"/>
      <c r="M781" s="145"/>
      <c r="N781" s="1149"/>
      <c r="O781" s="141"/>
      <c r="P781" s="141"/>
      <c r="Q781" s="753"/>
      <c r="R781" s="753"/>
      <c r="S781" s="753"/>
      <c r="T781" s="753"/>
      <c r="U781"/>
      <c r="V781"/>
      <c r="W781"/>
      <c r="X781"/>
      <c r="Y781"/>
    </row>
    <row r="782" spans="1:25" ht="16.5" customHeight="1">
      <c r="A782" s="140">
        <v>774</v>
      </c>
      <c r="B782" s="141"/>
      <c r="C782" s="1151"/>
      <c r="D782" s="1151"/>
      <c r="E782" s="278"/>
      <c r="F782" s="145"/>
      <c r="G782" s="1158"/>
      <c r="H782" s="1160"/>
      <c r="I782" s="144"/>
      <c r="J782" s="720"/>
      <c r="K782" s="720"/>
      <c r="L782" s="720"/>
      <c r="M782" s="145"/>
      <c r="N782" s="1149"/>
      <c r="O782" s="141"/>
      <c r="P782" s="141"/>
      <c r="Q782" s="753"/>
      <c r="R782" s="753"/>
      <c r="S782" s="753"/>
      <c r="T782" s="753"/>
      <c r="U782"/>
      <c r="V782"/>
      <c r="W782"/>
      <c r="X782"/>
      <c r="Y782"/>
    </row>
    <row r="783" spans="1:25" ht="16.5" customHeight="1">
      <c r="A783" s="140">
        <v>775</v>
      </c>
      <c r="B783" s="141"/>
      <c r="C783" s="1151"/>
      <c r="D783" s="1151"/>
      <c r="E783" s="278"/>
      <c r="F783" s="145"/>
      <c r="G783" s="1158"/>
      <c r="H783" s="1160"/>
      <c r="I783" s="144"/>
      <c r="J783" s="720"/>
      <c r="K783" s="720"/>
      <c r="L783" s="720"/>
      <c r="M783" s="145"/>
      <c r="N783" s="1149"/>
      <c r="O783" s="141"/>
      <c r="P783" s="141"/>
      <c r="Q783" s="753"/>
      <c r="R783" s="753"/>
      <c r="S783" s="753"/>
      <c r="T783" s="753"/>
      <c r="U783"/>
      <c r="V783"/>
      <c r="W783"/>
      <c r="X783"/>
      <c r="Y783"/>
    </row>
    <row r="784" spans="1:25" ht="16.5" customHeight="1">
      <c r="A784" s="140">
        <v>776</v>
      </c>
      <c r="B784" s="141"/>
      <c r="C784" s="1151"/>
      <c r="D784" s="1151"/>
      <c r="E784" s="278"/>
      <c r="F784" s="145"/>
      <c r="G784" s="1158"/>
      <c r="H784" s="1160"/>
      <c r="I784" s="144"/>
      <c r="J784" s="720"/>
      <c r="K784" s="720"/>
      <c r="L784" s="720"/>
      <c r="M784" s="145"/>
      <c r="N784" s="1149"/>
      <c r="O784" s="141"/>
      <c r="P784" s="141"/>
      <c r="Q784" s="753"/>
      <c r="R784" s="753"/>
      <c r="S784" s="753"/>
      <c r="T784" s="753"/>
      <c r="U784"/>
      <c r="V784"/>
      <c r="W784"/>
      <c r="X784"/>
      <c r="Y784"/>
    </row>
    <row r="785" spans="1:25" ht="16.5" customHeight="1">
      <c r="A785" s="140">
        <v>777</v>
      </c>
      <c r="B785" s="141"/>
      <c r="C785" s="1151"/>
      <c r="D785" s="1151"/>
      <c r="E785" s="278"/>
      <c r="F785" s="145"/>
      <c r="G785" s="1158"/>
      <c r="H785" s="1160"/>
      <c r="I785" s="144"/>
      <c r="J785" s="720"/>
      <c r="K785" s="720"/>
      <c r="L785" s="720"/>
      <c r="M785" s="145"/>
      <c r="N785" s="1149"/>
      <c r="O785" s="141"/>
      <c r="P785" s="141"/>
      <c r="Q785" s="753"/>
      <c r="R785" s="753"/>
      <c r="S785" s="753"/>
      <c r="T785" s="753"/>
      <c r="V785"/>
      <c r="W785"/>
      <c r="X785"/>
      <c r="Y785"/>
    </row>
    <row r="786" spans="1:25" ht="16.5" customHeight="1">
      <c r="A786" s="140">
        <v>778</v>
      </c>
      <c r="B786" s="141"/>
      <c r="C786" s="1151"/>
      <c r="D786" s="1151"/>
      <c r="E786" s="278"/>
      <c r="F786" s="145"/>
      <c r="G786" s="1158"/>
      <c r="H786" s="1160"/>
      <c r="I786" s="144"/>
      <c r="J786" s="720"/>
      <c r="K786" s="720"/>
      <c r="L786" s="720"/>
      <c r="M786" s="145"/>
      <c r="N786" s="1149"/>
      <c r="O786" s="141"/>
      <c r="P786" s="141"/>
      <c r="Q786" s="753"/>
      <c r="R786" s="753"/>
      <c r="S786" s="753"/>
      <c r="T786" s="753"/>
      <c r="V786"/>
      <c r="W786"/>
      <c r="X786"/>
      <c r="Y786"/>
    </row>
    <row r="787" spans="1:25" ht="16.5" customHeight="1">
      <c r="A787" s="140">
        <v>779</v>
      </c>
      <c r="B787" s="141"/>
      <c r="C787" s="1151"/>
      <c r="D787" s="1151"/>
      <c r="E787" s="278"/>
      <c r="F787" s="145"/>
      <c r="G787" s="1158"/>
      <c r="H787" s="1160"/>
      <c r="I787" s="144"/>
      <c r="J787" s="720"/>
      <c r="K787" s="720"/>
      <c r="L787" s="720"/>
      <c r="M787" s="145"/>
      <c r="N787" s="1149"/>
      <c r="O787" s="141"/>
      <c r="P787" s="141"/>
      <c r="Q787" s="753"/>
      <c r="R787" s="753"/>
      <c r="S787" s="753"/>
      <c r="T787" s="753"/>
      <c r="V787"/>
      <c r="W787"/>
      <c r="X787"/>
      <c r="Y787"/>
    </row>
    <row r="788" spans="1:25" ht="16.5" customHeight="1">
      <c r="A788" s="140">
        <v>780</v>
      </c>
      <c r="B788" s="141"/>
      <c r="C788" s="1151"/>
      <c r="D788" s="1151"/>
      <c r="E788" s="278"/>
      <c r="F788" s="262"/>
      <c r="G788" s="1158"/>
      <c r="H788" s="1160"/>
      <c r="I788" s="144"/>
      <c r="J788" s="1038"/>
      <c r="K788" s="1038"/>
      <c r="L788" s="720"/>
      <c r="M788" s="145"/>
      <c r="N788" s="1149"/>
      <c r="O788" s="141"/>
      <c r="P788" s="141"/>
      <c r="Q788" s="753"/>
      <c r="R788" s="753"/>
      <c r="S788" s="753"/>
      <c r="T788" s="753"/>
      <c r="V788"/>
      <c r="W788"/>
      <c r="X788"/>
      <c r="Y788"/>
    </row>
    <row r="789" spans="1:25" ht="16.5" customHeight="1">
      <c r="A789" s="140">
        <v>781</v>
      </c>
      <c r="B789" s="141"/>
      <c r="C789" s="1151"/>
      <c r="D789" s="1151"/>
      <c r="E789" s="278"/>
      <c r="F789" s="145"/>
      <c r="G789" s="1158"/>
      <c r="H789" s="1160"/>
      <c r="I789" s="144"/>
      <c r="J789" s="720"/>
      <c r="K789" s="720"/>
      <c r="L789" s="720"/>
      <c r="M789" s="145"/>
      <c r="N789" s="1149"/>
      <c r="O789" s="141"/>
      <c r="P789" s="141"/>
      <c r="Q789" s="753"/>
      <c r="R789" s="753"/>
      <c r="S789" s="753"/>
      <c r="T789" s="753"/>
      <c r="V789"/>
      <c r="W789"/>
      <c r="X789"/>
      <c r="Y789"/>
    </row>
    <row r="790" spans="1:25" ht="16.5" customHeight="1">
      <c r="A790" s="140">
        <v>782</v>
      </c>
      <c r="B790" s="141"/>
      <c r="C790" s="1151"/>
      <c r="D790" s="1151"/>
      <c r="E790" s="278"/>
      <c r="F790" s="145"/>
      <c r="G790" s="1158"/>
      <c r="H790" s="1160"/>
      <c r="I790" s="144"/>
      <c r="J790" s="720"/>
      <c r="K790" s="720"/>
      <c r="L790" s="720"/>
      <c r="M790" s="145"/>
      <c r="N790" s="1149"/>
      <c r="O790" s="141"/>
      <c r="P790" s="141"/>
      <c r="Q790" s="753"/>
      <c r="R790" s="753"/>
      <c r="S790" s="753"/>
      <c r="T790" s="753"/>
      <c r="V790"/>
      <c r="W790"/>
      <c r="X790"/>
      <c r="Y790"/>
    </row>
    <row r="791" spans="1:25" ht="16.5" customHeight="1">
      <c r="A791" s="140">
        <v>783</v>
      </c>
      <c r="B791" s="141"/>
      <c r="C791" s="1151"/>
      <c r="D791" s="1151"/>
      <c r="E791" s="278"/>
      <c r="F791" s="145"/>
      <c r="G791" s="1158"/>
      <c r="H791" s="1160"/>
      <c r="I791" s="144"/>
      <c r="J791" s="720"/>
      <c r="K791" s="720"/>
      <c r="L791" s="720"/>
      <c r="M791" s="145"/>
      <c r="N791" s="1149"/>
      <c r="O791" s="141"/>
      <c r="P791" s="141"/>
      <c r="Q791" s="753"/>
      <c r="R791" s="753"/>
      <c r="S791" s="753"/>
      <c r="T791" s="753"/>
      <c r="V791"/>
      <c r="W791"/>
      <c r="X791"/>
      <c r="Y791"/>
    </row>
    <row r="792" spans="1:25" ht="16.5" customHeight="1">
      <c r="A792" s="140">
        <v>784</v>
      </c>
      <c r="B792" s="141"/>
      <c r="C792" s="1151"/>
      <c r="D792" s="1151"/>
      <c r="E792" s="278"/>
      <c r="F792" s="145"/>
      <c r="G792" s="1158"/>
      <c r="H792" s="1160"/>
      <c r="I792" s="144"/>
      <c r="J792" s="720"/>
      <c r="K792" s="720"/>
      <c r="L792" s="720"/>
      <c r="M792" s="145"/>
      <c r="N792" s="1149"/>
      <c r="O792" s="141"/>
      <c r="P792" s="141"/>
      <c r="Q792" s="753"/>
      <c r="R792" s="753"/>
      <c r="S792" s="753"/>
      <c r="T792" s="753"/>
      <c r="V792"/>
      <c r="W792"/>
      <c r="X792"/>
      <c r="Y792"/>
    </row>
    <row r="793" spans="1:25" ht="16.5" customHeight="1">
      <c r="A793" s="140">
        <v>785</v>
      </c>
      <c r="B793" s="141"/>
      <c r="C793" s="1151"/>
      <c r="D793" s="1151"/>
      <c r="E793" s="278"/>
      <c r="F793" s="145"/>
      <c r="G793" s="1161"/>
      <c r="H793" s="1160"/>
      <c r="I793" s="144"/>
      <c r="J793" s="720"/>
      <c r="K793" s="720"/>
      <c r="L793" s="720"/>
      <c r="M793" s="145"/>
      <c r="N793" s="1149"/>
      <c r="O793" s="141"/>
      <c r="P793" s="141"/>
      <c r="Q793" s="753"/>
      <c r="R793" s="753"/>
      <c r="S793" s="753"/>
      <c r="T793" s="753"/>
      <c r="V793"/>
      <c r="W793"/>
      <c r="X793"/>
      <c r="Y793"/>
    </row>
    <row r="794" spans="1:25" s="1150" customFormat="1" ht="16.5" customHeight="1">
      <c r="A794" s="140">
        <v>786</v>
      </c>
      <c r="B794" s="141"/>
      <c r="C794" s="1151"/>
      <c r="D794" s="1151"/>
      <c r="E794" s="278"/>
      <c r="F794" s="262"/>
      <c r="G794" s="1158"/>
      <c r="H794" s="1160"/>
      <c r="I794" s="144"/>
      <c r="J794" s="1038"/>
      <c r="K794" s="1038"/>
      <c r="L794" s="720"/>
      <c r="M794" s="145"/>
      <c r="N794" s="1149"/>
      <c r="O794" s="141"/>
      <c r="P794" s="141"/>
      <c r="Q794" s="753"/>
      <c r="R794" s="753"/>
      <c r="S794" s="753"/>
      <c r="T794" s="753"/>
      <c r="U794" s="217"/>
    </row>
    <row r="795" spans="1:25" ht="16.5" customHeight="1">
      <c r="A795" s="140">
        <v>787</v>
      </c>
      <c r="B795" s="141"/>
      <c r="C795" s="1151"/>
      <c r="D795" s="1151"/>
      <c r="E795" s="278"/>
      <c r="F795" s="145"/>
      <c r="G795" s="1158"/>
      <c r="H795" s="1160"/>
      <c r="I795" s="144"/>
      <c r="J795" s="720"/>
      <c r="K795" s="720"/>
      <c r="L795" s="720"/>
      <c r="M795" s="145"/>
      <c r="N795" s="1149"/>
      <c r="O795" s="141"/>
      <c r="P795" s="141"/>
      <c r="Q795" s="753"/>
      <c r="R795" s="753"/>
      <c r="S795" s="753"/>
      <c r="T795" s="753"/>
      <c r="V795"/>
      <c r="W795"/>
      <c r="X795"/>
      <c r="Y795"/>
    </row>
    <row r="796" spans="1:25" ht="16.5" customHeight="1">
      <c r="A796" s="140">
        <v>788</v>
      </c>
      <c r="B796" s="141"/>
      <c r="C796" s="1151"/>
      <c r="D796" s="1151"/>
      <c r="E796" s="278"/>
      <c r="F796" s="145"/>
      <c r="G796" s="1158"/>
      <c r="H796" s="1160"/>
      <c r="I796" s="144"/>
      <c r="J796" s="720"/>
      <c r="K796" s="720"/>
      <c r="L796" s="720"/>
      <c r="M796" s="145"/>
      <c r="N796" s="1149"/>
      <c r="O796" s="141"/>
      <c r="P796" s="141"/>
      <c r="Q796" s="753"/>
      <c r="R796" s="753"/>
      <c r="S796" s="753"/>
      <c r="T796" s="753"/>
      <c r="V796"/>
      <c r="W796"/>
      <c r="X796"/>
      <c r="Y796"/>
    </row>
    <row r="797" spans="1:25" ht="16.5" customHeight="1">
      <c r="A797" s="140">
        <v>789</v>
      </c>
      <c r="B797" s="141"/>
      <c r="C797" s="1151"/>
      <c r="D797" s="1151"/>
      <c r="E797" s="278"/>
      <c r="F797" s="145"/>
      <c r="G797" s="1158"/>
      <c r="H797" s="1160"/>
      <c r="I797" s="144"/>
      <c r="J797" s="720"/>
      <c r="K797" s="720"/>
      <c r="L797" s="720"/>
      <c r="M797" s="145"/>
      <c r="N797" s="1149"/>
      <c r="O797" s="141"/>
      <c r="P797" s="141"/>
      <c r="Q797" s="753"/>
      <c r="R797" s="753"/>
      <c r="S797" s="753"/>
      <c r="T797" s="753"/>
      <c r="V797"/>
      <c r="W797"/>
      <c r="X797"/>
      <c r="Y797"/>
    </row>
    <row r="798" spans="1:25" ht="16.5" customHeight="1">
      <c r="A798" s="140">
        <v>790</v>
      </c>
      <c r="B798" s="141"/>
      <c r="C798" s="1151"/>
      <c r="D798" s="1151"/>
      <c r="E798" s="278"/>
      <c r="F798" s="145"/>
      <c r="G798" s="1158"/>
      <c r="H798" s="1160"/>
      <c r="I798" s="144"/>
      <c r="J798" s="720"/>
      <c r="K798" s="720"/>
      <c r="L798" s="720"/>
      <c r="M798" s="145"/>
      <c r="N798" s="1149"/>
      <c r="O798" s="141"/>
      <c r="P798" s="141"/>
      <c r="Q798" s="753"/>
      <c r="R798" s="753"/>
      <c r="S798" s="753"/>
      <c r="T798" s="753"/>
      <c r="V798"/>
      <c r="W798"/>
      <c r="X798"/>
      <c r="Y798"/>
    </row>
    <row r="799" spans="1:25" ht="16.5" customHeight="1">
      <c r="A799" s="140">
        <v>791</v>
      </c>
      <c r="B799" s="141"/>
      <c r="C799" s="1151"/>
      <c r="D799" s="1151"/>
      <c r="E799" s="278"/>
      <c r="F799" s="145"/>
      <c r="G799" s="1158"/>
      <c r="H799" s="1160"/>
      <c r="I799" s="144"/>
      <c r="J799" s="720"/>
      <c r="K799" s="720"/>
      <c r="L799" s="720"/>
      <c r="M799" s="145"/>
      <c r="N799" s="1149"/>
      <c r="O799" s="141"/>
      <c r="P799" s="141"/>
      <c r="Q799" s="753"/>
      <c r="R799" s="753"/>
      <c r="S799" s="753"/>
      <c r="T799" s="753"/>
      <c r="V799"/>
      <c r="W799"/>
      <c r="X799"/>
      <c r="Y799"/>
    </row>
    <row r="800" spans="1:25" ht="16.5" customHeight="1">
      <c r="A800" s="140">
        <v>792</v>
      </c>
      <c r="B800" s="141"/>
      <c r="C800" s="1151"/>
      <c r="D800" s="1151"/>
      <c r="E800" s="278"/>
      <c r="F800" s="145"/>
      <c r="G800" s="1158"/>
      <c r="H800" s="1160"/>
      <c r="I800" s="144"/>
      <c r="J800" s="720"/>
      <c r="K800" s="720"/>
      <c r="L800" s="720"/>
      <c r="M800" s="145"/>
      <c r="N800" s="1149"/>
      <c r="O800" s="141"/>
      <c r="P800" s="141"/>
      <c r="Q800" s="753"/>
      <c r="R800" s="753"/>
      <c r="S800" s="753"/>
      <c r="T800" s="753"/>
      <c r="V800"/>
      <c r="W800"/>
      <c r="X800"/>
      <c r="Y800"/>
    </row>
    <row r="801" spans="1:25" ht="16.5" customHeight="1">
      <c r="A801" s="140">
        <v>793</v>
      </c>
      <c r="B801" s="141"/>
      <c r="C801" s="1151"/>
      <c r="D801" s="1151"/>
      <c r="E801" s="278"/>
      <c r="F801" s="145"/>
      <c r="G801" s="1158"/>
      <c r="H801" s="1160"/>
      <c r="I801" s="144"/>
      <c r="J801" s="720"/>
      <c r="K801" s="720"/>
      <c r="L801" s="720"/>
      <c r="M801" s="145"/>
      <c r="N801" s="1149"/>
      <c r="O801" s="141"/>
      <c r="P801" s="141"/>
      <c r="Q801" s="753"/>
      <c r="R801" s="753"/>
      <c r="S801" s="753"/>
      <c r="T801" s="753"/>
      <c r="V801"/>
      <c r="W801"/>
      <c r="X801"/>
      <c r="Y801"/>
    </row>
    <row r="802" spans="1:25" ht="16.5" customHeight="1">
      <c r="A802" s="140">
        <v>794</v>
      </c>
      <c r="B802" s="141"/>
      <c r="C802" s="1151"/>
      <c r="D802" s="1151"/>
      <c r="E802" s="278"/>
      <c r="F802" s="145"/>
      <c r="G802" s="1158"/>
      <c r="H802" s="1160"/>
      <c r="I802" s="144"/>
      <c r="J802" s="720"/>
      <c r="K802" s="720"/>
      <c r="L802" s="720"/>
      <c r="M802" s="145"/>
      <c r="N802" s="1149"/>
      <c r="O802" s="141"/>
      <c r="P802" s="141"/>
      <c r="Q802" s="753"/>
      <c r="R802" s="753"/>
      <c r="S802" s="753"/>
      <c r="T802" s="753"/>
      <c r="V802"/>
      <c r="W802"/>
      <c r="X802"/>
      <c r="Y802"/>
    </row>
    <row r="803" spans="1:25" ht="16.5" customHeight="1">
      <c r="A803" s="140">
        <v>795</v>
      </c>
      <c r="B803" s="141"/>
      <c r="C803" s="1151"/>
      <c r="D803" s="1151"/>
      <c r="E803" s="278"/>
      <c r="F803" s="145"/>
      <c r="G803" s="1158"/>
      <c r="H803" s="1160"/>
      <c r="I803" s="144"/>
      <c r="J803" s="720"/>
      <c r="K803" s="720"/>
      <c r="L803" s="720"/>
      <c r="M803" s="145"/>
      <c r="N803" s="1149"/>
      <c r="O803" s="141"/>
      <c r="P803" s="141"/>
      <c r="Q803" s="753"/>
      <c r="R803" s="753"/>
      <c r="S803" s="753"/>
      <c r="T803" s="753"/>
      <c r="V803"/>
      <c r="W803"/>
      <c r="X803"/>
      <c r="Y803"/>
    </row>
    <row r="804" spans="1:25" ht="16.5" customHeight="1">
      <c r="A804" s="140">
        <v>796</v>
      </c>
      <c r="B804" s="141"/>
      <c r="C804" s="1151"/>
      <c r="D804" s="1151"/>
      <c r="E804" s="278"/>
      <c r="F804" s="145"/>
      <c r="G804" s="1158"/>
      <c r="H804" s="1160"/>
      <c r="I804" s="144"/>
      <c r="J804" s="720"/>
      <c r="K804" s="720"/>
      <c r="L804" s="720"/>
      <c r="M804" s="145"/>
      <c r="N804" s="1149"/>
      <c r="O804" s="141"/>
      <c r="P804" s="141"/>
      <c r="Q804" s="753"/>
      <c r="R804" s="753"/>
      <c r="S804" s="753"/>
      <c r="T804" s="753"/>
      <c r="V804"/>
      <c r="W804"/>
      <c r="X804"/>
      <c r="Y804"/>
    </row>
    <row r="805" spans="1:25" ht="16.5" customHeight="1">
      <c r="A805" s="140">
        <v>797</v>
      </c>
      <c r="B805" s="141"/>
      <c r="C805" s="1151"/>
      <c r="D805" s="1151"/>
      <c r="E805" s="278"/>
      <c r="F805" s="145"/>
      <c r="G805" s="1158"/>
      <c r="H805" s="1160"/>
      <c r="I805" s="144"/>
      <c r="J805" s="720"/>
      <c r="K805" s="720"/>
      <c r="L805" s="720"/>
      <c r="M805" s="145"/>
      <c r="N805" s="1149"/>
      <c r="O805" s="141"/>
      <c r="P805" s="141"/>
      <c r="Q805" s="753"/>
      <c r="R805" s="753"/>
      <c r="S805" s="753"/>
      <c r="T805" s="753"/>
      <c r="V805"/>
      <c r="W805"/>
      <c r="X805"/>
      <c r="Y805"/>
    </row>
    <row r="806" spans="1:25" ht="16.5" customHeight="1">
      <c r="A806" s="140">
        <v>798</v>
      </c>
      <c r="B806" s="141"/>
      <c r="C806" s="1151"/>
      <c r="D806" s="1151"/>
      <c r="E806" s="278"/>
      <c r="F806" s="145"/>
      <c r="G806" s="1158"/>
      <c r="H806" s="1159"/>
      <c r="I806" s="144"/>
      <c r="J806" s="720"/>
      <c r="K806" s="720"/>
      <c r="L806" s="720"/>
      <c r="M806" s="145"/>
      <c r="N806" s="1149"/>
      <c r="O806" s="141"/>
      <c r="P806" s="141"/>
      <c r="Q806" s="141"/>
      <c r="R806" s="141"/>
      <c r="S806" s="141"/>
      <c r="T806" s="238"/>
      <c r="U806"/>
      <c r="V806"/>
      <c r="W806"/>
      <c r="X806"/>
      <c r="Y806"/>
    </row>
    <row r="807" spans="1:25" ht="16.5" customHeight="1">
      <c r="A807" s="140">
        <v>799</v>
      </c>
      <c r="B807" s="141"/>
      <c r="C807" s="1151"/>
      <c r="D807" s="1151"/>
      <c r="E807" s="278"/>
      <c r="F807" s="145"/>
      <c r="G807" s="1158"/>
      <c r="H807" s="1159"/>
      <c r="I807" s="144"/>
      <c r="J807" s="720"/>
      <c r="K807" s="720"/>
      <c r="L807" s="720"/>
      <c r="M807" s="145"/>
      <c r="N807" s="1149"/>
      <c r="O807" s="141"/>
      <c r="P807" s="141"/>
      <c r="Q807" s="141"/>
      <c r="R807" s="276"/>
      <c r="S807" s="141"/>
      <c r="T807" s="238"/>
      <c r="U807"/>
      <c r="V807"/>
      <c r="W807"/>
      <c r="X807"/>
      <c r="Y807"/>
    </row>
    <row r="808" spans="1:25" ht="16.5" customHeight="1">
      <c r="A808" s="140">
        <v>800</v>
      </c>
      <c r="B808" s="141"/>
      <c r="C808" s="1151"/>
      <c r="D808" s="1151"/>
      <c r="E808" s="278"/>
      <c r="F808" s="145"/>
      <c r="G808" s="1158"/>
      <c r="H808" s="1159"/>
      <c r="I808" s="144"/>
      <c r="J808" s="720"/>
      <c r="K808" s="720"/>
      <c r="L808" s="720"/>
      <c r="M808" s="145"/>
      <c r="N808" s="1149"/>
      <c r="O808" s="141"/>
      <c r="P808" s="141"/>
      <c r="Q808" s="141"/>
      <c r="R808" s="759"/>
      <c r="S808" s="989"/>
      <c r="T808" s="417"/>
      <c r="U808"/>
      <c r="V808"/>
      <c r="W808"/>
      <c r="X808"/>
      <c r="Y808"/>
    </row>
    <row r="809" spans="1:25" ht="16.5" customHeight="1">
      <c r="A809" s="140">
        <v>801</v>
      </c>
      <c r="B809" s="141"/>
      <c r="C809" s="1151"/>
      <c r="D809" s="1151"/>
      <c r="E809" s="278"/>
      <c r="F809" s="145"/>
      <c r="G809" s="1158"/>
      <c r="H809" s="1159"/>
      <c r="I809" s="144"/>
      <c r="J809" s="720"/>
      <c r="K809" s="720"/>
      <c r="L809" s="720"/>
      <c r="M809" s="145"/>
      <c r="N809" s="1149"/>
      <c r="O809" s="141"/>
      <c r="P809" s="141"/>
      <c r="Q809" s="141"/>
      <c r="R809" s="141"/>
      <c r="S809" s="141"/>
      <c r="T809" s="238"/>
      <c r="U809"/>
      <c r="V809"/>
      <c r="W809"/>
      <c r="X809"/>
      <c r="Y809"/>
    </row>
    <row r="810" spans="1:25" ht="16.5" customHeight="1">
      <c r="A810" s="140">
        <v>802</v>
      </c>
      <c r="B810" s="141"/>
      <c r="C810" s="1151"/>
      <c r="D810" s="1151"/>
      <c r="E810" s="278"/>
      <c r="F810" s="145"/>
      <c r="G810" s="1158"/>
      <c r="H810" s="1159"/>
      <c r="I810" s="144"/>
      <c r="J810" s="720"/>
      <c r="K810" s="720"/>
      <c r="L810" s="720"/>
      <c r="M810" s="145"/>
      <c r="N810" s="1149"/>
      <c r="O810" s="141"/>
      <c r="P810" s="141"/>
      <c r="Q810" s="141"/>
      <c r="R810" s="141"/>
      <c r="S810" s="141"/>
      <c r="T810" s="238"/>
      <c r="U810"/>
      <c r="V810"/>
      <c r="W810"/>
      <c r="X810"/>
      <c r="Y810"/>
    </row>
    <row r="811" spans="1:25" ht="16.5" customHeight="1">
      <c r="A811" s="140">
        <v>803</v>
      </c>
      <c r="B811" s="141"/>
      <c r="C811" s="1151"/>
      <c r="D811" s="1151"/>
      <c r="E811" s="278"/>
      <c r="F811" s="145"/>
      <c r="G811" s="1158"/>
      <c r="H811" s="1159"/>
      <c r="I811" s="144"/>
      <c r="J811" s="720"/>
      <c r="K811" s="720"/>
      <c r="L811" s="720"/>
      <c r="M811" s="145"/>
      <c r="N811" s="1149"/>
      <c r="O811" s="141"/>
      <c r="P811" s="141"/>
      <c r="Q811" s="141"/>
      <c r="R811" s="141"/>
      <c r="S811" s="141"/>
      <c r="T811" s="238"/>
      <c r="U811"/>
      <c r="V811"/>
      <c r="W811"/>
      <c r="X811"/>
      <c r="Y811"/>
    </row>
    <row r="812" spans="1:25" ht="16.5" customHeight="1">
      <c r="A812" s="140">
        <v>804</v>
      </c>
      <c r="B812" s="141"/>
      <c r="C812" s="1151"/>
      <c r="D812" s="1151"/>
      <c r="E812" s="278"/>
      <c r="F812" s="145"/>
      <c r="G812" s="1158"/>
      <c r="H812" s="1159"/>
      <c r="I812" s="144"/>
      <c r="J812" s="720"/>
      <c r="K812" s="720"/>
      <c r="L812" s="720"/>
      <c r="M812" s="145"/>
      <c r="N812" s="1149"/>
      <c r="O812" s="141"/>
      <c r="P812" s="141"/>
      <c r="Q812" s="141"/>
      <c r="R812" s="141"/>
      <c r="S812" s="141"/>
      <c r="T812" s="238"/>
      <c r="U812"/>
      <c r="V812"/>
      <c r="W812"/>
      <c r="X812"/>
      <c r="Y812"/>
    </row>
    <row r="813" spans="1:25" ht="16.5" customHeight="1">
      <c r="A813" s="140">
        <v>805</v>
      </c>
      <c r="B813" s="141"/>
      <c r="C813" s="1151"/>
      <c r="D813" s="1151"/>
      <c r="E813" s="278"/>
      <c r="F813" s="145"/>
      <c r="G813" s="1158"/>
      <c r="H813" s="1160"/>
      <c r="I813" s="144"/>
      <c r="J813" s="720"/>
      <c r="K813" s="720"/>
      <c r="L813" s="720"/>
      <c r="M813" s="145"/>
      <c r="N813" s="1149"/>
      <c r="O813" s="141"/>
      <c r="P813" s="141"/>
      <c r="Q813" s="141"/>
      <c r="R813" s="141"/>
      <c r="S813" s="141"/>
      <c r="T813" s="238"/>
      <c r="U813"/>
      <c r="V813"/>
      <c r="W813"/>
      <c r="X813"/>
      <c r="Y813"/>
    </row>
    <row r="814" spans="1:25" ht="16.5" customHeight="1">
      <c r="A814" s="140">
        <v>806</v>
      </c>
      <c r="B814" s="141"/>
      <c r="C814" s="1151"/>
      <c r="D814" s="1151"/>
      <c r="E814" s="278"/>
      <c r="F814" s="145"/>
      <c r="G814" s="1158"/>
      <c r="H814" s="1160"/>
      <c r="I814" s="144"/>
      <c r="J814" s="720"/>
      <c r="K814" s="720"/>
      <c r="L814" s="720"/>
      <c r="M814" s="145"/>
      <c r="N814" s="1149"/>
      <c r="O814" s="141"/>
      <c r="P814" s="141"/>
      <c r="Q814" s="141"/>
      <c r="R814" s="141"/>
      <c r="S814" s="141"/>
      <c r="T814" s="238"/>
      <c r="U814"/>
      <c r="V814"/>
      <c r="W814"/>
      <c r="X814"/>
      <c r="Y814"/>
    </row>
    <row r="815" spans="1:25" ht="16.5" customHeight="1">
      <c r="A815" s="140">
        <v>807</v>
      </c>
      <c r="B815" s="141"/>
      <c r="C815" s="1151"/>
      <c r="D815" s="1151"/>
      <c r="E815" s="278"/>
      <c r="F815" s="145"/>
      <c r="G815" s="1158"/>
      <c r="H815" s="1160"/>
      <c r="I815" s="144"/>
      <c r="J815" s="720"/>
      <c r="K815" s="720"/>
      <c r="L815" s="720"/>
      <c r="M815" s="145"/>
      <c r="N815" s="1149"/>
      <c r="O815" s="141"/>
      <c r="P815" s="141"/>
      <c r="Q815" s="141"/>
      <c r="R815" s="141"/>
      <c r="S815" s="141"/>
      <c r="T815" s="238"/>
      <c r="U815"/>
      <c r="V815"/>
      <c r="W815"/>
      <c r="X815"/>
      <c r="Y815"/>
    </row>
    <row r="816" spans="1:25" ht="16.5" customHeight="1">
      <c r="A816" s="140">
        <v>808</v>
      </c>
      <c r="B816" s="141"/>
      <c r="C816" s="1151"/>
      <c r="D816" s="1151"/>
      <c r="E816" s="278"/>
      <c r="F816" s="145"/>
      <c r="G816" s="1158"/>
      <c r="H816" s="1160"/>
      <c r="I816" s="144"/>
      <c r="J816" s="720"/>
      <c r="K816" s="720"/>
      <c r="L816" s="720"/>
      <c r="M816" s="145"/>
      <c r="N816" s="1149"/>
      <c r="O816" s="141"/>
      <c r="P816" s="141"/>
      <c r="Q816" s="141"/>
      <c r="R816" s="141"/>
      <c r="S816" s="141"/>
      <c r="T816" s="238"/>
      <c r="U816"/>
      <c r="V816"/>
      <c r="W816"/>
      <c r="X816"/>
      <c r="Y816"/>
    </row>
    <row r="817" spans="1:25" ht="16.5" customHeight="1">
      <c r="A817" s="140">
        <v>809</v>
      </c>
      <c r="B817" s="141"/>
      <c r="C817" s="1151"/>
      <c r="D817" s="1151"/>
      <c r="E817" s="278"/>
      <c r="F817" s="145"/>
      <c r="G817" s="1158"/>
      <c r="H817" s="1160"/>
      <c r="I817" s="144"/>
      <c r="J817" s="720"/>
      <c r="K817" s="720"/>
      <c r="L817" s="720"/>
      <c r="M817" s="145"/>
      <c r="N817" s="1149"/>
      <c r="O817" s="141"/>
      <c r="P817" s="141"/>
      <c r="Q817" s="141"/>
      <c r="R817" s="141"/>
      <c r="S817" s="141"/>
      <c r="T817" s="238"/>
      <c r="U817"/>
      <c r="V817"/>
      <c r="W817"/>
      <c r="X817"/>
      <c r="Y817"/>
    </row>
    <row r="818" spans="1:25" ht="16.5" customHeight="1">
      <c r="A818" s="140">
        <v>810</v>
      </c>
      <c r="B818" s="141"/>
      <c r="C818" s="1151"/>
      <c r="D818" s="1151"/>
      <c r="E818" s="278"/>
      <c r="F818" s="145"/>
      <c r="G818" s="1158"/>
      <c r="H818" s="1160"/>
      <c r="I818" s="144"/>
      <c r="J818" s="720"/>
      <c r="K818" s="720"/>
      <c r="L818" s="720"/>
      <c r="M818" s="145"/>
      <c r="N818" s="1149"/>
      <c r="O818" s="141"/>
      <c r="P818" s="141"/>
      <c r="Q818" s="141"/>
      <c r="R818" s="141"/>
      <c r="S818" s="141"/>
      <c r="T818" s="238"/>
      <c r="U818"/>
      <c r="V818"/>
      <c r="W818"/>
      <c r="X818"/>
      <c r="Y818"/>
    </row>
    <row r="819" spans="1:25" ht="16.5" customHeight="1">
      <c r="A819" s="140">
        <v>811</v>
      </c>
      <c r="B819" s="141"/>
      <c r="C819" s="1151"/>
      <c r="D819" s="1151"/>
      <c r="E819" s="278"/>
      <c r="F819" s="145"/>
      <c r="G819" s="1158"/>
      <c r="H819" s="1160"/>
      <c r="I819" s="144"/>
      <c r="J819" s="720"/>
      <c r="K819" s="720"/>
      <c r="L819" s="720"/>
      <c r="M819" s="145"/>
      <c r="N819" s="1149"/>
      <c r="O819" s="141"/>
      <c r="P819" s="141"/>
      <c r="Q819" s="141"/>
      <c r="R819" s="141"/>
      <c r="S819" s="141"/>
      <c r="T819" s="238"/>
      <c r="U819"/>
      <c r="V819"/>
      <c r="W819"/>
      <c r="X819"/>
      <c r="Y819"/>
    </row>
    <row r="820" spans="1:25" ht="16.5" customHeight="1">
      <c r="A820" s="140">
        <v>812</v>
      </c>
      <c r="B820" s="141"/>
      <c r="C820" s="1151"/>
      <c r="D820" s="1151"/>
      <c r="E820" s="278"/>
      <c r="F820" s="402"/>
      <c r="G820" s="1158"/>
      <c r="H820" s="1160"/>
      <c r="I820" s="144"/>
      <c r="J820" s="1038"/>
      <c r="K820" s="1038"/>
      <c r="L820" s="720"/>
      <c r="M820" s="145"/>
      <c r="N820" s="1149"/>
      <c r="O820" s="141"/>
      <c r="P820" s="141"/>
      <c r="Q820" s="141"/>
      <c r="R820" s="141"/>
      <c r="S820" s="141"/>
      <c r="T820" s="238"/>
      <c r="U820"/>
      <c r="V820"/>
      <c r="W820"/>
      <c r="X820"/>
      <c r="Y820"/>
    </row>
    <row r="821" spans="1:25" ht="16.5" customHeight="1">
      <c r="A821" s="140">
        <v>813</v>
      </c>
      <c r="B821" s="141"/>
      <c r="C821" s="1151"/>
      <c r="D821" s="1151"/>
      <c r="E821" s="278"/>
      <c r="F821" s="145"/>
      <c r="G821" s="1158"/>
      <c r="H821" s="1160"/>
      <c r="I821" s="144"/>
      <c r="J821" s="720"/>
      <c r="K821" s="720"/>
      <c r="L821" s="720"/>
      <c r="M821" s="145"/>
      <c r="N821" s="1149"/>
      <c r="O821" s="141"/>
      <c r="P821" s="141"/>
      <c r="Q821" s="141"/>
      <c r="R821" s="141"/>
      <c r="S821" s="141"/>
      <c r="T821" s="238"/>
      <c r="U821"/>
      <c r="V821"/>
      <c r="W821"/>
      <c r="X821"/>
      <c r="Y821"/>
    </row>
    <row r="822" spans="1:25" ht="16.5" customHeight="1">
      <c r="A822" s="140">
        <v>814</v>
      </c>
      <c r="B822" s="141"/>
      <c r="C822" s="1151"/>
      <c r="D822" s="1151"/>
      <c r="E822" s="278"/>
      <c r="F822" s="145"/>
      <c r="G822" s="1158"/>
      <c r="H822" s="1160"/>
      <c r="I822" s="144"/>
      <c r="J822" s="720"/>
      <c r="K822" s="720"/>
      <c r="L822" s="720"/>
      <c r="M822" s="145"/>
      <c r="N822" s="1149"/>
      <c r="O822" s="141"/>
      <c r="P822" s="141"/>
      <c r="Q822" s="141"/>
      <c r="R822" s="141"/>
      <c r="S822" s="141"/>
      <c r="T822" s="238"/>
      <c r="U822"/>
      <c r="V822"/>
      <c r="W822"/>
      <c r="X822"/>
      <c r="Y822"/>
    </row>
    <row r="823" spans="1:25" ht="16.5" customHeight="1">
      <c r="A823" s="140">
        <v>815</v>
      </c>
      <c r="B823" s="141"/>
      <c r="C823" s="1151"/>
      <c r="D823" s="1151"/>
      <c r="E823" s="278"/>
      <c r="F823" s="145"/>
      <c r="G823" s="1158"/>
      <c r="H823" s="1160"/>
      <c r="I823" s="144"/>
      <c r="J823" s="720"/>
      <c r="K823" s="720"/>
      <c r="L823" s="720"/>
      <c r="M823" s="145"/>
      <c r="N823" s="1149"/>
      <c r="O823" s="141"/>
      <c r="P823" s="141"/>
      <c r="Q823" s="141"/>
      <c r="R823" s="141"/>
      <c r="S823" s="141"/>
      <c r="T823" s="238"/>
      <c r="U823"/>
      <c r="V823"/>
      <c r="W823"/>
      <c r="X823"/>
      <c r="Y823"/>
    </row>
    <row r="824" spans="1:25" ht="16.5" customHeight="1">
      <c r="A824" s="140">
        <v>816</v>
      </c>
      <c r="B824" s="141"/>
      <c r="C824" s="1151"/>
      <c r="D824" s="1151"/>
      <c r="E824" s="278"/>
      <c r="F824" s="145"/>
      <c r="G824" s="1158"/>
      <c r="H824" s="1160"/>
      <c r="I824" s="144"/>
      <c r="J824" s="720"/>
      <c r="K824" s="720"/>
      <c r="L824" s="720"/>
      <c r="M824" s="145"/>
      <c r="N824" s="1149"/>
      <c r="O824" s="141"/>
      <c r="P824" s="141"/>
      <c r="Q824" s="141"/>
      <c r="R824" s="141"/>
      <c r="S824" s="141"/>
      <c r="T824" s="238"/>
      <c r="U824"/>
      <c r="V824"/>
      <c r="W824"/>
      <c r="X824"/>
      <c r="Y824"/>
    </row>
    <row r="825" spans="1:25" ht="16.5" customHeight="1">
      <c r="A825" s="140">
        <v>817</v>
      </c>
      <c r="B825" s="141"/>
      <c r="C825" s="1151"/>
      <c r="D825" s="1151"/>
      <c r="E825" s="278"/>
      <c r="F825" s="262"/>
      <c r="G825" s="1158"/>
      <c r="H825" s="1160"/>
      <c r="I825" s="144"/>
      <c r="J825" s="1038"/>
      <c r="K825" s="1038"/>
      <c r="L825" s="720"/>
      <c r="M825" s="145"/>
      <c r="N825" s="1149"/>
      <c r="O825" s="141"/>
      <c r="P825" s="141"/>
      <c r="Q825" s="141"/>
      <c r="R825" s="141"/>
      <c r="S825" s="141"/>
      <c r="T825" s="238"/>
      <c r="U825"/>
      <c r="V825"/>
      <c r="W825"/>
      <c r="X825"/>
      <c r="Y825"/>
    </row>
    <row r="826" spans="1:25" ht="16.5" customHeight="1">
      <c r="A826" s="140">
        <v>818</v>
      </c>
      <c r="B826" s="141"/>
      <c r="C826" s="1151"/>
      <c r="D826" s="1151"/>
      <c r="E826" s="278"/>
      <c r="F826" s="145"/>
      <c r="G826" s="1158"/>
      <c r="H826" s="1160"/>
      <c r="I826" s="144"/>
      <c r="J826" s="720"/>
      <c r="K826" s="720"/>
      <c r="L826" s="720"/>
      <c r="M826" s="145"/>
      <c r="N826" s="1149"/>
      <c r="O826" s="141"/>
      <c r="P826" s="141"/>
      <c r="Q826" s="141"/>
      <c r="R826" s="141"/>
      <c r="S826" s="141"/>
      <c r="T826" s="238"/>
      <c r="U826"/>
      <c r="V826"/>
      <c r="W826"/>
      <c r="X826"/>
      <c r="Y826"/>
    </row>
    <row r="827" spans="1:25" ht="16.5" customHeight="1">
      <c r="A827" s="140">
        <v>819</v>
      </c>
      <c r="B827" s="141"/>
      <c r="C827" s="1151"/>
      <c r="D827" s="1151"/>
      <c r="E827" s="278"/>
      <c r="F827" s="145"/>
      <c r="G827" s="1158"/>
      <c r="H827" s="1160"/>
      <c r="I827" s="144"/>
      <c r="J827" s="720"/>
      <c r="K827" s="720"/>
      <c r="L827" s="720"/>
      <c r="M827" s="145"/>
      <c r="N827" s="1149"/>
      <c r="O827" s="141"/>
      <c r="P827" s="141"/>
      <c r="Q827" s="141"/>
      <c r="R827" s="141"/>
      <c r="S827" s="141"/>
      <c r="T827" s="238"/>
      <c r="U827"/>
      <c r="V827"/>
      <c r="W827"/>
      <c r="X827"/>
      <c r="Y827"/>
    </row>
    <row r="828" spans="1:25" ht="16.5" customHeight="1">
      <c r="A828" s="140">
        <v>820</v>
      </c>
      <c r="B828" s="141"/>
      <c r="C828" s="1151"/>
      <c r="D828" s="1151"/>
      <c r="E828" s="278"/>
      <c r="F828" s="145"/>
      <c r="G828" s="1158"/>
      <c r="H828" s="1160"/>
      <c r="I828" s="144"/>
      <c r="J828" s="720"/>
      <c r="K828" s="720"/>
      <c r="L828" s="720"/>
      <c r="M828" s="145"/>
      <c r="N828" s="1149"/>
      <c r="O828" s="141"/>
      <c r="P828" s="141"/>
      <c r="Q828" s="141"/>
      <c r="R828" s="141"/>
      <c r="S828" s="141"/>
      <c r="T828" s="238"/>
      <c r="U828"/>
      <c r="V828"/>
      <c r="W828"/>
      <c r="X828"/>
      <c r="Y828"/>
    </row>
    <row r="829" spans="1:25" ht="16.5" customHeight="1">
      <c r="A829" s="140">
        <v>821</v>
      </c>
      <c r="B829" s="141"/>
      <c r="C829" s="1151"/>
      <c r="D829" s="1151"/>
      <c r="E829" s="278"/>
      <c r="F829" s="145"/>
      <c r="G829" s="1158"/>
      <c r="H829" s="1160"/>
      <c r="I829" s="144"/>
      <c r="J829" s="720"/>
      <c r="K829" s="720"/>
      <c r="L829" s="720"/>
      <c r="M829" s="145"/>
      <c r="N829" s="1149"/>
      <c r="O829" s="141"/>
      <c r="P829" s="141"/>
      <c r="Q829" s="141"/>
      <c r="R829" s="141"/>
      <c r="S829" s="141"/>
      <c r="T829" s="238"/>
      <c r="U829"/>
      <c r="V829"/>
      <c r="W829"/>
      <c r="X829"/>
      <c r="Y829"/>
    </row>
    <row r="830" spans="1:25" ht="16.5" customHeight="1">
      <c r="A830" s="140">
        <v>822</v>
      </c>
      <c r="B830" s="141"/>
      <c r="C830" s="1151"/>
      <c r="D830" s="1151"/>
      <c r="E830" s="278"/>
      <c r="F830" s="145"/>
      <c r="G830" s="1158"/>
      <c r="H830" s="1160"/>
      <c r="I830" s="144"/>
      <c r="J830" s="720"/>
      <c r="K830" s="720"/>
      <c r="L830" s="720"/>
      <c r="M830" s="145"/>
      <c r="N830" s="1149"/>
      <c r="O830" s="141"/>
      <c r="P830" s="141"/>
      <c r="Q830" s="141"/>
      <c r="R830" s="141"/>
      <c r="S830" s="141"/>
      <c r="T830" s="238"/>
      <c r="U830"/>
      <c r="V830"/>
      <c r="W830"/>
      <c r="X830"/>
      <c r="Y830"/>
    </row>
    <row r="831" spans="1:25" ht="16.5" customHeight="1">
      <c r="A831" s="140">
        <v>823</v>
      </c>
      <c r="B831" s="141"/>
      <c r="C831" s="1151"/>
      <c r="D831" s="1151"/>
      <c r="E831" s="278"/>
      <c r="F831" s="145"/>
      <c r="G831" s="1158"/>
      <c r="H831" s="1160"/>
      <c r="I831" s="144"/>
      <c r="J831" s="720"/>
      <c r="K831" s="720"/>
      <c r="L831" s="720"/>
      <c r="M831" s="145"/>
      <c r="N831" s="1149"/>
      <c r="O831" s="141"/>
      <c r="P831" s="141"/>
      <c r="Q831" s="141"/>
      <c r="R831" s="141"/>
      <c r="S831" s="141"/>
      <c r="T831" s="238"/>
      <c r="U831"/>
      <c r="V831"/>
      <c r="W831"/>
      <c r="X831"/>
      <c r="Y831"/>
    </row>
    <row r="832" spans="1:25" ht="16.5" customHeight="1">
      <c r="A832" s="140">
        <v>824</v>
      </c>
      <c r="B832" s="141"/>
      <c r="C832" s="1151"/>
      <c r="D832" s="1151"/>
      <c r="E832" s="278"/>
      <c r="F832" s="145"/>
      <c r="G832" s="1158"/>
      <c r="H832" s="1160"/>
      <c r="I832" s="144"/>
      <c r="J832" s="720"/>
      <c r="K832" s="720"/>
      <c r="L832" s="720"/>
      <c r="M832" s="145"/>
      <c r="N832" s="1149"/>
      <c r="O832" s="141"/>
      <c r="P832" s="141"/>
      <c r="Q832" s="141"/>
      <c r="R832" s="141"/>
      <c r="S832" s="141"/>
      <c r="T832" s="238"/>
      <c r="U832"/>
      <c r="V832"/>
      <c r="W832"/>
      <c r="X832"/>
      <c r="Y832"/>
    </row>
    <row r="833" spans="1:25" ht="16.5" customHeight="1">
      <c r="A833" s="140">
        <v>825</v>
      </c>
      <c r="B833" s="141"/>
      <c r="C833" s="1151"/>
      <c r="D833" s="1151"/>
      <c r="E833" s="278"/>
      <c r="F833" s="145"/>
      <c r="G833" s="1158"/>
      <c r="H833" s="1160"/>
      <c r="I833" s="144"/>
      <c r="J833" s="720"/>
      <c r="K833" s="720"/>
      <c r="L833" s="720"/>
      <c r="M833" s="145"/>
      <c r="N833" s="1149"/>
      <c r="O833" s="141"/>
      <c r="P833" s="141"/>
      <c r="Q833" s="141"/>
      <c r="R833" s="141"/>
      <c r="S833" s="141"/>
      <c r="T833" s="238"/>
      <c r="U833"/>
      <c r="V833"/>
      <c r="W833"/>
      <c r="X833"/>
      <c r="Y833"/>
    </row>
    <row r="834" spans="1:25" ht="16.5" customHeight="1">
      <c r="A834" s="140">
        <v>826</v>
      </c>
      <c r="B834" s="141"/>
      <c r="C834" s="1151"/>
      <c r="D834" s="1151"/>
      <c r="E834" s="278"/>
      <c r="F834" s="145"/>
      <c r="G834" s="1158"/>
      <c r="H834" s="1160"/>
      <c r="I834" s="144"/>
      <c r="J834" s="720"/>
      <c r="K834" s="720"/>
      <c r="L834" s="720"/>
      <c r="M834" s="145"/>
      <c r="N834" s="1149"/>
      <c r="O834" s="141"/>
      <c r="P834" s="141"/>
      <c r="Q834" s="141"/>
      <c r="R834" s="141"/>
      <c r="S834" s="141"/>
      <c r="T834" s="238"/>
      <c r="U834"/>
      <c r="V834"/>
      <c r="W834"/>
      <c r="X834"/>
      <c r="Y834"/>
    </row>
    <row r="835" spans="1:25" ht="16.5" customHeight="1">
      <c r="A835" s="140">
        <v>827</v>
      </c>
      <c r="B835" s="141"/>
      <c r="C835" s="1151"/>
      <c r="D835" s="1151"/>
      <c r="E835" s="278"/>
      <c r="F835" s="145"/>
      <c r="G835" s="1158"/>
      <c r="H835" s="1160"/>
      <c r="I835" s="144"/>
      <c r="J835" s="720"/>
      <c r="K835" s="720"/>
      <c r="L835" s="720"/>
      <c r="M835" s="145"/>
      <c r="N835" s="1149"/>
      <c r="O835" s="141"/>
      <c r="P835" s="141"/>
      <c r="Q835" s="141"/>
      <c r="R835" s="141"/>
      <c r="S835" s="141"/>
      <c r="T835" s="238"/>
      <c r="U835"/>
      <c r="V835"/>
      <c r="W835"/>
      <c r="X835"/>
      <c r="Y835"/>
    </row>
    <row r="836" spans="1:25" ht="16.5" customHeight="1">
      <c r="A836" s="140">
        <v>828</v>
      </c>
      <c r="B836" s="141"/>
      <c r="C836" s="1151"/>
      <c r="D836" s="1151"/>
      <c r="E836" s="278"/>
      <c r="F836" s="145"/>
      <c r="G836" s="1158"/>
      <c r="H836" s="1160"/>
      <c r="I836" s="144"/>
      <c r="J836" s="720"/>
      <c r="K836" s="720"/>
      <c r="L836" s="720"/>
      <c r="M836" s="145"/>
      <c r="N836" s="1149"/>
      <c r="O836" s="141"/>
      <c r="P836" s="141"/>
      <c r="Q836" s="141"/>
      <c r="R836" s="141"/>
      <c r="S836" s="141"/>
      <c r="T836" s="238"/>
      <c r="U836"/>
      <c r="V836"/>
      <c r="W836"/>
      <c r="X836"/>
      <c r="Y836"/>
    </row>
    <row r="837" spans="1:25" ht="16.5" customHeight="1">
      <c r="A837" s="140">
        <v>829</v>
      </c>
      <c r="B837" s="141"/>
      <c r="C837" s="1151"/>
      <c r="D837" s="1151"/>
      <c r="E837" s="278"/>
      <c r="F837" s="145"/>
      <c r="G837" s="1158"/>
      <c r="H837" s="1160"/>
      <c r="I837" s="144"/>
      <c r="J837" s="720"/>
      <c r="K837" s="720"/>
      <c r="L837" s="720"/>
      <c r="M837" s="145"/>
      <c r="N837" s="1149"/>
      <c r="O837" s="141"/>
      <c r="P837" s="141"/>
      <c r="Q837" s="141"/>
      <c r="R837" s="141"/>
      <c r="S837" s="141"/>
      <c r="T837" s="238"/>
      <c r="U837"/>
      <c r="V837"/>
      <c r="W837"/>
      <c r="X837"/>
      <c r="Y837"/>
    </row>
    <row r="838" spans="1:25" ht="16.5" customHeight="1">
      <c r="A838" s="140">
        <v>830</v>
      </c>
      <c r="B838" s="141"/>
      <c r="C838" s="1151"/>
      <c r="D838" s="1151"/>
      <c r="E838" s="278"/>
      <c r="F838" s="145"/>
      <c r="G838" s="1158"/>
      <c r="H838" s="1160"/>
      <c r="I838" s="144"/>
      <c r="J838" s="720"/>
      <c r="K838" s="720"/>
      <c r="L838" s="720"/>
      <c r="M838" s="145"/>
      <c r="N838" s="1149"/>
      <c r="O838" s="141"/>
      <c r="P838" s="141"/>
      <c r="Q838" s="141"/>
      <c r="R838" s="141"/>
      <c r="S838" s="141"/>
      <c r="T838" s="238"/>
      <c r="U838"/>
      <c r="V838"/>
      <c r="W838"/>
      <c r="X838"/>
      <c r="Y838"/>
    </row>
    <row r="839" spans="1:25" ht="16.5" customHeight="1">
      <c r="A839" s="140">
        <v>831</v>
      </c>
      <c r="B839" s="141"/>
      <c r="C839" s="1151"/>
      <c r="D839" s="1151"/>
      <c r="E839" s="278"/>
      <c r="F839" s="145"/>
      <c r="G839" s="1158"/>
      <c r="H839" s="1160"/>
      <c r="I839" s="144"/>
      <c r="J839" s="720"/>
      <c r="K839" s="720"/>
      <c r="L839" s="720"/>
      <c r="M839" s="141"/>
      <c r="N839" s="141"/>
      <c r="O839" s="141"/>
      <c r="P839" s="141"/>
      <c r="Q839" s="141"/>
      <c r="R839" s="141"/>
      <c r="S839" s="141"/>
      <c r="T839" s="238"/>
      <c r="U839"/>
      <c r="V839"/>
      <c r="W839"/>
      <c r="X839"/>
      <c r="Y839"/>
    </row>
    <row r="840" spans="1:25" ht="16.5" customHeight="1">
      <c r="A840" s="140">
        <v>832</v>
      </c>
      <c r="B840" s="141"/>
      <c r="C840" s="1147"/>
      <c r="D840" s="1147"/>
      <c r="E840" s="278"/>
      <c r="F840" s="1149"/>
      <c r="G840" s="1162"/>
      <c r="H840" s="1162"/>
      <c r="I840" s="141"/>
      <c r="J840" s="141"/>
      <c r="K840" s="141"/>
      <c r="L840" s="141"/>
      <c r="M840" s="141"/>
      <c r="N840" s="141"/>
      <c r="O840" s="141"/>
      <c r="P840" s="141"/>
      <c r="Q840" s="141"/>
      <c r="R840" s="141"/>
      <c r="S840" s="141"/>
      <c r="T840" s="238"/>
      <c r="U840"/>
      <c r="V840"/>
      <c r="W840"/>
      <c r="X840"/>
      <c r="Y840"/>
    </row>
    <row r="841" spans="1:25" ht="16.5" customHeight="1">
      <c r="A841" s="140">
        <v>833</v>
      </c>
      <c r="B841" s="141"/>
      <c r="C841" s="1147"/>
      <c r="D841" s="1147"/>
      <c r="E841" s="278"/>
      <c r="F841" s="1149"/>
      <c r="G841" s="1162"/>
      <c r="H841" s="1162"/>
      <c r="I841" s="141"/>
      <c r="J841" s="141"/>
      <c r="K841" s="141"/>
      <c r="L841" s="141"/>
      <c r="M841" s="141"/>
      <c r="N841" s="141"/>
      <c r="O841" s="141"/>
      <c r="P841" s="141"/>
      <c r="Q841" s="141"/>
      <c r="R841" s="141"/>
      <c r="S841" s="141"/>
      <c r="T841" s="238"/>
      <c r="U841"/>
      <c r="V841"/>
      <c r="W841"/>
      <c r="X841"/>
      <c r="Y841"/>
    </row>
    <row r="842" spans="1:25" ht="16.5" customHeight="1">
      <c r="A842" s="140">
        <v>834</v>
      </c>
      <c r="B842" s="141"/>
      <c r="C842" s="1147"/>
      <c r="D842" s="1147"/>
      <c r="E842" s="278"/>
      <c r="F842" s="1149"/>
      <c r="G842" s="1162"/>
      <c r="H842" s="1162"/>
      <c r="I842" s="141"/>
      <c r="J842" s="141"/>
      <c r="K842" s="141"/>
      <c r="L842" s="141"/>
      <c r="M842" s="141"/>
      <c r="N842" s="141"/>
      <c r="O842" s="141"/>
      <c r="P842" s="141"/>
      <c r="Q842" s="141"/>
      <c r="R842" s="141"/>
      <c r="S842" s="141"/>
      <c r="T842" s="238"/>
      <c r="U842"/>
      <c r="V842"/>
      <c r="W842"/>
      <c r="X842"/>
      <c r="Y842"/>
    </row>
    <row r="843" spans="1:25" ht="16.5" customHeight="1">
      <c r="A843" s="140">
        <v>835</v>
      </c>
      <c r="B843" s="141"/>
      <c r="C843" s="1147"/>
      <c r="D843" s="1147"/>
      <c r="E843" s="278"/>
      <c r="F843" s="1149"/>
      <c r="G843" s="1162"/>
      <c r="H843" s="1162"/>
      <c r="I843" s="141"/>
      <c r="J843" s="141"/>
      <c r="K843" s="141"/>
      <c r="L843" s="141"/>
      <c r="M843" s="141"/>
      <c r="N843" s="141"/>
      <c r="O843" s="141"/>
      <c r="P843" s="141"/>
      <c r="Q843" s="141"/>
      <c r="R843" s="141"/>
      <c r="S843" s="141"/>
      <c r="T843" s="238"/>
      <c r="U843"/>
      <c r="V843"/>
      <c r="W843"/>
      <c r="X843"/>
      <c r="Y843"/>
    </row>
    <row r="844" spans="1:25" ht="16.5" customHeight="1">
      <c r="A844" s="140">
        <v>836</v>
      </c>
      <c r="B844" s="141"/>
      <c r="C844" s="1147"/>
      <c r="D844" s="1147"/>
      <c r="E844" s="278"/>
      <c r="F844" s="1149"/>
      <c r="G844" s="1162"/>
      <c r="H844" s="1162"/>
      <c r="I844" s="141"/>
      <c r="J844" s="141"/>
      <c r="K844" s="141"/>
      <c r="L844" s="141"/>
      <c r="M844" s="141"/>
      <c r="N844" s="141"/>
      <c r="O844" s="141"/>
      <c r="P844" s="141"/>
      <c r="Q844" s="141"/>
      <c r="R844" s="141"/>
      <c r="S844" s="141"/>
      <c r="T844" s="238"/>
      <c r="U844"/>
      <c r="V844"/>
      <c r="W844"/>
      <c r="X844"/>
      <c r="Y844"/>
    </row>
    <row r="845" spans="1:25" ht="16.5" customHeight="1">
      <c r="A845" s="140">
        <v>837</v>
      </c>
      <c r="B845" s="141"/>
      <c r="C845" s="1147"/>
      <c r="D845" s="1147"/>
      <c r="E845" s="278"/>
      <c r="F845" s="1149"/>
      <c r="G845" s="1162"/>
      <c r="H845" s="1162"/>
      <c r="I845" s="141"/>
      <c r="J845" s="141"/>
      <c r="K845" s="141"/>
      <c r="L845" s="141"/>
      <c r="M845" s="141"/>
      <c r="N845" s="141"/>
      <c r="O845" s="141"/>
      <c r="P845" s="141"/>
      <c r="Q845" s="141"/>
      <c r="R845" s="141"/>
      <c r="S845" s="141"/>
      <c r="T845" s="238"/>
      <c r="U845"/>
      <c r="V845"/>
      <c r="W845"/>
      <c r="X845"/>
      <c r="Y845"/>
    </row>
    <row r="846" spans="1:25" ht="16.5" customHeight="1">
      <c r="A846" s="140">
        <v>838</v>
      </c>
      <c r="B846" s="141"/>
      <c r="C846" s="1147"/>
      <c r="D846" s="1147"/>
      <c r="E846" s="278"/>
      <c r="F846" s="1149"/>
      <c r="G846" s="1162"/>
      <c r="H846" s="1162"/>
      <c r="I846" s="141"/>
      <c r="J846" s="141"/>
      <c r="K846" s="141"/>
      <c r="L846" s="141"/>
      <c r="M846" s="141"/>
      <c r="N846" s="141"/>
      <c r="O846" s="141"/>
      <c r="P846" s="141"/>
      <c r="Q846" s="141"/>
      <c r="R846" s="141"/>
      <c r="S846" s="141"/>
      <c r="T846" s="238"/>
      <c r="U846"/>
      <c r="V846"/>
      <c r="W846"/>
      <c r="X846"/>
      <c r="Y846"/>
    </row>
    <row r="847" spans="1:25" ht="16.5" customHeight="1">
      <c r="A847" s="140">
        <v>839</v>
      </c>
      <c r="B847" s="141"/>
      <c r="C847" s="1147"/>
      <c r="D847" s="1147"/>
      <c r="E847" s="278"/>
      <c r="F847" s="1149"/>
      <c r="G847" s="1162"/>
      <c r="H847" s="1162"/>
      <c r="I847" s="141"/>
      <c r="J847" s="141"/>
      <c r="K847" s="141"/>
      <c r="L847" s="141"/>
      <c r="M847" s="141"/>
      <c r="N847" s="141"/>
      <c r="O847" s="141"/>
      <c r="P847" s="141"/>
      <c r="Q847" s="141"/>
      <c r="R847" s="141"/>
      <c r="S847" s="141"/>
      <c r="T847" s="238"/>
      <c r="U847"/>
      <c r="V847"/>
      <c r="W847"/>
      <c r="X847"/>
      <c r="Y847"/>
    </row>
    <row r="848" spans="1:25" ht="16.5" customHeight="1">
      <c r="A848" s="140">
        <v>840</v>
      </c>
      <c r="B848" s="141"/>
      <c r="C848" s="1147"/>
      <c r="D848" s="1147"/>
      <c r="E848" s="278"/>
      <c r="F848" s="1149"/>
      <c r="G848" s="1162"/>
      <c r="H848" s="1162"/>
      <c r="I848" s="141"/>
      <c r="J848" s="141"/>
      <c r="K848" s="141"/>
      <c r="L848" s="141"/>
      <c r="M848" s="141"/>
      <c r="N848" s="141"/>
      <c r="O848" s="141"/>
      <c r="P848" s="141"/>
      <c r="Q848" s="141"/>
      <c r="R848" s="141"/>
      <c r="S848" s="141"/>
      <c r="T848" s="238"/>
      <c r="U848"/>
      <c r="V848"/>
      <c r="W848"/>
      <c r="X848"/>
      <c r="Y848"/>
    </row>
    <row r="849" spans="1:26" ht="16.5" customHeight="1">
      <c r="A849" s="140">
        <v>841</v>
      </c>
      <c r="B849" s="141"/>
      <c r="C849" s="1147"/>
      <c r="D849" s="1147"/>
      <c r="E849" s="278"/>
      <c r="F849" s="1149"/>
      <c r="G849" s="1162"/>
      <c r="H849" s="1162"/>
      <c r="I849" s="141"/>
      <c r="J849" s="141"/>
      <c r="K849" s="141"/>
      <c r="L849" s="141"/>
      <c r="M849" s="141"/>
      <c r="N849" s="141"/>
      <c r="O849" s="141"/>
      <c r="P849" s="141"/>
      <c r="Q849" s="141"/>
      <c r="R849" s="141"/>
      <c r="S849" s="141"/>
      <c r="T849" s="238"/>
      <c r="U849"/>
      <c r="V849"/>
      <c r="W849"/>
      <c r="X849"/>
      <c r="Y849"/>
    </row>
    <row r="850" spans="1:26" ht="16.5" customHeight="1">
      <c r="A850" s="140">
        <v>842</v>
      </c>
      <c r="B850" s="141"/>
      <c r="C850" s="1147"/>
      <c r="D850" s="1147"/>
      <c r="E850" s="278"/>
      <c r="F850" s="1149"/>
      <c r="G850" s="1162"/>
      <c r="H850" s="1162"/>
      <c r="I850" s="141"/>
      <c r="J850" s="141"/>
      <c r="K850" s="141"/>
      <c r="L850" s="141"/>
      <c r="M850" s="141"/>
      <c r="N850" s="141"/>
      <c r="O850" s="141"/>
      <c r="P850" s="141"/>
      <c r="Q850" s="141"/>
      <c r="R850" s="141"/>
      <c r="S850" s="141"/>
      <c r="T850" s="238"/>
      <c r="U850"/>
      <c r="V850"/>
      <c r="W850"/>
      <c r="X850"/>
      <c r="Y850"/>
    </row>
    <row r="851" spans="1:26" ht="16.5" customHeight="1">
      <c r="A851" s="140">
        <v>843</v>
      </c>
      <c r="B851" s="141"/>
      <c r="C851" s="1147"/>
      <c r="D851" s="1147"/>
      <c r="E851" s="278"/>
      <c r="F851" s="1149"/>
      <c r="G851" s="1162"/>
      <c r="H851" s="1162"/>
      <c r="I851" s="141"/>
      <c r="J851" s="141"/>
      <c r="K851" s="141"/>
      <c r="L851" s="141"/>
      <c r="M851" s="141"/>
      <c r="N851" s="141"/>
      <c r="O851" s="141"/>
      <c r="P851" s="141"/>
      <c r="Q851" s="141"/>
      <c r="R851" s="141"/>
      <c r="S851" s="141"/>
      <c r="T851" s="238"/>
    </row>
    <row r="852" spans="1:26" ht="16.5" customHeight="1">
      <c r="A852" s="140">
        <v>844</v>
      </c>
      <c r="B852" s="141"/>
      <c r="C852" s="1147"/>
      <c r="D852" s="1147"/>
      <c r="E852" s="278"/>
      <c r="F852" s="1149"/>
      <c r="G852" s="1162"/>
      <c r="H852" s="1162"/>
      <c r="I852" s="141"/>
      <c r="J852" s="141"/>
      <c r="K852" s="141"/>
      <c r="L852" s="141"/>
      <c r="M852" s="141"/>
      <c r="N852" s="141"/>
      <c r="O852" s="141"/>
      <c r="P852" s="141"/>
      <c r="Q852" s="141"/>
      <c r="R852" s="141"/>
      <c r="S852" s="141"/>
      <c r="T852" s="238"/>
    </row>
    <row r="853" spans="1:26" ht="16.5" customHeight="1">
      <c r="A853" s="140">
        <v>845</v>
      </c>
      <c r="B853" s="141"/>
      <c r="C853" s="1147"/>
      <c r="D853" s="1147"/>
      <c r="E853" s="278"/>
      <c r="F853" s="1149"/>
      <c r="G853" s="1162"/>
      <c r="H853" s="1162"/>
      <c r="I853" s="141"/>
      <c r="J853" s="141"/>
      <c r="K853" s="141"/>
      <c r="L853" s="141"/>
      <c r="M853" s="141"/>
      <c r="N853" s="141"/>
      <c r="O853" s="141"/>
      <c r="P853" s="141"/>
      <c r="Q853" s="141"/>
      <c r="R853" s="141"/>
      <c r="S853" s="141"/>
      <c r="T853" s="238"/>
    </row>
    <row r="854" spans="1:26" ht="16.5" customHeight="1">
      <c r="A854" s="140">
        <v>846</v>
      </c>
      <c r="B854" s="141"/>
      <c r="C854" s="1147"/>
      <c r="D854" s="1147"/>
      <c r="E854" s="278"/>
      <c r="F854" s="1149"/>
      <c r="G854" s="1162"/>
      <c r="H854" s="1162"/>
      <c r="I854" s="141"/>
      <c r="J854" s="141"/>
      <c r="K854" s="141"/>
      <c r="L854" s="141"/>
      <c r="M854" s="141"/>
      <c r="N854" s="141"/>
      <c r="O854" s="141"/>
      <c r="P854" s="141"/>
      <c r="Q854" s="141"/>
      <c r="R854" s="141"/>
      <c r="S854" s="141"/>
      <c r="T854" s="238"/>
    </row>
    <row r="855" spans="1:26" ht="16.5" customHeight="1">
      <c r="A855" s="140">
        <v>847</v>
      </c>
      <c r="B855" s="141"/>
      <c r="C855" s="1147"/>
      <c r="D855" s="1147"/>
      <c r="E855" s="278"/>
      <c r="F855" s="1149"/>
      <c r="G855" s="1162"/>
      <c r="H855" s="1162"/>
      <c r="I855" s="141"/>
      <c r="J855" s="141"/>
      <c r="K855" s="141"/>
      <c r="L855" s="141"/>
      <c r="M855" s="141"/>
      <c r="N855" s="141"/>
      <c r="O855" s="141"/>
      <c r="P855" s="141"/>
      <c r="Q855" s="141"/>
      <c r="R855" s="141"/>
      <c r="S855" s="141"/>
      <c r="T855" s="238"/>
    </row>
    <row r="856" spans="1:26" ht="16.5" customHeight="1">
      <c r="A856" s="140">
        <v>848</v>
      </c>
      <c r="B856" s="141"/>
      <c r="C856" s="1147"/>
      <c r="D856" s="1147"/>
      <c r="E856" s="278"/>
      <c r="F856" s="1149"/>
      <c r="G856" s="1162"/>
      <c r="H856" s="1162"/>
      <c r="I856" s="141"/>
      <c r="J856" s="141"/>
      <c r="K856" s="141"/>
      <c r="L856" s="141"/>
      <c r="M856" s="141"/>
      <c r="N856" s="141"/>
      <c r="O856" s="141"/>
      <c r="P856" s="141"/>
      <c r="Q856" s="141"/>
      <c r="R856" s="141"/>
      <c r="S856" s="141"/>
      <c r="T856" s="238"/>
    </row>
    <row r="857" spans="1:26" ht="16.5" customHeight="1">
      <c r="A857" s="140">
        <v>849</v>
      </c>
      <c r="B857" s="141"/>
      <c r="C857" s="1147"/>
      <c r="D857" s="1147"/>
      <c r="E857" s="278"/>
      <c r="F857" s="1149"/>
      <c r="G857" s="1162"/>
      <c r="H857" s="1162"/>
      <c r="I857" s="141"/>
      <c r="J857" s="141"/>
      <c r="K857" s="141"/>
      <c r="L857" s="141"/>
      <c r="M857" s="141"/>
      <c r="N857" s="141"/>
      <c r="O857" s="141"/>
      <c r="P857" s="141"/>
      <c r="Q857" s="141"/>
      <c r="R857" s="141"/>
      <c r="S857" s="141"/>
      <c r="T857" s="238"/>
    </row>
    <row r="858" spans="1:26" ht="16.5" customHeight="1">
      <c r="A858" s="140">
        <v>850</v>
      </c>
      <c r="B858" s="141"/>
      <c r="C858" s="1147"/>
      <c r="D858" s="1147"/>
      <c r="E858" s="278"/>
      <c r="F858" s="1149"/>
      <c r="G858" s="1162"/>
      <c r="H858" s="1162"/>
      <c r="I858" s="141"/>
      <c r="J858" s="141"/>
      <c r="K858" s="141"/>
      <c r="L858" s="141"/>
      <c r="M858" s="141"/>
      <c r="N858" s="141"/>
      <c r="O858" s="141"/>
      <c r="P858" s="141"/>
      <c r="Q858" s="141"/>
      <c r="R858" s="141"/>
      <c r="S858" s="141"/>
      <c r="T858" s="238"/>
    </row>
    <row r="859" spans="1:26" ht="16.5" customHeight="1">
      <c r="A859" s="140">
        <v>851</v>
      </c>
      <c r="B859" s="141"/>
      <c r="C859" s="1147"/>
      <c r="D859" s="1147"/>
      <c r="E859" s="278"/>
      <c r="F859" s="1149"/>
      <c r="G859" s="1162"/>
      <c r="H859" s="1162"/>
      <c r="I859" s="141"/>
      <c r="J859" s="141"/>
      <c r="K859" s="141"/>
      <c r="L859" s="141"/>
      <c r="M859" s="141"/>
      <c r="N859" s="141"/>
      <c r="O859" s="141"/>
      <c r="P859" s="141"/>
      <c r="Q859" s="141"/>
      <c r="R859" s="141"/>
      <c r="S859" s="141"/>
      <c r="T859" s="238"/>
    </row>
    <row r="860" spans="1:26" ht="16.5" customHeight="1">
      <c r="A860" s="140">
        <v>852</v>
      </c>
      <c r="B860" s="141"/>
      <c r="C860" s="1147"/>
      <c r="D860" s="1147"/>
      <c r="E860" s="278"/>
      <c r="F860" s="1149"/>
      <c r="G860" s="1162"/>
      <c r="H860" s="1162"/>
      <c r="I860" s="141"/>
      <c r="J860" s="141"/>
      <c r="K860" s="141"/>
      <c r="L860" s="141"/>
      <c r="M860" s="141"/>
      <c r="N860" s="141"/>
      <c r="O860" s="141"/>
      <c r="P860" s="141"/>
      <c r="Q860" s="141"/>
      <c r="R860" s="141"/>
      <c r="S860" s="141"/>
      <c r="T860" s="238"/>
      <c r="W860" s="141" t="s">
        <v>632</v>
      </c>
      <c r="X860" s="230" t="s">
        <v>604</v>
      </c>
      <c r="Y860" s="231"/>
      <c r="Z860" s="141" t="s">
        <v>652</v>
      </c>
    </row>
    <row r="861" spans="1:26" ht="16.5" customHeight="1">
      <c r="A861" s="140">
        <v>853</v>
      </c>
      <c r="B861" s="141"/>
      <c r="C861" s="1147"/>
      <c r="D861" s="1147"/>
      <c r="E861" s="278"/>
      <c r="F861" s="1149"/>
      <c r="G861" s="1162"/>
      <c r="H861" s="1162"/>
      <c r="I861" s="141"/>
      <c r="J861" s="141"/>
      <c r="K861" s="141"/>
      <c r="L861" s="141"/>
      <c r="M861" s="141"/>
      <c r="N861" s="141"/>
      <c r="O861" s="141"/>
      <c r="P861" s="141"/>
      <c r="Q861" s="141"/>
      <c r="R861" s="141"/>
      <c r="S861" s="141"/>
      <c r="T861" s="238"/>
    </row>
    <row r="862" spans="1:26" ht="16.5" customHeight="1">
      <c r="A862" s="140">
        <v>854</v>
      </c>
      <c r="B862" s="141"/>
      <c r="C862" s="1147"/>
      <c r="D862" s="1147"/>
      <c r="E862" s="278"/>
      <c r="F862" s="1149"/>
      <c r="G862" s="1162"/>
      <c r="H862" s="1162"/>
      <c r="I862" s="141"/>
      <c r="J862" s="141"/>
      <c r="K862" s="141"/>
      <c r="L862" s="141"/>
      <c r="M862" s="141"/>
      <c r="N862" s="141"/>
      <c r="O862" s="141"/>
      <c r="P862" s="141"/>
      <c r="Q862" s="141"/>
      <c r="R862" s="141"/>
      <c r="S862" s="141"/>
      <c r="T862" s="238"/>
    </row>
    <row r="863" spans="1:26" ht="16.5" customHeight="1">
      <c r="A863" s="140">
        <v>855</v>
      </c>
      <c r="B863" s="141"/>
      <c r="C863" s="141"/>
      <c r="D863" s="141"/>
      <c r="E863" s="141"/>
      <c r="F863" s="141"/>
      <c r="G863" s="1162"/>
      <c r="H863" s="1162"/>
      <c r="I863" s="141"/>
      <c r="J863" s="141"/>
      <c r="K863" s="141"/>
      <c r="L863" s="141"/>
      <c r="M863" s="141"/>
      <c r="N863" s="141"/>
      <c r="O863" s="141"/>
      <c r="P863" s="141"/>
      <c r="Q863" s="141"/>
      <c r="R863" s="141"/>
      <c r="S863" s="141"/>
      <c r="T863" s="238"/>
    </row>
    <row r="864" spans="1:26" ht="16.5" customHeight="1">
      <c r="A864" s="140">
        <v>856</v>
      </c>
      <c r="B864" s="141"/>
      <c r="C864" s="141"/>
      <c r="D864" s="141"/>
      <c r="E864" s="141"/>
      <c r="F864" s="141"/>
      <c r="G864" s="1162"/>
      <c r="H864" s="1162"/>
      <c r="I864" s="141"/>
      <c r="J864" s="141"/>
      <c r="K864" s="141"/>
      <c r="L864" s="141"/>
      <c r="M864" s="141"/>
      <c r="N864" s="141"/>
      <c r="O864" s="141"/>
      <c r="P864" s="141"/>
      <c r="Q864" s="141"/>
      <c r="R864" s="141"/>
      <c r="S864" s="141"/>
      <c r="T864" s="238"/>
    </row>
    <row r="865" spans="1:25" ht="16.5" customHeight="1">
      <c r="A865" s="140">
        <v>857</v>
      </c>
      <c r="B865" s="141"/>
      <c r="C865" s="141"/>
      <c r="D865" s="141"/>
      <c r="E865" s="141"/>
      <c r="F865" s="141"/>
      <c r="G865" s="1162"/>
      <c r="H865" s="1162"/>
      <c r="I865" s="141"/>
      <c r="J865" s="141"/>
      <c r="K865" s="141"/>
      <c r="L865" s="141"/>
      <c r="M865" s="141"/>
      <c r="N865" s="141"/>
      <c r="O865" s="141"/>
      <c r="P865" s="141"/>
      <c r="Q865" s="141"/>
      <c r="R865" s="141"/>
      <c r="S865" s="141"/>
      <c r="T865" s="238"/>
    </row>
    <row r="866" spans="1:25" ht="16.5" customHeight="1">
      <c r="A866" s="140">
        <v>858</v>
      </c>
      <c r="B866" s="141"/>
      <c r="C866" s="141"/>
      <c r="D866" s="141"/>
      <c r="E866" s="141"/>
      <c r="F866" s="141"/>
      <c r="G866" s="1162"/>
      <c r="H866" s="1162"/>
      <c r="I866" s="141"/>
      <c r="J866" s="141"/>
      <c r="K866" s="141"/>
      <c r="L866" s="141"/>
      <c r="M866" s="141"/>
      <c r="N866" s="141"/>
      <c r="O866" s="141"/>
      <c r="P866" s="141"/>
      <c r="Q866" s="141"/>
      <c r="R866" s="141"/>
      <c r="S866" s="141"/>
      <c r="T866" s="238"/>
    </row>
    <row r="867" spans="1:25" ht="16.5" customHeight="1">
      <c r="A867" s="140">
        <v>859</v>
      </c>
      <c r="B867" s="141"/>
      <c r="C867" s="141"/>
      <c r="D867" s="141"/>
      <c r="E867" s="141"/>
      <c r="F867" s="141"/>
      <c r="G867" s="1162"/>
      <c r="H867" s="1162"/>
      <c r="I867" s="141"/>
      <c r="J867" s="141"/>
      <c r="K867" s="141"/>
      <c r="L867" s="141"/>
      <c r="M867" s="141"/>
      <c r="N867" s="141"/>
      <c r="O867" s="141"/>
      <c r="P867" s="141"/>
      <c r="Q867" s="141"/>
      <c r="R867" s="141"/>
      <c r="S867" s="141"/>
      <c r="T867" s="238"/>
      <c r="U867"/>
      <c r="V867"/>
      <c r="W867"/>
      <c r="X867"/>
      <c r="Y867"/>
    </row>
    <row r="868" spans="1:25" ht="16.5" customHeight="1">
      <c r="A868" s="140">
        <v>860</v>
      </c>
      <c r="B868" s="141"/>
      <c r="C868" s="141"/>
      <c r="D868" s="141"/>
      <c r="E868" s="141"/>
      <c r="F868" s="141"/>
      <c r="G868" s="1162"/>
      <c r="H868" s="1162"/>
      <c r="I868" s="141"/>
      <c r="J868" s="141"/>
      <c r="K868" s="141"/>
      <c r="L868" s="141"/>
      <c r="M868" s="141"/>
      <c r="N868" s="141"/>
      <c r="O868" s="141"/>
      <c r="P868" s="141"/>
      <c r="Q868" s="141"/>
      <c r="R868" s="141"/>
      <c r="S868" s="141"/>
      <c r="T868" s="238"/>
      <c r="U868"/>
      <c r="V868"/>
      <c r="W868"/>
      <c r="X868"/>
      <c r="Y868"/>
    </row>
    <row r="869" spans="1:25" ht="16.5" customHeight="1">
      <c r="A869" s="140">
        <v>861</v>
      </c>
      <c r="B869" s="141"/>
      <c r="C869" s="141"/>
      <c r="D869" s="141"/>
      <c r="E869" s="141"/>
      <c r="F869" s="141"/>
      <c r="G869" s="1162"/>
      <c r="H869" s="1162"/>
      <c r="I869" s="141"/>
      <c r="J869" s="141"/>
      <c r="K869" s="141"/>
      <c r="L869" s="141"/>
      <c r="M869" s="141"/>
      <c r="N869" s="141"/>
      <c r="O869" s="141"/>
      <c r="P869" s="141"/>
      <c r="Q869" s="141"/>
      <c r="R869" s="141"/>
      <c r="S869" s="141"/>
      <c r="T869" s="238"/>
      <c r="U869"/>
      <c r="V869"/>
      <c r="W869"/>
      <c r="X869"/>
      <c r="Y869"/>
    </row>
    <row r="870" spans="1:25" ht="16.5" customHeight="1">
      <c r="A870" s="140">
        <v>862</v>
      </c>
      <c r="B870" s="141"/>
      <c r="C870" s="141"/>
      <c r="D870" s="141"/>
      <c r="E870" s="141"/>
      <c r="F870" s="141"/>
      <c r="G870" s="1162"/>
      <c r="H870" s="1162"/>
      <c r="I870" s="141"/>
      <c r="J870" s="141"/>
      <c r="K870" s="141"/>
      <c r="L870" s="141"/>
      <c r="M870" s="141"/>
      <c r="N870" s="141"/>
      <c r="O870" s="141"/>
      <c r="P870" s="141"/>
      <c r="Q870" s="141"/>
      <c r="R870" s="141"/>
      <c r="S870" s="141"/>
      <c r="T870" s="238"/>
      <c r="U870"/>
      <c r="V870"/>
      <c r="W870"/>
      <c r="X870"/>
      <c r="Y870"/>
    </row>
    <row r="871" spans="1:25" ht="16.5" customHeight="1">
      <c r="A871" s="140">
        <v>863</v>
      </c>
      <c r="B871" s="141"/>
      <c r="C871" s="141"/>
      <c r="D871" s="141"/>
      <c r="E871" s="141"/>
      <c r="F871" s="141"/>
      <c r="G871" s="1162"/>
      <c r="H871" s="1162"/>
      <c r="I871" s="141"/>
      <c r="J871" s="141"/>
      <c r="K871" s="141"/>
      <c r="L871" s="141"/>
      <c r="M871" s="141"/>
      <c r="N871" s="141"/>
      <c r="O871" s="141"/>
      <c r="P871" s="141"/>
      <c r="Q871" s="141"/>
      <c r="R871" s="141"/>
      <c r="S871" s="141"/>
      <c r="T871" s="238"/>
      <c r="U871"/>
      <c r="V871"/>
      <c r="W871"/>
      <c r="X871"/>
      <c r="Y871"/>
    </row>
    <row r="872" spans="1:25" ht="16.5" customHeight="1">
      <c r="A872" s="140">
        <v>864</v>
      </c>
      <c r="B872" s="141"/>
      <c r="C872" s="141"/>
      <c r="D872" s="141"/>
      <c r="E872" s="141"/>
      <c r="F872" s="141"/>
      <c r="G872" s="1162"/>
      <c r="H872" s="1162"/>
      <c r="I872" s="141"/>
      <c r="J872" s="141"/>
      <c r="K872" s="141"/>
      <c r="L872" s="141"/>
      <c r="M872" s="141"/>
      <c r="N872" s="141"/>
      <c r="O872" s="141"/>
      <c r="P872" s="141"/>
      <c r="Q872" s="141"/>
      <c r="R872" s="141"/>
      <c r="S872" s="141"/>
      <c r="T872" s="238"/>
      <c r="U872"/>
      <c r="V872"/>
      <c r="W872"/>
      <c r="X872"/>
      <c r="Y872"/>
    </row>
    <row r="873" spans="1:25" ht="16.5" customHeight="1">
      <c r="A873" s="140">
        <v>865</v>
      </c>
      <c r="B873" s="141"/>
      <c r="C873" s="141"/>
      <c r="D873" s="141"/>
      <c r="E873" s="141"/>
      <c r="F873" s="141"/>
      <c r="G873" s="1162"/>
      <c r="H873" s="1162"/>
      <c r="I873" s="141"/>
      <c r="J873" s="141"/>
      <c r="K873" s="141"/>
      <c r="L873" s="141"/>
      <c r="M873" s="141"/>
      <c r="N873" s="141"/>
      <c r="O873" s="141"/>
      <c r="P873" s="141"/>
      <c r="Q873" s="141"/>
      <c r="R873" s="141"/>
      <c r="S873" s="141"/>
      <c r="T873" s="238"/>
      <c r="U873"/>
      <c r="V873"/>
      <c r="W873"/>
      <c r="X873"/>
      <c r="Y873"/>
    </row>
    <row r="874" spans="1:25" ht="16.5" customHeight="1">
      <c r="A874" s="140">
        <v>866</v>
      </c>
      <c r="B874" s="141"/>
      <c r="C874" s="141"/>
      <c r="D874" s="141"/>
      <c r="E874" s="141"/>
      <c r="F874" s="141"/>
      <c r="G874" s="1162"/>
      <c r="H874" s="1162"/>
      <c r="I874" s="141"/>
      <c r="J874" s="141"/>
      <c r="K874" s="141"/>
      <c r="L874" s="141"/>
      <c r="M874" s="141"/>
      <c r="N874" s="141"/>
      <c r="O874" s="141"/>
      <c r="P874" s="141"/>
      <c r="Q874" s="141"/>
      <c r="R874" s="141"/>
      <c r="S874" s="141"/>
      <c r="T874" s="238"/>
      <c r="U874"/>
      <c r="V874"/>
      <c r="W874"/>
      <c r="X874"/>
      <c r="Y874"/>
    </row>
    <row r="875" spans="1:25" ht="16.5" customHeight="1">
      <c r="A875" s="140">
        <v>867</v>
      </c>
      <c r="B875" s="141"/>
      <c r="C875" s="141"/>
      <c r="D875" s="141"/>
      <c r="E875" s="141"/>
      <c r="F875" s="141"/>
      <c r="G875" s="1162"/>
      <c r="H875" s="1162"/>
      <c r="I875" s="141"/>
      <c r="J875" s="141"/>
      <c r="K875" s="141"/>
      <c r="L875" s="141"/>
      <c r="M875" s="141"/>
      <c r="N875" s="141"/>
      <c r="O875" s="141"/>
      <c r="P875" s="141"/>
      <c r="Q875" s="141"/>
      <c r="R875" s="141"/>
      <c r="S875" s="141"/>
      <c r="T875" s="238"/>
      <c r="U875"/>
      <c r="V875"/>
      <c r="W875"/>
      <c r="X875"/>
      <c r="Y875"/>
    </row>
    <row r="876" spans="1:25" ht="16.5" customHeight="1">
      <c r="A876" s="140">
        <v>868</v>
      </c>
      <c r="B876" s="141"/>
      <c r="C876" s="141"/>
      <c r="D876" s="141"/>
      <c r="E876" s="141"/>
      <c r="F876" s="141"/>
      <c r="G876" s="1162"/>
      <c r="H876" s="1162"/>
      <c r="I876" s="141"/>
      <c r="J876" s="141"/>
      <c r="K876" s="141"/>
      <c r="L876" s="141"/>
      <c r="M876" s="141"/>
      <c r="N876" s="141"/>
      <c r="O876" s="141"/>
      <c r="P876" s="141"/>
      <c r="Q876" s="141"/>
      <c r="R876" s="141"/>
      <c r="S876" s="141"/>
      <c r="T876" s="238"/>
      <c r="U876"/>
      <c r="V876"/>
      <c r="W876"/>
      <c r="X876"/>
      <c r="Y876"/>
    </row>
    <row r="877" spans="1:25" ht="16.5" customHeight="1">
      <c r="A877" s="140">
        <v>869</v>
      </c>
      <c r="B877" s="141"/>
      <c r="C877" s="141"/>
      <c r="D877" s="141"/>
      <c r="E877" s="141"/>
      <c r="F877" s="141"/>
      <c r="G877" s="1162"/>
      <c r="H877" s="1162"/>
      <c r="I877" s="141"/>
      <c r="J877" s="141"/>
      <c r="K877" s="141"/>
      <c r="L877" s="141"/>
      <c r="M877" s="141"/>
      <c r="N877" s="141"/>
      <c r="O877" s="141"/>
      <c r="P877" s="141"/>
      <c r="Q877" s="141"/>
      <c r="R877" s="141"/>
      <c r="S877" s="141"/>
      <c r="T877" s="238"/>
      <c r="U877"/>
      <c r="V877"/>
      <c r="W877"/>
      <c r="X877"/>
      <c r="Y877"/>
    </row>
    <row r="878" spans="1:25" ht="16.5" customHeight="1">
      <c r="A878" s="140">
        <v>870</v>
      </c>
      <c r="B878" s="141"/>
      <c r="C878" s="141"/>
      <c r="D878" s="141"/>
      <c r="E878" s="141"/>
      <c r="F878" s="141"/>
      <c r="G878" s="1162"/>
      <c r="H878" s="1162"/>
      <c r="I878" s="141"/>
      <c r="J878" s="141"/>
      <c r="K878" s="141"/>
      <c r="L878" s="141"/>
      <c r="M878" s="141"/>
      <c r="N878" s="141"/>
      <c r="O878" s="141"/>
      <c r="P878" s="141"/>
      <c r="Q878" s="141"/>
      <c r="R878" s="141"/>
      <c r="S878" s="141"/>
      <c r="T878" s="238"/>
      <c r="U878"/>
      <c r="V878"/>
      <c r="W878"/>
      <c r="X878"/>
      <c r="Y878"/>
    </row>
    <row r="879" spans="1:25" ht="16.5" customHeight="1">
      <c r="A879" s="140">
        <v>871</v>
      </c>
      <c r="B879" s="141"/>
      <c r="C879" s="141"/>
      <c r="D879" s="141"/>
      <c r="E879" s="141"/>
      <c r="F879" s="141"/>
      <c r="G879" s="1162"/>
      <c r="H879" s="1162"/>
      <c r="I879" s="141"/>
      <c r="J879" s="141"/>
      <c r="K879" s="141"/>
      <c r="L879" s="141"/>
      <c r="M879" s="141"/>
      <c r="N879" s="141"/>
      <c r="O879" s="141"/>
      <c r="P879" s="141"/>
      <c r="Q879" s="141"/>
      <c r="R879" s="141"/>
      <c r="S879" s="141"/>
      <c r="T879" s="238"/>
      <c r="U879"/>
      <c r="V879"/>
      <c r="W879"/>
      <c r="X879"/>
      <c r="Y879"/>
    </row>
    <row r="880" spans="1:25" ht="16.5" customHeight="1">
      <c r="A880" s="140">
        <v>872</v>
      </c>
      <c r="B880" s="141"/>
      <c r="C880" s="141"/>
      <c r="D880" s="141"/>
      <c r="E880" s="141"/>
      <c r="F880" s="141"/>
      <c r="G880" s="1162"/>
      <c r="H880" s="1162"/>
      <c r="I880" s="141"/>
      <c r="J880" s="141"/>
      <c r="K880" s="141"/>
      <c r="L880" s="141"/>
      <c r="M880" s="141"/>
      <c r="N880" s="141"/>
      <c r="O880" s="141"/>
      <c r="P880" s="141"/>
      <c r="Q880" s="141"/>
      <c r="R880" s="141"/>
      <c r="S880" s="141"/>
      <c r="T880" s="238"/>
      <c r="U880"/>
      <c r="V880"/>
      <c r="W880"/>
      <c r="X880"/>
      <c r="Y880"/>
    </row>
    <row r="881" spans="1:25" ht="15.75">
      <c r="A881" s="140">
        <v>873</v>
      </c>
      <c r="B881" s="141"/>
      <c r="C881" s="141"/>
      <c r="D881" s="141"/>
      <c r="E881" s="141"/>
      <c r="F881" s="141"/>
      <c r="G881" s="141"/>
      <c r="H881" s="141"/>
      <c r="I881" s="141"/>
      <c r="J881" s="141"/>
      <c r="K881" s="141"/>
      <c r="L881" s="141"/>
      <c r="M881" s="141"/>
      <c r="N881" s="141"/>
      <c r="O881" s="141"/>
      <c r="P881" s="141"/>
      <c r="Q881" s="141"/>
      <c r="R881" s="141"/>
      <c r="S881" s="141"/>
      <c r="T881" s="238"/>
      <c r="U881"/>
      <c r="V881"/>
      <c r="W881"/>
      <c r="X881"/>
      <c r="Y881"/>
    </row>
    <row r="882" spans="1:25" ht="15.75">
      <c r="A882" s="140">
        <v>874</v>
      </c>
      <c r="B882" s="141"/>
      <c r="C882" s="141"/>
      <c r="D882" s="141"/>
      <c r="E882" s="141"/>
      <c r="F882" s="141"/>
      <c r="G882" s="141"/>
      <c r="H882" s="141"/>
      <c r="I882" s="141"/>
      <c r="J882" s="141"/>
      <c r="K882" s="141"/>
      <c r="L882" s="141"/>
      <c r="M882" s="141"/>
      <c r="N882" s="141"/>
      <c r="O882" s="141"/>
      <c r="P882" s="141"/>
      <c r="Q882" s="141"/>
      <c r="R882" s="141"/>
      <c r="S882" s="141"/>
      <c r="T882" s="238"/>
      <c r="U882"/>
      <c r="V882"/>
      <c r="W882"/>
      <c r="X882"/>
      <c r="Y882"/>
    </row>
    <row r="883" spans="1:25" ht="15.75">
      <c r="A883" s="140">
        <v>875</v>
      </c>
      <c r="B883" s="141"/>
      <c r="C883" s="141"/>
      <c r="D883" s="141"/>
      <c r="E883" s="141"/>
      <c r="F883" s="141"/>
      <c r="G883" s="141"/>
      <c r="H883" s="141"/>
      <c r="I883" s="141"/>
      <c r="J883" s="141"/>
      <c r="K883" s="141"/>
      <c r="L883" s="141"/>
      <c r="M883" s="141"/>
      <c r="N883" s="141"/>
      <c r="O883" s="141"/>
      <c r="P883" s="141"/>
      <c r="Q883" s="141"/>
      <c r="R883" s="141"/>
      <c r="S883" s="141"/>
      <c r="T883" s="238"/>
      <c r="U883"/>
      <c r="V883"/>
      <c r="W883"/>
      <c r="X883"/>
      <c r="Y883"/>
    </row>
    <row r="884" spans="1:25" ht="15.75">
      <c r="A884" s="140">
        <v>876</v>
      </c>
      <c r="B884" s="141"/>
      <c r="C884" s="141"/>
      <c r="D884" s="141"/>
      <c r="E884" s="141"/>
      <c r="F884" s="141"/>
      <c r="G884" s="141"/>
      <c r="H884" s="141"/>
      <c r="I884" s="141"/>
      <c r="J884" s="141"/>
      <c r="K884" s="141"/>
      <c r="L884" s="141"/>
      <c r="M884" s="141"/>
      <c r="N884" s="141"/>
      <c r="O884" s="141"/>
      <c r="P884" s="141"/>
      <c r="Q884" s="141"/>
      <c r="R884" s="141"/>
      <c r="S884" s="141"/>
      <c r="T884" s="238"/>
      <c r="U884"/>
      <c r="V884"/>
      <c r="W884"/>
      <c r="X884"/>
      <c r="Y884"/>
    </row>
    <row r="885" spans="1:25" ht="15.75">
      <c r="A885" s="140">
        <v>877</v>
      </c>
      <c r="B885" s="141"/>
      <c r="C885" s="141"/>
      <c r="D885" s="141"/>
      <c r="E885" s="141"/>
      <c r="F885" s="141"/>
      <c r="G885" s="141"/>
      <c r="H885" s="141"/>
      <c r="I885" s="141"/>
      <c r="J885" s="141"/>
      <c r="K885" s="141"/>
      <c r="L885" s="141"/>
      <c r="M885" s="141"/>
      <c r="N885" s="141"/>
      <c r="O885" s="141"/>
      <c r="P885" s="141"/>
      <c r="Q885" s="141"/>
      <c r="R885" s="141"/>
      <c r="S885" s="141"/>
      <c r="T885" s="238"/>
      <c r="U885"/>
      <c r="V885"/>
      <c r="W885"/>
      <c r="X885"/>
      <c r="Y885"/>
    </row>
    <row r="886" spans="1:25" ht="15.75">
      <c r="A886" s="140">
        <v>878</v>
      </c>
      <c r="B886" s="141"/>
      <c r="C886" s="757"/>
      <c r="D886" s="821"/>
      <c r="E886" s="278"/>
      <c r="F886" s="832"/>
      <c r="G886" s="275"/>
      <c r="H886" s="241"/>
      <c r="I886" s="276"/>
      <c r="J886" s="237"/>
      <c r="K886" s="237"/>
      <c r="L886" s="145"/>
      <c r="M886" s="753"/>
      <c r="N886" s="238"/>
      <c r="O886" s="238"/>
      <c r="P886" s="238"/>
      <c r="Q886" s="238"/>
      <c r="R886" s="238"/>
      <c r="S886" s="238"/>
      <c r="T886" s="238"/>
      <c r="U886"/>
      <c r="V886"/>
      <c r="W886"/>
      <c r="X886"/>
      <c r="Y886"/>
    </row>
    <row r="887" spans="1:25" ht="15.75">
      <c r="A887" s="140">
        <v>879</v>
      </c>
      <c r="B887" s="141"/>
      <c r="C887" s="757"/>
      <c r="D887" s="821"/>
      <c r="E887" s="278"/>
      <c r="F887" s="832"/>
      <c r="G887" s="275"/>
      <c r="H887" s="241"/>
      <c r="I887" s="276"/>
      <c r="J887" s="237"/>
      <c r="K887" s="237"/>
      <c r="L887" s="145"/>
      <c r="M887" s="753"/>
      <c r="N887" s="238"/>
      <c r="O887" s="238"/>
      <c r="P887" s="238"/>
      <c r="Q887" s="238"/>
      <c r="R887" s="238"/>
      <c r="S887" s="238"/>
      <c r="T887" s="238"/>
      <c r="U887"/>
      <c r="V887"/>
      <c r="W887"/>
      <c r="X887"/>
      <c r="Y887"/>
    </row>
    <row r="888" spans="1:25" ht="15.75">
      <c r="A888" s="140">
        <v>880</v>
      </c>
      <c r="B888" s="141"/>
      <c r="C888" s="757"/>
      <c r="D888" s="821"/>
      <c r="E888" s="278"/>
      <c r="F888" s="832"/>
      <c r="G888" s="275"/>
      <c r="H888" s="241"/>
      <c r="I888" s="276"/>
      <c r="J888" s="237"/>
      <c r="K888" s="237"/>
      <c r="L888" s="145"/>
      <c r="M888" s="753"/>
      <c r="N888" s="238"/>
      <c r="O888" s="238"/>
      <c r="P888" s="238"/>
      <c r="Q888" s="238"/>
      <c r="R888" s="238"/>
      <c r="S888" s="238"/>
      <c r="T888" s="238"/>
      <c r="U888"/>
      <c r="V888"/>
      <c r="W888"/>
      <c r="X888"/>
      <c r="Y888"/>
    </row>
    <row r="889" spans="1:25" ht="15.75">
      <c r="A889" s="140">
        <v>881</v>
      </c>
      <c r="B889" s="141"/>
      <c r="C889" s="757"/>
      <c r="D889" s="821"/>
      <c r="E889" s="278"/>
      <c r="F889" s="832"/>
      <c r="G889" s="275"/>
      <c r="H889" s="241"/>
      <c r="I889" s="276"/>
      <c r="J889" s="237"/>
      <c r="K889" s="237"/>
      <c r="L889" s="145"/>
      <c r="M889" s="753"/>
      <c r="N889" s="238"/>
      <c r="O889" s="238"/>
      <c r="P889" s="238"/>
      <c r="Q889" s="238"/>
      <c r="R889" s="238"/>
      <c r="S889" s="238"/>
      <c r="T889" s="238"/>
      <c r="U889"/>
      <c r="V889"/>
      <c r="W889"/>
      <c r="X889"/>
      <c r="Y889"/>
    </row>
    <row r="890" spans="1:25" ht="15.75">
      <c r="A890" s="140">
        <v>882</v>
      </c>
      <c r="B890" s="141"/>
      <c r="C890" s="757"/>
      <c r="D890" s="821"/>
      <c r="E890" s="278"/>
      <c r="F890" s="248"/>
      <c r="G890" s="275"/>
      <c r="H890" s="241"/>
      <c r="I890" s="276"/>
      <c r="J890" s="237"/>
      <c r="K890" s="237"/>
      <c r="L890" s="145"/>
      <c r="M890" s="753"/>
      <c r="N890" s="238"/>
      <c r="O890" s="238"/>
      <c r="P890" s="238"/>
      <c r="Q890" s="238"/>
      <c r="R890" s="238"/>
      <c r="S890" s="238"/>
      <c r="T890" s="238"/>
      <c r="U890"/>
      <c r="V890"/>
      <c r="W890"/>
      <c r="X890"/>
      <c r="Y890"/>
    </row>
    <row r="891" spans="1:25" ht="15.75">
      <c r="A891" s="140">
        <v>883</v>
      </c>
      <c r="B891" s="141"/>
      <c r="C891" s="757"/>
      <c r="D891" s="821"/>
      <c r="E891" s="278"/>
      <c r="F891" s="248"/>
      <c r="G891" s="275"/>
      <c r="H891" s="241"/>
      <c r="I891" s="276"/>
      <c r="J891" s="237"/>
      <c r="K891" s="237"/>
      <c r="L891" s="145"/>
      <c r="M891" s="753"/>
      <c r="N891" s="238"/>
      <c r="O891" s="238"/>
      <c r="P891" s="238"/>
      <c r="Q891" s="238"/>
      <c r="R891" s="238"/>
      <c r="S891" s="238"/>
      <c r="T891" s="238"/>
      <c r="U891"/>
      <c r="V891"/>
      <c r="W891"/>
      <c r="X891"/>
      <c r="Y891"/>
    </row>
    <row r="892" spans="1:25" ht="15.75">
      <c r="A892" s="140">
        <v>884</v>
      </c>
      <c r="B892" s="141"/>
      <c r="C892" s="757"/>
      <c r="D892" s="821"/>
      <c r="E892" s="278"/>
      <c r="F892" s="248"/>
      <c r="G892" s="275"/>
      <c r="H892" s="241"/>
      <c r="I892" s="276"/>
      <c r="J892" s="237"/>
      <c r="K892" s="237"/>
      <c r="L892" s="145"/>
      <c r="M892" s="753"/>
      <c r="N892" s="238"/>
      <c r="O892" s="238"/>
      <c r="P892" s="238"/>
      <c r="Q892" s="238"/>
      <c r="R892" s="238"/>
      <c r="S892" s="238"/>
      <c r="T892" s="238"/>
      <c r="U892"/>
      <c r="V892"/>
      <c r="W892"/>
      <c r="X892"/>
      <c r="Y892"/>
    </row>
    <row r="893" spans="1:25" ht="15.75">
      <c r="A893" s="140">
        <v>885</v>
      </c>
      <c r="B893" s="141"/>
      <c r="C893" s="757"/>
      <c r="D893" s="821"/>
      <c r="E893" s="278"/>
      <c r="F893" s="278"/>
      <c r="G893" s="275"/>
      <c r="H893" s="241"/>
      <c r="I893" s="276"/>
      <c r="J893" s="237"/>
      <c r="K893" s="237"/>
      <c r="L893" s="145"/>
      <c r="M893" s="753"/>
      <c r="N893" s="238"/>
      <c r="O893" s="238"/>
      <c r="P893" s="238"/>
      <c r="Q893" s="238"/>
      <c r="R893" s="238"/>
      <c r="S893" s="238"/>
      <c r="T893" s="238"/>
      <c r="U893"/>
      <c r="V893"/>
      <c r="W893"/>
      <c r="X893"/>
      <c r="Y893"/>
    </row>
    <row r="894" spans="1:25" ht="15.75">
      <c r="A894" s="140">
        <v>886</v>
      </c>
      <c r="B894" s="141"/>
      <c r="C894" s="757"/>
      <c r="D894" s="821"/>
      <c r="E894" s="278"/>
      <c r="F894" s="278"/>
      <c r="G894" s="275"/>
      <c r="H894" s="241"/>
      <c r="I894" s="276"/>
      <c r="J894" s="237"/>
      <c r="K894" s="237"/>
      <c r="L894" s="145"/>
      <c r="M894" s="753"/>
      <c r="N894" s="238"/>
      <c r="O894" s="238"/>
      <c r="P894" s="238"/>
      <c r="Q894" s="238"/>
      <c r="R894" s="238"/>
      <c r="S894" s="238"/>
      <c r="T894" s="238"/>
      <c r="U894"/>
      <c r="V894"/>
      <c r="W894"/>
      <c r="X894"/>
      <c r="Y894"/>
    </row>
    <row r="895" spans="1:25" ht="15.75">
      <c r="A895" s="140">
        <v>887</v>
      </c>
      <c r="B895" s="141"/>
      <c r="C895" s="757"/>
      <c r="D895" s="821"/>
      <c r="E895" s="278"/>
      <c r="F895" s="278"/>
      <c r="G895" s="275"/>
      <c r="H895" s="241"/>
      <c r="I895" s="276"/>
      <c r="J895" s="237"/>
      <c r="K895" s="237"/>
      <c r="L895" s="145"/>
      <c r="M895" s="753"/>
      <c r="N895" s="238"/>
      <c r="O895" s="238"/>
      <c r="P895" s="238"/>
      <c r="Q895" s="238"/>
      <c r="R895" s="238"/>
      <c r="S895" s="238"/>
      <c r="T895" s="238"/>
      <c r="U895"/>
      <c r="V895"/>
      <c r="W895"/>
      <c r="X895"/>
      <c r="Y895"/>
    </row>
    <row r="896" spans="1:25" ht="15.75">
      <c r="A896" s="140">
        <v>888</v>
      </c>
      <c r="B896" s="141"/>
      <c r="C896" s="757"/>
      <c r="D896" s="821"/>
      <c r="E896" s="278"/>
      <c r="F896" s="278"/>
      <c r="G896" s="275"/>
      <c r="H896" s="241"/>
      <c r="I896" s="276"/>
      <c r="J896" s="237"/>
      <c r="K896" s="237"/>
      <c r="L896" s="145"/>
      <c r="M896" s="753"/>
      <c r="N896" s="238"/>
      <c r="O896" s="238"/>
      <c r="P896" s="238"/>
      <c r="Q896" s="238"/>
      <c r="R896" s="238"/>
      <c r="S896" s="238"/>
      <c r="T896" s="238"/>
      <c r="U896"/>
      <c r="V896"/>
      <c r="W896"/>
      <c r="X896"/>
      <c r="Y896"/>
    </row>
    <row r="897" spans="1:25" ht="15.75">
      <c r="A897" s="140">
        <v>889</v>
      </c>
      <c r="B897" s="141"/>
      <c r="C897" s="757"/>
      <c r="D897" s="821"/>
      <c r="E897" s="278"/>
      <c r="F897" s="278"/>
      <c r="G897" s="275"/>
      <c r="H897" s="241"/>
      <c r="I897" s="276"/>
      <c r="J897" s="237"/>
      <c r="K897" s="237"/>
      <c r="L897" s="145"/>
      <c r="M897" s="753"/>
      <c r="N897" s="238"/>
      <c r="O897" s="238"/>
      <c r="P897" s="238"/>
      <c r="Q897" s="238"/>
      <c r="R897" s="238"/>
      <c r="S897" s="238"/>
      <c r="T897" s="238"/>
      <c r="U897"/>
      <c r="V897"/>
      <c r="W897"/>
      <c r="X897"/>
      <c r="Y897"/>
    </row>
    <row r="898" spans="1:25" ht="15.75">
      <c r="A898" s="140">
        <v>890</v>
      </c>
      <c r="B898" s="141"/>
      <c r="C898" s="757"/>
      <c r="D898" s="821"/>
      <c r="E898" s="278"/>
      <c r="F898" s="278"/>
      <c r="G898" s="275"/>
      <c r="H898" s="241"/>
      <c r="I898" s="276"/>
      <c r="J898" s="237"/>
      <c r="K898" s="237"/>
      <c r="L898" s="145"/>
      <c r="M898" s="753"/>
      <c r="N898" s="238"/>
      <c r="O898" s="238"/>
      <c r="P898" s="238"/>
      <c r="Q898" s="238"/>
      <c r="R898" s="238"/>
      <c r="S898" s="238"/>
      <c r="T898" s="238"/>
      <c r="U898"/>
      <c r="V898"/>
      <c r="W898"/>
      <c r="X898"/>
      <c r="Y898"/>
    </row>
    <row r="899" spans="1:25" ht="15.75">
      <c r="A899" s="140">
        <v>891</v>
      </c>
      <c r="B899" s="141"/>
      <c r="C899" s="757"/>
      <c r="D899" s="821"/>
      <c r="E899" s="278"/>
      <c r="F899" s="278"/>
      <c r="G899" s="275"/>
      <c r="H899" s="241"/>
      <c r="I899" s="276"/>
      <c r="J899" s="237"/>
      <c r="K899" s="237"/>
      <c r="L899" s="145"/>
      <c r="M899" s="753"/>
      <c r="N899" s="238"/>
      <c r="O899" s="238"/>
      <c r="P899" s="238"/>
      <c r="Q899" s="238"/>
      <c r="R899" s="238"/>
      <c r="S899" s="238"/>
      <c r="T899" s="238"/>
      <c r="U899"/>
      <c r="V899"/>
      <c r="W899"/>
      <c r="X899"/>
      <c r="Y899"/>
    </row>
    <row r="900" spans="1:25" ht="15.75">
      <c r="A900" s="140">
        <v>892</v>
      </c>
      <c r="B900" s="141"/>
      <c r="C900" s="757"/>
      <c r="D900" s="821"/>
      <c r="E900" s="278"/>
      <c r="F900" s="278"/>
      <c r="G900" s="275"/>
      <c r="H900" s="241"/>
      <c r="I900" s="276"/>
      <c r="J900" s="237"/>
      <c r="K900" s="237"/>
      <c r="L900" s="145"/>
      <c r="M900" s="753"/>
      <c r="N900" s="238"/>
      <c r="O900" s="238"/>
      <c r="P900" s="238"/>
      <c r="Q900" s="238"/>
      <c r="R900" s="238"/>
      <c r="S900" s="238"/>
      <c r="T900" s="238"/>
      <c r="U900"/>
      <c r="V900"/>
      <c r="W900"/>
      <c r="X900"/>
      <c r="Y900"/>
    </row>
    <row r="901" spans="1:25" ht="15.75">
      <c r="A901" s="140">
        <v>893</v>
      </c>
      <c r="B901" s="141"/>
      <c r="C901" s="757"/>
      <c r="D901" s="821"/>
      <c r="E901" s="278"/>
      <c r="F901" s="278"/>
      <c r="G901" s="275"/>
      <c r="H901" s="241"/>
      <c r="I901" s="276"/>
      <c r="J901" s="237"/>
      <c r="K901" s="237"/>
      <c r="L901" s="145"/>
      <c r="M901" s="753"/>
      <c r="N901" s="238"/>
      <c r="O901" s="238"/>
      <c r="P901" s="238"/>
      <c r="Q901" s="238"/>
      <c r="R901" s="238"/>
      <c r="S901" s="238"/>
      <c r="T901" s="238"/>
      <c r="U901"/>
      <c r="V901"/>
      <c r="W901"/>
      <c r="X901"/>
      <c r="Y901"/>
    </row>
    <row r="902" spans="1:25" ht="15.75">
      <c r="A902" s="140">
        <v>894</v>
      </c>
      <c r="B902" s="141"/>
      <c r="C902" s="757"/>
      <c r="D902" s="821"/>
      <c r="E902" s="278"/>
      <c r="F902" s="278"/>
      <c r="G902" s="275"/>
      <c r="H902" s="241"/>
      <c r="I902" s="276"/>
      <c r="J902" s="237"/>
      <c r="K902" s="237"/>
      <c r="L902" s="145"/>
      <c r="M902" s="753"/>
      <c r="N902" s="238"/>
      <c r="O902" s="238"/>
      <c r="P902" s="238"/>
      <c r="Q902" s="238"/>
      <c r="R902" s="238"/>
      <c r="S902" s="238"/>
      <c r="T902" s="238"/>
      <c r="U902"/>
      <c r="V902"/>
      <c r="W902"/>
      <c r="X902"/>
      <c r="Y902"/>
    </row>
    <row r="903" spans="1:25" ht="16.5">
      <c r="A903" s="140">
        <v>895</v>
      </c>
      <c r="B903" s="141"/>
      <c r="C903" s="813"/>
      <c r="D903" s="814"/>
      <c r="E903" s="278"/>
      <c r="F903" s="816"/>
      <c r="G903" s="275"/>
      <c r="H903" s="241"/>
      <c r="I903" s="276"/>
      <c r="J903" s="237"/>
      <c r="K903" s="237"/>
      <c r="L903" s="145"/>
      <c r="M903" s="753"/>
      <c r="N903" s="238"/>
      <c r="O903" s="238"/>
      <c r="P903" s="238"/>
      <c r="Q903" s="238"/>
      <c r="R903" s="238"/>
      <c r="S903" s="238"/>
      <c r="T903" s="238"/>
      <c r="U903"/>
      <c r="V903"/>
      <c r="W903"/>
      <c r="X903"/>
      <c r="Y903"/>
    </row>
    <row r="904" spans="1:25" ht="16.5">
      <c r="A904" s="140">
        <v>896</v>
      </c>
      <c r="B904" s="141"/>
      <c r="C904" s="813"/>
      <c r="D904" s="814"/>
      <c r="E904" s="278"/>
      <c r="F904" s="816"/>
      <c r="G904" s="275"/>
      <c r="H904" s="241"/>
      <c r="I904" s="276"/>
      <c r="J904" s="237"/>
      <c r="K904" s="237"/>
      <c r="L904" s="145"/>
      <c r="M904" s="753"/>
      <c r="N904" s="238"/>
      <c r="O904" s="238"/>
      <c r="P904" s="238"/>
      <c r="Q904" s="238"/>
      <c r="R904" s="238"/>
      <c r="S904" s="238"/>
      <c r="T904" s="238"/>
      <c r="U904"/>
      <c r="V904"/>
      <c r="W904"/>
      <c r="X904"/>
      <c r="Y904"/>
    </row>
    <row r="905" spans="1:25" ht="16.5">
      <c r="A905" s="140">
        <v>897</v>
      </c>
      <c r="B905" s="141"/>
      <c r="C905" s="813"/>
      <c r="D905" s="814"/>
      <c r="E905" s="278"/>
      <c r="F905" s="816"/>
      <c r="G905" s="275"/>
      <c r="H905" s="241"/>
      <c r="I905" s="276"/>
      <c r="J905" s="237"/>
      <c r="K905" s="237"/>
      <c r="L905" s="145"/>
      <c r="M905" s="753"/>
      <c r="N905" s="238"/>
      <c r="O905" s="238"/>
      <c r="P905" s="238"/>
      <c r="Q905" s="238"/>
      <c r="R905" s="238"/>
      <c r="S905" s="238"/>
      <c r="T905" s="238"/>
      <c r="U905"/>
      <c r="V905"/>
      <c r="W905"/>
      <c r="X905"/>
      <c r="Y905"/>
    </row>
    <row r="906" spans="1:25" ht="16.5">
      <c r="A906" s="140">
        <v>898</v>
      </c>
      <c r="B906" s="141"/>
      <c r="C906" s="813"/>
      <c r="D906" s="814"/>
      <c r="E906" s="278"/>
      <c r="F906" s="816"/>
      <c r="G906" s="275"/>
      <c r="H906" s="241"/>
      <c r="I906" s="276"/>
      <c r="J906" s="237"/>
      <c r="K906" s="237"/>
      <c r="L906" s="145"/>
      <c r="M906" s="753"/>
      <c r="N906" s="238"/>
      <c r="O906" s="238"/>
      <c r="P906" s="238"/>
      <c r="Q906" s="238"/>
      <c r="R906" s="238"/>
      <c r="S906" s="238"/>
      <c r="T906" s="238"/>
      <c r="U906"/>
      <c r="V906"/>
      <c r="W906"/>
      <c r="X906"/>
      <c r="Y906"/>
    </row>
    <row r="907" spans="1:25" ht="16.5">
      <c r="A907" s="140">
        <v>899</v>
      </c>
      <c r="B907" s="141"/>
      <c r="C907" s="813"/>
      <c r="D907" s="814"/>
      <c r="E907" s="278"/>
      <c r="F907" s="816"/>
      <c r="G907" s="276"/>
      <c r="H907" s="241"/>
      <c r="I907" s="276"/>
      <c r="J907" s="248"/>
      <c r="K907" s="248"/>
      <c r="L907" s="269"/>
      <c r="M907" s="753"/>
      <c r="N907" s="238"/>
      <c r="O907" s="238"/>
      <c r="P907" s="238"/>
      <c r="Q907" s="238"/>
      <c r="R907" s="238"/>
      <c r="S907" s="238"/>
      <c r="T907" s="238"/>
      <c r="U907"/>
      <c r="V907"/>
      <c r="W907"/>
      <c r="X907"/>
      <c r="Y907"/>
    </row>
    <row r="908" spans="1:25" ht="16.5">
      <c r="A908" s="140">
        <v>900</v>
      </c>
      <c r="B908" s="141"/>
      <c r="C908" s="813"/>
      <c r="D908" s="814"/>
      <c r="E908" s="278"/>
      <c r="F908" s="816"/>
      <c r="G908" s="276"/>
      <c r="H908" s="241"/>
      <c r="I908" s="276"/>
      <c r="J908" s="237"/>
      <c r="K908" s="237"/>
      <c r="L908" s="145"/>
      <c r="M908" s="753"/>
      <c r="N908" s="238"/>
      <c r="O908" s="238"/>
      <c r="P908" s="238"/>
      <c r="Q908" s="238"/>
      <c r="R908" s="238"/>
      <c r="S908" s="238"/>
      <c r="T908" s="238"/>
      <c r="U908"/>
      <c r="V908"/>
      <c r="W908"/>
      <c r="X908"/>
      <c r="Y908"/>
    </row>
    <row r="909" spans="1:25" ht="16.5">
      <c r="A909" s="140">
        <v>901</v>
      </c>
      <c r="B909" s="141"/>
      <c r="C909" s="813"/>
      <c r="D909" s="814"/>
      <c r="E909" s="278"/>
      <c r="F909" s="816"/>
      <c r="G909" s="276"/>
      <c r="H909" s="241"/>
      <c r="I909" s="276"/>
      <c r="J909" s="237"/>
      <c r="K909" s="237"/>
      <c r="L909" s="145"/>
      <c r="M909" s="753"/>
      <c r="N909" s="238"/>
      <c r="O909" s="238"/>
      <c r="P909" s="238"/>
      <c r="Q909" s="238"/>
      <c r="R909" s="238"/>
      <c r="S909" s="238"/>
      <c r="T909" s="238"/>
      <c r="U909"/>
      <c r="V909"/>
      <c r="W909"/>
      <c r="X909"/>
      <c r="Y909"/>
    </row>
    <row r="910" spans="1:25" ht="16.5">
      <c r="A910" s="140">
        <v>902</v>
      </c>
      <c r="B910" s="141"/>
      <c r="C910" s="813"/>
      <c r="D910" s="814"/>
      <c r="E910" s="278"/>
      <c r="F910" s="816"/>
      <c r="G910" s="276"/>
      <c r="H910" s="242"/>
      <c r="I910" s="276"/>
      <c r="J910" s="237"/>
      <c r="K910" s="237"/>
      <c r="L910" s="145"/>
      <c r="M910" s="753"/>
      <c r="N910" s="238"/>
      <c r="O910" s="238"/>
      <c r="P910" s="238"/>
      <c r="Q910" s="238"/>
      <c r="R910" s="238"/>
      <c r="S910" s="238"/>
      <c r="T910" s="238"/>
      <c r="U910"/>
      <c r="V910"/>
      <c r="W910"/>
      <c r="X910"/>
      <c r="Y910"/>
    </row>
    <row r="911" spans="1:25" ht="16.5">
      <c r="A911" s="140">
        <v>903</v>
      </c>
      <c r="B911" s="141"/>
      <c r="C911" s="813"/>
      <c r="D911" s="814"/>
      <c r="E911" s="278"/>
      <c r="F911" s="816"/>
      <c r="G911" s="276"/>
      <c r="H911" s="241"/>
      <c r="I911" s="276"/>
      <c r="J911" s="237"/>
      <c r="K911" s="237"/>
      <c r="L911" s="145"/>
      <c r="M911" s="753"/>
      <c r="N911" s="238"/>
      <c r="O911" s="238"/>
      <c r="P911" s="238"/>
      <c r="Q911" s="238"/>
      <c r="R911" s="238"/>
      <c r="S911" s="238"/>
      <c r="T911" s="238"/>
      <c r="U911"/>
      <c r="V911"/>
      <c r="W911"/>
      <c r="X911"/>
      <c r="Y911"/>
    </row>
    <row r="912" spans="1:25" ht="16.5">
      <c r="A912" s="140">
        <v>904</v>
      </c>
      <c r="B912" s="141"/>
      <c r="C912" s="813"/>
      <c r="D912" s="814"/>
      <c r="E912" s="278"/>
      <c r="F912" s="816"/>
      <c r="G912" s="276"/>
      <c r="H912" s="241"/>
      <c r="I912" s="276"/>
      <c r="J912" s="237"/>
      <c r="K912" s="237"/>
      <c r="L912" s="145"/>
      <c r="M912" s="753"/>
      <c r="N912" s="238"/>
      <c r="O912" s="238"/>
      <c r="P912" s="238"/>
      <c r="Q912" s="238"/>
      <c r="R912" s="238"/>
      <c r="S912" s="238"/>
      <c r="T912" s="238"/>
      <c r="U912"/>
      <c r="V912"/>
      <c r="W912"/>
      <c r="X912"/>
      <c r="Y912"/>
    </row>
    <row r="913" spans="1:25" ht="16.5">
      <c r="A913" s="140">
        <v>905</v>
      </c>
      <c r="B913" s="141"/>
      <c r="C913" s="813"/>
      <c r="D913" s="814"/>
      <c r="E913" s="278"/>
      <c r="F913" s="816"/>
      <c r="G913" s="276"/>
      <c r="H913" s="241"/>
      <c r="I913" s="276"/>
      <c r="J913" s="237"/>
      <c r="K913" s="237"/>
      <c r="L913" s="145"/>
      <c r="M913" s="753"/>
      <c r="N913" s="238"/>
      <c r="O913" s="238"/>
      <c r="P913" s="238"/>
      <c r="Q913" s="238"/>
      <c r="R913" s="238"/>
      <c r="S913" s="238"/>
      <c r="T913" s="238"/>
      <c r="U913"/>
      <c r="V913"/>
      <c r="W913"/>
      <c r="X913"/>
      <c r="Y913"/>
    </row>
    <row r="914" spans="1:25" ht="16.5">
      <c r="A914" s="140">
        <v>906</v>
      </c>
      <c r="B914" s="141"/>
      <c r="C914" s="813"/>
      <c r="D914" s="814"/>
      <c r="E914" s="278"/>
      <c r="F914" s="816"/>
      <c r="G914" s="276"/>
      <c r="H914" s="241"/>
      <c r="I914" s="276"/>
      <c r="J914" s="237"/>
      <c r="K914" s="235"/>
      <c r="L914" s="236"/>
      <c r="M914" s="753"/>
      <c r="N914" s="238"/>
      <c r="O914" s="238"/>
      <c r="P914" s="238"/>
      <c r="Q914" s="238"/>
      <c r="R914" s="238"/>
      <c r="S914" s="238"/>
      <c r="T914" s="238"/>
      <c r="U914"/>
      <c r="V914"/>
      <c r="W914"/>
      <c r="X914"/>
      <c r="Y914"/>
    </row>
    <row r="915" spans="1:25" ht="15.75">
      <c r="A915" s="140">
        <v>907</v>
      </c>
      <c r="B915" s="141"/>
      <c r="C915" s="719"/>
      <c r="D915" s="719"/>
      <c r="E915" s="278"/>
      <c r="F915" s="262"/>
      <c r="G915" s="276"/>
      <c r="H915" s="240"/>
      <c r="I915" s="276"/>
      <c r="J915" s="237"/>
      <c r="K915" s="237"/>
      <c r="L915" s="145"/>
      <c r="M915" s="753"/>
      <c r="N915" s="238"/>
      <c r="O915" s="238"/>
      <c r="P915" s="238"/>
      <c r="Q915" s="238"/>
      <c r="R915" s="238"/>
      <c r="S915" s="238"/>
      <c r="T915" s="238"/>
      <c r="U915"/>
      <c r="V915"/>
      <c r="W915"/>
      <c r="X915"/>
      <c r="Y915"/>
    </row>
    <row r="916" spans="1:25" ht="15.75">
      <c r="A916" s="140">
        <v>908</v>
      </c>
      <c r="B916" s="141"/>
      <c r="C916" s="720"/>
      <c r="D916" s="720"/>
      <c r="E916" s="278"/>
      <c r="F916" s="247"/>
      <c r="G916" s="276"/>
      <c r="H916" s="242"/>
      <c r="I916" s="276"/>
      <c r="J916" s="248"/>
      <c r="K916" s="248"/>
      <c r="L916" s="269"/>
      <c r="M916" s="753"/>
      <c r="N916" s="238"/>
      <c r="O916" s="238"/>
      <c r="P916" s="238"/>
      <c r="Q916" s="238"/>
      <c r="R916" s="238"/>
      <c r="S916" s="238"/>
      <c r="T916" s="238"/>
      <c r="U916"/>
      <c r="V916"/>
      <c r="W916"/>
      <c r="X916"/>
      <c r="Y916"/>
    </row>
    <row r="917" spans="1:25" ht="15.75">
      <c r="A917" s="140">
        <v>909</v>
      </c>
      <c r="B917" s="141"/>
      <c r="C917" s="268"/>
      <c r="D917" s="268"/>
      <c r="E917" s="278"/>
      <c r="F917" s="262"/>
      <c r="G917" s="276"/>
      <c r="H917" s="242"/>
      <c r="I917" s="276"/>
      <c r="J917" s="237"/>
      <c r="K917" s="237"/>
      <c r="L917" s="145"/>
      <c r="M917" s="753"/>
      <c r="N917" s="238"/>
      <c r="O917" s="238"/>
      <c r="P917" s="238"/>
      <c r="Q917" s="238"/>
      <c r="R917" s="238"/>
      <c r="S917" s="238"/>
      <c r="T917" s="238"/>
      <c r="U917"/>
      <c r="V917"/>
      <c r="W917"/>
      <c r="X917"/>
      <c r="Y917"/>
    </row>
    <row r="918" spans="1:25" ht="15.75">
      <c r="A918" s="140">
        <v>910</v>
      </c>
      <c r="B918" s="141" t="str">
        <f t="shared" ref="B918:B964" si="10">(C918&amp;"  "&amp;D918)</f>
        <v xml:space="preserve">  </v>
      </c>
      <c r="C918" s="268"/>
      <c r="D918" s="268"/>
      <c r="E918" s="278"/>
      <c r="F918" s="262"/>
      <c r="G918" s="276"/>
      <c r="H918" s="242"/>
      <c r="I918" s="276"/>
      <c r="J918" s="237"/>
      <c r="K918" s="237"/>
      <c r="L918" s="145"/>
      <c r="M918" s="753"/>
      <c r="N918" s="238"/>
      <c r="O918" s="238"/>
      <c r="P918" s="238"/>
      <c r="Q918" s="238"/>
      <c r="R918" s="238"/>
      <c r="S918" s="238"/>
      <c r="T918" s="238"/>
      <c r="U918"/>
      <c r="V918"/>
      <c r="W918"/>
      <c r="X918"/>
      <c r="Y918"/>
    </row>
    <row r="919" spans="1:25" ht="15.75">
      <c r="A919" s="140">
        <v>911</v>
      </c>
      <c r="B919" s="141" t="str">
        <f t="shared" si="10"/>
        <v xml:space="preserve">  </v>
      </c>
      <c r="C919" s="268"/>
      <c r="D919" s="268"/>
      <c r="E919" s="278"/>
      <c r="F919" s="262"/>
      <c r="G919" s="276"/>
      <c r="H919" s="241"/>
      <c r="I919" s="276"/>
      <c r="J919" s="237"/>
      <c r="K919" s="237"/>
      <c r="L919" s="145"/>
      <c r="M919" s="753"/>
      <c r="N919" s="238"/>
      <c r="O919" s="238"/>
      <c r="P919" s="238"/>
      <c r="Q919" s="238"/>
      <c r="R919" s="238"/>
      <c r="S919" s="238"/>
      <c r="T919" s="238"/>
      <c r="U919"/>
      <c r="V919"/>
      <c r="W919"/>
      <c r="X919"/>
      <c r="Y919"/>
    </row>
    <row r="920" spans="1:25" ht="15.75">
      <c r="A920" s="140">
        <v>912</v>
      </c>
      <c r="B920" s="141" t="str">
        <f t="shared" si="10"/>
        <v xml:space="preserve">  </v>
      </c>
      <c r="C920" s="261"/>
      <c r="D920" s="261"/>
      <c r="E920" s="278"/>
      <c r="F920" s="216"/>
      <c r="G920" s="276"/>
      <c r="H920" s="242"/>
      <c r="I920" s="276"/>
      <c r="J920" s="248"/>
      <c r="K920" s="248"/>
      <c r="L920" s="269"/>
      <c r="M920" s="753"/>
      <c r="N920" s="238"/>
      <c r="O920" s="238"/>
      <c r="P920" s="238"/>
      <c r="Q920" s="238"/>
      <c r="R920" s="238"/>
      <c r="S920" s="238"/>
      <c r="T920" s="238"/>
      <c r="U920"/>
      <c r="V920"/>
      <c r="W920"/>
      <c r="X920"/>
      <c r="Y920"/>
    </row>
    <row r="921" spans="1:25" ht="15.75">
      <c r="A921" s="140">
        <v>913</v>
      </c>
      <c r="B921" s="141" t="str">
        <f t="shared" si="10"/>
        <v xml:space="preserve">  </v>
      </c>
      <c r="C921" s="238"/>
      <c r="D921" s="238"/>
      <c r="E921" s="278"/>
      <c r="F921" s="263"/>
      <c r="G921" s="276"/>
      <c r="H921" s="241"/>
      <c r="I921" s="276"/>
      <c r="J921" s="237"/>
      <c r="K921" s="237"/>
      <c r="L921" s="145"/>
      <c r="M921" s="753"/>
      <c r="N921" s="238"/>
      <c r="O921" s="238"/>
      <c r="P921" s="238"/>
      <c r="Q921" s="238"/>
      <c r="R921" s="238"/>
      <c r="S921" s="238"/>
      <c r="T921" s="238"/>
      <c r="U921"/>
      <c r="V921"/>
      <c r="W921"/>
      <c r="X921"/>
      <c r="Y921"/>
    </row>
    <row r="922" spans="1:25" ht="15.75">
      <c r="A922" s="140">
        <v>914</v>
      </c>
      <c r="B922" s="141" t="str">
        <f t="shared" si="10"/>
        <v xml:space="preserve">  </v>
      </c>
      <c r="C922" s="238"/>
      <c r="D922" s="238"/>
      <c r="E922" s="278"/>
      <c r="F922" s="263"/>
      <c r="G922" s="276"/>
      <c r="H922" s="241"/>
      <c r="I922" s="276"/>
      <c r="J922" s="237"/>
      <c r="K922" s="237"/>
      <c r="L922" s="145"/>
      <c r="M922" s="753"/>
      <c r="N922" s="238"/>
      <c r="O922" s="238"/>
      <c r="P922" s="238"/>
      <c r="Q922" s="238"/>
      <c r="R922" s="238"/>
      <c r="S922" s="238"/>
      <c r="T922" s="238"/>
      <c r="U922"/>
      <c r="V922"/>
      <c r="W922"/>
      <c r="X922"/>
      <c r="Y922"/>
    </row>
    <row r="923" spans="1:25" ht="15.75">
      <c r="A923" s="140">
        <v>915</v>
      </c>
      <c r="B923" s="141" t="str">
        <f t="shared" si="10"/>
        <v xml:space="preserve">  </v>
      </c>
      <c r="C923" s="721"/>
      <c r="D923" s="721"/>
      <c r="E923" s="278"/>
      <c r="F923" s="405"/>
      <c r="G923" s="276"/>
      <c r="H923" s="241"/>
      <c r="I923" s="276"/>
      <c r="J923" s="237"/>
      <c r="K923" s="237"/>
      <c r="L923" s="145"/>
      <c r="M923" s="753"/>
      <c r="N923" s="238"/>
      <c r="O923" s="238"/>
      <c r="P923" s="238"/>
      <c r="Q923" s="238"/>
      <c r="R923" s="238"/>
      <c r="S923" s="238"/>
      <c r="T923" s="238"/>
      <c r="U923"/>
      <c r="V923"/>
      <c r="W923"/>
      <c r="X923"/>
      <c r="Y923"/>
    </row>
    <row r="924" spans="1:25" ht="15.75">
      <c r="A924" s="140">
        <v>916</v>
      </c>
      <c r="B924" s="141" t="str">
        <f t="shared" si="10"/>
        <v xml:space="preserve">  </v>
      </c>
      <c r="C924" s="719"/>
      <c r="D924" s="719"/>
      <c r="E924" s="278"/>
      <c r="F924" s="262"/>
      <c r="G924" s="276"/>
      <c r="H924" s="242"/>
      <c r="I924" s="276"/>
      <c r="J924" s="237"/>
      <c r="K924" s="237"/>
      <c r="L924" s="145"/>
      <c r="M924" s="753"/>
      <c r="N924" s="238"/>
      <c r="O924" s="238"/>
      <c r="P924" s="238"/>
      <c r="Q924" s="238"/>
      <c r="R924" s="238"/>
      <c r="S924" s="238"/>
      <c r="T924" s="238"/>
      <c r="U924"/>
      <c r="V924"/>
      <c r="W924"/>
      <c r="X924"/>
      <c r="Y924"/>
    </row>
    <row r="925" spans="1:25" ht="15.75">
      <c r="A925" s="140">
        <v>917</v>
      </c>
      <c r="B925" s="141" t="str">
        <f t="shared" si="10"/>
        <v xml:space="preserve">  </v>
      </c>
      <c r="C925" s="719"/>
      <c r="D925" s="719"/>
      <c r="E925" s="278"/>
      <c r="F925" s="262"/>
      <c r="G925" s="276"/>
      <c r="H925" s="242"/>
      <c r="I925" s="276"/>
      <c r="J925" s="237"/>
      <c r="K925" s="237"/>
      <c r="L925" s="145"/>
      <c r="M925" s="753"/>
      <c r="N925" s="238"/>
      <c r="O925" s="238"/>
      <c r="P925" s="238"/>
      <c r="Q925" s="238"/>
      <c r="R925" s="238"/>
      <c r="S925" s="238"/>
      <c r="T925" s="238"/>
      <c r="U925"/>
      <c r="V925"/>
      <c r="W925"/>
      <c r="X925"/>
      <c r="Y925"/>
    </row>
    <row r="926" spans="1:25" ht="15.75">
      <c r="A926" s="140">
        <v>918</v>
      </c>
      <c r="B926" s="141" t="str">
        <f t="shared" si="10"/>
        <v xml:space="preserve">  </v>
      </c>
      <c r="C926" s="268"/>
      <c r="D926" s="268"/>
      <c r="E926" s="278"/>
      <c r="F926" s="262"/>
      <c r="G926" s="276"/>
      <c r="H926" s="242"/>
      <c r="I926" s="276"/>
      <c r="J926" s="237"/>
      <c r="K926" s="237"/>
      <c r="L926" s="145"/>
      <c r="M926" s="753"/>
      <c r="N926" s="238"/>
      <c r="O926" s="238"/>
      <c r="P926" s="238"/>
      <c r="Q926" s="238"/>
      <c r="R926" s="238"/>
      <c r="S926" s="238"/>
      <c r="T926" s="238"/>
      <c r="U926"/>
      <c r="V926"/>
      <c r="W926"/>
      <c r="X926"/>
      <c r="Y926"/>
    </row>
    <row r="927" spans="1:25" ht="15.75">
      <c r="A927" s="140">
        <v>919</v>
      </c>
      <c r="B927" s="141" t="str">
        <f t="shared" si="10"/>
        <v xml:space="preserve">  </v>
      </c>
      <c r="C927" s="268"/>
      <c r="D927" s="268"/>
      <c r="E927" s="278"/>
      <c r="F927" s="262"/>
      <c r="G927" s="276"/>
      <c r="H927" s="242"/>
      <c r="I927" s="276"/>
      <c r="J927" s="237"/>
      <c r="K927" s="237"/>
      <c r="L927" s="145"/>
      <c r="M927" s="753"/>
      <c r="N927" s="238"/>
      <c r="O927" s="238"/>
      <c r="P927" s="238"/>
      <c r="Q927" s="238"/>
      <c r="R927" s="238"/>
      <c r="S927" s="238"/>
      <c r="T927" s="238"/>
      <c r="U927"/>
      <c r="V927"/>
      <c r="W927"/>
      <c r="X927"/>
      <c r="Y927"/>
    </row>
    <row r="928" spans="1:25" ht="15.75">
      <c r="A928" s="140">
        <v>920</v>
      </c>
      <c r="B928" s="141" t="str">
        <f t="shared" si="10"/>
        <v xml:space="preserve">  </v>
      </c>
      <c r="C928" s="719"/>
      <c r="D928" s="719"/>
      <c r="E928" s="278"/>
      <c r="F928" s="266"/>
      <c r="G928" s="276"/>
      <c r="H928" s="242"/>
      <c r="I928" s="276"/>
      <c r="J928" s="248"/>
      <c r="K928" s="248"/>
      <c r="L928" s="269"/>
      <c r="M928" s="753"/>
      <c r="N928" s="238"/>
      <c r="O928" s="238"/>
      <c r="P928" s="238"/>
      <c r="Q928" s="238"/>
      <c r="R928" s="238"/>
      <c r="S928" s="238"/>
      <c r="T928" s="238"/>
      <c r="U928"/>
      <c r="V928"/>
      <c r="W928"/>
      <c r="X928"/>
      <c r="Y928"/>
    </row>
    <row r="929" spans="1:25" ht="15.75">
      <c r="A929" s="140">
        <v>921</v>
      </c>
      <c r="B929" s="141" t="str">
        <f t="shared" si="10"/>
        <v xml:space="preserve">  </v>
      </c>
      <c r="C929" s="268"/>
      <c r="D929" s="268"/>
      <c r="E929" s="278"/>
      <c r="F929" s="262"/>
      <c r="G929" s="276"/>
      <c r="H929" s="241"/>
      <c r="I929" s="276"/>
      <c r="J929" s="237"/>
      <c r="K929" s="237"/>
      <c r="L929" s="145"/>
      <c r="M929" s="753"/>
      <c r="N929" s="238"/>
      <c r="O929" s="238"/>
      <c r="P929" s="238"/>
      <c r="Q929" s="238"/>
      <c r="R929" s="238"/>
      <c r="S929" s="238"/>
      <c r="T929" s="238"/>
      <c r="U929"/>
      <c r="V929"/>
      <c r="W929"/>
      <c r="X929"/>
      <c r="Y929"/>
    </row>
    <row r="930" spans="1:25" ht="15.75">
      <c r="A930" s="140">
        <v>922</v>
      </c>
      <c r="B930" s="141" t="str">
        <f t="shared" si="10"/>
        <v xml:space="preserve">  </v>
      </c>
      <c r="C930" s="268"/>
      <c r="D930" s="268"/>
      <c r="E930" s="278"/>
      <c r="F930" s="262"/>
      <c r="G930" s="276"/>
      <c r="H930" s="242"/>
      <c r="I930" s="276"/>
      <c r="J930" s="237"/>
      <c r="K930" s="237"/>
      <c r="L930" s="145"/>
      <c r="M930" s="753"/>
      <c r="N930" s="238"/>
      <c r="O930" s="238"/>
      <c r="P930" s="238"/>
      <c r="Q930" s="238"/>
      <c r="R930" s="238"/>
      <c r="S930" s="238"/>
      <c r="T930" s="238"/>
      <c r="U930"/>
      <c r="V930"/>
      <c r="W930"/>
      <c r="X930"/>
      <c r="Y930"/>
    </row>
    <row r="931" spans="1:25" ht="15.75">
      <c r="A931" s="140">
        <v>923</v>
      </c>
      <c r="B931" s="141" t="str">
        <f t="shared" si="10"/>
        <v xml:space="preserve">  </v>
      </c>
      <c r="C931" s="722"/>
      <c r="D931" s="722"/>
      <c r="E931" s="278"/>
      <c r="F931" s="266"/>
      <c r="G931" s="276"/>
      <c r="H931" s="241"/>
      <c r="I931" s="276"/>
      <c r="J931" s="237"/>
      <c r="K931" s="237"/>
      <c r="L931" s="145"/>
      <c r="M931" s="753"/>
      <c r="N931" s="238"/>
      <c r="O931" s="238"/>
      <c r="P931" s="238"/>
      <c r="Q931" s="238"/>
      <c r="R931" s="238"/>
      <c r="S931" s="238"/>
      <c r="T931" s="238"/>
      <c r="U931"/>
      <c r="V931"/>
      <c r="W931"/>
      <c r="X931"/>
      <c r="Y931"/>
    </row>
    <row r="932" spans="1:25" ht="15.75">
      <c r="A932" s="140">
        <v>924</v>
      </c>
      <c r="B932" s="141" t="str">
        <f t="shared" si="10"/>
        <v xml:space="preserve">  </v>
      </c>
      <c r="C932" s="719"/>
      <c r="D932" s="719"/>
      <c r="E932" s="278"/>
      <c r="F932" s="262"/>
      <c r="G932" s="276"/>
      <c r="H932" s="242"/>
      <c r="I932" s="276"/>
      <c r="J932" s="237"/>
      <c r="K932" s="237"/>
      <c r="L932" s="145"/>
      <c r="M932" s="753"/>
      <c r="N932" s="238"/>
      <c r="O932" s="238"/>
      <c r="P932" s="238"/>
      <c r="Q932" s="238"/>
      <c r="R932" s="238"/>
      <c r="S932" s="238"/>
      <c r="T932" s="238"/>
      <c r="U932"/>
      <c r="V932"/>
      <c r="W932"/>
      <c r="X932"/>
      <c r="Y932"/>
    </row>
    <row r="933" spans="1:25" ht="15.75">
      <c r="A933" s="140">
        <v>925</v>
      </c>
      <c r="B933" s="141" t="str">
        <f t="shared" si="10"/>
        <v xml:space="preserve">  </v>
      </c>
      <c r="C933" s="719"/>
      <c r="D933" s="719"/>
      <c r="E933" s="278"/>
      <c r="F933" s="262"/>
      <c r="G933" s="276"/>
      <c r="H933" s="241"/>
      <c r="I933" s="276"/>
      <c r="J933" s="237"/>
      <c r="K933" s="237"/>
      <c r="L933" s="145"/>
      <c r="M933" s="753"/>
      <c r="N933" s="238"/>
      <c r="O933" s="238"/>
      <c r="P933" s="238"/>
      <c r="Q933" s="238"/>
      <c r="R933" s="238"/>
      <c r="S933" s="238"/>
      <c r="T933" s="238"/>
      <c r="U933"/>
      <c r="V933"/>
      <c r="W933"/>
      <c r="X933"/>
      <c r="Y933"/>
    </row>
    <row r="934" spans="1:25" ht="15.75">
      <c r="A934" s="140">
        <v>926</v>
      </c>
      <c r="B934" s="141" t="str">
        <f t="shared" si="10"/>
        <v xml:space="preserve">  </v>
      </c>
      <c r="C934" s="268"/>
      <c r="D934" s="268"/>
      <c r="E934" s="278"/>
      <c r="F934" s="406"/>
      <c r="G934" s="276"/>
      <c r="H934" s="241"/>
      <c r="I934" s="276"/>
      <c r="J934" s="237"/>
      <c r="K934" s="237"/>
      <c r="L934" s="145"/>
      <c r="M934" s="753"/>
      <c r="N934" s="238"/>
      <c r="O934" s="238"/>
      <c r="P934" s="238"/>
      <c r="Q934" s="238"/>
      <c r="R934" s="238"/>
      <c r="S934" s="238"/>
      <c r="T934" s="238"/>
      <c r="U934"/>
      <c r="V934"/>
      <c r="W934"/>
      <c r="X934"/>
      <c r="Y934"/>
    </row>
    <row r="935" spans="1:25" ht="15.75">
      <c r="A935" s="140">
        <v>927</v>
      </c>
      <c r="B935" s="141" t="str">
        <f t="shared" si="10"/>
        <v xml:space="preserve">  </v>
      </c>
      <c r="C935" s="719"/>
      <c r="D935" s="719"/>
      <c r="E935" s="278"/>
      <c r="F935" s="406"/>
      <c r="G935" s="276"/>
      <c r="H935" s="240"/>
      <c r="I935" s="276"/>
      <c r="J935" s="237"/>
      <c r="K935" s="237"/>
      <c r="L935" s="145"/>
      <c r="M935" s="753"/>
      <c r="N935" s="238"/>
      <c r="O935" s="238"/>
      <c r="P935" s="238"/>
      <c r="Q935" s="238"/>
      <c r="R935" s="238"/>
      <c r="S935" s="238"/>
      <c r="T935" s="238"/>
      <c r="U935"/>
      <c r="V935"/>
      <c r="W935"/>
      <c r="X935"/>
      <c r="Y935"/>
    </row>
    <row r="936" spans="1:25" ht="15.75">
      <c r="A936" s="140">
        <v>928</v>
      </c>
      <c r="B936" s="141" t="str">
        <f t="shared" si="10"/>
        <v xml:space="preserve">  </v>
      </c>
      <c r="C936" s="719"/>
      <c r="D936" s="719"/>
      <c r="E936" s="278"/>
      <c r="F936" s="402"/>
      <c r="G936" s="276"/>
      <c r="H936" s="240"/>
      <c r="I936" s="276"/>
      <c r="J936" s="237"/>
      <c r="K936" s="237"/>
      <c r="L936" s="145"/>
      <c r="M936" s="753"/>
      <c r="N936" s="238"/>
      <c r="O936" s="238"/>
      <c r="P936" s="238"/>
      <c r="Q936" s="238"/>
      <c r="R936" s="238"/>
      <c r="S936" s="238"/>
      <c r="T936" s="238"/>
      <c r="U936"/>
      <c r="V936"/>
      <c r="W936"/>
      <c r="X936"/>
      <c r="Y936"/>
    </row>
    <row r="937" spans="1:25" ht="15.75">
      <c r="A937" s="140">
        <v>929</v>
      </c>
      <c r="B937" s="141" t="str">
        <f t="shared" si="10"/>
        <v xml:space="preserve">  </v>
      </c>
      <c r="C937" s="720"/>
      <c r="D937" s="720"/>
      <c r="E937" s="278"/>
      <c r="F937" s="262"/>
      <c r="G937" s="276"/>
      <c r="H937" s="242"/>
      <c r="I937" s="276"/>
      <c r="J937" s="248"/>
      <c r="K937" s="248"/>
      <c r="L937" s="269"/>
      <c r="M937" s="753"/>
      <c r="N937" s="238"/>
      <c r="O937" s="238"/>
      <c r="P937" s="238"/>
      <c r="Q937" s="238"/>
      <c r="R937" s="238"/>
      <c r="S937" s="238"/>
      <c r="T937" s="238"/>
      <c r="U937"/>
      <c r="V937"/>
      <c r="W937"/>
      <c r="X937"/>
      <c r="Y937"/>
    </row>
    <row r="938" spans="1:25" ht="15.75">
      <c r="A938" s="140">
        <v>930</v>
      </c>
      <c r="B938" s="141" t="str">
        <f t="shared" si="10"/>
        <v xml:space="preserve">  </v>
      </c>
      <c r="C938" s="268"/>
      <c r="D938" s="719"/>
      <c r="E938" s="278"/>
      <c r="F938" s="262"/>
      <c r="G938" s="276"/>
      <c r="H938" s="242"/>
      <c r="I938" s="276"/>
      <c r="J938" s="237"/>
      <c r="K938" s="237"/>
      <c r="L938" s="145"/>
      <c r="M938" s="753"/>
      <c r="N938" s="238"/>
      <c r="O938" s="238"/>
      <c r="P938" s="238"/>
      <c r="Q938" s="238"/>
      <c r="R938" s="238"/>
      <c r="S938" s="238"/>
      <c r="T938" s="238"/>
      <c r="U938"/>
      <c r="V938"/>
      <c r="W938"/>
      <c r="X938"/>
      <c r="Y938"/>
    </row>
    <row r="939" spans="1:25" ht="15.75">
      <c r="A939" s="140">
        <v>931</v>
      </c>
      <c r="B939" s="141" t="str">
        <f t="shared" si="10"/>
        <v xml:space="preserve">  </v>
      </c>
      <c r="C939" s="238"/>
      <c r="D939" s="238"/>
      <c r="E939" s="278"/>
      <c r="F939" s="263"/>
      <c r="G939" s="276"/>
      <c r="H939" s="241"/>
      <c r="I939" s="276"/>
      <c r="J939" s="237"/>
      <c r="K939" s="237"/>
      <c r="L939" s="145"/>
      <c r="M939" s="753"/>
      <c r="N939" s="238"/>
      <c r="O939" s="238"/>
      <c r="P939" s="238"/>
      <c r="Q939" s="238"/>
      <c r="R939" s="238"/>
      <c r="S939" s="238"/>
      <c r="T939" s="238"/>
      <c r="U939"/>
      <c r="V939"/>
      <c r="W939"/>
      <c r="X939"/>
      <c r="Y939"/>
    </row>
    <row r="940" spans="1:25" ht="15.75">
      <c r="A940" s="140">
        <v>932</v>
      </c>
      <c r="B940" s="141" t="str">
        <f t="shared" si="10"/>
        <v xml:space="preserve">  </v>
      </c>
      <c r="C940" s="238"/>
      <c r="D940" s="238"/>
      <c r="E940" s="278"/>
      <c r="F940" s="263"/>
      <c r="G940" s="276"/>
      <c r="H940" s="241"/>
      <c r="I940" s="276"/>
      <c r="J940" s="237"/>
      <c r="K940" s="237"/>
      <c r="L940" s="145"/>
      <c r="M940" s="753"/>
      <c r="N940" s="238"/>
      <c r="O940" s="238"/>
      <c r="P940" s="238"/>
      <c r="Q940" s="238"/>
      <c r="R940" s="238"/>
      <c r="S940" s="238"/>
      <c r="T940" s="238"/>
      <c r="U940"/>
      <c r="V940"/>
      <c r="W940"/>
      <c r="X940"/>
      <c r="Y940"/>
    </row>
    <row r="941" spans="1:25" ht="15.75">
      <c r="A941" s="140">
        <v>933</v>
      </c>
      <c r="B941" s="141" t="str">
        <f t="shared" si="10"/>
        <v xml:space="preserve">  </v>
      </c>
      <c r="C941" s="238"/>
      <c r="D941" s="238"/>
      <c r="E941" s="278"/>
      <c r="F941" s="263"/>
      <c r="G941" s="276"/>
      <c r="H941" s="242"/>
      <c r="I941" s="276"/>
      <c r="J941" s="237"/>
      <c r="K941" s="237"/>
      <c r="L941" s="145"/>
      <c r="M941" s="753"/>
      <c r="N941" s="238"/>
      <c r="O941" s="238"/>
      <c r="P941" s="238"/>
      <c r="Q941" s="238"/>
      <c r="R941" s="238"/>
      <c r="S941" s="238"/>
      <c r="T941" s="238"/>
      <c r="U941"/>
      <c r="V941"/>
      <c r="W941"/>
      <c r="X941"/>
      <c r="Y941"/>
    </row>
    <row r="942" spans="1:25" ht="15.75">
      <c r="A942" s="140">
        <v>934</v>
      </c>
      <c r="B942" s="141" t="str">
        <f t="shared" si="10"/>
        <v xml:space="preserve">  </v>
      </c>
      <c r="C942" s="238"/>
      <c r="D942" s="238"/>
      <c r="E942" s="278"/>
      <c r="F942" s="263"/>
      <c r="G942" s="276"/>
      <c r="H942" s="242"/>
      <c r="I942" s="276"/>
      <c r="J942" s="237"/>
      <c r="K942" s="237"/>
      <c r="L942" s="145"/>
      <c r="M942" s="753"/>
      <c r="N942" s="238"/>
      <c r="O942" s="238"/>
      <c r="P942" s="238"/>
      <c r="Q942" s="238"/>
      <c r="R942" s="238"/>
      <c r="S942" s="238"/>
      <c r="T942" s="238"/>
      <c r="U942"/>
      <c r="V942"/>
      <c r="W942"/>
      <c r="X942"/>
      <c r="Y942"/>
    </row>
    <row r="943" spans="1:25" ht="15.75">
      <c r="A943" s="140">
        <v>935</v>
      </c>
      <c r="B943" s="141" t="str">
        <f t="shared" si="10"/>
        <v xml:space="preserve">  </v>
      </c>
      <c r="C943" s="238"/>
      <c r="D943" s="238"/>
      <c r="E943" s="278"/>
      <c r="F943" s="263"/>
      <c r="G943" s="276"/>
      <c r="H943" s="242"/>
      <c r="I943" s="276"/>
      <c r="J943" s="237"/>
      <c r="K943" s="237"/>
      <c r="L943" s="145"/>
      <c r="M943" s="753"/>
      <c r="N943" s="238"/>
      <c r="O943" s="238"/>
      <c r="P943" s="238"/>
      <c r="Q943" s="238"/>
      <c r="R943" s="238"/>
      <c r="S943" s="238"/>
      <c r="T943" s="238"/>
      <c r="U943"/>
      <c r="V943"/>
      <c r="W943"/>
      <c r="X943"/>
      <c r="Y943"/>
    </row>
    <row r="944" spans="1:25" ht="15.75">
      <c r="A944" s="140">
        <v>936</v>
      </c>
      <c r="B944" s="141" t="str">
        <f t="shared" si="10"/>
        <v xml:space="preserve">  </v>
      </c>
      <c r="C944" s="238"/>
      <c r="D944" s="238"/>
      <c r="E944" s="278"/>
      <c r="F944" s="263"/>
      <c r="G944" s="276"/>
      <c r="H944" s="242"/>
      <c r="I944" s="276"/>
      <c r="J944" s="237"/>
      <c r="K944" s="237"/>
      <c r="L944" s="145"/>
      <c r="M944" s="753"/>
      <c r="N944" s="238"/>
      <c r="O944" s="238"/>
      <c r="P944" s="238"/>
      <c r="Q944" s="238"/>
      <c r="R944" s="238"/>
      <c r="S944" s="238"/>
      <c r="T944" s="238"/>
      <c r="U944"/>
      <c r="V944"/>
      <c r="W944"/>
      <c r="X944"/>
      <c r="Y944"/>
    </row>
    <row r="945" spans="1:25" ht="15.75">
      <c r="A945" s="140">
        <v>937</v>
      </c>
      <c r="B945" s="141" t="str">
        <f t="shared" si="10"/>
        <v xml:space="preserve">  </v>
      </c>
      <c r="C945" s="238"/>
      <c r="D945" s="238"/>
      <c r="E945" s="278"/>
      <c r="F945" s="263"/>
      <c r="G945" s="276"/>
      <c r="H945" s="242"/>
      <c r="I945" s="276"/>
      <c r="J945" s="237"/>
      <c r="K945" s="237"/>
      <c r="L945" s="145"/>
      <c r="M945" s="753"/>
      <c r="N945" s="238"/>
      <c r="O945" s="238"/>
      <c r="P945" s="238"/>
      <c r="Q945" s="238"/>
      <c r="R945" s="238"/>
      <c r="S945" s="238"/>
      <c r="T945" s="238"/>
      <c r="U945"/>
      <c r="V945"/>
      <c r="W945"/>
      <c r="X945"/>
      <c r="Y945"/>
    </row>
    <row r="946" spans="1:25" ht="15.75">
      <c r="A946" s="140">
        <v>938</v>
      </c>
      <c r="B946" s="141" t="str">
        <f t="shared" si="10"/>
        <v xml:space="preserve">  </v>
      </c>
      <c r="C946" s="719"/>
      <c r="D946" s="719"/>
      <c r="E946" s="278"/>
      <c r="F946" s="247"/>
      <c r="G946" s="276"/>
      <c r="H946" s="242"/>
      <c r="I946" s="276"/>
      <c r="J946" s="248"/>
      <c r="K946" s="248"/>
      <c r="L946" s="269"/>
      <c r="M946" s="753"/>
      <c r="N946" s="238"/>
      <c r="O946" s="238"/>
      <c r="P946" s="238"/>
      <c r="Q946" s="238"/>
      <c r="R946" s="238"/>
      <c r="S946" s="238"/>
      <c r="T946" s="238"/>
      <c r="U946"/>
      <c r="V946"/>
      <c r="W946"/>
      <c r="X946"/>
      <c r="Y946"/>
    </row>
    <row r="947" spans="1:25" ht="15.75">
      <c r="A947" s="140">
        <v>939</v>
      </c>
      <c r="B947" s="141" t="str">
        <f t="shared" si="10"/>
        <v xml:space="preserve">  </v>
      </c>
      <c r="C947" s="720"/>
      <c r="D947" s="720"/>
      <c r="E947" s="278"/>
      <c r="F947" s="266"/>
      <c r="G947" s="276"/>
      <c r="H947" s="242"/>
      <c r="I947" s="276"/>
      <c r="J947" s="237"/>
      <c r="K947" s="237"/>
      <c r="L947" s="145"/>
      <c r="M947" s="753"/>
      <c r="N947" s="238"/>
      <c r="O947" s="238"/>
      <c r="P947" s="238"/>
      <c r="Q947" s="238"/>
      <c r="R947" s="238"/>
      <c r="S947" s="238"/>
      <c r="T947" s="238"/>
      <c r="U947"/>
      <c r="V947"/>
      <c r="W947"/>
      <c r="X947"/>
      <c r="Y947"/>
    </row>
    <row r="948" spans="1:25" ht="15.75">
      <c r="A948" s="140">
        <v>940</v>
      </c>
      <c r="B948" s="141" t="str">
        <f t="shared" si="10"/>
        <v xml:space="preserve">  </v>
      </c>
      <c r="C948" s="238"/>
      <c r="D948" s="238"/>
      <c r="E948" s="278"/>
      <c r="F948" s="266"/>
      <c r="G948" s="276"/>
      <c r="H948" s="241"/>
      <c r="I948" s="276"/>
      <c r="J948" s="237"/>
      <c r="K948" s="237"/>
      <c r="L948" s="145"/>
      <c r="M948" s="753"/>
      <c r="N948" s="238"/>
      <c r="O948" s="238"/>
      <c r="P948" s="238"/>
      <c r="Q948" s="238"/>
      <c r="R948" s="238"/>
      <c r="S948" s="238"/>
      <c r="T948" s="238"/>
      <c r="U948"/>
      <c r="V948"/>
      <c r="W948"/>
      <c r="X948"/>
      <c r="Y948"/>
    </row>
    <row r="949" spans="1:25" ht="15.75">
      <c r="A949" s="140">
        <v>941</v>
      </c>
      <c r="B949" s="141" t="str">
        <f t="shared" si="10"/>
        <v xml:space="preserve">  </v>
      </c>
      <c r="C949" s="268"/>
      <c r="D949" s="268"/>
      <c r="E949" s="278"/>
      <c r="F949" s="402"/>
      <c r="G949" s="276"/>
      <c r="H949" s="241"/>
      <c r="I949" s="276"/>
      <c r="J949" s="237"/>
      <c r="K949" s="237"/>
      <c r="L949" s="145"/>
      <c r="M949" s="753"/>
      <c r="N949" s="238"/>
      <c r="O949" s="238"/>
      <c r="P949" s="238"/>
      <c r="Q949" s="238"/>
      <c r="R949" s="238"/>
      <c r="S949" s="238"/>
      <c r="T949" s="238"/>
      <c r="U949"/>
      <c r="V949"/>
      <c r="W949"/>
      <c r="X949"/>
      <c r="Y949"/>
    </row>
    <row r="950" spans="1:25" ht="15.75">
      <c r="A950" s="140">
        <v>942</v>
      </c>
      <c r="B950" s="141" t="str">
        <f t="shared" si="10"/>
        <v xml:space="preserve">  </v>
      </c>
      <c r="C950" s="719"/>
      <c r="D950" s="719"/>
      <c r="E950" s="278"/>
      <c r="F950" s="267"/>
      <c r="G950" s="276"/>
      <c r="H950" s="242"/>
      <c r="I950" s="276"/>
      <c r="J950" s="237"/>
      <c r="K950" s="237"/>
      <c r="L950" s="145"/>
      <c r="M950" s="753"/>
      <c r="N950" s="238"/>
      <c r="O950" s="238"/>
      <c r="P950" s="238"/>
      <c r="Q950" s="238"/>
      <c r="R950" s="238"/>
      <c r="S950" s="238"/>
      <c r="T950" s="238"/>
      <c r="U950"/>
      <c r="V950"/>
      <c r="W950"/>
      <c r="X950"/>
      <c r="Y950"/>
    </row>
    <row r="951" spans="1:25" ht="15.75">
      <c r="A951" s="140">
        <v>943</v>
      </c>
      <c r="B951" s="141" t="str">
        <f t="shared" si="10"/>
        <v xml:space="preserve">  </v>
      </c>
      <c r="C951" s="719"/>
      <c r="D951" s="719"/>
      <c r="E951" s="278"/>
      <c r="F951" s="267"/>
      <c r="G951" s="276"/>
      <c r="H951" s="240"/>
      <c r="I951" s="276"/>
      <c r="J951" s="237"/>
      <c r="K951" s="237"/>
      <c r="L951" s="145"/>
      <c r="M951" s="753"/>
      <c r="N951" s="238"/>
      <c r="O951" s="238"/>
      <c r="P951" s="238"/>
      <c r="Q951" s="238"/>
      <c r="R951" s="238"/>
      <c r="S951" s="238"/>
      <c r="T951" s="238"/>
      <c r="U951"/>
      <c r="V951"/>
      <c r="W951"/>
      <c r="X951"/>
      <c r="Y951"/>
    </row>
    <row r="952" spans="1:25" ht="15.75">
      <c r="A952" s="140">
        <v>944</v>
      </c>
      <c r="B952" s="141" t="str">
        <f t="shared" si="10"/>
        <v xml:space="preserve">  </v>
      </c>
      <c r="C952" s="268"/>
      <c r="D952" s="268"/>
      <c r="E952" s="278"/>
      <c r="F952" s="247"/>
      <c r="G952" s="276"/>
      <c r="H952" s="240"/>
      <c r="I952" s="276"/>
      <c r="J952" s="237"/>
      <c r="K952" s="237"/>
      <c r="L952" s="145"/>
      <c r="M952" s="753"/>
      <c r="N952" s="238"/>
      <c r="O952" s="238"/>
      <c r="P952" s="238"/>
      <c r="Q952" s="238"/>
      <c r="R952" s="238"/>
      <c r="S952" s="238"/>
      <c r="T952" s="238"/>
      <c r="U952"/>
      <c r="V952"/>
      <c r="W952"/>
      <c r="X952"/>
      <c r="Y952"/>
    </row>
    <row r="953" spans="1:25" ht="15.75">
      <c r="A953" s="140">
        <v>945</v>
      </c>
      <c r="B953" s="141" t="str">
        <f t="shared" si="10"/>
        <v xml:space="preserve">  </v>
      </c>
      <c r="C953" s="268"/>
      <c r="D953" s="268"/>
      <c r="E953" s="278"/>
      <c r="F953" s="262"/>
      <c r="G953" s="276"/>
      <c r="H953" s="240"/>
      <c r="I953" s="276"/>
      <c r="J953" s="248"/>
      <c r="K953" s="248"/>
      <c r="L953" s="269"/>
      <c r="M953" s="753"/>
      <c r="N953" s="238"/>
      <c r="O953" s="238"/>
      <c r="P953" s="238"/>
      <c r="Q953" s="238"/>
      <c r="R953" s="238"/>
      <c r="S953" s="238"/>
      <c r="T953" s="238"/>
      <c r="U953"/>
      <c r="V953"/>
      <c r="W953"/>
      <c r="X953"/>
      <c r="Y953"/>
    </row>
    <row r="954" spans="1:25" ht="15.75">
      <c r="A954" s="140">
        <v>946</v>
      </c>
      <c r="B954" s="141" t="str">
        <f t="shared" si="10"/>
        <v xml:space="preserve">  </v>
      </c>
      <c r="C954" s="268"/>
      <c r="D954" s="268"/>
      <c r="E954" s="278"/>
      <c r="F954" s="247"/>
      <c r="G954" s="276"/>
      <c r="H954" s="240"/>
      <c r="I954" s="276"/>
      <c r="J954" s="237"/>
      <c r="K954" s="237"/>
      <c r="L954" s="145"/>
      <c r="M954" s="753"/>
      <c r="N954" s="238"/>
      <c r="O954" s="238"/>
      <c r="P954" s="238"/>
      <c r="Q954" s="238"/>
      <c r="R954" s="238"/>
      <c r="S954" s="238"/>
      <c r="T954" s="238"/>
      <c r="U954"/>
      <c r="V954"/>
      <c r="W954"/>
      <c r="X954"/>
      <c r="Y954"/>
    </row>
    <row r="955" spans="1:25" ht="15.75">
      <c r="A955" s="140">
        <v>947</v>
      </c>
      <c r="B955" s="141" t="str">
        <f t="shared" si="10"/>
        <v xml:space="preserve">  </v>
      </c>
      <c r="C955" s="719"/>
      <c r="D955" s="747"/>
      <c r="E955" s="278"/>
      <c r="F955" s="407"/>
      <c r="G955" s="276"/>
      <c r="H955" s="240"/>
      <c r="I955" s="276"/>
      <c r="J955" s="237"/>
      <c r="K955" s="237"/>
      <c r="L955" s="145"/>
      <c r="M955" s="753"/>
      <c r="N955" s="238"/>
      <c r="O955" s="238"/>
      <c r="P955" s="238"/>
      <c r="Q955" s="238"/>
      <c r="R955" s="238"/>
      <c r="S955" s="238"/>
      <c r="T955" s="238"/>
      <c r="U955"/>
      <c r="V955"/>
      <c r="W955"/>
      <c r="X955"/>
      <c r="Y955"/>
    </row>
    <row r="956" spans="1:25" ht="15.75">
      <c r="A956" s="140">
        <v>948</v>
      </c>
      <c r="B956" s="141" t="str">
        <f t="shared" si="10"/>
        <v xml:space="preserve">  </v>
      </c>
      <c r="C956" s="719"/>
      <c r="D956" s="719"/>
      <c r="E956" s="278"/>
      <c r="F956" s="267"/>
      <c r="G956" s="276"/>
      <c r="H956" s="241"/>
      <c r="I956" s="276"/>
      <c r="J956" s="237"/>
      <c r="K956" s="237"/>
      <c r="L956" s="145"/>
      <c r="M956" s="753"/>
      <c r="N956" s="238"/>
      <c r="O956" s="238"/>
      <c r="P956" s="238"/>
      <c r="Q956" s="238"/>
      <c r="R956" s="238"/>
      <c r="S956" s="238"/>
      <c r="T956" s="238"/>
      <c r="U956"/>
      <c r="V956"/>
      <c r="W956"/>
      <c r="X956"/>
      <c r="Y956"/>
    </row>
    <row r="957" spans="1:25" ht="15.75">
      <c r="A957" s="140">
        <v>949</v>
      </c>
      <c r="B957" s="141" t="str">
        <f t="shared" si="10"/>
        <v xml:space="preserve">  </v>
      </c>
      <c r="C957" s="720"/>
      <c r="D957" s="720"/>
      <c r="E957" s="278"/>
      <c r="F957" s="247"/>
      <c r="G957" s="276"/>
      <c r="H957" s="241"/>
      <c r="I957" s="276"/>
      <c r="J957" s="237"/>
      <c r="K957" s="237"/>
      <c r="L957" s="145"/>
      <c r="M957" s="753"/>
      <c r="N957" s="238"/>
      <c r="O957" s="238"/>
      <c r="P957" s="238"/>
      <c r="Q957" s="238"/>
      <c r="R957" s="238"/>
      <c r="S957" s="238"/>
      <c r="T957" s="238"/>
      <c r="U957"/>
      <c r="V957"/>
      <c r="W957"/>
      <c r="X957"/>
      <c r="Y957"/>
    </row>
    <row r="958" spans="1:25" ht="15.75">
      <c r="A958" s="140">
        <v>950</v>
      </c>
      <c r="B958" s="141" t="str">
        <f t="shared" si="10"/>
        <v xml:space="preserve">  </v>
      </c>
      <c r="C958" s="268"/>
      <c r="D958" s="268"/>
      <c r="E958" s="278"/>
      <c r="F958" s="267"/>
      <c r="G958" s="276"/>
      <c r="H958" s="242"/>
      <c r="I958" s="276"/>
      <c r="J958" s="237"/>
      <c r="K958" s="237"/>
      <c r="L958" s="269"/>
      <c r="M958" s="753"/>
      <c r="N958" s="238"/>
      <c r="O958" s="238"/>
      <c r="P958" s="238"/>
      <c r="Q958" s="238"/>
      <c r="R958" s="238"/>
      <c r="S958" s="238"/>
      <c r="T958" s="238"/>
      <c r="U958"/>
      <c r="V958"/>
      <c r="W958"/>
      <c r="X958"/>
      <c r="Y958"/>
    </row>
    <row r="959" spans="1:25" ht="15.75">
      <c r="A959" s="140">
        <v>951</v>
      </c>
      <c r="B959" s="141" t="str">
        <f t="shared" si="10"/>
        <v xml:space="preserve">  </v>
      </c>
      <c r="C959" s="268"/>
      <c r="D959" s="268"/>
      <c r="E959" s="278"/>
      <c r="F959" s="408"/>
      <c r="G959" s="276"/>
      <c r="H959" s="242"/>
      <c r="I959" s="276"/>
      <c r="J959" s="237"/>
      <c r="K959" s="237"/>
      <c r="L959" s="145"/>
      <c r="M959" s="753"/>
      <c r="N959" s="238"/>
      <c r="O959" s="238"/>
      <c r="P959" s="238"/>
      <c r="Q959" s="238"/>
      <c r="R959" s="238"/>
      <c r="S959" s="238"/>
      <c r="T959" s="238"/>
      <c r="U959"/>
      <c r="V959"/>
      <c r="W959"/>
      <c r="X959"/>
      <c r="Y959"/>
    </row>
    <row r="960" spans="1:25" ht="15.75">
      <c r="A960" s="140">
        <v>952</v>
      </c>
      <c r="B960" s="141" t="str">
        <f t="shared" si="10"/>
        <v xml:space="preserve">  </v>
      </c>
      <c r="C960" s="268"/>
      <c r="D960" s="268"/>
      <c r="E960" s="278"/>
      <c r="F960" s="742"/>
      <c r="G960" s="276"/>
      <c r="H960" s="241"/>
      <c r="I960" s="276"/>
      <c r="J960" s="237"/>
      <c r="K960" s="237"/>
      <c r="L960" s="145"/>
      <c r="M960" s="753"/>
      <c r="N960" s="238"/>
      <c r="O960" s="238"/>
      <c r="P960" s="238"/>
      <c r="Q960" s="238"/>
      <c r="R960" s="238"/>
      <c r="S960" s="238"/>
      <c r="T960" s="238"/>
      <c r="U960"/>
      <c r="V960"/>
      <c r="W960"/>
      <c r="X960"/>
      <c r="Y960"/>
    </row>
    <row r="961" spans="1:25" ht="15.75">
      <c r="A961" s="140">
        <v>953</v>
      </c>
      <c r="B961" s="141" t="str">
        <f t="shared" si="10"/>
        <v xml:space="preserve">  </v>
      </c>
      <c r="C961" s="720"/>
      <c r="D961" s="720"/>
      <c r="E961" s="278"/>
      <c r="F961" s="587"/>
      <c r="G961" s="276"/>
      <c r="H961" s="241"/>
      <c r="I961" s="276"/>
      <c r="J961" s="237"/>
      <c r="K961" s="237"/>
      <c r="L961" s="145"/>
      <c r="M961" s="753"/>
      <c r="N961" s="238"/>
      <c r="O961" s="238"/>
      <c r="P961" s="238"/>
      <c r="Q961" s="238"/>
      <c r="R961" s="238"/>
      <c r="S961" s="238"/>
      <c r="T961" s="238"/>
      <c r="U961"/>
      <c r="V961"/>
      <c r="W961"/>
      <c r="X961"/>
      <c r="Y961"/>
    </row>
    <row r="962" spans="1:25" ht="15.75">
      <c r="A962" s="140">
        <v>954</v>
      </c>
      <c r="B962" s="141" t="str">
        <f t="shared" si="10"/>
        <v xml:space="preserve">  </v>
      </c>
      <c r="C962" s="748"/>
      <c r="D962" s="749"/>
      <c r="E962" s="278"/>
      <c r="F962" s="266"/>
      <c r="G962" s="276"/>
      <c r="H962" s="241"/>
      <c r="I962" s="276"/>
      <c r="J962" s="237"/>
      <c r="K962" s="237"/>
      <c r="L962" s="145"/>
      <c r="M962" s="753"/>
      <c r="N962" s="238"/>
      <c r="O962" s="238"/>
      <c r="P962" s="238"/>
      <c r="Q962" s="238"/>
      <c r="R962" s="238"/>
      <c r="S962" s="238"/>
      <c r="T962" s="238"/>
      <c r="U962"/>
      <c r="V962"/>
      <c r="W962"/>
      <c r="X962"/>
      <c r="Y962"/>
    </row>
    <row r="963" spans="1:25" ht="15.75">
      <c r="A963" s="140">
        <v>955</v>
      </c>
      <c r="B963" s="141" t="str">
        <f t="shared" si="10"/>
        <v xml:space="preserve">  </v>
      </c>
      <c r="C963" s="261"/>
      <c r="D963" s="261"/>
      <c r="E963" s="278"/>
      <c r="F963" s="247"/>
      <c r="G963" s="276"/>
      <c r="H963" s="242"/>
      <c r="I963" s="276"/>
      <c r="J963" s="248"/>
      <c r="K963" s="248"/>
      <c r="L963" s="269"/>
      <c r="M963" s="753"/>
      <c r="N963" s="238"/>
      <c r="O963" s="238"/>
      <c r="P963" s="238"/>
      <c r="Q963" s="238"/>
      <c r="R963" s="238"/>
      <c r="S963" s="238"/>
      <c r="T963" s="238"/>
      <c r="U963"/>
      <c r="V963"/>
      <c r="W963"/>
      <c r="X963"/>
      <c r="Y963"/>
    </row>
    <row r="964" spans="1:25" ht="15.75">
      <c r="A964" s="140">
        <v>956</v>
      </c>
      <c r="B964" s="141" t="str">
        <f t="shared" si="10"/>
        <v xml:space="preserve">  </v>
      </c>
      <c r="C964" s="720"/>
      <c r="D964" s="720"/>
      <c r="E964" s="278"/>
      <c r="F964" s="266"/>
      <c r="G964" s="276"/>
      <c r="H964" s="242"/>
      <c r="I964" s="276"/>
      <c r="J964" s="237"/>
      <c r="K964" s="237"/>
      <c r="L964" s="145"/>
      <c r="M964" s="753"/>
      <c r="N964" s="238"/>
      <c r="O964" s="238"/>
      <c r="P964" s="238"/>
      <c r="Q964" s="238"/>
      <c r="R964" s="238"/>
      <c r="S964" s="238"/>
      <c r="T964" s="238"/>
      <c r="U964"/>
      <c r="V964"/>
      <c r="W964"/>
      <c r="X964"/>
      <c r="Y964"/>
    </row>
    <row r="965" spans="1:25" ht="15.75">
      <c r="A965" s="140">
        <v>957</v>
      </c>
      <c r="B965" s="237"/>
      <c r="C965" s="268"/>
      <c r="D965" s="268"/>
      <c r="E965" s="278"/>
      <c r="F965" s="262"/>
      <c r="G965" s="276"/>
      <c r="H965" s="242"/>
      <c r="I965" s="276"/>
      <c r="J965" s="237"/>
      <c r="K965" s="237"/>
      <c r="L965" s="145"/>
      <c r="M965" s="753"/>
      <c r="N965" s="238"/>
      <c r="O965" s="238"/>
      <c r="P965" s="238"/>
      <c r="Q965" s="238"/>
      <c r="R965" s="238"/>
      <c r="S965" s="238"/>
      <c r="T965" s="238"/>
      <c r="U965"/>
      <c r="V965"/>
      <c r="W965"/>
      <c r="X965"/>
      <c r="Y965"/>
    </row>
    <row r="966" spans="1:25" ht="15.75">
      <c r="A966" s="140">
        <v>958</v>
      </c>
      <c r="B966" s="237"/>
      <c r="C966" s="268"/>
      <c r="D966" s="268"/>
      <c r="E966" s="278"/>
      <c r="F966" s="262"/>
      <c r="G966" s="276"/>
      <c r="H966" s="241"/>
      <c r="I966" s="276"/>
      <c r="J966" s="237"/>
      <c r="K966" s="237"/>
      <c r="L966" s="145"/>
      <c r="M966" s="753"/>
      <c r="N966" s="238"/>
      <c r="O966" s="238"/>
      <c r="P966" s="238"/>
      <c r="Q966" s="238"/>
      <c r="R966" s="238"/>
      <c r="S966" s="238"/>
      <c r="T966" s="238"/>
      <c r="U966"/>
      <c r="V966"/>
      <c r="W966"/>
      <c r="X966"/>
      <c r="Y966"/>
    </row>
    <row r="967" spans="1:25" ht="15.75">
      <c r="A967" s="140">
        <v>959</v>
      </c>
      <c r="B967" s="237"/>
      <c r="C967" s="238"/>
      <c r="D967" s="238"/>
      <c r="E967" s="278"/>
      <c r="F967" s="750"/>
      <c r="G967" s="276"/>
      <c r="H967" s="241"/>
      <c r="I967" s="276"/>
      <c r="J967" s="237"/>
      <c r="K967" s="237"/>
      <c r="L967" s="145"/>
      <c r="M967" s="753"/>
      <c r="N967" s="238"/>
      <c r="O967" s="238"/>
      <c r="P967" s="238"/>
      <c r="Q967" s="238"/>
      <c r="R967" s="238"/>
      <c r="S967" s="238"/>
      <c r="T967" s="238"/>
      <c r="U967"/>
      <c r="V967"/>
      <c r="W967"/>
      <c r="X967"/>
      <c r="Y967"/>
    </row>
    <row r="968" spans="1:25" ht="15.75">
      <c r="A968" s="140">
        <v>960</v>
      </c>
      <c r="B968" s="237"/>
      <c r="C968" s="719"/>
      <c r="D968" s="719"/>
      <c r="E968" s="278"/>
      <c r="F968" s="262"/>
      <c r="G968" s="276"/>
      <c r="H968" s="241"/>
      <c r="I968" s="276"/>
      <c r="J968" s="237"/>
      <c r="K968" s="237"/>
      <c r="L968" s="145"/>
      <c r="M968" s="753"/>
      <c r="N968" s="238"/>
      <c r="O968" s="238"/>
      <c r="P968" s="238"/>
      <c r="Q968" s="238"/>
      <c r="R968" s="238"/>
      <c r="S968" s="238"/>
      <c r="T968" s="238"/>
      <c r="U968"/>
      <c r="V968"/>
      <c r="W968"/>
      <c r="X968"/>
      <c r="Y968"/>
    </row>
    <row r="969" spans="1:25" ht="15.75">
      <c r="A969" s="140">
        <v>961</v>
      </c>
      <c r="B969" s="237"/>
      <c r="C969" s="268"/>
      <c r="D969" s="268"/>
      <c r="E969" s="278"/>
      <c r="F969" s="262"/>
      <c r="G969" s="276"/>
      <c r="H969" s="241"/>
      <c r="I969" s="276"/>
      <c r="J969" s="237"/>
      <c r="K969" s="237"/>
      <c r="L969" s="145"/>
      <c r="M969" s="753"/>
      <c r="N969" s="238"/>
      <c r="O969" s="238"/>
      <c r="P969" s="238"/>
      <c r="Q969" s="238"/>
      <c r="R969" s="238"/>
      <c r="S969" s="238"/>
      <c r="T969" s="238"/>
      <c r="U969"/>
      <c r="V969"/>
      <c r="W969"/>
      <c r="X969"/>
      <c r="Y969"/>
    </row>
    <row r="970" spans="1:25" ht="15.75">
      <c r="A970" s="140">
        <v>962</v>
      </c>
      <c r="B970" s="237"/>
      <c r="C970" s="268"/>
      <c r="D970" s="268"/>
      <c r="E970" s="278"/>
      <c r="F970" s="266"/>
      <c r="G970" s="276"/>
      <c r="H970" s="241"/>
      <c r="I970" s="276"/>
      <c r="J970" s="237"/>
      <c r="K970" s="237"/>
      <c r="L970" s="145"/>
      <c r="M970" s="753"/>
      <c r="N970" s="238"/>
      <c r="O970" s="238"/>
      <c r="P970" s="238"/>
      <c r="Q970" s="238"/>
      <c r="R970" s="238"/>
      <c r="S970" s="238"/>
      <c r="T970" s="238"/>
      <c r="U970"/>
      <c r="V970"/>
      <c r="W970"/>
      <c r="X970"/>
      <c r="Y970"/>
    </row>
    <row r="971" spans="1:25" ht="15.75">
      <c r="A971" s="140">
        <v>963</v>
      </c>
      <c r="B971" s="237"/>
      <c r="C971" s="268"/>
      <c r="D971" s="268"/>
      <c r="E971" s="278"/>
      <c r="F971" s="258"/>
      <c r="G971" s="276"/>
      <c r="H971" s="241"/>
      <c r="I971" s="276"/>
      <c r="J971" s="237"/>
      <c r="K971" s="237"/>
      <c r="L971" s="145"/>
      <c r="M971" s="753"/>
      <c r="N971" s="238"/>
      <c r="O971" s="238"/>
      <c r="P971" s="238"/>
      <c r="Q971" s="238"/>
      <c r="R971" s="238"/>
      <c r="S971" s="238"/>
      <c r="T971" s="238"/>
      <c r="U971"/>
      <c r="V971"/>
      <c r="W971"/>
      <c r="X971"/>
      <c r="Y971"/>
    </row>
    <row r="972" spans="1:25" ht="15.75">
      <c r="A972" s="140">
        <v>964</v>
      </c>
      <c r="B972" s="237"/>
      <c r="C972" s="238"/>
      <c r="D972" s="238"/>
      <c r="E972" s="278"/>
      <c r="F972" s="262"/>
      <c r="G972" s="276"/>
      <c r="H972" s="242"/>
      <c r="I972" s="276"/>
      <c r="J972" s="237"/>
      <c r="K972" s="237"/>
      <c r="L972" s="145"/>
      <c r="M972" s="753"/>
      <c r="N972" s="238"/>
      <c r="O972" s="238"/>
      <c r="P972" s="238"/>
      <c r="Q972" s="238"/>
      <c r="R972" s="238"/>
      <c r="S972" s="238"/>
      <c r="T972" s="238"/>
      <c r="U972"/>
      <c r="V972"/>
      <c r="W972"/>
      <c r="X972"/>
      <c r="Y972"/>
    </row>
    <row r="973" spans="1:25" ht="15.75">
      <c r="A973" s="140">
        <v>965</v>
      </c>
      <c r="B973" s="237"/>
      <c r="C973" s="720"/>
      <c r="D973" s="720"/>
      <c r="E973" s="278"/>
      <c r="F973" s="262"/>
      <c r="G973" s="276"/>
      <c r="H973" s="242"/>
      <c r="I973" s="276"/>
      <c r="J973" s="237"/>
      <c r="K973" s="237"/>
      <c r="L973" s="145"/>
      <c r="M973" s="753"/>
      <c r="N973" s="238"/>
      <c r="O973" s="238"/>
      <c r="P973" s="238"/>
      <c r="Q973" s="238"/>
      <c r="R973" s="238"/>
      <c r="S973" s="238"/>
      <c r="T973" s="238"/>
      <c r="U973"/>
      <c r="V973"/>
      <c r="W973"/>
      <c r="X973"/>
      <c r="Y973"/>
    </row>
    <row r="974" spans="1:25" ht="15.75">
      <c r="A974" s="140">
        <v>966</v>
      </c>
      <c r="B974" s="237"/>
      <c r="C974" s="268"/>
      <c r="D974" s="268"/>
      <c r="E974" s="278"/>
      <c r="F974" s="262"/>
      <c r="G974" s="276"/>
      <c r="H974" s="241"/>
      <c r="I974" s="276"/>
      <c r="J974" s="237"/>
      <c r="K974" s="237"/>
      <c r="L974" s="145"/>
      <c r="M974" s="753"/>
      <c r="N974" s="238"/>
      <c r="O974" s="238"/>
      <c r="P974" s="238"/>
      <c r="Q974" s="238"/>
      <c r="R974" s="238"/>
      <c r="S974" s="238"/>
      <c r="T974" s="238"/>
      <c r="U974"/>
      <c r="V974"/>
      <c r="W974"/>
      <c r="X974"/>
      <c r="Y974"/>
    </row>
    <row r="975" spans="1:25" ht="15.75">
      <c r="A975" s="140">
        <v>967</v>
      </c>
      <c r="B975" s="237"/>
      <c r="C975" s="719"/>
      <c r="D975" s="747"/>
      <c r="E975" s="278"/>
      <c r="F975" s="262"/>
      <c r="G975" s="276"/>
      <c r="H975" s="241"/>
      <c r="I975" s="276"/>
      <c r="J975" s="237"/>
      <c r="K975" s="237"/>
      <c r="L975" s="145"/>
      <c r="M975" s="753"/>
      <c r="N975" s="238"/>
      <c r="O975" s="238"/>
      <c r="P975" s="238"/>
      <c r="Q975" s="238"/>
      <c r="R975" s="238"/>
      <c r="S975" s="238"/>
      <c r="T975" s="238"/>
      <c r="U975"/>
      <c r="V975"/>
      <c r="W975"/>
      <c r="X975"/>
      <c r="Y975"/>
    </row>
    <row r="976" spans="1:25" ht="15.75">
      <c r="A976" s="140">
        <v>968</v>
      </c>
      <c r="B976" s="237"/>
      <c r="C976" s="720"/>
      <c r="D976" s="720"/>
      <c r="E976" s="278"/>
      <c r="F976" s="262"/>
      <c r="G976" s="276"/>
      <c r="H976" s="242"/>
      <c r="I976" s="276"/>
      <c r="J976" s="237"/>
      <c r="K976" s="237"/>
      <c r="L976" s="145"/>
      <c r="M976" s="753"/>
      <c r="N976" s="238"/>
      <c r="O976" s="238"/>
      <c r="P976" s="238"/>
      <c r="Q976" s="238"/>
      <c r="R976" s="238"/>
      <c r="S976" s="238"/>
      <c r="T976" s="238"/>
      <c r="U976"/>
      <c r="V976"/>
      <c r="W976"/>
      <c r="X976"/>
      <c r="Y976"/>
    </row>
    <row r="977" spans="1:25" ht="15.75">
      <c r="A977" s="140">
        <v>969</v>
      </c>
      <c r="B977" s="237"/>
      <c r="C977" s="719"/>
      <c r="D977" s="719"/>
      <c r="E977" s="278"/>
      <c r="F977" s="402"/>
      <c r="G977" s="276"/>
      <c r="H977" s="241"/>
      <c r="I977" s="276"/>
      <c r="J977" s="237"/>
      <c r="K977" s="237"/>
      <c r="L977" s="145"/>
      <c r="M977" s="753"/>
      <c r="N977" s="238"/>
      <c r="O977" s="238"/>
      <c r="P977" s="238"/>
      <c r="Q977" s="238"/>
      <c r="R977" s="238"/>
      <c r="S977" s="238"/>
      <c r="T977" s="238"/>
      <c r="U977"/>
      <c r="V977"/>
      <c r="W977"/>
      <c r="X977"/>
      <c r="Y977"/>
    </row>
    <row r="978" spans="1:25" ht="15.75">
      <c r="A978" s="140">
        <v>970</v>
      </c>
      <c r="B978" s="237"/>
      <c r="C978" s="268"/>
      <c r="D978" s="268"/>
      <c r="E978" s="278"/>
      <c r="F978" s="267"/>
      <c r="G978" s="276"/>
      <c r="H978" s="241"/>
      <c r="I978" s="276"/>
      <c r="J978" s="237"/>
      <c r="K978" s="237"/>
      <c r="L978" s="145"/>
      <c r="M978" s="753"/>
      <c r="N978" s="238"/>
      <c r="O978" s="238"/>
      <c r="P978" s="238"/>
      <c r="Q978" s="238"/>
      <c r="R978" s="238"/>
      <c r="S978" s="238"/>
      <c r="T978" s="238"/>
      <c r="U978"/>
      <c r="V978"/>
      <c r="W978"/>
      <c r="X978"/>
      <c r="Y978"/>
    </row>
    <row r="979" spans="1:25" ht="15.75">
      <c r="A979" s="140">
        <v>971</v>
      </c>
      <c r="B979" s="237"/>
      <c r="C979" s="719"/>
      <c r="D979" s="719"/>
      <c r="E979" s="278"/>
      <c r="F979" s="262"/>
      <c r="G979" s="276"/>
      <c r="H979" s="242"/>
      <c r="I979" s="276"/>
      <c r="J979" s="237"/>
      <c r="K979" s="237"/>
      <c r="L979" s="145"/>
      <c r="M979" s="753"/>
      <c r="N979" s="238"/>
      <c r="O979" s="238"/>
      <c r="P979" s="238"/>
      <c r="Q979" s="238"/>
      <c r="R979" s="238"/>
      <c r="S979" s="238"/>
      <c r="T979" s="238"/>
      <c r="U979"/>
      <c r="V979"/>
      <c r="W979"/>
      <c r="X979"/>
      <c r="Y979"/>
    </row>
    <row r="980" spans="1:25" ht="15.75">
      <c r="A980" s="140">
        <v>972</v>
      </c>
      <c r="B980" s="237"/>
      <c r="C980" s="268"/>
      <c r="D980" s="268"/>
      <c r="E980" s="278"/>
      <c r="F980" s="247"/>
      <c r="G980" s="276"/>
      <c r="H980" s="242"/>
      <c r="I980" s="276"/>
      <c r="J980" s="237"/>
      <c r="K980" s="237"/>
      <c r="L980" s="145"/>
      <c r="M980" s="753"/>
      <c r="N980" s="238"/>
      <c r="O980" s="238"/>
      <c r="P980" s="238"/>
      <c r="Q980" s="238"/>
      <c r="R980" s="238"/>
      <c r="S980" s="238"/>
      <c r="T980" s="238"/>
      <c r="U980"/>
      <c r="V980"/>
      <c r="W980"/>
      <c r="X980"/>
      <c r="Y980"/>
    </row>
    <row r="981" spans="1:25" ht="15.75">
      <c r="A981" s="140">
        <v>973</v>
      </c>
      <c r="B981" s="237"/>
      <c r="C981" s="279"/>
      <c r="D981" s="279"/>
      <c r="E981" s="278"/>
      <c r="F981" s="248"/>
      <c r="G981" s="276"/>
      <c r="H981" s="241"/>
      <c r="I981" s="276"/>
      <c r="J981" s="237"/>
      <c r="K981" s="237"/>
      <c r="L981" s="145"/>
      <c r="M981" s="753"/>
      <c r="N981" s="238"/>
      <c r="O981" s="238"/>
      <c r="P981" s="238"/>
      <c r="Q981" s="238"/>
      <c r="R981" s="238"/>
      <c r="S981" s="238"/>
      <c r="T981" s="238"/>
      <c r="U981"/>
      <c r="V981"/>
      <c r="W981"/>
      <c r="X981"/>
      <c r="Y981"/>
    </row>
    <row r="982" spans="1:25" ht="15.75">
      <c r="A982" s="140">
        <v>974</v>
      </c>
      <c r="B982" s="237"/>
      <c r="C982" s="279"/>
      <c r="D982" s="279"/>
      <c r="E982" s="278"/>
      <c r="F982" s="248"/>
      <c r="G982" s="276"/>
      <c r="H982" s="240"/>
      <c r="I982" s="276"/>
      <c r="J982" s="237"/>
      <c r="K982" s="237"/>
      <c r="L982" s="145"/>
      <c r="M982" s="753"/>
      <c r="N982" s="238"/>
      <c r="O982" s="238"/>
      <c r="P982" s="238"/>
      <c r="Q982" s="238"/>
      <c r="R982" s="238"/>
      <c r="S982" s="238"/>
      <c r="T982" s="238"/>
      <c r="U982"/>
      <c r="V982"/>
      <c r="W982"/>
      <c r="X982"/>
      <c r="Y982"/>
    </row>
    <row r="983" spans="1:25" ht="15.75">
      <c r="A983" s="140">
        <v>975</v>
      </c>
      <c r="B983" s="237"/>
      <c r="C983" s="279"/>
      <c r="D983" s="279"/>
      <c r="E983" s="278"/>
      <c r="F983" s="248"/>
      <c r="G983" s="276"/>
      <c r="H983" s="240"/>
      <c r="I983" s="276"/>
      <c r="J983" s="237"/>
      <c r="K983" s="237"/>
      <c r="L983" s="145"/>
      <c r="M983" s="753"/>
      <c r="N983" s="238"/>
      <c r="O983" s="238"/>
      <c r="P983" s="238"/>
      <c r="Q983" s="238"/>
      <c r="R983" s="238"/>
      <c r="S983" s="238"/>
      <c r="T983" s="238"/>
      <c r="U983"/>
      <c r="V983"/>
      <c r="W983"/>
      <c r="X983"/>
      <c r="Y983"/>
    </row>
    <row r="984" spans="1:25" ht="15.75">
      <c r="A984" s="140">
        <v>976</v>
      </c>
      <c r="B984" s="237"/>
      <c r="C984" s="268"/>
      <c r="D984" s="268"/>
      <c r="E984" s="278"/>
      <c r="F984" s="247"/>
      <c r="G984" s="276"/>
      <c r="H984" s="240"/>
      <c r="I984" s="276"/>
      <c r="J984" s="237"/>
      <c r="K984" s="237"/>
      <c r="L984" s="145"/>
      <c r="M984" s="753"/>
      <c r="N984" s="238"/>
      <c r="O984" s="238"/>
      <c r="P984" s="238"/>
      <c r="Q984" s="238"/>
      <c r="R984" s="238"/>
      <c r="S984" s="238"/>
      <c r="T984" s="238"/>
      <c r="U984"/>
      <c r="V984"/>
      <c r="W984"/>
      <c r="X984"/>
      <c r="Y984"/>
    </row>
    <row r="985" spans="1:25" ht="15.75">
      <c r="A985" s="140">
        <v>977</v>
      </c>
      <c r="B985" s="237"/>
      <c r="C985" s="268"/>
      <c r="D985" s="268"/>
      <c r="E985" s="278"/>
      <c r="F985" s="247"/>
      <c r="G985" s="276"/>
      <c r="H985" s="240"/>
      <c r="I985" s="276"/>
      <c r="J985" s="237"/>
      <c r="K985" s="237"/>
      <c r="L985" s="145"/>
      <c r="M985" s="753"/>
      <c r="N985" s="238"/>
      <c r="O985" s="238"/>
      <c r="P985" s="238"/>
      <c r="Q985" s="238"/>
      <c r="R985" s="238"/>
      <c r="S985" s="238"/>
      <c r="T985" s="238"/>
      <c r="U985"/>
      <c r="V985"/>
      <c r="W985"/>
      <c r="X985"/>
      <c r="Y985"/>
    </row>
    <row r="986" spans="1:25" ht="15.75">
      <c r="A986" s="140">
        <v>978</v>
      </c>
      <c r="B986" s="237"/>
      <c r="C986" s="268"/>
      <c r="D986" s="268"/>
      <c r="E986" s="278"/>
      <c r="F986" s="402"/>
      <c r="G986" s="276"/>
      <c r="H986" s="240"/>
      <c r="I986" s="276"/>
      <c r="J986" s="237"/>
      <c r="K986" s="237"/>
      <c r="L986" s="145"/>
      <c r="M986" s="753"/>
      <c r="N986" s="238"/>
      <c r="O986" s="238"/>
      <c r="P986" s="238"/>
      <c r="Q986" s="238"/>
      <c r="R986" s="238"/>
      <c r="S986" s="238"/>
      <c r="T986" s="238"/>
      <c r="U986"/>
      <c r="V986"/>
      <c r="W986"/>
      <c r="X986"/>
      <c r="Y986"/>
    </row>
    <row r="987" spans="1:25" ht="15.75">
      <c r="A987" s="140">
        <v>979</v>
      </c>
      <c r="B987" s="237"/>
      <c r="C987" s="719"/>
      <c r="D987" s="719"/>
      <c r="E987" s="278"/>
      <c r="F987" s="262"/>
      <c r="G987" s="276"/>
      <c r="H987" s="241"/>
      <c r="I987" s="276"/>
      <c r="J987" s="237"/>
      <c r="K987" s="237"/>
      <c r="L987" s="145"/>
      <c r="M987" s="753"/>
      <c r="N987" s="238"/>
      <c r="O987" s="238"/>
      <c r="P987" s="238"/>
      <c r="Q987" s="238"/>
      <c r="R987" s="238"/>
      <c r="S987" s="238"/>
      <c r="T987" s="238"/>
      <c r="U987"/>
      <c r="V987"/>
      <c r="W987"/>
      <c r="X987"/>
      <c r="Y987"/>
    </row>
    <row r="988" spans="1:25" ht="15.75">
      <c r="A988" s="140">
        <v>980</v>
      </c>
      <c r="B988" s="237"/>
      <c r="C988" s="719"/>
      <c r="D988" s="719"/>
      <c r="E988" s="278"/>
      <c r="F988" s="262"/>
      <c r="G988" s="276"/>
      <c r="H988" s="241"/>
      <c r="I988" s="276"/>
      <c r="J988" s="237"/>
      <c r="K988" s="237"/>
      <c r="L988" s="145"/>
      <c r="M988" s="753"/>
      <c r="N988" s="238"/>
      <c r="O988" s="238"/>
      <c r="P988" s="238"/>
      <c r="Q988" s="238"/>
      <c r="R988" s="238"/>
      <c r="S988" s="238"/>
      <c r="T988" s="238"/>
      <c r="U988"/>
      <c r="V988"/>
      <c r="W988"/>
      <c r="X988"/>
      <c r="Y988"/>
    </row>
    <row r="989" spans="1:25" ht="15.75">
      <c r="A989" s="140">
        <v>981</v>
      </c>
      <c r="B989" s="237"/>
      <c r="C989" s="268"/>
      <c r="D989" s="268"/>
      <c r="E989" s="278"/>
      <c r="F989" s="247"/>
      <c r="G989" s="276"/>
      <c r="H989" s="242"/>
      <c r="I989" s="276"/>
      <c r="J989" s="237"/>
      <c r="K989" s="237"/>
      <c r="L989" s="145"/>
      <c r="M989" s="753"/>
      <c r="N989" s="238"/>
      <c r="O989" s="238"/>
      <c r="P989" s="238"/>
      <c r="Q989" s="238"/>
      <c r="R989" s="238"/>
      <c r="S989" s="238"/>
      <c r="T989" s="238"/>
      <c r="U989"/>
      <c r="V989"/>
      <c r="W989"/>
      <c r="X989"/>
      <c r="Y989"/>
    </row>
    <row r="990" spans="1:25" ht="15.75">
      <c r="A990" s="140">
        <v>982</v>
      </c>
      <c r="B990" s="237"/>
      <c r="C990" s="238"/>
      <c r="D990" s="238"/>
      <c r="E990" s="278"/>
      <c r="F990" s="750"/>
      <c r="G990" s="276"/>
      <c r="H990" s="242"/>
      <c r="I990" s="276"/>
      <c r="J990" s="237"/>
      <c r="K990" s="237"/>
      <c r="L990" s="145"/>
      <c r="M990" s="753"/>
      <c r="N990" s="238"/>
      <c r="O990" s="238"/>
      <c r="P990" s="238"/>
      <c r="Q990" s="238"/>
      <c r="R990" s="238"/>
      <c r="S990" s="238"/>
      <c r="T990" s="238"/>
      <c r="U990"/>
      <c r="V990"/>
      <c r="W990"/>
      <c r="X990"/>
      <c r="Y990"/>
    </row>
    <row r="991" spans="1:25" ht="15.75">
      <c r="A991" s="140">
        <v>983</v>
      </c>
      <c r="B991" s="237"/>
      <c r="C991" s="719"/>
      <c r="D991" s="719"/>
      <c r="E991" s="278"/>
      <c r="F991" s="266"/>
      <c r="G991" s="276"/>
      <c r="H991" s="241"/>
      <c r="I991" s="276"/>
      <c r="J991" s="237"/>
      <c r="K991" s="237"/>
      <c r="L991" s="145"/>
      <c r="M991" s="753"/>
      <c r="N991" s="238"/>
      <c r="O991" s="238"/>
      <c r="P991" s="238"/>
      <c r="Q991" s="238"/>
      <c r="R991" s="238"/>
      <c r="S991" s="238"/>
      <c r="T991" s="238"/>
      <c r="U991"/>
      <c r="V991"/>
      <c r="W991"/>
      <c r="X991"/>
      <c r="Y991"/>
    </row>
    <row r="992" spans="1:25" ht="15.75">
      <c r="A992" s="140">
        <v>984</v>
      </c>
      <c r="B992" s="237"/>
      <c r="C992" s="719"/>
      <c r="D992" s="719"/>
      <c r="E992" s="278"/>
      <c r="F992" s="266"/>
      <c r="G992" s="276"/>
      <c r="H992" s="242"/>
      <c r="I992" s="276"/>
      <c r="J992" s="237"/>
      <c r="K992" s="237"/>
      <c r="L992" s="145"/>
      <c r="M992" s="753"/>
      <c r="N992" s="238"/>
      <c r="O992" s="238"/>
      <c r="P992" s="238"/>
      <c r="Q992" s="238"/>
      <c r="R992" s="238"/>
      <c r="S992" s="238"/>
      <c r="T992" s="238"/>
      <c r="U992"/>
      <c r="V992"/>
      <c r="W992"/>
      <c r="X992"/>
      <c r="Y992"/>
    </row>
    <row r="993" spans="1:25" ht="15.75">
      <c r="A993" s="140">
        <v>985</v>
      </c>
      <c r="B993" s="237"/>
      <c r="C993" s="268"/>
      <c r="D993" s="268"/>
      <c r="E993" s="278"/>
      <c r="F993" s="262"/>
      <c r="G993" s="276"/>
      <c r="H993" s="242"/>
      <c r="I993" s="276"/>
      <c r="J993" s="237"/>
      <c r="K993" s="237"/>
      <c r="L993" s="145"/>
      <c r="M993" s="753"/>
      <c r="N993" s="238"/>
      <c r="O993" s="238"/>
      <c r="P993" s="238"/>
      <c r="Q993" s="238"/>
      <c r="R993" s="238"/>
      <c r="S993" s="238"/>
      <c r="T993" s="238"/>
      <c r="U993"/>
      <c r="V993"/>
      <c r="W993"/>
      <c r="X993"/>
      <c r="Y993"/>
    </row>
    <row r="994" spans="1:25" ht="15.75">
      <c r="A994" s="140">
        <v>986</v>
      </c>
      <c r="B994" s="237"/>
      <c r="C994" s="719"/>
      <c r="D994" s="719"/>
      <c r="E994" s="278"/>
      <c r="F994" s="262"/>
      <c r="G994" s="276"/>
      <c r="H994" s="242"/>
      <c r="I994" s="276"/>
      <c r="J994" s="237"/>
      <c r="K994" s="237"/>
      <c r="L994" s="145"/>
      <c r="M994" s="753"/>
      <c r="N994" s="238"/>
      <c r="O994" s="238"/>
      <c r="P994" s="238"/>
      <c r="Q994" s="238"/>
      <c r="R994" s="238"/>
      <c r="S994" s="238"/>
      <c r="T994" s="238"/>
      <c r="U994"/>
      <c r="V994"/>
      <c r="W994"/>
      <c r="X994"/>
      <c r="Y994"/>
    </row>
    <row r="995" spans="1:25" ht="15.75">
      <c r="A995" s="140">
        <v>987</v>
      </c>
      <c r="B995" s="237"/>
      <c r="C995" s="268"/>
      <c r="D995" s="268"/>
      <c r="E995" s="278"/>
      <c r="F995" s="262"/>
      <c r="G995" s="276"/>
      <c r="H995" s="242"/>
      <c r="I995" s="276"/>
      <c r="J995" s="237"/>
      <c r="K995" s="237"/>
      <c r="L995" s="145"/>
      <c r="M995" s="753"/>
      <c r="N995" s="238"/>
      <c r="O995" s="238"/>
      <c r="P995" s="238"/>
      <c r="Q995" s="238"/>
      <c r="R995" s="238"/>
      <c r="S995" s="238"/>
      <c r="T995" s="238"/>
      <c r="U995"/>
      <c r="V995"/>
      <c r="W995"/>
      <c r="X995"/>
      <c r="Y995"/>
    </row>
    <row r="996" spans="1:25" ht="15.75">
      <c r="A996" s="140">
        <v>988</v>
      </c>
      <c r="B996" s="237"/>
      <c r="C996" s="751"/>
      <c r="D996" s="238"/>
      <c r="E996" s="278"/>
      <c r="F996" s="263"/>
      <c r="G996" s="276"/>
      <c r="H996" s="242"/>
      <c r="I996" s="276"/>
      <c r="J996" s="237"/>
      <c r="K996" s="237"/>
      <c r="L996" s="145"/>
      <c r="M996" s="753"/>
      <c r="N996" s="238"/>
      <c r="O996" s="238"/>
      <c r="P996" s="238"/>
      <c r="Q996" s="238"/>
      <c r="R996" s="238"/>
      <c r="S996" s="238"/>
      <c r="T996" s="238"/>
      <c r="U996"/>
      <c r="V996"/>
      <c r="W996"/>
      <c r="X996"/>
      <c r="Y996"/>
    </row>
    <row r="997" spans="1:25" ht="15.75">
      <c r="A997" s="140">
        <v>989</v>
      </c>
      <c r="B997" s="237"/>
      <c r="C997" s="719"/>
      <c r="D997" s="719"/>
      <c r="E997" s="278"/>
      <c r="F997" s="247"/>
      <c r="G997" s="276"/>
      <c r="H997" s="241"/>
      <c r="I997" s="276"/>
      <c r="J997" s="237"/>
      <c r="K997" s="237"/>
      <c r="L997" s="145"/>
      <c r="M997" s="753"/>
      <c r="N997" s="238"/>
      <c r="O997" s="238"/>
      <c r="P997" s="238"/>
      <c r="Q997" s="238"/>
      <c r="R997" s="238"/>
      <c r="S997" s="238"/>
      <c r="T997" s="238"/>
      <c r="U997"/>
      <c r="V997"/>
      <c r="W997"/>
      <c r="X997"/>
      <c r="Y997"/>
    </row>
    <row r="998" spans="1:25" ht="15.75">
      <c r="A998" s="140">
        <v>990</v>
      </c>
      <c r="B998" s="237"/>
      <c r="C998" s="752"/>
      <c r="D998" s="752"/>
      <c r="E998" s="278"/>
      <c r="F998" s="267"/>
      <c r="G998" s="276"/>
      <c r="H998" s="242"/>
      <c r="I998" s="276"/>
      <c r="J998" s="248"/>
      <c r="K998" s="248"/>
      <c r="L998" s="269"/>
      <c r="M998" s="753"/>
      <c r="N998" s="238"/>
      <c r="O998" s="238"/>
      <c r="P998" s="238"/>
      <c r="Q998" s="238"/>
      <c r="R998" s="238"/>
      <c r="S998" s="238"/>
      <c r="T998" s="238"/>
      <c r="U998"/>
      <c r="V998"/>
      <c r="W998"/>
      <c r="X998"/>
      <c r="Y998"/>
    </row>
    <row r="999" spans="1:25" ht="15.75">
      <c r="A999" s="140">
        <v>991</v>
      </c>
      <c r="B999" s="237"/>
      <c r="C999" s="719"/>
      <c r="D999" s="719"/>
      <c r="E999" s="278"/>
      <c r="F999" s="263"/>
      <c r="G999" s="276"/>
      <c r="H999" s="241"/>
      <c r="I999" s="276"/>
      <c r="J999" s="237"/>
      <c r="K999" s="237"/>
      <c r="L999" s="145"/>
      <c r="M999" s="753"/>
      <c r="N999" s="238"/>
      <c r="O999" s="238"/>
      <c r="P999" s="238"/>
      <c r="Q999" s="238"/>
      <c r="R999" s="238"/>
      <c r="S999" s="238"/>
      <c r="T999" s="238"/>
      <c r="U999"/>
      <c r="V999"/>
      <c r="W999"/>
      <c r="X999"/>
      <c r="Y999"/>
    </row>
    <row r="1000" spans="1:25" ht="15.75">
      <c r="A1000" s="140">
        <v>992</v>
      </c>
      <c r="B1000" s="237"/>
      <c r="C1000" s="719"/>
      <c r="D1000" s="719"/>
      <c r="E1000" s="278"/>
      <c r="F1000" s="262"/>
      <c r="G1000" s="276"/>
      <c r="H1000" s="242"/>
      <c r="I1000" s="276"/>
      <c r="J1000" s="237"/>
      <c r="K1000" s="237"/>
      <c r="L1000" s="145"/>
      <c r="M1000" s="753"/>
      <c r="N1000" s="238"/>
      <c r="O1000" s="238"/>
      <c r="P1000" s="238"/>
      <c r="Q1000" s="238"/>
      <c r="R1000" s="238"/>
      <c r="S1000" s="238"/>
      <c r="T1000" s="238"/>
      <c r="U1000"/>
      <c r="V1000"/>
      <c r="W1000"/>
      <c r="X1000"/>
      <c r="Y1000"/>
    </row>
    <row r="1001" spans="1:25" ht="15.75">
      <c r="A1001" s="140">
        <v>993</v>
      </c>
      <c r="B1001" s="237"/>
      <c r="C1001" s="268"/>
      <c r="D1001" s="268"/>
      <c r="E1001" s="278"/>
      <c r="F1001" s="262"/>
      <c r="G1001" s="276"/>
      <c r="H1001" s="241"/>
      <c r="I1001" s="276"/>
      <c r="J1001" s="237"/>
      <c r="K1001" s="237"/>
      <c r="L1001" s="145"/>
      <c r="M1001" s="753"/>
      <c r="N1001" s="238"/>
      <c r="O1001" s="238"/>
      <c r="P1001" s="238"/>
      <c r="Q1001" s="238"/>
      <c r="R1001" s="238"/>
      <c r="S1001" s="238"/>
      <c r="T1001" s="238"/>
      <c r="U1001"/>
      <c r="V1001"/>
      <c r="W1001"/>
      <c r="X1001"/>
      <c r="Y1001"/>
    </row>
    <row r="1002" spans="1:25" ht="15.75">
      <c r="A1002" s="140">
        <v>994</v>
      </c>
      <c r="B1002" s="237"/>
      <c r="C1002" s="238"/>
      <c r="D1002" s="238"/>
      <c r="E1002" s="278"/>
      <c r="F1002" s="263"/>
      <c r="G1002" s="276"/>
      <c r="H1002" s="242"/>
      <c r="I1002" s="276"/>
      <c r="J1002" s="237"/>
      <c r="K1002" s="237"/>
      <c r="L1002" s="145"/>
      <c r="M1002" s="753"/>
      <c r="N1002" s="238"/>
      <c r="O1002" s="238"/>
      <c r="P1002" s="238"/>
      <c r="Q1002" s="238"/>
      <c r="R1002" s="238"/>
      <c r="S1002" s="238"/>
      <c r="T1002" s="238"/>
      <c r="U1002"/>
      <c r="V1002"/>
      <c r="W1002"/>
      <c r="X1002"/>
      <c r="Y1002"/>
    </row>
    <row r="1003" spans="1:25" ht="15.75">
      <c r="A1003" s="140">
        <v>995</v>
      </c>
      <c r="B1003" s="237"/>
      <c r="C1003" s="719"/>
      <c r="D1003" s="719"/>
      <c r="E1003" s="278"/>
      <c r="F1003" s="262"/>
      <c r="G1003" s="276"/>
      <c r="H1003" s="242"/>
      <c r="I1003" s="276"/>
      <c r="J1003" s="237"/>
      <c r="K1003" s="237"/>
      <c r="L1003" s="145"/>
      <c r="M1003" s="753"/>
      <c r="N1003" s="238"/>
      <c r="O1003" s="238"/>
      <c r="P1003" s="238"/>
      <c r="Q1003" s="238"/>
      <c r="R1003" s="238"/>
      <c r="S1003" s="238"/>
      <c r="T1003" s="238"/>
      <c r="U1003"/>
      <c r="V1003"/>
      <c r="W1003"/>
      <c r="X1003"/>
      <c r="Y1003"/>
    </row>
    <row r="1004" spans="1:25" ht="15.75">
      <c r="A1004" s="140">
        <v>996</v>
      </c>
      <c r="B1004" s="237"/>
      <c r="C1004" s="268"/>
      <c r="D1004" s="268"/>
      <c r="E1004" s="278"/>
      <c r="F1004" s="262"/>
      <c r="G1004" s="276"/>
      <c r="H1004" s="242"/>
      <c r="I1004" s="276"/>
      <c r="J1004" s="237"/>
      <c r="K1004" s="237"/>
      <c r="L1004" s="145"/>
      <c r="M1004" s="753"/>
      <c r="N1004" s="238"/>
      <c r="O1004" s="238"/>
      <c r="P1004" s="238"/>
      <c r="Q1004" s="238"/>
      <c r="R1004" s="238"/>
      <c r="S1004" s="238"/>
      <c r="T1004" s="238"/>
      <c r="U1004"/>
      <c r="V1004"/>
      <c r="W1004"/>
      <c r="X1004"/>
      <c r="Y1004"/>
    </row>
    <row r="1005" spans="1:25" ht="15.75">
      <c r="A1005" s="140">
        <v>997</v>
      </c>
      <c r="B1005" s="237"/>
      <c r="C1005" s="268"/>
      <c r="D1005" s="268"/>
      <c r="E1005" s="278"/>
      <c r="F1005" s="262"/>
      <c r="G1005" s="276"/>
      <c r="H1005" s="241"/>
      <c r="I1005" s="276"/>
      <c r="J1005" s="237"/>
      <c r="K1005" s="237"/>
      <c r="L1005" s="145"/>
      <c r="M1005" s="753"/>
      <c r="N1005" s="238"/>
      <c r="O1005" s="238"/>
      <c r="P1005" s="238"/>
      <c r="Q1005" s="238"/>
      <c r="R1005" s="238"/>
      <c r="S1005" s="238"/>
      <c r="T1005" s="238"/>
      <c r="U1005"/>
      <c r="V1005"/>
      <c r="W1005"/>
      <c r="X1005"/>
      <c r="Y1005"/>
    </row>
    <row r="1006" spans="1:25" ht="15.75">
      <c r="A1006" s="140">
        <v>998</v>
      </c>
      <c r="B1006" s="237"/>
      <c r="C1006" s="268"/>
      <c r="D1006" s="268"/>
      <c r="E1006" s="278"/>
      <c r="F1006" s="262"/>
      <c r="G1006" s="276"/>
      <c r="H1006" s="241"/>
      <c r="I1006" s="276"/>
      <c r="J1006" s="237"/>
      <c r="K1006" s="237"/>
      <c r="L1006" s="145"/>
      <c r="M1006" s="753"/>
      <c r="N1006" s="238"/>
      <c r="O1006" s="238"/>
      <c r="P1006" s="238"/>
      <c r="Q1006" s="238"/>
      <c r="R1006" s="238"/>
      <c r="S1006" s="238"/>
      <c r="T1006" s="238"/>
      <c r="U1006"/>
      <c r="V1006"/>
      <c r="W1006"/>
      <c r="X1006"/>
      <c r="Y1006"/>
    </row>
    <row r="1007" spans="1:25" ht="15.75">
      <c r="A1007" s="140">
        <v>999</v>
      </c>
      <c r="B1007" s="237"/>
      <c r="C1007" s="268"/>
      <c r="D1007" s="268"/>
      <c r="E1007" s="278"/>
      <c r="F1007" s="262"/>
      <c r="G1007" s="276"/>
      <c r="H1007" s="241"/>
      <c r="I1007" s="276"/>
      <c r="J1007" s="237"/>
      <c r="K1007" s="237"/>
      <c r="L1007" s="145"/>
      <c r="M1007" s="753"/>
      <c r="N1007" s="238"/>
      <c r="O1007" s="238"/>
      <c r="P1007" s="238"/>
      <c r="Q1007" s="238"/>
      <c r="R1007" s="238"/>
      <c r="S1007" s="238"/>
      <c r="T1007" s="238"/>
      <c r="U1007"/>
      <c r="V1007"/>
      <c r="W1007"/>
      <c r="X1007"/>
      <c r="Y1007"/>
    </row>
    <row r="1008" spans="1:25" ht="15.75">
      <c r="A1008" s="140">
        <v>1000</v>
      </c>
      <c r="B1008" s="237"/>
      <c r="C1008" s="719"/>
      <c r="D1008" s="719"/>
      <c r="E1008" s="278"/>
      <c r="F1008" s="262"/>
      <c r="G1008" s="276"/>
      <c r="H1008" s="241"/>
      <c r="I1008" s="276"/>
      <c r="J1008" s="237"/>
      <c r="K1008" s="237"/>
      <c r="L1008" s="145"/>
      <c r="M1008" s="753"/>
      <c r="N1008" s="238"/>
      <c r="O1008" s="238"/>
      <c r="P1008" s="238"/>
      <c r="Q1008" s="238"/>
      <c r="R1008" s="238"/>
      <c r="S1008" s="238"/>
      <c r="T1008" s="238"/>
      <c r="U1008"/>
      <c r="V1008"/>
      <c r="W1008"/>
      <c r="X1008"/>
      <c r="Y1008"/>
    </row>
    <row r="1009" spans="1:25" ht="15.75">
      <c r="A1009" s="140">
        <v>1001</v>
      </c>
      <c r="B1009" s="237"/>
      <c r="C1009" s="719"/>
      <c r="D1009" s="719"/>
      <c r="E1009" s="278"/>
      <c r="F1009" s="402"/>
      <c r="G1009" s="276"/>
      <c r="H1009" s="241"/>
      <c r="I1009" s="276"/>
      <c r="J1009" s="237"/>
      <c r="K1009" s="237"/>
      <c r="L1009" s="145"/>
      <c r="M1009" s="753"/>
      <c r="N1009" s="238"/>
      <c r="O1009" s="238"/>
      <c r="P1009" s="238"/>
      <c r="Q1009" s="238"/>
      <c r="R1009" s="238"/>
      <c r="S1009" s="238"/>
      <c r="T1009" s="238"/>
      <c r="U1009"/>
      <c r="V1009"/>
      <c r="W1009"/>
      <c r="X1009"/>
      <c r="Y1009"/>
    </row>
    <row r="1010" spans="1:25" ht="15.75">
      <c r="A1010" s="140">
        <v>1002</v>
      </c>
      <c r="B1010" s="237"/>
      <c r="C1010" s="720"/>
      <c r="D1010" s="720"/>
      <c r="E1010" s="278"/>
      <c r="F1010" s="266"/>
      <c r="G1010" s="276"/>
      <c r="H1010" s="241"/>
      <c r="I1010" s="276"/>
      <c r="J1010" s="237"/>
      <c r="K1010" s="237"/>
      <c r="L1010" s="145"/>
      <c r="M1010" s="753"/>
      <c r="N1010" s="238"/>
      <c r="O1010" s="238"/>
      <c r="P1010" s="238"/>
      <c r="Q1010" s="238"/>
      <c r="R1010" s="238"/>
      <c r="S1010" s="238"/>
      <c r="T1010" s="238"/>
      <c r="U1010"/>
      <c r="V1010"/>
      <c r="W1010"/>
      <c r="X1010"/>
      <c r="Y1010"/>
    </row>
    <row r="1011" spans="1:25" ht="15.75">
      <c r="A1011" s="140">
        <v>1003</v>
      </c>
      <c r="B1011" s="237"/>
      <c r="C1011" s="719"/>
      <c r="D1011" s="719"/>
      <c r="E1011" s="278"/>
      <c r="F1011" s="407"/>
      <c r="G1011" s="276"/>
      <c r="H1011" s="241"/>
      <c r="I1011" s="276"/>
      <c r="J1011" s="237"/>
      <c r="K1011" s="237"/>
      <c r="L1011" s="145"/>
      <c r="M1011" s="238"/>
      <c r="N1011" s="238"/>
      <c r="O1011" s="238"/>
      <c r="P1011" s="238"/>
      <c r="Q1011" s="238"/>
      <c r="R1011" s="238"/>
      <c r="S1011" s="238"/>
      <c r="T1011" s="238"/>
      <c r="U1011"/>
      <c r="V1011"/>
      <c r="W1011"/>
      <c r="X1011"/>
      <c r="Y1011"/>
    </row>
    <row r="1012" spans="1:25" ht="15.75">
      <c r="A1012" s="140">
        <v>1004</v>
      </c>
      <c r="B1012" s="237"/>
      <c r="C1012" s="719"/>
      <c r="D1012" s="719"/>
      <c r="E1012" s="278"/>
      <c r="F1012" s="262"/>
      <c r="G1012" s="276"/>
      <c r="H1012" s="241"/>
      <c r="I1012" s="276"/>
      <c r="J1012" s="237"/>
      <c r="K1012" s="237"/>
      <c r="L1012" s="145"/>
      <c r="M1012" s="238"/>
      <c r="N1012" s="238"/>
      <c r="O1012" s="238"/>
      <c r="P1012" s="238"/>
      <c r="Q1012" s="238"/>
      <c r="R1012" s="238"/>
      <c r="S1012" s="238"/>
      <c r="T1012" s="238"/>
      <c r="U1012"/>
      <c r="V1012"/>
      <c r="W1012"/>
      <c r="X1012"/>
      <c r="Y1012"/>
    </row>
    <row r="1013" spans="1:25" ht="15.75">
      <c r="A1013" s="140">
        <v>1005</v>
      </c>
      <c r="B1013" s="237"/>
      <c r="C1013" s="720"/>
      <c r="D1013" s="720"/>
      <c r="E1013" s="278"/>
      <c r="F1013" s="247"/>
      <c r="G1013" s="276"/>
      <c r="H1013" s="241"/>
      <c r="I1013" s="276"/>
      <c r="J1013" s="237"/>
      <c r="K1013" s="237"/>
      <c r="L1013" s="145"/>
      <c r="M1013" s="238"/>
      <c r="N1013" s="238"/>
      <c r="O1013" s="238"/>
      <c r="P1013" s="238"/>
      <c r="Q1013" s="238"/>
      <c r="R1013" s="238"/>
      <c r="S1013" s="238"/>
      <c r="T1013" s="238"/>
      <c r="U1013"/>
      <c r="V1013"/>
      <c r="W1013"/>
      <c r="X1013"/>
      <c r="Y1013"/>
    </row>
    <row r="1014" spans="1:25" ht="15.75">
      <c r="A1014" s="237"/>
      <c r="B1014" s="237"/>
      <c r="C1014" s="720"/>
      <c r="D1014" s="720"/>
      <c r="E1014" s="278"/>
      <c r="F1014" s="216"/>
      <c r="G1014" s="276"/>
      <c r="H1014" s="242"/>
      <c r="I1014" s="276"/>
      <c r="J1014" s="237"/>
      <c r="K1014" s="237"/>
      <c r="L1014" s="145"/>
      <c r="M1014" s="238"/>
      <c r="N1014" s="238"/>
      <c r="O1014" s="238"/>
      <c r="P1014" s="238"/>
      <c r="Q1014" s="238"/>
      <c r="R1014" s="238"/>
      <c r="S1014" s="238"/>
      <c r="T1014" s="238"/>
      <c r="U1014"/>
      <c r="V1014"/>
      <c r="W1014"/>
      <c r="X1014"/>
      <c r="Y1014"/>
    </row>
    <row r="1015" spans="1:25" ht="15.75">
      <c r="A1015" s="237"/>
      <c r="B1015" s="237"/>
      <c r="C1015" s="719"/>
      <c r="D1015" s="719"/>
      <c r="E1015" s="278"/>
      <c r="F1015" s="247"/>
      <c r="G1015" s="276"/>
      <c r="H1015" s="242"/>
      <c r="I1015" s="276"/>
      <c r="J1015" s="248"/>
      <c r="K1015" s="248"/>
      <c r="L1015" s="269"/>
      <c r="M1015" s="238"/>
      <c r="N1015" s="238"/>
      <c r="O1015" s="238"/>
      <c r="P1015" s="238"/>
      <c r="Q1015" s="238"/>
      <c r="R1015" s="238"/>
      <c r="S1015" s="238"/>
      <c r="T1015" s="238"/>
      <c r="U1015"/>
      <c r="V1015"/>
      <c r="W1015"/>
      <c r="X1015"/>
      <c r="Y1015"/>
    </row>
    <row r="1016" spans="1:25" ht="15.75">
      <c r="A1016" s="237"/>
      <c r="B1016" s="237"/>
      <c r="C1016" s="238"/>
      <c r="D1016" s="238"/>
      <c r="E1016" s="278"/>
      <c r="F1016" s="263"/>
      <c r="G1016" s="276"/>
      <c r="H1016" s="241"/>
      <c r="I1016" s="276"/>
      <c r="J1016" s="237"/>
      <c r="K1016" s="237"/>
      <c r="L1016" s="145"/>
      <c r="M1016" s="238"/>
      <c r="N1016" s="238"/>
      <c r="O1016" s="238"/>
      <c r="P1016" s="238"/>
      <c r="Q1016" s="238"/>
      <c r="R1016" s="238"/>
      <c r="S1016" s="238"/>
      <c r="T1016" s="238"/>
      <c r="U1016"/>
      <c r="V1016"/>
      <c r="W1016"/>
      <c r="X1016"/>
      <c r="Y1016"/>
    </row>
    <row r="1017" spans="1:25" ht="15.75">
      <c r="A1017" s="237"/>
      <c r="B1017" s="237"/>
      <c r="C1017" s="719"/>
      <c r="D1017" s="719"/>
      <c r="E1017" s="278"/>
      <c r="F1017" s="262"/>
      <c r="G1017" s="276"/>
      <c r="H1017" s="241"/>
      <c r="I1017" s="276"/>
      <c r="J1017" s="237"/>
      <c r="K1017" s="237"/>
      <c r="L1017" s="145"/>
      <c r="M1017" s="238"/>
      <c r="N1017" s="238"/>
      <c r="O1017" s="238"/>
      <c r="P1017" s="238"/>
      <c r="Q1017" s="238"/>
      <c r="R1017" s="238"/>
      <c r="S1017" s="238"/>
      <c r="T1017" s="238"/>
      <c r="U1017"/>
      <c r="V1017"/>
      <c r="W1017"/>
      <c r="X1017"/>
      <c r="Y1017"/>
    </row>
    <row r="1018" spans="1:25" ht="15.75">
      <c r="A1018" s="237"/>
      <c r="B1018" s="237"/>
      <c r="C1018" s="268"/>
      <c r="D1018" s="268"/>
      <c r="E1018" s="278"/>
      <c r="F1018" s="262"/>
      <c r="G1018" s="276"/>
      <c r="H1018" s="242"/>
      <c r="I1018" s="276"/>
      <c r="J1018" s="237"/>
      <c r="K1018" s="237"/>
      <c r="L1018" s="145"/>
      <c r="M1018" s="238"/>
      <c r="N1018" s="238"/>
      <c r="O1018" s="238"/>
      <c r="P1018" s="238"/>
      <c r="Q1018" s="238"/>
      <c r="R1018" s="238"/>
      <c r="S1018" s="238"/>
      <c r="T1018" s="238"/>
      <c r="U1018"/>
      <c r="V1018"/>
      <c r="W1018"/>
      <c r="X1018"/>
      <c r="Y1018"/>
    </row>
    <row r="1019" spans="1:25" ht="15.75">
      <c r="A1019" s="237"/>
      <c r="B1019" s="237"/>
      <c r="C1019" s="268"/>
      <c r="D1019" s="268"/>
      <c r="E1019" s="278"/>
      <c r="F1019" s="262"/>
      <c r="G1019" s="276"/>
      <c r="H1019" s="241"/>
      <c r="I1019" s="276"/>
      <c r="J1019" s="237"/>
      <c r="K1019" s="409"/>
      <c r="L1019" s="269"/>
      <c r="M1019" s="238"/>
      <c r="N1019" s="238"/>
      <c r="O1019" s="238"/>
      <c r="P1019" s="238"/>
      <c r="Q1019" s="238"/>
      <c r="R1019" s="238"/>
      <c r="S1019" s="238"/>
      <c r="T1019" s="238"/>
      <c r="U1019"/>
      <c r="V1019"/>
      <c r="W1019"/>
      <c r="X1019"/>
      <c r="Y1019"/>
    </row>
    <row r="1020" spans="1:25" ht="15.75">
      <c r="A1020" s="237"/>
      <c r="B1020" s="237"/>
      <c r="C1020" s="268"/>
      <c r="D1020" s="268"/>
      <c r="E1020" s="278"/>
      <c r="F1020" s="262"/>
      <c r="G1020" s="276"/>
      <c r="H1020" s="241"/>
      <c r="I1020" s="276"/>
      <c r="J1020" s="237"/>
      <c r="K1020" s="237"/>
      <c r="L1020" s="145"/>
      <c r="M1020" s="238"/>
      <c r="N1020" s="238"/>
      <c r="O1020" s="238"/>
      <c r="P1020" s="238"/>
      <c r="Q1020" s="238"/>
      <c r="R1020" s="238"/>
      <c r="S1020" s="238"/>
      <c r="T1020" s="238"/>
      <c r="U1020"/>
      <c r="V1020"/>
      <c r="W1020"/>
      <c r="X1020"/>
      <c r="Y1020"/>
    </row>
    <row r="1021" spans="1:25" ht="15.75">
      <c r="A1021" s="237"/>
      <c r="B1021" s="237"/>
      <c r="C1021" s="268"/>
      <c r="D1021" s="268"/>
      <c r="E1021" s="278"/>
      <c r="F1021" s="262"/>
      <c r="G1021" s="276"/>
      <c r="H1021" s="242"/>
      <c r="I1021" s="276"/>
      <c r="J1021" s="237"/>
      <c r="K1021" s="237"/>
      <c r="L1021" s="145"/>
      <c r="M1021" s="238"/>
      <c r="N1021" s="238"/>
      <c r="O1021" s="238"/>
      <c r="P1021" s="238"/>
      <c r="Q1021" s="238"/>
      <c r="R1021" s="238"/>
      <c r="S1021" s="238"/>
      <c r="T1021" s="238"/>
      <c r="U1021"/>
      <c r="V1021"/>
      <c r="W1021"/>
      <c r="X1021"/>
      <c r="Y1021"/>
    </row>
    <row r="1022" spans="1:25" ht="15.75">
      <c r="A1022" s="237"/>
      <c r="B1022" s="237"/>
      <c r="C1022" s="719"/>
      <c r="D1022" s="719"/>
      <c r="E1022" s="278"/>
      <c r="F1022" s="262"/>
      <c r="G1022" s="276"/>
      <c r="H1022" s="242"/>
      <c r="I1022" s="276"/>
      <c r="J1022" s="237"/>
      <c r="K1022" s="237"/>
      <c r="L1022" s="145"/>
      <c r="M1022" s="238"/>
      <c r="N1022" s="238"/>
      <c r="O1022" s="238"/>
      <c r="P1022" s="238"/>
      <c r="Q1022" s="238"/>
      <c r="R1022" s="238"/>
      <c r="S1022" s="238"/>
      <c r="T1022" s="238"/>
      <c r="U1022"/>
      <c r="V1022"/>
      <c r="W1022"/>
      <c r="X1022"/>
      <c r="Y1022"/>
    </row>
    <row r="1023" spans="1:25" ht="15.75">
      <c r="A1023" s="237"/>
      <c r="B1023" s="237"/>
      <c r="C1023" s="238"/>
      <c r="D1023" s="238"/>
      <c r="E1023" s="278"/>
      <c r="F1023" s="263"/>
      <c r="G1023" s="276"/>
      <c r="H1023" s="242"/>
      <c r="I1023" s="276"/>
      <c r="J1023" s="237"/>
      <c r="K1023" s="237"/>
      <c r="L1023" s="145"/>
      <c r="M1023" s="238"/>
      <c r="N1023" s="238"/>
      <c r="O1023" s="238"/>
      <c r="P1023" s="238"/>
      <c r="Q1023" s="238"/>
      <c r="R1023" s="238"/>
      <c r="S1023" s="238"/>
      <c r="T1023" s="238"/>
      <c r="U1023"/>
      <c r="V1023"/>
      <c r="W1023"/>
      <c r="X1023"/>
      <c r="Y1023"/>
    </row>
    <row r="1024" spans="1:25" ht="15.75">
      <c r="A1024" s="237"/>
      <c r="B1024" s="237"/>
      <c r="C1024" s="268"/>
      <c r="D1024" s="268"/>
      <c r="E1024" s="278"/>
      <c r="F1024" s="262"/>
      <c r="G1024" s="276"/>
      <c r="H1024" s="242"/>
      <c r="I1024" s="276"/>
      <c r="J1024" s="237"/>
      <c r="K1024" s="237"/>
      <c r="L1024" s="145"/>
      <c r="M1024" s="238"/>
      <c r="N1024" s="238"/>
      <c r="O1024" s="238"/>
      <c r="P1024" s="238"/>
      <c r="Q1024" s="238"/>
      <c r="R1024" s="238"/>
      <c r="S1024" s="238"/>
      <c r="T1024" s="238"/>
      <c r="U1024"/>
      <c r="V1024"/>
      <c r="W1024"/>
      <c r="X1024"/>
      <c r="Y1024"/>
    </row>
    <row r="1025" spans="1:25" ht="15.75">
      <c r="A1025" s="237"/>
      <c r="B1025" s="237"/>
      <c r="C1025" s="719"/>
      <c r="D1025" s="719"/>
      <c r="E1025" s="278"/>
      <c r="F1025" s="262"/>
      <c r="G1025" s="276"/>
      <c r="H1025" s="241"/>
      <c r="I1025" s="276"/>
      <c r="J1025" s="237"/>
      <c r="K1025" s="237"/>
      <c r="L1025" s="145"/>
      <c r="M1025" s="238"/>
      <c r="N1025" s="238"/>
      <c r="O1025" s="238"/>
      <c r="P1025" s="238"/>
      <c r="Q1025" s="238"/>
      <c r="R1025" s="238"/>
      <c r="S1025" s="238"/>
      <c r="T1025" s="238"/>
      <c r="U1025"/>
      <c r="V1025"/>
      <c r="W1025"/>
      <c r="X1025"/>
      <c r="Y1025"/>
    </row>
    <row r="1026" spans="1:25" ht="15.75">
      <c r="A1026" s="237"/>
      <c r="B1026" s="237"/>
      <c r="C1026" s="238"/>
      <c r="D1026" s="238"/>
      <c r="E1026" s="278"/>
      <c r="F1026" s="750"/>
      <c r="G1026" s="276"/>
      <c r="H1026" s="242"/>
      <c r="I1026" s="276"/>
      <c r="J1026" s="237"/>
      <c r="K1026" s="248"/>
      <c r="L1026" s="145"/>
      <c r="M1026" s="238"/>
      <c r="N1026" s="238"/>
      <c r="O1026" s="238"/>
      <c r="P1026" s="238"/>
      <c r="Q1026" s="238"/>
      <c r="R1026" s="238"/>
      <c r="S1026" s="238"/>
      <c r="T1026" s="238"/>
      <c r="U1026"/>
      <c r="V1026"/>
      <c r="W1026"/>
      <c r="X1026"/>
      <c r="Y1026"/>
    </row>
    <row r="1027" spans="1:25" ht="15.75">
      <c r="A1027" s="237"/>
      <c r="B1027" s="237"/>
      <c r="C1027" s="720"/>
      <c r="D1027" s="720"/>
      <c r="E1027" s="278"/>
      <c r="F1027" s="247"/>
      <c r="G1027" s="276"/>
      <c r="H1027" s="242"/>
      <c r="I1027" s="276"/>
      <c r="J1027" s="237"/>
      <c r="K1027" s="237"/>
      <c r="L1027" s="145"/>
      <c r="M1027" s="238"/>
      <c r="N1027" s="238"/>
      <c r="O1027" s="238"/>
      <c r="P1027" s="238"/>
      <c r="Q1027" s="238"/>
      <c r="R1027" s="238"/>
      <c r="S1027" s="238"/>
      <c r="T1027" s="238"/>
      <c r="U1027"/>
      <c r="V1027"/>
      <c r="W1027"/>
      <c r="X1027"/>
      <c r="Y1027"/>
    </row>
    <row r="1028" spans="1:25" ht="15.75">
      <c r="A1028" s="237"/>
      <c r="B1028" s="237"/>
      <c r="C1028" s="268"/>
      <c r="D1028" s="268"/>
      <c r="E1028" s="278"/>
      <c r="F1028" s="247"/>
      <c r="G1028" s="276"/>
      <c r="H1028" s="241"/>
      <c r="I1028" s="276"/>
      <c r="J1028" s="237"/>
      <c r="K1028" s="237"/>
      <c r="L1028" s="145"/>
      <c r="M1028" s="238"/>
      <c r="N1028" s="238"/>
      <c r="O1028" s="238"/>
      <c r="P1028" s="238"/>
      <c r="Q1028" s="238"/>
      <c r="R1028" s="238"/>
      <c r="S1028" s="238"/>
      <c r="T1028" s="238"/>
      <c r="U1028"/>
      <c r="V1028"/>
      <c r="W1028"/>
      <c r="X1028"/>
      <c r="Y1028"/>
    </row>
    <row r="1029" spans="1:25" ht="15.75">
      <c r="A1029" s="237"/>
      <c r="B1029" s="237"/>
      <c r="C1029" s="720"/>
      <c r="D1029" s="720"/>
      <c r="E1029" s="278"/>
      <c r="F1029" s="216"/>
      <c r="G1029" s="276"/>
      <c r="H1029" s="241"/>
      <c r="I1029" s="276"/>
      <c r="J1029" s="237"/>
      <c r="K1029" s="237"/>
      <c r="L1029" s="145"/>
      <c r="M1029" s="238"/>
      <c r="N1029" s="238"/>
      <c r="O1029" s="238"/>
      <c r="P1029" s="238"/>
      <c r="Q1029" s="238"/>
      <c r="R1029" s="238"/>
      <c r="S1029" s="238"/>
      <c r="T1029" s="238"/>
      <c r="U1029"/>
      <c r="V1029"/>
      <c r="W1029"/>
      <c r="X1029"/>
      <c r="Y1029"/>
    </row>
    <row r="1030" spans="1:25" ht="15.75">
      <c r="A1030" s="237"/>
      <c r="B1030" s="237"/>
      <c r="C1030" s="719"/>
      <c r="D1030" s="719"/>
      <c r="E1030" s="278"/>
      <c r="F1030" s="262"/>
      <c r="G1030" s="276"/>
      <c r="H1030" s="242"/>
      <c r="I1030" s="276"/>
      <c r="J1030" s="237"/>
      <c r="K1030" s="237"/>
      <c r="L1030" s="145"/>
      <c r="M1030" s="238"/>
      <c r="N1030" s="238"/>
      <c r="O1030" s="238"/>
      <c r="P1030" s="238"/>
      <c r="Q1030" s="238"/>
      <c r="R1030" s="238"/>
      <c r="S1030" s="238"/>
      <c r="T1030" s="238"/>
      <c r="U1030"/>
      <c r="V1030"/>
      <c r="W1030"/>
      <c r="X1030"/>
      <c r="Y1030"/>
    </row>
    <row r="1031" spans="1:25" ht="15.75">
      <c r="A1031" s="237"/>
      <c r="B1031" s="237"/>
      <c r="C1031" s="719"/>
      <c r="D1031" s="719"/>
      <c r="E1031" s="278"/>
      <c r="F1031" s="408"/>
      <c r="G1031" s="276"/>
      <c r="H1031" s="241"/>
      <c r="I1031" s="276"/>
      <c r="J1031" s="237"/>
      <c r="K1031" s="237"/>
      <c r="L1031" s="145"/>
      <c r="M1031" s="238"/>
      <c r="N1031" s="238"/>
      <c r="O1031" s="238"/>
      <c r="P1031" s="238"/>
      <c r="Q1031" s="238"/>
      <c r="R1031" s="238"/>
      <c r="S1031" s="238"/>
      <c r="T1031" s="238"/>
      <c r="U1031"/>
      <c r="V1031"/>
      <c r="W1031"/>
      <c r="X1031"/>
      <c r="Y1031"/>
    </row>
    <row r="1032" spans="1:25" ht="15.75">
      <c r="A1032" s="237"/>
      <c r="B1032" s="237"/>
      <c r="C1032" s="268"/>
      <c r="D1032" s="268"/>
      <c r="E1032" s="278"/>
      <c r="F1032" s="270"/>
      <c r="G1032" s="276"/>
      <c r="H1032" s="241"/>
      <c r="I1032" s="276"/>
      <c r="J1032" s="248"/>
      <c r="K1032" s="248"/>
      <c r="L1032" s="269"/>
      <c r="M1032" s="238"/>
      <c r="N1032" s="238"/>
      <c r="O1032" s="238"/>
      <c r="P1032" s="238"/>
      <c r="Q1032" s="238"/>
      <c r="R1032" s="238"/>
      <c r="S1032" s="238"/>
      <c r="T1032" s="238"/>
      <c r="U1032"/>
      <c r="V1032"/>
      <c r="W1032"/>
      <c r="X1032"/>
      <c r="Y1032"/>
    </row>
    <row r="1033" spans="1:25" ht="15.75">
      <c r="A1033" s="237"/>
      <c r="B1033" s="237"/>
      <c r="C1033" s="268"/>
      <c r="D1033" s="268"/>
      <c r="E1033" s="278"/>
      <c r="F1033" s="266"/>
      <c r="G1033" s="276"/>
      <c r="H1033" s="241"/>
      <c r="I1033" s="276"/>
      <c r="J1033" s="237"/>
      <c r="K1033" s="237"/>
      <c r="L1033" s="145"/>
      <c r="M1033" s="238"/>
      <c r="N1033" s="238"/>
      <c r="O1033" s="238"/>
      <c r="P1033" s="238"/>
      <c r="Q1033" s="238"/>
      <c r="R1033" s="238"/>
      <c r="S1033" s="238"/>
      <c r="T1033" s="238"/>
      <c r="U1033"/>
      <c r="V1033"/>
      <c r="W1033"/>
      <c r="X1033"/>
      <c r="Y1033"/>
    </row>
    <row r="1034" spans="1:25" ht="15.75">
      <c r="A1034" s="237"/>
      <c r="B1034" s="237"/>
      <c r="C1034" s="268"/>
      <c r="D1034" s="268"/>
      <c r="E1034" s="278"/>
      <c r="F1034" s="266"/>
      <c r="G1034" s="276"/>
      <c r="H1034" s="241"/>
      <c r="I1034" s="276"/>
      <c r="J1034" s="237"/>
      <c r="K1034" s="237"/>
      <c r="L1034" s="145"/>
      <c r="M1034" s="238"/>
      <c r="N1034" s="238"/>
      <c r="O1034" s="238"/>
      <c r="P1034" s="238"/>
      <c r="Q1034" s="238"/>
      <c r="R1034" s="238"/>
      <c r="S1034" s="238"/>
      <c r="T1034" s="238"/>
      <c r="U1034"/>
      <c r="V1034"/>
      <c r="W1034"/>
      <c r="X1034"/>
      <c r="Y1034"/>
    </row>
    <row r="1035" spans="1:25" ht="15.75">
      <c r="A1035" s="237"/>
      <c r="B1035" s="237"/>
      <c r="C1035" s="268"/>
      <c r="D1035" s="268"/>
      <c r="E1035" s="278"/>
      <c r="F1035" s="266"/>
      <c r="G1035" s="276"/>
      <c r="H1035" s="241"/>
      <c r="I1035" s="276"/>
      <c r="J1035" s="237"/>
      <c r="K1035" s="237"/>
      <c r="L1035" s="145"/>
      <c r="M1035" s="238"/>
      <c r="N1035" s="238"/>
      <c r="O1035" s="238"/>
      <c r="P1035" s="238"/>
      <c r="Q1035" s="238"/>
      <c r="R1035" s="238"/>
      <c r="S1035" s="238"/>
      <c r="T1035" s="238"/>
      <c r="U1035"/>
      <c r="V1035"/>
      <c r="W1035"/>
      <c r="X1035"/>
      <c r="Y1035"/>
    </row>
    <row r="1036" spans="1:25" ht="15.75">
      <c r="A1036" s="237"/>
      <c r="B1036" s="237"/>
      <c r="C1036" s="268"/>
      <c r="D1036" s="268"/>
      <c r="E1036" s="278"/>
      <c r="F1036" s="266"/>
      <c r="G1036" s="276"/>
      <c r="H1036" s="241"/>
      <c r="I1036" s="276"/>
      <c r="J1036" s="237"/>
      <c r="K1036" s="237"/>
      <c r="L1036" s="145"/>
      <c r="M1036" s="238"/>
      <c r="N1036" s="238"/>
      <c r="O1036" s="238"/>
      <c r="P1036" s="238"/>
      <c r="Q1036" s="238"/>
      <c r="R1036" s="238"/>
      <c r="S1036" s="238"/>
      <c r="T1036" s="238"/>
      <c r="U1036"/>
      <c r="V1036"/>
      <c r="W1036"/>
      <c r="X1036"/>
      <c r="Y1036"/>
    </row>
    <row r="1037" spans="1:25" ht="15.75">
      <c r="A1037" s="237"/>
      <c r="B1037" s="237"/>
      <c r="C1037" s="268"/>
      <c r="D1037" s="268"/>
      <c r="E1037" s="278"/>
      <c r="F1037" s="266"/>
      <c r="G1037" s="276"/>
      <c r="H1037" s="241"/>
      <c r="I1037" s="276"/>
      <c r="J1037" s="237"/>
      <c r="K1037" s="237"/>
      <c r="L1037" s="145"/>
      <c r="M1037" s="238"/>
      <c r="N1037" s="238"/>
      <c r="O1037" s="238"/>
      <c r="P1037" s="238"/>
      <c r="Q1037" s="238"/>
      <c r="R1037" s="238"/>
      <c r="S1037" s="238"/>
      <c r="T1037" s="238"/>
      <c r="U1037"/>
      <c r="V1037"/>
      <c r="W1037"/>
      <c r="X1037"/>
      <c r="Y1037"/>
    </row>
    <row r="1038" spans="1:25" ht="15.75">
      <c r="A1038" s="237"/>
      <c r="B1038" s="237"/>
      <c r="C1038" s="268"/>
      <c r="D1038" s="268"/>
      <c r="E1038" s="278"/>
      <c r="F1038" s="266"/>
      <c r="G1038" s="276"/>
      <c r="H1038" s="241"/>
      <c r="I1038" s="276"/>
      <c r="J1038" s="237"/>
      <c r="K1038" s="237"/>
      <c r="L1038" s="145"/>
      <c r="M1038" s="238"/>
      <c r="N1038" s="238"/>
      <c r="O1038" s="238"/>
      <c r="P1038" s="238"/>
      <c r="Q1038" s="238"/>
      <c r="R1038" s="238"/>
      <c r="S1038" s="238"/>
      <c r="T1038" s="238"/>
      <c r="U1038"/>
      <c r="V1038"/>
      <c r="W1038"/>
      <c r="X1038"/>
      <c r="Y1038"/>
    </row>
    <row r="1039" spans="1:25" ht="15.75">
      <c r="A1039" s="237"/>
      <c r="B1039" s="237"/>
      <c r="C1039" s="268"/>
      <c r="D1039" s="268"/>
      <c r="E1039" s="278"/>
      <c r="F1039" s="266"/>
      <c r="G1039" s="276"/>
      <c r="H1039" s="241"/>
      <c r="I1039" s="276"/>
      <c r="J1039" s="237"/>
      <c r="K1039" s="237"/>
      <c r="L1039" s="145"/>
      <c r="M1039" s="238"/>
      <c r="N1039" s="238"/>
      <c r="O1039" s="238"/>
      <c r="P1039" s="238"/>
      <c r="Q1039" s="238"/>
      <c r="R1039" s="238"/>
      <c r="S1039" s="238"/>
      <c r="T1039" s="238"/>
      <c r="U1039"/>
      <c r="V1039"/>
      <c r="W1039"/>
      <c r="X1039"/>
      <c r="Y1039"/>
    </row>
    <row r="1040" spans="1:25" ht="15.75">
      <c r="A1040" s="237"/>
      <c r="B1040" s="237"/>
      <c r="C1040" s="268"/>
      <c r="D1040" s="268"/>
      <c r="E1040" s="278"/>
      <c r="F1040" s="266"/>
      <c r="G1040" s="276"/>
      <c r="H1040" s="241"/>
      <c r="I1040" s="276"/>
      <c r="J1040" s="237"/>
      <c r="K1040" s="237"/>
      <c r="L1040" s="145"/>
      <c r="M1040" s="238"/>
      <c r="N1040" s="238"/>
      <c r="O1040" s="238"/>
      <c r="P1040" s="238"/>
      <c r="Q1040" s="238"/>
      <c r="R1040" s="238"/>
      <c r="S1040" s="238"/>
      <c r="T1040" s="238"/>
      <c r="U1040"/>
      <c r="V1040"/>
      <c r="W1040"/>
      <c r="X1040"/>
      <c r="Y1040"/>
    </row>
    <row r="1041" spans="1:25" ht="15.75">
      <c r="A1041" s="237"/>
      <c r="B1041" s="237"/>
      <c r="C1041" s="268"/>
      <c r="D1041" s="268"/>
      <c r="E1041" s="278"/>
      <c r="F1041" s="266"/>
      <c r="G1041" s="276"/>
      <c r="H1041" s="241"/>
      <c r="I1041" s="276"/>
      <c r="J1041" s="237"/>
      <c r="K1041" s="237"/>
      <c r="L1041" s="145"/>
      <c r="M1041" s="238"/>
      <c r="N1041" s="238"/>
      <c r="O1041" s="238"/>
      <c r="P1041" s="238"/>
      <c r="Q1041" s="238"/>
      <c r="R1041" s="238"/>
      <c r="S1041" s="238"/>
      <c r="T1041" s="238"/>
      <c r="U1041"/>
      <c r="V1041"/>
      <c r="W1041"/>
      <c r="X1041"/>
      <c r="Y1041"/>
    </row>
    <row r="1042" spans="1:25" ht="15.75">
      <c r="A1042" s="237"/>
      <c r="B1042" s="237"/>
      <c r="C1042" s="268"/>
      <c r="D1042" s="268"/>
      <c r="E1042" s="278"/>
      <c r="F1042" s="266"/>
      <c r="G1042" s="276"/>
      <c r="H1042" s="241"/>
      <c r="I1042" s="276"/>
      <c r="J1042" s="237"/>
      <c r="K1042" s="237"/>
      <c r="L1042" s="145"/>
      <c r="M1042" s="238"/>
      <c r="N1042" s="238"/>
      <c r="O1042" s="238"/>
      <c r="P1042" s="238"/>
      <c r="Q1042" s="238"/>
      <c r="R1042" s="238"/>
      <c r="S1042" s="238"/>
      <c r="T1042" s="238"/>
      <c r="U1042"/>
      <c r="V1042"/>
      <c r="W1042"/>
      <c r="X1042"/>
      <c r="Y1042"/>
    </row>
    <row r="1043" spans="1:25" ht="15.75">
      <c r="A1043" s="237"/>
      <c r="B1043" s="237"/>
      <c r="C1043" s="268"/>
      <c r="D1043" s="268"/>
      <c r="E1043" s="278"/>
      <c r="F1043" s="266"/>
      <c r="G1043" s="276"/>
      <c r="H1043" s="241"/>
      <c r="I1043" s="276"/>
      <c r="J1043" s="237"/>
      <c r="K1043" s="237"/>
      <c r="L1043" s="145"/>
      <c r="M1043" s="238"/>
      <c r="N1043" s="238"/>
      <c r="O1043" s="238"/>
      <c r="P1043" s="238"/>
      <c r="Q1043" s="238"/>
      <c r="R1043" s="238"/>
      <c r="S1043" s="238"/>
      <c r="T1043" s="238"/>
      <c r="U1043"/>
      <c r="V1043"/>
      <c r="W1043"/>
      <c r="X1043"/>
      <c r="Y1043"/>
    </row>
    <row r="1044" spans="1:25" ht="15.75">
      <c r="A1044" s="237"/>
      <c r="B1044" s="237"/>
      <c r="C1044" s="268"/>
      <c r="D1044" s="268"/>
      <c r="E1044" s="278"/>
      <c r="F1044" s="266"/>
      <c r="G1044" s="276"/>
      <c r="H1044" s="241"/>
      <c r="I1044" s="276"/>
      <c r="J1044" s="237"/>
      <c r="K1044" s="237"/>
      <c r="L1044" s="145"/>
      <c r="M1044" s="238"/>
      <c r="N1044" s="238"/>
      <c r="O1044" s="238"/>
      <c r="P1044" s="238"/>
      <c r="Q1044" s="238"/>
      <c r="R1044" s="238"/>
      <c r="S1044" s="238"/>
      <c r="T1044" s="238"/>
      <c r="U1044"/>
      <c r="V1044"/>
      <c r="W1044"/>
      <c r="X1044"/>
      <c r="Y1044"/>
    </row>
    <row r="1045" spans="1:25" ht="15.75">
      <c r="A1045" s="237"/>
      <c r="B1045" s="237"/>
      <c r="C1045" s="268"/>
      <c r="D1045" s="268"/>
      <c r="E1045" s="278"/>
      <c r="F1045" s="266"/>
      <c r="G1045" s="276"/>
      <c r="H1045" s="241"/>
      <c r="I1045" s="276"/>
      <c r="J1045" s="237"/>
      <c r="K1045" s="237"/>
      <c r="L1045" s="145"/>
      <c r="M1045" s="238"/>
      <c r="N1045" s="238"/>
      <c r="O1045" s="238"/>
      <c r="P1045" s="238"/>
      <c r="Q1045" s="238"/>
      <c r="R1045" s="238"/>
      <c r="S1045" s="238"/>
      <c r="T1045" s="238"/>
      <c r="U1045"/>
      <c r="V1045"/>
      <c r="W1045"/>
      <c r="X1045"/>
      <c r="Y1045"/>
    </row>
    <row r="1046" spans="1:25" ht="15.75">
      <c r="A1046" s="237"/>
      <c r="B1046" s="237"/>
      <c r="C1046" s="268"/>
      <c r="D1046" s="268"/>
      <c r="E1046" s="278"/>
      <c r="F1046" s="266"/>
      <c r="G1046" s="276"/>
      <c r="H1046" s="241"/>
      <c r="I1046" s="276"/>
      <c r="J1046" s="237"/>
      <c r="K1046" s="237"/>
      <c r="L1046" s="145"/>
      <c r="M1046" s="238"/>
      <c r="N1046" s="238"/>
      <c r="O1046" s="238"/>
      <c r="P1046" s="238"/>
      <c r="Q1046" s="238"/>
      <c r="R1046" s="238"/>
      <c r="S1046" s="238"/>
      <c r="T1046" s="238"/>
      <c r="U1046"/>
      <c r="V1046"/>
      <c r="W1046"/>
      <c r="X1046"/>
      <c r="Y1046"/>
    </row>
    <row r="1047" spans="1:25" ht="15.75">
      <c r="A1047" s="237"/>
      <c r="B1047" s="237"/>
      <c r="C1047" s="268"/>
      <c r="D1047" s="268"/>
      <c r="E1047" s="278"/>
      <c r="F1047" s="266"/>
      <c r="G1047" s="276"/>
      <c r="H1047" s="241"/>
      <c r="I1047" s="276"/>
      <c r="J1047" s="237"/>
      <c r="K1047" s="237"/>
      <c r="L1047" s="145"/>
      <c r="M1047" s="238"/>
      <c r="N1047" s="238"/>
      <c r="O1047" s="238"/>
      <c r="P1047" s="238"/>
      <c r="Q1047" s="238"/>
      <c r="R1047" s="238"/>
      <c r="S1047" s="238"/>
      <c r="T1047" s="238"/>
      <c r="U1047"/>
      <c r="V1047"/>
      <c r="W1047"/>
      <c r="X1047"/>
      <c r="Y1047"/>
    </row>
    <row r="1048" spans="1:25" ht="15.75">
      <c r="A1048" s="237"/>
      <c r="B1048" s="237"/>
      <c r="C1048" s="268"/>
      <c r="D1048" s="268"/>
      <c r="E1048" s="278"/>
      <c r="F1048" s="266"/>
      <c r="G1048" s="276"/>
      <c r="H1048" s="241"/>
      <c r="I1048" s="276"/>
      <c r="J1048" s="237"/>
      <c r="K1048" s="237"/>
      <c r="L1048" s="145"/>
      <c r="M1048" s="238"/>
      <c r="N1048" s="238"/>
      <c r="O1048" s="238"/>
      <c r="P1048" s="238"/>
      <c r="Q1048" s="238"/>
      <c r="R1048" s="238"/>
      <c r="S1048" s="238"/>
      <c r="T1048" s="238"/>
      <c r="U1048"/>
      <c r="V1048"/>
      <c r="W1048"/>
      <c r="X1048"/>
      <c r="Y1048"/>
    </row>
    <row r="1049" spans="1:25" ht="15.75">
      <c r="A1049" s="237"/>
      <c r="B1049" s="237"/>
      <c r="C1049" s="268"/>
      <c r="D1049" s="268"/>
      <c r="E1049" s="278"/>
      <c r="F1049" s="266"/>
      <c r="G1049" s="276"/>
      <c r="H1049" s="241"/>
      <c r="I1049" s="276"/>
      <c r="J1049" s="237"/>
      <c r="K1049" s="237"/>
      <c r="L1049" s="145"/>
      <c r="M1049" s="238"/>
      <c r="N1049" s="238"/>
      <c r="O1049" s="238"/>
      <c r="P1049" s="238"/>
      <c r="Q1049" s="238"/>
      <c r="R1049" s="238"/>
      <c r="S1049" s="238"/>
      <c r="T1049" s="238"/>
      <c r="U1049"/>
      <c r="V1049"/>
      <c r="W1049"/>
      <c r="X1049"/>
      <c r="Y1049"/>
    </row>
    <row r="1050" spans="1:25" ht="15.75">
      <c r="A1050" s="237"/>
      <c r="B1050" s="237"/>
      <c r="C1050" s="268"/>
      <c r="D1050" s="268"/>
      <c r="E1050" s="278"/>
      <c r="F1050" s="266"/>
      <c r="G1050" s="276"/>
      <c r="H1050" s="241"/>
      <c r="I1050" s="276"/>
      <c r="J1050" s="237"/>
      <c r="K1050" s="237"/>
      <c r="L1050" s="145"/>
      <c r="M1050" s="238"/>
      <c r="N1050" s="238"/>
      <c r="O1050" s="238"/>
      <c r="P1050" s="238"/>
      <c r="Q1050" s="238"/>
      <c r="R1050" s="238"/>
      <c r="S1050" s="238"/>
      <c r="T1050" s="238"/>
      <c r="U1050"/>
      <c r="V1050"/>
      <c r="W1050"/>
      <c r="X1050"/>
      <c r="Y1050"/>
    </row>
    <row r="1051" spans="1:25" ht="15.75">
      <c r="A1051" s="237"/>
      <c r="B1051" s="237"/>
      <c r="C1051" s="268"/>
      <c r="D1051" s="268"/>
      <c r="E1051" s="278"/>
      <c r="F1051" s="266"/>
      <c r="G1051" s="276"/>
      <c r="H1051" s="241"/>
      <c r="I1051" s="276"/>
      <c r="J1051" s="237"/>
      <c r="K1051" s="237"/>
      <c r="L1051" s="145"/>
      <c r="M1051" s="238"/>
      <c r="N1051" s="238"/>
      <c r="O1051" s="238"/>
      <c r="P1051" s="238"/>
      <c r="Q1051" s="238"/>
      <c r="R1051" s="238"/>
      <c r="S1051" s="238"/>
      <c r="T1051" s="238"/>
      <c r="U1051"/>
      <c r="V1051"/>
      <c r="W1051"/>
      <c r="X1051"/>
      <c r="Y1051"/>
    </row>
    <row r="1052" spans="1:25" ht="15.75">
      <c r="A1052" s="237"/>
      <c r="B1052" s="237"/>
      <c r="C1052" s="268"/>
      <c r="D1052" s="268"/>
      <c r="E1052" s="278"/>
      <c r="F1052" s="266"/>
      <c r="G1052" s="276"/>
      <c r="H1052" s="241"/>
      <c r="I1052" s="276"/>
      <c r="J1052" s="237"/>
      <c r="K1052" s="237"/>
      <c r="L1052" s="145"/>
      <c r="M1052" s="238"/>
      <c r="N1052" s="238"/>
      <c r="O1052" s="238"/>
      <c r="P1052" s="238"/>
      <c r="Q1052" s="238"/>
      <c r="R1052" s="238"/>
      <c r="S1052" s="238"/>
      <c r="T1052" s="238"/>
      <c r="U1052"/>
      <c r="V1052"/>
      <c r="W1052"/>
      <c r="X1052"/>
      <c r="Y1052"/>
    </row>
    <row r="1053" spans="1:25" ht="15.75">
      <c r="A1053" s="237"/>
      <c r="B1053" s="237"/>
      <c r="C1053" s="268"/>
      <c r="D1053" s="268"/>
      <c r="E1053" s="278"/>
      <c r="F1053" s="266"/>
      <c r="G1053" s="276"/>
      <c r="H1053" s="241"/>
      <c r="I1053" s="276"/>
      <c r="J1053" s="237"/>
      <c r="K1053" s="237"/>
      <c r="L1053" s="145"/>
      <c r="M1053" s="238"/>
      <c r="N1053" s="238"/>
      <c r="O1053" s="238"/>
      <c r="P1053" s="238"/>
      <c r="Q1053" s="238"/>
      <c r="R1053" s="238"/>
      <c r="S1053" s="238"/>
      <c r="T1053" s="238"/>
      <c r="U1053"/>
      <c r="V1053"/>
      <c r="W1053"/>
      <c r="X1053"/>
      <c r="Y1053"/>
    </row>
    <row r="1054" spans="1:25" ht="15.75">
      <c r="A1054" s="237"/>
      <c r="B1054" s="237"/>
      <c r="C1054" s="268"/>
      <c r="D1054" s="268"/>
      <c r="E1054" s="278"/>
      <c r="F1054" s="266"/>
      <c r="G1054" s="276"/>
      <c r="H1054" s="241"/>
      <c r="I1054" s="276"/>
      <c r="J1054" s="237"/>
      <c r="K1054" s="237"/>
      <c r="L1054" s="145"/>
      <c r="M1054" s="238"/>
      <c r="N1054" s="238"/>
      <c r="O1054" s="238"/>
      <c r="P1054" s="238"/>
      <c r="Q1054" s="238"/>
      <c r="R1054" s="238"/>
      <c r="S1054" s="238"/>
      <c r="T1054" s="238"/>
      <c r="U1054"/>
      <c r="V1054"/>
      <c r="W1054"/>
      <c r="X1054"/>
      <c r="Y1054"/>
    </row>
    <row r="1055" spans="1:25" ht="15.75">
      <c r="A1055" s="237"/>
      <c r="B1055" s="237"/>
      <c r="C1055" s="268"/>
      <c r="D1055" s="268"/>
      <c r="E1055" s="278"/>
      <c r="F1055" s="266"/>
      <c r="G1055" s="276"/>
      <c r="H1055" s="241"/>
      <c r="I1055" s="276"/>
      <c r="J1055" s="237"/>
      <c r="K1055" s="237"/>
      <c r="L1055" s="145"/>
      <c r="M1055" s="238"/>
      <c r="N1055" s="238"/>
      <c r="O1055" s="238"/>
      <c r="P1055" s="238"/>
      <c r="Q1055" s="238"/>
      <c r="R1055" s="238"/>
      <c r="S1055" s="238"/>
      <c r="T1055" s="238"/>
      <c r="U1055"/>
      <c r="V1055"/>
      <c r="W1055"/>
      <c r="X1055"/>
      <c r="Y1055"/>
    </row>
    <row r="1056" spans="1:25" ht="15.75">
      <c r="A1056" s="237"/>
      <c r="B1056" s="237"/>
      <c r="C1056" s="268"/>
      <c r="D1056" s="268"/>
      <c r="E1056" s="278"/>
      <c r="F1056" s="266"/>
      <c r="G1056" s="276"/>
      <c r="H1056" s="241"/>
      <c r="I1056" s="276"/>
      <c r="J1056" s="237"/>
      <c r="K1056" s="237"/>
      <c r="L1056" s="145"/>
      <c r="M1056" s="238"/>
      <c r="N1056" s="238"/>
      <c r="O1056" s="238"/>
      <c r="P1056" s="238"/>
      <c r="Q1056" s="238"/>
      <c r="R1056" s="238"/>
      <c r="S1056" s="238"/>
      <c r="T1056" s="238"/>
      <c r="U1056"/>
      <c r="V1056"/>
      <c r="W1056"/>
      <c r="X1056"/>
      <c r="Y1056"/>
    </row>
    <row r="1057" spans="1:25" ht="15.75">
      <c r="A1057" s="237"/>
      <c r="B1057" s="237"/>
      <c r="C1057" s="268"/>
      <c r="D1057" s="268"/>
      <c r="E1057" s="278"/>
      <c r="F1057" s="266"/>
      <c r="G1057" s="276"/>
      <c r="H1057" s="241"/>
      <c r="I1057" s="276"/>
      <c r="J1057" s="237"/>
      <c r="K1057" s="237"/>
      <c r="L1057" s="145"/>
      <c r="M1057" s="238"/>
      <c r="N1057" s="238"/>
      <c r="O1057" s="238"/>
      <c r="P1057" s="238"/>
      <c r="Q1057" s="238"/>
      <c r="R1057" s="238"/>
      <c r="S1057" s="238"/>
      <c r="T1057" s="238"/>
      <c r="U1057"/>
      <c r="V1057"/>
      <c r="W1057"/>
      <c r="X1057"/>
      <c r="Y1057"/>
    </row>
    <row r="1058" spans="1:25" ht="15.75">
      <c r="A1058" s="237"/>
      <c r="B1058" s="237"/>
      <c r="C1058" s="268"/>
      <c r="D1058" s="268"/>
      <c r="E1058" s="278"/>
      <c r="F1058" s="266"/>
      <c r="G1058" s="276"/>
      <c r="H1058" s="241"/>
      <c r="I1058" s="276"/>
      <c r="J1058" s="237"/>
      <c r="K1058" s="237"/>
      <c r="L1058" s="145"/>
      <c r="M1058" s="238"/>
      <c r="N1058" s="238"/>
      <c r="O1058" s="238"/>
      <c r="P1058" s="238"/>
      <c r="Q1058" s="238"/>
      <c r="R1058" s="238"/>
      <c r="S1058" s="238"/>
      <c r="T1058" s="238"/>
      <c r="U1058"/>
      <c r="V1058"/>
      <c r="W1058"/>
      <c r="X1058"/>
      <c r="Y1058"/>
    </row>
    <row r="1059" spans="1:25" ht="15.75">
      <c r="A1059" s="237"/>
      <c r="B1059" s="237"/>
      <c r="C1059" s="268"/>
      <c r="D1059" s="268"/>
      <c r="E1059" s="278"/>
      <c r="F1059" s="266"/>
      <c r="G1059" s="276"/>
      <c r="H1059" s="241"/>
      <c r="I1059" s="276"/>
      <c r="J1059" s="237"/>
      <c r="K1059" s="237"/>
      <c r="L1059" s="145"/>
      <c r="M1059" s="238"/>
      <c r="N1059" s="238"/>
      <c r="O1059" s="238"/>
      <c r="P1059" s="238"/>
      <c r="Q1059" s="238"/>
      <c r="R1059" s="238"/>
      <c r="S1059" s="238"/>
      <c r="T1059" s="238"/>
      <c r="U1059"/>
      <c r="V1059"/>
      <c r="W1059"/>
      <c r="X1059"/>
      <c r="Y1059"/>
    </row>
    <row r="1060" spans="1:25" ht="15.75">
      <c r="A1060" s="237"/>
      <c r="B1060" s="237"/>
      <c r="C1060" s="268"/>
      <c r="D1060" s="268"/>
      <c r="E1060" s="278"/>
      <c r="F1060" s="266"/>
      <c r="G1060" s="276"/>
      <c r="H1060" s="241"/>
      <c r="I1060" s="276"/>
      <c r="J1060" s="237"/>
      <c r="K1060" s="237"/>
      <c r="L1060" s="145"/>
      <c r="M1060" s="238"/>
      <c r="N1060" s="238"/>
      <c r="O1060" s="238"/>
      <c r="P1060" s="238"/>
      <c r="Q1060" s="238"/>
      <c r="R1060" s="238"/>
      <c r="S1060" s="238"/>
      <c r="T1060" s="238"/>
      <c r="U1060"/>
      <c r="V1060"/>
      <c r="W1060"/>
      <c r="X1060"/>
      <c r="Y1060"/>
    </row>
    <row r="1061" spans="1:25" ht="15.75">
      <c r="A1061" s="237"/>
      <c r="B1061" s="237"/>
      <c r="C1061" s="268"/>
      <c r="D1061" s="268"/>
      <c r="E1061" s="278"/>
      <c r="F1061" s="266"/>
      <c r="G1061" s="276"/>
      <c r="H1061" s="241"/>
      <c r="I1061" s="276"/>
      <c r="J1061" s="237"/>
      <c r="K1061" s="237"/>
      <c r="L1061" s="145"/>
      <c r="M1061" s="238"/>
      <c r="N1061" s="238"/>
      <c r="O1061" s="238"/>
      <c r="P1061" s="238"/>
      <c r="Q1061" s="238"/>
      <c r="R1061" s="238"/>
      <c r="S1061" s="238"/>
      <c r="T1061" s="238"/>
      <c r="U1061"/>
      <c r="V1061"/>
      <c r="W1061"/>
      <c r="X1061"/>
      <c r="Y1061"/>
    </row>
    <row r="1062" spans="1:25" ht="15.75">
      <c r="A1062" s="237"/>
      <c r="B1062" s="237"/>
      <c r="C1062" s="268"/>
      <c r="D1062" s="268"/>
      <c r="E1062" s="278"/>
      <c r="F1062" s="266"/>
      <c r="G1062" s="276"/>
      <c r="H1062" s="241"/>
      <c r="I1062" s="276"/>
      <c r="J1062" s="237"/>
      <c r="K1062" s="237"/>
      <c r="L1062" s="145"/>
      <c r="M1062" s="238"/>
      <c r="N1062" s="238"/>
      <c r="O1062" s="238"/>
      <c r="P1062" s="238"/>
      <c r="Q1062" s="238"/>
      <c r="R1062" s="238"/>
      <c r="S1062" s="238"/>
      <c r="T1062" s="238"/>
      <c r="U1062"/>
      <c r="V1062"/>
      <c r="W1062"/>
      <c r="X1062"/>
      <c r="Y1062"/>
    </row>
    <row r="1063" spans="1:25" ht="15.75">
      <c r="A1063" s="237"/>
      <c r="B1063" s="237"/>
      <c r="C1063" s="268"/>
      <c r="D1063" s="268"/>
      <c r="E1063" s="278"/>
      <c r="F1063" s="266"/>
      <c r="G1063" s="276"/>
      <c r="H1063" s="241"/>
      <c r="I1063" s="276"/>
      <c r="J1063" s="237"/>
      <c r="K1063" s="237"/>
      <c r="L1063" s="145"/>
      <c r="M1063" s="238"/>
      <c r="N1063" s="238"/>
      <c r="O1063" s="238"/>
      <c r="P1063" s="238"/>
      <c r="Q1063" s="238"/>
      <c r="R1063" s="238"/>
      <c r="S1063" s="238"/>
      <c r="T1063" s="238"/>
      <c r="U1063"/>
      <c r="V1063"/>
      <c r="W1063"/>
      <c r="X1063"/>
      <c r="Y1063"/>
    </row>
    <row r="1064" spans="1:25" ht="15.75">
      <c r="A1064" s="237"/>
      <c r="B1064" s="237"/>
      <c r="C1064" s="268"/>
      <c r="D1064" s="268"/>
      <c r="E1064" s="278"/>
      <c r="F1064" s="266"/>
      <c r="G1064" s="276"/>
      <c r="H1064" s="241"/>
      <c r="I1064" s="276"/>
      <c r="J1064" s="237"/>
      <c r="K1064" s="237"/>
      <c r="L1064" s="145"/>
      <c r="M1064" s="238"/>
      <c r="N1064" s="238"/>
      <c r="O1064" s="238"/>
      <c r="P1064" s="238"/>
      <c r="Q1064" s="238"/>
      <c r="R1064" s="238"/>
      <c r="S1064" s="238"/>
      <c r="T1064" s="238"/>
      <c r="U1064"/>
      <c r="V1064"/>
      <c r="W1064"/>
      <c r="X1064"/>
      <c r="Y1064"/>
    </row>
    <row r="1065" spans="1:25" ht="15.75">
      <c r="A1065" s="237"/>
      <c r="B1065" s="237"/>
      <c r="C1065" s="268"/>
      <c r="D1065" s="268"/>
      <c r="E1065" s="278"/>
      <c r="F1065" s="266"/>
      <c r="G1065" s="276"/>
      <c r="H1065" s="241"/>
      <c r="I1065" s="276"/>
      <c r="J1065" s="237"/>
      <c r="K1065" s="237"/>
      <c r="L1065" s="145"/>
      <c r="M1065" s="238"/>
      <c r="N1065" s="238"/>
      <c r="O1065" s="238"/>
      <c r="P1065" s="238"/>
      <c r="Q1065" s="238"/>
      <c r="R1065" s="238"/>
      <c r="S1065" s="238"/>
      <c r="T1065" s="238"/>
      <c r="U1065"/>
      <c r="V1065"/>
      <c r="W1065"/>
      <c r="X1065"/>
      <c r="Y1065"/>
    </row>
    <row r="1066" spans="1:25" ht="15.75">
      <c r="A1066" s="237"/>
      <c r="B1066" s="237"/>
      <c r="C1066" s="145"/>
      <c r="D1066" s="145"/>
      <c r="E1066" s="145"/>
      <c r="F1066" s="145"/>
      <c r="G1066" s="276"/>
      <c r="H1066" s="145"/>
      <c r="I1066" s="276"/>
      <c r="J1066" s="145"/>
      <c r="K1066" s="145"/>
      <c r="L1066" s="145"/>
      <c r="M1066" s="238"/>
      <c r="N1066" s="238"/>
      <c r="O1066" s="238"/>
      <c r="P1066" s="238"/>
      <c r="Q1066" s="238"/>
      <c r="R1066" s="238"/>
      <c r="S1066" s="238"/>
      <c r="T1066" s="238"/>
      <c r="U1066"/>
      <c r="V1066"/>
      <c r="W1066"/>
      <c r="X1066"/>
      <c r="Y1066"/>
    </row>
    <row r="1067" spans="1:25" ht="15.75">
      <c r="A1067" s="237"/>
      <c r="B1067" s="237"/>
      <c r="C1067" s="145"/>
      <c r="D1067" s="145"/>
      <c r="E1067" s="145"/>
      <c r="F1067" s="145"/>
      <c r="G1067" s="276"/>
      <c r="H1067" s="145"/>
      <c r="I1067" s="276"/>
      <c r="J1067" s="145"/>
      <c r="K1067" s="145"/>
      <c r="L1067" s="145"/>
      <c r="M1067" s="238"/>
      <c r="N1067" s="238"/>
      <c r="O1067" s="238"/>
      <c r="P1067" s="238"/>
      <c r="Q1067" s="238"/>
      <c r="R1067" s="238"/>
      <c r="S1067" s="238"/>
      <c r="T1067" s="238"/>
      <c r="U1067"/>
      <c r="V1067"/>
      <c r="W1067"/>
      <c r="X1067"/>
      <c r="Y1067"/>
    </row>
    <row r="1068" spans="1:25" ht="15.75">
      <c r="A1068" s="237"/>
      <c r="B1068" s="237"/>
      <c r="C1068" s="145"/>
      <c r="D1068" s="145"/>
      <c r="E1068" s="145"/>
      <c r="F1068" s="145"/>
      <c r="G1068" s="276"/>
      <c r="H1068" s="145"/>
      <c r="I1068" s="276"/>
      <c r="J1068" s="145"/>
      <c r="K1068" s="145"/>
      <c r="L1068" s="145"/>
      <c r="M1068" s="238"/>
      <c r="N1068" s="238"/>
      <c r="O1068" s="238"/>
      <c r="P1068" s="238"/>
      <c r="Q1068" s="238"/>
      <c r="R1068" s="238"/>
      <c r="S1068" s="238"/>
      <c r="T1068" s="238"/>
      <c r="U1068"/>
      <c r="V1068"/>
      <c r="W1068"/>
      <c r="X1068"/>
      <c r="Y1068"/>
    </row>
    <row r="1069" spans="1:25" ht="15.75">
      <c r="A1069" s="237"/>
      <c r="B1069" s="237"/>
      <c r="C1069" s="145"/>
      <c r="D1069" s="145"/>
      <c r="E1069" s="145"/>
      <c r="F1069" s="145"/>
      <c r="G1069" s="276"/>
      <c r="H1069" s="145"/>
      <c r="I1069" s="276"/>
      <c r="J1069" s="145"/>
      <c r="K1069" s="145"/>
      <c r="L1069" s="145"/>
      <c r="M1069" s="238"/>
      <c r="N1069" s="238"/>
      <c r="O1069" s="238"/>
      <c r="P1069" s="238"/>
      <c r="Q1069" s="238"/>
      <c r="R1069" s="238"/>
      <c r="S1069" s="238"/>
      <c r="T1069" s="238"/>
      <c r="U1069"/>
      <c r="V1069"/>
      <c r="W1069"/>
      <c r="X1069"/>
      <c r="Y1069"/>
    </row>
    <row r="1070" spans="1:25" ht="15.75">
      <c r="A1070" s="237"/>
      <c r="B1070" s="237"/>
      <c r="C1070" s="145"/>
      <c r="D1070" s="145"/>
      <c r="E1070" s="145"/>
      <c r="F1070" s="145"/>
      <c r="G1070" s="276"/>
      <c r="H1070" s="145"/>
      <c r="I1070" s="276"/>
      <c r="J1070" s="145"/>
      <c r="K1070" s="145"/>
      <c r="L1070" s="145"/>
      <c r="M1070" s="238"/>
      <c r="N1070" s="238"/>
      <c r="O1070" s="238"/>
      <c r="P1070" s="238"/>
      <c r="Q1070" s="238"/>
      <c r="R1070" s="238"/>
      <c r="S1070" s="238"/>
      <c r="T1070" s="238"/>
      <c r="U1070"/>
      <c r="V1070"/>
      <c r="W1070"/>
      <c r="X1070"/>
      <c r="Y1070"/>
    </row>
    <row r="1071" spans="1:25" ht="15.75">
      <c r="A1071" s="237"/>
      <c r="B1071" s="237"/>
      <c r="C1071" s="145"/>
      <c r="D1071" s="145"/>
      <c r="E1071" s="145"/>
      <c r="F1071" s="145"/>
      <c r="G1071" s="276"/>
      <c r="H1071" s="145"/>
      <c r="I1071" s="276"/>
      <c r="J1071" s="145"/>
      <c r="K1071" s="145"/>
      <c r="L1071" s="145"/>
      <c r="M1071" s="238"/>
      <c r="N1071" s="238"/>
      <c r="O1071" s="238"/>
      <c r="P1071" s="238"/>
      <c r="Q1071" s="238"/>
      <c r="R1071" s="238"/>
      <c r="S1071" s="238"/>
      <c r="T1071" s="238"/>
      <c r="U1071"/>
      <c r="V1071"/>
      <c r="W1071"/>
      <c r="X1071"/>
      <c r="Y1071"/>
    </row>
    <row r="1072" spans="1:25" ht="15.75">
      <c r="A1072" s="237"/>
      <c r="B1072" s="237"/>
      <c r="C1072" s="145"/>
      <c r="D1072" s="145"/>
      <c r="E1072" s="145"/>
      <c r="F1072" s="145"/>
      <c r="G1072" s="276"/>
      <c r="H1072" s="145"/>
      <c r="I1072" s="276"/>
      <c r="J1072" s="145"/>
      <c r="K1072" s="145"/>
      <c r="L1072" s="145"/>
      <c r="M1072" s="238"/>
      <c r="N1072" s="238"/>
      <c r="O1072" s="238"/>
      <c r="P1072" s="238"/>
      <c r="Q1072" s="238"/>
      <c r="R1072" s="238"/>
      <c r="S1072" s="238"/>
      <c r="T1072" s="238"/>
      <c r="U1072"/>
      <c r="V1072"/>
      <c r="W1072"/>
      <c r="X1072"/>
      <c r="Y1072"/>
    </row>
    <row r="1073" spans="1:25" ht="15.75">
      <c r="A1073" s="237"/>
      <c r="B1073" s="237"/>
      <c r="C1073" s="145"/>
      <c r="D1073" s="145"/>
      <c r="E1073" s="145"/>
      <c r="F1073" s="145"/>
      <c r="G1073" s="276"/>
      <c r="H1073" s="145"/>
      <c r="I1073" s="276"/>
      <c r="J1073" s="145"/>
      <c r="K1073" s="145"/>
      <c r="L1073" s="145"/>
      <c r="M1073" s="238"/>
      <c r="N1073" s="238"/>
      <c r="O1073" s="238"/>
      <c r="P1073" s="238"/>
      <c r="Q1073" s="238"/>
      <c r="R1073" s="238"/>
      <c r="S1073" s="238"/>
      <c r="T1073" s="238"/>
      <c r="U1073"/>
      <c r="V1073"/>
      <c r="W1073"/>
      <c r="X1073"/>
      <c r="Y1073"/>
    </row>
    <row r="1074" spans="1:25" ht="15.75">
      <c r="A1074" s="237"/>
      <c r="B1074" s="237"/>
      <c r="C1074" s="145"/>
      <c r="D1074" s="145"/>
      <c r="E1074" s="145"/>
      <c r="F1074" s="145"/>
      <c r="G1074" s="276"/>
      <c r="H1074" s="145"/>
      <c r="I1074" s="276"/>
      <c r="J1074" s="145"/>
      <c r="K1074" s="145"/>
      <c r="L1074" s="145"/>
      <c r="M1074" s="238"/>
      <c r="N1074" s="238"/>
      <c r="O1074" s="238"/>
      <c r="P1074" s="238"/>
      <c r="Q1074" s="238"/>
      <c r="R1074" s="238"/>
      <c r="S1074" s="238"/>
      <c r="T1074" s="238"/>
      <c r="U1074"/>
      <c r="V1074"/>
      <c r="W1074"/>
      <c r="X1074"/>
      <c r="Y1074"/>
    </row>
    <row r="1075" spans="1:25" ht="15.75">
      <c r="A1075" s="237"/>
      <c r="B1075" s="237"/>
      <c r="C1075" s="145"/>
      <c r="D1075" s="145"/>
      <c r="E1075" s="145"/>
      <c r="F1075" s="145"/>
      <c r="G1075" s="276"/>
      <c r="H1075" s="145"/>
      <c r="I1075" s="276"/>
      <c r="J1075" s="145"/>
      <c r="K1075" s="145"/>
      <c r="L1075" s="145"/>
      <c r="M1075" s="238"/>
      <c r="N1075" s="238"/>
      <c r="O1075" s="238"/>
      <c r="P1075" s="238"/>
      <c r="Q1075" s="238"/>
      <c r="R1075" s="238"/>
      <c r="S1075" s="238"/>
      <c r="T1075" s="238"/>
      <c r="U1075"/>
      <c r="V1075"/>
      <c r="W1075"/>
      <c r="X1075"/>
      <c r="Y1075"/>
    </row>
    <row r="1076" spans="1:25" ht="15.75">
      <c r="A1076" s="237"/>
      <c r="B1076" s="237"/>
      <c r="C1076" s="145"/>
      <c r="D1076" s="145"/>
      <c r="E1076" s="145"/>
      <c r="F1076" s="145"/>
      <c r="G1076" s="276"/>
      <c r="H1076" s="145"/>
      <c r="I1076" s="276"/>
      <c r="J1076" s="145"/>
      <c r="K1076" s="145"/>
      <c r="L1076" s="145"/>
      <c r="M1076" s="238"/>
      <c r="N1076" s="238"/>
      <c r="O1076" s="238"/>
      <c r="P1076" s="238"/>
      <c r="Q1076" s="238"/>
      <c r="R1076" s="238"/>
      <c r="S1076" s="238"/>
      <c r="T1076" s="238"/>
      <c r="U1076"/>
      <c r="V1076"/>
      <c r="W1076"/>
      <c r="X1076"/>
      <c r="Y1076"/>
    </row>
    <row r="1077" spans="1:25" ht="15.75">
      <c r="A1077" s="237"/>
      <c r="B1077" s="237"/>
      <c r="C1077" s="145"/>
      <c r="D1077" s="145"/>
      <c r="E1077" s="145"/>
      <c r="F1077" s="145"/>
      <c r="G1077" s="276"/>
      <c r="H1077" s="145"/>
      <c r="I1077" s="276"/>
      <c r="J1077" s="145"/>
      <c r="K1077" s="145"/>
      <c r="L1077" s="145"/>
      <c r="M1077" s="238"/>
      <c r="N1077" s="238"/>
      <c r="O1077" s="238"/>
      <c r="P1077" s="238"/>
      <c r="Q1077" s="238"/>
      <c r="R1077" s="238"/>
      <c r="S1077" s="238"/>
      <c r="T1077" s="238"/>
      <c r="U1077"/>
      <c r="V1077"/>
      <c r="W1077"/>
      <c r="X1077"/>
      <c r="Y1077"/>
    </row>
    <row r="1078" spans="1:25" ht="15.75">
      <c r="A1078" s="237"/>
      <c r="B1078" s="237"/>
      <c r="C1078" s="145"/>
      <c r="D1078" s="145"/>
      <c r="E1078" s="145"/>
      <c r="F1078" s="145"/>
      <c r="G1078" s="276"/>
      <c r="H1078" s="145"/>
      <c r="I1078" s="276"/>
      <c r="J1078" s="145"/>
      <c r="K1078" s="145"/>
      <c r="L1078" s="145"/>
      <c r="M1078" s="238"/>
      <c r="N1078" s="238"/>
      <c r="O1078" s="238"/>
      <c r="P1078" s="238"/>
      <c r="Q1078" s="238"/>
      <c r="R1078" s="238"/>
      <c r="S1078" s="238"/>
      <c r="T1078" s="238"/>
      <c r="U1078"/>
      <c r="V1078"/>
      <c r="W1078"/>
      <c r="X1078"/>
      <c r="Y1078"/>
    </row>
    <row r="1079" spans="1:25" ht="15.75">
      <c r="A1079" s="237"/>
      <c r="B1079" s="237"/>
      <c r="C1079" s="145"/>
      <c r="D1079" s="145"/>
      <c r="E1079" s="145"/>
      <c r="F1079" s="145"/>
      <c r="G1079" s="276"/>
      <c r="H1079" s="145"/>
      <c r="I1079" s="276"/>
      <c r="J1079" s="145"/>
      <c r="K1079" s="145"/>
      <c r="L1079" s="145"/>
      <c r="M1079" s="238"/>
      <c r="N1079" s="238"/>
      <c r="O1079" s="238"/>
      <c r="P1079" s="238"/>
      <c r="Q1079" s="238"/>
      <c r="R1079" s="238"/>
      <c r="S1079" s="238"/>
      <c r="T1079" s="238"/>
      <c r="U1079"/>
      <c r="V1079"/>
      <c r="W1079"/>
      <c r="X1079"/>
      <c r="Y1079"/>
    </row>
    <row r="1080" spans="1:25" ht="15.75">
      <c r="A1080" s="237"/>
      <c r="B1080" s="237"/>
      <c r="C1080" s="145"/>
      <c r="D1080" s="145"/>
      <c r="E1080" s="145"/>
      <c r="F1080" s="145"/>
      <c r="G1080" s="276"/>
      <c r="H1080" s="145"/>
      <c r="I1080" s="276"/>
      <c r="J1080" s="145"/>
      <c r="K1080" s="145"/>
      <c r="L1080" s="145"/>
      <c r="M1080" s="238"/>
      <c r="N1080" s="238"/>
      <c r="O1080" s="238"/>
      <c r="P1080" s="238"/>
      <c r="Q1080" s="238"/>
      <c r="R1080" s="238"/>
      <c r="S1080" s="238"/>
      <c r="T1080" s="238"/>
      <c r="U1080"/>
      <c r="V1080"/>
      <c r="W1080"/>
      <c r="X1080"/>
      <c r="Y1080"/>
    </row>
    <row r="1081" spans="1:25" ht="15.75">
      <c r="A1081" s="237"/>
      <c r="B1081" s="237"/>
      <c r="C1081" s="145"/>
      <c r="D1081" s="145"/>
      <c r="E1081" s="145"/>
      <c r="F1081" s="145"/>
      <c r="G1081" s="276"/>
      <c r="H1081" s="145"/>
      <c r="I1081" s="276"/>
      <c r="J1081" s="145"/>
      <c r="K1081" s="145"/>
      <c r="L1081" s="145"/>
      <c r="M1081" s="238"/>
      <c r="N1081" s="238"/>
      <c r="O1081" s="238"/>
      <c r="P1081" s="238"/>
      <c r="Q1081" s="238"/>
      <c r="R1081" s="238"/>
      <c r="S1081" s="238"/>
      <c r="T1081" s="238"/>
      <c r="U1081"/>
      <c r="V1081"/>
      <c r="W1081"/>
      <c r="X1081"/>
      <c r="Y1081"/>
    </row>
    <row r="1082" spans="1:25" ht="15.75">
      <c r="A1082" s="237"/>
      <c r="B1082" s="237"/>
      <c r="C1082" s="145"/>
      <c r="D1082" s="145"/>
      <c r="E1082" s="145"/>
      <c r="F1082" s="145"/>
      <c r="G1082" s="276"/>
      <c r="H1082" s="145"/>
      <c r="I1082" s="276"/>
      <c r="J1082" s="145"/>
      <c r="K1082" s="145"/>
      <c r="L1082" s="145"/>
      <c r="M1082" s="238"/>
      <c r="N1082" s="238"/>
      <c r="O1082" s="238"/>
      <c r="P1082" s="238"/>
      <c r="Q1082" s="238"/>
      <c r="R1082" s="238"/>
      <c r="S1082" s="238"/>
      <c r="T1082" s="238"/>
      <c r="U1082"/>
      <c r="V1082"/>
      <c r="W1082"/>
      <c r="X1082"/>
      <c r="Y1082"/>
    </row>
    <row r="1083" spans="1:25" ht="15.75">
      <c r="A1083" s="237"/>
      <c r="B1083" s="237"/>
      <c r="C1083" s="145"/>
      <c r="D1083" s="145"/>
      <c r="E1083" s="145"/>
      <c r="F1083" s="145"/>
      <c r="G1083" s="276"/>
      <c r="H1083" s="145"/>
      <c r="I1083" s="276"/>
      <c r="J1083" s="145"/>
      <c r="K1083" s="145"/>
      <c r="L1083" s="145"/>
      <c r="M1083" s="238"/>
      <c r="N1083" s="238"/>
      <c r="O1083" s="238"/>
      <c r="P1083" s="238"/>
      <c r="Q1083" s="238"/>
      <c r="R1083" s="238"/>
      <c r="S1083" s="238"/>
      <c r="T1083" s="238"/>
      <c r="U1083"/>
      <c r="V1083"/>
      <c r="W1083"/>
      <c r="X1083"/>
      <c r="Y1083"/>
    </row>
    <row r="1084" spans="1:25" ht="15.75">
      <c r="A1084" s="237"/>
      <c r="B1084" s="237"/>
      <c r="C1084" s="145"/>
      <c r="D1084" s="145"/>
      <c r="E1084" s="145"/>
      <c r="F1084" s="145"/>
      <c r="G1084" s="276"/>
      <c r="H1084" s="145"/>
      <c r="I1084" s="276"/>
      <c r="J1084" s="145"/>
      <c r="K1084" s="145"/>
      <c r="L1084" s="145"/>
      <c r="M1084" s="238"/>
      <c r="N1084" s="238"/>
      <c r="O1084" s="238"/>
      <c r="P1084" s="238"/>
      <c r="Q1084" s="238"/>
      <c r="R1084" s="238"/>
      <c r="S1084" s="238"/>
      <c r="T1084" s="238"/>
      <c r="U1084"/>
      <c r="V1084"/>
      <c r="W1084"/>
      <c r="X1084"/>
      <c r="Y1084"/>
    </row>
    <row r="1085" spans="1:25" ht="15.75">
      <c r="A1085" s="237"/>
      <c r="B1085" s="237"/>
      <c r="C1085" s="145"/>
      <c r="D1085" s="145"/>
      <c r="E1085" s="145"/>
      <c r="F1085" s="145"/>
      <c r="G1085" s="276"/>
      <c r="H1085" s="145"/>
      <c r="I1085" s="276"/>
      <c r="J1085" s="145"/>
      <c r="K1085" s="145"/>
      <c r="L1085" s="145"/>
      <c r="M1085" s="238"/>
      <c r="N1085" s="238"/>
      <c r="O1085" s="238"/>
      <c r="P1085" s="238"/>
      <c r="Q1085" s="238"/>
      <c r="R1085" s="238"/>
      <c r="S1085" s="238"/>
      <c r="T1085" s="238"/>
      <c r="U1085"/>
      <c r="V1085"/>
      <c r="W1085"/>
      <c r="X1085"/>
      <c r="Y1085"/>
    </row>
    <row r="1086" spans="1:25" ht="15.75">
      <c r="A1086" s="237"/>
      <c r="B1086" s="237"/>
      <c r="C1086" s="145"/>
      <c r="D1086" s="145"/>
      <c r="E1086" s="145"/>
      <c r="F1086" s="145"/>
      <c r="G1086" s="276"/>
      <c r="H1086" s="145"/>
      <c r="I1086" s="276"/>
      <c r="J1086" s="145"/>
      <c r="K1086" s="145"/>
      <c r="L1086" s="145"/>
      <c r="M1086" s="238"/>
      <c r="N1086" s="238"/>
      <c r="O1086" s="238"/>
      <c r="P1086" s="238"/>
      <c r="Q1086" s="238"/>
      <c r="R1086" s="238"/>
      <c r="S1086" s="238"/>
      <c r="T1086" s="238"/>
      <c r="U1086"/>
      <c r="V1086"/>
      <c r="W1086"/>
      <c r="X1086"/>
      <c r="Y1086"/>
    </row>
    <row r="1087" spans="1:25">
      <c r="A1087"/>
      <c r="B1087"/>
      <c r="H1087" s="605"/>
      <c r="J1087" s="605"/>
      <c r="K1087" s="605"/>
      <c r="L1087" s="605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</row>
    <row r="1088" spans="1:25">
      <c r="A1088"/>
      <c r="B1088"/>
      <c r="H1088" s="605"/>
      <c r="J1088" s="605"/>
      <c r="K1088" s="605"/>
      <c r="L1088" s="605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</row>
    <row r="1089" spans="1:25">
      <c r="A1089"/>
      <c r="B1089"/>
      <c r="H1089" s="605"/>
      <c r="J1089" s="605"/>
      <c r="K1089" s="605"/>
      <c r="L1089" s="605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</row>
    <row r="1090" spans="1:25">
      <c r="A1090"/>
      <c r="B1090"/>
      <c r="H1090" s="605"/>
      <c r="J1090" s="605"/>
      <c r="K1090" s="605"/>
      <c r="L1090" s="605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</row>
    <row r="1091" spans="1:25">
      <c r="A1091"/>
      <c r="B1091"/>
      <c r="C1091"/>
      <c r="D1091"/>
      <c r="E1091"/>
      <c r="F1091"/>
      <c r="G1091"/>
      <c r="H1091" s="605"/>
      <c r="J1091" s="605"/>
      <c r="K1091" s="605"/>
      <c r="L1091" s="605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</row>
    <row r="1092" spans="1:25">
      <c r="A1092"/>
      <c r="B1092"/>
      <c r="C1092"/>
      <c r="D1092"/>
      <c r="E1092"/>
      <c r="F1092"/>
      <c r="G1092"/>
      <c r="H1092" s="605"/>
      <c r="J1092" s="605"/>
      <c r="K1092" s="605"/>
      <c r="L1092" s="605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</row>
    <row r="1093" spans="1:25">
      <c r="A1093"/>
      <c r="B1093"/>
      <c r="C1093"/>
      <c r="D1093"/>
      <c r="E1093"/>
      <c r="F1093"/>
      <c r="G1093"/>
      <c r="H1093" s="605"/>
      <c r="J1093" s="605"/>
      <c r="K1093" s="605"/>
      <c r="L1093" s="605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</row>
    <row r="1094" spans="1:25">
      <c r="A1094"/>
      <c r="B1094"/>
      <c r="C1094"/>
      <c r="D1094"/>
      <c r="E1094"/>
      <c r="F1094"/>
      <c r="G1094"/>
      <c r="H1094" s="605"/>
      <c r="J1094" s="605"/>
      <c r="K1094" s="605"/>
      <c r="L1094" s="605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</row>
    <row r="1095" spans="1:25">
      <c r="A1095"/>
      <c r="B1095"/>
      <c r="C1095"/>
      <c r="D1095"/>
      <c r="E1095"/>
      <c r="F1095"/>
      <c r="G1095"/>
      <c r="H1095" s="605"/>
      <c r="J1095" s="605"/>
      <c r="K1095" s="605"/>
      <c r="L1095" s="60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</row>
    <row r="1096" spans="1:25">
      <c r="A1096"/>
      <c r="B1096"/>
      <c r="C1096"/>
      <c r="D1096"/>
      <c r="E1096"/>
      <c r="F1096"/>
      <c r="G1096"/>
      <c r="H1096" s="605"/>
      <c r="J1096" s="605"/>
      <c r="K1096" s="605"/>
      <c r="L1096" s="605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</row>
    <row r="1097" spans="1:25">
      <c r="A1097"/>
      <c r="B1097"/>
      <c r="C1097"/>
      <c r="D1097"/>
      <c r="E1097"/>
      <c r="F1097"/>
      <c r="G1097"/>
      <c r="H1097" s="605"/>
      <c r="J1097" s="605"/>
      <c r="K1097" s="605"/>
      <c r="L1097" s="605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</row>
    <row r="1098" spans="1:25">
      <c r="A1098"/>
      <c r="B1098"/>
      <c r="C1098"/>
      <c r="D1098"/>
      <c r="E1098"/>
      <c r="F1098"/>
      <c r="G1098"/>
      <c r="H1098" s="605"/>
      <c r="J1098" s="605"/>
      <c r="K1098" s="605"/>
      <c r="L1098" s="605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</row>
    <row r="1099" spans="1:25">
      <c r="A1099"/>
      <c r="B1099"/>
      <c r="C1099"/>
      <c r="D1099"/>
      <c r="E1099"/>
      <c r="F1099"/>
      <c r="G1099"/>
      <c r="H1099" s="605"/>
      <c r="J1099" s="605"/>
      <c r="K1099" s="605"/>
      <c r="L1099" s="605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</row>
    <row r="1100" spans="1:25">
      <c r="A1100"/>
      <c r="B1100"/>
      <c r="C1100"/>
      <c r="D1100"/>
      <c r="E1100"/>
      <c r="F1100"/>
      <c r="G1100"/>
      <c r="H1100" s="605"/>
      <c r="J1100" s="605"/>
      <c r="K1100" s="605"/>
      <c r="L1100" s="605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</row>
    <row r="1101" spans="1:25">
      <c r="A1101"/>
      <c r="B1101"/>
      <c r="C1101"/>
      <c r="D1101"/>
      <c r="E1101"/>
      <c r="F1101"/>
      <c r="G1101"/>
      <c r="H1101" s="605"/>
      <c r="J1101" s="605"/>
      <c r="K1101" s="605"/>
      <c r="L1101" s="605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</row>
    <row r="1102" spans="1:25">
      <c r="A1102"/>
      <c r="B1102"/>
      <c r="C1102"/>
      <c r="D1102"/>
      <c r="E1102"/>
      <c r="F1102"/>
      <c r="G1102"/>
      <c r="H1102" s="605"/>
      <c r="J1102" s="605"/>
      <c r="K1102" s="605"/>
      <c r="L1102" s="605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</row>
    <row r="1103" spans="1:25">
      <c r="A1103"/>
      <c r="B1103"/>
      <c r="C1103"/>
      <c r="D1103"/>
      <c r="E1103"/>
      <c r="F1103"/>
      <c r="G1103"/>
      <c r="H1103" s="605"/>
      <c r="J1103" s="605"/>
      <c r="K1103" s="605"/>
      <c r="L1103" s="605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</row>
    <row r="1104" spans="1:25">
      <c r="A1104"/>
      <c r="B1104"/>
      <c r="C1104"/>
      <c r="D1104"/>
      <c r="E1104"/>
      <c r="F1104"/>
      <c r="G1104"/>
      <c r="H1104" s="605"/>
      <c r="J1104" s="605"/>
      <c r="K1104" s="605"/>
      <c r="L1104" s="605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</row>
    <row r="1105" spans="1:25">
      <c r="A1105"/>
      <c r="B1105"/>
      <c r="C1105"/>
      <c r="D1105"/>
      <c r="E1105"/>
      <c r="F1105"/>
      <c r="G1105"/>
      <c r="H1105" s="605"/>
      <c r="J1105" s="605"/>
      <c r="K1105" s="605"/>
      <c r="L1105" s="6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</row>
    <row r="1106" spans="1:25">
      <c r="A1106"/>
      <c r="B1106"/>
      <c r="C1106"/>
      <c r="D1106"/>
      <c r="E1106"/>
      <c r="F1106"/>
      <c r="G1106"/>
      <c r="H1106" s="605"/>
      <c r="J1106" s="605"/>
      <c r="K1106" s="605"/>
      <c r="L1106" s="605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</row>
    <row r="1107" spans="1:25">
      <c r="A1107"/>
      <c r="B1107"/>
      <c r="C1107"/>
      <c r="D1107"/>
      <c r="E1107"/>
      <c r="F1107"/>
      <c r="G1107"/>
      <c r="H1107" s="605"/>
      <c r="J1107" s="605"/>
      <c r="K1107" s="605"/>
      <c r="L1107" s="605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</row>
    <row r="1108" spans="1:25">
      <c r="A1108"/>
      <c r="B1108"/>
      <c r="C1108"/>
      <c r="D1108"/>
      <c r="E1108"/>
      <c r="F1108"/>
      <c r="G1108"/>
      <c r="H1108" s="605"/>
      <c r="J1108" s="605"/>
      <c r="K1108" s="605"/>
      <c r="L1108" s="605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</row>
    <row r="1109" spans="1:25">
      <c r="A1109"/>
      <c r="B1109"/>
      <c r="C1109"/>
      <c r="D1109"/>
      <c r="E1109"/>
      <c r="F1109"/>
      <c r="G1109"/>
      <c r="H1109" s="605"/>
      <c r="J1109" s="605"/>
      <c r="K1109" s="605"/>
      <c r="L1109" s="605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</row>
    <row r="1110" spans="1:25">
      <c r="A1110"/>
      <c r="B1110"/>
      <c r="C1110"/>
      <c r="D1110"/>
      <c r="E1110"/>
      <c r="F1110"/>
      <c r="G1110"/>
      <c r="H1110" s="605"/>
      <c r="J1110" s="605"/>
      <c r="K1110" s="605"/>
      <c r="L1110" s="605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</row>
    <row r="1111" spans="1:25">
      <c r="A1111"/>
      <c r="B1111"/>
      <c r="C1111"/>
      <c r="D1111"/>
      <c r="E1111"/>
      <c r="F1111"/>
      <c r="G1111"/>
      <c r="H1111" s="605"/>
      <c r="J1111" s="605"/>
      <c r="K1111" s="605"/>
      <c r="L1111" s="605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</row>
    <row r="1112" spans="1:25">
      <c r="A1112"/>
      <c r="B1112"/>
      <c r="C1112"/>
      <c r="D1112"/>
      <c r="E1112"/>
      <c r="F1112"/>
      <c r="G1112"/>
      <c r="H1112" s="605"/>
      <c r="J1112" s="605"/>
      <c r="K1112" s="605"/>
      <c r="L1112" s="605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</row>
    <row r="1113" spans="1:25">
      <c r="A1113"/>
      <c r="B1113"/>
      <c r="C1113"/>
      <c r="D1113"/>
      <c r="E1113"/>
      <c r="F1113"/>
      <c r="G1113"/>
      <c r="H1113" s="605"/>
      <c r="J1113" s="605"/>
      <c r="K1113" s="605"/>
      <c r="L1113" s="605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</row>
    <row r="1114" spans="1:25">
      <c r="A1114"/>
      <c r="B1114"/>
      <c r="C1114"/>
      <c r="D1114"/>
      <c r="E1114"/>
      <c r="F1114"/>
      <c r="G1114"/>
      <c r="H1114" s="605"/>
      <c r="J1114" s="605"/>
      <c r="K1114" s="605"/>
      <c r="L1114" s="605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</row>
    <row r="1115" spans="1:25">
      <c r="A1115"/>
      <c r="B1115"/>
      <c r="C1115"/>
      <c r="D1115"/>
      <c r="E1115"/>
      <c r="F1115"/>
      <c r="G1115"/>
      <c r="H1115" s="605"/>
      <c r="J1115" s="605"/>
      <c r="K1115" s="605"/>
      <c r="L1115" s="60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</row>
    <row r="1116" spans="1:25">
      <c r="A1116"/>
      <c r="B1116"/>
      <c r="C1116"/>
      <c r="D1116"/>
      <c r="E1116"/>
      <c r="F1116"/>
      <c r="G1116"/>
      <c r="H1116" s="605"/>
      <c r="J1116" s="605"/>
      <c r="K1116" s="605"/>
      <c r="L1116" s="605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</row>
    <row r="1117" spans="1:25">
      <c r="A1117"/>
      <c r="B1117"/>
      <c r="C1117"/>
      <c r="D1117"/>
      <c r="E1117"/>
      <c r="F1117"/>
      <c r="G1117"/>
      <c r="H1117" s="605"/>
      <c r="J1117" s="605"/>
      <c r="K1117" s="605"/>
      <c r="L1117" s="605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</row>
    <row r="1118" spans="1:25">
      <c r="A1118"/>
      <c r="B1118"/>
      <c r="C1118"/>
      <c r="D1118"/>
      <c r="E1118"/>
      <c r="F1118"/>
      <c r="G1118"/>
      <c r="H1118" s="605"/>
      <c r="J1118" s="605"/>
      <c r="K1118" s="605"/>
      <c r="L1118" s="605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</row>
    <row r="1119" spans="1:25">
      <c r="A1119"/>
      <c r="B1119"/>
      <c r="C1119"/>
      <c r="D1119"/>
      <c r="E1119"/>
      <c r="F1119"/>
      <c r="G1119"/>
      <c r="H1119" s="605"/>
      <c r="J1119" s="605"/>
      <c r="K1119" s="605"/>
      <c r="L1119" s="605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</row>
    <row r="1120" spans="1:25">
      <c r="A1120"/>
      <c r="B1120"/>
      <c r="C1120"/>
      <c r="D1120"/>
      <c r="E1120"/>
      <c r="F1120"/>
      <c r="G1120"/>
      <c r="H1120" s="605"/>
      <c r="J1120" s="605"/>
      <c r="K1120" s="605"/>
      <c r="L1120" s="605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</row>
    <row r="1121" spans="1:25">
      <c r="A1121"/>
      <c r="B1121"/>
      <c r="C1121"/>
      <c r="D1121"/>
      <c r="E1121"/>
      <c r="F1121"/>
      <c r="G1121"/>
      <c r="H1121" s="605"/>
      <c r="J1121" s="605"/>
      <c r="K1121" s="605"/>
      <c r="L1121" s="605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</row>
    <row r="1122" spans="1:25">
      <c r="A1122"/>
      <c r="B1122"/>
      <c r="C1122"/>
      <c r="D1122"/>
      <c r="E1122"/>
      <c r="F1122"/>
      <c r="G1122"/>
      <c r="H1122" s="605"/>
      <c r="J1122" s="605"/>
      <c r="K1122" s="605"/>
      <c r="L1122" s="605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</row>
    <row r="1123" spans="1:25">
      <c r="A1123"/>
      <c r="B1123"/>
      <c r="C1123"/>
      <c r="D1123"/>
      <c r="E1123"/>
      <c r="F1123"/>
      <c r="G1123"/>
      <c r="H1123" s="605"/>
      <c r="J1123" s="605"/>
      <c r="K1123" s="605"/>
      <c r="L1123" s="605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</row>
    <row r="1124" spans="1:25">
      <c r="A1124"/>
      <c r="B1124"/>
      <c r="C1124"/>
      <c r="D1124"/>
      <c r="E1124"/>
      <c r="F1124"/>
      <c r="G1124"/>
      <c r="H1124" s="605"/>
      <c r="J1124" s="605"/>
      <c r="K1124" s="605"/>
      <c r="L1124" s="605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</row>
    <row r="1125" spans="1:25">
      <c r="A1125"/>
      <c r="B1125"/>
      <c r="C1125"/>
      <c r="D1125"/>
      <c r="E1125"/>
      <c r="F1125"/>
      <c r="G1125"/>
      <c r="H1125" s="605"/>
      <c r="J1125" s="605"/>
      <c r="K1125" s="605"/>
      <c r="L1125" s="60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</row>
    <row r="1126" spans="1:25">
      <c r="A1126"/>
      <c r="B1126"/>
      <c r="C1126"/>
      <c r="D1126"/>
      <c r="E1126"/>
      <c r="F1126"/>
      <c r="G1126"/>
      <c r="H1126" s="605"/>
      <c r="J1126" s="605"/>
      <c r="K1126" s="605"/>
      <c r="L1126" s="605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</row>
    <row r="1127" spans="1:25">
      <c r="A1127"/>
      <c r="B1127"/>
      <c r="C1127"/>
      <c r="D1127"/>
      <c r="E1127"/>
      <c r="F1127"/>
      <c r="G1127"/>
      <c r="H1127" s="605"/>
      <c r="J1127" s="605"/>
      <c r="K1127" s="605"/>
      <c r="L1127" s="605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</row>
    <row r="1128" spans="1:25">
      <c r="A1128"/>
      <c r="B1128"/>
      <c r="C1128"/>
      <c r="D1128"/>
      <c r="E1128"/>
      <c r="F1128"/>
      <c r="G1128"/>
      <c r="H1128" s="605"/>
      <c r="J1128" s="605"/>
      <c r="K1128" s="605"/>
      <c r="L1128" s="605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</row>
    <row r="1129" spans="1:25">
      <c r="A1129"/>
      <c r="B1129"/>
      <c r="C1129"/>
      <c r="D1129"/>
      <c r="E1129"/>
      <c r="F1129"/>
      <c r="G1129"/>
      <c r="H1129" s="605"/>
      <c r="J1129" s="605"/>
      <c r="K1129" s="605"/>
      <c r="L1129" s="605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</row>
    <row r="1130" spans="1:25">
      <c r="A1130"/>
      <c r="B1130"/>
      <c r="C1130"/>
      <c r="D1130"/>
      <c r="E1130"/>
      <c r="F1130"/>
      <c r="G1130"/>
      <c r="H1130" s="605"/>
      <c r="J1130" s="605"/>
      <c r="K1130" s="605"/>
      <c r="L1130" s="605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</row>
    <row r="1131" spans="1:25">
      <c r="A1131"/>
      <c r="B1131"/>
      <c r="C1131"/>
      <c r="D1131"/>
      <c r="E1131"/>
      <c r="F1131"/>
      <c r="G1131"/>
      <c r="H1131" s="605"/>
      <c r="J1131" s="605"/>
      <c r="K1131" s="605"/>
      <c r="L1131" s="605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</row>
    <row r="1132" spans="1:25">
      <c r="A1132"/>
      <c r="B1132"/>
      <c r="C1132"/>
      <c r="D1132"/>
      <c r="E1132"/>
      <c r="F1132"/>
      <c r="G1132"/>
      <c r="H1132" s="605"/>
      <c r="J1132" s="605"/>
      <c r="K1132" s="605"/>
      <c r="L1132" s="605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</row>
    <row r="1133" spans="1:25">
      <c r="A1133"/>
      <c r="B1133"/>
      <c r="C1133"/>
      <c r="D1133"/>
      <c r="E1133"/>
      <c r="F1133"/>
      <c r="G1133"/>
      <c r="H1133" s="605"/>
      <c r="J1133" s="605"/>
      <c r="K1133" s="605"/>
      <c r="L1133" s="605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</row>
    <row r="1134" spans="1:25">
      <c r="A1134"/>
      <c r="B1134"/>
      <c r="C1134"/>
      <c r="D1134"/>
      <c r="E1134"/>
      <c r="F1134"/>
      <c r="G1134"/>
      <c r="H1134" s="605"/>
      <c r="J1134" s="605"/>
      <c r="K1134" s="605"/>
      <c r="L1134" s="605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</row>
    <row r="1135" spans="1:25">
      <c r="A1135"/>
      <c r="B1135"/>
      <c r="C1135"/>
      <c r="D1135"/>
      <c r="E1135"/>
      <c r="F1135"/>
      <c r="G1135"/>
      <c r="H1135" s="605"/>
      <c r="J1135" s="605"/>
      <c r="K1135" s="605"/>
      <c r="L1135" s="60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</row>
    <row r="1136" spans="1:25">
      <c r="A1136"/>
      <c r="B1136"/>
      <c r="C1136"/>
      <c r="D1136"/>
      <c r="E1136"/>
      <c r="F1136"/>
      <c r="G1136"/>
      <c r="H1136" s="605"/>
      <c r="J1136" s="605"/>
      <c r="K1136" s="605"/>
      <c r="L1136" s="605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</row>
    <row r="1137" spans="1:25">
      <c r="A1137"/>
      <c r="B1137"/>
      <c r="C1137"/>
      <c r="D1137"/>
      <c r="E1137"/>
      <c r="F1137"/>
      <c r="G1137"/>
      <c r="H1137" s="605"/>
      <c r="J1137" s="605"/>
      <c r="K1137" s="605"/>
      <c r="L1137" s="605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</row>
    <row r="1138" spans="1:25">
      <c r="A1138"/>
      <c r="B1138"/>
      <c r="C1138"/>
      <c r="D1138"/>
      <c r="E1138"/>
      <c r="F1138"/>
      <c r="G1138"/>
      <c r="H1138" s="605"/>
      <c r="J1138" s="605"/>
      <c r="K1138" s="605"/>
      <c r="L1138" s="605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</row>
    <row r="1139" spans="1:25">
      <c r="A1139"/>
      <c r="B1139"/>
      <c r="C1139"/>
      <c r="D1139"/>
      <c r="E1139"/>
      <c r="F1139"/>
      <c r="G1139"/>
      <c r="H1139" s="605"/>
      <c r="J1139" s="605"/>
      <c r="K1139" s="605"/>
      <c r="L1139" s="605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</row>
    <row r="1140" spans="1:25">
      <c r="A1140"/>
      <c r="B1140"/>
      <c r="C1140"/>
      <c r="D1140"/>
      <c r="E1140"/>
      <c r="F1140"/>
      <c r="G1140"/>
      <c r="H1140" s="605"/>
      <c r="J1140" s="605"/>
      <c r="K1140" s="605"/>
      <c r="L1140" s="605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</row>
    <row r="1141" spans="1:25">
      <c r="A1141"/>
      <c r="B1141"/>
      <c r="C1141"/>
      <c r="D1141"/>
      <c r="E1141"/>
      <c r="F1141"/>
      <c r="G1141"/>
      <c r="H1141" s="605"/>
      <c r="J1141" s="605"/>
      <c r="K1141" s="605"/>
      <c r="L1141" s="605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</row>
    <row r="1142" spans="1:25">
      <c r="A1142"/>
      <c r="B1142"/>
      <c r="C1142"/>
      <c r="D1142"/>
      <c r="E1142"/>
      <c r="F1142"/>
      <c r="G1142"/>
      <c r="H1142" s="605"/>
      <c r="J1142" s="605"/>
      <c r="K1142" s="605"/>
      <c r="L1142" s="605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</row>
    <row r="1143" spans="1:25">
      <c r="A1143"/>
      <c r="B1143"/>
      <c r="C1143"/>
      <c r="D1143"/>
      <c r="E1143"/>
      <c r="F1143"/>
      <c r="G1143"/>
      <c r="H1143" s="605"/>
      <c r="J1143" s="605"/>
      <c r="K1143" s="605"/>
      <c r="L1143" s="605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</row>
    <row r="1144" spans="1:25">
      <c r="A1144"/>
      <c r="B1144"/>
      <c r="C1144"/>
      <c r="D1144"/>
      <c r="E1144"/>
      <c r="F1144"/>
      <c r="G1144"/>
      <c r="H1144" s="605"/>
      <c r="J1144" s="605"/>
      <c r="K1144" s="605"/>
      <c r="L1144" s="605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</row>
    <row r="1145" spans="1:25">
      <c r="A1145"/>
      <c r="B1145"/>
      <c r="C1145"/>
      <c r="D1145"/>
      <c r="E1145"/>
      <c r="F1145"/>
      <c r="G1145"/>
      <c r="H1145" s="605"/>
      <c r="J1145" s="605"/>
      <c r="K1145" s="605"/>
      <c r="L1145" s="60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</row>
    <row r="1146" spans="1:25">
      <c r="A1146"/>
      <c r="B1146"/>
      <c r="C1146"/>
      <c r="D1146"/>
      <c r="E1146"/>
      <c r="F1146"/>
      <c r="G1146"/>
      <c r="H1146" s="605"/>
      <c r="J1146" s="605"/>
      <c r="K1146" s="605"/>
      <c r="L1146" s="605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</row>
    <row r="1147" spans="1:25">
      <c r="A1147"/>
      <c r="B1147"/>
      <c r="C1147"/>
      <c r="D1147"/>
      <c r="E1147"/>
      <c r="F1147"/>
      <c r="G1147"/>
      <c r="H1147" s="605"/>
      <c r="J1147" s="605"/>
      <c r="K1147" s="605"/>
      <c r="L1147" s="605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</row>
    <row r="1148" spans="1:25">
      <c r="A1148"/>
      <c r="B1148"/>
      <c r="C1148"/>
      <c r="D1148"/>
      <c r="E1148"/>
      <c r="F1148"/>
      <c r="G1148"/>
      <c r="H1148" s="605"/>
      <c r="J1148" s="605"/>
      <c r="K1148" s="605"/>
      <c r="L1148" s="605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</row>
    <row r="1149" spans="1:25">
      <c r="A1149"/>
      <c r="B1149"/>
      <c r="C1149"/>
      <c r="D1149"/>
      <c r="E1149"/>
      <c r="F1149"/>
      <c r="G1149"/>
      <c r="H1149" s="605"/>
      <c r="J1149" s="605"/>
      <c r="K1149" s="605"/>
      <c r="L1149" s="605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</row>
    <row r="1150" spans="1:25">
      <c r="A1150"/>
      <c r="B1150"/>
      <c r="C1150"/>
      <c r="D1150"/>
      <c r="E1150"/>
      <c r="F1150"/>
      <c r="G1150"/>
      <c r="H1150" s="605"/>
      <c r="J1150" s="605"/>
      <c r="K1150" s="605"/>
      <c r="L1150" s="605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</row>
    <row r="1151" spans="1:25">
      <c r="A1151"/>
      <c r="B1151"/>
      <c r="C1151"/>
      <c r="D1151"/>
      <c r="E1151"/>
      <c r="F1151"/>
      <c r="G1151"/>
      <c r="H1151" s="605"/>
      <c r="J1151" s="605"/>
      <c r="K1151" s="605"/>
      <c r="L1151" s="605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</row>
    <row r="1152" spans="1:25">
      <c r="A1152"/>
      <c r="B1152"/>
      <c r="C1152"/>
      <c r="D1152"/>
      <c r="E1152"/>
      <c r="F1152"/>
      <c r="G1152"/>
      <c r="H1152" s="605"/>
      <c r="J1152" s="605"/>
      <c r="K1152" s="605"/>
      <c r="L1152" s="605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</row>
    <row r="1153" spans="1:25">
      <c r="A1153"/>
      <c r="B1153"/>
      <c r="C1153"/>
      <c r="D1153"/>
      <c r="E1153"/>
      <c r="F1153"/>
      <c r="G1153"/>
      <c r="H1153" s="605"/>
      <c r="J1153" s="605"/>
      <c r="K1153" s="605"/>
      <c r="L1153" s="605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</row>
    <row r="1154" spans="1:25">
      <c r="A1154"/>
      <c r="B1154"/>
      <c r="C1154"/>
      <c r="D1154"/>
      <c r="E1154"/>
      <c r="F1154"/>
      <c r="G1154"/>
      <c r="H1154" s="605"/>
      <c r="J1154" s="605"/>
      <c r="K1154" s="605"/>
      <c r="L1154" s="605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</row>
    <row r="1155" spans="1:25">
      <c r="A1155"/>
      <c r="B1155"/>
      <c r="C1155"/>
      <c r="D1155"/>
      <c r="E1155"/>
      <c r="F1155"/>
      <c r="G1155"/>
      <c r="H1155" s="605"/>
      <c r="J1155" s="605"/>
      <c r="K1155" s="605"/>
      <c r="L1155" s="60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</row>
    <row r="1156" spans="1:25">
      <c r="A1156"/>
      <c r="B1156"/>
      <c r="C1156"/>
      <c r="D1156"/>
      <c r="E1156"/>
      <c r="F1156"/>
      <c r="G1156"/>
      <c r="H1156" s="605"/>
      <c r="J1156" s="605"/>
      <c r="K1156" s="605"/>
      <c r="L1156" s="605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</row>
    <row r="1157" spans="1:25">
      <c r="A1157"/>
      <c r="B1157"/>
      <c r="C1157"/>
      <c r="D1157"/>
      <c r="E1157"/>
      <c r="F1157"/>
      <c r="G1157"/>
      <c r="H1157" s="605"/>
      <c r="J1157" s="605"/>
      <c r="K1157" s="605"/>
      <c r="L1157" s="605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</row>
    <row r="1158" spans="1:25">
      <c r="A1158"/>
      <c r="B1158"/>
      <c r="C1158"/>
      <c r="D1158"/>
      <c r="E1158"/>
      <c r="F1158"/>
      <c r="G1158"/>
      <c r="H1158" s="605"/>
      <c r="J1158" s="605"/>
      <c r="K1158" s="605"/>
      <c r="L1158" s="605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</row>
    <row r="1159" spans="1:25">
      <c r="A1159"/>
      <c r="B1159"/>
      <c r="C1159"/>
      <c r="D1159"/>
      <c r="E1159"/>
      <c r="F1159"/>
      <c r="G1159"/>
      <c r="H1159" s="605"/>
      <c r="J1159" s="605"/>
      <c r="K1159" s="605"/>
      <c r="L1159" s="605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</row>
    <row r="1160" spans="1:25">
      <c r="A1160"/>
      <c r="B1160"/>
      <c r="C1160"/>
      <c r="D1160"/>
      <c r="E1160"/>
      <c r="F1160"/>
      <c r="G1160"/>
      <c r="H1160" s="605"/>
      <c r="J1160" s="605"/>
      <c r="K1160" s="605"/>
      <c r="L1160" s="605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</row>
    <row r="1161" spans="1:25">
      <c r="A1161"/>
      <c r="B1161"/>
      <c r="C1161"/>
      <c r="D1161"/>
      <c r="E1161"/>
      <c r="F1161"/>
      <c r="G1161"/>
      <c r="H1161" s="605"/>
      <c r="J1161" s="605"/>
      <c r="K1161" s="605"/>
      <c r="L1161" s="605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</row>
    <row r="1162" spans="1:25">
      <c r="A1162"/>
      <c r="B1162"/>
      <c r="C1162"/>
      <c r="D1162"/>
      <c r="E1162"/>
      <c r="F1162"/>
      <c r="G1162"/>
      <c r="H1162" s="605"/>
      <c r="J1162" s="605"/>
      <c r="K1162" s="605"/>
      <c r="L1162" s="605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</row>
    <row r="1163" spans="1:25">
      <c r="A1163"/>
      <c r="B1163"/>
      <c r="C1163"/>
      <c r="D1163"/>
      <c r="E1163"/>
      <c r="F1163"/>
      <c r="G1163"/>
      <c r="H1163" s="605"/>
      <c r="J1163" s="605"/>
      <c r="K1163" s="605"/>
      <c r="L1163" s="605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</row>
    <row r="1164" spans="1:25">
      <c r="A1164"/>
      <c r="B1164"/>
      <c r="C1164"/>
      <c r="D1164"/>
      <c r="E1164"/>
      <c r="F1164"/>
      <c r="G1164"/>
      <c r="H1164" s="605"/>
      <c r="J1164" s="605"/>
      <c r="K1164" s="605"/>
      <c r="L1164" s="605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</row>
    <row r="1165" spans="1:25">
      <c r="A1165"/>
      <c r="B1165"/>
      <c r="C1165"/>
      <c r="D1165"/>
      <c r="E1165"/>
      <c r="F1165"/>
      <c r="G1165"/>
      <c r="H1165" s="605"/>
      <c r="J1165" s="605"/>
      <c r="K1165" s="605"/>
      <c r="L1165" s="60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</row>
    <row r="1166" spans="1:25">
      <c r="A1166"/>
      <c r="B1166"/>
      <c r="C1166"/>
      <c r="D1166"/>
      <c r="E1166"/>
      <c r="F1166"/>
      <c r="G1166"/>
      <c r="H1166" s="605"/>
      <c r="J1166" s="605"/>
      <c r="K1166" s="605"/>
      <c r="L1166" s="605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</row>
    <row r="1167" spans="1:25">
      <c r="A1167"/>
      <c r="B1167"/>
      <c r="C1167"/>
      <c r="D1167"/>
      <c r="E1167"/>
      <c r="F1167"/>
      <c r="G1167"/>
      <c r="H1167" s="605"/>
      <c r="J1167" s="605"/>
      <c r="K1167" s="605"/>
      <c r="L1167" s="605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</row>
    <row r="1168" spans="1:25">
      <c r="A1168"/>
      <c r="B1168"/>
      <c r="C1168"/>
      <c r="D1168"/>
      <c r="E1168"/>
      <c r="F1168"/>
      <c r="G1168"/>
      <c r="H1168" s="605"/>
      <c r="J1168" s="605"/>
      <c r="K1168" s="605"/>
      <c r="L1168" s="605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</row>
    <row r="1169" spans="1:25">
      <c r="A1169"/>
      <c r="B1169"/>
      <c r="C1169"/>
      <c r="D1169"/>
      <c r="E1169"/>
      <c r="F1169"/>
      <c r="G1169"/>
      <c r="H1169" s="605"/>
      <c r="J1169" s="605"/>
      <c r="K1169" s="605"/>
      <c r="L1169" s="605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</row>
    <row r="1170" spans="1:25">
      <c r="A1170"/>
      <c r="B1170"/>
      <c r="C1170"/>
      <c r="D1170"/>
      <c r="E1170"/>
      <c r="F1170"/>
      <c r="G1170"/>
      <c r="H1170" s="605"/>
      <c r="J1170" s="605"/>
      <c r="K1170" s="605"/>
      <c r="L1170" s="605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</row>
    <row r="1171" spans="1:25">
      <c r="A1171"/>
      <c r="B1171"/>
      <c r="C1171"/>
      <c r="D1171"/>
      <c r="E1171"/>
      <c r="F1171"/>
      <c r="G1171"/>
      <c r="H1171" s="605"/>
      <c r="J1171" s="605"/>
      <c r="K1171" s="605"/>
      <c r="L1171" s="605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</row>
    <row r="1172" spans="1:25">
      <c r="A1172"/>
      <c r="B1172"/>
      <c r="C1172"/>
      <c r="D1172"/>
      <c r="E1172"/>
      <c r="F1172"/>
      <c r="G1172"/>
      <c r="H1172" s="605"/>
      <c r="J1172" s="605"/>
      <c r="K1172" s="605"/>
      <c r="L1172" s="605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</row>
    <row r="1173" spans="1:25">
      <c r="A1173"/>
      <c r="B1173"/>
      <c r="C1173"/>
      <c r="D1173"/>
      <c r="E1173"/>
      <c r="F1173"/>
      <c r="G1173"/>
      <c r="H1173" s="605"/>
      <c r="J1173" s="605"/>
      <c r="K1173" s="605"/>
      <c r="L1173" s="605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</row>
    <row r="1174" spans="1:25">
      <c r="A1174"/>
      <c r="B1174"/>
      <c r="C1174"/>
      <c r="D1174"/>
      <c r="E1174"/>
      <c r="F1174"/>
      <c r="G1174"/>
      <c r="H1174" s="605"/>
      <c r="J1174" s="605"/>
      <c r="K1174" s="605"/>
      <c r="L1174" s="605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</row>
    <row r="1175" spans="1:25">
      <c r="A1175"/>
      <c r="B1175"/>
      <c r="C1175"/>
      <c r="D1175"/>
      <c r="E1175"/>
      <c r="F1175"/>
      <c r="G1175"/>
      <c r="H1175" s="605"/>
      <c r="J1175" s="605"/>
      <c r="K1175" s="605"/>
      <c r="L1175" s="60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</row>
    <row r="1176" spans="1:25">
      <c r="A1176"/>
      <c r="B1176"/>
      <c r="C1176"/>
      <c r="D1176"/>
      <c r="E1176"/>
      <c r="F1176"/>
      <c r="G1176"/>
      <c r="H1176" s="605"/>
      <c r="J1176" s="605"/>
      <c r="K1176" s="605"/>
      <c r="L1176" s="605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</row>
    <row r="1177" spans="1:25">
      <c r="A1177"/>
      <c r="B1177"/>
      <c r="C1177"/>
      <c r="D1177"/>
      <c r="E1177"/>
      <c r="F1177"/>
      <c r="G1177"/>
      <c r="H1177" s="605"/>
      <c r="J1177" s="605"/>
      <c r="K1177" s="605"/>
      <c r="L1177" s="605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</row>
    <row r="1178" spans="1:25">
      <c r="A1178"/>
      <c r="B1178"/>
      <c r="C1178"/>
      <c r="D1178"/>
      <c r="E1178"/>
      <c r="F1178"/>
      <c r="G1178"/>
      <c r="H1178" s="605"/>
      <c r="J1178" s="605"/>
      <c r="K1178" s="605"/>
      <c r="L1178" s="605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</row>
    <row r="1179" spans="1:25">
      <c r="A1179"/>
      <c r="B1179"/>
      <c r="C1179"/>
      <c r="D1179"/>
      <c r="E1179"/>
      <c r="F1179"/>
      <c r="G1179"/>
      <c r="H1179" s="605"/>
      <c r="J1179" s="605"/>
      <c r="K1179" s="605"/>
      <c r="L1179" s="605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</row>
    <row r="1180" spans="1:25">
      <c r="A1180"/>
      <c r="B1180"/>
      <c r="C1180"/>
      <c r="D1180"/>
      <c r="E1180"/>
      <c r="F1180"/>
      <c r="G1180"/>
      <c r="H1180" s="605"/>
      <c r="J1180" s="605"/>
      <c r="K1180" s="605"/>
      <c r="L1180" s="605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</row>
    <row r="1181" spans="1:25">
      <c r="A1181"/>
      <c r="B1181"/>
      <c r="C1181"/>
      <c r="D1181"/>
      <c r="E1181"/>
      <c r="F1181"/>
      <c r="G1181"/>
      <c r="H1181" s="605"/>
      <c r="J1181" s="605"/>
      <c r="K1181" s="605"/>
      <c r="L1181" s="605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</row>
    <row r="1182" spans="1:25">
      <c r="A1182"/>
      <c r="B1182"/>
      <c r="C1182"/>
      <c r="D1182"/>
      <c r="E1182"/>
      <c r="F1182"/>
      <c r="G1182"/>
      <c r="H1182" s="605"/>
      <c r="J1182" s="605"/>
      <c r="K1182" s="605"/>
      <c r="L1182" s="605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</row>
    <row r="1183" spans="1:25">
      <c r="A1183"/>
      <c r="B1183"/>
      <c r="C1183"/>
      <c r="D1183"/>
      <c r="E1183"/>
      <c r="F1183"/>
      <c r="G1183"/>
      <c r="H1183" s="605"/>
      <c r="J1183" s="605"/>
      <c r="K1183" s="605"/>
      <c r="L1183" s="605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</row>
    <row r="1184" spans="1:25">
      <c r="A1184"/>
      <c r="B1184"/>
      <c r="C1184"/>
      <c r="D1184"/>
      <c r="E1184"/>
      <c r="F1184"/>
      <c r="G1184"/>
      <c r="H1184" s="605"/>
      <c r="J1184" s="605"/>
      <c r="K1184" s="605"/>
      <c r="L1184" s="605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</row>
    <row r="1185" spans="1:25">
      <c r="A1185"/>
      <c r="B1185"/>
      <c r="C1185"/>
      <c r="D1185"/>
      <c r="E1185"/>
      <c r="F1185"/>
      <c r="G1185"/>
      <c r="H1185" s="605"/>
      <c r="J1185" s="605"/>
      <c r="K1185" s="605"/>
      <c r="L1185" s="60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</row>
    <row r="1186" spans="1:25">
      <c r="A1186"/>
      <c r="B1186"/>
      <c r="C1186"/>
      <c r="D1186"/>
      <c r="E1186"/>
      <c r="F1186"/>
      <c r="G1186"/>
      <c r="H1186" s="605"/>
      <c r="J1186" s="605"/>
      <c r="K1186" s="605"/>
      <c r="L1186" s="605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</row>
    <row r="1187" spans="1:25">
      <c r="A1187"/>
      <c r="B1187"/>
      <c r="C1187"/>
      <c r="D1187"/>
      <c r="E1187"/>
      <c r="F1187"/>
      <c r="G1187"/>
      <c r="H1187" s="605"/>
      <c r="J1187" s="605"/>
      <c r="K1187" s="605"/>
      <c r="L1187" s="605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</row>
    <row r="1188" spans="1:25">
      <c r="A1188"/>
      <c r="B1188"/>
      <c r="C1188"/>
      <c r="D1188"/>
      <c r="E1188"/>
      <c r="F1188"/>
      <c r="G1188"/>
      <c r="H1188" s="605"/>
      <c r="J1188" s="605"/>
      <c r="K1188" s="605"/>
      <c r="L1188" s="605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</row>
    <row r="1189" spans="1:25">
      <c r="A1189"/>
      <c r="B1189"/>
      <c r="C1189"/>
      <c r="D1189"/>
      <c r="E1189"/>
      <c r="F1189"/>
      <c r="G1189"/>
      <c r="H1189" s="605"/>
      <c r="J1189" s="605"/>
      <c r="K1189" s="605"/>
      <c r="L1189" s="605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</row>
    <row r="1190" spans="1:25">
      <c r="A1190"/>
      <c r="B1190"/>
      <c r="C1190"/>
      <c r="D1190"/>
      <c r="E1190"/>
      <c r="F1190"/>
      <c r="G1190"/>
      <c r="H1190" s="605"/>
      <c r="J1190" s="605"/>
      <c r="K1190" s="605"/>
      <c r="L1190" s="605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</row>
    <row r="1191" spans="1:25">
      <c r="A1191"/>
      <c r="B1191"/>
      <c r="C1191"/>
      <c r="D1191"/>
      <c r="E1191"/>
      <c r="F1191"/>
      <c r="G1191"/>
      <c r="H1191" s="605"/>
      <c r="J1191" s="605"/>
      <c r="K1191" s="605"/>
      <c r="L1191" s="605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</row>
    <row r="1192" spans="1:25">
      <c r="A1192"/>
      <c r="B1192"/>
      <c r="C1192"/>
      <c r="D1192"/>
      <c r="E1192"/>
      <c r="F1192"/>
      <c r="G1192"/>
      <c r="H1192" s="605"/>
      <c r="J1192" s="605"/>
      <c r="K1192" s="605"/>
      <c r="L1192" s="605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</row>
    <row r="1193" spans="1:25">
      <c r="A1193"/>
      <c r="B1193"/>
      <c r="C1193"/>
      <c r="D1193"/>
      <c r="E1193"/>
      <c r="F1193"/>
      <c r="G1193"/>
      <c r="H1193" s="605"/>
      <c r="J1193" s="605"/>
      <c r="K1193" s="605"/>
      <c r="L1193" s="605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</row>
    <row r="1194" spans="1:25">
      <c r="A1194"/>
      <c r="B1194"/>
      <c r="C1194"/>
      <c r="D1194"/>
      <c r="E1194"/>
      <c r="F1194"/>
      <c r="G1194"/>
      <c r="H1194" s="605"/>
      <c r="J1194" s="605"/>
      <c r="K1194" s="605"/>
      <c r="L1194" s="605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</row>
    <row r="1195" spans="1:25">
      <c r="A1195"/>
      <c r="B1195"/>
      <c r="C1195"/>
      <c r="D1195"/>
      <c r="E1195"/>
      <c r="F1195"/>
      <c r="G1195"/>
      <c r="H1195" s="605"/>
      <c r="J1195" s="605"/>
      <c r="K1195" s="605"/>
      <c r="L1195" s="60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</row>
    <row r="1196" spans="1:25">
      <c r="A1196"/>
      <c r="B1196"/>
      <c r="C1196"/>
      <c r="D1196"/>
      <c r="E1196"/>
      <c r="F1196"/>
      <c r="G1196"/>
      <c r="H1196" s="605"/>
      <c r="J1196" s="605"/>
      <c r="K1196" s="605"/>
      <c r="L1196" s="605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</row>
    <row r="1197" spans="1:25">
      <c r="A1197"/>
      <c r="B1197"/>
      <c r="C1197"/>
      <c r="D1197"/>
      <c r="E1197"/>
      <c r="F1197"/>
      <c r="G1197"/>
      <c r="H1197" s="605"/>
      <c r="J1197" s="605"/>
      <c r="K1197" s="605"/>
      <c r="L1197" s="605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</row>
    <row r="1198" spans="1:25">
      <c r="A1198"/>
      <c r="B1198"/>
      <c r="C1198"/>
      <c r="D1198"/>
      <c r="E1198"/>
      <c r="F1198"/>
      <c r="G1198"/>
      <c r="H1198" s="605"/>
      <c r="J1198" s="605"/>
      <c r="K1198" s="605"/>
      <c r="L1198" s="605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</row>
    <row r="1199" spans="1:25">
      <c r="A1199"/>
      <c r="B1199"/>
      <c r="C1199"/>
      <c r="D1199"/>
      <c r="E1199"/>
      <c r="F1199"/>
      <c r="G1199"/>
      <c r="H1199" s="605"/>
      <c r="J1199" s="605"/>
      <c r="K1199" s="605"/>
      <c r="L1199" s="605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</row>
    <row r="1200" spans="1:25">
      <c r="A1200"/>
      <c r="B1200"/>
      <c r="C1200"/>
      <c r="D1200"/>
      <c r="E1200"/>
      <c r="F1200"/>
      <c r="G1200"/>
      <c r="H1200" s="605"/>
      <c r="J1200" s="605"/>
      <c r="K1200" s="605"/>
      <c r="L1200" s="605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</row>
    <row r="1201" spans="1:25">
      <c r="A1201"/>
      <c r="B1201"/>
      <c r="C1201"/>
      <c r="D1201"/>
      <c r="E1201"/>
      <c r="F1201"/>
      <c r="G1201"/>
      <c r="H1201" s="605"/>
      <c r="J1201" s="605"/>
      <c r="K1201" s="605"/>
      <c r="L1201" s="605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</row>
    <row r="1202" spans="1:25">
      <c r="A1202"/>
      <c r="B1202"/>
      <c r="C1202"/>
      <c r="D1202"/>
      <c r="E1202"/>
      <c r="F1202"/>
      <c r="G1202"/>
      <c r="H1202" s="605"/>
      <c r="J1202" s="605"/>
      <c r="K1202" s="605"/>
      <c r="L1202" s="605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</row>
    <row r="1203" spans="1:25">
      <c r="A1203"/>
      <c r="B1203"/>
      <c r="C1203"/>
      <c r="D1203"/>
      <c r="E1203"/>
      <c r="F1203"/>
      <c r="G1203"/>
      <c r="H1203" s="605"/>
      <c r="J1203" s="605"/>
      <c r="K1203" s="605"/>
      <c r="L1203" s="605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</row>
    <row r="1204" spans="1:25">
      <c r="A1204"/>
      <c r="B1204"/>
      <c r="C1204"/>
      <c r="D1204"/>
      <c r="E1204"/>
      <c r="F1204"/>
      <c r="G1204"/>
      <c r="H1204" s="605"/>
      <c r="J1204" s="605"/>
      <c r="K1204" s="605"/>
      <c r="L1204" s="605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</row>
    <row r="1205" spans="1:25">
      <c r="A1205"/>
      <c r="B1205"/>
      <c r="C1205"/>
      <c r="D1205"/>
      <c r="E1205"/>
      <c r="F1205"/>
      <c r="G1205"/>
      <c r="H1205" s="605"/>
      <c r="J1205" s="605"/>
      <c r="K1205" s="605"/>
      <c r="L1205" s="6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</row>
    <row r="1206" spans="1:25">
      <c r="A1206"/>
      <c r="B1206"/>
      <c r="C1206"/>
      <c r="D1206"/>
      <c r="E1206"/>
      <c r="F1206"/>
      <c r="G1206"/>
      <c r="H1206" s="605"/>
      <c r="J1206" s="605"/>
      <c r="K1206" s="605"/>
      <c r="L1206" s="605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</row>
    <row r="1207" spans="1:25">
      <c r="A1207"/>
      <c r="B1207"/>
      <c r="C1207"/>
      <c r="D1207"/>
      <c r="E1207"/>
      <c r="F1207"/>
      <c r="G1207"/>
      <c r="H1207" s="605"/>
      <c r="J1207" s="605"/>
      <c r="K1207" s="605"/>
      <c r="L1207" s="605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</row>
    <row r="1208" spans="1:25">
      <c r="A1208"/>
      <c r="B1208"/>
      <c r="C1208"/>
      <c r="D1208"/>
      <c r="E1208"/>
      <c r="F1208"/>
      <c r="G1208"/>
      <c r="H1208" s="605"/>
      <c r="J1208" s="605"/>
      <c r="K1208" s="605"/>
      <c r="L1208" s="605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</row>
    <row r="1209" spans="1:25">
      <c r="A1209"/>
      <c r="B1209"/>
      <c r="C1209"/>
      <c r="D1209"/>
      <c r="E1209"/>
      <c r="F1209"/>
      <c r="G1209"/>
      <c r="H1209" s="605"/>
      <c r="J1209" s="605"/>
      <c r="K1209" s="605"/>
      <c r="L1209" s="605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</row>
    <row r="1210" spans="1:25">
      <c r="A1210"/>
      <c r="B1210"/>
      <c r="C1210"/>
      <c r="D1210"/>
      <c r="E1210"/>
      <c r="F1210"/>
      <c r="G1210"/>
      <c r="H1210" s="605"/>
      <c r="J1210" s="605"/>
      <c r="K1210" s="605"/>
      <c r="L1210" s="605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</row>
    <row r="1211" spans="1:25">
      <c r="A1211"/>
      <c r="B1211"/>
      <c r="C1211"/>
      <c r="D1211"/>
      <c r="E1211"/>
      <c r="F1211"/>
      <c r="G1211"/>
      <c r="H1211" s="605"/>
      <c r="J1211" s="605"/>
      <c r="K1211" s="605"/>
      <c r="L1211" s="605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</row>
    <row r="1212" spans="1:25">
      <c r="A1212"/>
      <c r="B1212"/>
      <c r="C1212"/>
      <c r="D1212"/>
      <c r="E1212"/>
      <c r="F1212"/>
      <c r="G1212"/>
      <c r="H1212" s="605"/>
      <c r="J1212" s="605"/>
      <c r="K1212" s="605"/>
      <c r="L1212" s="605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</row>
    <row r="1213" spans="1:25">
      <c r="A1213"/>
      <c r="B1213"/>
      <c r="C1213"/>
      <c r="D1213"/>
      <c r="E1213"/>
      <c r="F1213"/>
      <c r="G1213"/>
      <c r="H1213" s="605"/>
      <c r="J1213" s="605"/>
      <c r="K1213" s="605"/>
      <c r="L1213" s="605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</row>
    <row r="1214" spans="1:25">
      <c r="A1214"/>
      <c r="B1214"/>
      <c r="C1214"/>
      <c r="D1214"/>
      <c r="E1214"/>
      <c r="F1214"/>
      <c r="G1214"/>
      <c r="H1214" s="605"/>
      <c r="J1214" s="605"/>
      <c r="K1214" s="605"/>
      <c r="L1214" s="605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</row>
    <row r="1215" spans="1:25">
      <c r="A1215"/>
      <c r="B1215"/>
      <c r="C1215"/>
      <c r="D1215"/>
      <c r="E1215"/>
      <c r="F1215"/>
      <c r="G1215"/>
      <c r="H1215" s="605"/>
      <c r="J1215" s="605"/>
      <c r="K1215" s="605"/>
      <c r="L1215" s="60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</row>
    <row r="1216" spans="1:25">
      <c r="A1216"/>
      <c r="B1216"/>
      <c r="C1216"/>
      <c r="D1216"/>
      <c r="E1216"/>
      <c r="F1216"/>
      <c r="G1216"/>
      <c r="H1216" s="605"/>
      <c r="J1216" s="605"/>
      <c r="K1216" s="605"/>
      <c r="L1216" s="605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</row>
    <row r="1217" spans="1:25">
      <c r="A1217"/>
      <c r="B1217"/>
      <c r="C1217"/>
      <c r="D1217"/>
      <c r="E1217"/>
      <c r="F1217"/>
      <c r="G1217"/>
      <c r="H1217" s="605"/>
      <c r="J1217" s="605"/>
      <c r="K1217" s="605"/>
      <c r="L1217" s="605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</row>
    <row r="1218" spans="1:25">
      <c r="A1218"/>
      <c r="B1218"/>
      <c r="C1218"/>
      <c r="D1218"/>
      <c r="E1218"/>
      <c r="F1218"/>
      <c r="G1218"/>
      <c r="H1218" s="605"/>
      <c r="J1218" s="605"/>
      <c r="K1218" s="605"/>
      <c r="L1218" s="605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</row>
    <row r="1219" spans="1:25">
      <c r="A1219"/>
      <c r="B1219"/>
      <c r="C1219"/>
      <c r="D1219"/>
      <c r="E1219"/>
      <c r="F1219"/>
      <c r="G1219"/>
      <c r="H1219" s="605"/>
      <c r="J1219" s="605"/>
      <c r="K1219" s="605"/>
      <c r="L1219" s="605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</row>
    <row r="1220" spans="1:25">
      <c r="A1220"/>
      <c r="B1220"/>
      <c r="C1220"/>
      <c r="D1220"/>
      <c r="E1220"/>
      <c r="F1220"/>
      <c r="G1220"/>
      <c r="H1220" s="605"/>
      <c r="J1220" s="605"/>
      <c r="K1220" s="605"/>
      <c r="L1220" s="605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</row>
    <row r="1221" spans="1:25">
      <c r="A1221"/>
      <c r="B1221"/>
      <c r="C1221"/>
      <c r="D1221"/>
      <c r="E1221"/>
      <c r="F1221"/>
      <c r="G1221"/>
      <c r="H1221" s="605"/>
      <c r="J1221" s="605"/>
      <c r="K1221" s="605"/>
      <c r="L1221" s="605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</row>
    <row r="1222" spans="1:25">
      <c r="A1222"/>
      <c r="B1222"/>
      <c r="C1222"/>
      <c r="D1222"/>
      <c r="E1222"/>
      <c r="F1222"/>
      <c r="G1222"/>
      <c r="H1222" s="605"/>
      <c r="J1222" s="605"/>
      <c r="K1222" s="605"/>
      <c r="L1222" s="605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</row>
    <row r="1223" spans="1:25">
      <c r="A1223"/>
      <c r="B1223"/>
      <c r="C1223"/>
      <c r="D1223"/>
      <c r="E1223"/>
      <c r="F1223"/>
      <c r="G1223"/>
      <c r="H1223" s="605"/>
      <c r="J1223" s="605"/>
      <c r="K1223" s="605"/>
      <c r="L1223" s="605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</row>
    <row r="1224" spans="1:25">
      <c r="A1224"/>
      <c r="B1224"/>
      <c r="C1224"/>
      <c r="D1224"/>
      <c r="E1224"/>
      <c r="F1224"/>
      <c r="G1224"/>
      <c r="H1224" s="605"/>
      <c r="J1224" s="605"/>
      <c r="K1224" s="605"/>
      <c r="L1224" s="605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</row>
    <row r="1225" spans="1:25">
      <c r="A1225"/>
      <c r="B1225"/>
      <c r="C1225"/>
      <c r="D1225"/>
      <c r="E1225"/>
      <c r="F1225"/>
      <c r="G1225"/>
      <c r="H1225" s="605"/>
      <c r="J1225" s="605"/>
      <c r="K1225" s="605"/>
      <c r="L1225" s="60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</row>
    <row r="1226" spans="1:25">
      <c r="A1226"/>
      <c r="B1226"/>
      <c r="C1226"/>
      <c r="D1226"/>
      <c r="E1226"/>
      <c r="F1226"/>
      <c r="G1226"/>
      <c r="H1226" s="605"/>
      <c r="J1226" s="605"/>
      <c r="K1226" s="605"/>
      <c r="L1226" s="605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</row>
    <row r="1227" spans="1:25">
      <c r="A1227"/>
      <c r="B1227"/>
      <c r="C1227"/>
      <c r="D1227"/>
      <c r="E1227"/>
      <c r="F1227"/>
      <c r="G1227"/>
      <c r="H1227" s="605"/>
      <c r="J1227" s="605"/>
      <c r="K1227" s="605"/>
      <c r="L1227" s="605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</row>
    <row r="1228" spans="1:25">
      <c r="A1228"/>
      <c r="B1228"/>
      <c r="C1228"/>
      <c r="D1228"/>
      <c r="E1228"/>
      <c r="F1228"/>
      <c r="G1228"/>
      <c r="H1228" s="605"/>
      <c r="J1228" s="605"/>
      <c r="K1228" s="605"/>
      <c r="L1228" s="605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</row>
    <row r="1229" spans="1:25">
      <c r="A1229"/>
      <c r="B1229"/>
      <c r="C1229"/>
      <c r="D1229"/>
      <c r="E1229"/>
      <c r="F1229"/>
      <c r="G1229"/>
      <c r="H1229" s="605"/>
      <c r="J1229" s="605"/>
      <c r="K1229" s="605"/>
      <c r="L1229" s="605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</row>
    <row r="1230" spans="1:25">
      <c r="A1230"/>
      <c r="B1230"/>
      <c r="C1230"/>
      <c r="D1230"/>
      <c r="E1230"/>
      <c r="F1230"/>
      <c r="G1230"/>
      <c r="H1230" s="605"/>
      <c r="J1230" s="605"/>
      <c r="K1230" s="605"/>
      <c r="L1230" s="605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</row>
    <row r="1231" spans="1:25">
      <c r="A1231"/>
      <c r="B1231"/>
      <c r="C1231"/>
      <c r="D1231"/>
      <c r="E1231"/>
      <c r="F1231"/>
      <c r="G1231"/>
      <c r="H1231" s="605"/>
      <c r="J1231" s="605"/>
      <c r="K1231" s="605"/>
      <c r="L1231" s="605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</row>
    <row r="1232" spans="1:25">
      <c r="A1232"/>
      <c r="B1232"/>
      <c r="C1232"/>
      <c r="D1232"/>
      <c r="E1232"/>
      <c r="F1232"/>
      <c r="G1232"/>
      <c r="H1232" s="605"/>
      <c r="J1232" s="605"/>
      <c r="K1232" s="605"/>
      <c r="L1232" s="605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</row>
    <row r="1233" spans="1:25">
      <c r="A1233"/>
      <c r="B1233"/>
      <c r="C1233"/>
      <c r="D1233"/>
      <c r="E1233"/>
      <c r="F1233"/>
      <c r="G1233"/>
      <c r="H1233" s="605"/>
      <c r="J1233" s="605"/>
      <c r="K1233" s="605"/>
      <c r="L1233" s="605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</row>
    <row r="1234" spans="1:25">
      <c r="A1234"/>
      <c r="B1234"/>
      <c r="C1234"/>
      <c r="D1234"/>
      <c r="E1234"/>
      <c r="F1234"/>
      <c r="G1234"/>
      <c r="H1234" s="605"/>
      <c r="J1234" s="605"/>
      <c r="K1234" s="605"/>
      <c r="L1234" s="605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</row>
    <row r="1235" spans="1:25">
      <c r="A1235"/>
      <c r="B1235"/>
      <c r="C1235"/>
      <c r="D1235"/>
      <c r="E1235"/>
      <c r="F1235"/>
      <c r="G1235"/>
      <c r="H1235" s="605"/>
      <c r="J1235" s="605"/>
      <c r="K1235" s="605"/>
      <c r="L1235" s="60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</row>
    <row r="1236" spans="1:25">
      <c r="A1236"/>
      <c r="B1236"/>
      <c r="C1236"/>
      <c r="D1236"/>
      <c r="E1236"/>
      <c r="F1236"/>
      <c r="G1236"/>
      <c r="H1236" s="605"/>
      <c r="J1236" s="605"/>
      <c r="K1236" s="605"/>
      <c r="L1236" s="605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</row>
    <row r="1237" spans="1:25">
      <c r="A1237"/>
      <c r="B1237"/>
      <c r="C1237"/>
      <c r="D1237"/>
      <c r="E1237"/>
      <c r="F1237"/>
      <c r="G1237"/>
      <c r="J1237" s="605"/>
      <c r="K1237" s="605"/>
      <c r="L1237" s="605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</row>
    <row r="1238" spans="1:25">
      <c r="A1238"/>
      <c r="B1238"/>
      <c r="C1238"/>
      <c r="D1238"/>
      <c r="E1238"/>
      <c r="F1238"/>
      <c r="G1238"/>
      <c r="J1238" s="605"/>
      <c r="K1238" s="605"/>
      <c r="L1238" s="605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</row>
    <row r="1239" spans="1:25">
      <c r="A1239"/>
      <c r="B1239"/>
      <c r="C1239"/>
      <c r="D1239"/>
      <c r="E1239"/>
      <c r="F1239"/>
      <c r="G1239"/>
      <c r="J1239" s="605"/>
      <c r="K1239" s="605"/>
      <c r="L1239" s="605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</row>
    <row r="1240" spans="1:25">
      <c r="A1240"/>
      <c r="B1240"/>
      <c r="C1240"/>
      <c r="D1240"/>
      <c r="E1240"/>
      <c r="F1240"/>
      <c r="G1240"/>
      <c r="J1240" s="605"/>
      <c r="K1240" s="605"/>
      <c r="L1240" s="605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</row>
    <row r="1241" spans="1:25">
      <c r="A1241"/>
      <c r="B1241"/>
      <c r="C1241"/>
      <c r="D1241"/>
      <c r="E1241"/>
      <c r="F1241"/>
      <c r="G1241"/>
      <c r="J1241" s="605"/>
      <c r="K1241" s="605"/>
      <c r="L1241" s="605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</row>
    <row r="1242" spans="1:25">
      <c r="A1242"/>
      <c r="B1242"/>
      <c r="C1242"/>
      <c r="D1242"/>
      <c r="E1242"/>
      <c r="F1242"/>
      <c r="G1242"/>
      <c r="J1242" s="605"/>
      <c r="K1242" s="605"/>
      <c r="L1242" s="605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</row>
    <row r="1243" spans="1:25">
      <c r="A1243"/>
      <c r="B1243"/>
      <c r="C1243"/>
      <c r="D1243"/>
      <c r="E1243"/>
      <c r="F1243"/>
      <c r="G1243"/>
      <c r="J1243" s="605"/>
      <c r="K1243" s="605"/>
      <c r="L1243" s="605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</row>
    <row r="1244" spans="1:25">
      <c r="A1244"/>
      <c r="B1244"/>
      <c r="C1244"/>
      <c r="D1244"/>
      <c r="E1244"/>
      <c r="F1244"/>
      <c r="G1244"/>
      <c r="J1244" s="605"/>
      <c r="K1244" s="605"/>
      <c r="L1244" s="605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</row>
    <row r="1245" spans="1:25">
      <c r="A1245"/>
      <c r="B1245"/>
      <c r="C1245"/>
      <c r="D1245"/>
      <c r="E1245"/>
      <c r="F1245"/>
      <c r="G1245"/>
      <c r="J1245" s="605"/>
      <c r="K1245" s="605"/>
      <c r="L1245" s="60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</row>
    <row r="1246" spans="1:25">
      <c r="A1246"/>
      <c r="B1246"/>
      <c r="C1246"/>
      <c r="D1246"/>
      <c r="E1246"/>
      <c r="F1246"/>
      <c r="G1246"/>
      <c r="J1246" s="605"/>
      <c r="K1246" s="605"/>
      <c r="L1246" s="605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</row>
    <row r="1247" spans="1:25">
      <c r="A1247"/>
      <c r="B1247"/>
      <c r="C1247"/>
      <c r="D1247"/>
      <c r="E1247"/>
      <c r="F1247"/>
      <c r="G1247"/>
      <c r="J1247" s="605"/>
      <c r="K1247" s="605"/>
      <c r="L1247" s="605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</row>
    <row r="1248" spans="1:25">
      <c r="A1248"/>
      <c r="B1248"/>
      <c r="C1248"/>
      <c r="D1248"/>
      <c r="E1248"/>
      <c r="F1248"/>
      <c r="G1248"/>
      <c r="J1248" s="605"/>
      <c r="K1248" s="605"/>
      <c r="L1248" s="605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</row>
    <row r="1249" spans="1:25">
      <c r="A1249"/>
      <c r="B1249"/>
      <c r="C1249"/>
      <c r="D1249"/>
      <c r="E1249"/>
      <c r="F1249"/>
      <c r="G1249"/>
      <c r="J1249" s="605"/>
      <c r="K1249" s="605"/>
      <c r="L1249" s="605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</row>
    <row r="1250" spans="1:25">
      <c r="A1250"/>
      <c r="B1250"/>
      <c r="C1250"/>
      <c r="D1250"/>
      <c r="E1250"/>
      <c r="F1250"/>
      <c r="G1250"/>
      <c r="J1250" s="605"/>
      <c r="K1250" s="605"/>
      <c r="L1250" s="605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</row>
    <row r="1251" spans="1:25">
      <c r="A1251"/>
      <c r="B1251"/>
      <c r="C1251"/>
      <c r="D1251"/>
      <c r="E1251"/>
      <c r="F1251"/>
      <c r="G1251"/>
      <c r="H1251"/>
      <c r="I1251"/>
      <c r="J1251" s="605"/>
      <c r="K1251" s="605"/>
      <c r="L1251" s="605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</row>
    <row r="1252" spans="1:25">
      <c r="A1252"/>
      <c r="B1252"/>
      <c r="C1252"/>
      <c r="D1252"/>
      <c r="E1252"/>
      <c r="F1252"/>
      <c r="G1252"/>
      <c r="H1252"/>
      <c r="I1252"/>
      <c r="J1252" s="605"/>
      <c r="K1252" s="605"/>
      <c r="L1252" s="605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</row>
    <row r="1253" spans="1:25">
      <c r="A1253"/>
      <c r="B1253"/>
      <c r="C1253"/>
      <c r="D1253"/>
      <c r="E1253"/>
      <c r="F1253"/>
      <c r="G1253"/>
      <c r="H1253"/>
      <c r="I1253"/>
      <c r="J1253" s="605"/>
      <c r="K1253" s="605"/>
      <c r="L1253" s="605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</row>
    <row r="1254" spans="1:25">
      <c r="A1254"/>
      <c r="B1254"/>
      <c r="C1254"/>
      <c r="D1254"/>
      <c r="E1254"/>
      <c r="F1254"/>
      <c r="G1254"/>
      <c r="H1254"/>
      <c r="I1254"/>
      <c r="J1254" s="605"/>
      <c r="K1254" s="605"/>
      <c r="L1254" s="605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</row>
    <row r="1255" spans="1:25">
      <c r="A1255"/>
      <c r="B1255"/>
      <c r="C1255"/>
      <c r="D1255"/>
      <c r="E1255"/>
      <c r="F1255"/>
      <c r="G1255"/>
      <c r="H1255"/>
      <c r="I1255"/>
      <c r="J1255" s="605"/>
      <c r="K1255" s="605"/>
      <c r="L1255" s="60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</row>
    <row r="1256" spans="1:25">
      <c r="A1256"/>
      <c r="B1256"/>
      <c r="C1256"/>
      <c r="D1256"/>
      <c r="E1256"/>
      <c r="F1256"/>
      <c r="G1256"/>
      <c r="H1256"/>
      <c r="I1256"/>
      <c r="J1256" s="605"/>
      <c r="K1256" s="605"/>
      <c r="L1256" s="605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</row>
  </sheetData>
  <sortState ref="C472:Q479">
    <sortCondition ref="C472:C479"/>
  </sortState>
  <mergeCells count="4">
    <mergeCell ref="A4:F4"/>
    <mergeCell ref="A5:F5"/>
    <mergeCell ref="E8:F8"/>
    <mergeCell ref="L8:M8"/>
  </mergeCells>
  <conditionalFormatting sqref="C797:G797 J807:J818 C785:D785 G785 C886:D895 E776 F739:G740 J740:J741 J746:J747 J753 C745:E753 M757:N757 E765:G765 F769:G772 G753 C754:D754 E816 M815:N815 F814:G815 C758:D778 C817:E818 C757:G757 E768 C761:G763 E759:E763 E765:E766 F723 F728 J735:J738 C735:E743 C734:D734 C709:D710 J711:J713 C711:E733 J715:J733 K698 G693 K691:K692 F684:G684 C689:D689 C686:D686 C756:E756 C687:E688 J687:J688 J690:J708 C690:E708 J756:J757 H680 F680:F681 M682:N682 F682:G682 K682 F676:F677 G675 M673:N673 F673:G673 C674:E685 C671:E672 G655 M666:N666 F666:G666 C672:D673 J657:J664 F648:F650 G647 C657:E657 E656:E664 F643 G632 F645:F646 G620:G621 F607:G607 G615:G618 F640:F641 F632:F633 G639:G642 F600:G600 J602:J618 J622 F601:F622 J624:J630 F624:F630 J654 C654:E654 F597:G597 J667:J685 C654:D670 E667:E670 J632:J652 F637:G638 G593:G594 F595:G595 F591:F594 F596 G589 N584 F588:F589 N557 F566 F562:F564 N551:N555 F583:F586 G583:G585 F568:F581 F551:F558 G577:G581 N520:N533 N549 F548:F549 Q527:Q529 F520:F541 N509:N511 N516:N518 F515:F518 N465:N467 Q495:Q498 N482:N506 Q478 N535:N541 N543:N544 N469:N471 N477:N480 F543:F545 N473:N475 C807:D816 G807 M810:N812 C810:G811 F808:G812 C813:F813 J797 N438:N443 N445:N463 N406 N408:N436 N404 N366:N369 N393:N402 Q371:Q373 F393:F444 N371:N377 F379:F391 N379:N391 N331 T355:T555 N229:N230 T320:T352 F319:F320 F322:F349 F351:F377 F313:F317 N233 T230:T243 N201 N217 F210 F212:F237 F239:F311 N175 T178:T179 T182:T184 F175 T166 F166:F168 F170:F173 N177 F149 T146:T162 F151:F160 F115:F118 F101:F112 F84:F94 F146:F147 F163:F164 T70:T72 F67:F77 F64 F53:F58 F60:F61 F32 F37 F39:F44 N571 F177:F208 F120:F144 F446:F513">
    <cfRule type="expression" dxfId="5190" priority="31296" stopIfTrue="1">
      <formula>#REF!=""</formula>
    </cfRule>
  </conditionalFormatting>
  <conditionalFormatting sqref="F807:H808 D888:D889 E964:E965 E969:E970 I886:I1086 C907:F907 F886:F1065 E893:E898 G886:G1086 H886:H1065 E785:H785 E754:H754 C746:H747 J744:N751 E770:H770 E752:H752 F768:H778 E758:H758 D760:H760 J764:K764 Q816 F745:G753 J765:L765 C761:H763 F814:H814 J775:L777 J818:L818 L764:L766 J743:L752 J768:L772 J752:K754 G757 J809:L809 C818:H818 F817:H817 E815:H816 C707:G707 Q723:Q724 F717:G717 Q728 C723:H724 F721:G721 G727 G728:H728 G709:H710 G729:G734 J734:L739 J722:L724 K725:L727 E713:G713 R692:R747 T694 F694:G706 F693:H693 K697:K698 G686:H686 F687:G688 J687:L688 L686:L687 K689:K692 K684:L684 Q756 J685:L685 E767:H767 F759:H766 E763:F788 C735:H743 E714:H714 C685:F686 C688:F689 J755:L763 C755:H756 T683:T690 G677:H682 C679:H679 E665:H665 F674:G685 K671 J672:L683 C673:H673 G666:H666 Q667:Q686 T661 E659:H659 R647:R663 R636:R645 T636:T638 J645:L647 Q598:Q623 J651:L652 E654:H655 F656:H664 K644:L648 K650:L651 E664:F664 E654:F658 C682:H683 E658:E663 C674:F681 E666:E672 C656:E656 C660:E660 T696:T736 Q625:Q637 Q639:Q665 C769:E773 C785:D786 C775:D782 F757:F788 E774:E789 D744:H751 C749:F772 E728 C713:C714 C706:F707 E708:E710 C731:E732 C702:F702 C718:F718 C722:F727 C732:F747 E720:E721 E713:F714 C684:E685 C691:F693 E685:E690 C686:D689 G789 J780:J790 J765:J778 J710:J753 T593:T594 T596 F582:H582 F587:H587 T580:T584 F588:G589 Q585:Q594 T577 R574:R634 Q573:Q583 Q556 G583:H586 F586:F589 Q542 R543:R572 T541:T565 Q527:Q531 Q476 Q512:Q513 R519:R540 Q495:Q498 Q502:Q505 R502:R517 Q478 Q462:Q466 T461:T462 T465:T539 T459 Q480:Q483 F523:F542 F505:F512 C789:F792 G791:H792 C800:F805 J789:L796 E800:H800 F801:H801 C802:H804 E805:H805 T808 Q807:R807 J807:J818 J813:L813 C813:H813 D797:H797 J797 E808:H808 E810:H813 J798:L805 C798:H799 E806:G806 C809:H809 L810:L812 F545:F582 F514:F521 C793:H796 G577:H581 G592:G707 N622:N641 N643:N838 N522:N565 N489:N505 N480:N487 T455:T457 Q451:Q454 T451 Q447 Q449 Q432:Q436 T439 Q411:Q414 T421:T429 R391:R499 Q370:Q373 T365:T380 F386 F372 F383:F384 F376:F381 R344:R389 R333:R342 R323:R328 R319:R321 F335 F338 F342:F346 F340 F348:F350 R310:R312 T310:T363 T308 R294 R296:R308 R291 T291 T297:T304 T293 T282:T285 R263:R286 R258:R259 R256 R245:R254 T125:T280 T48:T123 T26:T44 T22:T23 T9:T20 N29:N30 N32 N190:N192 N145:N154 N156:N160 N59:N62 N49 N457:N459 N364 F389:F503 F352:F355 F357:F360 F362:F369 F653:H653 F639:F755 F590:H638 F9:F331 H577:H838 J602:J708">
    <cfRule type="containsText" dxfId="5189" priority="31252" stopIfTrue="1" operator="containsText" text="خارجية">
      <formula>NOT(ISERROR(SEARCH("خارجية",C9)))</formula>
    </cfRule>
    <cfRule type="containsText" dxfId="5188" priority="31253" stopIfTrue="1" operator="containsText" text="ن داخلية">
      <formula>NOT(ISERROR(SEARCH("ن داخلية",C9)))</formula>
    </cfRule>
    <cfRule type="containsText" dxfId="5187" priority="31254" stopIfTrue="1" operator="containsText" text="داخلية">
      <formula>NOT(ISERROR(SEARCH("داخلية",C9)))</formula>
    </cfRule>
    <cfRule type="containsText" dxfId="5186" priority="31255" stopIfTrue="1" operator="containsText" text="ن داخلية">
      <formula>NOT(ISERROR(SEARCH("ن داخلية",C9)))</formula>
    </cfRule>
    <cfRule type="containsText" dxfId="5185" priority="31256" stopIfTrue="1" operator="containsText" text="داخلية">
      <formula>NOT(ISERROR(SEARCH("داخلية",C9)))</formula>
    </cfRule>
    <cfRule type="cellIs" dxfId="5184" priority="31257" stopIfTrue="1" operator="equal">
      <formula>"ن داخلي"</formula>
    </cfRule>
    <cfRule type="cellIs" dxfId="5183" priority="31258" stopIfTrue="1" operator="equal">
      <formula>"ن داخلية"</formula>
    </cfRule>
    <cfRule type="cellIs" dxfId="5182" priority="31259" stopIfTrue="1" operator="equal">
      <formula>#REF!</formula>
    </cfRule>
    <cfRule type="cellIs" dxfId="5181" priority="31260" stopIfTrue="1" operator="equal">
      <formula>#REF!</formula>
    </cfRule>
    <cfRule type="cellIs" dxfId="5180" priority="31261" stopIfTrue="1" operator="equal">
      <formula>#REF!</formula>
    </cfRule>
    <cfRule type="cellIs" dxfId="5179" priority="31262" stopIfTrue="1" operator="equal">
      <formula>#REF!</formula>
    </cfRule>
    <cfRule type="cellIs" dxfId="5178" priority="31263" stopIfTrue="1" operator="equal">
      <formula>"داخلية"</formula>
    </cfRule>
  </conditionalFormatting>
  <conditionalFormatting sqref="C890:F914 F886:F1065 I886:I1086 H886:H1065 G886:G1086 J744:N751 Q816 J817:L818 Q723:Q724 Q728 J707:L708 K706:L707 R692:R747 T694 K687:L687 Q756 T683:T690 T670:T671 Q667:Q686 T661 R647:R663 R636:R645 T636:T638 Q598:Q623 T696:T736 Q625:Q637 Q639:Q665 J704:L705 J671:L686 J667:L669 J654:L661 J644:L648 J650:L652 K649:L649 J696:L700 J688:L694 T593:T594 T596 T580:T584 Q585:Q594 T577 R574:R634 Q573:Q583 Q556 Q542 R543:R572 T541:T565 Q527:Q531 Q476 Q512:Q513 R519:R540 Q495:Q498 Q502:Q505 R502:R517 Q478 Q462:Q466 T461:T462 T465:T539 T459 Q480:Q483 T808 Q807:R807 J807:L815 J710:L805 N643:N838 N507:N641 N489:N504 N480:N487 J643:K838 T455:T457 Q451:Q454 T451 Q447 Q449 Q432:Q436 T439 Q411:Q414 T421:T429 R391:R499 Q370:Q373 T365:T380 R344:R389 R333:R342 R323:R328 R319:R321 R310:R312 T310:T363 T308 R294 R296:R308 R291 T291 T297:T304 T293 T282:T285 R263:R286 R258:R259 R256 R245:R254 T125:T280 T48:T123 T26:T44 T22:T23 T9:T20 N457:N459 N364 N190:N192 N145:N154 N156:N160 C654:H838 N59:N62 N49 N29:N32 C654:F862 F577:H653 F9:F576 J602:J642">
    <cfRule type="containsText" dxfId="5177" priority="31297" stopIfTrue="1" operator="containsText" text="خارجية">
      <formula>NOT(ISERROR(SEARCH("خارجية",C9)))</formula>
    </cfRule>
    <cfRule type="containsText" dxfId="5176" priority="31297" stopIfTrue="1" operator="containsText" text="خارجي">
      <formula>NOT(ISERROR(SEARCH("خارجي",C9)))</formula>
    </cfRule>
  </conditionalFormatting>
  <conditionalFormatting sqref="F756 F728 F682 F661:F662 F575:F576 F564 F573 F569:F570 F489 F458 H808 G792 F811 F893:F902 F785 F767 F762 F775 F773 F764 F758 F754 F739:F740 F751 F815 F813 F734 F709:F710 F689 F686 F780 F665 F637:F659 F598:F634 F596 F593 F550 F561:F562 F546:F547 F587:F588 F585 F582:F583 F481 F472 F533 F476 F501 F518:F519 F498 F793:F796 F483 F451 F447 F413 F165 F63 F9 F428:F433 F436:F441 F415:F426 F390:F410 F443 F371:F372 F354:F355 F361 F357 F384:F387 F366:F368 F364 F359 F336:F337 F349:F351 F375:F382 F339:F347 F209:F211 F246:F328 F204:F206 F233:F244 F213:F231 F172 F176:F178 F174 F169:F170 F161 F149:F159 F181:F200 F52:F60 F137:F138 F113 F115:F132 F104 F101 F98:F99 F74:F80 F71:F72 F145:F147 F108:F111 F82:F92 F11:F50 F141:F142">
    <cfRule type="expression" dxfId="5175" priority="31298" stopIfTrue="1">
      <formula>IF(ROW(#REF!)&lt;=#REF!,"",1)=1</formula>
    </cfRule>
  </conditionalFormatting>
  <conditionalFormatting sqref="F782 F784:F787 F768 F765 F771:F776 F763 F757 F750:F751 F753:F754 F734:F735 F739 F745 F720:F721 F698 F695 F691:F693 F685 F688:F689 F674 F604:F671 F559 F555:F556 F565 F562 F592:F602 F567:F590 F551 F542:F543 F533:F534 F525 F527:F530 F491 F486 F513 F499:F500 F497 F508:F511 F522 F793:F796 F172 F101 F79:F82 F9 F453:F484 F422:F443 F374 F384:F420 F367 F359:F365 F369:F370 F376:F382 F347 F341 F350:F357 F257:F277 F279:F338 F219:F253 F255 F169 F213 F147:F167 F183:F209 F179:F181 F215 F145 F115 F111:F113 F97 F84:F95 F13:F16 F19:F50 F52:F69 F118:F141 F108:F109">
    <cfRule type="expression" dxfId="5174" priority="30744" stopIfTrue="1">
      <formula>IF(ROW(#REF!)&lt;=#REF!,"",1)=1</formula>
    </cfRule>
  </conditionalFormatting>
  <conditionalFormatting sqref="E797:G797 F896:F906 F908:F914 H760:H765 F809 F780 H771 H773 H757 F503 F782 F745 F720:F724 F698 F695 F691:F693 F674:F676 F541:F543 F527:F530 F508:F513 F784:F787 F770:F778 F727:F728 F760:F768 F756:F758 F753:F754 F738:F743 F750:F751 F733:F735 F708:F710 F688:F689 F678:F686 F489:F491 F549:F553 F545:F547 F555:F671 F532:F534 F515:F525 F497:F501 H808 F813:F815 F445 F372 F369 F342 F442:F443 F359:F360 F362 F352 F269 F267 F261:F264 F101 F38 F449:F451 F447 F413:F415 F381:F410 F365:F367 F376:F379 F354:F357 F349:F350 F344:F347 F340 F275 F253:F259 F249:F251 F180:F206 F138:F141 F118:F129 F110:F113 F99 F13:F15 F60:F63 F29:F31 F25 F9 F77:F95 F453:F487 F417:F440 F278:F338 F215:F239 F176:F177 F145:F169 F208:F210 F51 F171 F173">
    <cfRule type="expression" dxfId="5173" priority="30704" stopIfTrue="1">
      <formula>IF(ROW(#REF!)&lt;=#REF!,"",1)=1</formula>
    </cfRule>
  </conditionalFormatting>
  <conditionalFormatting sqref="D797:F797 H796 D888:D889 H969:H970 E969:E970 E893:E898 F762:G763 G815 H760:H765 E816:F816 G749:G752 G758:G759 H723:H724 G722:G723 H690 H686:H688 E759:F760 G756:H756 E754:F755 H671:H673 H619:H620 H613:H616 F665:G666 G622:G628 F679:F680 F677 E654:F655 F665:F672 F653:F663 F757:F764 E785:F785 E779:F779 F778 F780:F783 F767:F774 F788:F790 E747:F748 F744:F747 F751:F755 D752:F753 E714:F715 E698:F698 D702:F702 E726:F726 E729:F729 E717:F719 E707:F709 F697 F700 F644:F651 F690:F692 E766:F770 F637:G637 G777 F772:G773 G767:G769 G789 G761:G764 G734 G703 F675:G675 G632:G635 G606:G607 H771 H773 H757 H735 H705:H706 G714:H714 H700 H694:H697 G692:H693 G682:H683 H629 H623:H625 F590 F570 F594 F555 F542 F532:F538 F580 F549:F550 F559:F561 F584 F500:F501 F505:F506 F519:F521 F467:F468 G586:G604 H791 G801 E813:F813 F478:F479 F476 G808:H808 E798:F805 H798:H799 H802:H806 F806 F809 H809 G809:G811 F486 F741 E681:F681 D685:E686 F684:F688 F640:F641 F592 E791:F796 F481:F482 F484 F488:F489 F464:F465 F461:F462 G684:G685 G610 G612 F643:G643 G637:G640 H611 H793:H794 H778 H780 H812:H813 F380 F386:F391 F409 F349 F351:F355 F362 F184 F138:F139 F107:F109 F64 F40 F43 F45 F37:F38 F393 F318 F360 F357 F434 F405 F395:F403 F427 F432 F312 F321 F72:F73 F114 F89 E654:E838 F176 F58:F62 F371 F216 F218:F224 F244:F253 F179 F195:F198 F187 F190:F193 F163:F164 F145:F154 F124:F128 F97 F85:F87 F83 F156:F161 F27:F30 F211 F49 N32 N190:N192 N145:N154 N156:N160 N59:N62 N49 N29:N30 F92 F94 G577:G582 F78:F80 F117:F119 F168:F169 F544:F546 F525:F530">
    <cfRule type="cellIs" dxfId="5172" priority="30291" stopIfTrue="1" operator="greaterThan">
      <formula>"9.999"</formula>
    </cfRule>
  </conditionalFormatting>
  <conditionalFormatting sqref="E909 E899 D914 C908:D912 F914 E964:E965 C888:E888 I886:I1086 E890:E897 F886:F912 C886:D906 Q739:Q740 Q744 G743:H745 G748:H748 Q769 F746:H747 C751:H751 G751:H752 C769:H772 M757:N757 M815:N815 C760:H765 Q816:Q817 L765 C734:H734 M714:N714 C714:H714 C724:H724 G723:H723 Q715:Q736 C709:H710 J740:K747 H737:H738 H818 K697 C689:H689 M690:N690 M685:N685 C686:H686 Q756:Q758 J689:K690 H685 C767:H767 C754:H757 C683:H683 M682 T682:T690 F680:H680 M679:N679 F678:H678 M673:N673 F623:H623 C665:H665 M666:N666 T661 G659:H659 T636:T638 K671 H677:H683 H652 H630 H656:H659 H622:H625 F597:H600 F631:H631 C654:H655 T692:T736 H602 T596 F582:H582 N584 N557 N548:N549 N551:N555 N514:N533 F577:G581 H587 H584 H596 N535:N541 N482:N511 N477:N480 N473:N475 N543:N545 G791:H792 J807:J818 Q807:Q814 C813:H815 J797 H776 H730:H731 H725 H733:H735 H718:H723 H706:H714 H698 H695 H702 F682:H682 H672:H674 G664:H664 H662 H666:H668 H632:H634 H647 H649 G609:H609 H604:H605 H740:H774 K790 L775 H592:H594 G580:H580 H687:H693 K705 J703:K703 K691:K692 J767:J785 J787:J790 J758:K759 K699 J752:K755 K680:K681 J666:J752 J755:J765 J602:J663 C807:G818 H636:H641 G795:H795 J800:L800 J802:L802 C801:H803 M810:N812 F778:H781 N393:N402 J791:K796 C796:H799 M801:N801 C798:G805 J798:K805 E806:H806 C807:H810 N365:N377 N379:N391 N404:N471 N342 T355:T584 N331 N247 T308:T352 T291 T294:T306 T270:T275 T266:T268 T277:T285 T259:T264 T256:T257 T250:T253 N227:N228 T228:T245 T219:T224 N217 N187 T203:T217 T196:T198 T185:T193 T146:T182 T132:T134 T130 T124 T114 T97:T100 T70 T54:T67 Q51:Q175 T27:T44 T9:T10 T12:T21 Q9:Q49 Q177:Q713 C654:G795 N571 F653:H653 F590:G653 G577:G638 F9:F653">
    <cfRule type="expression" dxfId="5171" priority="29376" stopIfTrue="1">
      <formula>#REF!=""</formula>
    </cfRule>
  </conditionalFormatting>
  <conditionalFormatting sqref="F798:F799 F801 F804 F810">
    <cfRule type="expression" dxfId="5170" priority="2606" stopIfTrue="1">
      <formula>IF(ROW(#REF!)&lt;=#REF!,"",1)=1</formula>
    </cfRule>
  </conditionalFormatting>
  <conditionalFormatting sqref="F798:F799 F801 F804 F811">
    <cfRule type="expression" dxfId="5169" priority="2605" stopIfTrue="1">
      <formula>IF(ROW(#REF!)&lt;=#REF!,"",1)=1</formula>
    </cfRule>
  </conditionalFormatting>
  <conditionalFormatting sqref="F798:F799 C802:D802 F804 F810">
    <cfRule type="expression" dxfId="5168" priority="2604" stopIfTrue="1">
      <formula>IF(ROW(#REF!)&lt;=#REF!,"",1)=1</formula>
    </cfRule>
  </conditionalFormatting>
  <conditionalFormatting sqref="H798:H799 H802 J794 E686 F425 F176:F177 F413 F252:F253 F211:F212 F170 F129:F130 F146">
    <cfRule type="expression" dxfId="5167" priority="2587" stopIfTrue="1">
      <formula>#REF!=""</formula>
    </cfRule>
  </conditionalFormatting>
  <conditionalFormatting sqref="F805:G805 J805 C741:F741 C660:E862 F620:G620 C659:G659 F622:G622 F521:F525 C681:G687 F637:G643 F581:G600 F607:G614 F794:G794 F546:F559 F562:F573 F510:F517 H781:H807 H809:H838 J687 J794 H577:H779 F9:F504 F577:G579 C654:E658 F575:F600 F527:F544">
    <cfRule type="expression" dxfId="5166" priority="2512" stopIfTrue="1">
      <formula>#REF!=""</formula>
    </cfRule>
  </conditionalFormatting>
  <conditionalFormatting sqref="C802:D802 F810 G812 F812:F813 F741 F683:F684 F686:F687 F610:F611 F637:F638 F607:F608 F641:F642 F593:F600 F794 F659 F622 F620 F546:F557 F559 F562:F573 F530:F544 F527:F528 F514 F517 F521:F525 F575:F591 F213:F215 F84 F452:F504 F449:F450 F429:F434 F436:F447 F217 F209:F211 F169 F171:F172 F117:F140 F108:F115 F101:F102 F96:F98 F91:F94 F86:F89 F176:F207 F219:F367 F11:F81 F369:F427 F145:F167">
    <cfRule type="expression" dxfId="5165" priority="2510" stopIfTrue="1">
      <formula>IF(ROW(#REF!)&lt;=#REF!,"",1)=1</formula>
    </cfRule>
  </conditionalFormatting>
  <conditionalFormatting sqref="G806 E807:F807 F622 C742:E862 C741:F741 C681:F687 C660:E680 C688:E740 F607:F614 F637:F643 C659:F659 F620 F546:F559 F562:F573 F521:F525 F510:F517 F527:F544 F575:F600 C654:E658 F794:G794 J684:J685 J681:J682 N506:N508 J685:K687 N622:N641 N643:N838 J637:J640 J607:J614 J642:J643 J794 J659 J622 J620 N522:N565 N484:N504 N458:N459 N466:N472 N462:N464 N477:N479 H780 H808 N245 N65 N59:N62 N49 N29:N32 N452:N455 N445:N447 N408:N409 N394 N386 N384 N388:N389 N364 N361 N369:N370 N372 N350 N354:N355 N145:N153 N160 F9:F504 G577:G707">
    <cfRule type="expression" dxfId="5164" priority="2428" stopIfTrue="1">
      <formula>#REF!=""</formula>
    </cfRule>
  </conditionalFormatting>
  <conditionalFormatting sqref="F807 F794 F741 F686:F687 F683:F684 F614 F637:F639 F607:F610 F642 F593:F600 F659 F622 F620 F562:F565 F546:F557 F559 F567:F573 F530:F544 F527:F528 F515:F517 F521:F525 F575:F591 H794 F392 F187:F188 F190:F200 F74:F77 F452 F454:F504 F424:F433 F435:F447 F413:F421 F394:F410 F204:F207 F209:F387 F180:F185 F144:F162 F165 F169:F178 F140:F142 F136:F137 F107:F132 F101:F104 F93 F88 F84:F85 F81:F82 F62:F72 F11:F60 F98:F99">
    <cfRule type="expression" dxfId="5163" priority="2348" stopIfTrue="1">
      <formula>IF(ROW(#REF!)&lt;=#REF!,"",1)=1</formula>
    </cfRule>
  </conditionalFormatting>
  <conditionalFormatting sqref="F807 F683:F684 F686:F687 F610:F611 F637 F607:F608 F641:F642 F593:F600 F794 F659 F622 F620 F546:F557 F559 F562:F573 F530:F544 F527:F528 F514 F517 F521:F525 F575:F591 F404 F213 F215 F145 F86:F89 F84 F108:F109 F452:F504 F449:F450 F436 F447 F429:F434 F438:F445 F369:F402 F16 F219:F367 F217 F209 F176:F178 F169 F171:F172 F149:F167 F125:F140 F118:F123 F114:F115 F111:F112 F101 F96:F97 F91:F94 F180:F207 F19:F79 F406:F427">
    <cfRule type="expression" dxfId="5162" priority="2347" stopIfTrue="1">
      <formula>IF(ROW(#REF!)&lt;=#REF!,"",1)=1</formula>
    </cfRule>
  </conditionalFormatting>
  <conditionalFormatting sqref="F807 F488 F482 F423 F434 F321 F232 F223 F176 F153 F412 F335 F286 F277:F278 F264 F210:F211 F179 F156 F145:F147 F160 F57:F62 F27:F30 F49 F51">
    <cfRule type="expression" dxfId="5161" priority="2346" stopIfTrue="1">
      <formula>IF(ROW(#REF!)&lt;=#REF!,"",1)=1</formula>
    </cfRule>
  </conditionalFormatting>
  <conditionalFormatting sqref="E685 F404 F211:F212 F170 F130 F252:F253">
    <cfRule type="expression" dxfId="5160" priority="1450" stopIfTrue="1">
      <formula>#REF!=""</formula>
    </cfRule>
  </conditionalFormatting>
  <conditionalFormatting sqref="F81 F457:F472 F455 F403:F404 F474:F489 F358 F305 F49 F29:F32 F23 F216 F218:F224 F244:F253 F187 F190:F193 F171:F173 F168 F156:F160 F145:F154 F106:F139 F86 F103 F59:F62 F142 F25 F73 F183 F195:F199 F201 F302 F439 F340 F347 F352 F367 F375:F376 F387 F395 F435 F447 C654:F839 F493:F653">
    <cfRule type="containsText" dxfId="5159" priority="1448" stopIfTrue="1" operator="containsText" text="خارجية">
      <formula>NOT(ISERROR(SEARCH("خارجية",C23)))</formula>
    </cfRule>
    <cfRule type="containsText" dxfId="5158" priority="1449" stopIfTrue="1" operator="containsText" text="خارجي">
      <formula>NOT(ISERROR(SEARCH("خارجي",C23)))</formula>
    </cfRule>
  </conditionalFormatting>
  <conditionalFormatting sqref="F793 E836:F836 F738 E750:F750 E752:F752 D684:E685 F683:F686 E681:F681 F640:F641 F593 F476 F478 F483 F458 F454:F455 F365 F216 F211 F179 F195:F198 F187 F190:F193 F163 F168 F145:F154 F128 F126 F117 F97 F94 F86:F87 F83 F156:F160 F60:F62 F49 F29:F30 F218:F224 F244:F253 F615:F616 F621 F624 F643 E654:E680 E682:E683 E686:E749 E751 E753:E835 E837:E839">
    <cfRule type="cellIs" dxfId="5157" priority="1435" stopIfTrue="1" operator="greaterThan">
      <formula>"9.999"</formula>
    </cfRule>
  </conditionalFormatting>
  <conditionalFormatting sqref="F829 F793 F761 F142 F640 F637 F613 F565:F566 F215:F216 F187 F515 F451 F320 F209 F183 F200:F202 F218:F224">
    <cfRule type="containsText" dxfId="5156" priority="1423" stopIfTrue="1" operator="containsText" text="خارجية">
      <formula>NOT(ISERROR(SEARCH("خارجية",F142)))</formula>
    </cfRule>
    <cfRule type="containsText" dxfId="5155" priority="1424" stopIfTrue="1" operator="containsText" text="ن داخلية">
      <formula>NOT(ISERROR(SEARCH("ن داخلية",F142)))</formula>
    </cfRule>
    <cfRule type="containsText" dxfId="5154" priority="1425" stopIfTrue="1" operator="containsText" text="داخلية">
      <formula>NOT(ISERROR(SEARCH("داخلية",F142)))</formula>
    </cfRule>
    <cfRule type="containsText" dxfId="5153" priority="1426" stopIfTrue="1" operator="containsText" text="ن داخلية">
      <formula>NOT(ISERROR(SEARCH("ن داخلية",F142)))</formula>
    </cfRule>
    <cfRule type="containsText" dxfId="5152" priority="1427" stopIfTrue="1" operator="containsText" text="داخلية">
      <formula>NOT(ISERROR(SEARCH("داخلية",F142)))</formula>
    </cfRule>
    <cfRule type="cellIs" dxfId="5151" priority="1428" stopIfTrue="1" operator="equal">
      <formula>"ن داخلي"</formula>
    </cfRule>
    <cfRule type="cellIs" dxfId="5150" priority="1429" stopIfTrue="1" operator="equal">
      <formula>"ن داخلية"</formula>
    </cfRule>
    <cfRule type="cellIs" dxfId="5149" priority="1430" stopIfTrue="1" operator="equal">
      <formula>#REF!</formula>
    </cfRule>
    <cfRule type="cellIs" dxfId="5148" priority="1431" stopIfTrue="1" operator="equal">
      <formula>#REF!</formula>
    </cfRule>
    <cfRule type="cellIs" dxfId="5147" priority="1432" stopIfTrue="1" operator="equal">
      <formula>#REF!</formula>
    </cfRule>
    <cfRule type="cellIs" dxfId="5146" priority="1433" stopIfTrue="1" operator="equal">
      <formula>#REF!</formula>
    </cfRule>
    <cfRule type="cellIs" dxfId="5145" priority="1434" stopIfTrue="1" operator="equal">
      <formula>"داخلية"</formula>
    </cfRule>
  </conditionalFormatting>
  <conditionalFormatting sqref="C828:F829 C793:F793 C836:F836 F768 C761:F761 C763:F764 C738:F738 C695:F695 C697:F697 C700:F700 C703:F703 C708:F708 C750:F750 C752:F752 C664:F664 C673:F673 C681:F687 C689:F689 F618 F656 F576:F579 F574 F542:F544 F520:F524 F526:F527 F185:F372 F374:F504 F510:F517 F529:F540 F546:F560 F562:F572 F582:F601 F608:F613 F615:F616 F620:F621 F624:F625 F633 F636:F646 F650 C657:F659 F9:F183 C654:E656 C666:F667 C660:E663 C665:E665 C668:E672 C674:E680 C688:E688 C690:E694 C696:E696 C698:E699 C701:E702 C704:E707 C709:E737 C739:E749 C751:E751 C753:E760 C762:E762 C765:E792 C794:E827 C830:E835 C837:E839">
    <cfRule type="expression" dxfId="5144" priority="1422" stopIfTrue="1">
      <formula>#REF!=""</formula>
    </cfRule>
  </conditionalFormatting>
  <conditionalFormatting sqref="F828 F836 F761 F768 F763:F764 F738 F695 F697 F700 F703 F682:F683 F664 F666 F673 F685:F687 F689 F618 F613 F608:F609 F594:F601 F574 F576:F579 F562:F565 F84:F85 F542:F544 F520:F524 F526:F527 F444 F422:F423 F412 F408 F418:F419 F415 F410 F426:F428 F404:F406 F401 F399 F468:F475 F388 F371:F372 F479:F493 F59 F63:F70 F50:F57 F286:F297 F217 F225:F229 F263:F265 F258:F260 F267:F284 F231:F232 F212:F213 F207 F205 F209:F210 F185 F175:F178 F144:F162 F165 F169:F173 F140:F141 F136 F127:F131 F116 F111:F114 F102:F104 F93 F88 F81:F82 F107 F118:F125 F180:F183 F234:F254 F299:F369 F374:F380 F390:F397 F446:F463 F430:F439 F495:F504 F515:F517 F530:F540 F546:F557 F567:F572 F582:F592 F559:F560 F620:F621 F624:F625 F633 F636:F639 F641:F646 F656:F659 F11:F48">
    <cfRule type="expression" dxfId="5143" priority="1421" stopIfTrue="1">
      <formula>IF(ROW(#REF!)&lt;=#REF!,"",1)=1</formula>
    </cfRule>
  </conditionalFormatting>
  <conditionalFormatting sqref="C828:F829 C793:F793 C836:F836 F768 C761:F761 C763:F764 C738:F738 C695:F695 C697:F697 C700:F700 C703:F703 C708:F708 C750:F750 C752:F752 C664:F664 C673:F673 C681:F687 C689:F689 F510:F517 F9:F183 F618 F576:F579 F574 F542:F544 F520:F524 F526:F527 F185:F372 F374:F504 F529:F540 F546:F560 F562:F572 F582:F601 F608:F613 F615:F616 F620:F621 F624:F625 F633 F636:F646 F650 F656:F659 C666:F667 C654:E663 C665:E665 C668:E672 C674:E680 C688:E688 C690:E694 C696:E696 C698:E699 C701:E702 C704:E707 C709:E737 C739:E749 C751:E751 C753:E760 C762:E762 C765:E792 C794:E827 C830:E835 C837:E839">
    <cfRule type="expression" dxfId="5142" priority="1420" stopIfTrue="1">
      <formula>#REF!=""</formula>
    </cfRule>
  </conditionalFormatting>
  <conditionalFormatting sqref="F828 C793:F793 F768 C763:F764 C695:F695 C697:F697 C700:F700 C703:F703 F682:F683 C664:F664 C673:F673 C687:F687 C689:F689 F618 F656 F608:F609 F594:F601 F576:F579 F574 F562:F565 F542:F544 F520:F524 F9:F71 F401:F424 F426:F475 F381:F382 F374:F379 F306:F372 F212:F268 F185:F210 F270:F304 F180:F183 F164:F167 F169:F178 F127:F134 F123:F125 F98:F121 F88:F96 F526:F527 F73:F85 F136:F162 F384:F399 F477:F504 F516:F517 F530:F540 F546:F557 F559:F560 F567:F572 F582:F592 F612 F615:F616 F620:F621 F624:F625 F633 F636:F637 F641:F646 F650 F658:F659 C666:F667 C654:E663 C665:E665 C668:E672 C674:E686 C688:E688 C690:E694 C696:E696 C698:E699 C701:E702 C704:E762 C765:E792 C794:E839">
    <cfRule type="expression" dxfId="5141" priority="1418" stopIfTrue="1">
      <formula>#REF!=""</formula>
    </cfRule>
  </conditionalFormatting>
  <conditionalFormatting sqref="F828 F793 F836 F768 F763:F764 F695 F697 F700 F703 F750 F682:F683 F659 F664 F666 F673 F685:F687 F689 F618 F656 F608:F610 F594:F601 F574 F576:F579 F542:F544 F520:F524 F514 F480:F485 F453 F456:F457 F431:F433 F425 F441:F442 F427 F418 F408 F410:F416 F420:F421 F429 F405:F406 F401 F397 F449:F451 F459:F475 F487:F490 F392 F394 F319:F328 F308:F317 F306 F492 F50:F57 F267 F231:F238 F227:F229 F225 F269 F217 F204 F209 F180 F176:F178 F169 F165:F166 F171:F172 F149 F153:F156 F127 F129:F139 F120:F123 F118 F114 F111:F112 F101 F96:F97 F91:F94 F185:F186 F188:F192 F59 F526:F527 F19:F48 F63:F79 F125 F182:F183 F194:F202 F240:F261 F273:F304 F439 F330:F361 F363:F372 F374:F389 F444:F447 F494:F504 F435:F437 F516:F517 F530:F540 F546:F557 F562:F572 F582:F592 F559:F560 F612 F620:F621 F624:F625 F633 F636:F637 F641:F646 F650 F16:F17">
    <cfRule type="expression" dxfId="5140" priority="1417" stopIfTrue="1">
      <formula>IF(ROW(#REF!)&lt;=#REF!,"",1)=1</formula>
    </cfRule>
  </conditionalFormatting>
  <conditionalFormatting sqref="C828:F829 C793:F793 F768 C761:F761 C763:F764 C738:F738 C659:F659 F620 C656:F657 F542:F544 F520:F524 F510:F516 F474:F476 F403:F404 F478:F489 F49 F358 F320 F323:F324 F305 F296 F59:F62 F244:F253 F216:F224 F493:F504 F529:F540">
    <cfRule type="expression" dxfId="5139" priority="1416" stopIfTrue="1">
      <formula>#REF!=""</formula>
    </cfRule>
  </conditionalFormatting>
  <conditionalFormatting sqref="F300">
    <cfRule type="expression" dxfId="5138" priority="1415" stopIfTrue="1">
      <formula>#REF!=""</formula>
    </cfRule>
  </conditionalFormatting>
  <conditionalFormatting sqref="F476 F403 F329 F285 F276 F264 F211 F179 F156 F145:F147 F160 F58:F62 F49 F29:F30">
    <cfRule type="expression" dxfId="5137" priority="1414" stopIfTrue="1">
      <formula>IF(ROW(#REF!)&lt;=#REF!,"",1)=1</formula>
    </cfRule>
  </conditionalFormatting>
  <conditionalFormatting sqref="F828 F836 F738 F683 F686 F567 F521 F495 F486:F488 F480:F484 F470 F452:F455 F457:F458 F422 F436:F438 F406 F418 F434 F430 F410 F427 F401 F399 F397 F448:F450 F472:F473 F391:F392 F491:F492 F371:F372 F379:F380 F359:F361 F312 F309 F305:F306 F296:F297 F292:F293 F278:F279 F287:F288 F281 F267:F268 F264:F265 F275 F225:F231 F236:F238 F240:F241 F213 F207 F181 F176:F178 F169 F161 F149 F155:F156 F127:F128 F119:F121 F111:F113 F102 F91 F84 F68:F70 F63:F65 F59 F50:F57 F21:F48 F124:F125 F81 F243:F254 F299:F303 F314:F357 F363:F369 F374:F377 F394:F395 F517 F560 F621 F624:F625 F636:F638 F641 F643:F646 F658 F11:F19">
    <cfRule type="expression" dxfId="5136" priority="1412" stopIfTrue="1">
      <formula>IF(ROW(#REF!)&lt;=#REF!,"",1)=1</formula>
    </cfRule>
  </conditionalFormatting>
  <conditionalFormatting sqref="F297 F230">
    <cfRule type="expression" dxfId="5135" priority="1411" stopIfTrue="1">
      <formula>IF(ROW(#REF!)&lt;=#REF!,"",1)=1</formula>
    </cfRule>
  </conditionalFormatting>
  <conditionalFormatting sqref="F340 F636">
    <cfRule type="expression" dxfId="5134" priority="1410" stopIfTrue="1">
      <formula>IF(ROW(#REF!)&lt;=#REF!,"",1)=1</formula>
    </cfRule>
  </conditionalFormatting>
  <conditionalFormatting sqref="F828 F793 F836 F768 F763:F764 F695 F697 F700 F703 F750 F682:F683 F659 F664 F666 F673 F685:F687 F689 F618 F656 F608:F610 F594:F601 F574 F576:F579 F188:F192 F542:F544 F520:F524 F59 F514 F480:F485 F453 F456:F457 F431:F433 F425 F441:F442 F427 F418 F408 F410:F416 F420:F421 F429 F405:F406 F401 F397 F449:F451 F459:F475 F487:F490 F392 F394 F319:F328 F308:F317 F306 F492 F50:F57 F269 F267 F231:F238 F227:F229 F225 F217 F204 F209 F180 F176:F178 F169 F165:F166 F171:F172 F149 F153:F156 F127 F129:F139 F120:F123 F111:F112 F118 F114 F101 F96:F97 F91:F94 F185:F186 F526:F527 F19:F48 F63:F79 F125 F182:F183 F194:F202 F240:F261 F273:F304 F439 F330:F361 F363:F372 F374:F389 F444:F447 F494:F504 F435:F437 F516:F517 F530:F540 F546:F557 F562:F572 F582:F592 F559:F560 F612 F620:F621 F624:F625 F633 F636:F637 F641:F646 F650 F16:F17">
    <cfRule type="expression" dxfId="5133" priority="1409" stopIfTrue="1">
      <formula>IF(ROW(#REF!)&lt;=#REF!,"",1)=1</formula>
    </cfRule>
  </conditionalFormatting>
  <conditionalFormatting sqref="F400 F402:F403 F285 F276 F163 F145:F154 F156 F160 F87 F58:F62 F49">
    <cfRule type="expression" dxfId="5132" priority="1408" stopIfTrue="1">
      <formula>IF(ROW(#REF!)&lt;=#REF!,"",1)=1</formula>
    </cfRule>
  </conditionalFormatting>
  <conditionalFormatting sqref="F476 F329 F276 F264 F179 F29:F30">
    <cfRule type="expression" dxfId="5131" priority="1407" stopIfTrue="1">
      <formula>IF(ROW(#REF!)&lt;=#REF!,"",1)=1</formula>
    </cfRule>
  </conditionalFormatting>
  <conditionalFormatting sqref="F400 F163">
    <cfRule type="expression" dxfId="5130" priority="1406" stopIfTrue="1">
      <formula>IF(ROW(#REF!)&lt;=#REF!,"",1)=1</formula>
    </cfRule>
  </conditionalFormatting>
  <conditionalFormatting sqref="F403 F285 F145 F160 F58:F62 F49">
    <cfRule type="expression" dxfId="5129" priority="1405" stopIfTrue="1">
      <formula>IF(ROW(#REF!)&lt;=#REF!,"",1)=1</formula>
    </cfRule>
  </conditionalFormatting>
  <conditionalFormatting sqref="F400 F163">
    <cfRule type="expression" dxfId="5128" priority="1404" stopIfTrue="1">
      <formula>IF(ROW(#REF!)&lt;=#REF!,"",1)=1</formula>
    </cfRule>
  </conditionalFormatting>
  <conditionalFormatting sqref="G763:G764 G659 G642 G618 G620 G608:G609 G594:G601 G656:G657">
    <cfRule type="expression" dxfId="5127" priority="1403" stopIfTrue="1">
      <formula>#REF!=""</formula>
    </cfRule>
  </conditionalFormatting>
  <conditionalFormatting sqref="G577:G839">
    <cfRule type="containsText" dxfId="5126" priority="1401" stopIfTrue="1" operator="containsText" text="خارجية">
      <formula>NOT(ISERROR(SEARCH("خارجية",G577)))</formula>
    </cfRule>
    <cfRule type="containsText" dxfId="5125" priority="1402" stopIfTrue="1" operator="containsText" text="خارجي">
      <formula>NOT(ISERROR(SEARCH("خارجي",G577)))</formula>
    </cfRule>
  </conditionalFormatting>
  <conditionalFormatting sqref="G828 G683:G684 G639:G640 G611">
    <cfRule type="containsText" dxfId="5124" priority="1389" stopIfTrue="1" operator="containsText" text="خارجية">
      <formula>NOT(ISERROR(SEARCH("خارجية",G611)))</formula>
    </cfRule>
    <cfRule type="containsText" dxfId="5123" priority="1390" stopIfTrue="1" operator="containsText" text="ن داخلية">
      <formula>NOT(ISERROR(SEARCH("ن داخلية",G611)))</formula>
    </cfRule>
    <cfRule type="containsText" dxfId="5122" priority="1391" stopIfTrue="1" operator="containsText" text="داخلية">
      <formula>NOT(ISERROR(SEARCH("داخلية",G611)))</formula>
    </cfRule>
    <cfRule type="containsText" dxfId="5121" priority="1392" stopIfTrue="1" operator="containsText" text="ن داخلية">
      <formula>NOT(ISERROR(SEARCH("ن داخلية",G611)))</formula>
    </cfRule>
    <cfRule type="containsText" dxfId="5120" priority="1393" stopIfTrue="1" operator="containsText" text="داخلية">
      <formula>NOT(ISERROR(SEARCH("داخلية",G611)))</formula>
    </cfRule>
    <cfRule type="cellIs" dxfId="5119" priority="1394" stopIfTrue="1" operator="equal">
      <formula>"ن داخلي"</formula>
    </cfRule>
    <cfRule type="cellIs" dxfId="5118" priority="1395" stopIfTrue="1" operator="equal">
      <formula>"ن داخلية"</formula>
    </cfRule>
    <cfRule type="cellIs" dxfId="5117" priority="1396" stopIfTrue="1" operator="equal">
      <formula>#REF!</formula>
    </cfRule>
    <cfRule type="cellIs" dxfId="5116" priority="1397" stopIfTrue="1" operator="equal">
      <formula>#REF!</formula>
    </cfRule>
    <cfRule type="cellIs" dxfId="5115" priority="1398" stopIfTrue="1" operator="equal">
      <formula>#REF!</formula>
    </cfRule>
    <cfRule type="cellIs" dxfId="5114" priority="1399" stopIfTrue="1" operator="equal">
      <formula>#REF!</formula>
    </cfRule>
    <cfRule type="cellIs" dxfId="5113" priority="1400" stopIfTrue="1" operator="equal">
      <formula>"داخلية"</formula>
    </cfRule>
  </conditionalFormatting>
  <conditionalFormatting sqref="G828 G752 G683:G684 G639:G640 G611 G643 G645:G646 G650 G658">
    <cfRule type="cellIs" dxfId="5112" priority="1388" stopIfTrue="1" operator="greaterThan">
      <formula>"9.999"</formula>
    </cfRule>
  </conditionalFormatting>
  <conditionalFormatting sqref="G811 G828:G829 G793 G795 G816 G761 G741 G685 G640 G637 G613 G580:G581">
    <cfRule type="containsText" dxfId="5111" priority="1376" stopIfTrue="1" operator="containsText" text="خارجية">
      <formula>NOT(ISERROR(SEARCH("خارجية",G580)))</formula>
    </cfRule>
    <cfRule type="containsText" dxfId="5110" priority="1377" stopIfTrue="1" operator="containsText" text="ن داخلية">
      <formula>NOT(ISERROR(SEARCH("ن داخلية",G580)))</formula>
    </cfRule>
    <cfRule type="containsText" dxfId="5109" priority="1378" stopIfTrue="1" operator="containsText" text="داخلية">
      <formula>NOT(ISERROR(SEARCH("داخلية",G580)))</formula>
    </cfRule>
    <cfRule type="containsText" dxfId="5108" priority="1379" stopIfTrue="1" operator="containsText" text="ن داخلية">
      <formula>NOT(ISERROR(SEARCH("ن داخلية",G580)))</formula>
    </cfRule>
    <cfRule type="containsText" dxfId="5107" priority="1380" stopIfTrue="1" operator="containsText" text="داخلية">
      <formula>NOT(ISERROR(SEARCH("داخلية",G580)))</formula>
    </cfRule>
    <cfRule type="cellIs" dxfId="5106" priority="1381" stopIfTrue="1" operator="equal">
      <formula>"ن داخلي"</formula>
    </cfRule>
    <cfRule type="cellIs" dxfId="5105" priority="1382" stopIfTrue="1" operator="equal">
      <formula>"ن داخلية"</formula>
    </cfRule>
    <cfRule type="cellIs" dxfId="5104" priority="1383" stopIfTrue="1" operator="equal">
      <formula>#REF!</formula>
    </cfRule>
    <cfRule type="cellIs" dxfId="5103" priority="1384" stopIfTrue="1" operator="equal">
      <formula>#REF!</formula>
    </cfRule>
    <cfRule type="cellIs" dxfId="5102" priority="1385" stopIfTrue="1" operator="equal">
      <formula>#REF!</formula>
    </cfRule>
    <cfRule type="cellIs" dxfId="5101" priority="1386" stopIfTrue="1" operator="equal">
      <formula>#REF!</formula>
    </cfRule>
    <cfRule type="cellIs" dxfId="5100" priority="1387" stopIfTrue="1" operator="equal">
      <formula>"داخلية"</formula>
    </cfRule>
  </conditionalFormatting>
  <conditionalFormatting sqref="G811 G828:G829 G793 G795 G816 G800:G801 G819 G832 G836 G761 G741 G708 G710 G714:G715 G725 G730 G734 G750 G752 G763:G764 G778:G779 G577:G704">
    <cfRule type="expression" dxfId="5099" priority="1375" stopIfTrue="1">
      <formula>#REF!=""</formula>
    </cfRule>
  </conditionalFormatting>
  <conditionalFormatting sqref="G650">
    <cfRule type="expression" dxfId="5098" priority="1372" stopIfTrue="1">
      <formula>IF(ROW(#REF!)&lt;=#REF!,"",1)=1</formula>
    </cfRule>
  </conditionalFormatting>
  <conditionalFormatting sqref="G828:G829 G793 G761 G656:G657 G593">
    <cfRule type="expression" dxfId="5097" priority="1371" stopIfTrue="1">
      <formula>#REF!=""</formula>
    </cfRule>
  </conditionalFormatting>
  <conditionalFormatting sqref="H577:H839">
    <cfRule type="containsText" dxfId="5096" priority="1365" stopIfTrue="1" operator="containsText" text="خارجية">
      <formula>NOT(ISERROR(SEARCH("خارجية",H577)))</formula>
    </cfRule>
    <cfRule type="containsText" dxfId="5095" priority="1366" stopIfTrue="1" operator="containsText" text="خارجي">
      <formula>NOT(ISERROR(SEARCH("خارجي",H577)))</formula>
    </cfRule>
  </conditionalFormatting>
  <conditionalFormatting sqref="H763:H764 H659 H638:H639 H642 H618:H620 H577:H609">
    <cfRule type="containsText" dxfId="5094" priority="1353" stopIfTrue="1" operator="containsText" text="خارجية">
      <formula>NOT(ISERROR(SEARCH("خارجية",H577)))</formula>
    </cfRule>
    <cfRule type="containsText" dxfId="5093" priority="1354" stopIfTrue="1" operator="containsText" text="ن داخلية">
      <formula>NOT(ISERROR(SEARCH("ن داخلية",H577)))</formula>
    </cfRule>
    <cfRule type="containsText" dxfId="5092" priority="1355" stopIfTrue="1" operator="containsText" text="داخلية">
      <formula>NOT(ISERROR(SEARCH("داخلية",H577)))</formula>
    </cfRule>
    <cfRule type="containsText" dxfId="5091" priority="1356" stopIfTrue="1" operator="containsText" text="ن داخلية">
      <formula>NOT(ISERROR(SEARCH("ن داخلية",H577)))</formula>
    </cfRule>
    <cfRule type="containsText" dxfId="5090" priority="1357" stopIfTrue="1" operator="containsText" text="داخلية">
      <formula>NOT(ISERROR(SEARCH("داخلية",H577)))</formula>
    </cfRule>
    <cfRule type="cellIs" dxfId="5089" priority="1358" stopIfTrue="1" operator="equal">
      <formula>"ن داخلي"</formula>
    </cfRule>
    <cfRule type="cellIs" dxfId="5088" priority="1359" stopIfTrue="1" operator="equal">
      <formula>"ن داخلية"</formula>
    </cfRule>
    <cfRule type="cellIs" dxfId="5087" priority="1360" stopIfTrue="1" operator="equal">
      <formula>#REF!</formula>
    </cfRule>
    <cfRule type="cellIs" dxfId="5086" priority="1361" stopIfTrue="1" operator="equal">
      <formula>#REF!</formula>
    </cfRule>
    <cfRule type="cellIs" dxfId="5085" priority="1362" stopIfTrue="1" operator="equal">
      <formula>#REF!</formula>
    </cfRule>
    <cfRule type="cellIs" dxfId="5084" priority="1363" stopIfTrue="1" operator="equal">
      <formula>#REF!</formula>
    </cfRule>
    <cfRule type="cellIs" dxfId="5083" priority="1364" stopIfTrue="1" operator="equal">
      <formula>"داخلية"</formula>
    </cfRule>
  </conditionalFormatting>
  <conditionalFormatting sqref="H793 H610 H615:H616 H621 H624">
    <cfRule type="cellIs" dxfId="5082" priority="1352" stopIfTrue="1" operator="greaterThan">
      <formula>"9.999"</formula>
    </cfRule>
  </conditionalFormatting>
  <conditionalFormatting sqref="H829 H761:H762 H659 H640 H637 H642 H619:H620 H613 H656 H593:H609 H580:H581">
    <cfRule type="containsText" dxfId="5081" priority="1340" stopIfTrue="1" operator="containsText" text="خارجية">
      <formula>NOT(ISERROR(SEARCH("خارجية",H580)))</formula>
    </cfRule>
    <cfRule type="containsText" dxfId="5080" priority="1341" stopIfTrue="1" operator="containsText" text="ن داخلية">
      <formula>NOT(ISERROR(SEARCH("ن داخلية",H580)))</formula>
    </cfRule>
    <cfRule type="containsText" dxfId="5079" priority="1342" stopIfTrue="1" operator="containsText" text="داخلية">
      <formula>NOT(ISERROR(SEARCH("داخلية",H580)))</formula>
    </cfRule>
    <cfRule type="containsText" dxfId="5078" priority="1343" stopIfTrue="1" operator="containsText" text="ن داخلية">
      <formula>NOT(ISERROR(SEARCH("ن داخلية",H580)))</formula>
    </cfRule>
    <cfRule type="containsText" dxfId="5077" priority="1344" stopIfTrue="1" operator="containsText" text="داخلية">
      <formula>NOT(ISERROR(SEARCH("داخلية",H580)))</formula>
    </cfRule>
    <cfRule type="cellIs" dxfId="5076" priority="1345" stopIfTrue="1" operator="equal">
      <formula>"ن داخلي"</formula>
    </cfRule>
    <cfRule type="cellIs" dxfId="5075" priority="1346" stopIfTrue="1" operator="equal">
      <formula>"ن داخلية"</formula>
    </cfRule>
    <cfRule type="cellIs" dxfId="5074" priority="1347" stopIfTrue="1" operator="equal">
      <formula>#REF!</formula>
    </cfRule>
    <cfRule type="cellIs" dxfId="5073" priority="1348" stopIfTrue="1" operator="equal">
      <formula>#REF!</formula>
    </cfRule>
    <cfRule type="cellIs" dxfId="5072" priority="1349" stopIfTrue="1" operator="equal">
      <formula>#REF!</formula>
    </cfRule>
    <cfRule type="cellIs" dxfId="5071" priority="1350" stopIfTrue="1" operator="equal">
      <formula>#REF!</formula>
    </cfRule>
    <cfRule type="cellIs" dxfId="5070" priority="1351" stopIfTrue="1" operator="equal">
      <formula>"داخلية"</formula>
    </cfRule>
  </conditionalFormatting>
  <conditionalFormatting sqref="H615:H616 H621 H624">
    <cfRule type="expression" dxfId="5069" priority="1338" stopIfTrue="1">
      <formula>#REF!=""</formula>
    </cfRule>
  </conditionalFormatting>
  <conditionalFormatting sqref="H793">
    <cfRule type="expression" dxfId="5068" priority="1336" stopIfTrue="1">
      <formula>IF(ROW(#REF!)&lt;=#REF!,"",1)=1</formula>
    </cfRule>
  </conditionalFormatting>
  <conditionalFormatting sqref="J793 J836">
    <cfRule type="expression" dxfId="5067" priority="1333" stopIfTrue="1">
      <formula>#REF!=""</formula>
    </cfRule>
  </conditionalFormatting>
  <conditionalFormatting sqref="J643:K839 J602:J642">
    <cfRule type="containsText" dxfId="5066" priority="1331" stopIfTrue="1" operator="containsText" text="خارجية">
      <formula>NOT(ISERROR(SEARCH("خارجية",J602)))</formula>
    </cfRule>
    <cfRule type="containsText" dxfId="5065" priority="1332" stopIfTrue="1" operator="containsText" text="خارجي">
      <formula>NOT(ISERROR(SEARCH("خارجي",J602)))</formula>
    </cfRule>
  </conditionalFormatting>
  <conditionalFormatting sqref="J828 J761 J763:J764 J659 J620 J642 J618 J656:J657 J608:J610">
    <cfRule type="containsText" dxfId="5064" priority="1319" stopIfTrue="1" operator="containsText" text="خارجية">
      <formula>NOT(ISERROR(SEARCH("خارجية",J608)))</formula>
    </cfRule>
    <cfRule type="containsText" dxfId="5063" priority="1320" stopIfTrue="1" operator="containsText" text="ن داخلية">
      <formula>NOT(ISERROR(SEARCH("ن داخلية",J608)))</formula>
    </cfRule>
    <cfRule type="containsText" dxfId="5062" priority="1321" stopIfTrue="1" operator="containsText" text="داخلية">
      <formula>NOT(ISERROR(SEARCH("داخلية",J608)))</formula>
    </cfRule>
    <cfRule type="containsText" dxfId="5061" priority="1322" stopIfTrue="1" operator="containsText" text="ن داخلية">
      <formula>NOT(ISERROR(SEARCH("ن داخلية",J608)))</formula>
    </cfRule>
    <cfRule type="containsText" dxfId="5060" priority="1323" stopIfTrue="1" operator="containsText" text="داخلية">
      <formula>NOT(ISERROR(SEARCH("داخلية",J608)))</formula>
    </cfRule>
    <cfRule type="cellIs" dxfId="5059" priority="1324" stopIfTrue="1" operator="equal">
      <formula>"ن داخلي"</formula>
    </cfRule>
    <cfRule type="cellIs" dxfId="5058" priority="1325" stopIfTrue="1" operator="equal">
      <formula>"ن داخلية"</formula>
    </cfRule>
    <cfRule type="cellIs" dxfId="5057" priority="1326" stopIfTrue="1" operator="equal">
      <formula>#REF!</formula>
    </cfRule>
    <cfRule type="cellIs" dxfId="5056" priority="1327" stopIfTrue="1" operator="equal">
      <formula>#REF!</formula>
    </cfRule>
    <cfRule type="cellIs" dxfId="5055" priority="1328" stopIfTrue="1" operator="equal">
      <formula>#REF!</formula>
    </cfRule>
    <cfRule type="cellIs" dxfId="5054" priority="1329" stopIfTrue="1" operator="equal">
      <formula>#REF!</formula>
    </cfRule>
    <cfRule type="cellIs" dxfId="5053" priority="1330" stopIfTrue="1" operator="equal">
      <formula>"داخلية"</formula>
    </cfRule>
  </conditionalFormatting>
  <conditionalFormatting sqref="J829 J681:J685 J611:J613">
    <cfRule type="containsText" dxfId="5052" priority="1307" stopIfTrue="1" operator="containsText" text="خارجية">
      <formula>NOT(ISERROR(SEARCH("خارجية",J611)))</formula>
    </cfRule>
    <cfRule type="containsText" dxfId="5051" priority="1308" stopIfTrue="1" operator="containsText" text="ن داخلية">
      <formula>NOT(ISERROR(SEARCH("ن داخلية",J611)))</formula>
    </cfRule>
    <cfRule type="containsText" dxfId="5050" priority="1309" stopIfTrue="1" operator="containsText" text="داخلية">
      <formula>NOT(ISERROR(SEARCH("داخلية",J611)))</formula>
    </cfRule>
    <cfRule type="containsText" dxfId="5049" priority="1310" stopIfTrue="1" operator="containsText" text="ن داخلية">
      <formula>NOT(ISERROR(SEARCH("ن داخلية",J611)))</formula>
    </cfRule>
    <cfRule type="containsText" dxfId="5048" priority="1311" stopIfTrue="1" operator="containsText" text="داخلية">
      <formula>NOT(ISERROR(SEARCH("داخلية",J611)))</formula>
    </cfRule>
    <cfRule type="cellIs" dxfId="5047" priority="1312" stopIfTrue="1" operator="equal">
      <formula>"ن داخلي"</formula>
    </cfRule>
    <cfRule type="cellIs" dxfId="5046" priority="1313" stopIfTrue="1" operator="equal">
      <formula>"ن داخلية"</formula>
    </cfRule>
    <cfRule type="cellIs" dxfId="5045" priority="1314" stopIfTrue="1" operator="equal">
      <formula>#REF!</formula>
    </cfRule>
    <cfRule type="cellIs" dxfId="5044" priority="1315" stopIfTrue="1" operator="equal">
      <formula>#REF!</formula>
    </cfRule>
    <cfRule type="cellIs" dxfId="5043" priority="1316" stopIfTrue="1" operator="equal">
      <formula>#REF!</formula>
    </cfRule>
    <cfRule type="cellIs" dxfId="5042" priority="1317" stopIfTrue="1" operator="equal">
      <formula>#REF!</formula>
    </cfRule>
    <cfRule type="cellIs" dxfId="5041" priority="1318" stopIfTrue="1" operator="equal">
      <formula>"داخلية"</formula>
    </cfRule>
  </conditionalFormatting>
  <conditionalFormatting sqref="J828:J829 J761 J763:J764 J695 J697 J700 J703 J708 J752 J683:J684 J681 J664 J673 J687 J689 J618 J608:J613 J615:J616 J620:J621 J624:J625 J633 J636:J646 J656:J659 J666:J667">
    <cfRule type="expression" dxfId="5040" priority="1306" stopIfTrue="1">
      <formula>#REF!=""</formula>
    </cfRule>
  </conditionalFormatting>
  <conditionalFormatting sqref="J641">
    <cfRule type="expression" dxfId="5039" priority="1305" stopIfTrue="1">
      <formula>#REF!=""</formula>
    </cfRule>
  </conditionalFormatting>
  <conditionalFormatting sqref="J793 J763:J764 J659 J637 J620 J618 J608:J609">
    <cfRule type="expression" dxfId="5038" priority="1303" stopIfTrue="1">
      <formula>#REF!=""</formula>
    </cfRule>
  </conditionalFormatting>
  <conditionalFormatting sqref="F393 F206:F207 F247:F248 F167 F126">
    <cfRule type="expression" dxfId="5037" priority="1237" stopIfTrue="1">
      <formula>#REF!=""</formula>
    </cfRule>
  </conditionalFormatting>
  <conditionalFormatting sqref="F492 F499:F549 F489:F490 F450:F466 F448 F468:F470 F441 F472:F485 F392:F393 F432 F427 F377 F385 F358 F366:F367 F349 F338 F343 F332 F297 F195 F211 F213:F219 F239:F248 F190:F193 F185:F188 F183 F179 F168:F169 F165 F153:F157 F142:F151 F139 F100 F79 F84 F71 F57:F60 F28:F31 F48 F25 F23 F103:F136">
    <cfRule type="containsText" dxfId="5036" priority="1235" stopIfTrue="1" operator="containsText" text="خارجية">
      <formula>NOT(ISERROR(SEARCH("خارجية",F23)))</formula>
    </cfRule>
    <cfRule type="containsText" dxfId="5035" priority="1236" stopIfTrue="1" operator="containsText" text="خارجي">
      <formula>NOT(ISERROR(SEARCH("خارجي",F23)))</formula>
    </cfRule>
  </conditionalFormatting>
  <conditionalFormatting sqref="F473:F474 F451 F447:F448 F356 F239:F248 F211 F206 F213:F219 F190:F193 F185:F188 F175 F183 F160 F165 F142:F151 F124 F122 F113 F153:F157 F95 F92 F84:F85 F81 F58:F60 F48 F28:F29">
    <cfRule type="cellIs" dxfId="5034" priority="1234" stopIfTrue="1" operator="greaterThan">
      <formula>"9.999"</formula>
    </cfRule>
  </conditionalFormatting>
  <conditionalFormatting sqref="F558:F559 F510 F444 F312 F213:F219 F210:F211 F203:F204 F194:F196 F183 F179 F139">
    <cfRule type="containsText" dxfId="5033" priority="1222" stopIfTrue="1" operator="containsText" text="خارجية">
      <formula>NOT(ISERROR(SEARCH("خارجية",F139)))</formula>
    </cfRule>
    <cfRule type="containsText" dxfId="5032" priority="1223" stopIfTrue="1" operator="containsText" text="ن داخلية">
      <formula>NOT(ISERROR(SEARCH("ن داخلية",F139)))</formula>
    </cfRule>
    <cfRule type="containsText" dxfId="5031" priority="1224" stopIfTrue="1" operator="containsText" text="داخلية">
      <formula>NOT(ISERROR(SEARCH("داخلية",F139)))</formula>
    </cfRule>
    <cfRule type="containsText" dxfId="5030" priority="1225" stopIfTrue="1" operator="containsText" text="ن داخلية">
      <formula>NOT(ISERROR(SEARCH("ن داخلية",F139)))</formula>
    </cfRule>
    <cfRule type="containsText" dxfId="5029" priority="1226" stopIfTrue="1" operator="containsText" text="داخلية">
      <formula>NOT(ISERROR(SEARCH("داخلية",F139)))</formula>
    </cfRule>
    <cfRule type="cellIs" dxfId="5028" priority="1227" stopIfTrue="1" operator="equal">
      <formula>"ن داخلي"</formula>
    </cfRule>
    <cfRule type="cellIs" dxfId="5027" priority="1228" stopIfTrue="1" operator="equal">
      <formula>"ن داخلية"</formula>
    </cfRule>
    <cfRule type="cellIs" dxfId="5026" priority="1229" stopIfTrue="1" operator="equal">
      <formula>#REF!</formula>
    </cfRule>
    <cfRule type="cellIs" dxfId="5025" priority="1230" stopIfTrue="1" operator="equal">
      <formula>#REF!</formula>
    </cfRule>
    <cfRule type="cellIs" dxfId="5024" priority="1231" stopIfTrue="1" operator="equal">
      <formula>#REF!</formula>
    </cfRule>
    <cfRule type="cellIs" dxfId="5023" priority="1232" stopIfTrue="1" operator="equal">
      <formula>#REF!</formula>
    </cfRule>
    <cfRule type="cellIs" dxfId="5022" priority="1233" stopIfTrue="1" operator="equal">
      <formula>"داخلية"</formula>
    </cfRule>
  </conditionalFormatting>
  <conditionalFormatting sqref="F570:F573 F536:F538 F567:F568 F540:F565 F523:F534 F515:F519 F521 F505:F512 F9:F179 F181:F363 F365:F499">
    <cfRule type="expression" dxfId="5021" priority="1221" stopIfTrue="1">
      <formula>#REF!=""</formula>
    </cfRule>
  </conditionalFormatting>
  <conditionalFormatting sqref="F570:F573 F560:F565 F552:F558 F536:F538 F567:F568 F540:F550 F524:F534 F515:F519 F521 F510:F512 F491:F499 F461:F469 F471 F438 F440:F456 F475:F489 F414:F415 F404 F400 F410:F411 F407 F402 F418:F420 F393:F395 F422:F432 F389 F378 F380:F387 F362:F363 F365:F371 F293:F360 F281:F291 F212 F220:F224 F258:F260 F253:F255 F262:F279 F226:F227 F207:F208 F201 F199 F203:F205 F229:F249 F181 F171:F174 F176:F179 F141:F159 F162 F166:F169 F137:F138 F132 F123:F127 F114:F121 F112 F107:F110 F99:F101 F82:F83 F91 F86 F79:F80 F57 F61:F67 F11:F47 F49:F55 F69 F73 F135 F436">
    <cfRule type="expression" dxfId="5020" priority="1220" stopIfTrue="1">
      <formula>IF(ROW(#REF!)&lt;=#REF!,"",1)=1</formula>
    </cfRule>
  </conditionalFormatting>
  <conditionalFormatting sqref="F570:F573 F536:F538 F540:F565 F567:F568 F523:F534 F505:F512 F515:F519 F521 F9:F179 F181:F363 F365:F499">
    <cfRule type="expression" dxfId="5019" priority="1219" stopIfTrue="1">
      <formula>#REF!=""</formula>
    </cfRule>
  </conditionalFormatting>
  <conditionalFormatting sqref="F570:F573 F552:F558 F560:F565 F536:F538 F540:F550 F567:F568 F524:F534 F515:F519 F521 F511:F512 F471:F499 F418:F469 F391:F416 F372:F389 F365:F370 F207:F265 F181:F205 F176:F179 F161:F164 F166:F174 F123:F130 F119:F121 F86:F94 F96:F117 F71:F83 F9:F69 F132:F159 F267:F363">
    <cfRule type="expression" dxfId="5018" priority="1218" stopIfTrue="1">
      <formula>#REF!=""</formula>
    </cfRule>
  </conditionalFormatting>
  <conditionalFormatting sqref="F570:F573 F552:F565 F536:F538 F567:F568 F540:F550 F524:F534 F515:F519 F509 F521 F511:F512 F488 F490:F499 F476:F481 F446 F449:F450 F443:F444 F471 F438:F441 F452:F469 F483:F486 F474 F423:F425 F417 F419 F410 F400 F402:F408 F412:F413 F421 F394:F395 F432 F427:F430 F387 F382 F384 F365:F379 F354 F356:F363 F321:F325 F327:F352 F262:F264 F226:F233 F222:F224 F220 F266 F212 F198 F203:F204 F235:F256 F189:F196 F176 F172:F174 F181:F182 F184:F187 F178:F179 F166 F162:F163 F168:F169 F146 F150:F153 F123 F125:F136 F116:F119 F114 F121 F110 F107:F108 F98 F94:F95 F89:F92 F57 F61:F77 F16:F17 F19:F47 F49:F55 F112 F269:F319 F434:F436">
    <cfRule type="expression" dxfId="5017" priority="1217" stopIfTrue="1">
      <formula>IF(ROW(#REF!)&lt;=#REF!,"",1)=1</formula>
    </cfRule>
  </conditionalFormatting>
  <conditionalFormatting sqref="F536:F538 F567 F523:F534 F515:F519 F505:F511 F489:F499 F473:F485 F468:F470 F392:F393 F349 F314:F315 F312 F290 F239:F248 F211:F219 F57:F60 F48">
    <cfRule type="expression" dxfId="5016" priority="1216" stopIfTrue="1">
      <formula>#REF!=""</formula>
    </cfRule>
  </conditionalFormatting>
  <conditionalFormatting sqref="F295">
    <cfRule type="expression" dxfId="5015" priority="1215" stopIfTrue="1">
      <formula>#REF!=""</formula>
    </cfRule>
  </conditionalFormatting>
  <conditionalFormatting sqref="F470 F392 F320 F280 F272 F259 F206 F175 F153 F142:F144 F157 F56:F60 F28:F29 F48">
    <cfRule type="expression" dxfId="5014" priority="1214" stopIfTrue="1">
      <formula>IF(ROW(#REF!)&lt;=#REF!,"",1)=1</formula>
    </cfRule>
  </conditionalFormatting>
  <conditionalFormatting sqref="F560 F553 F516 F512 F487:F488 F482:F483 F476:F480 F463 F445:F448 F450:F451 F471 F465:F467 F442:F443 F414 F428:F431 F395 F410 F426 F422 F402 F419 F389 F387 F381:F382 F384:F385 F362:F363 F370:F371 F365:F368 F350:F352 F354:F360 F327:F348 F305 F302 F307:F325 F290:F291 F293:F300 F286:F288 F282 F276 F238:F249 F274 F271 F262:F265 F259:F260 F220:F226 F231:F233 F235:F236 F208 F201 F177 F172:F174 F166 F158 F146 F152:F153 F123:F124 F115:F117 F120:F121 F107:F109 F99 F89 F82 F79 F65:F67 F61:F62 F57 F11:F19 F21:F47 F49:F55 F69 F73 F485 F436">
    <cfRule type="expression" dxfId="5013" priority="1213" stopIfTrue="1">
      <formula>IF(ROW(#REF!)&lt;=#REF!,"",1)=1</formula>
    </cfRule>
  </conditionalFormatting>
  <conditionalFormatting sqref="F291 F225">
    <cfRule type="expression" dxfId="5012" priority="1212" stopIfTrue="1">
      <formula>IF(ROW(#REF!)&lt;=#REF!,"",1)=1</formula>
    </cfRule>
  </conditionalFormatting>
  <conditionalFormatting sqref="F332">
    <cfRule type="expression" dxfId="5011" priority="1211" stopIfTrue="1">
      <formula>IF(ROW(#REF!)&lt;=#REF!,"",1)=1</formula>
    </cfRule>
  </conditionalFormatting>
  <conditionalFormatting sqref="F570:F573 F552:F565 F536:F538 F567:F568 F540:F550 F524:F534 F515:F519 F509 F521 F511:F512 F488 F490:F499 F476:F481 F446 F449:F450 F443:F444 F471 F438:F441 F452:F469 F483:F486 F423:F425 F417 F419 F410 F400 F402:F408 F412:F413 F421 F394:F395 F432 F427:F430 F387 F382 F384 F365:F379 F354 F356:F363 F321:F325 F327:F352 F266 F262:F264 F226:F233 F222:F224 F220 F212 F198 F203:F204 F235:F256 F189:F196 F184:F187 F176 F172:F174 F181:F182 F178:F179 F166 F162:F163 F168:F169 F146 F150:F153 F123 F125:F136 F116:F119 F114 F121 F107:F108 F110 F98 F94:F95 F89:F92 F57 F61:F77 F16:F17 F19:F47 F49:F55 F112 F269:F319 F474 F434:F436">
    <cfRule type="expression" dxfId="5010" priority="1210" stopIfTrue="1">
      <formula>IF(ROW(#REF!)&lt;=#REF!,"",1)=1</formula>
    </cfRule>
  </conditionalFormatting>
  <conditionalFormatting sqref="F390:F392 F280 F272 F160 F142:F151 F153 F157 F85 F56:F60 F48">
    <cfRule type="expression" dxfId="5009" priority="1209" stopIfTrue="1">
      <formula>IF(ROW(#REF!)&lt;=#REF!,"",1)=1</formula>
    </cfRule>
  </conditionalFormatting>
  <conditionalFormatting sqref="F470 F320 F272 F259 F175 F28:F29">
    <cfRule type="expression" dxfId="5008" priority="1208" stopIfTrue="1">
      <formula>IF(ROW(#REF!)&lt;=#REF!,"",1)=1</formula>
    </cfRule>
  </conditionalFormatting>
  <conditionalFormatting sqref="F390 F160">
    <cfRule type="expression" dxfId="5007" priority="1207" stopIfTrue="1">
      <formula>IF(ROW(#REF!)&lt;=#REF!,"",1)=1</formula>
    </cfRule>
  </conditionalFormatting>
  <conditionalFormatting sqref="F392 F280 F142 F157 F56:F60 F48">
    <cfRule type="expression" dxfId="5006" priority="1206" stopIfTrue="1">
      <formula>IF(ROW(#REF!)&lt;=#REF!,"",1)=1</formula>
    </cfRule>
  </conditionalFormatting>
  <conditionalFormatting sqref="F390 F160">
    <cfRule type="expression" dxfId="5005" priority="1205" stopIfTrue="1">
      <formula>IF(ROW(#REF!)&lt;=#REF!,"",1)=1</formula>
    </cfRule>
  </conditionalFormatting>
  <conditionalFormatting sqref="D578 D490:E490 D470:E470 D475:E475 D463:E463 D449:E449 D438:E445 D433:E433 D393:F393 D349:E349 E206:F207 C203:E204 D247:F248 D189:E193 C177:E177 D175:E175 C179:E179 E167:F167 D167:E168 D142:E142 D157:E157 D139:E139 D134:E135 F126 D125:E126">
    <cfRule type="expression" dxfId="5004" priority="762" stopIfTrue="1">
      <formula>#REF!=""</formula>
    </cfRule>
  </conditionalFormatting>
  <conditionalFormatting sqref="C541:F550 C489:F490 C472:F485 C450:F466 C448:F448 C468:F470 C392:F393 C427:F427 C377:F377 C385:F385 C358:F358 C366:F367 C349:F349 C338:F338 C343:F343 C332:F332 C297:F297 C195:F195 E211:F211 E213:F219 E239:F248 C215:E218 C247:E247 C244:E244 C190:D190 D190:F193 C185:F187 E188:F188 D183:F183 C179:F179 C168:F169 C165:F165 C153:F157 C142:F151 C139:F139 C105:F136 E100:F100 C79:F79 C84:F84 C71:F71 C57:F60 C28:F31 C48:F48 C25:F25 C23:F23 C432:F432 C441:F441 C492:F492 C499:F536">
    <cfRule type="containsText" dxfId="5003" priority="760" stopIfTrue="1" operator="containsText" text="خارجية">
      <formula>NOT(ISERROR(SEARCH("خارجية",C23)))</formula>
    </cfRule>
    <cfRule type="containsText" dxfId="5002" priority="761" stopIfTrue="1" operator="containsText" text="خارجي">
      <formula>NOT(ISERROR(SEARCH("خارجي",C23)))</formula>
    </cfRule>
  </conditionalFormatting>
  <conditionalFormatting sqref="D479 D459 D393 D349 D216 D245 D185 D162 D137 D130">
    <cfRule type="containsText" dxfId="5001" priority="748" stopIfTrue="1" operator="containsText" text="خارجية">
      <formula>NOT(ISERROR(SEARCH("خارجية",D130)))</formula>
    </cfRule>
    <cfRule type="containsText" dxfId="5000" priority="749" stopIfTrue="1" operator="containsText" text="ن داخلية">
      <formula>NOT(ISERROR(SEARCH("ن داخلية",D130)))</formula>
    </cfRule>
    <cfRule type="containsText" dxfId="4999" priority="750" stopIfTrue="1" operator="containsText" text="داخلية">
      <formula>NOT(ISERROR(SEARCH("داخلية",D130)))</formula>
    </cfRule>
    <cfRule type="containsText" dxfId="4998" priority="751" stopIfTrue="1" operator="containsText" text="ن داخلية">
      <formula>NOT(ISERROR(SEARCH("ن داخلية",D130)))</formula>
    </cfRule>
    <cfRule type="containsText" dxfId="4997" priority="752" stopIfTrue="1" operator="containsText" text="داخلية">
      <formula>NOT(ISERROR(SEARCH("داخلية",D130)))</formula>
    </cfRule>
    <cfRule type="cellIs" dxfId="4996" priority="753" stopIfTrue="1" operator="equal">
      <formula>"ن داخلي"</formula>
    </cfRule>
    <cfRule type="cellIs" dxfId="4995" priority="754" stopIfTrue="1" operator="equal">
      <formula>"ن داخلية"</formula>
    </cfRule>
    <cfRule type="cellIs" dxfId="4994" priority="755" stopIfTrue="1" operator="equal">
      <formula>#REF!</formula>
    </cfRule>
    <cfRule type="cellIs" dxfId="4993" priority="756" stopIfTrue="1" operator="equal">
      <formula>#REF!</formula>
    </cfRule>
    <cfRule type="cellIs" dxfId="4992" priority="757" stopIfTrue="1" operator="equal">
      <formula>#REF!</formula>
    </cfRule>
    <cfRule type="cellIs" dxfId="4991" priority="758" stopIfTrue="1" operator="equal">
      <formula>#REF!</formula>
    </cfRule>
    <cfRule type="cellIs" dxfId="4990" priority="759" stopIfTrue="1" operator="equal">
      <formula>"داخلية"</formula>
    </cfRule>
  </conditionalFormatting>
  <conditionalFormatting sqref="E635:E636 D610:E611 D616:E616 D619:E619 D638:E638 E589 D489:D609 D612:D615 D617:D618 D620:D637 D639:D653 C85:E85 E489:E576 D477:E477 F473:F474 E451:F451 D447:F448 D473:E475 D462:E466 D468:E469 D479:E485 D392:E393 D356:F356 D349:E349 D239:F248 D211:F211 D206:F206 D213:F219 D190:F193 D185:F188 D175:F175 D183:F183 D158:E158 D160:F160 D165:F165 D152:E152 D142:F151 E124:F124 D122:F122 D120:E120 D118:E118 F113 D153:F157 D112:E115 D88:E88 E95:F95 E92:F92 D84:F85 E81:F81 D58:F60 D48:F48 D28:F29 D18:E18 D9:E16">
    <cfRule type="cellIs" dxfId="4989" priority="747" stopIfTrue="1" operator="greaterThan">
      <formula>"9.999"</formula>
    </cfRule>
  </conditionalFormatting>
  <conditionalFormatting sqref="E635 E632 E609 E510:F510 E444:F444 D312:F312 C213:F219 C210:F211 E203:F204 E194:F196 C183:F183 C179:F179 D139:F139 E559:F560">
    <cfRule type="containsText" dxfId="4988" priority="735" stopIfTrue="1" operator="containsText" text="خارجية">
      <formula>NOT(ISERROR(SEARCH("خارجية",C139)))</formula>
    </cfRule>
    <cfRule type="containsText" dxfId="4987" priority="736" stopIfTrue="1" operator="containsText" text="ن داخلية">
      <formula>NOT(ISERROR(SEARCH("ن داخلية",C139)))</formula>
    </cfRule>
    <cfRule type="containsText" dxfId="4986" priority="737" stopIfTrue="1" operator="containsText" text="داخلية">
      <formula>NOT(ISERROR(SEARCH("داخلية",C139)))</formula>
    </cfRule>
    <cfRule type="containsText" dxfId="4985" priority="738" stopIfTrue="1" operator="containsText" text="ن داخلية">
      <formula>NOT(ISERROR(SEARCH("ن داخلية",C139)))</formula>
    </cfRule>
    <cfRule type="containsText" dxfId="4984" priority="739" stopIfTrue="1" operator="containsText" text="داخلية">
      <formula>NOT(ISERROR(SEARCH("داخلية",C139)))</formula>
    </cfRule>
    <cfRule type="cellIs" dxfId="4983" priority="740" stopIfTrue="1" operator="equal">
      <formula>"ن داخلي"</formula>
    </cfRule>
    <cfRule type="cellIs" dxfId="4982" priority="741" stopIfTrue="1" operator="equal">
      <formula>"ن داخلية"</formula>
    </cfRule>
    <cfRule type="cellIs" dxfId="4981" priority="742" stopIfTrue="1" operator="equal">
      <formula>#REF!</formula>
    </cfRule>
    <cfRule type="cellIs" dxfId="4980" priority="743" stopIfTrue="1" operator="equal">
      <formula>#REF!</formula>
    </cfRule>
    <cfRule type="cellIs" dxfId="4979" priority="744" stopIfTrue="1" operator="equal">
      <formula>#REF!</formula>
    </cfRule>
    <cfRule type="cellIs" dxfId="4978" priority="745" stopIfTrue="1" operator="equal">
      <formula>#REF!</formula>
    </cfRule>
    <cfRule type="cellIs" dxfId="4977" priority="746" stopIfTrue="1" operator="equal">
      <formula>"داخلية"</formula>
    </cfRule>
  </conditionalFormatting>
  <conditionalFormatting sqref="E615 C613:E613 E651 C616:E616 C619:E620 C628:E628 E631:E641 E645 C652:E653 C614:D615 C617:D618 C621:D627 C629:D651 C585:D585 E590:E597 C586:E589 C590:D612 E604:E611 C571:F574 C537:F539 C500:E584 C568:F569 F541:F566 C524:F535 C516:F520 C522:F522 E505:F512 C9:F179 C181:F363 C365:F499">
    <cfRule type="expression" dxfId="4976" priority="734" stopIfTrue="1">
      <formula>#REF!=""</formula>
    </cfRule>
  </conditionalFormatting>
  <conditionalFormatting sqref="E613 E615:E616 E619:E620 E628 E631:E634 E636:E641 E651:E653 E609 E604:E605 E590:E597 E586:E588 E577:E584 E571:F574 E561:F566 E553:F559 E537:F539 E568:F569 E541:F551 E525:F535 C516:D516 E516:F520 E522:F522 E510:F512 E491:F499 E461:F469 E471:F471 E438:F438 E440:F456 E475:F489 C418:D418 E414:F415 E404:F404 E400:F400 E410:F411 E407:F407 E402:F402 E418:F420 E393:F395 E422:F432 E389:F389 E378:F378 E380:F387 E362:F363 E365:F371 E293:F360 E281:F291 E212:F212 E220:F224 E258:F260 E253:F255 E262:F279 E226:F227 C207:D207 E207:F208 E201:F201 E199:F199 E203:F205 C199:D200 E229:F249 E181:F181 E171:F174 E176:F179 C156:D156 E141:F159 E162:F162 E166:F169 E137:F138 E132:F132 E123:F127 E114:F121 E112:F112 E107:F110 E99:F101 E82:F83 E91:F91 E86:F86 E79:F80 E57:F57 E61:F67 C37:D38 E11:F47 E49:F55 E69:F69 E73:F73 E135:F135 E436:F436">
    <cfRule type="expression" dxfId="4975" priority="733" stopIfTrue="1">
      <formula>IF(ROW(#REF!)&lt;=#REF!,"",1)=1</formula>
    </cfRule>
  </conditionalFormatting>
  <conditionalFormatting sqref="C613:E613 E615:E616 E619:E620 E628 E631:E641 E645 C614:D653 E651:E653 E604:E611 C585:D612 E586:E597 C571:F574 C537:F539 C500:E584 F541:F566 C568:F569 C524:F535 C505:F512 C516:F520 C522:F522 C9:F179 C181:F363 C365:F499">
    <cfRule type="expression" dxfId="4974" priority="732" stopIfTrue="1">
      <formula>#REF!=""</formula>
    </cfRule>
  </conditionalFormatting>
  <conditionalFormatting sqref="D620 D640 D408 D430:D432 D405 D391 D378 D382 D362 D366 D325 D296:D298 D252:D254">
    <cfRule type="expression" dxfId="4973" priority="731" stopIfTrue="1">
      <formula>#REF!=""</formula>
    </cfRule>
  </conditionalFormatting>
  <conditionalFormatting sqref="C613:E613 E651 C610:E611 E615:E616 E619:E620 E628 E631:E632 C614:D653 E636:E641 E645 E653 C606:D609 C612:D612 C586:E588 C604:E605 C590:E597 E608 C585:D585 C589:D589 C598:D603 C571:F574 C552:E584 C553:F559 F561:F566 C540:E540 C536:E536 C537:F539 C541:F551 C568:F569 C523:E524 C525:F535 C516:F520 C500:E521 C522:F522 C472:F499 E511:F512 C441:F452 C459:E460 E471:F471 C469:E470 C463:E466 C393:E393 E418:F440 E453:F469 C432:E432 C427:E427 F391:F416 E389:E416 C388:D440 C453:D471 C383:E387 E383:F389 E371 C372:F382 C369:E369 C365:E367 C365:D371 E365:F370 C297:F363 C290:E290 C287:E288 C244:F247 E207:F243 F248:F265 C221:E221 E248:E266 C259:E259 C253:E254 C181:F195 C217:E218 E196:F205 E176:F179 C179:E179 E161:F164 E166:F174 E123:F130 E119:F121 C157:F157 C121:E121 E86:F94 E96:F117 C71:E71 E71:F83 C9:F60 D436:E436 E61:F69 E132:F156 E158:F159 C61:D156 C158:D179 E267:F296 C196:D243 C248:D296 D142:E150">
    <cfRule type="expression" dxfId="4972" priority="730" stopIfTrue="1">
      <formula>#REF!=""</formula>
    </cfRule>
  </conditionalFormatting>
  <conditionalFormatting sqref="E613 E651 C610:C611 E615:E616 E619:E620 E628 E631:E632 E636:E641 E645 E590:E597 E604:E608 E586:E588 E577:E584 E571:F574 E553:F566 E537:F539 E568:F569 E541:F551 E525:F535 E516:F520 E509:F509 E522:F522 E511:F512 E488:F488 E490:F499 E476:F481 E446:F446 E449:F450 E443:F444 E471:F471 E438:F441 E452:F469 E483:F486 E474:F474 E423:F425 C417:F417 C419:F419 E410:F410 E400:F400 E402:F408 E412:F413 E421:F421 E394:F395 E432:F432 E427:F430 E387:F387 E382:F382 E384:F384 E365:F379 E354:F354 E356:F363 E321:F325 E327:F352 E262:F264 E226:F233 E222:F224 C223:D223 E220:F220 E266:F266 E212:F212 C210:D211 E198:F198 E203:F204 C213:D219 E235:F256 C188:D188 E189:F196 C183:D183 E176:F176 E172:F174 E181:F182 E184:F187 E178:F179 E166:F166 E162:F163 E168:F169 E146:F146 C156:D156 E150:F153 E123:F123 E125:F136 E116:F119 E114:F114 E121:F121 E110:F110 E107:F108 E98:F98 E94:F95 E89:F92 E57:F57 E61:F77 C37:D38 E16:F17 E19:F47 E49:F55 E112:F112 E269:F319 E434:F436">
    <cfRule type="expression" dxfId="4971" priority="729" stopIfTrue="1">
      <formula>IF(ROW(#REF!)&lt;=#REF!,"",1)=1</formula>
    </cfRule>
  </conditionalFormatting>
  <conditionalFormatting sqref="E615 C651:E652 C606:D612 C585:D585 C590:D603 C570:E570 C575:E576 C537:F539 C536:E552 C568:F568 C524:F535 C516:F520 C505:F511 C505:E512 C489:F499 C473:F485 C472:E485 C468:F470 C441:E441 C392:F393 C432:E432 C427:E427 C377:E377 C385:E385 C358:E358 C366:E367 C349:F349 C338:E338 C343:E343 C332:E332 E314:F315 C312:F312 C290:F290 C297:E297 C239:D243 E239:F248 C244:E248 C195:E195 C211:F219 C179:E179 C139:E139 C121:E121 C79:E79 C71:E71 C57:F60 C48:F48 C25:E25">
    <cfRule type="expression" dxfId="4970" priority="728" stopIfTrue="1">
      <formula>#REF!=""</formula>
    </cfRule>
  </conditionalFormatting>
  <conditionalFormatting sqref="C392:E392 C320:D320 C295:F295 C272:D272 D142:E143 D157:E157 D56:E60 C28:D28 D48:E48">
    <cfRule type="expression" dxfId="4969" priority="727" stopIfTrue="1">
      <formula>#REF!=""</formula>
    </cfRule>
  </conditionalFormatting>
  <conditionalFormatting sqref="E470 E392 E320 E280 E272 E259 E206 E175 E153 E142:E144 E157 E56:E60 E28:E29 E48">
    <cfRule type="expression" dxfId="4968" priority="726" stopIfTrue="1">
      <formula>IF(ROW(#REF!)&lt;=#REF!,"",1)=1</formula>
    </cfRule>
  </conditionalFormatting>
  <conditionalFormatting sqref="C240:D240 C62:D62 C55:D55">
    <cfRule type="expression" dxfId="4967" priority="725" stopIfTrue="1">
      <formula>#REF!=""</formula>
    </cfRule>
  </conditionalFormatting>
  <conditionalFormatting sqref="E616 E619:E620 E631:E633 E636 E638:E641 E653 E561:F561 E554:F554 E517:F517 E512:F512 E487:F488 E482:F483 E476:F480 E463:F463 E445:F448 E450:F451 E471:F471 E465:F467 E442:F443 E414:F414 E428:F431 E395:F395 E410:F410 E426:F426 E422:F422 E402:F402 E419:F419 E389:F389 E387:F387 E381:F382 E384:F385 E362:F363 E370:F371 E365:F368 E350:F352 E354:F360 E327:F348 E305:F305 E302:F302 E307:F325 E290:F291 E293:F300 E286:F288 E282:F282 E276:F276 E238:F249 E274:F274 E271:F271 E262:F265 E259:F260 E220:F226 E231:F233 E235:F236 E208:F208 E201:F201 C199:D199 E177:F177 E172:F174 E166:F166 E158:F158 C156:D156 E146:F146 E152:F153 E123:F124 E115:F117 E120:F121 E107:F109 E99:F99 E89:F89 E82:F82 E79:F79 E65:F67 E61:F62 E57:F57 C37:D38 E11:F19 E21:F47 E49:F55 E69:F69 E73:F73 E485:F485 E436:F436">
    <cfRule type="expression" dxfId="4966" priority="724" stopIfTrue="1">
      <formula>IF(ROW(#REF!)&lt;=#REF!,"",1)=1</formula>
    </cfRule>
  </conditionalFormatting>
  <conditionalFormatting sqref="E291:F291 E225:F225 C199:D199 C156:D156 C37:D38">
    <cfRule type="expression" dxfId="4965" priority="723" stopIfTrue="1">
      <formula>IF(ROW(#REF!)&lt;=#REF!,"",1)=1</formula>
    </cfRule>
  </conditionalFormatting>
  <conditionalFormatting sqref="E631 E332">
    <cfRule type="expression" dxfId="4964" priority="722" stopIfTrue="1">
      <formula>IF(ROW(#REF!)&lt;=#REF!,"",1)=1</formula>
    </cfRule>
  </conditionalFormatting>
  <conditionalFormatting sqref="E613 E651 C610:C611 E615:E616 E619:E620 E628 E631:E632 E636:E641 E645 E590:E597 E604:E608 E586:E588 E577:E584 E571:F574 E553:F566 E537:F539 E568:F569 E541:F551 E525:F535 E516:F520 E509:F509 E522:F522 E511:F512 E488:F488 E490:F499 E476:F481 E446:F446 E449:F450 E443:F444 E471:F471 E438:F441 E452:F469 E483:F486 E423:F425 C417:F417 C419:F419 E410:F410 E400:F400 E402:F408 E412:F413 E421:F421 E394:F395 E432:F432 E427:F430 E387:F387 E382:F382 E384:F384 E365:F379 E354:F354 E356:F363 E321:F325 E327:F352 E266:F266 E262:F264 E226:F233 E222:F224 C223:D223 E220:F220 E212:F212 C210:D211 E198:F198 E203:F204 C213:D219 E235:F256 C188:D188 E189:F196 E184:F187 C183:D183 E176:F176 E172:F174 E181:F182 E178:F179 E166:F166 E162:F163 E168:F169 E146:F146 C156:D156 E150:F153 E123:F123 E125:F136 E116:F119 E114:F114 E121:F121 E107:F108 E110:F110 E98:F98 E94:F95 E89:F92 E57:F57 E61:F77 C37:D38 E16:F17 E19:F47 E49:F55 E112:F112 E269:F319 E474:F474 E434:F436">
    <cfRule type="expression" dxfId="4963" priority="721" stopIfTrue="1">
      <formula>IF(ROW(#REF!)&lt;=#REF!,"",1)=1</formula>
    </cfRule>
  </conditionalFormatting>
  <conditionalFormatting sqref="D391:E391 C392:D392 E390:F392 C320:D320 E280:F280 C272:F272 E160:F160 E142:F151 E153:F153 E157:F157 D85:F85 E56:F60 E48:F48 C28:D28">
    <cfRule type="expression" dxfId="4962" priority="720" stopIfTrue="1">
      <formula>IF(ROW(#REF!)&lt;=#REF!,"",1)=1</formula>
    </cfRule>
  </conditionalFormatting>
  <conditionalFormatting sqref="E470:F470 C392:D392 C320:F320 C272:F272 E259:F259 E175:F175 C28:D28 E28:F29">
    <cfRule type="expression" dxfId="4961" priority="719" stopIfTrue="1">
      <formula>IF(ROW(#REF!)&lt;=#REF!,"",1)=1</formula>
    </cfRule>
  </conditionalFormatting>
  <conditionalFormatting sqref="E390 E160">
    <cfRule type="expression" dxfId="4960" priority="718" stopIfTrue="1">
      <formula>IF(ROW(#REF!)&lt;=#REF!,"",1)=1</formula>
    </cfRule>
  </conditionalFormatting>
  <conditionalFormatting sqref="E392 E280 E142 E157 E56:E60 E48">
    <cfRule type="expression" dxfId="4959" priority="717" stopIfTrue="1">
      <formula>IF(ROW(#REF!)&lt;=#REF!,"",1)=1</formula>
    </cfRule>
  </conditionalFormatting>
  <conditionalFormatting sqref="E390 E160">
    <cfRule type="expression" dxfId="4958" priority="716" stopIfTrue="1">
      <formula>IF(ROW(#REF!)&lt;=#REF!,"",1)=1</formula>
    </cfRule>
  </conditionalFormatting>
  <conditionalFormatting sqref="G556:G559 G553 G561:G566 G537:G539 G541:G551 G511 G492:G499 G469 G216:G225 G168 G163 G156 G138 G107 G516:G520">
    <cfRule type="expression" dxfId="4957" priority="715" stopIfTrue="1">
      <formula>#REF!=""</formula>
    </cfRule>
  </conditionalFormatting>
  <conditionalFormatting sqref="G541:G550 G444:G445 G448:G449 G468:G470 G392:G393 G427 G377 G385 G358 G366:G367 G349 G338 G343 G332 G297 G195 G215:G225 G247 G244 G139 G100 G79 G84 G48 G135 G104:G128 G432 G142:G185 G55:G76 G441 G472:G485 G492 G499:G536">
    <cfRule type="containsText" dxfId="4956" priority="713" stopIfTrue="1" operator="containsText" text="خارجية">
      <formula>NOT(ISERROR(SEARCH("خارجية",G48)))</formula>
    </cfRule>
    <cfRule type="containsText" dxfId="4955" priority="714" stopIfTrue="1" operator="containsText" text="خارجي">
      <formula>NOT(ISERROR(SEARCH("خارجي",G48)))</formula>
    </cfRule>
  </conditionalFormatting>
  <conditionalFormatting sqref="G444 G450:G451 G392:G393 G210:G225 G188 G183 G163 G156 G115 G119 G112 G107 G104:G105 G97:G98 G88 G135">
    <cfRule type="containsText" dxfId="4954" priority="701" stopIfTrue="1" operator="containsText" text="خارجية">
      <formula>NOT(ISERROR(SEARCH("خارجية",G88)))</formula>
    </cfRule>
    <cfRule type="containsText" dxfId="4953" priority="702" stopIfTrue="1" operator="containsText" text="ن داخلية">
      <formula>NOT(ISERROR(SEARCH("ن داخلية",G88)))</formula>
    </cfRule>
    <cfRule type="containsText" dxfId="4952" priority="703" stopIfTrue="1" operator="containsText" text="داخلية">
      <formula>NOT(ISERROR(SEARCH("داخلية",G88)))</formula>
    </cfRule>
    <cfRule type="containsText" dxfId="4951" priority="704" stopIfTrue="1" operator="containsText" text="ن داخلية">
      <formula>NOT(ISERROR(SEARCH("ن داخلية",G88)))</formula>
    </cfRule>
    <cfRule type="containsText" dxfId="4950" priority="705" stopIfTrue="1" operator="containsText" text="داخلية">
      <formula>NOT(ISERROR(SEARCH("داخلية",G88)))</formula>
    </cfRule>
    <cfRule type="cellIs" dxfId="4949" priority="706" stopIfTrue="1" operator="equal">
      <formula>"ن داخلي"</formula>
    </cfRule>
    <cfRule type="cellIs" dxfId="4948" priority="707" stopIfTrue="1" operator="equal">
      <formula>"ن داخلية"</formula>
    </cfRule>
    <cfRule type="cellIs" dxfId="4947" priority="708" stopIfTrue="1" operator="equal">
      <formula>#REF!</formula>
    </cfRule>
    <cfRule type="cellIs" dxfId="4946" priority="709" stopIfTrue="1" operator="equal">
      <formula>#REF!</formula>
    </cfRule>
    <cfRule type="cellIs" dxfId="4945" priority="710" stopIfTrue="1" operator="equal">
      <formula>#REF!</formula>
    </cfRule>
    <cfRule type="cellIs" dxfId="4944" priority="711" stopIfTrue="1" operator="equal">
      <formula>#REF!</formula>
    </cfRule>
    <cfRule type="cellIs" dxfId="4943" priority="712" stopIfTrue="1" operator="equal">
      <formula>"داخلية"</formula>
    </cfRule>
  </conditionalFormatting>
  <conditionalFormatting sqref="G361 G353 G311 G206 G215:G225 G48 G55 G135 G272 G274:G275 G277 G279 G281:G282 G284 G286 G142:G185 G58:G76">
    <cfRule type="cellIs" dxfId="4942" priority="700" stopIfTrue="1" operator="greaterThan">
      <formula>"9.999"</formula>
    </cfRule>
  </conditionalFormatting>
  <conditionalFormatting sqref="G510 G492 G445 G469:G471 G417:G419 G392 G388 G312 G290 G203:G204 G194:G196 G210:G225 G179 G142:G150 G559:G560">
    <cfRule type="containsText" dxfId="4941" priority="688" stopIfTrue="1" operator="containsText" text="خارجية">
      <formula>NOT(ISERROR(SEARCH("خارجية",G142)))</formula>
    </cfRule>
    <cfRule type="containsText" dxfId="4940" priority="689" stopIfTrue="1" operator="containsText" text="ن داخلية">
      <formula>NOT(ISERROR(SEARCH("ن داخلية",G142)))</formula>
    </cfRule>
    <cfRule type="containsText" dxfId="4939" priority="690" stopIfTrue="1" operator="containsText" text="داخلية">
      <formula>NOT(ISERROR(SEARCH("داخلية",G142)))</formula>
    </cfRule>
    <cfRule type="containsText" dxfId="4938" priority="691" stopIfTrue="1" operator="containsText" text="ن داخلية">
      <formula>NOT(ISERROR(SEARCH("ن داخلية",G142)))</formula>
    </cfRule>
    <cfRule type="containsText" dxfId="4937" priority="692" stopIfTrue="1" operator="containsText" text="داخلية">
      <formula>NOT(ISERROR(SEARCH("داخلية",G142)))</formula>
    </cfRule>
    <cfRule type="cellIs" dxfId="4936" priority="693" stopIfTrue="1" operator="equal">
      <formula>"ن داخلي"</formula>
    </cfRule>
    <cfRule type="cellIs" dxfId="4935" priority="694" stopIfTrue="1" operator="equal">
      <formula>"ن داخلية"</formula>
    </cfRule>
    <cfRule type="cellIs" dxfId="4934" priority="695" stopIfTrue="1" operator="equal">
      <formula>#REF!</formula>
    </cfRule>
    <cfRule type="cellIs" dxfId="4933" priority="696" stopIfTrue="1" operator="equal">
      <formula>#REF!</formula>
    </cfRule>
    <cfRule type="cellIs" dxfId="4932" priority="697" stopIfTrue="1" operator="equal">
      <formula>#REF!</formula>
    </cfRule>
    <cfRule type="cellIs" dxfId="4931" priority="698" stopIfTrue="1" operator="equal">
      <formula>#REF!</formula>
    </cfRule>
    <cfRule type="cellIs" dxfId="4930" priority="699" stopIfTrue="1" operator="equal">
      <formula>"داخلية"</formula>
    </cfRule>
  </conditionalFormatting>
  <conditionalFormatting sqref="G36:G576">
    <cfRule type="expression" dxfId="4929" priority="687" stopIfTrue="1">
      <formula>#REF!=""</formula>
    </cfRule>
  </conditionalFormatting>
  <conditionalFormatting sqref="G485 G447:G448 G470:G471 G390:G392 G320 G284 G286 G277 G279:G282 G272 G225 G206 G274:G275 G122 G84:G85 G288:G305 G48 G135 G188 G190 G192 G195 G197 G199 G201 G203:G204 G227 G229 G231 G233 G235 G237 G239 G241 G243 G245 G247 G249 G251 G253 G255 G257 G259 G261 G267 G269 G264:G265 G487 G142:G186 G55:G76">
    <cfRule type="expression" dxfId="4928" priority="686" stopIfTrue="1">
      <formula>#REF!=""</formula>
    </cfRule>
  </conditionalFormatting>
  <conditionalFormatting sqref="G447 G48 G135 G142:G185 G55:G76">
    <cfRule type="expression" dxfId="4927" priority="685" stopIfTrue="1">
      <formula>#REF!=""</formula>
    </cfRule>
  </conditionalFormatting>
  <conditionalFormatting sqref="G393 G382 G384 G386 G388 G390:G391 G368:G369 G371 G373:G380 G356 G311 G162:G163 G91:G93 G96:G97 G87:G88 G46:G47 G272 G274:G275 G277 G279 G281:G282 G284 G286 G288:G305 G395:G533">
    <cfRule type="expression" dxfId="4926" priority="684" stopIfTrue="1">
      <formula>IF(ROW(#REF!)&lt;=#REF!,"",1)=1</formula>
    </cfRule>
  </conditionalFormatting>
  <conditionalFormatting sqref="G195 G197 G199 G201 G203:G204 G211:G225 G188 G190 G192 G48 G55:G76 G135 G272 G274:G275 G277 G279 G281:G282 G284 G286 G348 G350 G352 G354 G357 G288:G346 G143:G186">
    <cfRule type="expression" dxfId="4925" priority="683" stopIfTrue="1">
      <formula>#REF!=""</formula>
    </cfRule>
  </conditionalFormatting>
  <conditionalFormatting sqref="G295">
    <cfRule type="expression" dxfId="4924" priority="682" stopIfTrue="1">
      <formula>#REF!=""</formula>
    </cfRule>
  </conditionalFormatting>
  <conditionalFormatting sqref="G84 G485 G487">
    <cfRule type="expression" dxfId="4923" priority="681" stopIfTrue="1">
      <formula>IF(ROW(#REF!)&lt;=#REF!,"",1)=1</formula>
    </cfRule>
  </conditionalFormatting>
  <conditionalFormatting sqref="G391:G392 G85 G48 G55 G135 G142:G185 G58:G76">
    <cfRule type="expression" dxfId="4922" priority="680" stopIfTrue="1">
      <formula>IF(ROW(#REF!)&lt;=#REF!,"",1)=1</formula>
    </cfRule>
  </conditionalFormatting>
  <conditionalFormatting sqref="G534:G576">
    <cfRule type="containsText" dxfId="4921" priority="668" stopIfTrue="1" operator="containsText" text="خارجية">
      <formula>NOT(ISERROR(SEARCH("خارجية",G534)))</formula>
    </cfRule>
    <cfRule type="containsText" dxfId="4920" priority="669" stopIfTrue="1" operator="containsText" text="ن داخلية">
      <formula>NOT(ISERROR(SEARCH("ن داخلية",G534)))</formula>
    </cfRule>
    <cfRule type="containsText" dxfId="4919" priority="670" stopIfTrue="1" operator="containsText" text="داخلية">
      <formula>NOT(ISERROR(SEARCH("داخلية",G534)))</formula>
    </cfRule>
    <cfRule type="containsText" dxfId="4918" priority="671" stopIfTrue="1" operator="containsText" text="ن داخلية">
      <formula>NOT(ISERROR(SEARCH("ن داخلية",G534)))</formula>
    </cfRule>
    <cfRule type="containsText" dxfId="4917" priority="672" stopIfTrue="1" operator="containsText" text="داخلية">
      <formula>NOT(ISERROR(SEARCH("داخلية",G534)))</formula>
    </cfRule>
    <cfRule type="cellIs" dxfId="4916" priority="673" stopIfTrue="1" operator="equal">
      <formula>"ن داخلي"</formula>
    </cfRule>
    <cfRule type="cellIs" dxfId="4915" priority="674" stopIfTrue="1" operator="equal">
      <formula>"ن داخلية"</formula>
    </cfRule>
    <cfRule type="cellIs" dxfId="4914" priority="675" stopIfTrue="1" operator="equal">
      <formula>#REF!</formula>
    </cfRule>
    <cfRule type="cellIs" dxfId="4913" priority="676" stopIfTrue="1" operator="equal">
      <formula>#REF!</formula>
    </cfRule>
    <cfRule type="cellIs" dxfId="4912" priority="677" stopIfTrue="1" operator="equal">
      <formula>#REF!</formula>
    </cfRule>
    <cfRule type="cellIs" dxfId="4911" priority="678" stopIfTrue="1" operator="equal">
      <formula>#REF!</formula>
    </cfRule>
    <cfRule type="cellIs" dxfId="4910" priority="679" stopIfTrue="1" operator="equal">
      <formula>"داخلية"</formula>
    </cfRule>
  </conditionalFormatting>
  <conditionalFormatting sqref="G534:G576">
    <cfRule type="cellIs" dxfId="4909" priority="667" stopIfTrue="1" operator="greaterThan">
      <formula>"9.999"</formula>
    </cfRule>
  </conditionalFormatting>
  <conditionalFormatting sqref="G534:G576">
    <cfRule type="expression" dxfId="4908" priority="666" stopIfTrue="1">
      <formula>IF(ROW(#REF!)&lt;=#REF!,"",1)=1</formula>
    </cfRule>
  </conditionalFormatting>
  <conditionalFormatting sqref="G534:G576">
    <cfRule type="containsText" dxfId="4907" priority="654" stopIfTrue="1" operator="containsText" text="خارجية">
      <formula>NOT(ISERROR(SEARCH("خارجية",G534)))</formula>
    </cfRule>
    <cfRule type="containsText" dxfId="4906" priority="655" stopIfTrue="1" operator="containsText" text="ن داخلية">
      <formula>NOT(ISERROR(SEARCH("ن داخلية",G534)))</formula>
    </cfRule>
    <cfRule type="containsText" dxfId="4905" priority="656" stopIfTrue="1" operator="containsText" text="داخلية">
      <formula>NOT(ISERROR(SEARCH("داخلية",G534)))</formula>
    </cfRule>
    <cfRule type="containsText" dxfId="4904" priority="657" stopIfTrue="1" operator="containsText" text="ن داخلية">
      <formula>NOT(ISERROR(SEARCH("ن داخلية",G534)))</formula>
    </cfRule>
    <cfRule type="containsText" dxfId="4903" priority="658" stopIfTrue="1" operator="containsText" text="داخلية">
      <formula>NOT(ISERROR(SEARCH("داخلية",G534)))</formula>
    </cfRule>
    <cfRule type="cellIs" dxfId="4902" priority="659" stopIfTrue="1" operator="equal">
      <formula>"ن داخلي"</formula>
    </cfRule>
    <cfRule type="cellIs" dxfId="4901" priority="660" stopIfTrue="1" operator="equal">
      <formula>"ن داخلية"</formula>
    </cfRule>
    <cfRule type="cellIs" dxfId="4900" priority="661" stopIfTrue="1" operator="equal">
      <formula>#REF!</formula>
    </cfRule>
    <cfRule type="cellIs" dxfId="4899" priority="662" stopIfTrue="1" operator="equal">
      <formula>#REF!</formula>
    </cfRule>
    <cfRule type="cellIs" dxfId="4898" priority="663" stopIfTrue="1" operator="equal">
      <formula>#REF!</formula>
    </cfRule>
    <cfRule type="cellIs" dxfId="4897" priority="664" stopIfTrue="1" operator="equal">
      <formula>#REF!</formula>
    </cfRule>
    <cfRule type="cellIs" dxfId="4896" priority="665" stopIfTrue="1" operator="equal">
      <formula>"داخلية"</formula>
    </cfRule>
  </conditionalFormatting>
  <conditionalFormatting sqref="G534:G576">
    <cfRule type="cellIs" dxfId="4895" priority="653" stopIfTrue="1" operator="greaterThan">
      <formula>"9.999"</formula>
    </cfRule>
  </conditionalFormatting>
  <conditionalFormatting sqref="G534:G576">
    <cfRule type="expression" dxfId="4894" priority="652" stopIfTrue="1">
      <formula>IF(ROW(#REF!)&lt;=#REF!,"",1)=1</formula>
    </cfRule>
  </conditionalFormatting>
  <conditionalFormatting sqref="G534:G576">
    <cfRule type="containsText" dxfId="4893" priority="650" stopIfTrue="1" operator="containsText" text="خارجية">
      <formula>NOT(ISERROR(SEARCH("خارجية",G534)))</formula>
    </cfRule>
    <cfRule type="containsText" dxfId="4892" priority="651" stopIfTrue="1" operator="containsText" text="خارجي">
      <formula>NOT(ISERROR(SEARCH("خارجي",G534)))</formula>
    </cfRule>
  </conditionalFormatting>
  <conditionalFormatting sqref="E479 E459 E393 E349 E216 E245 E185 E162 E137 E130">
    <cfRule type="containsText" dxfId="4891" priority="638" stopIfTrue="1" operator="containsText" text="خارجية">
      <formula>NOT(ISERROR(SEARCH("خارجية",E130)))</formula>
    </cfRule>
    <cfRule type="containsText" dxfId="4890" priority="639" stopIfTrue="1" operator="containsText" text="ن داخلية">
      <formula>NOT(ISERROR(SEARCH("ن داخلية",E130)))</formula>
    </cfRule>
    <cfRule type="containsText" dxfId="4889" priority="640" stopIfTrue="1" operator="containsText" text="داخلية">
      <formula>NOT(ISERROR(SEARCH("داخلية",E130)))</formula>
    </cfRule>
    <cfRule type="containsText" dxfId="4888" priority="641" stopIfTrue="1" operator="containsText" text="ن داخلية">
      <formula>NOT(ISERROR(SEARCH("ن داخلية",E130)))</formula>
    </cfRule>
    <cfRule type="containsText" dxfId="4887" priority="642" stopIfTrue="1" operator="containsText" text="داخلية">
      <formula>NOT(ISERROR(SEARCH("داخلية",E130)))</formula>
    </cfRule>
    <cfRule type="cellIs" dxfId="4886" priority="643" stopIfTrue="1" operator="equal">
      <formula>"ن داخلي"</formula>
    </cfRule>
    <cfRule type="cellIs" dxfId="4885" priority="644" stopIfTrue="1" operator="equal">
      <formula>"ن داخلية"</formula>
    </cfRule>
    <cfRule type="cellIs" dxfId="4884" priority="645" stopIfTrue="1" operator="equal">
      <formula>#REF!</formula>
    </cfRule>
    <cfRule type="cellIs" dxfId="4883" priority="646" stopIfTrue="1" operator="equal">
      <formula>#REF!</formula>
    </cfRule>
    <cfRule type="cellIs" dxfId="4882" priority="647" stopIfTrue="1" operator="equal">
      <formula>#REF!</formula>
    </cfRule>
    <cfRule type="cellIs" dxfId="4881" priority="648" stopIfTrue="1" operator="equal">
      <formula>#REF!</formula>
    </cfRule>
    <cfRule type="cellIs" dxfId="4880" priority="649" stopIfTrue="1" operator="equal">
      <formula>"داخلية"</formula>
    </cfRule>
  </conditionalFormatting>
  <conditionalFormatting sqref="E408 E430:E432 E405 E391 E378 E382 E362 E366 E325 E296:E298 E252:E254">
    <cfRule type="expression" dxfId="4879" priority="637" stopIfTrue="1">
      <formula>#REF!=""</formula>
    </cfRule>
  </conditionalFormatting>
  <conditionalFormatting sqref="F470 F392 F320 F280 F272 F259 F206 F175 F153 F142:F144 F157 F56:F60 F28:F29 F48">
    <cfRule type="expression" dxfId="4878" priority="636" stopIfTrue="1">
      <formula>IF(ROW(#REF!)&lt;=#REF!,"",1)=1</formula>
    </cfRule>
  </conditionalFormatting>
  <conditionalFormatting sqref="F332">
    <cfRule type="expression" dxfId="4877" priority="635" stopIfTrue="1">
      <formula>IF(ROW(#REF!)&lt;=#REF!,"",1)=1</formula>
    </cfRule>
  </conditionalFormatting>
  <conditionalFormatting sqref="F390 F160">
    <cfRule type="expression" dxfId="4876" priority="634" stopIfTrue="1">
      <formula>IF(ROW(#REF!)&lt;=#REF!,"",1)=1</formula>
    </cfRule>
  </conditionalFormatting>
  <conditionalFormatting sqref="F392 F280 F142 F157 F56:F60 F48">
    <cfRule type="expression" dxfId="4875" priority="633" stopIfTrue="1">
      <formula>IF(ROW(#REF!)&lt;=#REF!,"",1)=1</formula>
    </cfRule>
  </conditionalFormatting>
  <conditionalFormatting sqref="F390 F160">
    <cfRule type="expression" dxfId="4874" priority="632" stopIfTrue="1">
      <formula>IF(ROW(#REF!)&lt;=#REF!,"",1)=1</formula>
    </cfRule>
  </conditionalFormatting>
  <conditionalFormatting sqref="H507:H508 H479:H481 H248 H185 H176:H177 H165 H115 H118:H119 H121:H122 H251:H253 H255:H256 H259">
    <cfRule type="expression" dxfId="4873" priority="631" stopIfTrue="1">
      <formula>#REF!=""</formula>
    </cfRule>
  </conditionalFormatting>
  <conditionalFormatting sqref="H489:H490 H468:H470 H448 H367 H473:H485 H427 H377 H358 H234:H235 H332:H333 H297 H195:H198 H215:H221 H165 H84 H9:H12 H15 H19:H20 H29:H32 H34 H36:H38 H40 H43 H51 H64 H75 H69 H72:H73 H86:H90 H93:H94 H96:H97 H102 H137:H139 H141 H143 H145 H151:H154 H156:H157 H110:H113 H168:H179 H205 H224 H231 H248 H251:H253 H255:H256 H259 H262:H264 H268 H540:H550 H55:H59 H77:H82 H104:H105 H115:H135 H185:H189 H226:H228 H270:H275 H492:H495 H499:H537">
    <cfRule type="containsText" dxfId="4872" priority="629" stopIfTrue="1" operator="containsText" text="خارجية">
      <formula>NOT(ISERROR(SEARCH("خارجية",H9)))</formula>
    </cfRule>
    <cfRule type="containsText" dxfId="4871" priority="630" stopIfTrue="1" operator="containsText" text="خارجي">
      <formula>NOT(ISERROR(SEARCH("خارجي",H9)))</formula>
    </cfRule>
  </conditionalFormatting>
  <conditionalFormatting sqref="H548 H565 H568 H534 H525:H530 H554:H556 H507 H505 H477:H481 H463 H457 H452 H469 H448 H433 H211 H176:H177 H172:H173 H180:H181 H125:H126 H163:H165 H122 H114 H78 H29 H14 H36:H38 H55:H56 H64 H72:H73 H75 H82 H84:H97 H102 H117 H137:H139 H141 H143 H145 H151:H154 H156:H157 H190 H192:H194 H199 H201 H213:H221 H224 H231 H248 H251:H253 H255:H256 H259 H262:H264 H268 H134:H135 H234:H235 H491:H499 H128:H130 H184:H188 H205:H206 H226:H228">
    <cfRule type="containsText" dxfId="4870" priority="617" stopIfTrue="1" operator="containsText" text="خارجية">
      <formula>NOT(ISERROR(SEARCH("خارجية",H14)))</formula>
    </cfRule>
    <cfRule type="containsText" dxfId="4869" priority="618" stopIfTrue="1" operator="containsText" text="ن داخلية">
      <formula>NOT(ISERROR(SEARCH("ن داخلية",H14)))</formula>
    </cfRule>
    <cfRule type="containsText" dxfId="4868" priority="619" stopIfTrue="1" operator="containsText" text="داخلية">
      <formula>NOT(ISERROR(SEARCH("داخلية",H14)))</formula>
    </cfRule>
    <cfRule type="containsText" dxfId="4867" priority="620" stopIfTrue="1" operator="containsText" text="ن داخلية">
      <formula>NOT(ISERROR(SEARCH("ن داخلية",H14)))</formula>
    </cfRule>
    <cfRule type="containsText" dxfId="4866" priority="621" stopIfTrue="1" operator="containsText" text="داخلية">
      <formula>NOT(ISERROR(SEARCH("داخلية",H14)))</formula>
    </cfRule>
    <cfRule type="cellIs" dxfId="4865" priority="622" stopIfTrue="1" operator="equal">
      <formula>"ن داخلي"</formula>
    </cfRule>
    <cfRule type="cellIs" dxfId="4864" priority="623" stopIfTrue="1" operator="equal">
      <formula>"ن داخلية"</formula>
    </cfRule>
    <cfRule type="cellIs" dxfId="4863" priority="624" stopIfTrue="1" operator="equal">
      <formula>#REF!</formula>
    </cfRule>
    <cfRule type="cellIs" dxfId="4862" priority="625" stopIfTrue="1" operator="equal">
      <formula>#REF!</formula>
    </cfRule>
    <cfRule type="cellIs" dxfId="4861" priority="626" stopIfTrue="1" operator="equal">
      <formula>#REF!</formula>
    </cfRule>
    <cfRule type="cellIs" dxfId="4860" priority="627" stopIfTrue="1" operator="equal">
      <formula>#REF!</formula>
    </cfRule>
    <cfRule type="cellIs" dxfId="4859" priority="628" stopIfTrue="1" operator="equal">
      <formula>"داخلية"</formula>
    </cfRule>
  </conditionalFormatting>
  <conditionalFormatting sqref="H470 H447:H448 H213:H221 H211 H185:H188 H175 H183 H160 H165 H122 H58:H59 H29 H36:H38 H55:H56 H64 H72:H73 H75 H82 H84:H90 H93:H94 H96:H97 H102 H130 H179 H224 H248 H251:H253 H255:H256 H259 H262:H264 H268 H277:H278 H280:H283 H288 H234:H235 H205:H206 H226:H231 H270:H275">
    <cfRule type="cellIs" dxfId="4858" priority="616" stopIfTrue="1" operator="greaterThan">
      <formula>"9.999"</formula>
    </cfRule>
  </conditionalFormatting>
  <conditionalFormatting sqref="H570 H552:H553 H568 H509:H511 H507 H489 H469 H449 H475:H480 H388 H212 H182 H143 H145 H130 H151:H154 H156:H157 H170:H172 H176:H179 H185 H191 H195:H198 H222:H223 H225 H302:H303 H491:H499 H229:H230 H556:H566 H516:H539">
    <cfRule type="containsText" dxfId="4857" priority="604" stopIfTrue="1" operator="containsText" text="خارجية">
      <formula>NOT(ISERROR(SEARCH("خارجية",H130)))</formula>
    </cfRule>
    <cfRule type="containsText" dxfId="4856" priority="605" stopIfTrue="1" operator="containsText" text="ن داخلية">
      <formula>NOT(ISERROR(SEARCH("ن داخلية",H130)))</formula>
    </cfRule>
    <cfRule type="containsText" dxfId="4855" priority="606" stopIfTrue="1" operator="containsText" text="داخلية">
      <formula>NOT(ISERROR(SEARCH("داخلية",H130)))</formula>
    </cfRule>
    <cfRule type="containsText" dxfId="4854" priority="607" stopIfTrue="1" operator="containsText" text="ن داخلية">
      <formula>NOT(ISERROR(SEARCH("ن داخلية",H130)))</formula>
    </cfRule>
    <cfRule type="containsText" dxfId="4853" priority="608" stopIfTrue="1" operator="containsText" text="داخلية">
      <formula>NOT(ISERROR(SEARCH("داخلية",H130)))</formula>
    </cfRule>
    <cfRule type="cellIs" dxfId="4852" priority="609" stopIfTrue="1" operator="equal">
      <formula>"ن داخلي"</formula>
    </cfRule>
    <cfRule type="cellIs" dxfId="4851" priority="610" stopIfTrue="1" operator="equal">
      <formula>"ن داخلية"</formula>
    </cfRule>
    <cfRule type="cellIs" dxfId="4850" priority="611" stopIfTrue="1" operator="equal">
      <formula>#REF!</formula>
    </cfRule>
    <cfRule type="cellIs" dxfId="4849" priority="612" stopIfTrue="1" operator="equal">
      <formula>#REF!</formula>
    </cfRule>
    <cfRule type="cellIs" dxfId="4848" priority="613" stopIfTrue="1" operator="equal">
      <formula>#REF!</formula>
    </cfRule>
    <cfRule type="cellIs" dxfId="4847" priority="614" stopIfTrue="1" operator="equal">
      <formula>#REF!</formula>
    </cfRule>
    <cfRule type="cellIs" dxfId="4846" priority="615" stopIfTrue="1" operator="equal">
      <formula>"داخلية"</formula>
    </cfRule>
  </conditionalFormatting>
  <conditionalFormatting sqref="H390 H143 H145 H9 H29:H31 H34 H36:H38 H64 H72:H73 H75 H82 H85:H90 H93:H94 H96:H97 H102 H130 H151:H154 H156:H157 H217:H221 H224 H248 H251:H253 H255:H256 H259 H262:H264 H268 H277:H278 H280:H283 H288 H297:H298 H292:H295 H302:H303 H305 H314:H316 H234:H235 H404 H407:H409 H411:H413 H416 H418:H422 H425:H429 H399 H439:H440 H445 H448:H449 H451 H454:H457 H474 H395:H397 H443 H55:H59 H160 H205:H206 H229:H231 H270:H275 H459:H460">
    <cfRule type="expression" dxfId="4845" priority="603" stopIfTrue="1">
      <formula>#REF!=""</formula>
    </cfRule>
  </conditionalFormatting>
  <conditionalFormatting sqref="H470 H390 H211 H183 H175 H165 H122 H143 H145 H151:H154 H156:H157 H9 H29:H31 H34 H36:H38 H64 H72:H73 H75 H82 H84:H90 H93:H94 H96:H97 H102 H130 H179 H190:H199 H201 H213:H221 H248 H251:H253 H255:H256 H259 H262:H264 H268 H277:H278 H280:H283 H288 H297:H298 H292:H295 H302:H303 H305 H314:H316 H234:H235 H404 H407:H409 H411:H413 H416 H418:H422 H425:H429 H399 H439:H440 H445 H447:H449 H451 H454:H457 H474 H493 H395:H397 H443 H55:H59 H160 H185:H188 H205:H206 H224:H231 H270:H275 H459:H461">
    <cfRule type="expression" dxfId="4844" priority="602" stopIfTrue="1">
      <formula>#REF!=""</formula>
    </cfRule>
  </conditionalFormatting>
  <conditionalFormatting sqref="H143 H145 H9 H29:H31 H34 H36:H38 H64 H72:H73 H75 H82 H86:H90 H93:H94 H96:H97 H102 H130 H151:H154 H156:H157 H55:H59">
    <cfRule type="expression" dxfId="4843" priority="601" stopIfTrue="1">
      <formula>#REF!=""</formula>
    </cfRule>
  </conditionalFormatting>
  <conditionalFormatting sqref="H223:H225 H248 H251:H253 H255:H256 H259 H262:H264 H268 H277:H278 H280:H283 H288 H297:H298 H292:H295 H302:H303 H305 H314:H316 H234:H235 H229:H231 H270:H275">
    <cfRule type="expression" dxfId="4842" priority="600" stopIfTrue="1">
      <formula>IF(ROW(#REF!)&lt;=#REF!,"",1)=1</formula>
    </cfRule>
  </conditionalFormatting>
  <conditionalFormatting sqref="H523 H341 H207:H216 H248 H141 H151:H154 H143 H145 H127 H64 H72:H73 H75 H82:H90 H93:H94 H96:H97 H102 H119:H124 H160 H165 H222:H223 H251:H253 H255:H256 H259 H262:H264 H268 H277:H278 H280:H285 H288 H297:H298 H292:H295 H302:H303 H305 H314:H316 H352 H354:H355 H371:H372 H374:H377 H55:H59 H129:H139 H225:H231 H270:H275">
    <cfRule type="expression" dxfId="4841" priority="599" stopIfTrue="1">
      <formula>#REF!=""</formula>
    </cfRule>
  </conditionalFormatting>
  <conditionalFormatting sqref="H295 H143 H64 H72:H73 H75 H82 H86:H90 H93:H94 H96:H97 H102 H145 H151:H154 H156:H157 H297:H298 H302:H303 H305 H314:H316 H55:H59">
    <cfRule type="expression" dxfId="4840" priority="598" stopIfTrue="1">
      <formula>#REF!=""</formula>
    </cfRule>
  </conditionalFormatting>
  <conditionalFormatting sqref="H525:H527">
    <cfRule type="containsText" dxfId="4839" priority="586" stopIfTrue="1" operator="containsText" text="خارجية">
      <formula>NOT(ISERROR(SEARCH("خارجية",H525)))</formula>
    </cfRule>
    <cfRule type="containsText" dxfId="4838" priority="587" stopIfTrue="1" operator="containsText" text="ن داخلية">
      <formula>NOT(ISERROR(SEARCH("ن داخلية",H525)))</formula>
    </cfRule>
    <cfRule type="containsText" dxfId="4837" priority="588" stopIfTrue="1" operator="containsText" text="داخلية">
      <formula>NOT(ISERROR(SEARCH("داخلية",H525)))</formula>
    </cfRule>
    <cfRule type="containsText" dxfId="4836" priority="589" stopIfTrue="1" operator="containsText" text="ن داخلية">
      <formula>NOT(ISERROR(SEARCH("ن داخلية",H525)))</formula>
    </cfRule>
    <cfRule type="containsText" dxfId="4835" priority="590" stopIfTrue="1" operator="containsText" text="داخلية">
      <formula>NOT(ISERROR(SEARCH("داخلية",H525)))</formula>
    </cfRule>
    <cfRule type="cellIs" dxfId="4834" priority="591" stopIfTrue="1" operator="equal">
      <formula>"ن داخلي"</formula>
    </cfRule>
    <cfRule type="cellIs" dxfId="4833" priority="592" stopIfTrue="1" operator="equal">
      <formula>"ن داخلية"</formula>
    </cfRule>
    <cfRule type="cellIs" dxfId="4832" priority="593" stopIfTrue="1" operator="equal">
      <formula>#REF!</formula>
    </cfRule>
    <cfRule type="cellIs" dxfId="4831" priority="594" stopIfTrue="1" operator="equal">
      <formula>#REF!</formula>
    </cfRule>
    <cfRule type="cellIs" dxfId="4830" priority="595" stopIfTrue="1" operator="equal">
      <formula>#REF!</formula>
    </cfRule>
    <cfRule type="cellIs" dxfId="4829" priority="596" stopIfTrue="1" operator="equal">
      <formula>#REF!</formula>
    </cfRule>
    <cfRule type="cellIs" dxfId="4828" priority="597" stopIfTrue="1" operator="equal">
      <formula>"داخلية"</formula>
    </cfRule>
  </conditionalFormatting>
  <conditionalFormatting sqref="H529">
    <cfRule type="containsText" dxfId="4827" priority="574" stopIfTrue="1" operator="containsText" text="خارجية">
      <formula>NOT(ISERROR(SEARCH("خارجية",H529)))</formula>
    </cfRule>
    <cfRule type="containsText" dxfId="4826" priority="575" stopIfTrue="1" operator="containsText" text="ن داخلية">
      <formula>NOT(ISERROR(SEARCH("ن داخلية",H529)))</formula>
    </cfRule>
    <cfRule type="containsText" dxfId="4825" priority="576" stopIfTrue="1" operator="containsText" text="داخلية">
      <formula>NOT(ISERROR(SEARCH("داخلية",H529)))</formula>
    </cfRule>
    <cfRule type="containsText" dxfId="4824" priority="577" stopIfTrue="1" operator="containsText" text="ن داخلية">
      <formula>NOT(ISERROR(SEARCH("ن داخلية",H529)))</formula>
    </cfRule>
    <cfRule type="containsText" dxfId="4823" priority="578" stopIfTrue="1" operator="containsText" text="داخلية">
      <formula>NOT(ISERROR(SEARCH("داخلية",H529)))</formula>
    </cfRule>
    <cfRule type="cellIs" dxfId="4822" priority="579" stopIfTrue="1" operator="equal">
      <formula>"ن داخلي"</formula>
    </cfRule>
    <cfRule type="cellIs" dxfId="4821" priority="580" stopIfTrue="1" operator="equal">
      <formula>"ن داخلية"</formula>
    </cfRule>
    <cfRule type="cellIs" dxfId="4820" priority="581" stopIfTrue="1" operator="equal">
      <formula>#REF!</formula>
    </cfRule>
    <cfRule type="cellIs" dxfId="4819" priority="582" stopIfTrue="1" operator="equal">
      <formula>#REF!</formula>
    </cfRule>
    <cfRule type="cellIs" dxfId="4818" priority="583" stopIfTrue="1" operator="equal">
      <formula>#REF!</formula>
    </cfRule>
    <cfRule type="cellIs" dxfId="4817" priority="584" stopIfTrue="1" operator="equal">
      <formula>#REF!</formula>
    </cfRule>
    <cfRule type="cellIs" dxfId="4816" priority="585" stopIfTrue="1" operator="equal">
      <formula>"داخلية"</formula>
    </cfRule>
  </conditionalFormatting>
  <conditionalFormatting sqref="H531:H535">
    <cfRule type="containsText" dxfId="4815" priority="562" stopIfTrue="1" operator="containsText" text="خارجية">
      <formula>NOT(ISERROR(SEARCH("خارجية",H531)))</formula>
    </cfRule>
    <cfRule type="containsText" dxfId="4814" priority="563" stopIfTrue="1" operator="containsText" text="ن داخلية">
      <formula>NOT(ISERROR(SEARCH("ن داخلية",H531)))</formula>
    </cfRule>
    <cfRule type="containsText" dxfId="4813" priority="564" stopIfTrue="1" operator="containsText" text="داخلية">
      <formula>NOT(ISERROR(SEARCH("داخلية",H531)))</formula>
    </cfRule>
    <cfRule type="containsText" dxfId="4812" priority="565" stopIfTrue="1" operator="containsText" text="ن داخلية">
      <formula>NOT(ISERROR(SEARCH("ن داخلية",H531)))</formula>
    </cfRule>
    <cfRule type="containsText" dxfId="4811" priority="566" stopIfTrue="1" operator="containsText" text="داخلية">
      <formula>NOT(ISERROR(SEARCH("داخلية",H531)))</formula>
    </cfRule>
    <cfRule type="cellIs" dxfId="4810" priority="567" stopIfTrue="1" operator="equal">
      <formula>"ن داخلي"</formula>
    </cfRule>
    <cfRule type="cellIs" dxfId="4809" priority="568" stopIfTrue="1" operator="equal">
      <formula>"ن داخلية"</formula>
    </cfRule>
    <cfRule type="cellIs" dxfId="4808" priority="569" stopIfTrue="1" operator="equal">
      <formula>#REF!</formula>
    </cfRule>
    <cfRule type="cellIs" dxfId="4807" priority="570" stopIfTrue="1" operator="equal">
      <formula>#REF!</formula>
    </cfRule>
    <cfRule type="cellIs" dxfId="4806" priority="571" stopIfTrue="1" operator="equal">
      <formula>#REF!</formula>
    </cfRule>
    <cfRule type="cellIs" dxfId="4805" priority="572" stopIfTrue="1" operator="equal">
      <formula>#REF!</formula>
    </cfRule>
    <cfRule type="cellIs" dxfId="4804" priority="573" stopIfTrue="1" operator="equal">
      <formula>"داخلية"</formula>
    </cfRule>
  </conditionalFormatting>
  <conditionalFormatting sqref="H536:H537">
    <cfRule type="containsText" dxfId="4803" priority="550" stopIfTrue="1" operator="containsText" text="خارجية">
      <formula>NOT(ISERROR(SEARCH("خارجية",H536)))</formula>
    </cfRule>
    <cfRule type="containsText" dxfId="4802" priority="551" stopIfTrue="1" operator="containsText" text="ن داخلية">
      <formula>NOT(ISERROR(SEARCH("ن داخلية",H536)))</formula>
    </cfRule>
    <cfRule type="containsText" dxfId="4801" priority="552" stopIfTrue="1" operator="containsText" text="داخلية">
      <formula>NOT(ISERROR(SEARCH("داخلية",H536)))</formula>
    </cfRule>
    <cfRule type="containsText" dxfId="4800" priority="553" stopIfTrue="1" operator="containsText" text="ن داخلية">
      <formula>NOT(ISERROR(SEARCH("ن داخلية",H536)))</formula>
    </cfRule>
    <cfRule type="containsText" dxfId="4799" priority="554" stopIfTrue="1" operator="containsText" text="داخلية">
      <formula>NOT(ISERROR(SEARCH("داخلية",H536)))</formula>
    </cfRule>
    <cfRule type="cellIs" dxfId="4798" priority="555" stopIfTrue="1" operator="equal">
      <formula>"ن داخلي"</formula>
    </cfRule>
    <cfRule type="cellIs" dxfId="4797" priority="556" stopIfTrue="1" operator="equal">
      <formula>"ن داخلية"</formula>
    </cfRule>
    <cfRule type="cellIs" dxfId="4796" priority="557" stopIfTrue="1" operator="equal">
      <formula>#REF!</formula>
    </cfRule>
    <cfRule type="cellIs" dxfId="4795" priority="558" stopIfTrue="1" operator="equal">
      <formula>#REF!</formula>
    </cfRule>
    <cfRule type="cellIs" dxfId="4794" priority="559" stopIfTrue="1" operator="equal">
      <formula>#REF!</formula>
    </cfRule>
    <cfRule type="cellIs" dxfId="4793" priority="560" stopIfTrue="1" operator="equal">
      <formula>#REF!</formula>
    </cfRule>
    <cfRule type="cellIs" dxfId="4792" priority="561" stopIfTrue="1" operator="equal">
      <formula>"داخلية"</formula>
    </cfRule>
  </conditionalFormatting>
  <conditionalFormatting sqref="H536:H537">
    <cfRule type="containsText" dxfId="4791" priority="538" stopIfTrue="1" operator="containsText" text="خارجية">
      <formula>NOT(ISERROR(SEARCH("خارجية",H536)))</formula>
    </cfRule>
    <cfRule type="containsText" dxfId="4790" priority="539" stopIfTrue="1" operator="containsText" text="ن داخلية">
      <formula>NOT(ISERROR(SEARCH("ن داخلية",H536)))</formula>
    </cfRule>
    <cfRule type="containsText" dxfId="4789" priority="540" stopIfTrue="1" operator="containsText" text="داخلية">
      <formula>NOT(ISERROR(SEARCH("داخلية",H536)))</formula>
    </cfRule>
    <cfRule type="containsText" dxfId="4788" priority="541" stopIfTrue="1" operator="containsText" text="ن داخلية">
      <formula>NOT(ISERROR(SEARCH("ن داخلية",H536)))</formula>
    </cfRule>
    <cfRule type="containsText" dxfId="4787" priority="542" stopIfTrue="1" operator="containsText" text="داخلية">
      <formula>NOT(ISERROR(SEARCH("داخلية",H536)))</formula>
    </cfRule>
    <cfRule type="cellIs" dxfId="4786" priority="543" stopIfTrue="1" operator="equal">
      <formula>"ن داخلي"</formula>
    </cfRule>
    <cfRule type="cellIs" dxfId="4785" priority="544" stopIfTrue="1" operator="equal">
      <formula>"ن داخلية"</formula>
    </cfRule>
    <cfRule type="cellIs" dxfId="4784" priority="545" stopIfTrue="1" operator="equal">
      <formula>#REF!</formula>
    </cfRule>
    <cfRule type="cellIs" dxfId="4783" priority="546" stopIfTrue="1" operator="equal">
      <formula>#REF!</formula>
    </cfRule>
    <cfRule type="cellIs" dxfId="4782" priority="547" stopIfTrue="1" operator="equal">
      <formula>#REF!</formula>
    </cfRule>
    <cfRule type="cellIs" dxfId="4781" priority="548" stopIfTrue="1" operator="equal">
      <formula>#REF!</formula>
    </cfRule>
    <cfRule type="cellIs" dxfId="4780" priority="549" stopIfTrue="1" operator="equal">
      <formula>"داخلية"</formula>
    </cfRule>
  </conditionalFormatting>
  <conditionalFormatting sqref="H540:H541">
    <cfRule type="containsText" dxfId="4779" priority="526" stopIfTrue="1" operator="containsText" text="خارجية">
      <formula>NOT(ISERROR(SEARCH("خارجية",H540)))</formula>
    </cfRule>
    <cfRule type="containsText" dxfId="4778" priority="527" stopIfTrue="1" operator="containsText" text="ن داخلية">
      <formula>NOT(ISERROR(SEARCH("ن داخلية",H540)))</formula>
    </cfRule>
    <cfRule type="containsText" dxfId="4777" priority="528" stopIfTrue="1" operator="containsText" text="داخلية">
      <formula>NOT(ISERROR(SEARCH("داخلية",H540)))</formula>
    </cfRule>
    <cfRule type="containsText" dxfId="4776" priority="529" stopIfTrue="1" operator="containsText" text="ن داخلية">
      <formula>NOT(ISERROR(SEARCH("ن داخلية",H540)))</formula>
    </cfRule>
    <cfRule type="containsText" dxfId="4775" priority="530" stopIfTrue="1" operator="containsText" text="داخلية">
      <formula>NOT(ISERROR(SEARCH("داخلية",H540)))</formula>
    </cfRule>
    <cfRule type="cellIs" dxfId="4774" priority="531" stopIfTrue="1" operator="equal">
      <formula>"ن داخلي"</formula>
    </cfRule>
    <cfRule type="cellIs" dxfId="4773" priority="532" stopIfTrue="1" operator="equal">
      <formula>"ن داخلية"</formula>
    </cfRule>
    <cfRule type="cellIs" dxfId="4772" priority="533" stopIfTrue="1" operator="equal">
      <formula>#REF!</formula>
    </cfRule>
    <cfRule type="cellIs" dxfId="4771" priority="534" stopIfTrue="1" operator="equal">
      <formula>#REF!</formula>
    </cfRule>
    <cfRule type="cellIs" dxfId="4770" priority="535" stopIfTrue="1" operator="equal">
      <formula>#REF!</formula>
    </cfRule>
    <cfRule type="cellIs" dxfId="4769" priority="536" stopIfTrue="1" operator="equal">
      <formula>#REF!</formula>
    </cfRule>
    <cfRule type="cellIs" dxfId="4768" priority="537" stopIfTrue="1" operator="equal">
      <formula>"داخلية"</formula>
    </cfRule>
  </conditionalFormatting>
  <conditionalFormatting sqref="H540:H541">
    <cfRule type="containsText" dxfId="4767" priority="514" stopIfTrue="1" operator="containsText" text="خارجية">
      <formula>NOT(ISERROR(SEARCH("خارجية",H540)))</formula>
    </cfRule>
    <cfRule type="containsText" dxfId="4766" priority="515" stopIfTrue="1" operator="containsText" text="ن داخلية">
      <formula>NOT(ISERROR(SEARCH("ن داخلية",H540)))</formula>
    </cfRule>
    <cfRule type="containsText" dxfId="4765" priority="516" stopIfTrue="1" operator="containsText" text="داخلية">
      <formula>NOT(ISERROR(SEARCH("داخلية",H540)))</formula>
    </cfRule>
    <cfRule type="containsText" dxfId="4764" priority="517" stopIfTrue="1" operator="containsText" text="ن داخلية">
      <formula>NOT(ISERROR(SEARCH("ن داخلية",H540)))</formula>
    </cfRule>
    <cfRule type="containsText" dxfId="4763" priority="518" stopIfTrue="1" operator="containsText" text="داخلية">
      <formula>NOT(ISERROR(SEARCH("داخلية",H540)))</formula>
    </cfRule>
    <cfRule type="cellIs" dxfId="4762" priority="519" stopIfTrue="1" operator="equal">
      <formula>"ن داخلي"</formula>
    </cfRule>
    <cfRule type="cellIs" dxfId="4761" priority="520" stopIfTrue="1" operator="equal">
      <formula>"ن داخلية"</formula>
    </cfRule>
    <cfRule type="cellIs" dxfId="4760" priority="521" stopIfTrue="1" operator="equal">
      <formula>#REF!</formula>
    </cfRule>
    <cfRule type="cellIs" dxfId="4759" priority="522" stopIfTrue="1" operator="equal">
      <formula>#REF!</formula>
    </cfRule>
    <cfRule type="cellIs" dxfId="4758" priority="523" stopIfTrue="1" operator="equal">
      <formula>#REF!</formula>
    </cfRule>
    <cfRule type="cellIs" dxfId="4757" priority="524" stopIfTrue="1" operator="equal">
      <formula>#REF!</formula>
    </cfRule>
    <cfRule type="cellIs" dxfId="4756" priority="525" stopIfTrue="1" operator="equal">
      <formula>"داخلية"</formula>
    </cfRule>
  </conditionalFormatting>
  <conditionalFormatting sqref="H542">
    <cfRule type="containsText" dxfId="4755" priority="502" stopIfTrue="1" operator="containsText" text="خارجية">
      <formula>NOT(ISERROR(SEARCH("خارجية",H542)))</formula>
    </cfRule>
    <cfRule type="containsText" dxfId="4754" priority="503" stopIfTrue="1" operator="containsText" text="ن داخلية">
      <formula>NOT(ISERROR(SEARCH("ن داخلية",H542)))</formula>
    </cfRule>
    <cfRule type="containsText" dxfId="4753" priority="504" stopIfTrue="1" operator="containsText" text="داخلية">
      <formula>NOT(ISERROR(SEARCH("داخلية",H542)))</formula>
    </cfRule>
    <cfRule type="containsText" dxfId="4752" priority="505" stopIfTrue="1" operator="containsText" text="ن داخلية">
      <formula>NOT(ISERROR(SEARCH("ن داخلية",H542)))</formula>
    </cfRule>
    <cfRule type="containsText" dxfId="4751" priority="506" stopIfTrue="1" operator="containsText" text="داخلية">
      <formula>NOT(ISERROR(SEARCH("داخلية",H542)))</formula>
    </cfRule>
    <cfRule type="cellIs" dxfId="4750" priority="507" stopIfTrue="1" operator="equal">
      <formula>"ن داخلي"</formula>
    </cfRule>
    <cfRule type="cellIs" dxfId="4749" priority="508" stopIfTrue="1" operator="equal">
      <formula>"ن داخلية"</formula>
    </cfRule>
    <cfRule type="cellIs" dxfId="4748" priority="509" stopIfTrue="1" operator="equal">
      <formula>#REF!</formula>
    </cfRule>
    <cfRule type="cellIs" dxfId="4747" priority="510" stopIfTrue="1" operator="equal">
      <formula>#REF!</formula>
    </cfRule>
    <cfRule type="cellIs" dxfId="4746" priority="511" stopIfTrue="1" operator="equal">
      <formula>#REF!</formula>
    </cfRule>
    <cfRule type="cellIs" dxfId="4745" priority="512" stopIfTrue="1" operator="equal">
      <formula>#REF!</formula>
    </cfRule>
    <cfRule type="cellIs" dxfId="4744" priority="513" stopIfTrue="1" operator="equal">
      <formula>"داخلية"</formula>
    </cfRule>
  </conditionalFormatting>
  <conditionalFormatting sqref="H543">
    <cfRule type="containsText" dxfId="4743" priority="490" stopIfTrue="1" operator="containsText" text="خارجية">
      <formula>NOT(ISERROR(SEARCH("خارجية",H543)))</formula>
    </cfRule>
    <cfRule type="containsText" dxfId="4742" priority="491" stopIfTrue="1" operator="containsText" text="ن داخلية">
      <formula>NOT(ISERROR(SEARCH("ن داخلية",H543)))</formula>
    </cfRule>
    <cfRule type="containsText" dxfId="4741" priority="492" stopIfTrue="1" operator="containsText" text="داخلية">
      <formula>NOT(ISERROR(SEARCH("داخلية",H543)))</formula>
    </cfRule>
    <cfRule type="containsText" dxfId="4740" priority="493" stopIfTrue="1" operator="containsText" text="ن داخلية">
      <formula>NOT(ISERROR(SEARCH("ن داخلية",H543)))</formula>
    </cfRule>
    <cfRule type="containsText" dxfId="4739" priority="494" stopIfTrue="1" operator="containsText" text="داخلية">
      <formula>NOT(ISERROR(SEARCH("داخلية",H543)))</formula>
    </cfRule>
    <cfRule type="cellIs" dxfId="4738" priority="495" stopIfTrue="1" operator="equal">
      <formula>"ن داخلي"</formula>
    </cfRule>
    <cfRule type="cellIs" dxfId="4737" priority="496" stopIfTrue="1" operator="equal">
      <formula>"ن داخلية"</formula>
    </cfRule>
    <cfRule type="cellIs" dxfId="4736" priority="497" stopIfTrue="1" operator="equal">
      <formula>#REF!</formula>
    </cfRule>
    <cfRule type="cellIs" dxfId="4735" priority="498" stopIfTrue="1" operator="equal">
      <formula>#REF!</formula>
    </cfRule>
    <cfRule type="cellIs" dxfId="4734" priority="499" stopIfTrue="1" operator="equal">
      <formula>#REF!</formula>
    </cfRule>
    <cfRule type="cellIs" dxfId="4733" priority="500" stopIfTrue="1" operator="equal">
      <formula>#REF!</formula>
    </cfRule>
    <cfRule type="cellIs" dxfId="4732" priority="501" stopIfTrue="1" operator="equal">
      <formula>"داخلية"</formula>
    </cfRule>
  </conditionalFormatting>
  <conditionalFormatting sqref="H543">
    <cfRule type="containsText" dxfId="4731" priority="478" stopIfTrue="1" operator="containsText" text="خارجية">
      <formula>NOT(ISERROR(SEARCH("خارجية",H543)))</formula>
    </cfRule>
    <cfRule type="containsText" dxfId="4730" priority="479" stopIfTrue="1" operator="containsText" text="ن داخلية">
      <formula>NOT(ISERROR(SEARCH("ن داخلية",H543)))</formula>
    </cfRule>
    <cfRule type="containsText" dxfId="4729" priority="480" stopIfTrue="1" operator="containsText" text="داخلية">
      <formula>NOT(ISERROR(SEARCH("داخلية",H543)))</formula>
    </cfRule>
    <cfRule type="containsText" dxfId="4728" priority="481" stopIfTrue="1" operator="containsText" text="ن داخلية">
      <formula>NOT(ISERROR(SEARCH("ن داخلية",H543)))</formula>
    </cfRule>
    <cfRule type="containsText" dxfId="4727" priority="482" stopIfTrue="1" operator="containsText" text="داخلية">
      <formula>NOT(ISERROR(SEARCH("داخلية",H543)))</formula>
    </cfRule>
    <cfRule type="cellIs" dxfId="4726" priority="483" stopIfTrue="1" operator="equal">
      <formula>"ن داخلي"</formula>
    </cfRule>
    <cfRule type="cellIs" dxfId="4725" priority="484" stopIfTrue="1" operator="equal">
      <formula>"ن داخلية"</formula>
    </cfRule>
    <cfRule type="cellIs" dxfId="4724" priority="485" stopIfTrue="1" operator="equal">
      <formula>#REF!</formula>
    </cfRule>
    <cfRule type="cellIs" dxfId="4723" priority="486" stopIfTrue="1" operator="equal">
      <formula>#REF!</formula>
    </cfRule>
    <cfRule type="cellIs" dxfId="4722" priority="487" stopIfTrue="1" operator="equal">
      <formula>#REF!</formula>
    </cfRule>
    <cfRule type="cellIs" dxfId="4721" priority="488" stopIfTrue="1" operator="equal">
      <formula>#REF!</formula>
    </cfRule>
    <cfRule type="cellIs" dxfId="4720" priority="489" stopIfTrue="1" operator="equal">
      <formula>"داخلية"</formula>
    </cfRule>
  </conditionalFormatting>
  <conditionalFormatting sqref="H544">
    <cfRule type="containsText" dxfId="4719" priority="466" stopIfTrue="1" operator="containsText" text="خارجية">
      <formula>NOT(ISERROR(SEARCH("خارجية",H544)))</formula>
    </cfRule>
    <cfRule type="containsText" dxfId="4718" priority="467" stopIfTrue="1" operator="containsText" text="ن داخلية">
      <formula>NOT(ISERROR(SEARCH("ن داخلية",H544)))</formula>
    </cfRule>
    <cfRule type="containsText" dxfId="4717" priority="468" stopIfTrue="1" operator="containsText" text="داخلية">
      <formula>NOT(ISERROR(SEARCH("داخلية",H544)))</formula>
    </cfRule>
    <cfRule type="containsText" dxfId="4716" priority="469" stopIfTrue="1" operator="containsText" text="ن داخلية">
      <formula>NOT(ISERROR(SEARCH("ن داخلية",H544)))</formula>
    </cfRule>
    <cfRule type="containsText" dxfId="4715" priority="470" stopIfTrue="1" operator="containsText" text="داخلية">
      <formula>NOT(ISERROR(SEARCH("داخلية",H544)))</formula>
    </cfRule>
    <cfRule type="cellIs" dxfId="4714" priority="471" stopIfTrue="1" operator="equal">
      <formula>"ن داخلي"</formula>
    </cfRule>
    <cfRule type="cellIs" dxfId="4713" priority="472" stopIfTrue="1" operator="equal">
      <formula>"ن داخلية"</formula>
    </cfRule>
    <cfRule type="cellIs" dxfId="4712" priority="473" stopIfTrue="1" operator="equal">
      <formula>#REF!</formula>
    </cfRule>
    <cfRule type="cellIs" dxfId="4711" priority="474" stopIfTrue="1" operator="equal">
      <formula>#REF!</formula>
    </cfRule>
    <cfRule type="cellIs" dxfId="4710" priority="475" stopIfTrue="1" operator="equal">
      <formula>#REF!</formula>
    </cfRule>
    <cfRule type="cellIs" dxfId="4709" priority="476" stopIfTrue="1" operator="equal">
      <formula>#REF!</formula>
    </cfRule>
    <cfRule type="cellIs" dxfId="4708" priority="477" stopIfTrue="1" operator="equal">
      <formula>"داخلية"</formula>
    </cfRule>
  </conditionalFormatting>
  <conditionalFormatting sqref="H545:H546">
    <cfRule type="containsText" dxfId="4707" priority="454" stopIfTrue="1" operator="containsText" text="خارجية">
      <formula>NOT(ISERROR(SEARCH("خارجية",H545)))</formula>
    </cfRule>
    <cfRule type="containsText" dxfId="4706" priority="455" stopIfTrue="1" operator="containsText" text="ن داخلية">
      <formula>NOT(ISERROR(SEARCH("ن داخلية",H545)))</formula>
    </cfRule>
    <cfRule type="containsText" dxfId="4705" priority="456" stopIfTrue="1" operator="containsText" text="داخلية">
      <formula>NOT(ISERROR(SEARCH("داخلية",H545)))</formula>
    </cfRule>
    <cfRule type="containsText" dxfId="4704" priority="457" stopIfTrue="1" operator="containsText" text="ن داخلية">
      <formula>NOT(ISERROR(SEARCH("ن داخلية",H545)))</formula>
    </cfRule>
    <cfRule type="containsText" dxfId="4703" priority="458" stopIfTrue="1" operator="containsText" text="داخلية">
      <formula>NOT(ISERROR(SEARCH("داخلية",H545)))</formula>
    </cfRule>
    <cfRule type="cellIs" dxfId="4702" priority="459" stopIfTrue="1" operator="equal">
      <formula>"ن داخلي"</formula>
    </cfRule>
    <cfRule type="cellIs" dxfId="4701" priority="460" stopIfTrue="1" operator="equal">
      <formula>"ن داخلية"</formula>
    </cfRule>
    <cfRule type="cellIs" dxfId="4700" priority="461" stopIfTrue="1" operator="equal">
      <formula>#REF!</formula>
    </cfRule>
    <cfRule type="cellIs" dxfId="4699" priority="462" stopIfTrue="1" operator="equal">
      <formula>#REF!</formula>
    </cfRule>
    <cfRule type="cellIs" dxfId="4698" priority="463" stopIfTrue="1" operator="equal">
      <formula>#REF!</formula>
    </cfRule>
    <cfRule type="cellIs" dxfId="4697" priority="464" stopIfTrue="1" operator="equal">
      <formula>#REF!</formula>
    </cfRule>
    <cfRule type="cellIs" dxfId="4696" priority="465" stopIfTrue="1" operator="equal">
      <formula>"داخلية"</formula>
    </cfRule>
  </conditionalFormatting>
  <conditionalFormatting sqref="H545:H546">
    <cfRule type="containsText" dxfId="4695" priority="442" stopIfTrue="1" operator="containsText" text="خارجية">
      <formula>NOT(ISERROR(SEARCH("خارجية",H545)))</formula>
    </cfRule>
    <cfRule type="containsText" dxfId="4694" priority="443" stopIfTrue="1" operator="containsText" text="ن داخلية">
      <formula>NOT(ISERROR(SEARCH("ن داخلية",H545)))</formula>
    </cfRule>
    <cfRule type="containsText" dxfId="4693" priority="444" stopIfTrue="1" operator="containsText" text="داخلية">
      <formula>NOT(ISERROR(SEARCH("داخلية",H545)))</formula>
    </cfRule>
    <cfRule type="containsText" dxfId="4692" priority="445" stopIfTrue="1" operator="containsText" text="ن داخلية">
      <formula>NOT(ISERROR(SEARCH("ن داخلية",H545)))</formula>
    </cfRule>
    <cfRule type="containsText" dxfId="4691" priority="446" stopIfTrue="1" operator="containsText" text="داخلية">
      <formula>NOT(ISERROR(SEARCH("داخلية",H545)))</formula>
    </cfRule>
    <cfRule type="cellIs" dxfId="4690" priority="447" stopIfTrue="1" operator="equal">
      <formula>"ن داخلي"</formula>
    </cfRule>
    <cfRule type="cellIs" dxfId="4689" priority="448" stopIfTrue="1" operator="equal">
      <formula>"ن داخلية"</formula>
    </cfRule>
    <cfRule type="cellIs" dxfId="4688" priority="449" stopIfTrue="1" operator="equal">
      <formula>#REF!</formula>
    </cfRule>
    <cfRule type="cellIs" dxfId="4687" priority="450" stopIfTrue="1" operator="equal">
      <formula>#REF!</formula>
    </cfRule>
    <cfRule type="cellIs" dxfId="4686" priority="451" stopIfTrue="1" operator="equal">
      <formula>#REF!</formula>
    </cfRule>
    <cfRule type="cellIs" dxfId="4685" priority="452" stopIfTrue="1" operator="equal">
      <formula>#REF!</formula>
    </cfRule>
    <cfRule type="cellIs" dxfId="4684" priority="453" stopIfTrue="1" operator="equal">
      <formula>"داخلية"</formula>
    </cfRule>
  </conditionalFormatting>
  <conditionalFormatting sqref="H547:H548">
    <cfRule type="containsText" dxfId="4683" priority="430" stopIfTrue="1" operator="containsText" text="خارجية">
      <formula>NOT(ISERROR(SEARCH("خارجية",H547)))</formula>
    </cfRule>
    <cfRule type="containsText" dxfId="4682" priority="431" stopIfTrue="1" operator="containsText" text="ن داخلية">
      <formula>NOT(ISERROR(SEARCH("ن داخلية",H547)))</formula>
    </cfRule>
    <cfRule type="containsText" dxfId="4681" priority="432" stopIfTrue="1" operator="containsText" text="داخلية">
      <formula>NOT(ISERROR(SEARCH("داخلية",H547)))</formula>
    </cfRule>
    <cfRule type="containsText" dxfId="4680" priority="433" stopIfTrue="1" operator="containsText" text="ن داخلية">
      <formula>NOT(ISERROR(SEARCH("ن داخلية",H547)))</formula>
    </cfRule>
    <cfRule type="containsText" dxfId="4679" priority="434" stopIfTrue="1" operator="containsText" text="داخلية">
      <formula>NOT(ISERROR(SEARCH("داخلية",H547)))</formula>
    </cfRule>
    <cfRule type="cellIs" dxfId="4678" priority="435" stopIfTrue="1" operator="equal">
      <formula>"ن داخلي"</formula>
    </cfRule>
    <cfRule type="cellIs" dxfId="4677" priority="436" stopIfTrue="1" operator="equal">
      <formula>"ن داخلية"</formula>
    </cfRule>
    <cfRule type="cellIs" dxfId="4676" priority="437" stopIfTrue="1" operator="equal">
      <formula>#REF!</formula>
    </cfRule>
    <cfRule type="cellIs" dxfId="4675" priority="438" stopIfTrue="1" operator="equal">
      <formula>#REF!</formula>
    </cfRule>
    <cfRule type="cellIs" dxfId="4674" priority="439" stopIfTrue="1" operator="equal">
      <formula>#REF!</formula>
    </cfRule>
    <cfRule type="cellIs" dxfId="4673" priority="440" stopIfTrue="1" operator="equal">
      <formula>#REF!</formula>
    </cfRule>
    <cfRule type="cellIs" dxfId="4672" priority="441" stopIfTrue="1" operator="equal">
      <formula>"داخلية"</formula>
    </cfRule>
  </conditionalFormatting>
  <conditionalFormatting sqref="H79">
    <cfRule type="containsText" dxfId="4671" priority="418" stopIfTrue="1" operator="containsText" text="خارجية">
      <formula>NOT(ISERROR(SEARCH("خارجية",H79)))</formula>
    </cfRule>
    <cfRule type="containsText" dxfId="4670" priority="419" stopIfTrue="1" operator="containsText" text="ن داخلية">
      <formula>NOT(ISERROR(SEARCH("ن داخلية",H79)))</formula>
    </cfRule>
    <cfRule type="containsText" dxfId="4669" priority="420" stopIfTrue="1" operator="containsText" text="داخلية">
      <formula>NOT(ISERROR(SEARCH("داخلية",H79)))</formula>
    </cfRule>
    <cfRule type="containsText" dxfId="4668" priority="421" stopIfTrue="1" operator="containsText" text="ن داخلية">
      <formula>NOT(ISERROR(SEARCH("ن داخلية",H79)))</formula>
    </cfRule>
    <cfRule type="containsText" dxfId="4667" priority="422" stopIfTrue="1" operator="containsText" text="داخلية">
      <formula>NOT(ISERROR(SEARCH("داخلية",H79)))</formula>
    </cfRule>
    <cfRule type="cellIs" dxfId="4666" priority="423" stopIfTrue="1" operator="equal">
      <formula>"ن داخلي"</formula>
    </cfRule>
    <cfRule type="cellIs" dxfId="4665" priority="424" stopIfTrue="1" operator="equal">
      <formula>"ن داخلية"</formula>
    </cfRule>
    <cfRule type="cellIs" dxfId="4664" priority="425" stopIfTrue="1" operator="equal">
      <formula>#REF!</formula>
    </cfRule>
    <cfRule type="cellIs" dxfId="4663" priority="426" stopIfTrue="1" operator="equal">
      <formula>#REF!</formula>
    </cfRule>
    <cfRule type="cellIs" dxfId="4662" priority="427" stopIfTrue="1" operator="equal">
      <formula>#REF!</formula>
    </cfRule>
    <cfRule type="cellIs" dxfId="4661" priority="428" stopIfTrue="1" operator="equal">
      <formula>#REF!</formula>
    </cfRule>
    <cfRule type="cellIs" dxfId="4660" priority="429" stopIfTrue="1" operator="equal">
      <formula>"داخلية"</formula>
    </cfRule>
  </conditionalFormatting>
  <conditionalFormatting sqref="H79">
    <cfRule type="cellIs" dxfId="4659" priority="417" stopIfTrue="1" operator="greaterThan">
      <formula>"9.999"</formula>
    </cfRule>
  </conditionalFormatting>
  <conditionalFormatting sqref="H79">
    <cfRule type="expression" dxfId="4658" priority="416" stopIfTrue="1">
      <formula>#REF!=""</formula>
    </cfRule>
  </conditionalFormatting>
  <conditionalFormatting sqref="H79">
    <cfRule type="expression" dxfId="4657" priority="415" stopIfTrue="1">
      <formula>#REF!=""</formula>
    </cfRule>
  </conditionalFormatting>
  <conditionalFormatting sqref="H490">
    <cfRule type="containsText" dxfId="4656" priority="403" stopIfTrue="1" operator="containsText" text="خارجية">
      <formula>NOT(ISERROR(SEARCH("خارجية",H490)))</formula>
    </cfRule>
    <cfRule type="containsText" dxfId="4655" priority="404" stopIfTrue="1" operator="containsText" text="ن داخلية">
      <formula>NOT(ISERROR(SEARCH("ن داخلية",H490)))</formula>
    </cfRule>
    <cfRule type="containsText" dxfId="4654" priority="405" stopIfTrue="1" operator="containsText" text="داخلية">
      <formula>NOT(ISERROR(SEARCH("داخلية",H490)))</formula>
    </cfRule>
    <cfRule type="containsText" dxfId="4653" priority="406" stopIfTrue="1" operator="containsText" text="ن داخلية">
      <formula>NOT(ISERROR(SEARCH("ن داخلية",H490)))</formula>
    </cfRule>
    <cfRule type="containsText" dxfId="4652" priority="407" stopIfTrue="1" operator="containsText" text="داخلية">
      <formula>NOT(ISERROR(SEARCH("داخلية",H490)))</formula>
    </cfRule>
    <cfRule type="cellIs" dxfId="4651" priority="408" stopIfTrue="1" operator="equal">
      <formula>"ن داخلي"</formula>
    </cfRule>
    <cfRule type="cellIs" dxfId="4650" priority="409" stopIfTrue="1" operator="equal">
      <formula>"ن داخلية"</formula>
    </cfRule>
    <cfRule type="cellIs" dxfId="4649" priority="410" stopIfTrue="1" operator="equal">
      <formula>#REF!</formula>
    </cfRule>
    <cfRule type="cellIs" dxfId="4648" priority="411" stopIfTrue="1" operator="equal">
      <formula>#REF!</formula>
    </cfRule>
    <cfRule type="cellIs" dxfId="4647" priority="412" stopIfTrue="1" operator="equal">
      <formula>#REF!</formula>
    </cfRule>
    <cfRule type="cellIs" dxfId="4646" priority="413" stopIfTrue="1" operator="equal">
      <formula>#REF!</formula>
    </cfRule>
    <cfRule type="cellIs" dxfId="4645" priority="414" stopIfTrue="1" operator="equal">
      <formula>"داخلية"</formula>
    </cfRule>
  </conditionalFormatting>
  <conditionalFormatting sqref="H490">
    <cfRule type="containsText" dxfId="4644" priority="391" stopIfTrue="1" operator="containsText" text="خارجية">
      <formula>NOT(ISERROR(SEARCH("خارجية",H490)))</formula>
    </cfRule>
    <cfRule type="containsText" dxfId="4643" priority="392" stopIfTrue="1" operator="containsText" text="ن داخلية">
      <formula>NOT(ISERROR(SEARCH("ن داخلية",H490)))</formula>
    </cfRule>
    <cfRule type="containsText" dxfId="4642" priority="393" stopIfTrue="1" operator="containsText" text="داخلية">
      <formula>NOT(ISERROR(SEARCH("داخلية",H490)))</formula>
    </cfRule>
    <cfRule type="containsText" dxfId="4641" priority="394" stopIfTrue="1" operator="containsText" text="ن داخلية">
      <formula>NOT(ISERROR(SEARCH("ن داخلية",H490)))</formula>
    </cfRule>
    <cfRule type="containsText" dxfId="4640" priority="395" stopIfTrue="1" operator="containsText" text="داخلية">
      <formula>NOT(ISERROR(SEARCH("داخلية",H490)))</formula>
    </cfRule>
    <cfRule type="cellIs" dxfId="4639" priority="396" stopIfTrue="1" operator="equal">
      <formula>"ن داخلي"</formula>
    </cfRule>
    <cfRule type="cellIs" dxfId="4638" priority="397" stopIfTrue="1" operator="equal">
      <formula>"ن داخلية"</formula>
    </cfRule>
    <cfRule type="cellIs" dxfId="4637" priority="398" stopIfTrue="1" operator="equal">
      <formula>#REF!</formula>
    </cfRule>
    <cfRule type="cellIs" dxfId="4636" priority="399" stopIfTrue="1" operator="equal">
      <formula>#REF!</formula>
    </cfRule>
    <cfRule type="cellIs" dxfId="4635" priority="400" stopIfTrue="1" operator="equal">
      <formula>#REF!</formula>
    </cfRule>
    <cfRule type="cellIs" dxfId="4634" priority="401" stopIfTrue="1" operator="equal">
      <formula>#REF!</formula>
    </cfRule>
    <cfRule type="cellIs" dxfId="4633" priority="402" stopIfTrue="1" operator="equal">
      <formula>"داخلية"</formula>
    </cfRule>
  </conditionalFormatting>
  <conditionalFormatting sqref="H495">
    <cfRule type="containsText" dxfId="4632" priority="379" stopIfTrue="1" operator="containsText" text="خارجية">
      <formula>NOT(ISERROR(SEARCH("خارجية",H495)))</formula>
    </cfRule>
    <cfRule type="containsText" dxfId="4631" priority="380" stopIfTrue="1" operator="containsText" text="ن داخلية">
      <formula>NOT(ISERROR(SEARCH("ن داخلية",H495)))</formula>
    </cfRule>
    <cfRule type="containsText" dxfId="4630" priority="381" stopIfTrue="1" operator="containsText" text="داخلية">
      <formula>NOT(ISERROR(SEARCH("داخلية",H495)))</formula>
    </cfRule>
    <cfRule type="containsText" dxfId="4629" priority="382" stopIfTrue="1" operator="containsText" text="ن داخلية">
      <formula>NOT(ISERROR(SEARCH("ن داخلية",H495)))</formula>
    </cfRule>
    <cfRule type="containsText" dxfId="4628" priority="383" stopIfTrue="1" operator="containsText" text="داخلية">
      <formula>NOT(ISERROR(SEARCH("داخلية",H495)))</formula>
    </cfRule>
    <cfRule type="cellIs" dxfId="4627" priority="384" stopIfTrue="1" operator="equal">
      <formula>"ن داخلي"</formula>
    </cfRule>
    <cfRule type="cellIs" dxfId="4626" priority="385" stopIfTrue="1" operator="equal">
      <formula>"ن داخلية"</formula>
    </cfRule>
    <cfRule type="cellIs" dxfId="4625" priority="386" stopIfTrue="1" operator="equal">
      <formula>#REF!</formula>
    </cfRule>
    <cfRule type="cellIs" dxfId="4624" priority="387" stopIfTrue="1" operator="equal">
      <formula>#REF!</formula>
    </cfRule>
    <cfRule type="cellIs" dxfId="4623" priority="388" stopIfTrue="1" operator="equal">
      <formula>#REF!</formula>
    </cfRule>
    <cfRule type="cellIs" dxfId="4622" priority="389" stopIfTrue="1" operator="equal">
      <formula>#REF!</formula>
    </cfRule>
    <cfRule type="cellIs" dxfId="4621" priority="390" stopIfTrue="1" operator="equal">
      <formula>"داخلية"</formula>
    </cfRule>
  </conditionalFormatting>
  <conditionalFormatting sqref="H495">
    <cfRule type="containsText" dxfId="4620" priority="367" stopIfTrue="1" operator="containsText" text="خارجية">
      <formula>NOT(ISERROR(SEARCH("خارجية",H495)))</formula>
    </cfRule>
    <cfRule type="containsText" dxfId="4619" priority="368" stopIfTrue="1" operator="containsText" text="ن داخلية">
      <formula>NOT(ISERROR(SEARCH("ن داخلية",H495)))</formula>
    </cfRule>
    <cfRule type="containsText" dxfId="4618" priority="369" stopIfTrue="1" operator="containsText" text="داخلية">
      <formula>NOT(ISERROR(SEARCH("داخلية",H495)))</formula>
    </cfRule>
    <cfRule type="containsText" dxfId="4617" priority="370" stopIfTrue="1" operator="containsText" text="ن داخلية">
      <formula>NOT(ISERROR(SEARCH("ن داخلية",H495)))</formula>
    </cfRule>
    <cfRule type="containsText" dxfId="4616" priority="371" stopIfTrue="1" operator="containsText" text="داخلية">
      <formula>NOT(ISERROR(SEARCH("داخلية",H495)))</formula>
    </cfRule>
    <cfRule type="cellIs" dxfId="4615" priority="372" stopIfTrue="1" operator="equal">
      <formula>"ن داخلي"</formula>
    </cfRule>
    <cfRule type="cellIs" dxfId="4614" priority="373" stopIfTrue="1" operator="equal">
      <formula>"ن داخلية"</formula>
    </cfRule>
    <cfRule type="cellIs" dxfId="4613" priority="374" stopIfTrue="1" operator="equal">
      <formula>#REF!</formula>
    </cfRule>
    <cfRule type="cellIs" dxfId="4612" priority="375" stopIfTrue="1" operator="equal">
      <formula>#REF!</formula>
    </cfRule>
    <cfRule type="cellIs" dxfId="4611" priority="376" stopIfTrue="1" operator="equal">
      <formula>#REF!</formula>
    </cfRule>
    <cfRule type="cellIs" dxfId="4610" priority="377" stopIfTrue="1" operator="equal">
      <formula>#REF!</formula>
    </cfRule>
    <cfRule type="cellIs" dxfId="4609" priority="378" stopIfTrue="1" operator="equal">
      <formula>"داخلية"</formula>
    </cfRule>
  </conditionalFormatting>
  <conditionalFormatting sqref="H496:H497">
    <cfRule type="containsText" dxfId="4608" priority="365" stopIfTrue="1" operator="containsText" text="خارجية">
      <formula>NOT(ISERROR(SEARCH("خارجية",H496)))</formula>
    </cfRule>
    <cfRule type="containsText" dxfId="4607" priority="366" stopIfTrue="1" operator="containsText" text="خارجي">
      <formula>NOT(ISERROR(SEARCH("خارجي",H496)))</formula>
    </cfRule>
  </conditionalFormatting>
  <conditionalFormatting sqref="H519">
    <cfRule type="containsText" dxfId="4606" priority="353" stopIfTrue="1" operator="containsText" text="خارجية">
      <formula>NOT(ISERROR(SEARCH("خارجية",H519)))</formula>
    </cfRule>
    <cfRule type="containsText" dxfId="4605" priority="354" stopIfTrue="1" operator="containsText" text="ن داخلية">
      <formula>NOT(ISERROR(SEARCH("ن داخلية",H519)))</formula>
    </cfRule>
    <cfRule type="containsText" dxfId="4604" priority="355" stopIfTrue="1" operator="containsText" text="داخلية">
      <formula>NOT(ISERROR(SEARCH("داخلية",H519)))</formula>
    </cfRule>
    <cfRule type="containsText" dxfId="4603" priority="356" stopIfTrue="1" operator="containsText" text="ن داخلية">
      <formula>NOT(ISERROR(SEARCH("ن داخلية",H519)))</formula>
    </cfRule>
    <cfRule type="containsText" dxfId="4602" priority="357" stopIfTrue="1" operator="containsText" text="داخلية">
      <formula>NOT(ISERROR(SEARCH("داخلية",H519)))</formula>
    </cfRule>
    <cfRule type="cellIs" dxfId="4601" priority="358" stopIfTrue="1" operator="equal">
      <formula>"ن داخلي"</formula>
    </cfRule>
    <cfRule type="cellIs" dxfId="4600" priority="359" stopIfTrue="1" operator="equal">
      <formula>"ن داخلية"</formula>
    </cfRule>
    <cfRule type="cellIs" dxfId="4599" priority="360" stopIfTrue="1" operator="equal">
      <formula>#REF!</formula>
    </cfRule>
    <cfRule type="cellIs" dxfId="4598" priority="361" stopIfTrue="1" operator="equal">
      <formula>#REF!</formula>
    </cfRule>
    <cfRule type="cellIs" dxfId="4597" priority="362" stopIfTrue="1" operator="equal">
      <formula>#REF!</formula>
    </cfRule>
    <cfRule type="cellIs" dxfId="4596" priority="363" stopIfTrue="1" operator="equal">
      <formula>#REF!</formula>
    </cfRule>
    <cfRule type="cellIs" dxfId="4595" priority="364" stopIfTrue="1" operator="equal">
      <formula>"داخلية"</formula>
    </cfRule>
  </conditionalFormatting>
  <conditionalFormatting sqref="H519">
    <cfRule type="expression" dxfId="4594" priority="352" stopIfTrue="1">
      <formula>#REF!=""</formula>
    </cfRule>
  </conditionalFormatting>
  <conditionalFormatting sqref="H546">
    <cfRule type="containsText" dxfId="4593" priority="340" stopIfTrue="1" operator="containsText" text="خارجية">
      <formula>NOT(ISERROR(SEARCH("خارجية",H546)))</formula>
    </cfRule>
    <cfRule type="containsText" dxfId="4592" priority="341" stopIfTrue="1" operator="containsText" text="ن داخلية">
      <formula>NOT(ISERROR(SEARCH("ن داخلية",H546)))</formula>
    </cfRule>
    <cfRule type="containsText" dxfId="4591" priority="342" stopIfTrue="1" operator="containsText" text="داخلية">
      <formula>NOT(ISERROR(SEARCH("داخلية",H546)))</formula>
    </cfRule>
    <cfRule type="containsText" dxfId="4590" priority="343" stopIfTrue="1" operator="containsText" text="ن داخلية">
      <formula>NOT(ISERROR(SEARCH("ن داخلية",H546)))</formula>
    </cfRule>
    <cfRule type="containsText" dxfId="4589" priority="344" stopIfTrue="1" operator="containsText" text="داخلية">
      <formula>NOT(ISERROR(SEARCH("داخلية",H546)))</formula>
    </cfRule>
    <cfRule type="cellIs" dxfId="4588" priority="345" stopIfTrue="1" operator="equal">
      <formula>"ن داخلي"</formula>
    </cfRule>
    <cfRule type="cellIs" dxfId="4587" priority="346" stopIfTrue="1" operator="equal">
      <formula>"ن داخلية"</formula>
    </cfRule>
    <cfRule type="cellIs" dxfId="4586" priority="347" stopIfTrue="1" operator="equal">
      <formula>#REF!</formula>
    </cfRule>
    <cfRule type="cellIs" dxfId="4585" priority="348" stopIfTrue="1" operator="equal">
      <formula>#REF!</formula>
    </cfRule>
    <cfRule type="cellIs" dxfId="4584" priority="349" stopIfTrue="1" operator="equal">
      <formula>#REF!</formula>
    </cfRule>
    <cfRule type="cellIs" dxfId="4583" priority="350" stopIfTrue="1" operator="equal">
      <formula>#REF!</formula>
    </cfRule>
    <cfRule type="cellIs" dxfId="4582" priority="351" stopIfTrue="1" operator="equal">
      <formula>"داخلية"</formula>
    </cfRule>
  </conditionalFormatting>
  <conditionalFormatting sqref="H546">
    <cfRule type="containsText" dxfId="4581" priority="328" stopIfTrue="1" operator="containsText" text="خارجية">
      <formula>NOT(ISERROR(SEARCH("خارجية",H546)))</formula>
    </cfRule>
    <cfRule type="containsText" dxfId="4580" priority="329" stopIfTrue="1" operator="containsText" text="ن داخلية">
      <formula>NOT(ISERROR(SEARCH("ن داخلية",H546)))</formula>
    </cfRule>
    <cfRule type="containsText" dxfId="4579" priority="330" stopIfTrue="1" operator="containsText" text="داخلية">
      <formula>NOT(ISERROR(SEARCH("داخلية",H546)))</formula>
    </cfRule>
    <cfRule type="containsText" dxfId="4578" priority="331" stopIfTrue="1" operator="containsText" text="ن داخلية">
      <formula>NOT(ISERROR(SEARCH("ن داخلية",H546)))</formula>
    </cfRule>
    <cfRule type="containsText" dxfId="4577" priority="332" stopIfTrue="1" operator="containsText" text="داخلية">
      <formula>NOT(ISERROR(SEARCH("داخلية",H546)))</formula>
    </cfRule>
    <cfRule type="cellIs" dxfId="4576" priority="333" stopIfTrue="1" operator="equal">
      <formula>"ن داخلي"</formula>
    </cfRule>
    <cfRule type="cellIs" dxfId="4575" priority="334" stopIfTrue="1" operator="equal">
      <formula>"ن داخلية"</formula>
    </cfRule>
    <cfRule type="cellIs" dxfId="4574" priority="335" stopIfTrue="1" operator="equal">
      <formula>#REF!</formula>
    </cfRule>
    <cfRule type="cellIs" dxfId="4573" priority="336" stopIfTrue="1" operator="equal">
      <formula>#REF!</formula>
    </cfRule>
    <cfRule type="cellIs" dxfId="4572" priority="337" stopIfTrue="1" operator="equal">
      <formula>#REF!</formula>
    </cfRule>
    <cfRule type="cellIs" dxfId="4571" priority="338" stopIfTrue="1" operator="equal">
      <formula>#REF!</formula>
    </cfRule>
    <cfRule type="cellIs" dxfId="4570" priority="339" stopIfTrue="1" operator="equal">
      <formula>"داخلية"</formula>
    </cfRule>
  </conditionalFormatting>
  <conditionalFormatting sqref="H546">
    <cfRule type="containsText" dxfId="4569" priority="316" stopIfTrue="1" operator="containsText" text="خارجية">
      <formula>NOT(ISERROR(SEARCH("خارجية",H546)))</formula>
    </cfRule>
    <cfRule type="containsText" dxfId="4568" priority="317" stopIfTrue="1" operator="containsText" text="ن داخلية">
      <formula>NOT(ISERROR(SEARCH("ن داخلية",H546)))</formula>
    </cfRule>
    <cfRule type="containsText" dxfId="4567" priority="318" stopIfTrue="1" operator="containsText" text="داخلية">
      <formula>NOT(ISERROR(SEARCH("داخلية",H546)))</formula>
    </cfRule>
    <cfRule type="containsText" dxfId="4566" priority="319" stopIfTrue="1" operator="containsText" text="ن داخلية">
      <formula>NOT(ISERROR(SEARCH("ن داخلية",H546)))</formula>
    </cfRule>
    <cfRule type="containsText" dxfId="4565" priority="320" stopIfTrue="1" operator="containsText" text="داخلية">
      <formula>NOT(ISERROR(SEARCH("داخلية",H546)))</formula>
    </cfRule>
    <cfRule type="cellIs" dxfId="4564" priority="321" stopIfTrue="1" operator="equal">
      <formula>"ن داخلي"</formula>
    </cfRule>
    <cfRule type="cellIs" dxfId="4563" priority="322" stopIfTrue="1" operator="equal">
      <formula>"ن داخلية"</formula>
    </cfRule>
    <cfRule type="cellIs" dxfId="4562" priority="323" stopIfTrue="1" operator="equal">
      <formula>#REF!</formula>
    </cfRule>
    <cfRule type="cellIs" dxfId="4561" priority="324" stopIfTrue="1" operator="equal">
      <formula>#REF!</formula>
    </cfRule>
    <cfRule type="cellIs" dxfId="4560" priority="325" stopIfTrue="1" operator="equal">
      <formula>#REF!</formula>
    </cfRule>
    <cfRule type="cellIs" dxfId="4559" priority="326" stopIfTrue="1" operator="equal">
      <formula>#REF!</formula>
    </cfRule>
    <cfRule type="cellIs" dxfId="4558" priority="327" stopIfTrue="1" operator="equal">
      <formula>"داخلية"</formula>
    </cfRule>
  </conditionalFormatting>
  <conditionalFormatting sqref="H515">
    <cfRule type="containsText" dxfId="4557" priority="304" stopIfTrue="1" operator="containsText" text="خارجية">
      <formula>NOT(ISERROR(SEARCH("خارجية",H515)))</formula>
    </cfRule>
    <cfRule type="containsText" dxfId="4556" priority="305" stopIfTrue="1" operator="containsText" text="ن داخلية">
      <formula>NOT(ISERROR(SEARCH("ن داخلية",H515)))</formula>
    </cfRule>
    <cfRule type="containsText" dxfId="4555" priority="306" stopIfTrue="1" operator="containsText" text="داخلية">
      <formula>NOT(ISERROR(SEARCH("داخلية",H515)))</formula>
    </cfRule>
    <cfRule type="containsText" dxfId="4554" priority="307" stopIfTrue="1" operator="containsText" text="ن داخلية">
      <formula>NOT(ISERROR(SEARCH("ن داخلية",H515)))</formula>
    </cfRule>
    <cfRule type="containsText" dxfId="4553" priority="308" stopIfTrue="1" operator="containsText" text="داخلية">
      <formula>NOT(ISERROR(SEARCH("داخلية",H515)))</formula>
    </cfRule>
    <cfRule type="cellIs" dxfId="4552" priority="309" stopIfTrue="1" operator="equal">
      <formula>"ن داخلي"</formula>
    </cfRule>
    <cfRule type="cellIs" dxfId="4551" priority="310" stopIfTrue="1" operator="equal">
      <formula>"ن داخلية"</formula>
    </cfRule>
    <cfRule type="cellIs" dxfId="4550" priority="311" stopIfTrue="1" operator="equal">
      <formula>#REF!</formula>
    </cfRule>
    <cfRule type="cellIs" dxfId="4549" priority="312" stopIfTrue="1" operator="equal">
      <formula>#REF!</formula>
    </cfRule>
    <cfRule type="cellIs" dxfId="4548" priority="313" stopIfTrue="1" operator="equal">
      <formula>#REF!</formula>
    </cfRule>
    <cfRule type="cellIs" dxfId="4547" priority="314" stopIfTrue="1" operator="equal">
      <formula>#REF!</formula>
    </cfRule>
    <cfRule type="cellIs" dxfId="4546" priority="315" stopIfTrue="1" operator="equal">
      <formula>"داخلية"</formula>
    </cfRule>
  </conditionalFormatting>
  <conditionalFormatting sqref="H515">
    <cfRule type="containsText" dxfId="4545" priority="292" stopIfTrue="1" operator="containsText" text="خارجية">
      <formula>NOT(ISERROR(SEARCH("خارجية",H515)))</formula>
    </cfRule>
    <cfRule type="containsText" dxfId="4544" priority="293" stopIfTrue="1" operator="containsText" text="ن داخلية">
      <formula>NOT(ISERROR(SEARCH("ن داخلية",H515)))</formula>
    </cfRule>
    <cfRule type="containsText" dxfId="4543" priority="294" stopIfTrue="1" operator="containsText" text="داخلية">
      <formula>NOT(ISERROR(SEARCH("داخلية",H515)))</formula>
    </cfRule>
    <cfRule type="containsText" dxfId="4542" priority="295" stopIfTrue="1" operator="containsText" text="ن داخلية">
      <formula>NOT(ISERROR(SEARCH("ن داخلية",H515)))</formula>
    </cfRule>
    <cfRule type="containsText" dxfId="4541" priority="296" stopIfTrue="1" operator="containsText" text="داخلية">
      <formula>NOT(ISERROR(SEARCH("داخلية",H515)))</formula>
    </cfRule>
    <cfRule type="cellIs" dxfId="4540" priority="297" stopIfTrue="1" operator="equal">
      <formula>"ن داخلي"</formula>
    </cfRule>
    <cfRule type="cellIs" dxfId="4539" priority="298" stopIfTrue="1" operator="equal">
      <formula>"ن داخلية"</formula>
    </cfRule>
    <cfRule type="cellIs" dxfId="4538" priority="299" stopIfTrue="1" operator="equal">
      <formula>#REF!</formula>
    </cfRule>
    <cfRule type="cellIs" dxfId="4537" priority="300" stopIfTrue="1" operator="equal">
      <formula>#REF!</formula>
    </cfRule>
    <cfRule type="cellIs" dxfId="4536" priority="301" stopIfTrue="1" operator="equal">
      <formula>#REF!</formula>
    </cfRule>
    <cfRule type="cellIs" dxfId="4535" priority="302" stopIfTrue="1" operator="equal">
      <formula>#REF!</formula>
    </cfRule>
    <cfRule type="cellIs" dxfId="4534" priority="303" stopIfTrue="1" operator="equal">
      <formula>"داخلية"</formula>
    </cfRule>
  </conditionalFormatting>
  <conditionalFormatting sqref="H125">
    <cfRule type="expression" dxfId="4533" priority="291" stopIfTrue="1">
      <formula>#REF!=""</formula>
    </cfRule>
  </conditionalFormatting>
  <conditionalFormatting sqref="H132:H133">
    <cfRule type="containsText" dxfId="4532" priority="279" stopIfTrue="1" operator="containsText" text="خارجية">
      <formula>NOT(ISERROR(SEARCH("خارجية",H132)))</formula>
    </cfRule>
    <cfRule type="containsText" dxfId="4531" priority="280" stopIfTrue="1" operator="containsText" text="ن داخلية">
      <formula>NOT(ISERROR(SEARCH("ن داخلية",H132)))</formula>
    </cfRule>
    <cfRule type="containsText" dxfId="4530" priority="281" stopIfTrue="1" operator="containsText" text="داخلية">
      <formula>NOT(ISERROR(SEARCH("داخلية",H132)))</formula>
    </cfRule>
    <cfRule type="containsText" dxfId="4529" priority="282" stopIfTrue="1" operator="containsText" text="ن داخلية">
      <formula>NOT(ISERROR(SEARCH("ن داخلية",H132)))</formula>
    </cfRule>
    <cfRule type="containsText" dxfId="4528" priority="283" stopIfTrue="1" operator="containsText" text="داخلية">
      <formula>NOT(ISERROR(SEARCH("داخلية",H132)))</formula>
    </cfRule>
    <cfRule type="cellIs" dxfId="4527" priority="284" stopIfTrue="1" operator="equal">
      <formula>"ن داخلي"</formula>
    </cfRule>
    <cfRule type="cellIs" dxfId="4526" priority="285" stopIfTrue="1" operator="equal">
      <formula>"ن داخلية"</formula>
    </cfRule>
    <cfRule type="cellIs" dxfId="4525" priority="286" stopIfTrue="1" operator="equal">
      <formula>#REF!</formula>
    </cfRule>
    <cfRule type="cellIs" dxfId="4524" priority="287" stopIfTrue="1" operator="equal">
      <formula>#REF!</formula>
    </cfRule>
    <cfRule type="cellIs" dxfId="4523" priority="288" stopIfTrue="1" operator="equal">
      <formula>#REF!</formula>
    </cfRule>
    <cfRule type="cellIs" dxfId="4522" priority="289" stopIfTrue="1" operator="equal">
      <formula>#REF!</formula>
    </cfRule>
    <cfRule type="cellIs" dxfId="4521" priority="290" stopIfTrue="1" operator="equal">
      <formula>"داخلية"</formula>
    </cfRule>
  </conditionalFormatting>
  <conditionalFormatting sqref="H130">
    <cfRule type="containsText" dxfId="4520" priority="267" stopIfTrue="1" operator="containsText" text="خارجية">
      <formula>NOT(ISERROR(SEARCH("خارجية",H130)))</formula>
    </cfRule>
    <cfRule type="containsText" dxfId="4519" priority="268" stopIfTrue="1" operator="containsText" text="ن داخلية">
      <formula>NOT(ISERROR(SEARCH("ن داخلية",H130)))</formula>
    </cfRule>
    <cfRule type="containsText" dxfId="4518" priority="269" stopIfTrue="1" operator="containsText" text="داخلية">
      <formula>NOT(ISERROR(SEARCH("داخلية",H130)))</formula>
    </cfRule>
    <cfRule type="containsText" dxfId="4517" priority="270" stopIfTrue="1" operator="containsText" text="ن داخلية">
      <formula>NOT(ISERROR(SEARCH("ن داخلية",H130)))</formula>
    </cfRule>
    <cfRule type="containsText" dxfId="4516" priority="271" stopIfTrue="1" operator="containsText" text="داخلية">
      <formula>NOT(ISERROR(SEARCH("داخلية",H130)))</formula>
    </cfRule>
    <cfRule type="cellIs" dxfId="4515" priority="272" stopIfTrue="1" operator="equal">
      <formula>"ن داخلي"</formula>
    </cfRule>
    <cfRule type="cellIs" dxfId="4514" priority="273" stopIfTrue="1" operator="equal">
      <formula>"ن داخلية"</formula>
    </cfRule>
    <cfRule type="cellIs" dxfId="4513" priority="274" stopIfTrue="1" operator="equal">
      <formula>#REF!</formula>
    </cfRule>
    <cfRule type="cellIs" dxfId="4512" priority="275" stopIfTrue="1" operator="equal">
      <formula>#REF!</formula>
    </cfRule>
    <cfRule type="cellIs" dxfId="4511" priority="276" stopIfTrue="1" operator="equal">
      <formula>#REF!</formula>
    </cfRule>
    <cfRule type="cellIs" dxfId="4510" priority="277" stopIfTrue="1" operator="equal">
      <formula>#REF!</formula>
    </cfRule>
    <cfRule type="cellIs" dxfId="4509" priority="278" stopIfTrue="1" operator="equal">
      <formula>"داخلية"</formula>
    </cfRule>
  </conditionalFormatting>
  <conditionalFormatting sqref="H161">
    <cfRule type="containsText" dxfId="4508" priority="265" stopIfTrue="1" operator="containsText" text="خارجية">
      <formula>NOT(ISERROR(SEARCH("خارجية",H161)))</formula>
    </cfRule>
    <cfRule type="containsText" dxfId="4507" priority="266" stopIfTrue="1" operator="containsText" text="خارجي">
      <formula>NOT(ISERROR(SEARCH("خارجي",H161)))</formula>
    </cfRule>
  </conditionalFormatting>
  <conditionalFormatting sqref="H161">
    <cfRule type="containsText" dxfId="4506" priority="253" stopIfTrue="1" operator="containsText" text="خارجية">
      <formula>NOT(ISERROR(SEARCH("خارجية",H161)))</formula>
    </cfRule>
    <cfRule type="containsText" dxfId="4505" priority="254" stopIfTrue="1" operator="containsText" text="ن داخلية">
      <formula>NOT(ISERROR(SEARCH("ن داخلية",H161)))</formula>
    </cfRule>
    <cfRule type="containsText" dxfId="4504" priority="255" stopIfTrue="1" operator="containsText" text="داخلية">
      <formula>NOT(ISERROR(SEARCH("داخلية",H161)))</formula>
    </cfRule>
    <cfRule type="containsText" dxfId="4503" priority="256" stopIfTrue="1" operator="containsText" text="ن داخلية">
      <formula>NOT(ISERROR(SEARCH("ن داخلية",H161)))</formula>
    </cfRule>
    <cfRule type="containsText" dxfId="4502" priority="257" stopIfTrue="1" operator="containsText" text="داخلية">
      <formula>NOT(ISERROR(SEARCH("داخلية",H161)))</formula>
    </cfRule>
    <cfRule type="cellIs" dxfId="4501" priority="258" stopIfTrue="1" operator="equal">
      <formula>"ن داخلي"</formula>
    </cfRule>
    <cfRule type="cellIs" dxfId="4500" priority="259" stopIfTrue="1" operator="equal">
      <formula>"ن داخلية"</formula>
    </cfRule>
    <cfRule type="cellIs" dxfId="4499" priority="260" stopIfTrue="1" operator="equal">
      <formula>#REF!</formula>
    </cfRule>
    <cfRule type="cellIs" dxfId="4498" priority="261" stopIfTrue="1" operator="equal">
      <formula>#REF!</formula>
    </cfRule>
    <cfRule type="cellIs" dxfId="4497" priority="262" stopIfTrue="1" operator="equal">
      <formula>#REF!</formula>
    </cfRule>
    <cfRule type="cellIs" dxfId="4496" priority="263" stopIfTrue="1" operator="equal">
      <formula>#REF!</formula>
    </cfRule>
    <cfRule type="cellIs" dxfId="4495" priority="264" stopIfTrue="1" operator="equal">
      <formula>"داخلية"</formula>
    </cfRule>
  </conditionalFormatting>
  <conditionalFormatting sqref="H161">
    <cfRule type="containsText" dxfId="4494" priority="241" stopIfTrue="1" operator="containsText" text="خارجية">
      <formula>NOT(ISERROR(SEARCH("خارجية",H161)))</formula>
    </cfRule>
    <cfRule type="containsText" dxfId="4493" priority="242" stopIfTrue="1" operator="containsText" text="ن داخلية">
      <formula>NOT(ISERROR(SEARCH("ن داخلية",H161)))</formula>
    </cfRule>
    <cfRule type="containsText" dxfId="4492" priority="243" stopIfTrue="1" operator="containsText" text="داخلية">
      <formula>NOT(ISERROR(SEARCH("داخلية",H161)))</formula>
    </cfRule>
    <cfRule type="containsText" dxfId="4491" priority="244" stopIfTrue="1" operator="containsText" text="ن داخلية">
      <formula>NOT(ISERROR(SEARCH("ن داخلية",H161)))</formula>
    </cfRule>
    <cfRule type="containsText" dxfId="4490" priority="245" stopIfTrue="1" operator="containsText" text="داخلية">
      <formula>NOT(ISERROR(SEARCH("داخلية",H161)))</formula>
    </cfRule>
    <cfRule type="cellIs" dxfId="4489" priority="246" stopIfTrue="1" operator="equal">
      <formula>"ن داخلي"</formula>
    </cfRule>
    <cfRule type="cellIs" dxfId="4488" priority="247" stopIfTrue="1" operator="equal">
      <formula>"ن داخلية"</formula>
    </cfRule>
    <cfRule type="cellIs" dxfId="4487" priority="248" stopIfTrue="1" operator="equal">
      <formula>#REF!</formula>
    </cfRule>
    <cfRule type="cellIs" dxfId="4486" priority="249" stopIfTrue="1" operator="equal">
      <formula>#REF!</formula>
    </cfRule>
    <cfRule type="cellIs" dxfId="4485" priority="250" stopIfTrue="1" operator="equal">
      <formula>#REF!</formula>
    </cfRule>
    <cfRule type="cellIs" dxfId="4484" priority="251" stopIfTrue="1" operator="equal">
      <formula>#REF!</formula>
    </cfRule>
    <cfRule type="cellIs" dxfId="4483" priority="252" stopIfTrue="1" operator="equal">
      <formula>"داخلية"</formula>
    </cfRule>
  </conditionalFormatting>
  <conditionalFormatting sqref="H161">
    <cfRule type="expression" dxfId="4482" priority="240" stopIfTrue="1">
      <formula>#REF!=""</formula>
    </cfRule>
  </conditionalFormatting>
  <conditionalFormatting sqref="H161">
    <cfRule type="expression" dxfId="4481" priority="239" stopIfTrue="1">
      <formula>#REF!=""</formula>
    </cfRule>
  </conditionalFormatting>
  <conditionalFormatting sqref="H161">
    <cfRule type="expression" dxfId="4480" priority="238" stopIfTrue="1">
      <formula>#REF!=""</formula>
    </cfRule>
  </conditionalFormatting>
  <conditionalFormatting sqref="H161">
    <cfRule type="expression" dxfId="4479" priority="237" stopIfTrue="1">
      <formula>#REF!=""</formula>
    </cfRule>
  </conditionalFormatting>
  <conditionalFormatting sqref="H159">
    <cfRule type="containsText" dxfId="4478" priority="235" stopIfTrue="1" operator="containsText" text="خارجية">
      <formula>NOT(ISERROR(SEARCH("خارجية",H159)))</formula>
    </cfRule>
    <cfRule type="containsText" dxfId="4477" priority="236" stopIfTrue="1" operator="containsText" text="خارجي">
      <formula>NOT(ISERROR(SEARCH("خارجي",H159)))</formula>
    </cfRule>
  </conditionalFormatting>
  <conditionalFormatting sqref="H159">
    <cfRule type="containsText" dxfId="4476" priority="223" stopIfTrue="1" operator="containsText" text="خارجية">
      <formula>NOT(ISERROR(SEARCH("خارجية",H159)))</formula>
    </cfRule>
    <cfRule type="containsText" dxfId="4475" priority="224" stopIfTrue="1" operator="containsText" text="ن داخلية">
      <formula>NOT(ISERROR(SEARCH("ن داخلية",H159)))</formula>
    </cfRule>
    <cfRule type="containsText" dxfId="4474" priority="225" stopIfTrue="1" operator="containsText" text="داخلية">
      <formula>NOT(ISERROR(SEARCH("داخلية",H159)))</formula>
    </cfRule>
    <cfRule type="containsText" dxfId="4473" priority="226" stopIfTrue="1" operator="containsText" text="ن داخلية">
      <formula>NOT(ISERROR(SEARCH("ن داخلية",H159)))</formula>
    </cfRule>
    <cfRule type="containsText" dxfId="4472" priority="227" stopIfTrue="1" operator="containsText" text="داخلية">
      <formula>NOT(ISERROR(SEARCH("داخلية",H159)))</formula>
    </cfRule>
    <cfRule type="cellIs" dxfId="4471" priority="228" stopIfTrue="1" operator="equal">
      <formula>"ن داخلي"</formula>
    </cfRule>
    <cfRule type="cellIs" dxfId="4470" priority="229" stopIfTrue="1" operator="equal">
      <formula>"ن داخلية"</formula>
    </cfRule>
    <cfRule type="cellIs" dxfId="4469" priority="230" stopIfTrue="1" operator="equal">
      <formula>#REF!</formula>
    </cfRule>
    <cfRule type="cellIs" dxfId="4468" priority="231" stopIfTrue="1" operator="equal">
      <formula>#REF!</formula>
    </cfRule>
    <cfRule type="cellIs" dxfId="4467" priority="232" stopIfTrue="1" operator="equal">
      <formula>#REF!</formula>
    </cfRule>
    <cfRule type="cellIs" dxfId="4466" priority="233" stopIfTrue="1" operator="equal">
      <formula>#REF!</formula>
    </cfRule>
    <cfRule type="cellIs" dxfId="4465" priority="234" stopIfTrue="1" operator="equal">
      <formula>"داخلية"</formula>
    </cfRule>
  </conditionalFormatting>
  <conditionalFormatting sqref="H159">
    <cfRule type="containsText" dxfId="4464" priority="211" stopIfTrue="1" operator="containsText" text="خارجية">
      <formula>NOT(ISERROR(SEARCH("خارجية",H159)))</formula>
    </cfRule>
    <cfRule type="containsText" dxfId="4463" priority="212" stopIfTrue="1" operator="containsText" text="ن داخلية">
      <formula>NOT(ISERROR(SEARCH("ن داخلية",H159)))</formula>
    </cfRule>
    <cfRule type="containsText" dxfId="4462" priority="213" stopIfTrue="1" operator="containsText" text="داخلية">
      <formula>NOT(ISERROR(SEARCH("داخلية",H159)))</formula>
    </cfRule>
    <cfRule type="containsText" dxfId="4461" priority="214" stopIfTrue="1" operator="containsText" text="ن داخلية">
      <formula>NOT(ISERROR(SEARCH("ن داخلية",H159)))</formula>
    </cfRule>
    <cfRule type="containsText" dxfId="4460" priority="215" stopIfTrue="1" operator="containsText" text="داخلية">
      <formula>NOT(ISERROR(SEARCH("داخلية",H159)))</formula>
    </cfRule>
    <cfRule type="cellIs" dxfId="4459" priority="216" stopIfTrue="1" operator="equal">
      <formula>"ن داخلي"</formula>
    </cfRule>
    <cfRule type="cellIs" dxfId="4458" priority="217" stopIfTrue="1" operator="equal">
      <formula>"ن داخلية"</formula>
    </cfRule>
    <cfRule type="cellIs" dxfId="4457" priority="218" stopIfTrue="1" operator="equal">
      <formula>#REF!</formula>
    </cfRule>
    <cfRule type="cellIs" dxfId="4456" priority="219" stopIfTrue="1" operator="equal">
      <formula>#REF!</formula>
    </cfRule>
    <cfRule type="cellIs" dxfId="4455" priority="220" stopIfTrue="1" operator="equal">
      <formula>#REF!</formula>
    </cfRule>
    <cfRule type="cellIs" dxfId="4454" priority="221" stopIfTrue="1" operator="equal">
      <formula>#REF!</formula>
    </cfRule>
    <cfRule type="cellIs" dxfId="4453" priority="222" stopIfTrue="1" operator="equal">
      <formula>"داخلية"</formula>
    </cfRule>
  </conditionalFormatting>
  <conditionalFormatting sqref="H159">
    <cfRule type="expression" dxfId="4452" priority="210" stopIfTrue="1">
      <formula>#REF!=""</formula>
    </cfRule>
  </conditionalFormatting>
  <conditionalFormatting sqref="H159">
    <cfRule type="expression" dxfId="4451" priority="209" stopIfTrue="1">
      <formula>#REF!=""</formula>
    </cfRule>
  </conditionalFormatting>
  <conditionalFormatting sqref="H159">
    <cfRule type="expression" dxfId="4450" priority="208" stopIfTrue="1">
      <formula>#REF!=""</formula>
    </cfRule>
  </conditionalFormatting>
  <conditionalFormatting sqref="H159">
    <cfRule type="expression" dxfId="4449" priority="207" stopIfTrue="1">
      <formula>#REF!=""</formula>
    </cfRule>
  </conditionalFormatting>
  <conditionalFormatting sqref="H160">
    <cfRule type="containsText" dxfId="4448" priority="205" stopIfTrue="1" operator="containsText" text="خارجية">
      <formula>NOT(ISERROR(SEARCH("خارجية",H160)))</formula>
    </cfRule>
    <cfRule type="containsText" dxfId="4447" priority="206" stopIfTrue="1" operator="containsText" text="خارجي">
      <formula>NOT(ISERROR(SEARCH("خارجي",H160)))</formula>
    </cfRule>
  </conditionalFormatting>
  <conditionalFormatting sqref="H160">
    <cfRule type="containsText" dxfId="4446" priority="193" stopIfTrue="1" operator="containsText" text="خارجية">
      <formula>NOT(ISERROR(SEARCH("خارجية",H160)))</formula>
    </cfRule>
    <cfRule type="containsText" dxfId="4445" priority="194" stopIfTrue="1" operator="containsText" text="ن داخلية">
      <formula>NOT(ISERROR(SEARCH("ن داخلية",H160)))</formula>
    </cfRule>
    <cfRule type="containsText" dxfId="4444" priority="195" stopIfTrue="1" operator="containsText" text="داخلية">
      <formula>NOT(ISERROR(SEARCH("داخلية",H160)))</formula>
    </cfRule>
    <cfRule type="containsText" dxfId="4443" priority="196" stopIfTrue="1" operator="containsText" text="ن داخلية">
      <formula>NOT(ISERROR(SEARCH("ن داخلية",H160)))</formula>
    </cfRule>
    <cfRule type="containsText" dxfId="4442" priority="197" stopIfTrue="1" operator="containsText" text="داخلية">
      <formula>NOT(ISERROR(SEARCH("داخلية",H160)))</formula>
    </cfRule>
    <cfRule type="cellIs" dxfId="4441" priority="198" stopIfTrue="1" operator="equal">
      <formula>"ن داخلي"</formula>
    </cfRule>
    <cfRule type="cellIs" dxfId="4440" priority="199" stopIfTrue="1" operator="equal">
      <formula>"ن داخلية"</formula>
    </cfRule>
    <cfRule type="cellIs" dxfId="4439" priority="200" stopIfTrue="1" operator="equal">
      <formula>#REF!</formula>
    </cfRule>
    <cfRule type="cellIs" dxfId="4438" priority="201" stopIfTrue="1" operator="equal">
      <formula>#REF!</formula>
    </cfRule>
    <cfRule type="cellIs" dxfId="4437" priority="202" stopIfTrue="1" operator="equal">
      <formula>#REF!</formula>
    </cfRule>
    <cfRule type="cellIs" dxfId="4436" priority="203" stopIfTrue="1" operator="equal">
      <formula>#REF!</formula>
    </cfRule>
    <cfRule type="cellIs" dxfId="4435" priority="204" stopIfTrue="1" operator="equal">
      <formula>"داخلية"</formula>
    </cfRule>
  </conditionalFormatting>
  <conditionalFormatting sqref="H160">
    <cfRule type="containsText" dxfId="4434" priority="181" stopIfTrue="1" operator="containsText" text="خارجية">
      <formula>NOT(ISERROR(SEARCH("خارجية",H160)))</formula>
    </cfRule>
    <cfRule type="containsText" dxfId="4433" priority="182" stopIfTrue="1" operator="containsText" text="ن داخلية">
      <formula>NOT(ISERROR(SEARCH("ن داخلية",H160)))</formula>
    </cfRule>
    <cfRule type="containsText" dxfId="4432" priority="183" stopIfTrue="1" operator="containsText" text="داخلية">
      <formula>NOT(ISERROR(SEARCH("داخلية",H160)))</formula>
    </cfRule>
    <cfRule type="containsText" dxfId="4431" priority="184" stopIfTrue="1" operator="containsText" text="ن داخلية">
      <formula>NOT(ISERROR(SEARCH("ن داخلية",H160)))</formula>
    </cfRule>
    <cfRule type="containsText" dxfId="4430" priority="185" stopIfTrue="1" operator="containsText" text="داخلية">
      <formula>NOT(ISERROR(SEARCH("داخلية",H160)))</formula>
    </cfRule>
    <cfRule type="cellIs" dxfId="4429" priority="186" stopIfTrue="1" operator="equal">
      <formula>"ن داخلي"</formula>
    </cfRule>
    <cfRule type="cellIs" dxfId="4428" priority="187" stopIfTrue="1" operator="equal">
      <formula>"ن داخلية"</formula>
    </cfRule>
    <cfRule type="cellIs" dxfId="4427" priority="188" stopIfTrue="1" operator="equal">
      <formula>#REF!</formula>
    </cfRule>
    <cfRule type="cellIs" dxfId="4426" priority="189" stopIfTrue="1" operator="equal">
      <formula>#REF!</formula>
    </cfRule>
    <cfRule type="cellIs" dxfId="4425" priority="190" stopIfTrue="1" operator="equal">
      <formula>#REF!</formula>
    </cfRule>
    <cfRule type="cellIs" dxfId="4424" priority="191" stopIfTrue="1" operator="equal">
      <formula>#REF!</formula>
    </cfRule>
    <cfRule type="cellIs" dxfId="4423" priority="192" stopIfTrue="1" operator="equal">
      <formula>"داخلية"</formula>
    </cfRule>
  </conditionalFormatting>
  <conditionalFormatting sqref="H160">
    <cfRule type="expression" dxfId="4422" priority="180" stopIfTrue="1">
      <formula>#REF!=""</formula>
    </cfRule>
  </conditionalFormatting>
  <conditionalFormatting sqref="H160">
    <cfRule type="expression" dxfId="4421" priority="179" stopIfTrue="1">
      <formula>#REF!=""</formula>
    </cfRule>
  </conditionalFormatting>
  <conditionalFormatting sqref="H189">
    <cfRule type="containsText" dxfId="4420" priority="167" stopIfTrue="1" operator="containsText" text="خارجية">
      <formula>NOT(ISERROR(SEARCH("خارجية",H189)))</formula>
    </cfRule>
    <cfRule type="containsText" dxfId="4419" priority="168" stopIfTrue="1" operator="containsText" text="ن داخلية">
      <formula>NOT(ISERROR(SEARCH("ن داخلية",H189)))</formula>
    </cfRule>
    <cfRule type="containsText" dxfId="4418" priority="169" stopIfTrue="1" operator="containsText" text="داخلية">
      <formula>NOT(ISERROR(SEARCH("داخلية",H189)))</formula>
    </cfRule>
    <cfRule type="containsText" dxfId="4417" priority="170" stopIfTrue="1" operator="containsText" text="ن داخلية">
      <formula>NOT(ISERROR(SEARCH("ن داخلية",H189)))</formula>
    </cfRule>
    <cfRule type="containsText" dxfId="4416" priority="171" stopIfTrue="1" operator="containsText" text="داخلية">
      <formula>NOT(ISERROR(SEARCH("داخلية",H189)))</formula>
    </cfRule>
    <cfRule type="cellIs" dxfId="4415" priority="172" stopIfTrue="1" operator="equal">
      <formula>"ن داخلي"</formula>
    </cfRule>
    <cfRule type="cellIs" dxfId="4414" priority="173" stopIfTrue="1" operator="equal">
      <formula>"ن داخلية"</formula>
    </cfRule>
    <cfRule type="cellIs" dxfId="4413" priority="174" stopIfTrue="1" operator="equal">
      <formula>#REF!</formula>
    </cfRule>
    <cfRule type="cellIs" dxfId="4412" priority="175" stopIfTrue="1" operator="equal">
      <formula>#REF!</formula>
    </cfRule>
    <cfRule type="cellIs" dxfId="4411" priority="176" stopIfTrue="1" operator="equal">
      <formula>#REF!</formula>
    </cfRule>
    <cfRule type="cellIs" dxfId="4410" priority="177" stopIfTrue="1" operator="equal">
      <formula>#REF!</formula>
    </cfRule>
    <cfRule type="cellIs" dxfId="4409" priority="178" stopIfTrue="1" operator="equal">
      <formula>"داخلية"</formula>
    </cfRule>
  </conditionalFormatting>
  <conditionalFormatting sqref="H189">
    <cfRule type="cellIs" dxfId="4408" priority="166" stopIfTrue="1" operator="greaterThan">
      <formula>"9.999"</formula>
    </cfRule>
  </conditionalFormatting>
  <conditionalFormatting sqref="H189">
    <cfRule type="expression" dxfId="4407" priority="165" stopIfTrue="1">
      <formula>#REF!=""</formula>
    </cfRule>
  </conditionalFormatting>
  <conditionalFormatting sqref="H228">
    <cfRule type="expression" dxfId="4406" priority="164" stopIfTrue="1">
      <formula>#REF!=""</formula>
    </cfRule>
  </conditionalFormatting>
  <conditionalFormatting sqref="H228">
    <cfRule type="expression" dxfId="4405" priority="163" stopIfTrue="1">
      <formula>IF(ROW(#REF!)&lt;=#REF!,"",1)=1</formula>
    </cfRule>
  </conditionalFormatting>
  <conditionalFormatting sqref="H226">
    <cfRule type="containsText" dxfId="4404" priority="151" stopIfTrue="1" operator="containsText" text="خارجية">
      <formula>NOT(ISERROR(SEARCH("خارجية",H226)))</formula>
    </cfRule>
    <cfRule type="containsText" dxfId="4403" priority="152" stopIfTrue="1" operator="containsText" text="ن داخلية">
      <formula>NOT(ISERROR(SEARCH("ن داخلية",H226)))</formula>
    </cfRule>
    <cfRule type="containsText" dxfId="4402" priority="153" stopIfTrue="1" operator="containsText" text="داخلية">
      <formula>NOT(ISERROR(SEARCH("داخلية",H226)))</formula>
    </cfRule>
    <cfRule type="containsText" dxfId="4401" priority="154" stopIfTrue="1" operator="containsText" text="ن داخلية">
      <formula>NOT(ISERROR(SEARCH("ن داخلية",H226)))</formula>
    </cfRule>
    <cfRule type="containsText" dxfId="4400" priority="155" stopIfTrue="1" operator="containsText" text="داخلية">
      <formula>NOT(ISERROR(SEARCH("داخلية",H226)))</formula>
    </cfRule>
    <cfRule type="cellIs" dxfId="4399" priority="156" stopIfTrue="1" operator="equal">
      <formula>"ن داخلي"</formula>
    </cfRule>
    <cfRule type="cellIs" dxfId="4398" priority="157" stopIfTrue="1" operator="equal">
      <formula>"ن داخلية"</formula>
    </cfRule>
    <cfRule type="cellIs" dxfId="4397" priority="158" stopIfTrue="1" operator="equal">
      <formula>#REF!</formula>
    </cfRule>
    <cfRule type="cellIs" dxfId="4396" priority="159" stopIfTrue="1" operator="equal">
      <formula>#REF!</formula>
    </cfRule>
    <cfRule type="cellIs" dxfId="4395" priority="160" stopIfTrue="1" operator="equal">
      <formula>#REF!</formula>
    </cfRule>
    <cfRule type="cellIs" dxfId="4394" priority="161" stopIfTrue="1" operator="equal">
      <formula>#REF!</formula>
    </cfRule>
    <cfRule type="cellIs" dxfId="4393" priority="162" stopIfTrue="1" operator="equal">
      <formula>"داخلية"</formula>
    </cfRule>
  </conditionalFormatting>
  <conditionalFormatting sqref="H226">
    <cfRule type="expression" dxfId="4392" priority="150" stopIfTrue="1">
      <formula>IF(ROW(#REF!)&lt;=#REF!,"",1)=1</formula>
    </cfRule>
  </conditionalFormatting>
  <conditionalFormatting sqref="H310:H311">
    <cfRule type="containsText" dxfId="4391" priority="138" stopIfTrue="1" operator="containsText" text="خارجية">
      <formula>NOT(ISERROR(SEARCH("خارجية",H310)))</formula>
    </cfRule>
    <cfRule type="containsText" dxfId="4390" priority="139" stopIfTrue="1" operator="containsText" text="ن داخلية">
      <formula>NOT(ISERROR(SEARCH("ن داخلية",H310)))</formula>
    </cfRule>
    <cfRule type="containsText" dxfId="4389" priority="140" stopIfTrue="1" operator="containsText" text="داخلية">
      <formula>NOT(ISERROR(SEARCH("داخلية",H310)))</formula>
    </cfRule>
    <cfRule type="containsText" dxfId="4388" priority="141" stopIfTrue="1" operator="containsText" text="ن داخلية">
      <formula>NOT(ISERROR(SEARCH("ن داخلية",H310)))</formula>
    </cfRule>
    <cfRule type="containsText" dxfId="4387" priority="142" stopIfTrue="1" operator="containsText" text="داخلية">
      <formula>NOT(ISERROR(SEARCH("داخلية",H310)))</formula>
    </cfRule>
    <cfRule type="cellIs" dxfId="4386" priority="143" stopIfTrue="1" operator="equal">
      <formula>"ن داخلي"</formula>
    </cfRule>
    <cfRule type="cellIs" dxfId="4385" priority="144" stopIfTrue="1" operator="equal">
      <formula>"ن داخلية"</formula>
    </cfRule>
    <cfRule type="cellIs" dxfId="4384" priority="145" stopIfTrue="1" operator="equal">
      <formula>#REF!</formula>
    </cfRule>
    <cfRule type="cellIs" dxfId="4383" priority="146" stopIfTrue="1" operator="equal">
      <formula>#REF!</formula>
    </cfRule>
    <cfRule type="cellIs" dxfId="4382" priority="147" stopIfTrue="1" operator="equal">
      <formula>#REF!</formula>
    </cfRule>
    <cfRule type="cellIs" dxfId="4381" priority="148" stopIfTrue="1" operator="equal">
      <formula>#REF!</formula>
    </cfRule>
    <cfRule type="cellIs" dxfId="4380" priority="149" stopIfTrue="1" operator="equal">
      <formula>"داخلية"</formula>
    </cfRule>
  </conditionalFormatting>
  <conditionalFormatting sqref="H310:H311">
    <cfRule type="expression" dxfId="4379" priority="137" stopIfTrue="1">
      <formula>#REF!=""</formula>
    </cfRule>
  </conditionalFormatting>
  <conditionalFormatting sqref="H310:H311">
    <cfRule type="expression" dxfId="4378" priority="136" stopIfTrue="1">
      <formula>#REF!=""</formula>
    </cfRule>
  </conditionalFormatting>
  <conditionalFormatting sqref="H310:H311">
    <cfRule type="expression" dxfId="4377" priority="135" stopIfTrue="1">
      <formula>IF(ROW(#REF!)&lt;=#REF!,"",1)=1</formula>
    </cfRule>
  </conditionalFormatting>
  <conditionalFormatting sqref="H310:H311">
    <cfRule type="expression" dxfId="4376" priority="134" stopIfTrue="1">
      <formula>#REF!=""</formula>
    </cfRule>
  </conditionalFormatting>
  <conditionalFormatting sqref="H310:H311">
    <cfRule type="expression" dxfId="4375" priority="133" stopIfTrue="1">
      <formula>#REF!=""</formula>
    </cfRule>
  </conditionalFormatting>
  <conditionalFormatting sqref="H308">
    <cfRule type="expression" dxfId="4374" priority="132" stopIfTrue="1">
      <formula>#REF!=""</formula>
    </cfRule>
  </conditionalFormatting>
  <conditionalFormatting sqref="H308">
    <cfRule type="expression" dxfId="4373" priority="131" stopIfTrue="1">
      <formula>#REF!=""</formula>
    </cfRule>
  </conditionalFormatting>
  <conditionalFormatting sqref="H308">
    <cfRule type="expression" dxfId="4372" priority="130" stopIfTrue="1">
      <formula>IF(ROW(#REF!)&lt;=#REF!,"",1)=1</formula>
    </cfRule>
  </conditionalFormatting>
  <conditionalFormatting sqref="H308">
    <cfRule type="expression" dxfId="4371" priority="129" stopIfTrue="1">
      <formula>#REF!=""</formula>
    </cfRule>
  </conditionalFormatting>
  <conditionalFormatting sqref="H308">
    <cfRule type="expression" dxfId="4370" priority="128" stopIfTrue="1">
      <formula>#REF!=""</formula>
    </cfRule>
  </conditionalFormatting>
  <conditionalFormatting sqref="H430">
    <cfRule type="expression" dxfId="4369" priority="127" stopIfTrue="1">
      <formula>#REF!=""</formula>
    </cfRule>
  </conditionalFormatting>
  <conditionalFormatting sqref="H430">
    <cfRule type="expression" dxfId="4368" priority="126" stopIfTrue="1">
      <formula>#REF!=""</formula>
    </cfRule>
  </conditionalFormatting>
  <conditionalFormatting sqref="H492">
    <cfRule type="containsText" dxfId="4367" priority="114" stopIfTrue="1" operator="containsText" text="خارجية">
      <formula>NOT(ISERROR(SEARCH("خارجية",H492)))</formula>
    </cfRule>
    <cfRule type="containsText" dxfId="4366" priority="115" stopIfTrue="1" operator="containsText" text="ن داخلية">
      <formula>NOT(ISERROR(SEARCH("ن داخلية",H492)))</formula>
    </cfRule>
    <cfRule type="containsText" dxfId="4365" priority="116" stopIfTrue="1" operator="containsText" text="داخلية">
      <formula>NOT(ISERROR(SEARCH("داخلية",H492)))</formula>
    </cfRule>
    <cfRule type="containsText" dxfId="4364" priority="117" stopIfTrue="1" operator="containsText" text="ن داخلية">
      <formula>NOT(ISERROR(SEARCH("ن داخلية",H492)))</formula>
    </cfRule>
    <cfRule type="containsText" dxfId="4363" priority="118" stopIfTrue="1" operator="containsText" text="داخلية">
      <formula>NOT(ISERROR(SEARCH("داخلية",H492)))</formula>
    </cfRule>
    <cfRule type="cellIs" dxfId="4362" priority="119" stopIfTrue="1" operator="equal">
      <formula>"ن داخلي"</formula>
    </cfRule>
    <cfRule type="cellIs" dxfId="4361" priority="120" stopIfTrue="1" operator="equal">
      <formula>"ن داخلية"</formula>
    </cfRule>
    <cfRule type="cellIs" dxfId="4360" priority="121" stopIfTrue="1" operator="equal">
      <formula>#REF!</formula>
    </cfRule>
    <cfRule type="cellIs" dxfId="4359" priority="122" stopIfTrue="1" operator="equal">
      <formula>#REF!</formula>
    </cfRule>
    <cfRule type="cellIs" dxfId="4358" priority="123" stopIfTrue="1" operator="equal">
      <formula>#REF!</formula>
    </cfRule>
    <cfRule type="cellIs" dxfId="4357" priority="124" stopIfTrue="1" operator="equal">
      <formula>#REF!</formula>
    </cfRule>
    <cfRule type="cellIs" dxfId="4356" priority="125" stopIfTrue="1" operator="equal">
      <formula>"داخلية"</formula>
    </cfRule>
  </conditionalFormatting>
  <conditionalFormatting sqref="H492">
    <cfRule type="containsText" dxfId="4355" priority="102" stopIfTrue="1" operator="containsText" text="خارجية">
      <formula>NOT(ISERROR(SEARCH("خارجية",H492)))</formula>
    </cfRule>
    <cfRule type="containsText" dxfId="4354" priority="103" stopIfTrue="1" operator="containsText" text="ن داخلية">
      <formula>NOT(ISERROR(SEARCH("ن داخلية",H492)))</formula>
    </cfRule>
    <cfRule type="containsText" dxfId="4353" priority="104" stopIfTrue="1" operator="containsText" text="داخلية">
      <formula>NOT(ISERROR(SEARCH("داخلية",H492)))</formula>
    </cfRule>
    <cfRule type="containsText" dxfId="4352" priority="105" stopIfTrue="1" operator="containsText" text="ن داخلية">
      <formula>NOT(ISERROR(SEARCH("ن داخلية",H492)))</formula>
    </cfRule>
    <cfRule type="containsText" dxfId="4351" priority="106" stopIfTrue="1" operator="containsText" text="داخلية">
      <formula>NOT(ISERROR(SEARCH("داخلية",H492)))</formula>
    </cfRule>
    <cfRule type="cellIs" dxfId="4350" priority="107" stopIfTrue="1" operator="equal">
      <formula>"ن داخلي"</formula>
    </cfRule>
    <cfRule type="cellIs" dxfId="4349" priority="108" stopIfTrue="1" operator="equal">
      <formula>"ن داخلية"</formula>
    </cfRule>
    <cfRule type="cellIs" dxfId="4348" priority="109" stopIfTrue="1" operator="equal">
      <formula>#REF!</formula>
    </cfRule>
    <cfRule type="cellIs" dxfId="4347" priority="110" stopIfTrue="1" operator="equal">
      <formula>#REF!</formula>
    </cfRule>
    <cfRule type="cellIs" dxfId="4346" priority="111" stopIfTrue="1" operator="equal">
      <formula>#REF!</formula>
    </cfRule>
    <cfRule type="cellIs" dxfId="4345" priority="112" stopIfTrue="1" operator="equal">
      <formula>#REF!</formula>
    </cfRule>
    <cfRule type="cellIs" dxfId="4344" priority="113" stopIfTrue="1" operator="equal">
      <formula>"داخلية"</formula>
    </cfRule>
  </conditionalFormatting>
  <conditionalFormatting sqref="H559">
    <cfRule type="containsText" dxfId="4343" priority="100" stopIfTrue="1" operator="containsText" text="خارجية">
      <formula>NOT(ISERROR(SEARCH("خارجية",H559)))</formula>
    </cfRule>
    <cfRule type="containsText" dxfId="4342" priority="101" stopIfTrue="1" operator="containsText" text="خارجي">
      <formula>NOT(ISERROR(SEARCH("خارجي",H559)))</formula>
    </cfRule>
  </conditionalFormatting>
  <conditionalFormatting sqref="H559">
    <cfRule type="containsText" dxfId="4341" priority="88" stopIfTrue="1" operator="containsText" text="خارجية">
      <formula>NOT(ISERROR(SEARCH("خارجية",H559)))</formula>
    </cfRule>
    <cfRule type="containsText" dxfId="4340" priority="89" stopIfTrue="1" operator="containsText" text="ن داخلية">
      <formula>NOT(ISERROR(SEARCH("ن داخلية",H559)))</formula>
    </cfRule>
    <cfRule type="containsText" dxfId="4339" priority="90" stopIfTrue="1" operator="containsText" text="داخلية">
      <formula>NOT(ISERROR(SEARCH("داخلية",H559)))</formula>
    </cfRule>
    <cfRule type="containsText" dxfId="4338" priority="91" stopIfTrue="1" operator="containsText" text="ن داخلية">
      <formula>NOT(ISERROR(SEARCH("ن داخلية",H559)))</formula>
    </cfRule>
    <cfRule type="containsText" dxfId="4337" priority="92" stopIfTrue="1" operator="containsText" text="داخلية">
      <formula>NOT(ISERROR(SEARCH("داخلية",H559)))</formula>
    </cfRule>
    <cfRule type="cellIs" dxfId="4336" priority="93" stopIfTrue="1" operator="equal">
      <formula>"ن داخلي"</formula>
    </cfRule>
    <cfRule type="cellIs" dxfId="4335" priority="94" stopIfTrue="1" operator="equal">
      <formula>"ن داخلية"</formula>
    </cfRule>
    <cfRule type="cellIs" dxfId="4334" priority="95" stopIfTrue="1" operator="equal">
      <formula>#REF!</formula>
    </cfRule>
    <cfRule type="cellIs" dxfId="4333" priority="96" stopIfTrue="1" operator="equal">
      <formula>#REF!</formula>
    </cfRule>
    <cfRule type="cellIs" dxfId="4332" priority="97" stopIfTrue="1" operator="equal">
      <formula>#REF!</formula>
    </cfRule>
    <cfRule type="cellIs" dxfId="4331" priority="98" stopIfTrue="1" operator="equal">
      <formula>#REF!</formula>
    </cfRule>
    <cfRule type="cellIs" dxfId="4330" priority="99" stopIfTrue="1" operator="equal">
      <formula>"داخلية"</formula>
    </cfRule>
  </conditionalFormatting>
  <conditionalFormatting sqref="H559">
    <cfRule type="containsText" dxfId="4329" priority="76" stopIfTrue="1" operator="containsText" text="خارجية">
      <formula>NOT(ISERROR(SEARCH("خارجية",H559)))</formula>
    </cfRule>
    <cfRule type="containsText" dxfId="4328" priority="77" stopIfTrue="1" operator="containsText" text="ن داخلية">
      <formula>NOT(ISERROR(SEARCH("ن داخلية",H559)))</formula>
    </cfRule>
    <cfRule type="containsText" dxfId="4327" priority="78" stopIfTrue="1" operator="containsText" text="داخلية">
      <formula>NOT(ISERROR(SEARCH("داخلية",H559)))</formula>
    </cfRule>
    <cfRule type="containsText" dxfId="4326" priority="79" stopIfTrue="1" operator="containsText" text="ن داخلية">
      <formula>NOT(ISERROR(SEARCH("ن داخلية",H559)))</formula>
    </cfRule>
    <cfRule type="containsText" dxfId="4325" priority="80" stopIfTrue="1" operator="containsText" text="داخلية">
      <formula>NOT(ISERROR(SEARCH("داخلية",H559)))</formula>
    </cfRule>
    <cfRule type="cellIs" dxfId="4324" priority="81" stopIfTrue="1" operator="equal">
      <formula>"ن داخلي"</formula>
    </cfRule>
    <cfRule type="cellIs" dxfId="4323" priority="82" stopIfTrue="1" operator="equal">
      <formula>"ن داخلية"</formula>
    </cfRule>
    <cfRule type="cellIs" dxfId="4322" priority="83" stopIfTrue="1" operator="equal">
      <formula>#REF!</formula>
    </cfRule>
    <cfRule type="cellIs" dxfId="4321" priority="84" stopIfTrue="1" operator="equal">
      <formula>#REF!</formula>
    </cfRule>
    <cfRule type="cellIs" dxfId="4320" priority="85" stopIfTrue="1" operator="equal">
      <formula>#REF!</formula>
    </cfRule>
    <cfRule type="cellIs" dxfId="4319" priority="86" stopIfTrue="1" operator="equal">
      <formula>#REF!</formula>
    </cfRule>
    <cfRule type="cellIs" dxfId="4318" priority="87" stopIfTrue="1" operator="equal">
      <formula>"داخلية"</formula>
    </cfRule>
  </conditionalFormatting>
  <conditionalFormatting sqref="H536">
    <cfRule type="containsText" dxfId="4317" priority="64" stopIfTrue="1" operator="containsText" text="خارجية">
      <formula>NOT(ISERROR(SEARCH("خارجية",H536)))</formula>
    </cfRule>
    <cfRule type="containsText" dxfId="4316" priority="65" stopIfTrue="1" operator="containsText" text="ن داخلية">
      <formula>NOT(ISERROR(SEARCH("ن داخلية",H536)))</formula>
    </cfRule>
    <cfRule type="containsText" dxfId="4315" priority="66" stopIfTrue="1" operator="containsText" text="داخلية">
      <formula>NOT(ISERROR(SEARCH("داخلية",H536)))</formula>
    </cfRule>
    <cfRule type="containsText" dxfId="4314" priority="67" stopIfTrue="1" operator="containsText" text="ن داخلية">
      <formula>NOT(ISERROR(SEARCH("ن داخلية",H536)))</formula>
    </cfRule>
    <cfRule type="containsText" dxfId="4313" priority="68" stopIfTrue="1" operator="containsText" text="داخلية">
      <formula>NOT(ISERROR(SEARCH("داخلية",H536)))</formula>
    </cfRule>
    <cfRule type="cellIs" dxfId="4312" priority="69" stopIfTrue="1" operator="equal">
      <formula>"ن داخلي"</formula>
    </cfRule>
    <cfRule type="cellIs" dxfId="4311" priority="70" stopIfTrue="1" operator="equal">
      <formula>"ن داخلية"</formula>
    </cfRule>
    <cfRule type="cellIs" dxfId="4310" priority="71" stopIfTrue="1" operator="equal">
      <formula>#REF!</formula>
    </cfRule>
    <cfRule type="cellIs" dxfId="4309" priority="72" stopIfTrue="1" operator="equal">
      <formula>#REF!</formula>
    </cfRule>
    <cfRule type="cellIs" dxfId="4308" priority="73" stopIfTrue="1" operator="equal">
      <formula>#REF!</formula>
    </cfRule>
    <cfRule type="cellIs" dxfId="4307" priority="74" stopIfTrue="1" operator="equal">
      <formula>#REF!</formula>
    </cfRule>
    <cfRule type="cellIs" dxfId="4306" priority="75" stopIfTrue="1" operator="equal">
      <formula>"داخلية"</formula>
    </cfRule>
  </conditionalFormatting>
  <conditionalFormatting sqref="J489:J490 J449 J470 J463 J445 J349 J245:J248 J239 J206 J210:J211 J213:J219 J188 J183 J175 J168:J169 J152 J142:J144 J157 J139 J125:J128 J117:J122 J105 J108:J115 J164:J166 J134:J135">
    <cfRule type="expression" dxfId="4305" priority="63" stopIfTrue="1">
      <formula>#REF!=""</formula>
    </cfRule>
  </conditionalFormatting>
  <conditionalFormatting sqref="J541:J550 J489:J490 J468:J470 J447:J448 J427 J392:J393 J385 J377 J358 J366:J367 J343 J338 J349 J332 J297 J195 J247 J215:J218 J244 J179 J165 J157 J142:J150 J139 J115:J123 J105 J100 J79 J84 J71 J57:J60 J48 J23 J25 J432 J135 J441 J472:J485 J492:J539">
    <cfRule type="containsText" dxfId="4304" priority="61" stopIfTrue="1" operator="containsText" text="خارجية">
      <formula>NOT(ISERROR(SEARCH("خارجية",J23)))</formula>
    </cfRule>
    <cfRule type="containsText" dxfId="4303" priority="62" stopIfTrue="1" operator="containsText" text="خارجي">
      <formula>NOT(ISERROR(SEARCH("خارجي",J23)))</formula>
    </cfRule>
  </conditionalFormatting>
  <conditionalFormatting sqref="J571:J574 J590:J597 J586:J588 J537:J539 J541:J554 J533:J535 J556:J569 J524:J530 J577:J584 J522 J516:J520 J507:J511 J475:J476 J454:J456 J450:J452 J458:J462 J447:J448 J464:J466 J479:J485 J469:J470 J392:J393 J349 J219 J246:J247 J185 J175:J177 J171 J157 J142:J144 J167:J169 J163:J165 J129:J132 J115:J127 J112:J113 J135 J89 J91:J97 J48 J28:J29 J9:J10 J12:J14 J99:J106 J80:J85 J489:J499">
    <cfRule type="containsText" dxfId="4302" priority="49" stopIfTrue="1" operator="containsText" text="خارجية">
      <formula>NOT(ISERROR(SEARCH("خارجية",J9)))</formula>
    </cfRule>
    <cfRule type="containsText" dxfId="4301" priority="50" stopIfTrue="1" operator="containsText" text="ن داخلية">
      <formula>NOT(ISERROR(SEARCH("ن داخلية",J9)))</formula>
    </cfRule>
    <cfRule type="containsText" dxfId="4300" priority="51" stopIfTrue="1" operator="containsText" text="داخلية">
      <formula>NOT(ISERROR(SEARCH("داخلية",J9)))</formula>
    </cfRule>
    <cfRule type="containsText" dxfId="4299" priority="52" stopIfTrue="1" operator="containsText" text="ن داخلية">
      <formula>NOT(ISERROR(SEARCH("ن داخلية",J9)))</formula>
    </cfRule>
    <cfRule type="containsText" dxfId="4298" priority="53" stopIfTrue="1" operator="containsText" text="داخلية">
      <formula>NOT(ISERROR(SEARCH("داخلية",J9)))</formula>
    </cfRule>
    <cfRule type="cellIs" dxfId="4297" priority="54" stopIfTrue="1" operator="equal">
      <formula>"ن داخلي"</formula>
    </cfRule>
    <cfRule type="cellIs" dxfId="4296" priority="55" stopIfTrue="1" operator="equal">
      <formula>"ن داخلية"</formula>
    </cfRule>
    <cfRule type="cellIs" dxfId="4295" priority="56" stopIfTrue="1" operator="equal">
      <formula>#REF!</formula>
    </cfRule>
    <cfRule type="cellIs" dxfId="4294" priority="57" stopIfTrue="1" operator="equal">
      <formula>#REF!</formula>
    </cfRule>
    <cfRule type="cellIs" dxfId="4293" priority="58" stopIfTrue="1" operator="equal">
      <formula>#REF!</formula>
    </cfRule>
    <cfRule type="cellIs" dxfId="4292" priority="59" stopIfTrue="1" operator="equal">
      <formula>#REF!</formula>
    </cfRule>
    <cfRule type="cellIs" dxfId="4291" priority="60" stopIfTrue="1" operator="equal">
      <formula>"داخلية"</formula>
    </cfRule>
  </conditionalFormatting>
  <conditionalFormatting sqref="J589 J492 J517 J489:J490 J473:J474 J470 J476:J483 J419 J392:J393 J349 J290 J210:J211 J188 J182:J183 J179 J142:J150">
    <cfRule type="containsText" dxfId="4290" priority="37" stopIfTrue="1" operator="containsText" text="خارجية">
      <formula>NOT(ISERROR(SEARCH("خارجية",J142)))</formula>
    </cfRule>
    <cfRule type="containsText" dxfId="4289" priority="38" stopIfTrue="1" operator="containsText" text="ن داخلية">
      <formula>NOT(ISERROR(SEARCH("ن داخلية",J142)))</formula>
    </cfRule>
    <cfRule type="containsText" dxfId="4288" priority="39" stopIfTrue="1" operator="containsText" text="داخلية">
      <formula>NOT(ISERROR(SEARCH("داخلية",J142)))</formula>
    </cfRule>
    <cfRule type="containsText" dxfId="4287" priority="40" stopIfTrue="1" operator="containsText" text="ن داخلية">
      <formula>NOT(ISERROR(SEARCH("ن داخلية",J142)))</formula>
    </cfRule>
    <cfRule type="containsText" dxfId="4286" priority="41" stopIfTrue="1" operator="containsText" text="داخلية">
      <formula>NOT(ISERROR(SEARCH("داخلية",J142)))</formula>
    </cfRule>
    <cfRule type="cellIs" dxfId="4285" priority="42" stopIfTrue="1" operator="equal">
      <formula>"ن داخلي"</formula>
    </cfRule>
    <cfRule type="cellIs" dxfId="4284" priority="43" stopIfTrue="1" operator="equal">
      <formula>"ن داخلية"</formula>
    </cfRule>
    <cfRule type="cellIs" dxfId="4283" priority="44" stopIfTrue="1" operator="equal">
      <formula>#REF!</formula>
    </cfRule>
    <cfRule type="cellIs" dxfId="4282" priority="45" stopIfTrue="1" operator="equal">
      <formula>#REF!</formula>
    </cfRule>
    <cfRule type="cellIs" dxfId="4281" priority="46" stopIfTrue="1" operator="equal">
      <formula>#REF!</formula>
    </cfRule>
    <cfRule type="cellIs" dxfId="4280" priority="47" stopIfTrue="1" operator="equal">
      <formula>#REF!</formula>
    </cfRule>
    <cfRule type="cellIs" dxfId="4279" priority="48" stopIfTrue="1" operator="equal">
      <formula>"داخلية"</formula>
    </cfRule>
  </conditionalFormatting>
  <conditionalFormatting sqref="J556:J559 J586:J597 J537:J539 J533:J535 J541:J554 J561:J574 J577:J584 J524:J530 J516:J520 J505:J508 J522 J510:J512 J487:J499 J378:J411 J372:J376 J369:J370 J365:J367 J337:J345 J347:J363 J312:J335 J282:J310 J183:J280 J159:J162 J164:J165 J119:J130 J167:J179 J100:J117 J91 J94 J87 J84:J85 J80:J82 J74:J78 J66:J67 J71 J69 J17 J9:J15 J22:J50 J53:J63 J132:J157 J413:J485">
    <cfRule type="expression" dxfId="4278" priority="36" stopIfTrue="1">
      <formula>#REF!=""</formula>
    </cfRule>
  </conditionalFormatting>
  <conditionalFormatting sqref="J485 J445 J447:J449 J443 J470 J403 J390:J392 J338 J320 J326 J302 J295 J291:J292 J280 J272 J259 J225 J268 J206 J175 J165 J160 J122 J157 J142:J150 J84:J85 J56:J60 J48 J23 J28:J31">
    <cfRule type="expression" dxfId="4277" priority="35" stopIfTrue="1">
      <formula>#REF!=""</formula>
    </cfRule>
  </conditionalFormatting>
  <conditionalFormatting sqref="J157 J142:J150 J57:J60 J48 J23 J28:J31">
    <cfRule type="expression" dxfId="4276" priority="34" stopIfTrue="1">
      <formula>#REF!=""</formula>
    </cfRule>
  </conditionalFormatting>
  <conditionalFormatting sqref="J556:J559 J568 J525:J530 J522 J511 J516:J520 J492:J499 J488:J490 J485 J478:J481 J473:J476 J468:J469 J438:J442 J445:J466 J396:J399 J403:J408 J410:J416 J392:J393 J419:J423 J425:J433 J383:J385 J371 J369 J365 J363 J356:J360 J335 J342:J354 J337:J340 J327 J312 J290:J291 J265:J267 J260:J261 J223:J225 J212 J246 J194:J201 J182 J176 J173:J174 J163:J164 J166:J171 J118 J84 J97:J115 J57:J60 J48 J120:J157">
    <cfRule type="expression" dxfId="4275" priority="33" stopIfTrue="1">
      <formula>#REF!=""</formula>
    </cfRule>
  </conditionalFormatting>
  <conditionalFormatting sqref="J392 J320 J292 J295 J280 J272 J84 J58 J28:J29 J485">
    <cfRule type="expression" dxfId="4274" priority="32" stopIfTrue="1">
      <formula>#REF!=""</formula>
    </cfRule>
  </conditionalFormatting>
  <conditionalFormatting sqref="K470 K206 K175 K165 K142:K144 K157 K122">
    <cfRule type="expression" dxfId="4273" priority="31" stopIfTrue="1">
      <formula>#REF!=""</formula>
    </cfRule>
  </conditionalFormatting>
  <conditionalFormatting sqref="K489 K478:K480 K447:K448 K469:K470 K483:K485 K392 K427 K385 K377 K358 K366:K367 K343 K338 K349 K332 K297 K195 K247 K215:K218 K244 K179 K165 K157 K142:K150 K139 K115:K123 K105 K79 K84 K74 K71 K57:K60 K48 K23 K25 K432 K135 K441 K472:K475 K492:K550">
    <cfRule type="containsText" dxfId="4272" priority="29" stopIfTrue="1" operator="containsText" text="خارجية">
      <formula>NOT(ISERROR(SEARCH("خارجية",K23)))</formula>
    </cfRule>
    <cfRule type="containsText" dxfId="4271" priority="30" stopIfTrue="1" operator="containsText" text="خارجي">
      <formula>NOT(ISERROR(SEARCH("خارجي",K23)))</formula>
    </cfRule>
  </conditionalFormatting>
  <conditionalFormatting sqref="K447:K448 K470 K206 K175 K157 K142:K144 K165 K122 K84 K29 K48">
    <cfRule type="containsText" dxfId="4270" priority="17" stopIfTrue="1" operator="containsText" text="خارجية">
      <formula>NOT(ISERROR(SEARCH("خارجية",K29)))</formula>
    </cfRule>
    <cfRule type="containsText" dxfId="4269" priority="18" stopIfTrue="1" operator="containsText" text="ن داخلية">
      <formula>NOT(ISERROR(SEARCH("ن داخلية",K29)))</formula>
    </cfRule>
    <cfRule type="containsText" dxfId="4268" priority="19" stopIfTrue="1" operator="containsText" text="داخلية">
      <formula>NOT(ISERROR(SEARCH("داخلية",K29)))</formula>
    </cfRule>
    <cfRule type="containsText" dxfId="4267" priority="20" stopIfTrue="1" operator="containsText" text="ن داخلية">
      <formula>NOT(ISERROR(SEARCH("ن داخلية",K29)))</formula>
    </cfRule>
    <cfRule type="containsText" dxfId="4266" priority="21" stopIfTrue="1" operator="containsText" text="داخلية">
      <formula>NOT(ISERROR(SEARCH("داخلية",K29)))</formula>
    </cfRule>
    <cfRule type="cellIs" dxfId="4265" priority="22" stopIfTrue="1" operator="equal">
      <formula>"ن داخلي"</formula>
    </cfRule>
    <cfRule type="cellIs" dxfId="4264" priority="23" stopIfTrue="1" operator="equal">
      <formula>"ن داخلية"</formula>
    </cfRule>
    <cfRule type="cellIs" dxfId="4263" priority="24" stopIfTrue="1" operator="equal">
      <formula>#REF!</formula>
    </cfRule>
    <cfRule type="cellIs" dxfId="4262" priority="25" stopIfTrue="1" operator="equal">
      <formula>#REF!</formula>
    </cfRule>
    <cfRule type="cellIs" dxfId="4261" priority="26" stopIfTrue="1" operator="equal">
      <formula>#REF!</formula>
    </cfRule>
    <cfRule type="cellIs" dxfId="4260" priority="27" stopIfTrue="1" operator="equal">
      <formula>#REF!</formula>
    </cfRule>
    <cfRule type="cellIs" dxfId="4259" priority="28" stopIfTrue="1" operator="equal">
      <formula>"داخلية"</formula>
    </cfRule>
  </conditionalFormatting>
  <conditionalFormatting sqref="K489 K349 K179 K142:K150">
    <cfRule type="containsText" dxfId="4258" priority="5" stopIfTrue="1" operator="containsText" text="خارجية">
      <formula>NOT(ISERROR(SEARCH("خارجية",K142)))</formula>
    </cfRule>
    <cfRule type="containsText" dxfId="4257" priority="6" stopIfTrue="1" operator="containsText" text="ن داخلية">
      <formula>NOT(ISERROR(SEARCH("ن داخلية",K142)))</formula>
    </cfRule>
    <cfRule type="containsText" dxfId="4256" priority="7" stopIfTrue="1" operator="containsText" text="داخلية">
      <formula>NOT(ISERROR(SEARCH("داخلية",K142)))</formula>
    </cfRule>
    <cfRule type="containsText" dxfId="4255" priority="8" stopIfTrue="1" operator="containsText" text="ن داخلية">
      <formula>NOT(ISERROR(SEARCH("ن داخلية",K142)))</formula>
    </cfRule>
    <cfRule type="containsText" dxfId="4254" priority="9" stopIfTrue="1" operator="containsText" text="داخلية">
      <formula>NOT(ISERROR(SEARCH("داخلية",K142)))</formula>
    </cfRule>
    <cfRule type="cellIs" dxfId="4253" priority="10" stopIfTrue="1" operator="equal">
      <formula>"ن داخلي"</formula>
    </cfRule>
    <cfRule type="cellIs" dxfId="4252" priority="11" stopIfTrue="1" operator="equal">
      <formula>"ن داخلية"</formula>
    </cfRule>
    <cfRule type="cellIs" dxfId="4251" priority="12" stopIfTrue="1" operator="equal">
      <formula>#REF!</formula>
    </cfRule>
    <cfRule type="cellIs" dxfId="4250" priority="13" stopIfTrue="1" operator="equal">
      <formula>#REF!</formula>
    </cfRule>
    <cfRule type="cellIs" dxfId="4249" priority="14" stopIfTrue="1" operator="equal">
      <formula>#REF!</formula>
    </cfRule>
    <cfRule type="cellIs" dxfId="4248" priority="15" stopIfTrue="1" operator="equal">
      <formula>#REF!</formula>
    </cfRule>
    <cfRule type="cellIs" dxfId="4247" priority="16" stopIfTrue="1" operator="equal">
      <formula>"داخلية"</formula>
    </cfRule>
  </conditionalFormatting>
  <conditionalFormatting sqref="K480 K478 K447 K394 K392 K383 K320 K295 K292 K280 K272 K259 K240 K206 K165 K157 K142:K150 K62 K48 K23 K55:K60 K28:K31">
    <cfRule type="expression" dxfId="4246" priority="4" stopIfTrue="1">
      <formula>#REF!=""</formula>
    </cfRule>
  </conditionalFormatting>
  <conditionalFormatting sqref="K485 K447:K448 K470 K392 K390 K320 K295 K291:K292 K280 K272 K259 K225 K206 K175 K165 K160 K122 K157 K142:K150 K84 K56:K60 K48 K23 K28:K31">
    <cfRule type="expression" dxfId="4245" priority="3" stopIfTrue="1">
      <formula>#REF!=""</formula>
    </cfRule>
  </conditionalFormatting>
  <conditionalFormatting sqref="K157 K142:K150 K57:K60 K48 K23 K28:K31">
    <cfRule type="expression" dxfId="4244" priority="2" stopIfTrue="1">
      <formula>#REF!=""</formula>
    </cfRule>
  </conditionalFormatting>
  <conditionalFormatting sqref="K473:K474 K383 K240 K57:K60 K48">
    <cfRule type="expression" dxfId="4243" priority="1" stopIfTrue="1">
      <formula>#REF!=""</formula>
    </cfRule>
  </conditionalFormatting>
  <hyperlinks>
    <hyperlink ref="U5" location="الرجوع!A1" display="الرجوع!A1"/>
    <hyperlink ref="K4" location="الرجوع!A1" display="الرجوع!A1"/>
    <hyperlink ref="J3" location="الرجوع!A1" display="الرجوع!A1"/>
  </hyperlink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7">
    <tabColor rgb="FF92D050"/>
  </sheetPr>
  <dimension ref="A1:AO1931"/>
  <sheetViews>
    <sheetView showZeros="0" rightToLeft="1" topLeftCell="A7" workbookViewId="0">
      <selection activeCell="CN5" sqref="CN5"/>
    </sheetView>
  </sheetViews>
  <sheetFormatPr baseColWidth="10" defaultRowHeight="15"/>
  <cols>
    <col min="1" max="1" width="7.140625" customWidth="1"/>
    <col min="2" max="13" width="7.7109375" customWidth="1"/>
    <col min="14" max="14" width="8.7109375" customWidth="1"/>
    <col min="18" max="18" width="10.42578125" customWidth="1"/>
    <col min="19" max="19" width="7.42578125" customWidth="1"/>
    <col min="20" max="22" width="10.42578125" customWidth="1"/>
    <col min="23" max="23" width="16" customWidth="1"/>
    <col min="24" max="24" width="15.85546875" customWidth="1"/>
    <col min="25" max="25" width="7.140625" customWidth="1"/>
    <col min="26" max="28" width="5.140625" customWidth="1"/>
  </cols>
  <sheetData>
    <row r="1" spans="1:41" ht="18">
      <c r="A1" s="1314" t="s">
        <v>78</v>
      </c>
      <c r="B1" s="1314"/>
      <c r="C1" s="1314"/>
      <c r="D1" s="1314"/>
      <c r="E1" s="1314"/>
      <c r="F1" s="1314"/>
      <c r="G1" s="1314"/>
      <c r="H1" s="1314"/>
      <c r="I1" s="1314"/>
      <c r="J1" s="1314"/>
      <c r="K1" s="1314"/>
      <c r="L1" s="1314"/>
      <c r="M1" s="1314"/>
      <c r="N1" s="1314"/>
      <c r="O1" s="77"/>
      <c r="P1" s="77"/>
      <c r="Q1" s="78"/>
      <c r="Z1" s="79"/>
      <c r="AA1" s="80"/>
      <c r="AB1" s="34"/>
      <c r="AC1" s="34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</row>
    <row r="2" spans="1:41" ht="19.5" thickBot="1">
      <c r="A2" s="1314" t="s">
        <v>79</v>
      </c>
      <c r="B2" s="1314"/>
      <c r="C2" s="1314"/>
      <c r="D2" s="1314"/>
      <c r="E2" s="1314"/>
      <c r="F2" s="1314"/>
      <c r="G2" s="1314"/>
      <c r="H2" s="1314"/>
      <c r="I2" s="1314"/>
      <c r="J2" s="1314"/>
      <c r="K2" s="1314"/>
      <c r="L2" s="1314"/>
      <c r="M2" s="1314"/>
      <c r="N2" s="1314"/>
      <c r="O2" s="77"/>
      <c r="P2" s="77"/>
      <c r="Q2" s="78"/>
      <c r="T2" s="6" t="s">
        <v>135</v>
      </c>
      <c r="U2" s="6" t="s">
        <v>2098</v>
      </c>
      <c r="Z2" s="79"/>
      <c r="AA2" s="80"/>
      <c r="AB2" s="34"/>
      <c r="AC2" s="34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</row>
    <row r="3" spans="1:41" ht="19.5" thickBot="1">
      <c r="A3" s="168" t="s">
        <v>220</v>
      </c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33"/>
      <c r="N3" s="33"/>
      <c r="O3" s="77"/>
      <c r="P3" s="77"/>
      <c r="Q3" s="78"/>
      <c r="R3" s="464" t="s">
        <v>609</v>
      </c>
      <c r="S3" s="465">
        <v>1</v>
      </c>
      <c r="T3" s="466" t="s">
        <v>353</v>
      </c>
      <c r="U3" s="466" t="s">
        <v>616</v>
      </c>
      <c r="V3" s="467">
        <v>1</v>
      </c>
      <c r="W3" s="1031" t="s">
        <v>2239</v>
      </c>
      <c r="X3" s="468" t="s">
        <v>625</v>
      </c>
      <c r="Z3" s="81"/>
      <c r="AA3" s="82" t="s">
        <v>258</v>
      </c>
      <c r="AB3" s="83" t="s">
        <v>442</v>
      </c>
      <c r="AC3" s="83"/>
      <c r="AD3" s="1405" t="s">
        <v>443</v>
      </c>
      <c r="AE3" s="1405"/>
      <c r="AF3" s="1405"/>
      <c r="AG3" s="1405"/>
      <c r="AH3" s="1405"/>
      <c r="AI3" s="1405"/>
      <c r="AJ3" s="1405"/>
      <c r="AK3" s="1405"/>
      <c r="AL3" s="1405"/>
      <c r="AM3" s="1405"/>
      <c r="AN3" s="1405"/>
      <c r="AO3" s="1406"/>
    </row>
    <row r="4" spans="1:41" ht="19.5" thickBot="1">
      <c r="A4" s="168" t="s">
        <v>444</v>
      </c>
      <c r="B4" s="250"/>
      <c r="C4" s="250"/>
      <c r="D4" s="250"/>
      <c r="E4" s="250"/>
      <c r="F4" s="250"/>
      <c r="G4" s="250"/>
      <c r="H4" s="250"/>
      <c r="I4" s="250"/>
      <c r="J4" s="250"/>
      <c r="K4" s="250"/>
      <c r="L4" s="250"/>
      <c r="M4" s="33"/>
      <c r="N4" s="33"/>
      <c r="O4" s="77"/>
      <c r="P4" s="77"/>
      <c r="Q4" s="78"/>
      <c r="R4" s="464" t="s">
        <v>610</v>
      </c>
      <c r="S4" s="465">
        <v>2</v>
      </c>
      <c r="T4" s="466" t="s">
        <v>850</v>
      </c>
      <c r="U4" s="466" t="s">
        <v>2089</v>
      </c>
      <c r="V4" s="467">
        <v>2</v>
      </c>
      <c r="W4" s="468" t="s">
        <v>622</v>
      </c>
      <c r="X4" s="468"/>
      <c r="Z4" s="1388" t="s">
        <v>445</v>
      </c>
      <c r="AA4" s="1308">
        <v>1</v>
      </c>
      <c r="AB4" s="84" t="str">
        <f>CONCATENATE(D7)</f>
        <v>ضليمي محمد</v>
      </c>
      <c r="AC4" s="84"/>
      <c r="AD4" s="84" t="str">
        <f>IF(ISERROR(VLOOKUP(AB4,#REF!,2,0)),"",(VLOOKUP(AB4,#REF!,2,0)))</f>
        <v/>
      </c>
      <c r="AE4" s="84" t="str">
        <f>IF(ISERROR(VLOOKUP(AB4,#REF!,3,0)),"",(VLOOKUP(AB4,#REF!,3,0)))</f>
        <v/>
      </c>
      <c r="AF4" s="84" t="str">
        <f>IF(ISERROR(VLOOKUP(AB4,#REF!,4,0)),"",(VLOOKUP(AB4,#REF!,4,0)))</f>
        <v/>
      </c>
      <c r="AG4" s="84" t="str">
        <f>IF(ISERROR(VLOOKUP(AB4,#REF!,5,0)),"",(VLOOKUP(AB4,#REF!,5,0)))</f>
        <v/>
      </c>
      <c r="AH4" s="84" t="str">
        <f>CONCATENATE(IF(ISERROR(VLOOKUP(AB4,#REF!,6,0)),"",(VLOOKUP(AB4,#REF!,6,0))))</f>
        <v/>
      </c>
      <c r="AI4" s="84" t="str">
        <f>IF(ISERROR(VLOOKUP(AB4,#REF!,7,0)),"",(VLOOKUP(AB4,#REF!,7,0)))</f>
        <v/>
      </c>
      <c r="AJ4" s="84" t="str">
        <f>IF(ISERROR(VLOOKUP(AB4,#REF!,8,0)),"",(VLOOKUP(AB4,#REF!,8,0)))</f>
        <v/>
      </c>
      <c r="AK4" s="84" t="str">
        <f>IF(ISERROR(VLOOKUP(AB4,#REF!,9,0)),"",(VLOOKUP(AB4,#REF!,9,0)))</f>
        <v/>
      </c>
      <c r="AL4" s="84" t="str">
        <f>IF(ISERROR(VLOOKUP(AB4,#REF!,10,0)),"",(VLOOKUP(AB4,#REF!,10,0)))</f>
        <v/>
      </c>
      <c r="AM4" s="84" t="str">
        <f>IF(ISERROR(VLOOKUP(AB4,#REF!,11,0)),"",(VLOOKUP(AB4,#REF!,11,0)))</f>
        <v/>
      </c>
      <c r="AN4" s="84" t="str">
        <f>IF(ISERROR(VLOOKUP(AB4,#REF!,12,0)),"",(VLOOKUP(AB4,#REF!,12,0)))</f>
        <v/>
      </c>
      <c r="AO4" s="84" t="str">
        <f>IF(ISERROR(VLOOKUP(AB4,#REF!,13,0)),"",(VLOOKUP(AB4,#REF!,13,0)))</f>
        <v/>
      </c>
    </row>
    <row r="5" spans="1:41" ht="24" thickBot="1">
      <c r="A5" s="250"/>
      <c r="B5" s="250"/>
      <c r="C5" s="1333" t="s">
        <v>446</v>
      </c>
      <c r="D5" s="1334"/>
      <c r="E5" s="1334"/>
      <c r="F5" s="1334"/>
      <c r="G5" s="1334"/>
      <c r="H5" s="1334"/>
      <c r="I5" s="1334"/>
      <c r="J5" s="1334"/>
      <c r="K5" s="1334"/>
      <c r="L5" s="1335"/>
      <c r="M5" s="33"/>
      <c r="N5" s="33"/>
      <c r="O5" s="77"/>
      <c r="P5" s="77"/>
      <c r="Q5" s="185" t="s">
        <v>496</v>
      </c>
      <c r="R5" s="464" t="s">
        <v>611</v>
      </c>
      <c r="S5" s="465">
        <v>3</v>
      </c>
      <c r="T5" s="469" t="s">
        <v>849</v>
      </c>
      <c r="U5" s="479" t="s">
        <v>542</v>
      </c>
      <c r="V5" s="467">
        <v>3</v>
      </c>
      <c r="W5" s="468" t="s">
        <v>625</v>
      </c>
      <c r="X5" s="468"/>
      <c r="Z5" s="1389"/>
      <c r="AA5" s="1308"/>
      <c r="AB5" s="202" t="s">
        <v>447</v>
      </c>
      <c r="AC5" s="84" t="str">
        <f>AB4</f>
        <v>ضليمي محمد</v>
      </c>
      <c r="AD5" s="85" t="str">
        <f>IF(ISERROR(VLOOKUP(AD4,#REF!,7,0)),"",(VLOOKUP(AD4,#REF!,7,0)))</f>
        <v/>
      </c>
      <c r="AE5" s="85" t="str">
        <f>IF(ISERROR(VLOOKUP(AE4,#REF!,7,0)),"",(VLOOKUP(AE4,#REF!,7,0)))</f>
        <v/>
      </c>
      <c r="AF5" s="85" t="str">
        <f>IF(ISERROR(VLOOKUP(AF4,#REF!,7,0)),"",(VLOOKUP(AF4,#REF!,7,0)))</f>
        <v/>
      </c>
      <c r="AG5" s="85" t="str">
        <f>IF(ISERROR(VLOOKUP(AG4,#REF!,7,0)),"",(VLOOKUP(AG4,#REF!,7,0)))</f>
        <v/>
      </c>
      <c r="AH5" s="85" t="str">
        <f>IF(ISERROR(VLOOKUP(AH4,#REF!,7,0)),"",(VLOOKUP(AH4,#REF!,7,0)))</f>
        <v/>
      </c>
      <c r="AI5" s="85" t="str">
        <f>IF(ISERROR(VLOOKUP(AI4,#REF!,7,0)),"",(VLOOKUP(AI4,#REF!,7,0)))</f>
        <v/>
      </c>
      <c r="AJ5" s="85" t="str">
        <f>IF(ISERROR(VLOOKUP(AJ4,#REF!,7,0)),"",(VLOOKUP(AJ4,#REF!,7,0)))</f>
        <v/>
      </c>
      <c r="AK5" s="85" t="str">
        <f>IF(ISERROR(VLOOKUP(AK4,#REF!,7,0)),"",(VLOOKUP(AK4,#REF!,7,0)))</f>
        <v/>
      </c>
      <c r="AL5" s="85" t="str">
        <f>IF(ISERROR(VLOOKUP(AL4,#REF!,7,0)),"",(VLOOKUP(AL4,#REF!,7,0)))</f>
        <v/>
      </c>
      <c r="AM5" s="85" t="str">
        <f>IF(ISERROR(VLOOKUP(AM4,#REF!,7,0)),"",(VLOOKUP(AM4,#REF!,7,0)))</f>
        <v/>
      </c>
      <c r="AN5" s="85" t="str">
        <f>IF(ISERROR(VLOOKUP(AN4,#REF!,7,0)),"",(VLOOKUP(AN4,#REF!,7,0)))</f>
        <v/>
      </c>
      <c r="AO5" s="85" t="str">
        <f>IF(ISERROR(VLOOKUP(AO4,#REF!,7,0)),"",(VLOOKUP(AO4,#REF!,7,0)))</f>
        <v/>
      </c>
    </row>
    <row r="6" spans="1:41" ht="24" thickBot="1">
      <c r="A6" s="250"/>
      <c r="B6" s="250"/>
      <c r="C6" s="249"/>
      <c r="D6" s="249"/>
      <c r="E6" s="249"/>
      <c r="F6" s="249"/>
      <c r="G6" s="249"/>
      <c r="H6" s="249"/>
      <c r="I6" s="249"/>
      <c r="J6" s="249"/>
      <c r="K6" s="249"/>
      <c r="L6" s="249"/>
      <c r="M6" s="33"/>
      <c r="N6" s="33"/>
      <c r="O6" s="77"/>
      <c r="P6" s="86"/>
      <c r="Q6" s="78"/>
      <c r="R6" s="470" t="s">
        <v>612</v>
      </c>
      <c r="S6" s="465">
        <v>4</v>
      </c>
      <c r="T6" s="471" t="s">
        <v>1969</v>
      </c>
      <c r="U6" s="471" t="s">
        <v>617</v>
      </c>
      <c r="V6" s="467">
        <v>4</v>
      </c>
      <c r="W6" s="256" t="s">
        <v>946</v>
      </c>
      <c r="X6" s="468"/>
      <c r="Z6" s="1389"/>
      <c r="AA6" s="1308">
        <v>2</v>
      </c>
      <c r="AB6" s="84" t="e">
        <f>CONCATENATE(#REF!)</f>
        <v>#REF!</v>
      </c>
      <c r="AC6" s="84"/>
      <c r="AD6" s="84" t="str">
        <f>IF(ISERROR(VLOOKUP(AB6,#REF!,2,0)),"",(VLOOKUP(AB6,#REF!,2,0)))</f>
        <v/>
      </c>
      <c r="AE6" s="84" t="str">
        <f>IF(ISERROR(VLOOKUP(AB6,#REF!,3,0)),"",(VLOOKUP(AB6,#REF!,3,0)))</f>
        <v/>
      </c>
      <c r="AF6" s="84" t="str">
        <f>IF(ISERROR(VLOOKUP(AB6,#REF!,4,0)),"",(VLOOKUP(AB6,#REF!,4,0)))</f>
        <v/>
      </c>
      <c r="AG6" s="84" t="str">
        <f>IF(ISERROR(VLOOKUP(AB6,#REF!,5,0)),"",(VLOOKUP(AB6,#REF!,5,0)))</f>
        <v/>
      </c>
      <c r="AH6" s="84" t="str">
        <f>CONCATENATE(IF(ISERROR(VLOOKUP(AB6,#REF!,6,0)),"",(VLOOKUP(AB6,#REF!,6,0))))</f>
        <v/>
      </c>
      <c r="AI6" s="84" t="str">
        <f>IF(ISERROR(VLOOKUP(AB6,#REF!,7,0)),"",(VLOOKUP(AB6,#REF!,7,0)))</f>
        <v/>
      </c>
      <c r="AJ6" s="84" t="str">
        <f>IF(ISERROR(VLOOKUP(AB6,#REF!,8,0)),"",(VLOOKUP(AB6,#REF!,8,0)))</f>
        <v/>
      </c>
      <c r="AK6" s="84" t="str">
        <f>IF(ISERROR(VLOOKUP(AB6,#REF!,9,0)),"",(VLOOKUP(AB6,#REF!,9,0)))</f>
        <v/>
      </c>
      <c r="AL6" s="84" t="str">
        <f>IF(ISERROR(VLOOKUP(AB6,#REF!,10,0)),"",(VLOOKUP(AB6,#REF!,10,0)))</f>
        <v/>
      </c>
      <c r="AM6" s="84" t="str">
        <f>IF(ISERROR(VLOOKUP(AB6,#REF!,11,0)),"",(VLOOKUP(AB6,#REF!,11,0)))</f>
        <v/>
      </c>
      <c r="AN6" s="84" t="str">
        <f>IF(ISERROR(VLOOKUP(AB6,#REF!,12,0)),"",(VLOOKUP(AB6,#REF!,12,0)))</f>
        <v/>
      </c>
      <c r="AO6" s="84" t="str">
        <f>IF(ISERROR(VLOOKUP(AB6,#REF!,13,0)),"",(VLOOKUP(AB6,#REF!,13,0)))</f>
        <v/>
      </c>
    </row>
    <row r="7" spans="1:41" ht="24" thickBot="1">
      <c r="A7" s="1295" t="s">
        <v>448</v>
      </c>
      <c r="B7" s="1295"/>
      <c r="C7" s="1295"/>
      <c r="D7" s="1294" t="s">
        <v>427</v>
      </c>
      <c r="E7" s="1294"/>
      <c r="F7" s="1294"/>
      <c r="G7" s="1294"/>
      <c r="H7" s="1294"/>
      <c r="I7" s="249"/>
      <c r="J7" s="249"/>
      <c r="K7" s="249" t="s">
        <v>449</v>
      </c>
      <c r="L7" s="249"/>
      <c r="M7" s="1295" t="s">
        <v>262</v>
      </c>
      <c r="N7" s="1295"/>
      <c r="O7" s="1292" t="str">
        <f>D7</f>
        <v>ضليمي محمد</v>
      </c>
      <c r="P7" s="1292"/>
      <c r="Q7" s="78">
        <v>1</v>
      </c>
      <c r="R7" s="472" t="s">
        <v>613</v>
      </c>
      <c r="S7" s="465">
        <v>5</v>
      </c>
      <c r="T7" s="473" t="s">
        <v>497</v>
      </c>
      <c r="U7" s="473" t="s">
        <v>497</v>
      </c>
      <c r="V7" s="467">
        <v>5</v>
      </c>
      <c r="W7" s="468" t="s">
        <v>940</v>
      </c>
      <c r="X7" s="468"/>
      <c r="Z7" s="1389"/>
      <c r="AA7" s="1308"/>
      <c r="AB7" s="84" t="s">
        <v>447</v>
      </c>
      <c r="AC7" s="84" t="e">
        <f>AB6</f>
        <v>#REF!</v>
      </c>
      <c r="AD7" s="85" t="str">
        <f>IF(ISERROR(VLOOKUP(AD6,#REF!,7,0)),"",(VLOOKUP(AD6,#REF!,7,0)))</f>
        <v/>
      </c>
      <c r="AE7" s="85" t="str">
        <f>IF(ISERROR(VLOOKUP(AE6,#REF!,7,0)),"",(VLOOKUP(AE6,#REF!,7,0)))</f>
        <v/>
      </c>
      <c r="AF7" s="85" t="str">
        <f>IF(ISERROR(VLOOKUP(AF6,#REF!,7,0)),"",(VLOOKUP(AF6,#REF!,7,0)))</f>
        <v/>
      </c>
      <c r="AG7" s="85" t="str">
        <f>IF(ISERROR(VLOOKUP(AG6,#REF!,7,0)),"",(VLOOKUP(AG6,#REF!,7,0)))</f>
        <v/>
      </c>
      <c r="AH7" s="85" t="str">
        <f>IF(ISERROR(VLOOKUP(AH6,#REF!,7,0)),"",(VLOOKUP(AH6,#REF!,7,0)))</f>
        <v/>
      </c>
      <c r="AI7" s="85" t="str">
        <f>IF(ISERROR(VLOOKUP(AI6,#REF!,7,0)),"",(VLOOKUP(AI6,#REF!,7,0)))</f>
        <v/>
      </c>
      <c r="AJ7" s="85" t="str">
        <f>IF(ISERROR(VLOOKUP(AJ6,#REF!,7,0)),"",(VLOOKUP(AJ6,#REF!,7,0)))</f>
        <v/>
      </c>
      <c r="AK7" s="85" t="str">
        <f>IF(ISERROR(VLOOKUP(AK6,#REF!,7,0)),"",(VLOOKUP(AK6,#REF!,7,0)))</f>
        <v/>
      </c>
      <c r="AL7" s="85" t="str">
        <f>IF(ISERROR(VLOOKUP(AL6,#REF!,7,0)),"",(VLOOKUP(AL6,#REF!,7,0)))</f>
        <v/>
      </c>
      <c r="AM7" s="85" t="str">
        <f>IF(ISERROR(VLOOKUP(AM6,#REF!,7,0)),"",(VLOOKUP(AM6,#REF!,7,0)))</f>
        <v/>
      </c>
      <c r="AN7" s="85" t="str">
        <f>IF(ISERROR(VLOOKUP(AN6,#REF!,7,0)),"",(VLOOKUP(AN6,#REF!,7,0)))</f>
        <v/>
      </c>
      <c r="AO7" s="85" t="str">
        <f>IF(ISERROR(VLOOKUP(AO6,#REF!,7,0)),"",(VLOOKUP(AO6,#REF!,7,0)))</f>
        <v/>
      </c>
    </row>
    <row r="8" spans="1:41" ht="24" thickBot="1">
      <c r="A8" s="1340" t="s">
        <v>450</v>
      </c>
      <c r="B8" s="1340"/>
      <c r="C8" s="1340"/>
      <c r="D8" s="1340" t="s">
        <v>451</v>
      </c>
      <c r="E8" s="1340"/>
      <c r="F8" s="1340"/>
      <c r="G8" s="1340"/>
      <c r="H8" s="87"/>
      <c r="I8" s="1340" t="s">
        <v>452</v>
      </c>
      <c r="J8" s="1340"/>
      <c r="K8" s="1340"/>
      <c r="L8" s="1341" t="s">
        <v>380</v>
      </c>
      <c r="M8" s="1341"/>
      <c r="N8" s="1341"/>
      <c r="O8" s="77"/>
      <c r="P8" s="77"/>
      <c r="Q8" s="78"/>
      <c r="R8" s="474" t="s">
        <v>614</v>
      </c>
      <c r="S8" s="475">
        <v>6</v>
      </c>
      <c r="T8" s="471" t="s">
        <v>2116</v>
      </c>
      <c r="U8" s="476" t="s">
        <v>850</v>
      </c>
      <c r="V8" s="467">
        <v>6</v>
      </c>
      <c r="W8" s="468" t="s">
        <v>1953</v>
      </c>
      <c r="X8" s="468"/>
      <c r="Z8" s="1389"/>
      <c r="AA8" s="1308">
        <v>3</v>
      </c>
      <c r="AB8" s="84" t="e">
        <f>CONCATENATE(#REF!)</f>
        <v>#REF!</v>
      </c>
      <c r="AC8" s="84"/>
      <c r="AD8" s="84" t="str">
        <f>IF(ISERROR(VLOOKUP(AB8,#REF!,2,0)),"",(VLOOKUP(AB8,#REF!,2,0)))</f>
        <v/>
      </c>
      <c r="AE8" s="84" t="str">
        <f>IF(ISERROR(VLOOKUP(AB8,#REF!,3,0)),"",(VLOOKUP(AB8,#REF!,3,0)))</f>
        <v/>
      </c>
      <c r="AF8" s="84" t="str">
        <f>IF(ISERROR(VLOOKUP(AB8,#REF!,4,0)),"",(VLOOKUP(AB8,#REF!,4,0)))</f>
        <v/>
      </c>
      <c r="AG8" s="84" t="str">
        <f>IF(ISERROR(VLOOKUP(AB8,#REF!,5,0)),"",(VLOOKUP(AB8,#REF!,5,0)))</f>
        <v/>
      </c>
      <c r="AH8" s="84" t="str">
        <f>CONCATENATE(IF(ISERROR(VLOOKUP(AB8,#REF!,6,0)),"",(VLOOKUP(AB8,#REF!,6,0))))</f>
        <v/>
      </c>
      <c r="AI8" s="84" t="str">
        <f>IF(ISERROR(VLOOKUP(AB8,#REF!,7,0)),"",(VLOOKUP(AB8,#REF!,7,0)))</f>
        <v/>
      </c>
      <c r="AJ8" s="84" t="str">
        <f>IF(ISERROR(VLOOKUP(AB8,#REF!,8,0)),"",(VLOOKUP(AB8,#REF!,8,0)))</f>
        <v/>
      </c>
      <c r="AK8" s="84" t="str">
        <f>IF(ISERROR(VLOOKUP(AB8,#REF!,9,0)),"",(VLOOKUP(AB8,#REF!,9,0)))</f>
        <v/>
      </c>
      <c r="AL8" s="84" t="str">
        <f>IF(ISERROR(VLOOKUP(AB8,#REF!,10,0)),"",(VLOOKUP(AB8,#REF!,10,0)))</f>
        <v/>
      </c>
      <c r="AM8" s="84" t="str">
        <f>IF(ISERROR(VLOOKUP(AB8,#REF!,11,0)),"",(VLOOKUP(AB8,#REF!,11,0)))</f>
        <v/>
      </c>
      <c r="AN8" s="84" t="str">
        <f>IF(ISERROR(VLOOKUP(AB8,#REF!,12,0)),"",(VLOOKUP(AB8,#REF!,12,0)))</f>
        <v/>
      </c>
      <c r="AO8" s="84" t="str">
        <f>IF(ISERROR(VLOOKUP(AB8,#REF!,13,0)),"",(VLOOKUP(AB8,#REF!,13,0)))</f>
        <v/>
      </c>
    </row>
    <row r="9" spans="1:41" ht="20.25" thickTop="1" thickBot="1">
      <c r="A9" s="1318" t="s">
        <v>453</v>
      </c>
      <c r="B9" s="1319"/>
      <c r="C9" s="88" t="s">
        <v>500</v>
      </c>
      <c r="D9" s="89" t="s">
        <v>268</v>
      </c>
      <c r="E9" s="89" t="s">
        <v>6</v>
      </c>
      <c r="F9" s="89"/>
      <c r="G9" s="89" t="s">
        <v>380</v>
      </c>
      <c r="H9" s="89" t="s">
        <v>380</v>
      </c>
      <c r="I9" s="89" t="s">
        <v>380</v>
      </c>
      <c r="J9" s="89" t="s">
        <v>380</v>
      </c>
      <c r="K9" s="89" t="s">
        <v>380</v>
      </c>
      <c r="L9" s="89" t="s">
        <v>380</v>
      </c>
      <c r="M9" s="89" t="s">
        <v>380</v>
      </c>
      <c r="N9" s="90" t="s">
        <v>380</v>
      </c>
      <c r="R9" s="474" t="s">
        <v>615</v>
      </c>
      <c r="S9" s="475">
        <v>7</v>
      </c>
      <c r="T9" s="477" t="s">
        <v>617</v>
      </c>
      <c r="U9" s="478" t="s">
        <v>350</v>
      </c>
      <c r="V9" s="467">
        <v>7</v>
      </c>
      <c r="W9" s="468" t="s">
        <v>2263</v>
      </c>
      <c r="X9" s="468"/>
      <c r="Z9" s="1389"/>
      <c r="AA9" s="1308"/>
      <c r="AB9" s="202" t="s">
        <v>447</v>
      </c>
      <c r="AC9" s="84" t="e">
        <f>AB8</f>
        <v>#REF!</v>
      </c>
      <c r="AD9" s="85" t="str">
        <f>IF(ISERROR(VLOOKUP(AD8,#REF!,7,0)),"",(VLOOKUP(AD8,#REF!,7,0)))</f>
        <v/>
      </c>
      <c r="AE9" s="85" t="str">
        <f>IF(ISERROR(VLOOKUP(AE8,#REF!,7,0)),"",(VLOOKUP(AE8,#REF!,7,0)))</f>
        <v/>
      </c>
      <c r="AF9" s="85" t="str">
        <f>IF(ISERROR(VLOOKUP(AF8,#REF!,7,0)),"",(VLOOKUP(AF8,#REF!,7,0)))</f>
        <v/>
      </c>
      <c r="AG9" s="85" t="str">
        <f>IF(ISERROR(VLOOKUP(AG8,#REF!,7,0)),"",(VLOOKUP(AG8,#REF!,7,0)))</f>
        <v/>
      </c>
      <c r="AH9" s="85" t="str">
        <f>IF(ISERROR(VLOOKUP(AH8,#REF!,7,0)),"",(VLOOKUP(AH8,#REF!,7,0)))</f>
        <v/>
      </c>
      <c r="AI9" s="85" t="str">
        <f>IF(ISERROR(VLOOKUP(AI8,#REF!,7,0)),"",(VLOOKUP(AI8,#REF!,7,0)))</f>
        <v/>
      </c>
      <c r="AJ9" s="85" t="str">
        <f>IF(ISERROR(VLOOKUP(AJ8,#REF!,7,0)),"",(VLOOKUP(AJ8,#REF!,7,0)))</f>
        <v/>
      </c>
      <c r="AK9" s="85" t="str">
        <f>IF(ISERROR(VLOOKUP(AK8,#REF!,7,0)),"",(VLOOKUP(AK8,#REF!,7,0)))</f>
        <v/>
      </c>
      <c r="AL9" s="85" t="str">
        <f>IF(ISERROR(VLOOKUP(AL8,#REF!,7,0)),"",(VLOOKUP(AL8,#REF!,7,0)))</f>
        <v/>
      </c>
      <c r="AM9" s="85" t="str">
        <f>IF(ISERROR(VLOOKUP(AM8,#REF!,7,0)),"",(VLOOKUP(AM8,#REF!,7,0)))</f>
        <v/>
      </c>
      <c r="AN9" s="85" t="str">
        <f>IF(ISERROR(VLOOKUP(AN8,#REF!,7,0)),"",(VLOOKUP(AN8,#REF!,7,0)))</f>
        <v/>
      </c>
      <c r="AO9" s="85" t="str">
        <f>IF(ISERROR(VLOOKUP(AO8,#REF!,7,0)),"",(VLOOKUP(AO8,#REF!,7,0)))</f>
        <v/>
      </c>
    </row>
    <row r="10" spans="1:41" ht="24" thickBot="1">
      <c r="A10" s="1329" t="s">
        <v>454</v>
      </c>
      <c r="B10" s="1330"/>
      <c r="C10" s="91">
        <v>6</v>
      </c>
      <c r="D10" s="210">
        <v>2</v>
      </c>
      <c r="E10" s="210">
        <v>6</v>
      </c>
      <c r="F10" s="210"/>
      <c r="G10" s="210" t="s">
        <v>380</v>
      </c>
      <c r="H10" s="210" t="s">
        <v>380</v>
      </c>
      <c r="I10" s="210" t="s">
        <v>380</v>
      </c>
      <c r="J10" s="210" t="s">
        <v>380</v>
      </c>
      <c r="K10" s="210" t="s">
        <v>380</v>
      </c>
      <c r="L10" s="210" t="s">
        <v>380</v>
      </c>
      <c r="M10" s="210" t="s">
        <v>380</v>
      </c>
      <c r="N10" s="92" t="s">
        <v>380</v>
      </c>
      <c r="O10" s="152"/>
      <c r="R10" s="474" t="s">
        <v>628</v>
      </c>
      <c r="S10" s="475">
        <v>8</v>
      </c>
      <c r="T10" s="477" t="s">
        <v>342</v>
      </c>
      <c r="U10" s="479" t="s">
        <v>542</v>
      </c>
      <c r="V10" s="467">
        <v>8</v>
      </c>
      <c r="W10" s="468"/>
      <c r="X10" s="468"/>
      <c r="Z10" s="1389"/>
      <c r="AA10" s="1308">
        <v>4</v>
      </c>
      <c r="AB10" s="84" t="e">
        <f>CONCATENATE(#REF!)</f>
        <v>#REF!</v>
      </c>
      <c r="AC10" s="84"/>
      <c r="AD10" s="84" t="str">
        <f>IF(ISERROR(VLOOKUP(AB10,#REF!,2,0)),"",(VLOOKUP(AB10,#REF!,2,0)))</f>
        <v/>
      </c>
      <c r="AE10" s="84" t="str">
        <f>IF(ISERROR(VLOOKUP(AB10,#REF!,3,0)),"",(VLOOKUP(AB10,#REF!,3,0)))</f>
        <v/>
      </c>
      <c r="AF10" s="84" t="str">
        <f>IF(ISERROR(VLOOKUP(AB10,#REF!,4,0)),"",(VLOOKUP(AB10,#REF!,4,0)))</f>
        <v/>
      </c>
      <c r="AG10" s="84" t="str">
        <f>IF(ISERROR(VLOOKUP(AB10,#REF!,5,0)),"",(VLOOKUP(AB10,#REF!,5,0)))</f>
        <v/>
      </c>
      <c r="AH10" s="84" t="str">
        <f>CONCATENATE(IF(ISERROR(VLOOKUP(AB10,#REF!,6,0)),"",(VLOOKUP(AB10,#REF!,6,0))))</f>
        <v/>
      </c>
      <c r="AI10" s="84" t="str">
        <f>IF(ISERROR(VLOOKUP(AB10,#REF!,7,0)),"",(VLOOKUP(AB10,#REF!,7,0)))</f>
        <v/>
      </c>
      <c r="AJ10" s="84" t="str">
        <f>IF(ISERROR(VLOOKUP(AB10,#REF!,8,0)),"",(VLOOKUP(AB10,#REF!,8,0)))</f>
        <v/>
      </c>
      <c r="AK10" s="84" t="str">
        <f>IF(ISERROR(VLOOKUP(AB10,#REF!,9,0)),"",(VLOOKUP(AB10,#REF!,9,0)))</f>
        <v/>
      </c>
      <c r="AL10" s="84" t="str">
        <f>IF(ISERROR(VLOOKUP(AB10,#REF!,10,0)),"",(VLOOKUP(AB10,#REF!,10,0)))</f>
        <v/>
      </c>
      <c r="AM10" s="84" t="str">
        <f>IF(ISERROR(VLOOKUP(AB10,#REF!,11,0)),"",(VLOOKUP(AB10,#REF!,11,0)))</f>
        <v/>
      </c>
      <c r="AN10" s="84" t="str">
        <f>IF(ISERROR(VLOOKUP(AB10,#REF!,12,0)),"",(VLOOKUP(AB10,#REF!,12,0)))</f>
        <v/>
      </c>
      <c r="AO10" s="84" t="str">
        <f>IF(ISERROR(VLOOKUP(AB10,#REF!,13,0)),"",(VLOOKUP(AB10,#REF!,13,0)))</f>
        <v/>
      </c>
    </row>
    <row r="11" spans="1:41" ht="24" thickBot="1">
      <c r="A11" s="1329" t="s">
        <v>455</v>
      </c>
      <c r="B11" s="1330"/>
      <c r="C11" s="204"/>
      <c r="D11" s="205"/>
      <c r="E11" s="205"/>
      <c r="F11" s="210" t="s">
        <v>380</v>
      </c>
      <c r="G11" s="210" t="s">
        <v>380</v>
      </c>
      <c r="H11" s="210" t="s">
        <v>380</v>
      </c>
      <c r="I11" s="210" t="s">
        <v>380</v>
      </c>
      <c r="J11" s="210" t="s">
        <v>380</v>
      </c>
      <c r="K11" s="210" t="s">
        <v>380</v>
      </c>
      <c r="L11" s="210" t="s">
        <v>380</v>
      </c>
      <c r="M11" s="210" t="s">
        <v>380</v>
      </c>
      <c r="N11" s="92" t="s">
        <v>380</v>
      </c>
      <c r="O11" s="152"/>
      <c r="R11" s="474" t="s">
        <v>497</v>
      </c>
      <c r="S11" s="465">
        <v>9</v>
      </c>
      <c r="T11" s="321" t="s">
        <v>618</v>
      </c>
      <c r="U11" s="473" t="s">
        <v>848</v>
      </c>
      <c r="V11" s="467">
        <v>9</v>
      </c>
      <c r="W11" s="468"/>
      <c r="X11" s="468"/>
      <c r="Z11" s="1389"/>
      <c r="AA11" s="1308"/>
      <c r="AB11" s="84" t="s">
        <v>447</v>
      </c>
      <c r="AC11" s="84" t="e">
        <f>AB10</f>
        <v>#REF!</v>
      </c>
      <c r="AD11" s="85" t="str">
        <f>IF(ISERROR(VLOOKUP(AD10,#REF!,7,0)),"",(VLOOKUP(AD10,#REF!,7,0)))</f>
        <v/>
      </c>
      <c r="AE11" s="85" t="str">
        <f>IF(ISERROR(VLOOKUP(AE10,#REF!,7,0)),"",(VLOOKUP(AE10,#REF!,7,0)))</f>
        <v/>
      </c>
      <c r="AF11" s="85" t="str">
        <f>IF(ISERROR(VLOOKUP(AF10,#REF!,7,0)),"",(VLOOKUP(AF10,#REF!,7,0)))</f>
        <v/>
      </c>
      <c r="AG11" s="85" t="str">
        <f>IF(ISERROR(VLOOKUP(AG10,#REF!,7,0)),"",(VLOOKUP(AG10,#REF!,7,0)))</f>
        <v/>
      </c>
      <c r="AH11" s="85" t="str">
        <f>IF(ISERROR(VLOOKUP(AH10,#REF!,7,0)),"",(VLOOKUP(AH10,#REF!,7,0)))</f>
        <v/>
      </c>
      <c r="AI11" s="85" t="str">
        <f>IF(ISERROR(VLOOKUP(AI10,#REF!,7,0)),"",(VLOOKUP(AI10,#REF!,7,0)))</f>
        <v/>
      </c>
      <c r="AJ11" s="85" t="str">
        <f>IF(ISERROR(VLOOKUP(AJ10,#REF!,7,0)),"",(VLOOKUP(AJ10,#REF!,7,0)))</f>
        <v/>
      </c>
      <c r="AK11" s="85" t="str">
        <f>IF(ISERROR(VLOOKUP(AK10,#REF!,7,0)),"",(VLOOKUP(AK10,#REF!,7,0)))</f>
        <v/>
      </c>
      <c r="AL11" s="85" t="str">
        <f>IF(ISERROR(VLOOKUP(AL10,#REF!,7,0)),"",(VLOOKUP(AL10,#REF!,7,0)))</f>
        <v/>
      </c>
      <c r="AM11" s="85" t="str">
        <f>IF(ISERROR(VLOOKUP(AM10,#REF!,7,0)),"",(VLOOKUP(AM10,#REF!,7,0)))</f>
        <v/>
      </c>
      <c r="AN11" s="85" t="str">
        <f>IF(ISERROR(VLOOKUP(AN10,#REF!,7,0)),"",(VLOOKUP(AN10,#REF!,7,0)))</f>
        <v/>
      </c>
      <c r="AO11" s="85" t="str">
        <f>IF(ISERROR(VLOOKUP(AO10,#REF!,7,0)),"",(VLOOKUP(AO10,#REF!,7,0)))</f>
        <v/>
      </c>
    </row>
    <row r="12" spans="1:41" ht="24" thickBot="1">
      <c r="A12" s="1327" t="s">
        <v>456</v>
      </c>
      <c r="B12" s="1328"/>
      <c r="C12" s="206"/>
      <c r="D12" s="207"/>
      <c r="E12" s="207"/>
      <c r="F12" s="94" t="s">
        <v>380</v>
      </c>
      <c r="G12" s="94" t="s">
        <v>380</v>
      </c>
      <c r="H12" s="94" t="s">
        <v>380</v>
      </c>
      <c r="I12" s="94" t="s">
        <v>380</v>
      </c>
      <c r="J12" s="94" t="s">
        <v>380</v>
      </c>
      <c r="K12" s="94" t="s">
        <v>380</v>
      </c>
      <c r="L12" s="94" t="s">
        <v>380</v>
      </c>
      <c r="M12" s="94" t="s">
        <v>380</v>
      </c>
      <c r="N12" s="95" t="s">
        <v>380</v>
      </c>
      <c r="O12" s="152"/>
      <c r="R12" s="480"/>
      <c r="S12" s="465">
        <v>10</v>
      </c>
      <c r="T12" s="321" t="s">
        <v>619</v>
      </c>
      <c r="U12" s="476" t="s">
        <v>953</v>
      </c>
      <c r="V12" s="467">
        <v>10</v>
      </c>
      <c r="W12" s="468"/>
      <c r="X12" s="468"/>
      <c r="Z12" s="1389"/>
      <c r="AA12" s="1308">
        <v>5</v>
      </c>
      <c r="AB12" s="84" t="e">
        <f>CONCATENATE(#REF!)</f>
        <v>#REF!</v>
      </c>
      <c r="AC12" s="84"/>
      <c r="AD12" s="84" t="str">
        <f>IF(ISERROR(VLOOKUP(AB12,#REF!,2,0)),"",(VLOOKUP(AB12,#REF!,2,0)))</f>
        <v/>
      </c>
      <c r="AE12" s="84" t="str">
        <f>IF(ISERROR(VLOOKUP(AB12,#REF!,3,0)),"",(VLOOKUP(AB12,#REF!,3,0)))</f>
        <v/>
      </c>
      <c r="AF12" s="84" t="str">
        <f>IF(ISERROR(VLOOKUP(AB12,#REF!,4,0)),"",(VLOOKUP(AB12,#REF!,4,0)))</f>
        <v/>
      </c>
      <c r="AG12" s="84" t="str">
        <f>IF(ISERROR(VLOOKUP(AB12,#REF!,5,0)),"",(VLOOKUP(AB12,#REF!,5,0)))</f>
        <v/>
      </c>
      <c r="AH12" s="84" t="str">
        <f>CONCATENATE(IF(ISERROR(VLOOKUP(AB12,#REF!,6,0)),"",(VLOOKUP(AB12,#REF!,6,0))))</f>
        <v/>
      </c>
      <c r="AI12" s="84" t="str">
        <f>IF(ISERROR(VLOOKUP(AB12,#REF!,7,0)),"",(VLOOKUP(AB12,#REF!,7,0)))</f>
        <v/>
      </c>
      <c r="AJ12" s="84" t="str">
        <f>IF(ISERROR(VLOOKUP(AB12,#REF!,8,0)),"",(VLOOKUP(AB12,#REF!,8,0)))</f>
        <v/>
      </c>
      <c r="AK12" s="84" t="str">
        <f>IF(ISERROR(VLOOKUP(AB12,#REF!,9,0)),"",(VLOOKUP(AB12,#REF!,9,0)))</f>
        <v/>
      </c>
      <c r="AL12" s="84" t="str">
        <f>IF(ISERROR(VLOOKUP(AB12,#REF!,10,0)),"",(VLOOKUP(AB12,#REF!,10,0)))</f>
        <v/>
      </c>
      <c r="AM12" s="84" t="str">
        <f>IF(ISERROR(VLOOKUP(AB12,#REF!,11,0)),"",(VLOOKUP(AB12,#REF!,11,0)))</f>
        <v/>
      </c>
      <c r="AN12" s="84" t="str">
        <f>IF(ISERROR(VLOOKUP(AB12,#REF!,12,0)),"",(VLOOKUP(AB12,#REF!,12,0)))</f>
        <v/>
      </c>
      <c r="AO12" s="84" t="str">
        <f>IF(ISERROR(VLOOKUP(AB12,#REF!,13,0)),"",(VLOOKUP(AB12,#REF!,13,0)))</f>
        <v/>
      </c>
    </row>
    <row r="13" spans="1:41" ht="22.5" thickTop="1" thickBot="1">
      <c r="A13" s="96"/>
      <c r="B13" s="96"/>
      <c r="C13" s="96"/>
      <c r="D13" s="96"/>
      <c r="E13" s="1326" t="s">
        <v>457</v>
      </c>
      <c r="F13" s="1310"/>
      <c r="G13" s="97">
        <v>18</v>
      </c>
      <c r="H13" s="1310" t="s">
        <v>458</v>
      </c>
      <c r="I13" s="1311"/>
      <c r="J13" s="1310" t="s">
        <v>459</v>
      </c>
      <c r="K13" s="1311"/>
      <c r="L13" s="96"/>
      <c r="M13" s="96"/>
      <c r="N13" s="96"/>
      <c r="O13" s="77"/>
      <c r="P13" s="77"/>
      <c r="Q13" s="78"/>
      <c r="R13" s="480"/>
      <c r="S13" s="465">
        <v>11</v>
      </c>
      <c r="T13" s="321" t="s">
        <v>355</v>
      </c>
      <c r="U13" s="476" t="s">
        <v>2112</v>
      </c>
      <c r="V13" s="467">
        <v>11</v>
      </c>
      <c r="W13" s="468"/>
      <c r="X13" s="468"/>
      <c r="Z13" s="1389"/>
      <c r="AA13" s="1308"/>
      <c r="AB13" s="84" t="s">
        <v>447</v>
      </c>
      <c r="AC13" s="84" t="e">
        <f>AB12</f>
        <v>#REF!</v>
      </c>
      <c r="AD13" s="85" t="str">
        <f>IF(ISERROR(VLOOKUP(AD12,#REF!,7,0)),"",(VLOOKUP(AD12,#REF!,7,0)))</f>
        <v/>
      </c>
      <c r="AE13" s="85" t="str">
        <f>IF(ISERROR(VLOOKUP(AE12,#REF!,7,0)),"",(VLOOKUP(AE12,#REF!,7,0)))</f>
        <v/>
      </c>
      <c r="AF13" s="85" t="str">
        <f>IF(ISERROR(VLOOKUP(AF12,#REF!,7,0)),"",(VLOOKUP(AF12,#REF!,7,0)))</f>
        <v/>
      </c>
      <c r="AG13" s="85" t="str">
        <f>IF(ISERROR(VLOOKUP(AG12,#REF!,7,0)),"",(VLOOKUP(AG12,#REF!,7,0)))</f>
        <v/>
      </c>
      <c r="AH13" s="85" t="str">
        <f>IF(ISERROR(VLOOKUP(AH12,#REF!,7,0)),"",(VLOOKUP(AH12,#REF!,7,0)))</f>
        <v/>
      </c>
      <c r="AI13" s="85" t="str">
        <f>IF(ISERROR(VLOOKUP(AI12,#REF!,7,0)),"",(VLOOKUP(AI12,#REF!,7,0)))</f>
        <v/>
      </c>
      <c r="AJ13" s="85" t="str">
        <f>IF(ISERROR(VLOOKUP(AJ12,#REF!,7,0)),"",(VLOOKUP(AJ12,#REF!,7,0)))</f>
        <v/>
      </c>
      <c r="AK13" s="85" t="str">
        <f>IF(ISERROR(VLOOKUP(AK12,#REF!,7,0)),"",(VLOOKUP(AK12,#REF!,7,0)))</f>
        <v/>
      </c>
      <c r="AL13" s="85" t="str">
        <f>IF(ISERROR(VLOOKUP(AL12,#REF!,7,0)),"",(VLOOKUP(AL12,#REF!,7,0)))</f>
        <v/>
      </c>
      <c r="AM13" s="85" t="str">
        <f>IF(ISERROR(VLOOKUP(AM12,#REF!,7,0)),"",(VLOOKUP(AM12,#REF!,7,0)))</f>
        <v/>
      </c>
      <c r="AN13" s="85" t="str">
        <f>IF(ISERROR(VLOOKUP(AN12,#REF!,7,0)),"",(VLOOKUP(AN12,#REF!,7,0)))</f>
        <v/>
      </c>
      <c r="AO13" s="85" t="str">
        <f>IF(ISERROR(VLOOKUP(AO12,#REF!,7,0)),"",(VLOOKUP(AO12,#REF!,7,0)))</f>
        <v/>
      </c>
    </row>
    <row r="14" spans="1:41" ht="24" thickBot="1">
      <c r="A14" s="96"/>
      <c r="B14" s="96"/>
      <c r="C14" s="96"/>
      <c r="D14" s="96"/>
      <c r="E14" s="1307" t="s">
        <v>460</v>
      </c>
      <c r="F14" s="1308"/>
      <c r="G14" s="98">
        <v>18</v>
      </c>
      <c r="H14" s="1312">
        <v>0</v>
      </c>
      <c r="I14" s="1312"/>
      <c r="J14" s="1312">
        <v>0</v>
      </c>
      <c r="K14" s="1313"/>
      <c r="L14" s="96"/>
      <c r="M14" s="96"/>
      <c r="N14" s="96"/>
      <c r="O14" s="77"/>
      <c r="P14" s="77"/>
      <c r="Q14" s="78">
        <f>G14+H14+H16+J14</f>
        <v>18</v>
      </c>
      <c r="R14" s="480"/>
      <c r="S14" s="465">
        <v>12</v>
      </c>
      <c r="T14" s="477" t="s">
        <v>2113</v>
      </c>
      <c r="U14" s="481" t="s">
        <v>669</v>
      </c>
      <c r="V14" s="467">
        <v>12</v>
      </c>
      <c r="W14" s="468"/>
      <c r="X14" s="468"/>
      <c r="Z14" s="1389"/>
      <c r="AA14" s="1308">
        <v>6</v>
      </c>
      <c r="AB14" s="84" t="e">
        <f>CONCATENATE(#REF!)</f>
        <v>#REF!</v>
      </c>
      <c r="AC14" s="84"/>
      <c r="AD14" s="84" t="str">
        <f>IF(ISERROR(VLOOKUP(AB14,#REF!,2,0)),"",(VLOOKUP(AB14,#REF!,2,0)))</f>
        <v/>
      </c>
      <c r="AE14" s="84" t="str">
        <f>IF(ISERROR(VLOOKUP(AB14,#REF!,3,0)),"",(VLOOKUP(AB14,#REF!,3,0)))</f>
        <v/>
      </c>
      <c r="AF14" s="84" t="str">
        <f>IF(ISERROR(VLOOKUP(AB14,#REF!,4,0)),"",(VLOOKUP(AB14,#REF!,4,0)))</f>
        <v/>
      </c>
      <c r="AG14" s="84" t="str">
        <f>IF(ISERROR(VLOOKUP(AB14,#REF!,5,0)),"",(VLOOKUP(AB14,#REF!,5,0)))</f>
        <v/>
      </c>
      <c r="AH14" s="84" t="str">
        <f>CONCATENATE(IF(ISERROR(VLOOKUP(AB14,#REF!,6,0)),"",(VLOOKUP(AB14,#REF!,6,0))))</f>
        <v/>
      </c>
      <c r="AI14" s="84" t="str">
        <f>IF(ISERROR(VLOOKUP(AB14,#REF!,7,0)),"",(VLOOKUP(AB14,#REF!,7,0)))</f>
        <v/>
      </c>
      <c r="AJ14" s="84" t="str">
        <f>IF(ISERROR(VLOOKUP(AB14,#REF!,8,0)),"",(VLOOKUP(AB14,#REF!,8,0)))</f>
        <v/>
      </c>
      <c r="AK14" s="84" t="str">
        <f>IF(ISERROR(VLOOKUP(AB14,#REF!,9,0)),"",(VLOOKUP(AB14,#REF!,9,0)))</f>
        <v/>
      </c>
      <c r="AL14" s="84" t="str">
        <f>IF(ISERROR(VLOOKUP(AB14,#REF!,10,0)),"",(VLOOKUP(AB14,#REF!,10,0)))</f>
        <v/>
      </c>
      <c r="AM14" s="84" t="str">
        <f>IF(ISERROR(VLOOKUP(AB14,#REF!,11,0)),"",(VLOOKUP(AB14,#REF!,11,0)))</f>
        <v/>
      </c>
      <c r="AN14" s="84" t="str">
        <f>IF(ISERROR(VLOOKUP(AB14,#REF!,12,0)),"",(VLOOKUP(AB14,#REF!,12,0)))</f>
        <v/>
      </c>
      <c r="AO14" s="84" t="str">
        <f>IF(ISERROR(VLOOKUP(AB14,#REF!,13,0)),"",(VLOOKUP(AB14,#REF!,13,0)))</f>
        <v/>
      </c>
    </row>
    <row r="15" spans="1:41" ht="21" thickBot="1">
      <c r="A15" s="96"/>
      <c r="B15" s="96"/>
      <c r="C15" s="96"/>
      <c r="D15" s="96"/>
      <c r="E15" s="1307" t="s">
        <v>461</v>
      </c>
      <c r="F15" s="1308"/>
      <c r="G15" s="99"/>
      <c r="H15" s="1308" t="s">
        <v>462</v>
      </c>
      <c r="I15" s="1308"/>
      <c r="J15" s="1308" t="s">
        <v>463</v>
      </c>
      <c r="K15" s="1309"/>
      <c r="L15" s="96"/>
      <c r="M15" s="96"/>
      <c r="N15" s="96"/>
      <c r="O15" s="77"/>
      <c r="P15" s="77"/>
      <c r="Q15" s="78"/>
      <c r="R15" s="482"/>
      <c r="S15" s="465">
        <v>13</v>
      </c>
      <c r="T15" s="477" t="s">
        <v>2115</v>
      </c>
      <c r="U15" s="481" t="s">
        <v>668</v>
      </c>
      <c r="V15" s="467">
        <v>13</v>
      </c>
      <c r="W15" s="468"/>
      <c r="Z15" s="1389"/>
      <c r="AA15" s="1308"/>
      <c r="AB15" s="84" t="s">
        <v>447</v>
      </c>
      <c r="AC15" s="84" t="e">
        <f>AB14</f>
        <v>#REF!</v>
      </c>
      <c r="AD15" s="85" t="str">
        <f>IF(ISERROR(VLOOKUP(AD14,#REF!,7,0)),"",(VLOOKUP(AD14,#REF!,7,0)))</f>
        <v/>
      </c>
      <c r="AE15" s="85" t="str">
        <f>IF(ISERROR(VLOOKUP(AE14,#REF!,7,0)),"",(VLOOKUP(AE14,#REF!,7,0)))</f>
        <v/>
      </c>
      <c r="AF15" s="85" t="str">
        <f>IF(ISERROR(VLOOKUP(AF14,#REF!,7,0)),"",(VLOOKUP(AF14,#REF!,7,0)))</f>
        <v/>
      </c>
      <c r="AG15" s="85" t="str">
        <f>IF(ISERROR(VLOOKUP(AG14,#REF!,7,0)),"",(VLOOKUP(AG14,#REF!,7,0)))</f>
        <v/>
      </c>
      <c r="AH15" s="85" t="str">
        <f>IF(ISERROR(VLOOKUP(AH14,#REF!,7,0)),"",(VLOOKUP(AH14,#REF!,7,0)))</f>
        <v/>
      </c>
      <c r="AI15" s="85" t="str">
        <f>IF(ISERROR(VLOOKUP(AI14,#REF!,7,0)),"",(VLOOKUP(AI14,#REF!,7,0)))</f>
        <v/>
      </c>
      <c r="AJ15" s="85" t="str">
        <f>IF(ISERROR(VLOOKUP(AJ14,#REF!,7,0)),"",(VLOOKUP(AJ14,#REF!,7,0)))</f>
        <v/>
      </c>
      <c r="AK15" s="85" t="str">
        <f>IF(ISERROR(VLOOKUP(AK14,#REF!,7,0)),"",(VLOOKUP(AK14,#REF!,7,0)))</f>
        <v/>
      </c>
      <c r="AL15" s="85" t="str">
        <f>IF(ISERROR(VLOOKUP(AL14,#REF!,7,0)),"",(VLOOKUP(AL14,#REF!,7,0)))</f>
        <v/>
      </c>
      <c r="AM15" s="85" t="str">
        <f>IF(ISERROR(VLOOKUP(AM14,#REF!,7,0)),"",(VLOOKUP(AM14,#REF!,7,0)))</f>
        <v/>
      </c>
      <c r="AN15" s="85" t="str">
        <f>IF(ISERROR(VLOOKUP(AN14,#REF!,7,0)),"",(VLOOKUP(AN14,#REF!,7,0)))</f>
        <v/>
      </c>
      <c r="AO15" s="85" t="str">
        <f>IF(ISERROR(VLOOKUP(AO14,#REF!,7,0)),"",(VLOOKUP(AO14,#REF!,7,0)))</f>
        <v/>
      </c>
    </row>
    <row r="16" spans="1:41" ht="24" thickBot="1">
      <c r="A16" s="96"/>
      <c r="B16" s="96"/>
      <c r="C16" s="96"/>
      <c r="D16" s="96"/>
      <c r="E16" s="1303" t="s">
        <v>464</v>
      </c>
      <c r="F16" s="1304"/>
      <c r="G16" s="99">
        <v>0</v>
      </c>
      <c r="H16" s="1305"/>
      <c r="I16" s="1305"/>
      <c r="J16" s="1305">
        <v>0</v>
      </c>
      <c r="K16" s="1306"/>
      <c r="L16" s="96"/>
      <c r="M16" s="96"/>
      <c r="N16" s="96"/>
      <c r="O16" s="77"/>
      <c r="P16" s="77"/>
      <c r="Q16" s="78"/>
      <c r="R16" s="148"/>
      <c r="S16" s="465">
        <v>14</v>
      </c>
      <c r="T16" s="321" t="s">
        <v>2279</v>
      </c>
      <c r="U16" s="481" t="s">
        <v>837</v>
      </c>
      <c r="V16" s="467">
        <v>14</v>
      </c>
      <c r="W16" s="468"/>
      <c r="Z16" s="1389"/>
      <c r="AA16" s="1308">
        <v>7</v>
      </c>
      <c r="AB16" s="84" t="e">
        <f>CONCATENATE(#REF!)</f>
        <v>#REF!</v>
      </c>
      <c r="AC16" s="84"/>
      <c r="AD16" s="84" t="str">
        <f>IF(ISERROR(VLOOKUP(AB16,#REF!,2,0)),"",(VLOOKUP(AB16,#REF!,2,0)))</f>
        <v/>
      </c>
      <c r="AE16" s="84" t="str">
        <f>IF(ISERROR(VLOOKUP(AB16,#REF!,3,0)),"",(VLOOKUP(AB16,#REF!,3,0)))</f>
        <v/>
      </c>
      <c r="AF16" s="84" t="str">
        <f>IF(ISERROR(VLOOKUP(AB16,#REF!,4,0)),"",(VLOOKUP(AB16,#REF!,4,0)))</f>
        <v/>
      </c>
      <c r="AG16" s="84" t="str">
        <f>IF(ISERROR(VLOOKUP(AB16,#REF!,5,0)),"",(VLOOKUP(AB16,#REF!,5,0)))</f>
        <v/>
      </c>
      <c r="AH16" s="84" t="str">
        <f>CONCATENATE(IF(ISERROR(VLOOKUP(AB16,#REF!,6,0)),"",(VLOOKUP(AB16,#REF!,6,0))))</f>
        <v/>
      </c>
      <c r="AI16" s="84" t="str">
        <f>IF(ISERROR(VLOOKUP(AB16,#REF!,7,0)),"",(VLOOKUP(AB16,#REF!,7,0)))</f>
        <v/>
      </c>
      <c r="AJ16" s="84" t="str">
        <f>IF(ISERROR(VLOOKUP(AB16,#REF!,8,0)),"",(VLOOKUP(AB16,#REF!,8,0)))</f>
        <v/>
      </c>
      <c r="AK16" s="84" t="str">
        <f>IF(ISERROR(VLOOKUP(AB16,#REF!,9,0)),"",(VLOOKUP(AB16,#REF!,9,0)))</f>
        <v/>
      </c>
      <c r="AL16" s="84" t="str">
        <f>IF(ISERROR(VLOOKUP(AB16,#REF!,10,0)),"",(VLOOKUP(AB16,#REF!,10,0)))</f>
        <v/>
      </c>
      <c r="AM16" s="84" t="str">
        <f>IF(ISERROR(VLOOKUP(AB16,#REF!,11,0)),"",(VLOOKUP(AB16,#REF!,11,0)))</f>
        <v/>
      </c>
      <c r="AN16" s="84" t="str">
        <f>IF(ISERROR(VLOOKUP(AB16,#REF!,12,0)),"",(VLOOKUP(AB16,#REF!,12,0)))</f>
        <v/>
      </c>
      <c r="AO16" s="84" t="str">
        <f>IF(ISERROR(VLOOKUP(AB16,#REF!,13,0)),"",(VLOOKUP(AB16,#REF!,13,0)))</f>
        <v/>
      </c>
    </row>
    <row r="17" spans="1:41" ht="20.25" thickTop="1" thickBot="1">
      <c r="A17" s="34"/>
      <c r="B17" s="34"/>
      <c r="C17" s="1299" t="s">
        <v>465</v>
      </c>
      <c r="D17" s="1299"/>
      <c r="E17" s="1299" t="s">
        <v>360</v>
      </c>
      <c r="F17" s="1299"/>
      <c r="G17" s="1302" t="s">
        <v>368</v>
      </c>
      <c r="H17" s="1302"/>
      <c r="I17" s="1302" t="s">
        <v>369</v>
      </c>
      <c r="J17" s="1302"/>
      <c r="K17" s="1302" t="s">
        <v>370</v>
      </c>
      <c r="L17" s="1299"/>
      <c r="M17" s="1299" t="s">
        <v>371</v>
      </c>
      <c r="N17" s="1299"/>
      <c r="O17" s="77"/>
      <c r="P17" s="77"/>
      <c r="Q17" s="78"/>
      <c r="R17" s="463"/>
      <c r="S17" s="465">
        <v>15</v>
      </c>
      <c r="T17" s="476" t="s">
        <v>2240</v>
      </c>
      <c r="U17" s="471" t="s">
        <v>1559</v>
      </c>
      <c r="V17" s="467">
        <v>15</v>
      </c>
      <c r="W17" s="468"/>
      <c r="Z17" s="1398"/>
      <c r="AA17" s="1308"/>
      <c r="AB17" s="84" t="s">
        <v>447</v>
      </c>
      <c r="AC17" s="84" t="e">
        <f>AB16</f>
        <v>#REF!</v>
      </c>
      <c r="AD17" s="85" t="str">
        <f>IF(ISERROR(VLOOKUP(AD16,#REF!,7,0)),"",(VLOOKUP(AD16,#REF!,7,0)))</f>
        <v/>
      </c>
      <c r="AE17" s="85" t="str">
        <f>IF(ISERROR(VLOOKUP(AE16,#REF!,7,0)),"",(VLOOKUP(AE16,#REF!,7,0)))</f>
        <v/>
      </c>
      <c r="AF17" s="85" t="str">
        <f>IF(ISERROR(VLOOKUP(AF16,#REF!,7,0)),"",(VLOOKUP(AF16,#REF!,7,0)))</f>
        <v/>
      </c>
      <c r="AG17" s="85" t="str">
        <f>IF(ISERROR(VLOOKUP(AG16,#REF!,7,0)),"",(VLOOKUP(AG16,#REF!,7,0)))</f>
        <v/>
      </c>
      <c r="AH17" s="85" t="str">
        <f>IF(ISERROR(VLOOKUP(AH16,#REF!,7,0)),"",(VLOOKUP(AH16,#REF!,7,0)))</f>
        <v/>
      </c>
      <c r="AI17" s="85" t="str">
        <f>IF(ISERROR(VLOOKUP(AI16,#REF!,7,0)),"",(VLOOKUP(AI16,#REF!,7,0)))</f>
        <v/>
      </c>
      <c r="AJ17" s="85" t="str">
        <f>IF(ISERROR(VLOOKUP(AJ16,#REF!,7,0)),"",(VLOOKUP(AJ16,#REF!,7,0)))</f>
        <v/>
      </c>
      <c r="AK17" s="85" t="str">
        <f>IF(ISERROR(VLOOKUP(AK16,#REF!,7,0)),"",(VLOOKUP(AK16,#REF!,7,0)))</f>
        <v/>
      </c>
      <c r="AL17" s="85" t="str">
        <f>IF(ISERROR(VLOOKUP(AL16,#REF!,7,0)),"",(VLOOKUP(AL16,#REF!,7,0)))</f>
        <v/>
      </c>
      <c r="AM17" s="85" t="str">
        <f>IF(ISERROR(VLOOKUP(AM16,#REF!,7,0)),"",(VLOOKUP(AM16,#REF!,7,0)))</f>
        <v/>
      </c>
      <c r="AN17" s="85" t="str">
        <f>IF(ISERROR(VLOOKUP(AN16,#REF!,7,0)),"",(VLOOKUP(AN16,#REF!,7,0)))</f>
        <v/>
      </c>
      <c r="AO17" s="85" t="str">
        <f>IF(ISERROR(VLOOKUP(AO16,#REF!,7,0)),"",(VLOOKUP(AO16,#REF!,7,0)))</f>
        <v/>
      </c>
    </row>
    <row r="18" spans="1:41" ht="20.25" thickTop="1" thickBot="1">
      <c r="A18" s="34"/>
      <c r="B18" s="34"/>
      <c r="C18" s="1299" t="s">
        <v>372</v>
      </c>
      <c r="D18" s="1299"/>
      <c r="E18" s="1297"/>
      <c r="F18" s="1297"/>
      <c r="G18" s="1297" t="s">
        <v>500</v>
      </c>
      <c r="H18" s="1297"/>
      <c r="I18" s="1297" t="s">
        <v>500</v>
      </c>
      <c r="J18" s="1297"/>
      <c r="K18" s="1297" t="s">
        <v>6</v>
      </c>
      <c r="L18" s="1297"/>
      <c r="M18" s="1297"/>
      <c r="N18" s="1297"/>
      <c r="O18" s="77"/>
      <c r="P18" s="77"/>
      <c r="Q18" s="78"/>
      <c r="R18" s="463"/>
      <c r="S18" s="465">
        <v>16</v>
      </c>
      <c r="T18" s="466" t="s">
        <v>847</v>
      </c>
      <c r="U18" s="476" t="s">
        <v>953</v>
      </c>
      <c r="V18" s="467">
        <v>16</v>
      </c>
      <c r="W18" s="468"/>
      <c r="Z18" s="1388" t="s">
        <v>466</v>
      </c>
      <c r="AA18" s="1402">
        <v>8</v>
      </c>
      <c r="AB18" s="100" t="e">
        <f>CONCATENATE(#REF!)</f>
        <v>#REF!</v>
      </c>
      <c r="AC18" s="100"/>
      <c r="AD18" s="84" t="str">
        <f>IF(ISERROR(VLOOKUP(AB18,#REF!,2,0)),"",(VLOOKUP(AB18,#REF!,2,0)))</f>
        <v/>
      </c>
      <c r="AE18" s="84" t="str">
        <f>IF(ISERROR(VLOOKUP(AB18,#REF!,3,0)),"",(VLOOKUP(AB18,#REF!,3,0)))</f>
        <v/>
      </c>
      <c r="AF18" s="84" t="str">
        <f>IF(ISERROR(VLOOKUP(AB18,#REF!,4,0)),"",(VLOOKUP(AB18,#REF!,4,0)))</f>
        <v/>
      </c>
      <c r="AG18" s="84" t="str">
        <f>IF(ISERROR(VLOOKUP(AB18,#REF!,5,0)),"",(VLOOKUP(AB18,#REF!,5,0)))</f>
        <v/>
      </c>
      <c r="AH18" s="84" t="str">
        <f>CONCATENATE(IF(ISERROR(VLOOKUP(AB18,#REF!,6,0)),"",(VLOOKUP(AB18,#REF!,6,0))))</f>
        <v/>
      </c>
      <c r="AI18" s="84" t="str">
        <f>IF(ISERROR(VLOOKUP(AB18,#REF!,7,0)),"",(VLOOKUP(AB18,#REF!,7,0)))</f>
        <v/>
      </c>
      <c r="AJ18" s="84" t="str">
        <f>IF(ISERROR(VLOOKUP(AB18,#REF!,8,0)),"",(VLOOKUP(AB18,#REF!,8,0)))</f>
        <v/>
      </c>
      <c r="AK18" s="84" t="str">
        <f>IF(ISERROR(VLOOKUP(AB18,#REF!,9,0)),"",(VLOOKUP(AB18,#REF!,9,0)))</f>
        <v/>
      </c>
      <c r="AL18" s="84" t="str">
        <f>IF(ISERROR(VLOOKUP(AB18,#REF!,10,0)),"",(VLOOKUP(AB18,#REF!,10,0)))</f>
        <v/>
      </c>
      <c r="AM18" s="84" t="str">
        <f>IF(ISERROR(VLOOKUP(AB18,#REF!,11,0)),"",(VLOOKUP(AB18,#REF!,11,0)))</f>
        <v/>
      </c>
      <c r="AN18" s="84" t="str">
        <f>IF(ISERROR(VLOOKUP(AB18,#REF!,12,0)),"",(VLOOKUP(AB18,#REF!,12,0)))</f>
        <v/>
      </c>
      <c r="AO18" s="84" t="str">
        <f>IF(ISERROR(VLOOKUP(AB18,#REF!,13,0)),"",(VLOOKUP(AB18,#REF!,13,0)))</f>
        <v/>
      </c>
    </row>
    <row r="19" spans="1:41" ht="20.25" thickTop="1" thickBot="1">
      <c r="A19" s="34"/>
      <c r="B19" s="34"/>
      <c r="C19" s="1299" t="s">
        <v>373</v>
      </c>
      <c r="D19" s="1299"/>
      <c r="E19" s="1297"/>
      <c r="F19" s="1297"/>
      <c r="G19" s="1297" t="s">
        <v>500</v>
      </c>
      <c r="H19" s="1297"/>
      <c r="I19" s="1297"/>
      <c r="J19" s="1297"/>
      <c r="K19" s="1297" t="s">
        <v>6</v>
      </c>
      <c r="L19" s="1297"/>
      <c r="M19" s="1297"/>
      <c r="N19" s="1297"/>
      <c r="O19" s="77"/>
      <c r="P19" s="77"/>
      <c r="Q19" s="78"/>
      <c r="R19" s="463"/>
      <c r="S19" s="465">
        <v>17</v>
      </c>
      <c r="T19" s="473" t="s">
        <v>2114</v>
      </c>
      <c r="U19" s="476" t="s">
        <v>2102</v>
      </c>
      <c r="V19" s="467">
        <v>17</v>
      </c>
      <c r="W19" s="468"/>
      <c r="Z19" s="1389"/>
      <c r="AA19" s="1402"/>
      <c r="AB19" s="100" t="s">
        <v>447</v>
      </c>
      <c r="AC19" s="100" t="e">
        <f>AB18</f>
        <v>#REF!</v>
      </c>
      <c r="AD19" s="85" t="str">
        <f>IF(ISERROR(VLOOKUP(AD18,#REF!,8,0)),"",(VLOOKUP(AD18,#REF!,8,0)))</f>
        <v/>
      </c>
      <c r="AE19" s="85" t="str">
        <f>IF(ISERROR(VLOOKUP(AE18,#REF!,8,0)),"",(VLOOKUP(AE18,#REF!,8,0)))</f>
        <v/>
      </c>
      <c r="AF19" s="85" t="str">
        <f>IF(ISERROR(VLOOKUP(AF18,#REF!,8,0)),"",(VLOOKUP(AF18,#REF!,8,0)))</f>
        <v/>
      </c>
      <c r="AG19" s="85" t="str">
        <f>IF(ISERROR(VLOOKUP(AG18,#REF!,8,0)),"",(VLOOKUP(AG18,#REF!,8,0)))</f>
        <v/>
      </c>
      <c r="AH19" s="85" t="str">
        <f>IF(ISERROR(VLOOKUP(AH18,#REF!,8,0)),"",(VLOOKUP(AH18,#REF!,8,0)))</f>
        <v/>
      </c>
      <c r="AI19" s="85" t="str">
        <f>IF(ISERROR(VLOOKUP(AI18,#REF!,8,0)),"",(VLOOKUP(AI18,#REF!,8,0)))</f>
        <v/>
      </c>
      <c r="AJ19" s="85" t="str">
        <f>IF(ISERROR(VLOOKUP(AJ18,#REF!,8,0)),"",(VLOOKUP(AJ18,#REF!,8,0)))</f>
        <v/>
      </c>
      <c r="AK19" s="85" t="str">
        <f>IF(ISERROR(VLOOKUP(AK18,#REF!,8,0)),"",(VLOOKUP(AK18,#REF!,8,0)))</f>
        <v/>
      </c>
      <c r="AL19" s="85" t="str">
        <f>IF(ISERROR(VLOOKUP(AL18,#REF!,8,0)),"",(VLOOKUP(AL18,#REF!,8,0)))</f>
        <v/>
      </c>
      <c r="AM19" s="85" t="str">
        <f>IF(ISERROR(VLOOKUP(AM18,#REF!,8,0)),"",(VLOOKUP(AM18,#REF!,8,0)))</f>
        <v/>
      </c>
      <c r="AN19" s="85" t="str">
        <f>IF(ISERROR(VLOOKUP(AN18,#REF!,8,0)),"",(VLOOKUP(AN18,#REF!,8,0)))</f>
        <v/>
      </c>
      <c r="AO19" s="85" t="str">
        <f>IF(ISERROR(VLOOKUP(AO18,#REF!,8,0)),"",(VLOOKUP(AO18,#REF!,8,0)))</f>
        <v/>
      </c>
    </row>
    <row r="20" spans="1:41" ht="17.25" thickTop="1" thickBot="1">
      <c r="A20" s="34"/>
      <c r="B20" s="34"/>
      <c r="C20" s="1299" t="s">
        <v>374</v>
      </c>
      <c r="D20" s="1299"/>
      <c r="E20" s="1297"/>
      <c r="F20" s="1297"/>
      <c r="G20" s="1297"/>
      <c r="H20" s="1297"/>
      <c r="I20" s="1297" t="s">
        <v>6</v>
      </c>
      <c r="J20" s="1297"/>
      <c r="K20" s="1297" t="s">
        <v>500</v>
      </c>
      <c r="L20" s="1297"/>
      <c r="M20" s="1297"/>
      <c r="N20" s="1297"/>
      <c r="O20" s="77"/>
      <c r="P20" s="77"/>
      <c r="Q20" s="78"/>
      <c r="R20" s="463"/>
      <c r="S20" s="465">
        <v>18</v>
      </c>
      <c r="T20" s="473" t="s">
        <v>1957</v>
      </c>
      <c r="U20" s="476" t="s">
        <v>1534</v>
      </c>
      <c r="V20" s="467">
        <v>18</v>
      </c>
      <c r="W20" s="22"/>
      <c r="Z20" s="1389"/>
      <c r="AA20" s="1402">
        <v>9</v>
      </c>
      <c r="AB20" s="100" t="e">
        <f>CONCATENATE(#REF!)</f>
        <v>#REF!</v>
      </c>
      <c r="AC20" s="100"/>
      <c r="AD20" s="84" t="str">
        <f>IF(ISERROR(VLOOKUP(AB20,#REF!,2,0)),"",(VLOOKUP(AB20,#REF!,2,0)))</f>
        <v/>
      </c>
      <c r="AE20" s="84" t="str">
        <f>IF(ISERROR(VLOOKUP(AB20,#REF!,3,0)),"",(VLOOKUP(AB20,#REF!,3,0)))</f>
        <v/>
      </c>
      <c r="AF20" s="84" t="str">
        <f>IF(ISERROR(VLOOKUP(AB20,#REF!,4,0)),"",(VLOOKUP(AB20,#REF!,4,0)))</f>
        <v/>
      </c>
      <c r="AG20" s="84" t="str">
        <f>IF(ISERROR(VLOOKUP(AB20,#REF!,5,0)),"",(VLOOKUP(AB20,#REF!,5,0)))</f>
        <v/>
      </c>
      <c r="AH20" s="84" t="str">
        <f>CONCATENATE(IF(ISERROR(VLOOKUP(AB20,#REF!,6,0)),"",(VLOOKUP(AB20,#REF!,6,0))))</f>
        <v/>
      </c>
      <c r="AI20" s="84" t="str">
        <f>IF(ISERROR(VLOOKUP(AB20,#REF!,7,0)),"",(VLOOKUP(AB20,#REF!,7,0)))</f>
        <v/>
      </c>
      <c r="AJ20" s="84" t="str">
        <f>IF(ISERROR(VLOOKUP(AB20,#REF!,8,0)),"",(VLOOKUP(AB20,#REF!,8,0)))</f>
        <v/>
      </c>
      <c r="AK20" s="84" t="str">
        <f>IF(ISERROR(VLOOKUP(AB20,#REF!,9,0)),"",(VLOOKUP(AB20,#REF!,9,0)))</f>
        <v/>
      </c>
      <c r="AL20" s="84" t="str">
        <f>IF(ISERROR(VLOOKUP(AB20,#REF!,10,0)),"",(VLOOKUP(AB20,#REF!,10,0)))</f>
        <v/>
      </c>
      <c r="AM20" s="84" t="str">
        <f>IF(ISERROR(VLOOKUP(AB20,#REF!,11,0)),"",(VLOOKUP(AB20,#REF!,11,0)))</f>
        <v/>
      </c>
      <c r="AN20" s="84" t="str">
        <f>IF(ISERROR(VLOOKUP(AB20,#REF!,12,0)),"",(VLOOKUP(AB20,#REF!,12,0)))</f>
        <v/>
      </c>
      <c r="AO20" s="84" t="str">
        <f>IF(ISERROR(VLOOKUP(AB20,#REF!,13,0)),"",(VLOOKUP(AB20,#REF!,13,0)))</f>
        <v/>
      </c>
    </row>
    <row r="21" spans="1:41" ht="17.25" thickTop="1" thickBot="1">
      <c r="A21" s="34"/>
      <c r="B21" s="34"/>
      <c r="C21" s="1299" t="s">
        <v>375</v>
      </c>
      <c r="D21" s="1299"/>
      <c r="E21" s="1297"/>
      <c r="F21" s="1297"/>
      <c r="G21" s="1297"/>
      <c r="H21" s="1297"/>
      <c r="I21" s="1297" t="s">
        <v>6</v>
      </c>
      <c r="J21" s="1297"/>
      <c r="K21" s="1297" t="s">
        <v>500</v>
      </c>
      <c r="L21" s="1297"/>
      <c r="M21" s="1297"/>
      <c r="N21" s="1297"/>
      <c r="O21" s="77"/>
      <c r="P21" s="77"/>
      <c r="Q21" s="78"/>
      <c r="R21" s="463"/>
      <c r="S21" s="465">
        <v>19</v>
      </c>
      <c r="T21" s="473" t="s">
        <v>617</v>
      </c>
      <c r="U21" s="476" t="s">
        <v>1535</v>
      </c>
      <c r="V21" s="467">
        <v>19</v>
      </c>
      <c r="W21" s="22"/>
      <c r="Z21" s="1389"/>
      <c r="AA21" s="1402"/>
      <c r="AB21" s="100" t="s">
        <v>447</v>
      </c>
      <c r="AC21" s="100" t="e">
        <f>AB20</f>
        <v>#REF!</v>
      </c>
      <c r="AD21" s="85" t="str">
        <f>IF(ISERROR(VLOOKUP(AD20,#REF!,8,0)),"",(VLOOKUP(AD20,#REF!,8,0)))</f>
        <v/>
      </c>
      <c r="AE21" s="85" t="str">
        <f>IF(ISERROR(VLOOKUP(AE20,#REF!,8,0)),"",(VLOOKUP(AE20,#REF!,8,0)))</f>
        <v/>
      </c>
      <c r="AF21" s="85" t="str">
        <f>IF(ISERROR(VLOOKUP(AF20,#REF!,8,0)),"",(VLOOKUP(AF20,#REF!,8,0)))</f>
        <v/>
      </c>
      <c r="AG21" s="85" t="str">
        <f>IF(ISERROR(VLOOKUP(AG20,#REF!,8,0)),"",(VLOOKUP(AG20,#REF!,8,0)))</f>
        <v/>
      </c>
      <c r="AH21" s="85" t="str">
        <f>IF(ISERROR(VLOOKUP(AH20,#REF!,8,0)),"",(VLOOKUP(AH20,#REF!,8,0)))</f>
        <v/>
      </c>
      <c r="AI21" s="85" t="str">
        <f>IF(ISERROR(VLOOKUP(AI20,#REF!,8,0)),"",(VLOOKUP(AI20,#REF!,8,0)))</f>
        <v/>
      </c>
      <c r="AJ21" s="85" t="str">
        <f>IF(ISERROR(VLOOKUP(AJ20,#REF!,8,0)),"",(VLOOKUP(AJ20,#REF!,8,0)))</f>
        <v/>
      </c>
      <c r="AK21" s="85" t="str">
        <f>IF(ISERROR(VLOOKUP(AK20,#REF!,8,0)),"",(VLOOKUP(AK20,#REF!,8,0)))</f>
        <v/>
      </c>
      <c r="AL21" s="85" t="str">
        <f>IF(ISERROR(VLOOKUP(AL20,#REF!,8,0)),"",(VLOOKUP(AL20,#REF!,8,0)))</f>
        <v/>
      </c>
      <c r="AM21" s="85" t="str">
        <f>IF(ISERROR(VLOOKUP(AM20,#REF!,8,0)),"",(VLOOKUP(AM20,#REF!,8,0)))</f>
        <v/>
      </c>
      <c r="AN21" s="85" t="str">
        <f>IF(ISERROR(VLOOKUP(AN20,#REF!,8,0)),"",(VLOOKUP(AN20,#REF!,8,0)))</f>
        <v/>
      </c>
      <c r="AO21" s="85" t="str">
        <f>IF(ISERROR(VLOOKUP(AO20,#REF!,8,0)),"",(VLOOKUP(AO20,#REF!,8,0)))</f>
        <v/>
      </c>
    </row>
    <row r="22" spans="1:41" ht="17.25" thickTop="1" thickBot="1">
      <c r="A22" s="34"/>
      <c r="B22" s="34"/>
      <c r="C22" s="101"/>
      <c r="D22" s="101"/>
      <c r="E22" s="33"/>
      <c r="F22" s="33"/>
      <c r="G22" s="33"/>
      <c r="H22" s="33"/>
      <c r="I22" s="33"/>
      <c r="J22" s="33"/>
      <c r="K22" s="34"/>
      <c r="L22" s="34"/>
      <c r="M22" s="33"/>
      <c r="N22" s="33"/>
      <c r="O22" s="77"/>
      <c r="P22" s="77"/>
      <c r="Q22" s="78"/>
      <c r="R22" s="22"/>
      <c r="S22" s="465">
        <v>20</v>
      </c>
      <c r="T22" s="473" t="s">
        <v>2276</v>
      </c>
      <c r="U22" s="476" t="s">
        <v>953</v>
      </c>
      <c r="V22" s="467">
        <v>20</v>
      </c>
      <c r="W22" s="22"/>
      <c r="Z22" s="1389"/>
      <c r="AA22" s="1402">
        <v>10</v>
      </c>
      <c r="AB22" s="100" t="e">
        <f>CONCATENATE(#REF!)</f>
        <v>#REF!</v>
      </c>
      <c r="AC22" s="100"/>
      <c r="AD22" s="84" t="str">
        <f>IF(ISERROR(VLOOKUP(AB22,#REF!,2,0)),"",(VLOOKUP(AB22,#REF!,2,0)))</f>
        <v/>
      </c>
      <c r="AE22" s="84" t="str">
        <f>IF(ISERROR(VLOOKUP(AB22,#REF!,3,0)),"",(VLOOKUP(AB22,#REF!,3,0)))</f>
        <v/>
      </c>
      <c r="AF22" s="84" t="str">
        <f>IF(ISERROR(VLOOKUP(AB22,#REF!,4,0)),"",(VLOOKUP(AB22,#REF!,4,0)))</f>
        <v/>
      </c>
      <c r="AG22" s="84" t="str">
        <f>IF(ISERROR(VLOOKUP(AB22,#REF!,5,0)),"",(VLOOKUP(AB22,#REF!,5,0)))</f>
        <v/>
      </c>
      <c r="AH22" s="84" t="str">
        <f>CONCATENATE(IF(ISERROR(VLOOKUP(AB22,#REF!,6,0)),"",(VLOOKUP(AB22,#REF!,6,0))))</f>
        <v/>
      </c>
      <c r="AI22" s="84" t="str">
        <f>IF(ISERROR(VLOOKUP(AB22,#REF!,7,0)),"",(VLOOKUP(AB22,#REF!,7,0)))</f>
        <v/>
      </c>
      <c r="AJ22" s="84" t="str">
        <f>IF(ISERROR(VLOOKUP(AB22,#REF!,8,0)),"",(VLOOKUP(AB22,#REF!,8,0)))</f>
        <v/>
      </c>
      <c r="AK22" s="84" t="str">
        <f>IF(ISERROR(VLOOKUP(AB22,#REF!,9,0)),"",(VLOOKUP(AB22,#REF!,9,0)))</f>
        <v/>
      </c>
      <c r="AL22" s="84" t="str">
        <f>IF(ISERROR(VLOOKUP(AB22,#REF!,10,0)),"",(VLOOKUP(AB22,#REF!,10,0)))</f>
        <v/>
      </c>
      <c r="AM22" s="84" t="str">
        <f>IF(ISERROR(VLOOKUP(AB22,#REF!,11,0)),"",(VLOOKUP(AB22,#REF!,11,0)))</f>
        <v/>
      </c>
      <c r="AN22" s="84" t="str">
        <f>IF(ISERROR(VLOOKUP(AB22,#REF!,12,0)),"",(VLOOKUP(AB22,#REF!,12,0)))</f>
        <v/>
      </c>
      <c r="AO22" s="84" t="str">
        <f>IF(ISERROR(VLOOKUP(AB22,#REF!,13,0)),"",(VLOOKUP(AB22,#REF!,13,0)))</f>
        <v/>
      </c>
    </row>
    <row r="23" spans="1:41" ht="17.25" thickTop="1" thickBot="1">
      <c r="A23" s="34"/>
      <c r="B23" s="34"/>
      <c r="C23" s="1299" t="s">
        <v>921</v>
      </c>
      <c r="D23" s="1299"/>
      <c r="E23" s="1297" t="s">
        <v>6</v>
      </c>
      <c r="F23" s="1297"/>
      <c r="G23" s="1297" t="s">
        <v>268</v>
      </c>
      <c r="H23" s="1297"/>
      <c r="I23" s="1297"/>
      <c r="J23" s="1297"/>
      <c r="K23" s="1297"/>
      <c r="L23" s="1297"/>
      <c r="M23" s="1297"/>
      <c r="N23" s="1297"/>
      <c r="O23" s="77"/>
      <c r="P23" s="77"/>
      <c r="Q23" s="78"/>
      <c r="R23" s="22"/>
      <c r="S23" s="465">
        <v>21</v>
      </c>
      <c r="T23" s="473" t="s">
        <v>1249</v>
      </c>
      <c r="U23" s="476" t="s">
        <v>1554</v>
      </c>
      <c r="V23" s="467">
        <v>21</v>
      </c>
      <c r="W23" s="22"/>
      <c r="Z23" s="1389"/>
      <c r="AA23" s="1402"/>
      <c r="AB23" s="100" t="s">
        <v>447</v>
      </c>
      <c r="AC23" s="100" t="e">
        <f>AB22</f>
        <v>#REF!</v>
      </c>
      <c r="AD23" s="85" t="str">
        <f>IF(ISERROR(VLOOKUP(AD22,#REF!,8,0)),"",(VLOOKUP(AD22,#REF!,8,0)))</f>
        <v/>
      </c>
      <c r="AE23" s="85" t="str">
        <f>IF(ISERROR(VLOOKUP(AE22,#REF!,8,0)),"",(VLOOKUP(AE22,#REF!,8,0)))</f>
        <v/>
      </c>
      <c r="AF23" s="85" t="str">
        <f>IF(ISERROR(VLOOKUP(AF22,#REF!,8,0)),"",(VLOOKUP(AF22,#REF!,8,0)))</f>
        <v/>
      </c>
      <c r="AG23" s="85" t="str">
        <f>IF(ISERROR(VLOOKUP(AG22,#REF!,8,0)),"",(VLOOKUP(AG22,#REF!,8,0)))</f>
        <v/>
      </c>
      <c r="AH23" s="85" t="str">
        <f>IF(ISERROR(VLOOKUP(AH22,#REF!,8,0)),"",(VLOOKUP(AH22,#REF!,8,0)))</f>
        <v/>
      </c>
      <c r="AI23" s="85" t="str">
        <f>IF(ISERROR(VLOOKUP(AI22,#REF!,8,0)),"",(VLOOKUP(AI22,#REF!,8,0)))</f>
        <v/>
      </c>
      <c r="AJ23" s="85" t="str">
        <f>IF(ISERROR(VLOOKUP(AJ22,#REF!,8,0)),"",(VLOOKUP(AJ22,#REF!,8,0)))</f>
        <v/>
      </c>
      <c r="AK23" s="85" t="str">
        <f>IF(ISERROR(VLOOKUP(AK22,#REF!,8,0)),"",(VLOOKUP(AK22,#REF!,8,0)))</f>
        <v/>
      </c>
      <c r="AL23" s="85" t="str">
        <f>IF(ISERROR(VLOOKUP(AL22,#REF!,8,0)),"",(VLOOKUP(AL22,#REF!,8,0)))</f>
        <v/>
      </c>
      <c r="AM23" s="85" t="str">
        <f>IF(ISERROR(VLOOKUP(AM22,#REF!,8,0)),"",(VLOOKUP(AM22,#REF!,8,0)))</f>
        <v/>
      </c>
      <c r="AN23" s="85" t="str">
        <f>IF(ISERROR(VLOOKUP(AN22,#REF!,8,0)),"",(VLOOKUP(AN22,#REF!,8,0)))</f>
        <v/>
      </c>
      <c r="AO23" s="85" t="str">
        <f>IF(ISERROR(VLOOKUP(AO22,#REF!,8,0)),"",(VLOOKUP(AO22,#REF!,8,0)))</f>
        <v/>
      </c>
    </row>
    <row r="24" spans="1:41" ht="17.25" thickTop="1" thickBot="1">
      <c r="A24" s="34"/>
      <c r="B24" s="34"/>
      <c r="C24" s="1299" t="s">
        <v>922</v>
      </c>
      <c r="D24" s="1299"/>
      <c r="E24" s="1297" t="s">
        <v>500</v>
      </c>
      <c r="F24" s="1297"/>
      <c r="G24" s="1297" t="s">
        <v>6</v>
      </c>
      <c r="H24" s="1297"/>
      <c r="I24" s="1297"/>
      <c r="J24" s="1297"/>
      <c r="K24" s="1297"/>
      <c r="L24" s="1297"/>
      <c r="M24" s="1297"/>
      <c r="N24" s="1297"/>
      <c r="O24" s="77"/>
      <c r="P24" s="77"/>
      <c r="Q24" s="78"/>
      <c r="R24" s="22"/>
      <c r="S24" s="465">
        <v>22</v>
      </c>
      <c r="T24" s="857" t="s">
        <v>2099</v>
      </c>
      <c r="U24" s="473" t="s">
        <v>1968</v>
      </c>
      <c r="V24" s="467">
        <v>22</v>
      </c>
      <c r="W24" s="22"/>
      <c r="Z24" s="1389"/>
      <c r="AA24" s="1402">
        <v>11</v>
      </c>
      <c r="AB24" s="100" t="e">
        <f>CONCATENATE(#REF!)</f>
        <v>#REF!</v>
      </c>
      <c r="AC24" s="100"/>
      <c r="AD24" s="84" t="str">
        <f>IF(ISERROR(VLOOKUP(AB24,#REF!,2,0)),"",(VLOOKUP(AB24,#REF!,2,0)))</f>
        <v/>
      </c>
      <c r="AE24" s="84" t="str">
        <f>IF(ISERROR(VLOOKUP(AB24,#REF!,3,0)),"",(VLOOKUP(AB24,#REF!,3,0)))</f>
        <v/>
      </c>
      <c r="AF24" s="84" t="str">
        <f>IF(ISERROR(VLOOKUP(AB24,#REF!,4,0)),"",(VLOOKUP(AB24,#REF!,4,0)))</f>
        <v/>
      </c>
      <c r="AG24" s="84" t="str">
        <f>IF(ISERROR(VLOOKUP(AB24,#REF!,5,0)),"",(VLOOKUP(AB24,#REF!,5,0)))</f>
        <v/>
      </c>
      <c r="AH24" s="84" t="str">
        <f>CONCATENATE(IF(ISERROR(VLOOKUP(AB24,#REF!,6,0)),"",(VLOOKUP(AB24,#REF!,6,0))))</f>
        <v/>
      </c>
      <c r="AI24" s="84" t="str">
        <f>IF(ISERROR(VLOOKUP(AB24,#REF!,7,0)),"",(VLOOKUP(AB24,#REF!,7,0)))</f>
        <v/>
      </c>
      <c r="AJ24" s="84" t="str">
        <f>IF(ISERROR(VLOOKUP(AB24,#REF!,8,0)),"",(VLOOKUP(AB24,#REF!,8,0)))</f>
        <v/>
      </c>
      <c r="AK24" s="84" t="str">
        <f>IF(ISERROR(VLOOKUP(AB24,#REF!,9,0)),"",(VLOOKUP(AB24,#REF!,9,0)))</f>
        <v/>
      </c>
      <c r="AL24" s="84" t="str">
        <f>IF(ISERROR(VLOOKUP(AB24,#REF!,10,0)),"",(VLOOKUP(AB24,#REF!,10,0)))</f>
        <v/>
      </c>
      <c r="AM24" s="84" t="str">
        <f>IF(ISERROR(VLOOKUP(AB24,#REF!,11,0)),"",(VLOOKUP(AB24,#REF!,11,0)))</f>
        <v/>
      </c>
      <c r="AN24" s="84" t="str">
        <f>IF(ISERROR(VLOOKUP(AB24,#REF!,12,0)),"",(VLOOKUP(AB24,#REF!,12,0)))</f>
        <v/>
      </c>
      <c r="AO24" s="84" t="str">
        <f>IF(ISERROR(VLOOKUP(AB24,#REF!,13,0)),"",(VLOOKUP(AB24,#REF!,13,0)))</f>
        <v/>
      </c>
    </row>
    <row r="25" spans="1:41" ht="17.25" thickTop="1" thickBot="1">
      <c r="A25" s="34"/>
      <c r="B25" s="34"/>
      <c r="C25" s="1299" t="s">
        <v>923</v>
      </c>
      <c r="D25" s="1299"/>
      <c r="E25" s="1297" t="s">
        <v>268</v>
      </c>
      <c r="F25" s="1297"/>
      <c r="G25" s="1297"/>
      <c r="H25" s="1297"/>
      <c r="I25" s="1297"/>
      <c r="J25" s="1297"/>
      <c r="K25" s="1297"/>
      <c r="L25" s="1297"/>
      <c r="M25" s="1297"/>
      <c r="N25" s="1297"/>
      <c r="O25" s="77"/>
      <c r="P25" s="77"/>
      <c r="Q25" s="78"/>
      <c r="R25" s="22"/>
      <c r="S25" s="467">
        <v>23</v>
      </c>
      <c r="T25" s="473" t="s">
        <v>2214</v>
      </c>
      <c r="U25" s="473" t="s">
        <v>1558</v>
      </c>
      <c r="V25" s="473"/>
      <c r="W25" s="22"/>
      <c r="Z25" s="1389"/>
      <c r="AA25" s="1402"/>
      <c r="AB25" s="100" t="s">
        <v>447</v>
      </c>
      <c r="AC25" s="100" t="e">
        <f>AB24</f>
        <v>#REF!</v>
      </c>
      <c r="AD25" s="85" t="str">
        <f>IF(ISERROR(VLOOKUP(AD24,#REF!,8,0)),"",(VLOOKUP(AD24,#REF!,8,0)))</f>
        <v/>
      </c>
      <c r="AE25" s="85" t="str">
        <f>IF(ISERROR(VLOOKUP(AE24,#REF!,8,0)),"",(VLOOKUP(AE24,#REF!,8,0)))</f>
        <v/>
      </c>
      <c r="AF25" s="85" t="str">
        <f>IF(ISERROR(VLOOKUP(AF24,#REF!,8,0)),"",(VLOOKUP(AF24,#REF!,8,0)))</f>
        <v/>
      </c>
      <c r="AG25" s="85" t="str">
        <f>IF(ISERROR(VLOOKUP(AG24,#REF!,8,0)),"",(VLOOKUP(AG24,#REF!,8,0)))</f>
        <v/>
      </c>
      <c r="AH25" s="85" t="str">
        <f>IF(ISERROR(VLOOKUP(AH24,#REF!,8,0)),"",(VLOOKUP(AH24,#REF!,8,0)))</f>
        <v/>
      </c>
      <c r="AI25" s="85" t="str">
        <f>IF(ISERROR(VLOOKUP(AI24,#REF!,8,0)),"",(VLOOKUP(AI24,#REF!,8,0)))</f>
        <v/>
      </c>
      <c r="AJ25" s="85" t="str">
        <f>IF(ISERROR(VLOOKUP(AJ24,#REF!,8,0)),"",(VLOOKUP(AJ24,#REF!,8,0)))</f>
        <v/>
      </c>
      <c r="AK25" s="85" t="str">
        <f>IF(ISERROR(VLOOKUP(AK24,#REF!,8,0)),"",(VLOOKUP(AK24,#REF!,8,0)))</f>
        <v/>
      </c>
      <c r="AL25" s="85" t="str">
        <f>IF(ISERROR(VLOOKUP(AL24,#REF!,8,0)),"",(VLOOKUP(AL24,#REF!,8,0)))</f>
        <v/>
      </c>
      <c r="AM25" s="85" t="str">
        <f>IF(ISERROR(VLOOKUP(AM24,#REF!,8,0)),"",(VLOOKUP(AM24,#REF!,8,0)))</f>
        <v/>
      </c>
      <c r="AN25" s="85" t="str">
        <f>IF(ISERROR(VLOOKUP(AN24,#REF!,8,0)),"",(VLOOKUP(AN24,#REF!,8,0)))</f>
        <v/>
      </c>
      <c r="AO25" s="85" t="str">
        <f>IF(ISERROR(VLOOKUP(AO24,#REF!,8,0)),"",(VLOOKUP(AO24,#REF!,8,0)))</f>
        <v/>
      </c>
    </row>
    <row r="26" spans="1:41" ht="17.25" thickTop="1" thickBot="1">
      <c r="A26" s="34"/>
      <c r="B26" s="34"/>
      <c r="C26" s="1299" t="s">
        <v>924</v>
      </c>
      <c r="D26" s="1299"/>
      <c r="E26" s="1297" t="s">
        <v>380</v>
      </c>
      <c r="F26" s="1297"/>
      <c r="G26" s="1297"/>
      <c r="H26" s="1297"/>
      <c r="I26" s="1297" t="s">
        <v>380</v>
      </c>
      <c r="J26" s="1297"/>
      <c r="K26" s="1297" t="s">
        <v>380</v>
      </c>
      <c r="L26" s="1297"/>
      <c r="M26" s="1297" t="s">
        <v>380</v>
      </c>
      <c r="N26" s="1297"/>
      <c r="O26" s="77"/>
      <c r="P26" s="77"/>
      <c r="Q26" s="78"/>
      <c r="R26" s="22"/>
      <c r="S26" s="465">
        <v>24</v>
      </c>
      <c r="T26" s="473" t="s">
        <v>2277</v>
      </c>
      <c r="U26" s="473"/>
      <c r="V26" s="473"/>
      <c r="W26" s="22"/>
      <c r="Z26" s="1389"/>
      <c r="AA26" s="1402">
        <v>12</v>
      </c>
      <c r="AB26" s="100" t="e">
        <f>CONCATENATE(#REF!)</f>
        <v>#REF!</v>
      </c>
      <c r="AC26" s="100"/>
      <c r="AD26" s="84" t="str">
        <f>IF(ISERROR(VLOOKUP(AB26,#REF!,2,0)),"",(VLOOKUP(AB26,#REF!,2,0)))</f>
        <v/>
      </c>
      <c r="AE26" s="84" t="str">
        <f>IF(ISERROR(VLOOKUP(AB26,#REF!,3,0)),"",(VLOOKUP(AB26,#REF!,3,0)))</f>
        <v/>
      </c>
      <c r="AF26" s="84" t="str">
        <f>IF(ISERROR(VLOOKUP(AB26,#REF!,4,0)),"",(VLOOKUP(AB26,#REF!,4,0)))</f>
        <v/>
      </c>
      <c r="AG26" s="84" t="str">
        <f>IF(ISERROR(VLOOKUP(AB26,#REF!,5,0)),"",(VLOOKUP(AB26,#REF!,5,0)))</f>
        <v/>
      </c>
      <c r="AH26" s="84" t="str">
        <f>CONCATENATE(IF(ISERROR(VLOOKUP(AB26,#REF!,6,0)),"",(VLOOKUP(AB26,#REF!,6,0))))</f>
        <v/>
      </c>
      <c r="AI26" s="84" t="str">
        <f>IF(ISERROR(VLOOKUP(AB26,#REF!,7,0)),"",(VLOOKUP(AB26,#REF!,7,0)))</f>
        <v/>
      </c>
      <c r="AJ26" s="84" t="str">
        <f>IF(ISERROR(VLOOKUP(AB26,#REF!,8,0)),"",(VLOOKUP(AB26,#REF!,8,0)))</f>
        <v/>
      </c>
      <c r="AK26" s="84" t="str">
        <f>IF(ISERROR(VLOOKUP(AB26,#REF!,9,0)),"",(VLOOKUP(AB26,#REF!,9,0)))</f>
        <v/>
      </c>
      <c r="AL26" s="84" t="str">
        <f>IF(ISERROR(VLOOKUP(AB26,#REF!,10,0)),"",(VLOOKUP(AB26,#REF!,10,0)))</f>
        <v/>
      </c>
      <c r="AM26" s="84" t="str">
        <f>IF(ISERROR(VLOOKUP(AB26,#REF!,11,0)),"",(VLOOKUP(AB26,#REF!,11,0)))</f>
        <v/>
      </c>
      <c r="AN26" s="84" t="str">
        <f>IF(ISERROR(VLOOKUP(AB26,#REF!,12,0)),"",(VLOOKUP(AB26,#REF!,12,0)))</f>
        <v/>
      </c>
      <c r="AO26" s="84" t="str">
        <f>IF(ISERROR(VLOOKUP(AB26,#REF!,13,0)),"",(VLOOKUP(AB26,#REF!,13,0)))</f>
        <v/>
      </c>
    </row>
    <row r="27" spans="1:41" ht="17.25" thickTop="1" thickBot="1">
      <c r="A27" s="34"/>
      <c r="B27" s="34"/>
      <c r="C27" s="33"/>
      <c r="D27" s="33"/>
      <c r="E27" s="33"/>
      <c r="F27" s="33"/>
      <c r="G27" s="33"/>
      <c r="H27" s="33"/>
      <c r="I27" s="33"/>
      <c r="J27" s="33"/>
      <c r="K27" s="34"/>
      <c r="L27" s="34"/>
      <c r="M27" s="33"/>
      <c r="N27" s="33"/>
      <c r="O27" s="77"/>
      <c r="P27" s="77"/>
      <c r="Q27" s="78"/>
      <c r="R27" s="22"/>
      <c r="S27" s="467">
        <v>25</v>
      </c>
      <c r="T27" s="473" t="s">
        <v>2243</v>
      </c>
      <c r="U27" s="473"/>
      <c r="V27" s="473"/>
      <c r="W27" s="22"/>
      <c r="Z27" s="1389"/>
      <c r="AA27" s="1402"/>
      <c r="AB27" s="100" t="s">
        <v>447</v>
      </c>
      <c r="AC27" s="100" t="e">
        <f>AB26</f>
        <v>#REF!</v>
      </c>
      <c r="AD27" s="85" t="str">
        <f>IF(ISERROR(VLOOKUP(AD26,#REF!,8,0)),"",(VLOOKUP(AD26,#REF!,8,0)))</f>
        <v/>
      </c>
      <c r="AE27" s="85" t="str">
        <f>IF(ISERROR(VLOOKUP(AE26,#REF!,8,0)),"",(VLOOKUP(AE26,#REF!,8,0)))</f>
        <v/>
      </c>
      <c r="AF27" s="85" t="str">
        <f>IF(ISERROR(VLOOKUP(AF26,#REF!,8,0)),"",(VLOOKUP(AF26,#REF!,8,0)))</f>
        <v/>
      </c>
      <c r="AG27" s="85" t="str">
        <f>IF(ISERROR(VLOOKUP(AG26,#REF!,8,0)),"",(VLOOKUP(AG26,#REF!,8,0)))</f>
        <v/>
      </c>
      <c r="AH27" s="85" t="str">
        <f>IF(ISERROR(VLOOKUP(AH26,#REF!,8,0)),"",(VLOOKUP(AH26,#REF!,8,0)))</f>
        <v/>
      </c>
      <c r="AI27" s="85" t="str">
        <f>IF(ISERROR(VLOOKUP(AI26,#REF!,8,0)),"",(VLOOKUP(AI26,#REF!,8,0)))</f>
        <v/>
      </c>
      <c r="AJ27" s="85" t="str">
        <f>IF(ISERROR(VLOOKUP(AJ26,#REF!,8,0)),"",(VLOOKUP(AJ26,#REF!,8,0)))</f>
        <v/>
      </c>
      <c r="AK27" s="85" t="str">
        <f>IF(ISERROR(VLOOKUP(AK26,#REF!,8,0)),"",(VLOOKUP(AK26,#REF!,8,0)))</f>
        <v/>
      </c>
      <c r="AL27" s="85" t="str">
        <f>IF(ISERROR(VLOOKUP(AL26,#REF!,8,0)),"",(VLOOKUP(AL26,#REF!,8,0)))</f>
        <v/>
      </c>
      <c r="AM27" s="85" t="str">
        <f>IF(ISERROR(VLOOKUP(AM26,#REF!,8,0)),"",(VLOOKUP(AM26,#REF!,8,0)))</f>
        <v/>
      </c>
      <c r="AN27" s="85" t="str">
        <f>IF(ISERROR(VLOOKUP(AN26,#REF!,8,0)),"",(VLOOKUP(AN26,#REF!,8,0)))</f>
        <v/>
      </c>
      <c r="AO27" s="85" t="str">
        <f>IF(ISERROR(VLOOKUP(AO26,#REF!,8,0)),"",(VLOOKUP(AO26,#REF!,8,0)))</f>
        <v/>
      </c>
    </row>
    <row r="28" spans="1:41" ht="19.5" thickTop="1" thickBot="1">
      <c r="A28" s="1321" t="s">
        <v>467</v>
      </c>
      <c r="B28" s="1322"/>
      <c r="C28" s="1323" t="s">
        <v>380</v>
      </c>
      <c r="D28" s="1323"/>
      <c r="E28" s="1323" t="s">
        <v>380</v>
      </c>
      <c r="F28" s="1323"/>
      <c r="G28" s="250"/>
      <c r="H28" s="250" t="s">
        <v>468</v>
      </c>
      <c r="I28" s="1295" t="s">
        <v>402</v>
      </c>
      <c r="J28" s="1295"/>
      <c r="K28" s="1295"/>
      <c r="L28" s="102" t="s">
        <v>403</v>
      </c>
      <c r="M28" s="1331">
        <f ca="1">TODAY()</f>
        <v>45944</v>
      </c>
      <c r="N28" s="1331"/>
      <c r="O28" s="77"/>
      <c r="P28" s="77"/>
      <c r="Q28" s="78"/>
      <c r="R28" s="22"/>
      <c r="S28" s="22"/>
      <c r="T28" s="22"/>
      <c r="U28" s="22"/>
      <c r="V28" s="22"/>
      <c r="W28" s="22"/>
      <c r="Z28" s="1389"/>
      <c r="AA28" s="1402">
        <v>13</v>
      </c>
      <c r="AB28" s="100" t="e">
        <f>CONCATENATE(#REF!)</f>
        <v>#REF!</v>
      </c>
      <c r="AC28" s="100"/>
      <c r="AD28" s="84" t="str">
        <f>IF(ISERROR(VLOOKUP(AB28,#REF!,2,0)),"",(VLOOKUP(AB28,#REF!,2,0)))</f>
        <v/>
      </c>
      <c r="AE28" s="84" t="str">
        <f>IF(ISERROR(VLOOKUP(AB28,#REF!,3,0)),"",(VLOOKUP(AB28,#REF!,3,0)))</f>
        <v/>
      </c>
      <c r="AF28" s="84" t="str">
        <f>IF(ISERROR(VLOOKUP(AB28,#REF!,4,0)),"",(VLOOKUP(AB28,#REF!,4,0)))</f>
        <v/>
      </c>
      <c r="AG28" s="84" t="str">
        <f>IF(ISERROR(VLOOKUP(AB28,#REF!,5,0)),"",(VLOOKUP(AB28,#REF!,5,0)))</f>
        <v/>
      </c>
      <c r="AH28" s="84" t="str">
        <f>CONCATENATE(IF(ISERROR(VLOOKUP(AB28,#REF!,6,0)),"",(VLOOKUP(AB28,#REF!,6,0))))</f>
        <v/>
      </c>
      <c r="AI28" s="84" t="str">
        <f>IF(ISERROR(VLOOKUP(AB28,#REF!,7,0)),"",(VLOOKUP(AB28,#REF!,7,0)))</f>
        <v/>
      </c>
      <c r="AJ28" s="84" t="str">
        <f>IF(ISERROR(VLOOKUP(AB28,#REF!,8,0)),"",(VLOOKUP(AB28,#REF!,8,0)))</f>
        <v/>
      </c>
      <c r="AK28" s="84" t="str">
        <f>IF(ISERROR(VLOOKUP(AB28,#REF!,9,0)),"",(VLOOKUP(AB28,#REF!,9,0)))</f>
        <v/>
      </c>
      <c r="AL28" s="84" t="str">
        <f>IF(ISERROR(VLOOKUP(AB28,#REF!,10,0)),"",(VLOOKUP(AB28,#REF!,10,0)))</f>
        <v/>
      </c>
      <c r="AM28" s="84" t="str">
        <f>IF(ISERROR(VLOOKUP(AB28,#REF!,11,0)),"",(VLOOKUP(AB28,#REF!,11,0)))</f>
        <v/>
      </c>
      <c r="AN28" s="84" t="str">
        <f>IF(ISERROR(VLOOKUP(AB28,#REF!,12,0)),"",(VLOOKUP(AB28,#REF!,12,0)))</f>
        <v/>
      </c>
      <c r="AO28" s="84" t="str">
        <f>IF(ISERROR(VLOOKUP(AB28,#REF!,13,0)),"",(VLOOKUP(AB28,#REF!,13,0)))</f>
        <v/>
      </c>
    </row>
    <row r="29" spans="1:41" ht="19.5" thickTop="1" thickBot="1">
      <c r="A29" s="1321" t="s">
        <v>469</v>
      </c>
      <c r="B29" s="1322"/>
      <c r="C29" s="1323" t="s">
        <v>380</v>
      </c>
      <c r="D29" s="1323"/>
      <c r="E29" s="1323" t="s">
        <v>380</v>
      </c>
      <c r="F29" s="1323"/>
      <c r="G29" s="250"/>
      <c r="H29" s="250"/>
      <c r="I29" s="250"/>
      <c r="J29" s="250"/>
      <c r="K29" s="102"/>
      <c r="L29" s="102"/>
      <c r="M29" s="33"/>
      <c r="N29" s="33"/>
      <c r="O29" s="77"/>
      <c r="P29" s="77"/>
      <c r="Q29" s="78"/>
      <c r="R29" s="22"/>
      <c r="S29" s="22"/>
      <c r="T29" s="22"/>
      <c r="U29" s="22"/>
      <c r="V29" s="22"/>
      <c r="W29" s="22"/>
      <c r="Z29" s="1389"/>
      <c r="AA29" s="1402"/>
      <c r="AB29" s="100" t="s">
        <v>447</v>
      </c>
      <c r="AC29" s="100" t="e">
        <f>AB28</f>
        <v>#REF!</v>
      </c>
      <c r="AD29" s="85" t="str">
        <f>IF(ISERROR(VLOOKUP(AD28,#REF!,8,0)),"",(VLOOKUP(AD28,#REF!,8,0)))</f>
        <v/>
      </c>
      <c r="AE29" s="85" t="str">
        <f>IF(ISERROR(VLOOKUP(AE28,#REF!,8,0)),"",(VLOOKUP(AE28,#REF!,8,0)))</f>
        <v/>
      </c>
      <c r="AF29" s="85" t="str">
        <f>IF(ISERROR(VLOOKUP(AF28,#REF!,8,0)),"",(VLOOKUP(AF28,#REF!,8,0)))</f>
        <v/>
      </c>
      <c r="AG29" s="85" t="str">
        <f>IF(ISERROR(VLOOKUP(AG28,#REF!,8,0)),"",(VLOOKUP(AG28,#REF!,8,0)))</f>
        <v/>
      </c>
      <c r="AH29" s="85" t="str">
        <f>IF(ISERROR(VLOOKUP(AH28,#REF!,8,0)),"",(VLOOKUP(AH28,#REF!,8,0)))</f>
        <v/>
      </c>
      <c r="AI29" s="85" t="str">
        <f>IF(ISERROR(VLOOKUP(AI28,#REF!,8,0)),"",(VLOOKUP(AI28,#REF!,8,0)))</f>
        <v/>
      </c>
      <c r="AJ29" s="85" t="str">
        <f>IF(ISERROR(VLOOKUP(AJ28,#REF!,8,0)),"",(VLOOKUP(AJ28,#REF!,8,0)))</f>
        <v/>
      </c>
      <c r="AK29" s="85" t="str">
        <f>IF(ISERROR(VLOOKUP(AK28,#REF!,8,0)),"",(VLOOKUP(AK28,#REF!,8,0)))</f>
        <v/>
      </c>
      <c r="AL29" s="85" t="str">
        <f>IF(ISERROR(VLOOKUP(AL28,#REF!,8,0)),"",(VLOOKUP(AL28,#REF!,8,0)))</f>
        <v/>
      </c>
      <c r="AM29" s="85" t="str">
        <f>IF(ISERROR(VLOOKUP(AM28,#REF!,8,0)),"",(VLOOKUP(AM28,#REF!,8,0)))</f>
        <v/>
      </c>
      <c r="AN29" s="85" t="str">
        <f>IF(ISERROR(VLOOKUP(AN28,#REF!,8,0)),"",(VLOOKUP(AN28,#REF!,8,0)))</f>
        <v/>
      </c>
      <c r="AO29" s="85" t="str">
        <f>IF(ISERROR(VLOOKUP(AO28,#REF!,8,0)),"",(VLOOKUP(AO28,#REF!,8,0)))</f>
        <v/>
      </c>
    </row>
    <row r="30" spans="1:41" ht="19.5" thickTop="1" thickBot="1">
      <c r="A30" s="1321" t="s">
        <v>470</v>
      </c>
      <c r="B30" s="1322"/>
      <c r="C30" s="1323" t="s">
        <v>380</v>
      </c>
      <c r="D30" s="1323"/>
      <c r="E30" s="1323" t="s">
        <v>380</v>
      </c>
      <c r="F30" s="1323"/>
      <c r="G30" s="250"/>
      <c r="H30" s="250"/>
      <c r="I30" s="250"/>
      <c r="J30" s="250" t="s">
        <v>471</v>
      </c>
      <c r="K30" s="102"/>
      <c r="L30" s="102"/>
      <c r="M30" s="33"/>
      <c r="N30" s="33"/>
      <c r="O30" s="77"/>
      <c r="P30" s="77"/>
      <c r="Q30" s="78"/>
      <c r="Z30" s="1389"/>
      <c r="AA30" s="1402">
        <v>14</v>
      </c>
      <c r="AB30" s="100" t="e">
        <f>CONCATENATE(#REF!)</f>
        <v>#REF!</v>
      </c>
      <c r="AC30" s="100"/>
      <c r="AD30" s="84" t="str">
        <f>IF(ISERROR(VLOOKUP(AB30,#REF!,2,0)),"",(VLOOKUP(AB30,#REF!,2,0)))</f>
        <v/>
      </c>
      <c r="AE30" s="84" t="str">
        <f>IF(ISERROR(VLOOKUP(AB30,#REF!,3,0)),"",(VLOOKUP(AB30,#REF!,3,0)))</f>
        <v/>
      </c>
      <c r="AF30" s="84" t="str">
        <f>IF(ISERROR(VLOOKUP(AB30,#REF!,4,0)),"",(VLOOKUP(AB30,#REF!,4,0)))</f>
        <v/>
      </c>
      <c r="AG30" s="84" t="str">
        <f>IF(ISERROR(VLOOKUP(AB30,#REF!,5,0)),"",(VLOOKUP(AB30,#REF!,5,0)))</f>
        <v/>
      </c>
      <c r="AH30" s="84" t="str">
        <f>CONCATENATE(IF(ISERROR(VLOOKUP(AB30,#REF!,6,0)),"",(VLOOKUP(AB30,#REF!,6,0))))</f>
        <v/>
      </c>
      <c r="AI30" s="84" t="str">
        <f>IF(ISERROR(VLOOKUP(AB30,#REF!,7,0)),"",(VLOOKUP(AB30,#REF!,7,0)))</f>
        <v/>
      </c>
      <c r="AJ30" s="84" t="str">
        <f>IF(ISERROR(VLOOKUP(AB30,#REF!,8,0)),"",(VLOOKUP(AB30,#REF!,8,0)))</f>
        <v/>
      </c>
      <c r="AK30" s="84" t="str">
        <f>IF(ISERROR(VLOOKUP(AB30,#REF!,9,0)),"",(VLOOKUP(AB30,#REF!,9,0)))</f>
        <v/>
      </c>
      <c r="AL30" s="84" t="str">
        <f>IF(ISERROR(VLOOKUP(AB30,#REF!,10,0)),"",(VLOOKUP(AB30,#REF!,10,0)))</f>
        <v/>
      </c>
      <c r="AM30" s="84" t="str">
        <f>IF(ISERROR(VLOOKUP(AB30,#REF!,11,0)),"",(VLOOKUP(AB30,#REF!,11,0)))</f>
        <v/>
      </c>
      <c r="AN30" s="84" t="str">
        <f>IF(ISERROR(VLOOKUP(AB30,#REF!,12,0)),"",(VLOOKUP(AB30,#REF!,12,0)))</f>
        <v/>
      </c>
      <c r="AO30" s="84" t="str">
        <f>IF(ISERROR(VLOOKUP(AB30,#REF!,13,0)),"",(VLOOKUP(AB30,#REF!,13,0)))</f>
        <v/>
      </c>
    </row>
    <row r="31" spans="1:41" ht="24" thickTop="1">
      <c r="A31" s="102"/>
      <c r="B31" s="102"/>
      <c r="C31" s="250"/>
      <c r="D31" s="250"/>
      <c r="E31" s="250"/>
      <c r="F31" s="250"/>
      <c r="G31" s="33"/>
      <c r="H31" s="103" t="s">
        <v>406</v>
      </c>
      <c r="I31" s="33"/>
      <c r="J31" s="34"/>
      <c r="K31" s="34"/>
      <c r="L31" s="33"/>
      <c r="M31" s="33"/>
      <c r="N31" s="104"/>
      <c r="O31" s="77"/>
      <c r="P31" s="77"/>
      <c r="Q31" s="78"/>
      <c r="Z31" s="1398"/>
      <c r="AA31" s="1402"/>
      <c r="AB31" s="100" t="s">
        <v>447</v>
      </c>
      <c r="AC31" s="100" t="e">
        <f>AB30</f>
        <v>#REF!</v>
      </c>
      <c r="AD31" s="85" t="str">
        <f>IF(ISERROR(VLOOKUP(AD30,#REF!,8,0)),"",(VLOOKUP(AD30,#REF!,8,0)))</f>
        <v/>
      </c>
      <c r="AE31" s="85" t="str">
        <f>IF(ISERROR(VLOOKUP(AE30,#REF!,8,0)),"",(VLOOKUP(AE30,#REF!,8,0)))</f>
        <v/>
      </c>
      <c r="AF31" s="85" t="str">
        <f>IF(ISERROR(VLOOKUP(AF30,#REF!,8,0)),"",(VLOOKUP(AF30,#REF!,8,0)))</f>
        <v/>
      </c>
      <c r="AG31" s="85" t="str">
        <f>IF(ISERROR(VLOOKUP(AG30,#REF!,8,0)),"",(VLOOKUP(AG30,#REF!,8,0)))</f>
        <v/>
      </c>
      <c r="AH31" s="85" t="str">
        <f>IF(ISERROR(VLOOKUP(AH30,#REF!,8,0)),"",(VLOOKUP(AH30,#REF!,8,0)))</f>
        <v/>
      </c>
      <c r="AI31" s="85" t="str">
        <f>IF(ISERROR(VLOOKUP(AI30,#REF!,8,0)),"",(VLOOKUP(AI30,#REF!,8,0)))</f>
        <v/>
      </c>
      <c r="AJ31" s="85" t="str">
        <f>IF(ISERROR(VLOOKUP(AJ30,#REF!,8,0)),"",(VLOOKUP(AJ30,#REF!,8,0)))</f>
        <v/>
      </c>
      <c r="AK31" s="85" t="str">
        <f>IF(ISERROR(VLOOKUP(AK30,#REF!,8,0)),"",(VLOOKUP(AK30,#REF!,8,0)))</f>
        <v/>
      </c>
      <c r="AL31" s="85" t="str">
        <f>IF(ISERROR(VLOOKUP(AL30,#REF!,8,0)),"",(VLOOKUP(AL30,#REF!,8,0)))</f>
        <v/>
      </c>
      <c r="AM31" s="85" t="str">
        <f>IF(ISERROR(VLOOKUP(AM30,#REF!,8,0)),"",(VLOOKUP(AM30,#REF!,8,0)))</f>
        <v/>
      </c>
      <c r="AN31" s="85" t="str">
        <f>IF(ISERROR(VLOOKUP(AN30,#REF!,8,0)),"",(VLOOKUP(AN30,#REF!,8,0)))</f>
        <v/>
      </c>
      <c r="AO31" s="85" t="str">
        <f>IF(ISERROR(VLOOKUP(AO30,#REF!,8,0)),"",(VLOOKUP(AO30,#REF!,8,0)))</f>
        <v/>
      </c>
    </row>
    <row r="32" spans="1:41" ht="18">
      <c r="A32" s="1295" t="s">
        <v>78</v>
      </c>
      <c r="B32" s="1295"/>
      <c r="C32" s="1295"/>
      <c r="D32" s="1295"/>
      <c r="E32" s="1295"/>
      <c r="F32" s="1295"/>
      <c r="G32" s="1295"/>
      <c r="H32" s="1295"/>
      <c r="I32" s="1295"/>
      <c r="J32" s="1295"/>
      <c r="K32" s="1295"/>
      <c r="L32" s="1295"/>
      <c r="M32" s="1295"/>
      <c r="N32" s="1295"/>
      <c r="O32" s="77"/>
      <c r="P32" s="77"/>
      <c r="Q32" s="78"/>
      <c r="Z32" s="1388" t="s">
        <v>472</v>
      </c>
      <c r="AA32" s="1399">
        <v>15</v>
      </c>
      <c r="AB32" s="105" t="e">
        <f>CONCATENATE(#REF!)</f>
        <v>#REF!</v>
      </c>
      <c r="AC32" s="105"/>
      <c r="AD32" s="84" t="str">
        <f>IF(ISERROR(VLOOKUP(AB32,#REF!,2,0)),"",(VLOOKUP(AB32,#REF!,2,0)))</f>
        <v/>
      </c>
      <c r="AE32" s="84" t="str">
        <f>IF(ISERROR(VLOOKUP(AB32,#REF!,3,0)),"",(VLOOKUP(AB32,#REF!,3,0)))</f>
        <v/>
      </c>
      <c r="AF32" s="84" t="str">
        <f>IF(ISERROR(VLOOKUP(AB32,#REF!,4,0)),"",(VLOOKUP(AB32,#REF!,4,0)))</f>
        <v/>
      </c>
      <c r="AG32" s="84" t="str">
        <f>IF(ISERROR(VLOOKUP(AB32,#REF!,5,0)),"",(VLOOKUP(AB32,#REF!,5,0)))</f>
        <v/>
      </c>
      <c r="AH32" s="84" t="str">
        <f>CONCATENATE(IF(ISERROR(VLOOKUP(AB32,#REF!,6,0)),"",(VLOOKUP(AB32,#REF!,6,0))))</f>
        <v/>
      </c>
      <c r="AI32" s="84" t="str">
        <f>IF(ISERROR(VLOOKUP(AB32,#REF!,7,0)),"",(VLOOKUP(AB32,#REF!,7,0)))</f>
        <v/>
      </c>
      <c r="AJ32" s="84" t="str">
        <f>IF(ISERROR(VLOOKUP(AB32,#REF!,8,0)),"",(VLOOKUP(AB32,#REF!,8,0)))</f>
        <v/>
      </c>
      <c r="AK32" s="84" t="str">
        <f>IF(ISERROR(VLOOKUP(AB32,#REF!,9,0)),"",(VLOOKUP(AB32,#REF!,9,0)))</f>
        <v/>
      </c>
      <c r="AL32" s="84" t="str">
        <f>IF(ISERROR(VLOOKUP(AB32,#REF!,10,0)),"",(VLOOKUP(AB32,#REF!,10,0)))</f>
        <v/>
      </c>
      <c r="AM32" s="84" t="str">
        <f>IF(ISERROR(VLOOKUP(AB32,#REF!,11,0)),"",(VLOOKUP(AB32,#REF!,11,0)))</f>
        <v/>
      </c>
      <c r="AN32" s="84" t="str">
        <f>IF(ISERROR(VLOOKUP(AB32,#REF!,12,0)),"",(VLOOKUP(AB32,#REF!,12,0)))</f>
        <v/>
      </c>
      <c r="AO32" s="84" t="str">
        <f>IF(ISERROR(VLOOKUP(AB32,#REF!,13,0)),"",(VLOOKUP(AB32,#REF!,13,0)))</f>
        <v/>
      </c>
    </row>
    <row r="33" spans="1:41" ht="18">
      <c r="A33" s="1295" t="s">
        <v>79</v>
      </c>
      <c r="B33" s="1295"/>
      <c r="C33" s="1295"/>
      <c r="D33" s="1295"/>
      <c r="E33" s="1295"/>
      <c r="F33" s="1295"/>
      <c r="G33" s="1295"/>
      <c r="H33" s="1295"/>
      <c r="I33" s="1295"/>
      <c r="J33" s="1295"/>
      <c r="K33" s="1295"/>
      <c r="L33" s="1295"/>
      <c r="M33" s="1295"/>
      <c r="N33" s="1295"/>
      <c r="O33" s="77"/>
      <c r="P33" s="77"/>
      <c r="Q33" s="78"/>
      <c r="Z33" s="1389"/>
      <c r="AA33" s="1400"/>
      <c r="AB33" s="105" t="s">
        <v>447</v>
      </c>
      <c r="AC33" s="105" t="e">
        <f>AB32</f>
        <v>#REF!</v>
      </c>
      <c r="AD33" s="85" t="str">
        <f>IF(ISERROR(VLOOKUP(AD32,#REF!,10,0)),"",(VLOOKUP(AD32,#REF!,10,0)))</f>
        <v/>
      </c>
      <c r="AE33" s="85" t="str">
        <f>IF(ISERROR(VLOOKUP(AE32,#REF!,10,0)),"",(VLOOKUP(AE32,#REF!,10,0)))</f>
        <v/>
      </c>
      <c r="AF33" s="85" t="str">
        <f>IF(ISERROR(VLOOKUP(AF32,#REF!,10,0)),"",(VLOOKUP(AF32,#REF!,10,0)))</f>
        <v/>
      </c>
      <c r="AG33" s="85" t="str">
        <f>IF(ISERROR(VLOOKUP(AG32,#REF!,10,0)),"",(VLOOKUP(AG32,#REF!,10,0)))</f>
        <v/>
      </c>
      <c r="AH33" s="85" t="str">
        <f>IF(ISERROR(VLOOKUP(AH32,#REF!,10,0)),"",(VLOOKUP(AH32,#REF!,10,0)))</f>
        <v/>
      </c>
      <c r="AI33" s="85" t="str">
        <f>IF(ISERROR(VLOOKUP(AI32,#REF!,10,0)),"",(VLOOKUP(AI32,#REF!,10,0)))</f>
        <v/>
      </c>
      <c r="AJ33" s="85" t="str">
        <f>IF(ISERROR(VLOOKUP(AJ32,#REF!,10,0)),"",(VLOOKUP(AJ32,#REF!,10,0)))</f>
        <v/>
      </c>
      <c r="AK33" s="85" t="str">
        <f>IF(ISERROR(VLOOKUP(AK32,#REF!,10,0)),"",(VLOOKUP(AK32,#REF!,10,0)))</f>
        <v/>
      </c>
      <c r="AL33" s="85" t="str">
        <f>IF(ISERROR(VLOOKUP(AL32,#REF!,10,0)),"",(VLOOKUP(AL32,#REF!,10,0)))</f>
        <v/>
      </c>
      <c r="AM33" s="85" t="str">
        <f>IF(ISERROR(VLOOKUP(AM32,#REF!,10,0)),"",(VLOOKUP(AM32,#REF!,10,0)))</f>
        <v/>
      </c>
      <c r="AN33" s="85" t="str">
        <f>IF(ISERROR(VLOOKUP(AN32,#REF!,10,0)),"",(VLOOKUP(AN32,#REF!,10,0)))</f>
        <v/>
      </c>
      <c r="AO33" s="85" t="str">
        <f>IF(ISERROR(VLOOKUP(AO32,#REF!,10,0)),"",(VLOOKUP(AO32,#REF!,10,0)))</f>
        <v/>
      </c>
    </row>
    <row r="34" spans="1:41" ht="18">
      <c r="A34" s="168" t="s">
        <v>220</v>
      </c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33"/>
      <c r="N34" s="33"/>
      <c r="O34" s="77"/>
      <c r="P34" s="77"/>
      <c r="Q34" s="78"/>
      <c r="Z34" s="1389"/>
      <c r="AA34" s="1393">
        <v>16</v>
      </c>
      <c r="AB34" s="105" t="e">
        <f>CONCATENATE(#REF!)</f>
        <v>#REF!</v>
      </c>
      <c r="AC34" s="105"/>
      <c r="AD34" s="84" t="str">
        <f>IF(ISERROR(VLOOKUP(AB34,#REF!,2,0)),"",(VLOOKUP(AB34,#REF!,2,0)))</f>
        <v/>
      </c>
      <c r="AE34" s="84" t="str">
        <f>IF(ISERROR(VLOOKUP(AB34,#REF!,3,0)),"",(VLOOKUP(AB34,#REF!,3,0)))</f>
        <v/>
      </c>
      <c r="AF34" s="84" t="str">
        <f>IF(ISERROR(VLOOKUP(AB34,#REF!,4,0)),"",(VLOOKUP(AB34,#REF!,4,0)))</f>
        <v/>
      </c>
      <c r="AG34" s="84" t="str">
        <f>IF(ISERROR(VLOOKUP(AB34,#REF!,5,0)),"",(VLOOKUP(AB34,#REF!,5,0)))</f>
        <v/>
      </c>
      <c r="AH34" s="84" t="str">
        <f>CONCATENATE(IF(ISERROR(VLOOKUP(AB34,#REF!,6,0)),"",(VLOOKUP(AB34,#REF!,6,0))))</f>
        <v/>
      </c>
      <c r="AI34" s="84" t="str">
        <f>IF(ISERROR(VLOOKUP(AB34,#REF!,7,0)),"",(VLOOKUP(AB34,#REF!,7,0)))</f>
        <v/>
      </c>
      <c r="AJ34" s="84" t="str">
        <f>IF(ISERROR(VLOOKUP(AB34,#REF!,8,0)),"",(VLOOKUP(AB34,#REF!,8,0)))</f>
        <v/>
      </c>
      <c r="AK34" s="84" t="str">
        <f>IF(ISERROR(VLOOKUP(AB34,#REF!,9,0)),"",(VLOOKUP(AB34,#REF!,9,0)))</f>
        <v/>
      </c>
      <c r="AL34" s="84" t="str">
        <f>IF(ISERROR(VLOOKUP(AB34,#REF!,10,0)),"",(VLOOKUP(AB34,#REF!,10,0)))</f>
        <v/>
      </c>
      <c r="AM34" s="84" t="str">
        <f>IF(ISERROR(VLOOKUP(AB34,#REF!,11,0)),"",(VLOOKUP(AB34,#REF!,11,0)))</f>
        <v/>
      </c>
      <c r="AN34" s="84" t="str">
        <f>IF(ISERROR(VLOOKUP(AB34,#REF!,12,0)),"",(VLOOKUP(AB34,#REF!,12,0)))</f>
        <v/>
      </c>
      <c r="AO34" s="84" t="str">
        <f>IF(ISERROR(VLOOKUP(AB34,#REF!,13,0)),"",(VLOOKUP(AB34,#REF!,13,0)))</f>
        <v/>
      </c>
    </row>
    <row r="35" spans="1:41" ht="18">
      <c r="A35" s="168" t="s">
        <v>444</v>
      </c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33"/>
      <c r="N35" s="33"/>
      <c r="O35" s="77"/>
      <c r="P35" s="77"/>
      <c r="Q35" s="78"/>
      <c r="Z35" s="1389"/>
      <c r="AA35" s="1393"/>
      <c r="AB35" s="105" t="s">
        <v>447</v>
      </c>
      <c r="AC35" s="105" t="e">
        <f>AB34</f>
        <v>#REF!</v>
      </c>
      <c r="AD35" s="85" t="str">
        <f>IF(ISERROR(VLOOKUP(AD34,#REF!,10,0)),"",(VLOOKUP(AD34,#REF!,10,0)))</f>
        <v/>
      </c>
      <c r="AE35" s="85" t="str">
        <f>IF(ISERROR(VLOOKUP(AE34,#REF!,10,0)),"",(VLOOKUP(AE34,#REF!,10,0)))</f>
        <v/>
      </c>
      <c r="AF35" s="85" t="str">
        <f>IF(ISERROR(VLOOKUP(AF34,#REF!,10,0)),"",(VLOOKUP(AF34,#REF!,10,0)))</f>
        <v/>
      </c>
      <c r="AG35" s="85" t="str">
        <f>IF(ISERROR(VLOOKUP(AG34,#REF!,10,0)),"",(VLOOKUP(AG34,#REF!,10,0)))</f>
        <v/>
      </c>
      <c r="AH35" s="85" t="str">
        <f>IF(ISERROR(VLOOKUP(AH34,#REF!,10,0)),"",(VLOOKUP(AH34,#REF!,10,0)))</f>
        <v/>
      </c>
      <c r="AI35" s="85" t="str">
        <f>IF(ISERROR(VLOOKUP(AI34,#REF!,10,0)),"",(VLOOKUP(AI34,#REF!,10,0)))</f>
        <v/>
      </c>
      <c r="AJ35" s="85" t="str">
        <f>IF(ISERROR(VLOOKUP(AJ34,#REF!,10,0)),"",(VLOOKUP(AJ34,#REF!,10,0)))</f>
        <v/>
      </c>
      <c r="AK35" s="85" t="str">
        <f>IF(ISERROR(VLOOKUP(AK34,#REF!,10,0)),"",(VLOOKUP(AK34,#REF!,10,0)))</f>
        <v/>
      </c>
      <c r="AL35" s="85" t="str">
        <f>IF(ISERROR(VLOOKUP(AL34,#REF!,10,0)),"",(VLOOKUP(AL34,#REF!,10,0)))</f>
        <v/>
      </c>
      <c r="AM35" s="85" t="str">
        <f>IF(ISERROR(VLOOKUP(AM34,#REF!,10,0)),"",(VLOOKUP(AM34,#REF!,10,0)))</f>
        <v/>
      </c>
      <c r="AN35" s="85" t="str">
        <f>IF(ISERROR(VLOOKUP(AN34,#REF!,10,0)),"",(VLOOKUP(AN34,#REF!,10,0)))</f>
        <v/>
      </c>
      <c r="AO35" s="85" t="str">
        <f>IF(ISERROR(VLOOKUP(AO34,#REF!,10,0)),"",(VLOOKUP(AO34,#REF!,10,0)))</f>
        <v/>
      </c>
    </row>
    <row r="36" spans="1:41" ht="18.75" thickBot="1">
      <c r="A36" s="250"/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33"/>
      <c r="N36" s="33"/>
      <c r="O36" s="77"/>
      <c r="P36" s="77"/>
      <c r="Q36" s="78"/>
      <c r="Z36" s="1389"/>
      <c r="AA36" s="1393">
        <v>17</v>
      </c>
      <c r="AB36" s="105" t="e">
        <f>CONCATENATE(#REF!)</f>
        <v>#REF!</v>
      </c>
      <c r="AC36" s="105"/>
      <c r="AD36" s="84" t="str">
        <f>IF(ISERROR(VLOOKUP(AB36,#REF!,2,0)),"",(VLOOKUP(AB36,#REF!,2,0)))</f>
        <v/>
      </c>
      <c r="AE36" s="84" t="str">
        <f>IF(ISERROR(VLOOKUP(AB36,#REF!,3,0)),"",(VLOOKUP(AB36,#REF!,3,0)))</f>
        <v/>
      </c>
      <c r="AF36" s="84" t="str">
        <f>IF(ISERROR(VLOOKUP(AB36,#REF!,4,0)),"",(VLOOKUP(AB36,#REF!,4,0)))</f>
        <v/>
      </c>
      <c r="AG36" s="84" t="str">
        <f>IF(ISERROR(VLOOKUP(AB36,#REF!,5,0)),"",(VLOOKUP(AB36,#REF!,5,0)))</f>
        <v/>
      </c>
      <c r="AH36" s="84" t="str">
        <f>CONCATENATE(IF(ISERROR(VLOOKUP(AB36,#REF!,6,0)),"",(VLOOKUP(AB36,#REF!,6,0))))</f>
        <v/>
      </c>
      <c r="AI36" s="84" t="str">
        <f>IF(ISERROR(VLOOKUP(AB36,#REF!,7,0)),"",(VLOOKUP(AB36,#REF!,7,0)))</f>
        <v/>
      </c>
      <c r="AJ36" s="84" t="str">
        <f>IF(ISERROR(VLOOKUP(AB36,#REF!,8,0)),"",(VLOOKUP(AB36,#REF!,8,0)))</f>
        <v/>
      </c>
      <c r="AK36" s="84" t="str">
        <f>IF(ISERROR(VLOOKUP(AB36,#REF!,9,0)),"",(VLOOKUP(AB36,#REF!,9,0)))</f>
        <v/>
      </c>
      <c r="AL36" s="84" t="str">
        <f>IF(ISERROR(VLOOKUP(AB36,#REF!,10,0)),"",(VLOOKUP(AB36,#REF!,10,0)))</f>
        <v/>
      </c>
      <c r="AM36" s="84" t="str">
        <f>IF(ISERROR(VLOOKUP(AB36,#REF!,11,0)),"",(VLOOKUP(AB36,#REF!,11,0)))</f>
        <v/>
      </c>
      <c r="AN36" s="84" t="str">
        <f>IF(ISERROR(VLOOKUP(AB36,#REF!,12,0)),"",(VLOOKUP(AB36,#REF!,12,0)))</f>
        <v/>
      </c>
      <c r="AO36" s="84" t="str">
        <f>IF(ISERROR(VLOOKUP(AB36,#REF!,13,0)),"",(VLOOKUP(AB36,#REF!,13,0)))</f>
        <v/>
      </c>
    </row>
    <row r="37" spans="1:41" ht="24" thickBot="1">
      <c r="A37" s="250"/>
      <c r="B37" s="250"/>
      <c r="C37" s="1333" t="s">
        <v>446</v>
      </c>
      <c r="D37" s="1334"/>
      <c r="E37" s="1334"/>
      <c r="F37" s="1334"/>
      <c r="G37" s="1334"/>
      <c r="H37" s="1334"/>
      <c r="I37" s="1334"/>
      <c r="J37" s="1334"/>
      <c r="K37" s="1334"/>
      <c r="L37" s="1335"/>
      <c r="M37" s="33"/>
      <c r="N37" s="33"/>
      <c r="O37" s="77"/>
      <c r="P37" s="77"/>
      <c r="Q37" s="78"/>
      <c r="Z37" s="1389"/>
      <c r="AA37" s="1393"/>
      <c r="AB37" s="105" t="s">
        <v>447</v>
      </c>
      <c r="AC37" s="105" t="e">
        <f>AB36</f>
        <v>#REF!</v>
      </c>
      <c r="AD37" s="85" t="str">
        <f>IF(ISERROR(VLOOKUP(AD36,#REF!,10,0)),"",(VLOOKUP(AD36,#REF!,10,0)))</f>
        <v/>
      </c>
      <c r="AE37" s="85" t="str">
        <f>IF(ISERROR(VLOOKUP(AE36,#REF!,10,0)),"",(VLOOKUP(AE36,#REF!,10,0)))</f>
        <v/>
      </c>
      <c r="AF37" s="85" t="str">
        <f>IF(ISERROR(VLOOKUP(AF36,#REF!,10,0)),"",(VLOOKUP(AF36,#REF!,10,0)))</f>
        <v/>
      </c>
      <c r="AG37" s="85" t="str">
        <f>IF(ISERROR(VLOOKUP(AG36,#REF!,10,0)),"",(VLOOKUP(AG36,#REF!,10,0)))</f>
        <v/>
      </c>
      <c r="AH37" s="85" t="str">
        <f>IF(ISERROR(VLOOKUP(AH36,#REF!,10,0)),"",(VLOOKUP(AH36,#REF!,10,0)))</f>
        <v/>
      </c>
      <c r="AI37" s="85" t="str">
        <f>IF(ISERROR(VLOOKUP(AI36,#REF!,10,0)),"",(VLOOKUP(AI36,#REF!,10,0)))</f>
        <v/>
      </c>
      <c r="AJ37" s="85" t="str">
        <f>IF(ISERROR(VLOOKUP(AJ36,#REF!,10,0)),"",(VLOOKUP(AJ36,#REF!,10,0)))</f>
        <v/>
      </c>
      <c r="AK37" s="85" t="str">
        <f>IF(ISERROR(VLOOKUP(AK36,#REF!,10,0)),"",(VLOOKUP(AK36,#REF!,10,0)))</f>
        <v/>
      </c>
      <c r="AL37" s="85" t="str">
        <f>IF(ISERROR(VLOOKUP(AL36,#REF!,10,0)),"",(VLOOKUP(AL36,#REF!,10,0)))</f>
        <v/>
      </c>
      <c r="AM37" s="85" t="str">
        <f>IF(ISERROR(VLOOKUP(AM36,#REF!,10,0)),"",(VLOOKUP(AM36,#REF!,10,0)))</f>
        <v/>
      </c>
      <c r="AN37" s="85" t="str">
        <f>IF(ISERROR(VLOOKUP(AN36,#REF!,10,0)),"",(VLOOKUP(AN36,#REF!,10,0)))</f>
        <v/>
      </c>
      <c r="AO37" s="85" t="str">
        <f>IF(ISERROR(VLOOKUP(AO36,#REF!,10,0)),"",(VLOOKUP(AO36,#REF!,10,0)))</f>
        <v/>
      </c>
    </row>
    <row r="38" spans="1:41" ht="23.25">
      <c r="A38" s="250"/>
      <c r="B38" s="250"/>
      <c r="C38" s="249"/>
      <c r="D38" s="249"/>
      <c r="E38" s="249"/>
      <c r="F38" s="249"/>
      <c r="G38" s="249"/>
      <c r="H38" s="249"/>
      <c r="I38" s="249"/>
      <c r="J38" s="249"/>
      <c r="K38" s="249"/>
      <c r="L38" s="249"/>
      <c r="M38" s="33"/>
      <c r="N38" s="33"/>
      <c r="O38" s="77"/>
      <c r="P38" s="77"/>
      <c r="Q38" s="78"/>
      <c r="Z38" s="1389"/>
      <c r="AA38" s="1393">
        <v>18</v>
      </c>
      <c r="AB38" s="105" t="e">
        <f>CONCATENATE(#REF!)</f>
        <v>#REF!</v>
      </c>
      <c r="AC38" s="105"/>
      <c r="AD38" s="84" t="str">
        <f>IF(ISERROR(VLOOKUP(AB38,#REF!,2,0)),"",(VLOOKUP(AB38,#REF!,2,0)))</f>
        <v/>
      </c>
      <c r="AE38" s="84" t="str">
        <f>IF(ISERROR(VLOOKUP(AB38,#REF!,3,0)),"",(VLOOKUP(AB38,#REF!,3,0)))</f>
        <v/>
      </c>
      <c r="AF38" s="84" t="str">
        <f>IF(ISERROR(VLOOKUP(AB38,#REF!,4,0)),"",(VLOOKUP(AB38,#REF!,4,0)))</f>
        <v/>
      </c>
      <c r="AG38" s="84" t="str">
        <f>IF(ISERROR(VLOOKUP(AB38,#REF!,5,0)),"",(VLOOKUP(AB38,#REF!,5,0)))</f>
        <v/>
      </c>
      <c r="AH38" s="84" t="str">
        <f>CONCATENATE(IF(ISERROR(VLOOKUP(AB38,#REF!,6,0)),"",(VLOOKUP(AB38,#REF!,6,0))))</f>
        <v/>
      </c>
      <c r="AI38" s="84" t="str">
        <f>IF(ISERROR(VLOOKUP(AB38,#REF!,7,0)),"",(VLOOKUP(AB38,#REF!,7,0)))</f>
        <v/>
      </c>
      <c r="AJ38" s="84" t="str">
        <f>IF(ISERROR(VLOOKUP(AB38,#REF!,8,0)),"",(VLOOKUP(AB38,#REF!,8,0)))</f>
        <v/>
      </c>
      <c r="AK38" s="84" t="str">
        <f>IF(ISERROR(VLOOKUP(AB38,#REF!,9,0)),"",(VLOOKUP(AB38,#REF!,9,0)))</f>
        <v/>
      </c>
      <c r="AL38" s="84" t="str">
        <f>IF(ISERROR(VLOOKUP(AB38,#REF!,10,0)),"",(VLOOKUP(AB38,#REF!,10,0)))</f>
        <v/>
      </c>
      <c r="AM38" s="84" t="str">
        <f>IF(ISERROR(VLOOKUP(AB38,#REF!,11,0)),"",(VLOOKUP(AB38,#REF!,11,0)))</f>
        <v/>
      </c>
      <c r="AN38" s="84" t="str">
        <f>IF(ISERROR(VLOOKUP(AB38,#REF!,12,0)),"",(VLOOKUP(AB38,#REF!,12,0)))</f>
        <v/>
      </c>
      <c r="AO38" s="84" t="str">
        <f>IF(ISERROR(VLOOKUP(AB38,#REF!,13,0)),"",(VLOOKUP(AB38,#REF!,13,0)))</f>
        <v/>
      </c>
    </row>
    <row r="39" spans="1:41" ht="23.25">
      <c r="A39" s="1295" t="s">
        <v>448</v>
      </c>
      <c r="B39" s="1295"/>
      <c r="C39" s="1295"/>
      <c r="E39" s="1294" t="s">
        <v>274</v>
      </c>
      <c r="F39" s="1294"/>
      <c r="G39" s="1294"/>
      <c r="H39" s="1294"/>
      <c r="I39" s="1294"/>
      <c r="J39" s="249"/>
      <c r="K39" s="249" t="s">
        <v>449</v>
      </c>
      <c r="L39" s="249"/>
      <c r="M39" s="1295" t="s">
        <v>262</v>
      </c>
      <c r="N39" s="1295"/>
      <c r="O39" s="1292" t="str">
        <f>E71</f>
        <v>فارحي مامة</v>
      </c>
      <c r="P39" s="1292"/>
      <c r="Q39" s="78">
        <v>2</v>
      </c>
      <c r="Z39" s="1389"/>
      <c r="AA39" s="1393"/>
      <c r="AB39" s="105" t="s">
        <v>447</v>
      </c>
      <c r="AC39" s="105" t="e">
        <f>AB38</f>
        <v>#REF!</v>
      </c>
      <c r="AD39" s="85" t="str">
        <f>IF(ISERROR(VLOOKUP(AD38,#REF!,10,0)),"",(VLOOKUP(AD38,#REF!,10,0)))</f>
        <v/>
      </c>
      <c r="AE39" s="85" t="str">
        <f>IF(ISERROR(VLOOKUP(AE38,#REF!,10,0)),"",(VLOOKUP(AE38,#REF!,10,0)))</f>
        <v/>
      </c>
      <c r="AF39" s="85" t="str">
        <f>IF(ISERROR(VLOOKUP(AF38,#REF!,10,0)),"",(VLOOKUP(AF38,#REF!,10,0)))</f>
        <v/>
      </c>
      <c r="AG39" s="85" t="str">
        <f>IF(ISERROR(VLOOKUP(AG38,#REF!,10,0)),"",(VLOOKUP(AG38,#REF!,10,0)))</f>
        <v/>
      </c>
      <c r="AH39" s="85" t="str">
        <f>IF(ISERROR(VLOOKUP(AH38,#REF!,10,0)),"",(VLOOKUP(AH38,#REF!,10,0)))</f>
        <v/>
      </c>
      <c r="AI39" s="85" t="str">
        <f>IF(ISERROR(VLOOKUP(AI38,#REF!,10,0)),"",(VLOOKUP(AI38,#REF!,10,0)))</f>
        <v/>
      </c>
      <c r="AJ39" s="85" t="str">
        <f>IF(ISERROR(VLOOKUP(AJ38,#REF!,10,0)),"",(VLOOKUP(AJ38,#REF!,10,0)))</f>
        <v/>
      </c>
      <c r="AK39" s="85" t="str">
        <f>IF(ISERROR(VLOOKUP(AK38,#REF!,10,0)),"",(VLOOKUP(AK38,#REF!,10,0)))</f>
        <v/>
      </c>
      <c r="AL39" s="85" t="str">
        <f>IF(ISERROR(VLOOKUP(AL38,#REF!,10,0)),"",(VLOOKUP(AL38,#REF!,10,0)))</f>
        <v/>
      </c>
      <c r="AM39" s="85" t="str">
        <f>IF(ISERROR(VLOOKUP(AM38,#REF!,10,0)),"",(VLOOKUP(AM38,#REF!,10,0)))</f>
        <v/>
      </c>
      <c r="AN39" s="85" t="str">
        <f>IF(ISERROR(VLOOKUP(AN38,#REF!,10,0)),"",(VLOOKUP(AN38,#REF!,10,0)))</f>
        <v/>
      </c>
      <c r="AO39" s="85" t="str">
        <f>IF(ISERROR(VLOOKUP(AO38,#REF!,10,0)),"",(VLOOKUP(AO38,#REF!,10,0)))</f>
        <v/>
      </c>
    </row>
    <row r="40" spans="1:41" ht="24" thickBot="1">
      <c r="A40" s="1340" t="s">
        <v>450</v>
      </c>
      <c r="B40" s="1340"/>
      <c r="C40" s="1340"/>
      <c r="D40" s="1340">
        <v>0</v>
      </c>
      <c r="E40" s="1340"/>
      <c r="F40" s="1340"/>
      <c r="G40" s="1340"/>
      <c r="H40" s="87"/>
      <c r="I40" s="1340" t="s">
        <v>452</v>
      </c>
      <c r="J40" s="1340"/>
      <c r="K40" s="1340"/>
      <c r="L40" s="1341" t="s">
        <v>0</v>
      </c>
      <c r="M40" s="1341"/>
      <c r="N40" s="1341"/>
      <c r="O40" s="1292"/>
      <c r="P40" s="1292"/>
      <c r="Q40" s="78"/>
      <c r="Z40" s="1389"/>
      <c r="AA40" s="1393">
        <v>19</v>
      </c>
      <c r="AB40" s="105" t="e">
        <f>CONCATENATE(#REF!)</f>
        <v>#REF!</v>
      </c>
      <c r="AC40" s="105"/>
      <c r="AD40" s="84" t="str">
        <f>IF(ISERROR(VLOOKUP(AB40,#REF!,2,0)),"",(VLOOKUP(AB40,#REF!,2,0)))</f>
        <v/>
      </c>
      <c r="AE40" s="84" t="str">
        <f>IF(ISERROR(VLOOKUP(AB40,#REF!,3,0)),"",(VLOOKUP(AB40,#REF!,3,0)))</f>
        <v/>
      </c>
      <c r="AF40" s="84" t="str">
        <f>IF(ISERROR(VLOOKUP(AB40,#REF!,4,0)),"",(VLOOKUP(AB40,#REF!,4,0)))</f>
        <v/>
      </c>
      <c r="AG40" s="84" t="str">
        <f>IF(ISERROR(VLOOKUP(AB40,#REF!,5,0)),"",(VLOOKUP(AB40,#REF!,5,0)))</f>
        <v/>
      </c>
      <c r="AH40" s="84" t="str">
        <f>CONCATENATE(IF(ISERROR(VLOOKUP(AB40,#REF!,6,0)),"",(VLOOKUP(AB40,#REF!,6,0))))</f>
        <v/>
      </c>
      <c r="AI40" s="84" t="str">
        <f>IF(ISERROR(VLOOKUP(AB40,#REF!,7,0)),"",(VLOOKUP(AB40,#REF!,7,0)))</f>
        <v/>
      </c>
      <c r="AJ40" s="84" t="str">
        <f>IF(ISERROR(VLOOKUP(AB40,#REF!,8,0)),"",(VLOOKUP(AB40,#REF!,8,0)))</f>
        <v/>
      </c>
      <c r="AK40" s="84" t="str">
        <f>IF(ISERROR(VLOOKUP(AB40,#REF!,9,0)),"",(VLOOKUP(AB40,#REF!,9,0)))</f>
        <v/>
      </c>
      <c r="AL40" s="84" t="str">
        <f>IF(ISERROR(VLOOKUP(AB40,#REF!,10,0)),"",(VLOOKUP(AB40,#REF!,10,0)))</f>
        <v/>
      </c>
      <c r="AM40" s="84" t="str">
        <f>IF(ISERROR(VLOOKUP(AB40,#REF!,11,0)),"",(VLOOKUP(AB40,#REF!,11,0)))</f>
        <v/>
      </c>
      <c r="AN40" s="84" t="str">
        <f>IF(ISERROR(VLOOKUP(AB40,#REF!,12,0)),"",(VLOOKUP(AB40,#REF!,12,0)))</f>
        <v/>
      </c>
      <c r="AO40" s="84" t="str">
        <f>IF(ISERROR(VLOOKUP(AB40,#REF!,13,0)),"",(VLOOKUP(AB40,#REF!,13,0)))</f>
        <v/>
      </c>
    </row>
    <row r="41" spans="1:41" ht="17.25" thickTop="1" thickBot="1">
      <c r="A41" s="1318" t="s">
        <v>453</v>
      </c>
      <c r="B41" s="1319"/>
      <c r="C41" s="88" t="s">
        <v>0</v>
      </c>
      <c r="D41" s="89" t="s">
        <v>1</v>
      </c>
      <c r="E41" s="89" t="s">
        <v>639</v>
      </c>
      <c r="F41" s="89" t="s">
        <v>828</v>
      </c>
      <c r="G41" s="89" t="s">
        <v>380</v>
      </c>
      <c r="H41" s="89" t="s">
        <v>380</v>
      </c>
      <c r="I41" s="89" t="s">
        <v>380</v>
      </c>
      <c r="J41" s="89" t="s">
        <v>380</v>
      </c>
      <c r="K41" s="89" t="s">
        <v>380</v>
      </c>
      <c r="L41" s="89" t="s">
        <v>380</v>
      </c>
      <c r="M41" s="89" t="s">
        <v>380</v>
      </c>
      <c r="N41" s="90" t="s">
        <v>380</v>
      </c>
      <c r="O41" s="77"/>
      <c r="P41" s="77"/>
      <c r="Q41" s="78"/>
      <c r="Z41" s="1389"/>
      <c r="AA41" s="1393"/>
      <c r="AB41" s="105" t="s">
        <v>447</v>
      </c>
      <c r="AC41" s="105" t="e">
        <f>AB40</f>
        <v>#REF!</v>
      </c>
      <c r="AD41" s="85" t="str">
        <f>IF(ISERROR(VLOOKUP(AD40,#REF!,10,0)),"",(VLOOKUP(AD40,#REF!,10,0)))</f>
        <v/>
      </c>
      <c r="AE41" s="85" t="str">
        <f>IF(ISERROR(VLOOKUP(AE40,#REF!,10,0)),"",(VLOOKUP(AE40,#REF!,10,0)))</f>
        <v/>
      </c>
      <c r="AF41" s="85" t="str">
        <f>IF(ISERROR(VLOOKUP(AF40,#REF!,10,0)),"",(VLOOKUP(AF40,#REF!,10,0)))</f>
        <v/>
      </c>
      <c r="AG41" s="85" t="str">
        <f>IF(ISERROR(VLOOKUP(AG40,#REF!,10,0)),"",(VLOOKUP(AG40,#REF!,10,0)))</f>
        <v/>
      </c>
      <c r="AH41" s="85" t="str">
        <f>IF(ISERROR(VLOOKUP(AH40,#REF!,10,0)),"",(VLOOKUP(AH40,#REF!,10,0)))</f>
        <v/>
      </c>
      <c r="AI41" s="85" t="str">
        <f>IF(ISERROR(VLOOKUP(AI40,#REF!,10,0)),"",(VLOOKUP(AI40,#REF!,10,0)))</f>
        <v/>
      </c>
      <c r="AJ41" s="85" t="str">
        <f>IF(ISERROR(VLOOKUP(AJ40,#REF!,10,0)),"",(VLOOKUP(AJ40,#REF!,10,0)))</f>
        <v/>
      </c>
      <c r="AK41" s="85" t="str">
        <f>IF(ISERROR(VLOOKUP(AK40,#REF!,10,0)),"",(VLOOKUP(AK40,#REF!,10,0)))</f>
        <v/>
      </c>
      <c r="AL41" s="85" t="str">
        <f>IF(ISERROR(VLOOKUP(AL40,#REF!,10,0)),"",(VLOOKUP(AL40,#REF!,10,0)))</f>
        <v/>
      </c>
      <c r="AM41" s="85" t="str">
        <f>IF(ISERROR(VLOOKUP(AM40,#REF!,10,0)),"",(VLOOKUP(AM40,#REF!,10,0)))</f>
        <v/>
      </c>
      <c r="AN41" s="85" t="str">
        <f>IF(ISERROR(VLOOKUP(AN40,#REF!,10,0)),"",(VLOOKUP(AN40,#REF!,10,0)))</f>
        <v/>
      </c>
      <c r="AO41" s="85" t="str">
        <f>IF(ISERROR(VLOOKUP(AO40,#REF!,10,0)),"",(VLOOKUP(AO40,#REF!,10,0)))</f>
        <v/>
      </c>
    </row>
    <row r="42" spans="1:41" ht="16.5" thickBot="1">
      <c r="A42" s="1329" t="s">
        <v>454</v>
      </c>
      <c r="B42" s="1330"/>
      <c r="C42" s="91">
        <v>5</v>
      </c>
      <c r="D42" s="210">
        <v>5</v>
      </c>
      <c r="E42" s="210">
        <v>2</v>
      </c>
      <c r="F42" s="210">
        <v>2</v>
      </c>
      <c r="G42" s="210" t="s">
        <v>380</v>
      </c>
      <c r="H42" s="210" t="s">
        <v>380</v>
      </c>
      <c r="I42" s="210" t="s">
        <v>380</v>
      </c>
      <c r="J42" s="210" t="s">
        <v>380</v>
      </c>
      <c r="K42" s="210" t="s">
        <v>380</v>
      </c>
      <c r="L42" s="210" t="s">
        <v>380</v>
      </c>
      <c r="M42" s="210" t="s">
        <v>380</v>
      </c>
      <c r="N42" s="92" t="s">
        <v>380</v>
      </c>
      <c r="Z42" s="1389"/>
      <c r="AA42" s="1393">
        <v>20</v>
      </c>
      <c r="AB42" s="105" t="e">
        <f>CONCATENATE(#REF!)</f>
        <v>#REF!</v>
      </c>
      <c r="AC42" s="105"/>
      <c r="AD42" s="84" t="str">
        <f>IF(ISERROR(VLOOKUP(AB42,#REF!,2,0)),"",(VLOOKUP(AB42,#REF!,2,0)))</f>
        <v/>
      </c>
      <c r="AE42" s="84" t="str">
        <f>IF(ISERROR(VLOOKUP(AB42,#REF!,3,0)),"",(VLOOKUP(AB42,#REF!,3,0)))</f>
        <v/>
      </c>
      <c r="AF42" s="84" t="str">
        <f>IF(ISERROR(VLOOKUP(AB42,#REF!,4,0)),"",(VLOOKUP(AB42,#REF!,4,0)))</f>
        <v/>
      </c>
      <c r="AG42" s="84" t="str">
        <f>IF(ISERROR(VLOOKUP(AB42,#REF!,5,0)),"",(VLOOKUP(AB42,#REF!,5,0)))</f>
        <v/>
      </c>
      <c r="AH42" s="84" t="str">
        <f>CONCATENATE(IF(ISERROR(VLOOKUP(AB42,#REF!,6,0)),"",(VLOOKUP(AB42,#REF!,6,0))))</f>
        <v/>
      </c>
      <c r="AI42" s="84" t="str">
        <f>IF(ISERROR(VLOOKUP(AB42,#REF!,7,0)),"",(VLOOKUP(AB42,#REF!,7,0)))</f>
        <v/>
      </c>
      <c r="AJ42" s="84" t="str">
        <f>IF(ISERROR(VLOOKUP(AB42,#REF!,8,0)),"",(VLOOKUP(AB42,#REF!,8,0)))</f>
        <v/>
      </c>
      <c r="AK42" s="84" t="str">
        <f>IF(ISERROR(VLOOKUP(AB42,#REF!,9,0)),"",(VLOOKUP(AB42,#REF!,9,0)))</f>
        <v/>
      </c>
      <c r="AL42" s="84" t="str">
        <f>IF(ISERROR(VLOOKUP(AB42,#REF!,10,0)),"",(VLOOKUP(AB42,#REF!,10,0)))</f>
        <v/>
      </c>
      <c r="AM42" s="84" t="str">
        <f>IF(ISERROR(VLOOKUP(AB42,#REF!,11,0)),"",(VLOOKUP(AB42,#REF!,11,0)))</f>
        <v/>
      </c>
      <c r="AN42" s="84" t="str">
        <f>IF(ISERROR(VLOOKUP(AB42,#REF!,12,0)),"",(VLOOKUP(AB42,#REF!,12,0)))</f>
        <v/>
      </c>
      <c r="AO42" s="84" t="str">
        <f>IF(ISERROR(VLOOKUP(AB42,#REF!,13,0)),"",(VLOOKUP(AB42,#REF!,13,0)))</f>
        <v/>
      </c>
    </row>
    <row r="43" spans="1:41" ht="24" thickBot="1">
      <c r="A43" s="1329" t="s">
        <v>455</v>
      </c>
      <c r="B43" s="1330"/>
      <c r="C43" s="91"/>
      <c r="D43" s="210"/>
      <c r="E43" s="210"/>
      <c r="F43" s="210"/>
      <c r="G43" s="210" t="s">
        <v>380</v>
      </c>
      <c r="H43" s="210" t="s">
        <v>380</v>
      </c>
      <c r="I43" s="210" t="s">
        <v>380</v>
      </c>
      <c r="J43" s="210" t="s">
        <v>380</v>
      </c>
      <c r="K43" s="210" t="s">
        <v>380</v>
      </c>
      <c r="L43" s="210" t="s">
        <v>380</v>
      </c>
      <c r="M43" s="210" t="s">
        <v>380</v>
      </c>
      <c r="N43" s="92" t="s">
        <v>380</v>
      </c>
      <c r="O43" s="152"/>
      <c r="R43" s="78"/>
      <c r="Z43" s="1398"/>
      <c r="AA43" s="1393"/>
      <c r="AB43" s="105" t="s">
        <v>447</v>
      </c>
      <c r="AC43" s="105" t="e">
        <f>AB42</f>
        <v>#REF!</v>
      </c>
      <c r="AD43" s="85" t="str">
        <f>IF(ISERROR(VLOOKUP(AD42,#REF!,10,0)),"",(VLOOKUP(AD42,#REF!,10,0)))</f>
        <v/>
      </c>
      <c r="AE43" s="85" t="str">
        <f>IF(ISERROR(VLOOKUP(AE42,#REF!,10,0)),"",(VLOOKUP(AE42,#REF!,10,0)))</f>
        <v/>
      </c>
      <c r="AF43" s="85" t="str">
        <f>IF(ISERROR(VLOOKUP(AF42,#REF!,10,0)),"",(VLOOKUP(AF42,#REF!,10,0)))</f>
        <v/>
      </c>
      <c r="AG43" s="85" t="str">
        <f>IF(ISERROR(VLOOKUP(AG42,#REF!,10,0)),"",(VLOOKUP(AG42,#REF!,10,0)))</f>
        <v/>
      </c>
      <c r="AH43" s="85" t="str">
        <f>IF(ISERROR(VLOOKUP(AH42,#REF!,10,0)),"",(VLOOKUP(AH42,#REF!,10,0)))</f>
        <v/>
      </c>
      <c r="AI43" s="85" t="str">
        <f>IF(ISERROR(VLOOKUP(AI42,#REF!,10,0)),"",(VLOOKUP(AI42,#REF!,10,0)))</f>
        <v/>
      </c>
      <c r="AJ43" s="85" t="str">
        <f>IF(ISERROR(VLOOKUP(AJ42,#REF!,10,0)),"",(VLOOKUP(AJ42,#REF!,10,0)))</f>
        <v/>
      </c>
      <c r="AK43" s="85" t="str">
        <f>IF(ISERROR(VLOOKUP(AK42,#REF!,10,0)),"",(VLOOKUP(AK42,#REF!,10,0)))</f>
        <v/>
      </c>
      <c r="AL43" s="85" t="str">
        <f>IF(ISERROR(VLOOKUP(AL42,#REF!,10,0)),"",(VLOOKUP(AL42,#REF!,10,0)))</f>
        <v/>
      </c>
      <c r="AM43" s="85" t="str">
        <f>IF(ISERROR(VLOOKUP(AM42,#REF!,10,0)),"",(VLOOKUP(AM42,#REF!,10,0)))</f>
        <v/>
      </c>
      <c r="AN43" s="85" t="str">
        <f>IF(ISERROR(VLOOKUP(AN42,#REF!,10,0)),"",(VLOOKUP(AN42,#REF!,10,0)))</f>
        <v/>
      </c>
      <c r="AO43" s="85" t="str">
        <f>IF(ISERROR(VLOOKUP(AO42,#REF!,10,0)),"",(VLOOKUP(AO42,#REF!,10,0)))</f>
        <v/>
      </c>
    </row>
    <row r="44" spans="1:41" ht="24" thickBot="1">
      <c r="A44" s="1327" t="s">
        <v>456</v>
      </c>
      <c r="B44" s="1328"/>
      <c r="C44" s="93"/>
      <c r="D44" s="94"/>
      <c r="E44" s="94"/>
      <c r="F44" s="94"/>
      <c r="G44" s="94" t="s">
        <v>380</v>
      </c>
      <c r="H44" s="94" t="s">
        <v>380</v>
      </c>
      <c r="I44" s="94" t="s">
        <v>380</v>
      </c>
      <c r="J44" s="94" t="s">
        <v>380</v>
      </c>
      <c r="K44" s="94" t="s">
        <v>380</v>
      </c>
      <c r="L44" s="94" t="s">
        <v>380</v>
      </c>
      <c r="M44" s="94" t="s">
        <v>380</v>
      </c>
      <c r="N44" s="95" t="s">
        <v>380</v>
      </c>
      <c r="O44" s="152"/>
      <c r="R44" s="78"/>
      <c r="Z44" s="1378" t="s">
        <v>473</v>
      </c>
      <c r="AA44" s="1397">
        <v>21</v>
      </c>
      <c r="AB44" s="106" t="e">
        <f>CONCATENATE(#REF!)</f>
        <v>#REF!</v>
      </c>
      <c r="AC44" s="106"/>
      <c r="AD44" s="84" t="str">
        <f>IF(ISERROR(VLOOKUP(AB44,#REF!,2,0)),"",(VLOOKUP(AB44,#REF!,2,0)))</f>
        <v/>
      </c>
      <c r="AE44" s="84" t="str">
        <f>IF(ISERROR(VLOOKUP(AB44,#REF!,3,0)),"",(VLOOKUP(AB44,#REF!,3,0)))</f>
        <v/>
      </c>
      <c r="AF44" s="84" t="str">
        <f>IF(ISERROR(VLOOKUP(AB44,#REF!,4,0)),"",(VLOOKUP(AB44,#REF!,4,0)))</f>
        <v/>
      </c>
      <c r="AG44" s="84" t="str">
        <f>IF(ISERROR(VLOOKUP(AB44,#REF!,5,0)),"",(VLOOKUP(AB44,#REF!,5,0)))</f>
        <v/>
      </c>
      <c r="AH44" s="84" t="str">
        <f>CONCATENATE(IF(ISERROR(VLOOKUP(AB44,#REF!,6,0)),"",(VLOOKUP(AB44,#REF!,6,0))))</f>
        <v/>
      </c>
      <c r="AI44" s="84" t="str">
        <f>IF(ISERROR(VLOOKUP(AB44,#REF!,7,0)),"",(VLOOKUP(AB44,#REF!,7,0)))</f>
        <v/>
      </c>
      <c r="AJ44" s="84" t="str">
        <f>IF(ISERROR(VLOOKUP(AB44,#REF!,8,0)),"",(VLOOKUP(AB44,#REF!,8,0)))</f>
        <v/>
      </c>
      <c r="AK44" s="84" t="str">
        <f>IF(ISERROR(VLOOKUP(AB44,#REF!,9,0)),"",(VLOOKUP(AB44,#REF!,9,0)))</f>
        <v/>
      </c>
      <c r="AL44" s="84" t="str">
        <f>IF(ISERROR(VLOOKUP(AB44,#REF!,10,0)),"",(VLOOKUP(AB44,#REF!,10,0)))</f>
        <v/>
      </c>
      <c r="AM44" s="84" t="str">
        <f>IF(ISERROR(VLOOKUP(AB44,#REF!,11,0)),"",(VLOOKUP(AB44,#REF!,11,0)))</f>
        <v/>
      </c>
      <c r="AN44" s="84" t="str">
        <f>IF(ISERROR(VLOOKUP(AB44,#REF!,12,0)),"",(VLOOKUP(AB44,#REF!,12,0)))</f>
        <v/>
      </c>
      <c r="AO44" s="84" t="str">
        <f>IF(ISERROR(VLOOKUP(AB44,#REF!,13,0)),"",(VLOOKUP(AB44,#REF!,13,0)))</f>
        <v/>
      </c>
    </row>
    <row r="45" spans="1:41" ht="24" thickTop="1">
      <c r="A45" s="96"/>
      <c r="B45" s="96"/>
      <c r="C45" s="96"/>
      <c r="D45" s="96"/>
      <c r="E45" s="1326" t="s">
        <v>457</v>
      </c>
      <c r="F45" s="1310"/>
      <c r="G45" s="97">
        <v>18</v>
      </c>
      <c r="H45" s="1310" t="s">
        <v>458</v>
      </c>
      <c r="I45" s="1311"/>
      <c r="J45" s="1310" t="s">
        <v>459</v>
      </c>
      <c r="K45" s="1311"/>
      <c r="L45" s="96"/>
      <c r="M45" s="96"/>
      <c r="N45" s="96"/>
      <c r="O45" s="152"/>
      <c r="Z45" s="1378"/>
      <c r="AA45" s="1397"/>
      <c r="AB45" s="106" t="s">
        <v>447</v>
      </c>
      <c r="AC45" s="106" t="e">
        <f>AB44</f>
        <v>#REF!</v>
      </c>
      <c r="AD45" s="85" t="str">
        <f>IF(ISERROR(VLOOKUP(AD44,#REF!,14,0)),"",(VLOOKUP(AD44,#REF!,14,0)))</f>
        <v/>
      </c>
      <c r="AE45" s="85" t="str">
        <f>IF(ISERROR(VLOOKUP(AE44,#REF!,14,0)),"",(VLOOKUP(AE44,#REF!,14,0)))</f>
        <v/>
      </c>
      <c r="AF45" s="85" t="str">
        <f>IF(ISERROR(VLOOKUP(AF44,#REF!,14,0)),"",(VLOOKUP(AF44,#REF!,14,0)))</f>
        <v/>
      </c>
      <c r="AG45" s="85" t="str">
        <f>IF(ISERROR(VLOOKUP(AG44,#REF!,14,0)),"",(VLOOKUP(AG44,#REF!,14,0)))</f>
        <v/>
      </c>
      <c r="AH45" s="85" t="str">
        <f>IF(ISERROR(VLOOKUP(AH44,#REF!,14,0)),"",(VLOOKUP(AH44,#REF!,14,0)))</f>
        <v/>
      </c>
      <c r="AI45" s="85" t="str">
        <f>IF(ISERROR(VLOOKUP(AI44,#REF!,14,0)),"",(VLOOKUP(AI44,#REF!,14,0)))</f>
        <v/>
      </c>
      <c r="AJ45" s="85" t="str">
        <f>IF(ISERROR(VLOOKUP(AJ44,#REF!,14,0)),"",(VLOOKUP(AJ44,#REF!,14,0)))</f>
        <v/>
      </c>
      <c r="AK45" s="85" t="str">
        <f>IF(ISERROR(VLOOKUP(AK44,#REF!,14,0)),"",(VLOOKUP(AK44,#REF!,14,0)))</f>
        <v/>
      </c>
      <c r="AL45" s="85" t="str">
        <f>IF(ISERROR(VLOOKUP(AL44,#REF!,14,0)),"",(VLOOKUP(AL44,#REF!,14,0)))</f>
        <v/>
      </c>
      <c r="AM45" s="85" t="str">
        <f>IF(ISERROR(VLOOKUP(AM44,#REF!,14,0)),"",(VLOOKUP(AM44,#REF!,14,0)))</f>
        <v/>
      </c>
      <c r="AN45" s="85" t="str">
        <f>IF(ISERROR(VLOOKUP(AN44,#REF!,14,0)),"",(VLOOKUP(AN44,#REF!,14,0)))</f>
        <v/>
      </c>
      <c r="AO45" s="85" t="str">
        <f>IF(ISERROR(VLOOKUP(AO44,#REF!,14,0)),"",(VLOOKUP(AO44,#REF!,14,0)))</f>
        <v/>
      </c>
    </row>
    <row r="46" spans="1:41" ht="23.25">
      <c r="A46" s="96"/>
      <c r="B46" s="96"/>
      <c r="C46" s="96"/>
      <c r="D46" s="96"/>
      <c r="E46" s="1307" t="s">
        <v>460</v>
      </c>
      <c r="F46" s="1308"/>
      <c r="G46" s="98">
        <v>19</v>
      </c>
      <c r="H46" s="1312">
        <v>0</v>
      </c>
      <c r="I46" s="1312"/>
      <c r="J46" s="1312">
        <v>0</v>
      </c>
      <c r="K46" s="1313"/>
      <c r="L46" s="96"/>
      <c r="M46" s="96"/>
      <c r="N46" s="96"/>
      <c r="O46" s="77"/>
      <c r="P46" s="77"/>
      <c r="Q46" s="78"/>
      <c r="Z46" s="1378"/>
      <c r="AA46" s="1397">
        <v>22</v>
      </c>
      <c r="AB46" s="106" t="e">
        <f>CONCATENATE(#REF!)</f>
        <v>#REF!</v>
      </c>
      <c r="AC46" s="106"/>
      <c r="AD46" s="84" t="str">
        <f>IF(ISERROR(VLOOKUP(AB46,#REF!,2,0)),"",(VLOOKUP(AB46,#REF!,2,0)))</f>
        <v/>
      </c>
      <c r="AE46" s="84" t="str">
        <f>IF(ISERROR(VLOOKUP(AB46,#REF!,3,0)),"",(VLOOKUP(AB46,#REF!,3,0)))</f>
        <v/>
      </c>
      <c r="AF46" s="84" t="str">
        <f>IF(ISERROR(VLOOKUP(AB46,#REF!,4,0)),"",(VLOOKUP(AB46,#REF!,4,0)))</f>
        <v/>
      </c>
      <c r="AG46" s="84" t="str">
        <f>IF(ISERROR(VLOOKUP(AB46,#REF!,5,0)),"",(VLOOKUP(AB46,#REF!,5,0)))</f>
        <v/>
      </c>
      <c r="AH46" s="84" t="str">
        <f>CONCATENATE(IF(ISERROR(VLOOKUP(AB46,#REF!,6,0)),"",(VLOOKUP(AB46,#REF!,6,0))))</f>
        <v/>
      </c>
      <c r="AI46" s="84" t="str">
        <f>IF(ISERROR(VLOOKUP(AB46,#REF!,7,0)),"",(VLOOKUP(AB46,#REF!,7,0)))</f>
        <v/>
      </c>
      <c r="AJ46" s="84" t="str">
        <f>IF(ISERROR(VLOOKUP(AB46,#REF!,8,0)),"",(VLOOKUP(AB46,#REF!,8,0)))</f>
        <v/>
      </c>
      <c r="AK46" s="84" t="str">
        <f>IF(ISERROR(VLOOKUP(AB46,#REF!,9,0)),"",(VLOOKUP(AB46,#REF!,9,0)))</f>
        <v/>
      </c>
      <c r="AL46" s="84" t="str">
        <f>IF(ISERROR(VLOOKUP(AB46,#REF!,10,0)),"",(VLOOKUP(AB46,#REF!,10,0)))</f>
        <v/>
      </c>
      <c r="AM46" s="84" t="str">
        <f>IF(ISERROR(VLOOKUP(AB46,#REF!,11,0)),"",(VLOOKUP(AB46,#REF!,11,0)))</f>
        <v/>
      </c>
      <c r="AN46" s="84" t="str">
        <f>IF(ISERROR(VLOOKUP(AB46,#REF!,12,0)),"",(VLOOKUP(AB46,#REF!,12,0)))</f>
        <v/>
      </c>
      <c r="AO46" s="84" t="str">
        <f>IF(ISERROR(VLOOKUP(AB46,#REF!,13,0)),"",(VLOOKUP(AB46,#REF!,13,0)))</f>
        <v/>
      </c>
    </row>
    <row r="47" spans="1:41" ht="20.25">
      <c r="A47" s="96"/>
      <c r="B47" s="96"/>
      <c r="C47" s="96"/>
      <c r="D47" s="96"/>
      <c r="E47" s="1307" t="s">
        <v>461</v>
      </c>
      <c r="F47" s="1308"/>
      <c r="G47" s="99"/>
      <c r="H47" s="1308" t="s">
        <v>462</v>
      </c>
      <c r="I47" s="1308"/>
      <c r="J47" s="1308" t="s">
        <v>463</v>
      </c>
      <c r="K47" s="1309"/>
      <c r="L47" s="96"/>
      <c r="M47" s="96"/>
      <c r="N47" s="96"/>
      <c r="O47" s="77"/>
      <c r="P47" s="77"/>
      <c r="Q47" s="78">
        <f>G46+H46+H48+J46</f>
        <v>19</v>
      </c>
      <c r="Z47" s="1378"/>
      <c r="AA47" s="1397"/>
      <c r="AB47" s="106" t="s">
        <v>447</v>
      </c>
      <c r="AC47" s="106" t="e">
        <f>AB46</f>
        <v>#REF!</v>
      </c>
      <c r="AD47" s="85" t="str">
        <f>IF(ISERROR(VLOOKUP(AD46,#REF!,14,0)),"",(VLOOKUP(AD46,#REF!,14,0)))</f>
        <v/>
      </c>
      <c r="AE47" s="85" t="str">
        <f>IF(ISERROR(VLOOKUP(AE46,#REF!,14,0)),"",(VLOOKUP(AE46,#REF!,14,0)))</f>
        <v/>
      </c>
      <c r="AF47" s="85" t="str">
        <f>IF(ISERROR(VLOOKUP(AF46,#REF!,14,0)),"",(VLOOKUP(AF46,#REF!,14,0)))</f>
        <v/>
      </c>
      <c r="AG47" s="85" t="str">
        <f>IF(ISERROR(VLOOKUP(AG46,#REF!,14,0)),"",(VLOOKUP(AG46,#REF!,14,0)))</f>
        <v/>
      </c>
      <c r="AH47" s="85" t="str">
        <f>IF(ISERROR(VLOOKUP(AH46,#REF!,14,0)),"",(VLOOKUP(AH46,#REF!,14,0)))</f>
        <v/>
      </c>
      <c r="AI47" s="85" t="str">
        <f>IF(ISERROR(VLOOKUP(AI46,#REF!,14,0)),"",(VLOOKUP(AI46,#REF!,14,0)))</f>
        <v/>
      </c>
      <c r="AJ47" s="85" t="str">
        <f>IF(ISERROR(VLOOKUP(AJ46,#REF!,14,0)),"",(VLOOKUP(AJ46,#REF!,14,0)))</f>
        <v/>
      </c>
      <c r="AK47" s="85" t="str">
        <f>IF(ISERROR(VLOOKUP(AK46,#REF!,14,0)),"",(VLOOKUP(AK46,#REF!,14,0)))</f>
        <v/>
      </c>
      <c r="AL47" s="85" t="str">
        <f>IF(ISERROR(VLOOKUP(AL46,#REF!,14,0)),"",(VLOOKUP(AL46,#REF!,14,0)))</f>
        <v/>
      </c>
      <c r="AM47" s="85" t="str">
        <f>IF(ISERROR(VLOOKUP(AM46,#REF!,14,0)),"",(VLOOKUP(AM46,#REF!,14,0)))</f>
        <v/>
      </c>
      <c r="AN47" s="85" t="str">
        <f>IF(ISERROR(VLOOKUP(AN46,#REF!,14,0)),"",(VLOOKUP(AN46,#REF!,14,0)))</f>
        <v/>
      </c>
      <c r="AO47" s="85" t="str">
        <f>IF(ISERROR(VLOOKUP(AO46,#REF!,14,0)),"",(VLOOKUP(AO46,#REF!,14,0)))</f>
        <v/>
      </c>
    </row>
    <row r="48" spans="1:41" ht="24" thickBot="1">
      <c r="A48" s="96"/>
      <c r="B48" s="96"/>
      <c r="C48" s="96"/>
      <c r="D48" s="96"/>
      <c r="E48" s="1303" t="s">
        <v>464</v>
      </c>
      <c r="F48" s="1304"/>
      <c r="G48" s="99">
        <v>0</v>
      </c>
      <c r="H48" s="1305"/>
      <c r="I48" s="1305"/>
      <c r="J48" s="1305">
        <v>0</v>
      </c>
      <c r="K48" s="1306"/>
      <c r="L48" s="96"/>
      <c r="M48" s="96"/>
      <c r="N48" s="96"/>
      <c r="O48" s="77"/>
      <c r="P48" s="77"/>
      <c r="Q48" s="78"/>
      <c r="Z48" s="1378"/>
      <c r="AA48" s="1397">
        <v>23</v>
      </c>
      <c r="AB48" s="106" t="e">
        <f>CONCATENATE(#REF!)</f>
        <v>#REF!</v>
      </c>
      <c r="AC48" s="106"/>
      <c r="AD48" s="84" t="str">
        <f>IF(ISERROR(VLOOKUP(AB48,#REF!,2,0)),"",(VLOOKUP(AB48,#REF!,2,0)))</f>
        <v/>
      </c>
      <c r="AE48" s="84" t="str">
        <f>IF(ISERROR(VLOOKUP(AB48,#REF!,3,0)),"",(VLOOKUP(AB48,#REF!,3,0)))</f>
        <v/>
      </c>
      <c r="AF48" s="84" t="str">
        <f>IF(ISERROR(VLOOKUP(AB48,#REF!,4,0)),"",(VLOOKUP(AB48,#REF!,4,0)))</f>
        <v/>
      </c>
      <c r="AG48" s="84" t="str">
        <f>IF(ISERROR(VLOOKUP(AB48,#REF!,5,0)),"",(VLOOKUP(AB48,#REF!,5,0)))</f>
        <v/>
      </c>
      <c r="AH48" s="84" t="str">
        <f>CONCATENATE(IF(ISERROR(VLOOKUP(AB48,#REF!,6,0)),"",(VLOOKUP(AB48,#REF!,6,0))))</f>
        <v/>
      </c>
      <c r="AI48" s="84" t="str">
        <f>IF(ISERROR(VLOOKUP(AB48,#REF!,7,0)),"",(VLOOKUP(AB48,#REF!,7,0)))</f>
        <v/>
      </c>
      <c r="AJ48" s="84" t="str">
        <f>IF(ISERROR(VLOOKUP(AB48,#REF!,8,0)),"",(VLOOKUP(AB48,#REF!,8,0)))</f>
        <v/>
      </c>
      <c r="AK48" s="84" t="str">
        <f>IF(ISERROR(VLOOKUP(AB48,#REF!,9,0)),"",(VLOOKUP(AB48,#REF!,9,0)))</f>
        <v/>
      </c>
      <c r="AL48" s="84" t="str">
        <f>IF(ISERROR(VLOOKUP(AB48,#REF!,10,0)),"",(VLOOKUP(AB48,#REF!,10,0)))</f>
        <v/>
      </c>
      <c r="AM48" s="84" t="str">
        <f>IF(ISERROR(VLOOKUP(AB48,#REF!,11,0)),"",(VLOOKUP(AB48,#REF!,11,0)))</f>
        <v/>
      </c>
      <c r="AN48" s="84" t="str">
        <f>IF(ISERROR(VLOOKUP(AB48,#REF!,12,0)),"",(VLOOKUP(AB48,#REF!,12,0)))</f>
        <v/>
      </c>
      <c r="AO48" s="84" t="str">
        <f>IF(ISERROR(VLOOKUP(AB48,#REF!,13,0)),"",(VLOOKUP(AB48,#REF!,13,0)))</f>
        <v/>
      </c>
    </row>
    <row r="49" spans="1:41" ht="17.25" thickTop="1" thickBot="1">
      <c r="A49" s="34"/>
      <c r="B49" s="34"/>
      <c r="C49" s="1299" t="s">
        <v>465</v>
      </c>
      <c r="D49" s="1299"/>
      <c r="E49" s="1299" t="s">
        <v>360</v>
      </c>
      <c r="F49" s="1299"/>
      <c r="G49" s="1302" t="s">
        <v>368</v>
      </c>
      <c r="H49" s="1302"/>
      <c r="I49" s="1302" t="s">
        <v>369</v>
      </c>
      <c r="J49" s="1302"/>
      <c r="K49" s="1302" t="s">
        <v>370</v>
      </c>
      <c r="L49" s="1299"/>
      <c r="M49" s="1299" t="s">
        <v>371</v>
      </c>
      <c r="N49" s="1299"/>
      <c r="O49" s="77"/>
      <c r="P49" s="77"/>
      <c r="Q49" s="78"/>
      <c r="Z49" s="1378"/>
      <c r="AA49" s="1397"/>
      <c r="AB49" s="106" t="s">
        <v>447</v>
      </c>
      <c r="AC49" s="106" t="e">
        <f>AB48</f>
        <v>#REF!</v>
      </c>
      <c r="AD49" s="85" t="str">
        <f>IF(ISERROR(VLOOKUP(AD48,#REF!,14,0)),"",(VLOOKUP(AD48,#REF!,14,0)))</f>
        <v/>
      </c>
      <c r="AE49" s="85" t="str">
        <f>IF(ISERROR(VLOOKUP(AE48,#REF!,14,0)),"",(VLOOKUP(AE48,#REF!,14,0)))</f>
        <v/>
      </c>
      <c r="AF49" s="85" t="str">
        <f>IF(ISERROR(VLOOKUP(AF48,#REF!,14,0)),"",(VLOOKUP(AF48,#REF!,14,0)))</f>
        <v/>
      </c>
      <c r="AG49" s="85" t="str">
        <f>IF(ISERROR(VLOOKUP(AG48,#REF!,14,0)),"",(VLOOKUP(AG48,#REF!,14,0)))</f>
        <v/>
      </c>
      <c r="AH49" s="85" t="str">
        <f>IF(ISERROR(VLOOKUP(AH48,#REF!,14,0)),"",(VLOOKUP(AH48,#REF!,14,0)))</f>
        <v/>
      </c>
      <c r="AI49" s="85" t="str">
        <f>IF(ISERROR(VLOOKUP(AI48,#REF!,14,0)),"",(VLOOKUP(AI48,#REF!,14,0)))</f>
        <v/>
      </c>
      <c r="AJ49" s="85" t="str">
        <f>IF(ISERROR(VLOOKUP(AJ48,#REF!,14,0)),"",(VLOOKUP(AJ48,#REF!,14,0)))</f>
        <v/>
      </c>
      <c r="AK49" s="85" t="str">
        <f>IF(ISERROR(VLOOKUP(AK48,#REF!,14,0)),"",(VLOOKUP(AK48,#REF!,14,0)))</f>
        <v/>
      </c>
      <c r="AL49" s="85" t="str">
        <f>IF(ISERROR(VLOOKUP(AL48,#REF!,14,0)),"",(VLOOKUP(AL48,#REF!,14,0)))</f>
        <v/>
      </c>
      <c r="AM49" s="85" t="str">
        <f>IF(ISERROR(VLOOKUP(AM48,#REF!,14,0)),"",(VLOOKUP(AM48,#REF!,14,0)))</f>
        <v/>
      </c>
      <c r="AN49" s="85" t="str">
        <f>IF(ISERROR(VLOOKUP(AN48,#REF!,14,0)),"",(VLOOKUP(AN48,#REF!,14,0)))</f>
        <v/>
      </c>
      <c r="AO49" s="85" t="str">
        <f>IF(ISERROR(VLOOKUP(AO48,#REF!,14,0)),"",(VLOOKUP(AO48,#REF!,14,0)))</f>
        <v/>
      </c>
    </row>
    <row r="50" spans="1:41" ht="17.25" thickTop="1" thickBot="1">
      <c r="A50" s="34"/>
      <c r="B50" s="34"/>
      <c r="C50" s="1299" t="s">
        <v>372</v>
      </c>
      <c r="D50" s="1299"/>
      <c r="E50" s="1297"/>
      <c r="F50" s="1297"/>
      <c r="G50" s="1297" t="s">
        <v>0</v>
      </c>
      <c r="H50" s="1297"/>
      <c r="I50" s="1297"/>
      <c r="J50" s="1297"/>
      <c r="K50" s="1297" t="s">
        <v>1</v>
      </c>
      <c r="L50" s="1297"/>
      <c r="M50" s="1297"/>
      <c r="N50" s="1297"/>
      <c r="O50" s="77"/>
      <c r="P50" s="77"/>
      <c r="Q50" s="78"/>
      <c r="Z50" s="1378" t="s">
        <v>474</v>
      </c>
      <c r="AA50" s="1401">
        <v>24</v>
      </c>
      <c r="AB50" s="107" t="e">
        <f>CONCATENATE(#REF!)</f>
        <v>#REF!</v>
      </c>
      <c r="AC50" s="107"/>
      <c r="AD50" s="84" t="str">
        <f>IF(ISERROR(VLOOKUP(AB50,#REF!,2,0)),"",(VLOOKUP(AB50,#REF!,2,0)))</f>
        <v/>
      </c>
      <c r="AE50" s="84" t="str">
        <f>IF(ISERROR(VLOOKUP(AB50,#REF!,3,0)),"",(VLOOKUP(AB50,#REF!,3,0)))</f>
        <v/>
      </c>
      <c r="AF50" s="84" t="str">
        <f>IF(ISERROR(VLOOKUP(AB50,#REF!,4,0)),"",(VLOOKUP(AB50,#REF!,4,0)))</f>
        <v/>
      </c>
      <c r="AG50" s="84" t="str">
        <f>IF(ISERROR(VLOOKUP(AB50,#REF!,5,0)),"",(VLOOKUP(AB50,#REF!,5,0)))</f>
        <v/>
      </c>
      <c r="AH50" s="84" t="str">
        <f>CONCATENATE(IF(ISERROR(VLOOKUP(AB50,#REF!,6,0)),"",(VLOOKUP(AB50,#REF!,6,0))))</f>
        <v/>
      </c>
      <c r="AI50" s="84" t="str">
        <f>IF(ISERROR(VLOOKUP(AB50,#REF!,7,0)),"",(VLOOKUP(AB50,#REF!,7,0)))</f>
        <v/>
      </c>
      <c r="AJ50" s="84" t="str">
        <f>IF(ISERROR(VLOOKUP(AB50,#REF!,8,0)),"",(VLOOKUP(AB50,#REF!,8,0)))</f>
        <v/>
      </c>
      <c r="AK50" s="84" t="str">
        <f>IF(ISERROR(VLOOKUP(AB50,#REF!,9,0)),"",(VLOOKUP(AB50,#REF!,9,0)))</f>
        <v/>
      </c>
      <c r="AL50" s="84" t="str">
        <f>IF(ISERROR(VLOOKUP(AB50,#REF!,10,0)),"",(VLOOKUP(AB50,#REF!,10,0)))</f>
        <v/>
      </c>
      <c r="AM50" s="84" t="str">
        <f>IF(ISERROR(VLOOKUP(AB50,#REF!,11,0)),"",(VLOOKUP(AB50,#REF!,11,0)))</f>
        <v/>
      </c>
      <c r="AN50" s="84" t="str">
        <f>IF(ISERROR(VLOOKUP(AB50,#REF!,12,0)),"",(VLOOKUP(AB50,#REF!,12,0)))</f>
        <v/>
      </c>
      <c r="AO50" s="84" t="str">
        <f>IF(ISERROR(VLOOKUP(AB50,#REF!,13,0)),"",(VLOOKUP(AB50,#REF!,13,0)))</f>
        <v/>
      </c>
    </row>
    <row r="51" spans="1:41" ht="17.25" thickTop="1" thickBot="1">
      <c r="A51" s="34"/>
      <c r="B51" s="34"/>
      <c r="C51" s="1299" t="s">
        <v>373</v>
      </c>
      <c r="D51" s="1299"/>
      <c r="E51" s="1297"/>
      <c r="F51" s="1297"/>
      <c r="G51" s="1297" t="s">
        <v>0</v>
      </c>
      <c r="H51" s="1297"/>
      <c r="I51" s="1297"/>
      <c r="J51" s="1297"/>
      <c r="K51" s="1297" t="s">
        <v>1</v>
      </c>
      <c r="L51" s="1297"/>
      <c r="M51" s="1297"/>
      <c r="N51" s="1297"/>
      <c r="O51" s="77"/>
      <c r="P51" s="77"/>
      <c r="Q51" s="78"/>
      <c r="Z51" s="1378"/>
      <c r="AA51" s="1401"/>
      <c r="AB51" s="107" t="s">
        <v>447</v>
      </c>
      <c r="AC51" s="107" t="e">
        <f>AB50</f>
        <v>#REF!</v>
      </c>
      <c r="AD51" s="85" t="str">
        <f>IF(ISERROR(VLOOKUP(AD50,#REF!,15,0)),"",(VLOOKUP(AD50,#REF!,15,0)))</f>
        <v/>
      </c>
      <c r="AE51" s="85" t="str">
        <f>IF(ISERROR(VLOOKUP(AE50,#REF!,15,0)),"",(VLOOKUP(AE50,#REF!,15,0)))</f>
        <v/>
      </c>
      <c r="AF51" s="85" t="str">
        <f>IF(ISERROR(VLOOKUP(AF50,#REF!,15,0)),"",(VLOOKUP(AF50,#REF!,15,0)))</f>
        <v/>
      </c>
      <c r="AG51" s="85" t="str">
        <f>IF(ISERROR(VLOOKUP(AG50,#REF!,15,0)),"",(VLOOKUP(AG50,#REF!,15,0)))</f>
        <v/>
      </c>
      <c r="AH51" s="85" t="str">
        <f>IF(ISERROR(VLOOKUP(AH50,#REF!,15,0)),"",(VLOOKUP(AH50,#REF!,15,0)))</f>
        <v/>
      </c>
      <c r="AI51" s="85" t="str">
        <f>IF(ISERROR(VLOOKUP(AI50,#REF!,15,0)),"",(VLOOKUP(AI50,#REF!,15,0)))</f>
        <v/>
      </c>
      <c r="AJ51" s="85" t="str">
        <f>IF(ISERROR(VLOOKUP(AJ50,#REF!,15,0)),"",(VLOOKUP(AJ50,#REF!,15,0)))</f>
        <v/>
      </c>
      <c r="AK51" s="85" t="str">
        <f>IF(ISERROR(VLOOKUP(AK50,#REF!,15,0)),"",(VLOOKUP(AK50,#REF!,15,0)))</f>
        <v/>
      </c>
      <c r="AL51" s="85" t="str">
        <f>IF(ISERROR(VLOOKUP(AL50,#REF!,15,0)),"",(VLOOKUP(AL50,#REF!,15,0)))</f>
        <v/>
      </c>
      <c r="AM51" s="85" t="str">
        <f>IF(ISERROR(VLOOKUP(AM50,#REF!,15,0)),"",(VLOOKUP(AM50,#REF!,15,0)))</f>
        <v/>
      </c>
      <c r="AN51" s="85" t="str">
        <f>IF(ISERROR(VLOOKUP(AN50,#REF!,15,0)),"",(VLOOKUP(AN50,#REF!,15,0)))</f>
        <v/>
      </c>
      <c r="AO51" s="85" t="str">
        <f>IF(ISERROR(VLOOKUP(AO50,#REF!,15,0)),"",(VLOOKUP(AO50,#REF!,15,0)))</f>
        <v/>
      </c>
    </row>
    <row r="52" spans="1:41" ht="17.25" thickTop="1" thickBot="1">
      <c r="A52" s="34"/>
      <c r="B52" s="34"/>
      <c r="C52" s="1299" t="s">
        <v>374</v>
      </c>
      <c r="D52" s="1299"/>
      <c r="E52" s="1297" t="s">
        <v>1</v>
      </c>
      <c r="F52" s="1297"/>
      <c r="G52" s="1297"/>
      <c r="H52" s="1297"/>
      <c r="I52" s="1297"/>
      <c r="J52" s="1297"/>
      <c r="K52" s="1297" t="s">
        <v>0</v>
      </c>
      <c r="L52" s="1297"/>
      <c r="M52" s="1297"/>
      <c r="N52" s="1297"/>
      <c r="O52" s="77"/>
      <c r="P52" s="77"/>
      <c r="Q52" s="78"/>
      <c r="Z52" s="1378"/>
      <c r="AA52" s="1401">
        <v>25</v>
      </c>
      <c r="AB52" s="107" t="e">
        <f>CONCATENATE(#REF!)</f>
        <v>#REF!</v>
      </c>
      <c r="AC52" s="107"/>
      <c r="AD52" s="84" t="str">
        <f>IF(ISERROR(VLOOKUP(AB52,#REF!,2,0)),"",(VLOOKUP(AB52,#REF!,2,0)))</f>
        <v/>
      </c>
      <c r="AE52" s="84" t="str">
        <f>IF(ISERROR(VLOOKUP(AB52,#REF!,3,0)),"",(VLOOKUP(AB52,#REF!,3,0)))</f>
        <v/>
      </c>
      <c r="AF52" s="84" t="str">
        <f>IF(ISERROR(VLOOKUP(AB52,#REF!,4,0)),"",(VLOOKUP(AB52,#REF!,4,0)))</f>
        <v/>
      </c>
      <c r="AG52" s="84" t="str">
        <f>IF(ISERROR(VLOOKUP(AB52,#REF!,5,0)),"",(VLOOKUP(AB52,#REF!,5,0)))</f>
        <v/>
      </c>
      <c r="AH52" s="84" t="str">
        <f>CONCATENATE(IF(ISERROR(VLOOKUP(AB52,#REF!,6,0)),"",(VLOOKUP(AB52,#REF!,6,0))))</f>
        <v/>
      </c>
      <c r="AI52" s="84" t="str">
        <f>IF(ISERROR(VLOOKUP(AB52,#REF!,7,0)),"",(VLOOKUP(AB52,#REF!,7,0)))</f>
        <v/>
      </c>
      <c r="AJ52" s="84" t="str">
        <f>IF(ISERROR(VLOOKUP(AB52,#REF!,8,0)),"",(VLOOKUP(AB52,#REF!,8,0)))</f>
        <v/>
      </c>
      <c r="AK52" s="84" t="str">
        <f>IF(ISERROR(VLOOKUP(AB52,#REF!,9,0)),"",(VLOOKUP(AB52,#REF!,9,0)))</f>
        <v/>
      </c>
      <c r="AL52" s="84" t="str">
        <f>IF(ISERROR(VLOOKUP(AB52,#REF!,10,0)),"",(VLOOKUP(AB52,#REF!,10,0)))</f>
        <v/>
      </c>
      <c r="AM52" s="84" t="str">
        <f>IF(ISERROR(VLOOKUP(AB52,#REF!,11,0)),"",(VLOOKUP(AB52,#REF!,11,0)))</f>
        <v/>
      </c>
      <c r="AN52" s="84" t="str">
        <f>IF(ISERROR(VLOOKUP(AB52,#REF!,12,0)),"",(VLOOKUP(AB52,#REF!,12,0)))</f>
        <v/>
      </c>
      <c r="AO52" s="84" t="str">
        <f>IF(ISERROR(VLOOKUP(AB52,#REF!,13,0)),"",(VLOOKUP(AB52,#REF!,13,0)))</f>
        <v/>
      </c>
    </row>
    <row r="53" spans="1:41" ht="17.25" thickTop="1" thickBot="1">
      <c r="A53" s="34"/>
      <c r="B53" s="34"/>
      <c r="C53" s="1299" t="s">
        <v>375</v>
      </c>
      <c r="D53" s="1299"/>
      <c r="E53" s="1297" t="s">
        <v>1</v>
      </c>
      <c r="F53" s="1297"/>
      <c r="G53" s="1297"/>
      <c r="H53" s="1297"/>
      <c r="I53" s="1297"/>
      <c r="J53" s="1297"/>
      <c r="K53" s="1297" t="s">
        <v>0</v>
      </c>
      <c r="L53" s="1297"/>
      <c r="M53" s="1297"/>
      <c r="N53" s="1297"/>
      <c r="O53" s="77"/>
      <c r="P53" s="77"/>
      <c r="Q53" s="78"/>
      <c r="Z53" s="1378"/>
      <c r="AA53" s="1401"/>
      <c r="AB53" s="107" t="s">
        <v>447</v>
      </c>
      <c r="AC53" s="107" t="e">
        <f>AB52</f>
        <v>#REF!</v>
      </c>
      <c r="AD53" s="85" t="str">
        <f>IF(ISERROR(VLOOKUP(AD52,#REF!,15,0)),"",(VLOOKUP(AD52,#REF!,15,0)))</f>
        <v/>
      </c>
      <c r="AE53" s="85" t="str">
        <f>IF(ISERROR(VLOOKUP(AE52,#REF!,15,0)),"",(VLOOKUP(AE52,#REF!,15,0)))</f>
        <v/>
      </c>
      <c r="AF53" s="85" t="str">
        <f>IF(ISERROR(VLOOKUP(AF52,#REF!,15,0)),"",(VLOOKUP(AF52,#REF!,15,0)))</f>
        <v/>
      </c>
      <c r="AG53" s="85" t="str">
        <f>IF(ISERROR(VLOOKUP(AG52,#REF!,15,0)),"",(VLOOKUP(AG52,#REF!,15,0)))</f>
        <v/>
      </c>
      <c r="AH53" s="85" t="str">
        <f>IF(ISERROR(VLOOKUP(AH52,#REF!,15,0)),"",(VLOOKUP(AH52,#REF!,15,0)))</f>
        <v/>
      </c>
      <c r="AI53" s="85" t="str">
        <f>IF(ISERROR(VLOOKUP(AI52,#REF!,15,0)),"",(VLOOKUP(AI52,#REF!,15,0)))</f>
        <v/>
      </c>
      <c r="AJ53" s="85" t="str">
        <f>IF(ISERROR(VLOOKUP(AJ52,#REF!,15,0)),"",(VLOOKUP(AJ52,#REF!,15,0)))</f>
        <v/>
      </c>
      <c r="AK53" s="85" t="str">
        <f>IF(ISERROR(VLOOKUP(AK52,#REF!,15,0)),"",(VLOOKUP(AK52,#REF!,15,0)))</f>
        <v/>
      </c>
      <c r="AL53" s="85" t="str">
        <f>IF(ISERROR(VLOOKUP(AL52,#REF!,15,0)),"",(VLOOKUP(AL52,#REF!,15,0)))</f>
        <v/>
      </c>
      <c r="AM53" s="85" t="str">
        <f>IF(ISERROR(VLOOKUP(AM52,#REF!,15,0)),"",(VLOOKUP(AM52,#REF!,15,0)))</f>
        <v/>
      </c>
      <c r="AN53" s="85" t="str">
        <f>IF(ISERROR(VLOOKUP(AN52,#REF!,15,0)),"",(VLOOKUP(AN52,#REF!,15,0)))</f>
        <v/>
      </c>
      <c r="AO53" s="85" t="str">
        <f>IF(ISERROR(VLOOKUP(AO52,#REF!,15,0)),"",(VLOOKUP(AO52,#REF!,15,0)))</f>
        <v/>
      </c>
    </row>
    <row r="54" spans="1:41" ht="17.25" thickTop="1" thickBot="1">
      <c r="A54" s="34"/>
      <c r="B54" s="34"/>
      <c r="C54" s="101"/>
      <c r="D54" s="101"/>
      <c r="E54" s="33"/>
      <c r="F54" s="33"/>
      <c r="G54" s="33"/>
      <c r="H54" s="33"/>
      <c r="I54" s="33"/>
      <c r="J54" s="33"/>
      <c r="K54" s="34"/>
      <c r="L54" s="34"/>
      <c r="M54" s="33"/>
      <c r="N54" s="33"/>
      <c r="O54" s="77"/>
      <c r="P54" s="77"/>
      <c r="Q54" s="78"/>
      <c r="Z54" s="1378"/>
      <c r="AA54" s="1401">
        <v>26</v>
      </c>
      <c r="AB54" s="107" t="e">
        <f>CONCATENATE(#REF!)</f>
        <v>#REF!</v>
      </c>
      <c r="AC54" s="107"/>
      <c r="AD54" s="84" t="str">
        <f>IF(ISERROR(VLOOKUP(AB54,#REF!,2,0)),"",(VLOOKUP(AB54,#REF!,2,0)))</f>
        <v/>
      </c>
      <c r="AE54" s="84" t="str">
        <f>IF(ISERROR(VLOOKUP(AB54,#REF!,3,0)),"",(VLOOKUP(AB54,#REF!,3,0)))</f>
        <v/>
      </c>
      <c r="AF54" s="84" t="str">
        <f>IF(ISERROR(VLOOKUP(AB54,#REF!,4,0)),"",(VLOOKUP(AB54,#REF!,4,0)))</f>
        <v/>
      </c>
      <c r="AG54" s="84" t="str">
        <f>IF(ISERROR(VLOOKUP(AB54,#REF!,5,0)),"",(VLOOKUP(AB54,#REF!,5,0)))</f>
        <v/>
      </c>
      <c r="AH54" s="84" t="str">
        <f>CONCATENATE(IF(ISERROR(VLOOKUP(AB54,#REF!,6,0)),"",(VLOOKUP(AB54,#REF!,6,0))))</f>
        <v/>
      </c>
      <c r="AI54" s="84" t="str">
        <f>IF(ISERROR(VLOOKUP(AB54,#REF!,7,0)),"",(VLOOKUP(AB54,#REF!,7,0)))</f>
        <v/>
      </c>
      <c r="AJ54" s="84" t="str">
        <f>IF(ISERROR(VLOOKUP(AB54,#REF!,8,0)),"",(VLOOKUP(AB54,#REF!,8,0)))</f>
        <v/>
      </c>
      <c r="AK54" s="84" t="str">
        <f>IF(ISERROR(VLOOKUP(AB54,#REF!,9,0)),"",(VLOOKUP(AB54,#REF!,9,0)))</f>
        <v/>
      </c>
      <c r="AL54" s="84" t="str">
        <f>IF(ISERROR(VLOOKUP(AB54,#REF!,10,0)),"",(VLOOKUP(AB54,#REF!,10,0)))</f>
        <v/>
      </c>
      <c r="AM54" s="84" t="str">
        <f>IF(ISERROR(VLOOKUP(AB54,#REF!,11,0)),"",(VLOOKUP(AB54,#REF!,11,0)))</f>
        <v/>
      </c>
      <c r="AN54" s="84" t="str">
        <f>IF(ISERROR(VLOOKUP(AB54,#REF!,12,0)),"",(VLOOKUP(AB54,#REF!,12,0)))</f>
        <v/>
      </c>
      <c r="AO54" s="84" t="str">
        <f>IF(ISERROR(VLOOKUP(AB54,#REF!,13,0)),"",(VLOOKUP(AB54,#REF!,13,0)))</f>
        <v/>
      </c>
    </row>
    <row r="55" spans="1:41" ht="17.25" thickTop="1" thickBot="1">
      <c r="A55" s="34"/>
      <c r="B55" s="34"/>
      <c r="C55" s="1299" t="s">
        <v>921</v>
      </c>
      <c r="D55" s="1299"/>
      <c r="E55" s="1297" t="s">
        <v>0</v>
      </c>
      <c r="F55" s="1297"/>
      <c r="G55" s="1297" t="s">
        <v>828</v>
      </c>
      <c r="H55" s="1297"/>
      <c r="I55" s="1297"/>
      <c r="J55" s="1297"/>
      <c r="K55" s="1297"/>
      <c r="L55" s="1297"/>
      <c r="M55" s="1297" t="s">
        <v>639</v>
      </c>
      <c r="N55" s="1297"/>
      <c r="O55" s="77"/>
      <c r="P55" s="77"/>
      <c r="Q55" s="78"/>
      <c r="Z55" s="1378"/>
      <c r="AA55" s="1401"/>
      <c r="AB55" s="107" t="s">
        <v>455</v>
      </c>
      <c r="AC55" s="107"/>
      <c r="AD55" s="85" t="str">
        <f>IF(ISERROR(VLOOKUP(AD54,#REF!,15,0)),"",(VLOOKUP(AD54,#REF!,15,0)))</f>
        <v/>
      </c>
      <c r="AE55" s="85" t="str">
        <f>IF(ISERROR(VLOOKUP(AE54,#REF!,15,0)),"",(VLOOKUP(AE54,#REF!,15,0)))</f>
        <v/>
      </c>
      <c r="AF55" s="85" t="str">
        <f>IF(ISERROR(VLOOKUP(AF54,#REF!,15,0)),"",(VLOOKUP(AF54,#REF!,15,0)))</f>
        <v/>
      </c>
      <c r="AG55" s="85" t="str">
        <f>IF(ISERROR(VLOOKUP(AG54,#REF!,15,0)),"",(VLOOKUP(AG54,#REF!,15,0)))</f>
        <v/>
      </c>
      <c r="AH55" s="85" t="str">
        <f>IF(ISERROR(VLOOKUP(AH54,#REF!,15,0)),"",(VLOOKUP(AH54,#REF!,15,0)))</f>
        <v/>
      </c>
      <c r="AI55" s="85" t="str">
        <f>IF(ISERROR(VLOOKUP(AI54,#REF!,15,0)),"",(VLOOKUP(AI54,#REF!,15,0)))</f>
        <v/>
      </c>
      <c r="AJ55" s="85" t="str">
        <f>IF(ISERROR(VLOOKUP(AJ54,#REF!,15,0)),"",(VLOOKUP(AJ54,#REF!,15,0)))</f>
        <v/>
      </c>
      <c r="AK55" s="85" t="str">
        <f>IF(ISERROR(VLOOKUP(AK54,#REF!,15,0)),"",(VLOOKUP(AK54,#REF!,15,0)))</f>
        <v/>
      </c>
      <c r="AL55" s="85" t="str">
        <f>IF(ISERROR(VLOOKUP(AL54,#REF!,15,0)),"",(VLOOKUP(AL54,#REF!,15,0)))</f>
        <v/>
      </c>
      <c r="AM55" s="85" t="str">
        <f>IF(ISERROR(VLOOKUP(AM54,#REF!,15,0)),"",(VLOOKUP(AM54,#REF!,15,0)))</f>
        <v/>
      </c>
      <c r="AN55" s="85" t="str">
        <f>IF(ISERROR(VLOOKUP(AN54,#REF!,15,0)),"",(VLOOKUP(AN54,#REF!,15,0)))</f>
        <v/>
      </c>
      <c r="AO55" s="85" t="str">
        <f>IF(ISERROR(VLOOKUP(AO54,#REF!,15,0)),"",(VLOOKUP(AO54,#REF!,15,0)))</f>
        <v/>
      </c>
    </row>
    <row r="56" spans="1:41" ht="17.25" thickTop="1" thickBot="1">
      <c r="A56" s="34"/>
      <c r="B56" s="34"/>
      <c r="C56" s="1299" t="s">
        <v>922</v>
      </c>
      <c r="D56" s="1299"/>
      <c r="E56" s="1297"/>
      <c r="F56" s="1297"/>
      <c r="G56" s="1297" t="s">
        <v>1</v>
      </c>
      <c r="H56" s="1297"/>
      <c r="I56" s="1297"/>
      <c r="J56" s="1297"/>
      <c r="K56" s="1297"/>
      <c r="L56" s="1297"/>
      <c r="M56" s="1297" t="s">
        <v>828</v>
      </c>
      <c r="N56" s="1297"/>
      <c r="O56" s="77"/>
      <c r="P56" s="77"/>
      <c r="Q56" s="78"/>
      <c r="Z56" s="1378" t="s">
        <v>475</v>
      </c>
      <c r="AA56" s="1396">
        <v>27</v>
      </c>
      <c r="AB56" s="108" t="e">
        <f>CONCATENATE(#REF!)</f>
        <v>#REF!</v>
      </c>
      <c r="AC56" s="108"/>
      <c r="AD56" s="84" t="str">
        <f>IF(ISERROR(VLOOKUP(AB56,#REF!,2,0)),"",(VLOOKUP(AB56,#REF!,2,0)))</f>
        <v/>
      </c>
      <c r="AE56" s="84" t="str">
        <f>IF(ISERROR(VLOOKUP(AB56,#REF!,3,0)),"",(VLOOKUP(AB56,#REF!,3,0)))</f>
        <v/>
      </c>
      <c r="AF56" s="84" t="str">
        <f>IF(ISERROR(VLOOKUP(AB56,#REF!,4,0)),"",(VLOOKUP(AB56,#REF!,4,0)))</f>
        <v/>
      </c>
      <c r="AG56" s="84" t="str">
        <f>IF(ISERROR(VLOOKUP(AB56,#REF!,5,0)),"",(VLOOKUP(AB56,#REF!,5,0)))</f>
        <v/>
      </c>
      <c r="AH56" s="84" t="str">
        <f>CONCATENATE(IF(ISERROR(VLOOKUP(AB56,#REF!,6,0)),"",(VLOOKUP(AB56,#REF!,6,0))))</f>
        <v/>
      </c>
      <c r="AI56" s="84" t="str">
        <f>IF(ISERROR(VLOOKUP(AB56,#REF!,7,0)),"",(VLOOKUP(AB56,#REF!,7,0)))</f>
        <v/>
      </c>
      <c r="AJ56" s="84" t="str">
        <f>IF(ISERROR(VLOOKUP(AB56,#REF!,8,0)),"",(VLOOKUP(AB56,#REF!,8,0)))</f>
        <v/>
      </c>
      <c r="AK56" s="84" t="str">
        <f>IF(ISERROR(VLOOKUP(AB56,#REF!,9,0)),"",(VLOOKUP(AB56,#REF!,9,0)))</f>
        <v/>
      </c>
      <c r="AL56" s="84" t="str">
        <f>IF(ISERROR(VLOOKUP(AB56,#REF!,10,0)),"",(VLOOKUP(AB56,#REF!,10,0)))</f>
        <v/>
      </c>
      <c r="AM56" s="84" t="str">
        <f>IF(ISERROR(VLOOKUP(AB56,#REF!,11,0)),"",(VLOOKUP(AB56,#REF!,11,0)))</f>
        <v/>
      </c>
      <c r="AN56" s="84" t="str">
        <f>IF(ISERROR(VLOOKUP(AB56,#REF!,12,0)),"",(VLOOKUP(AB56,#REF!,12,0)))</f>
        <v/>
      </c>
      <c r="AO56" s="84" t="str">
        <f>IF(ISERROR(VLOOKUP(AB56,#REF!,13,0)),"",(VLOOKUP(AB56,#REF!,13,0)))</f>
        <v/>
      </c>
    </row>
    <row r="57" spans="1:41" ht="17.25" thickTop="1" thickBot="1">
      <c r="A57" s="34"/>
      <c r="B57" s="34"/>
      <c r="C57" s="1299" t="s">
        <v>923</v>
      </c>
      <c r="D57" s="1299"/>
      <c r="E57" s="1297" t="s">
        <v>639</v>
      </c>
      <c r="F57" s="1297"/>
      <c r="G57" s="1297"/>
      <c r="H57" s="1297"/>
      <c r="I57" s="1297"/>
      <c r="J57" s="1297"/>
      <c r="K57" s="1297"/>
      <c r="L57" s="1297"/>
      <c r="M57" s="1297"/>
      <c r="N57" s="1297"/>
      <c r="O57" s="77"/>
      <c r="P57" s="77"/>
      <c r="Q57" s="78"/>
      <c r="Z57" s="1378"/>
      <c r="AA57" s="1396"/>
      <c r="AB57" s="108" t="s">
        <v>447</v>
      </c>
      <c r="AC57" s="108" t="e">
        <f>AB56</f>
        <v>#REF!</v>
      </c>
      <c r="AD57" s="85" t="str">
        <f>IF(ISERROR(VLOOKUP(AD56,#REF!,12,0)),"",(VLOOKUP(AD56,#REF!,12,0)))</f>
        <v/>
      </c>
      <c r="AE57" s="85" t="str">
        <f>IF(ISERROR(VLOOKUP(AE56,#REF!,12,0)),"",(VLOOKUP(AE56,#REF!,12,0)))</f>
        <v/>
      </c>
      <c r="AF57" s="85" t="str">
        <f>IF(ISERROR(VLOOKUP(AF56,#REF!,12,0)),"",(VLOOKUP(AF56,#REF!,12,0)))</f>
        <v/>
      </c>
      <c r="AG57" s="85" t="str">
        <f>IF(ISERROR(VLOOKUP(AG56,#REF!,12,0)),"",(VLOOKUP(AG56,#REF!,12,0)))</f>
        <v/>
      </c>
      <c r="AH57" s="85" t="str">
        <f>IF(ISERROR(VLOOKUP(AH56,#REF!,12,0)),"",(VLOOKUP(AH56,#REF!,12,0)))</f>
        <v/>
      </c>
      <c r="AI57" s="85" t="str">
        <f>IF(ISERROR(VLOOKUP(AI56,#REF!,12,0)),"",(VLOOKUP(AI56,#REF!,12,0)))</f>
        <v/>
      </c>
      <c r="AJ57" s="85" t="str">
        <f>IF(ISERROR(VLOOKUP(AJ56,#REF!,12,0)),"",(VLOOKUP(AJ56,#REF!,12,0)))</f>
        <v/>
      </c>
      <c r="AK57" s="85" t="str">
        <f>IF(ISERROR(VLOOKUP(AK56,#REF!,12,0)),"",(VLOOKUP(AK56,#REF!,12,0)))</f>
        <v/>
      </c>
      <c r="AL57" s="85" t="str">
        <f>IF(ISERROR(VLOOKUP(AL56,#REF!,12,0)),"",(VLOOKUP(AL56,#REF!,12,0)))</f>
        <v/>
      </c>
      <c r="AM57" s="85" t="str">
        <f>IF(ISERROR(VLOOKUP(AM56,#REF!,12,0)),"",(VLOOKUP(AM56,#REF!,12,0)))</f>
        <v/>
      </c>
      <c r="AN57" s="85" t="str">
        <f>IF(ISERROR(VLOOKUP(AN56,#REF!,12,0)),"",(VLOOKUP(AN56,#REF!,12,0)))</f>
        <v/>
      </c>
      <c r="AO57" s="85" t="str">
        <f>IF(ISERROR(VLOOKUP(AO56,#REF!,12,0)),"",(VLOOKUP(AO56,#REF!,12,0)))</f>
        <v/>
      </c>
    </row>
    <row r="58" spans="1:41" ht="17.25" thickTop="1" thickBot="1">
      <c r="A58" s="34"/>
      <c r="B58" s="34"/>
      <c r="C58" s="1299" t="s">
        <v>924</v>
      </c>
      <c r="D58" s="1299"/>
      <c r="E58" s="1297"/>
      <c r="F58" s="1297"/>
      <c r="G58" s="1297"/>
      <c r="H58" s="1297"/>
      <c r="I58" s="1297"/>
      <c r="J58" s="1297"/>
      <c r="K58" s="1297"/>
      <c r="L58" s="1297"/>
      <c r="M58" s="1297"/>
      <c r="N58" s="1297"/>
      <c r="O58" s="77"/>
      <c r="P58" s="77"/>
      <c r="Q58" s="78"/>
      <c r="Z58" s="1378"/>
      <c r="AA58" s="1396">
        <v>28</v>
      </c>
      <c r="AB58" s="108" t="e">
        <f>CONCATENATE(#REF!)</f>
        <v>#REF!</v>
      </c>
      <c r="AC58" s="108"/>
      <c r="AD58" s="84" t="str">
        <f>IF(ISERROR(VLOOKUP(AB58,#REF!,2,0)),"",(VLOOKUP(AB58,#REF!,2,0)))</f>
        <v/>
      </c>
      <c r="AE58" s="84" t="str">
        <f>IF(ISERROR(VLOOKUP(AB58,#REF!,3,0)),"",(VLOOKUP(AB58,#REF!,3,0)))</f>
        <v/>
      </c>
      <c r="AF58" s="84" t="str">
        <f>IF(ISERROR(VLOOKUP(AB58,#REF!,4,0)),"",(VLOOKUP(AB58,#REF!,4,0)))</f>
        <v/>
      </c>
      <c r="AG58" s="84" t="str">
        <f>IF(ISERROR(VLOOKUP(AB58,#REF!,5,0)),"",(VLOOKUP(AB58,#REF!,5,0)))</f>
        <v/>
      </c>
      <c r="AH58" s="84" t="str">
        <f>CONCATENATE(IF(ISERROR(VLOOKUP(AB58,#REF!,6,0)),"",(VLOOKUP(AB58,#REF!,6,0))))</f>
        <v/>
      </c>
      <c r="AI58" s="84" t="str">
        <f>IF(ISERROR(VLOOKUP(AB58,#REF!,7,0)),"",(VLOOKUP(AB58,#REF!,7,0)))</f>
        <v/>
      </c>
      <c r="AJ58" s="84" t="str">
        <f>IF(ISERROR(VLOOKUP(AB58,#REF!,8,0)),"",(VLOOKUP(AB58,#REF!,8,0)))</f>
        <v/>
      </c>
      <c r="AK58" s="84" t="str">
        <f>IF(ISERROR(VLOOKUP(AB58,#REF!,9,0)),"",(VLOOKUP(AB58,#REF!,9,0)))</f>
        <v/>
      </c>
      <c r="AL58" s="84" t="str">
        <f>IF(ISERROR(VLOOKUP(AB58,#REF!,10,0)),"",(VLOOKUP(AB58,#REF!,10,0)))</f>
        <v/>
      </c>
      <c r="AM58" s="84" t="str">
        <f>IF(ISERROR(VLOOKUP(AB58,#REF!,11,0)),"",(VLOOKUP(AB58,#REF!,11,0)))</f>
        <v/>
      </c>
      <c r="AN58" s="84" t="str">
        <f>IF(ISERROR(VLOOKUP(AB58,#REF!,12,0)),"",(VLOOKUP(AB58,#REF!,12,0)))</f>
        <v/>
      </c>
      <c r="AO58" s="84" t="str">
        <f>IF(ISERROR(VLOOKUP(AB58,#REF!,13,0)),"",(VLOOKUP(AB58,#REF!,13,0)))</f>
        <v/>
      </c>
    </row>
    <row r="59" spans="1:41" ht="17.25" thickTop="1" thickBot="1">
      <c r="A59" s="34"/>
      <c r="B59" s="34"/>
      <c r="C59" s="33"/>
      <c r="D59" s="33"/>
      <c r="E59" s="33"/>
      <c r="F59" s="33"/>
      <c r="G59" s="33"/>
      <c r="H59" s="33"/>
      <c r="I59" s="33"/>
      <c r="J59" s="33"/>
      <c r="K59" s="34"/>
      <c r="L59" s="34"/>
      <c r="M59" s="33"/>
      <c r="N59" s="33"/>
      <c r="O59" s="77"/>
      <c r="P59" s="77"/>
      <c r="Q59" s="78"/>
      <c r="Z59" s="1378"/>
      <c r="AA59" s="1396"/>
      <c r="AB59" s="108" t="s">
        <v>447</v>
      </c>
      <c r="AC59" s="108" t="e">
        <f>AB58</f>
        <v>#REF!</v>
      </c>
      <c r="AD59" s="85" t="str">
        <f>IF(ISERROR(VLOOKUP(AD58,#REF!,12,0)),"",(VLOOKUP(AD58,#REF!,12,0)))</f>
        <v/>
      </c>
      <c r="AE59" s="85" t="str">
        <f>IF(ISERROR(VLOOKUP(AE58,#REF!,12,0)),"",(VLOOKUP(AE58,#REF!,12,0)))</f>
        <v/>
      </c>
      <c r="AF59" s="85" t="str">
        <f>IF(ISERROR(VLOOKUP(AF58,#REF!,12,0)),"",(VLOOKUP(AF58,#REF!,12,0)))</f>
        <v/>
      </c>
      <c r="AG59" s="85" t="str">
        <f>IF(ISERROR(VLOOKUP(AG58,#REF!,12,0)),"",(VLOOKUP(AG58,#REF!,12,0)))</f>
        <v/>
      </c>
      <c r="AH59" s="85" t="str">
        <f>IF(ISERROR(VLOOKUP(AH58,#REF!,12,0)),"",(VLOOKUP(AH58,#REF!,12,0)))</f>
        <v/>
      </c>
      <c r="AI59" s="85" t="str">
        <f>IF(ISERROR(VLOOKUP(AI58,#REF!,12,0)),"",(VLOOKUP(AI58,#REF!,12,0)))</f>
        <v/>
      </c>
      <c r="AJ59" s="85" t="str">
        <f>IF(ISERROR(VLOOKUP(AJ58,#REF!,12,0)),"",(VLOOKUP(AJ58,#REF!,12,0)))</f>
        <v/>
      </c>
      <c r="AK59" s="85" t="str">
        <f>IF(ISERROR(VLOOKUP(AK58,#REF!,12,0)),"",(VLOOKUP(AK58,#REF!,12,0)))</f>
        <v/>
      </c>
      <c r="AL59" s="85" t="str">
        <f>IF(ISERROR(VLOOKUP(AL58,#REF!,12,0)),"",(VLOOKUP(AL58,#REF!,12,0)))</f>
        <v/>
      </c>
      <c r="AM59" s="85" t="str">
        <f>IF(ISERROR(VLOOKUP(AM58,#REF!,12,0)),"",(VLOOKUP(AM58,#REF!,12,0)))</f>
        <v/>
      </c>
      <c r="AN59" s="85" t="str">
        <f>IF(ISERROR(VLOOKUP(AN58,#REF!,12,0)),"",(VLOOKUP(AN58,#REF!,12,0)))</f>
        <v/>
      </c>
      <c r="AO59" s="85" t="str">
        <f>IF(ISERROR(VLOOKUP(AO58,#REF!,12,0)),"",(VLOOKUP(AO58,#REF!,12,0)))</f>
        <v/>
      </c>
    </row>
    <row r="60" spans="1:41" ht="19.5" thickTop="1" thickBot="1">
      <c r="A60" s="1321" t="s">
        <v>467</v>
      </c>
      <c r="B60" s="1322"/>
      <c r="C60" s="1323" t="s">
        <v>380</v>
      </c>
      <c r="D60" s="1323"/>
      <c r="E60" s="1323" t="s">
        <v>380</v>
      </c>
      <c r="F60" s="1323"/>
      <c r="G60" s="250"/>
      <c r="H60" s="250" t="s">
        <v>468</v>
      </c>
      <c r="I60" s="1295" t="s">
        <v>402</v>
      </c>
      <c r="J60" s="1295"/>
      <c r="K60" s="1295"/>
      <c r="L60" s="102" t="s">
        <v>403</v>
      </c>
      <c r="M60" s="1331">
        <f ca="1">TODAY()</f>
        <v>45944</v>
      </c>
      <c r="N60" s="1331"/>
      <c r="O60" s="77"/>
      <c r="P60" s="77"/>
      <c r="Q60" s="78"/>
      <c r="Z60" s="1378"/>
      <c r="AA60" s="1396">
        <v>29</v>
      </c>
      <c r="AB60" s="108" t="e">
        <f>CONCATENATE(#REF!)</f>
        <v>#REF!</v>
      </c>
      <c r="AC60" s="108"/>
      <c r="AD60" s="84" t="str">
        <f>IF(ISERROR(VLOOKUP(AB60,#REF!,2,0)),"",(VLOOKUP(AB60,#REF!,2,0)))</f>
        <v/>
      </c>
      <c r="AE60" s="84" t="str">
        <f>IF(ISERROR(VLOOKUP(AB60,#REF!,3,0)),"",(VLOOKUP(AB60,#REF!,3,0)))</f>
        <v/>
      </c>
      <c r="AF60" s="84" t="str">
        <f>IF(ISERROR(VLOOKUP(AB60,#REF!,4,0)),"",(VLOOKUP(AB60,#REF!,4,0)))</f>
        <v/>
      </c>
      <c r="AG60" s="84" t="str">
        <f>IF(ISERROR(VLOOKUP(AB60,#REF!,5,0)),"",(VLOOKUP(AB60,#REF!,5,0)))</f>
        <v/>
      </c>
      <c r="AH60" s="84" t="str">
        <f>CONCATENATE(IF(ISERROR(VLOOKUP(AB60,#REF!,6,0)),"",(VLOOKUP(AB60,#REF!,6,0))))</f>
        <v/>
      </c>
      <c r="AI60" s="84" t="str">
        <f>IF(ISERROR(VLOOKUP(AB60,#REF!,7,0)),"",(VLOOKUP(AB60,#REF!,7,0)))</f>
        <v/>
      </c>
      <c r="AJ60" s="84" t="str">
        <f>IF(ISERROR(VLOOKUP(AB60,#REF!,8,0)),"",(VLOOKUP(AB60,#REF!,8,0)))</f>
        <v/>
      </c>
      <c r="AK60" s="84" t="str">
        <f>IF(ISERROR(VLOOKUP(AB60,#REF!,9,0)),"",(VLOOKUP(AB60,#REF!,9,0)))</f>
        <v/>
      </c>
      <c r="AL60" s="84" t="str">
        <f>IF(ISERROR(VLOOKUP(AB60,#REF!,10,0)),"",(VLOOKUP(AB60,#REF!,10,0)))</f>
        <v/>
      </c>
      <c r="AM60" s="84" t="str">
        <f>IF(ISERROR(VLOOKUP(AB60,#REF!,11,0)),"",(VLOOKUP(AB60,#REF!,11,0)))</f>
        <v/>
      </c>
      <c r="AN60" s="84" t="str">
        <f>IF(ISERROR(VLOOKUP(AB60,#REF!,12,0)),"",(VLOOKUP(AB60,#REF!,12,0)))</f>
        <v/>
      </c>
      <c r="AO60" s="84" t="str">
        <f>IF(ISERROR(VLOOKUP(AB60,#REF!,13,0)),"",(VLOOKUP(AB60,#REF!,13,0)))</f>
        <v/>
      </c>
    </row>
    <row r="61" spans="1:41" ht="19.5" thickTop="1" thickBot="1">
      <c r="A61" s="1321" t="s">
        <v>469</v>
      </c>
      <c r="B61" s="1322"/>
      <c r="C61" s="1323" t="s">
        <v>380</v>
      </c>
      <c r="D61" s="1323"/>
      <c r="E61" s="1323" t="s">
        <v>380</v>
      </c>
      <c r="F61" s="1323"/>
      <c r="G61" s="250"/>
      <c r="H61" s="250"/>
      <c r="I61" s="250"/>
      <c r="J61" s="250"/>
      <c r="K61" s="102"/>
      <c r="L61" s="102"/>
      <c r="M61" s="33"/>
      <c r="N61" s="33"/>
      <c r="O61" s="77"/>
      <c r="P61" s="77"/>
      <c r="Q61" s="78"/>
      <c r="Z61" s="1378"/>
      <c r="AA61" s="1396"/>
      <c r="AB61" s="108" t="s">
        <v>447</v>
      </c>
      <c r="AC61" s="108" t="e">
        <f>AB60</f>
        <v>#REF!</v>
      </c>
      <c r="AD61" s="85" t="str">
        <f>IF(ISERROR(VLOOKUP(AD60,#REF!,12,0)),"",(VLOOKUP(AD60,#REF!,12,0)))</f>
        <v/>
      </c>
      <c r="AE61" s="85" t="str">
        <f>IF(ISERROR(VLOOKUP(AE60,#REF!,12,0)),"",(VLOOKUP(AE60,#REF!,12,0)))</f>
        <v/>
      </c>
      <c r="AF61" s="85" t="str">
        <f>IF(ISERROR(VLOOKUP(AF60,#REF!,12,0)),"",(VLOOKUP(AF60,#REF!,12,0)))</f>
        <v/>
      </c>
      <c r="AG61" s="85" t="str">
        <f>IF(ISERROR(VLOOKUP(AG60,#REF!,12,0)),"",(VLOOKUP(AG60,#REF!,12,0)))</f>
        <v/>
      </c>
      <c r="AH61" s="85" t="str">
        <f>IF(ISERROR(VLOOKUP(AH60,#REF!,12,0)),"",(VLOOKUP(AH60,#REF!,12,0)))</f>
        <v/>
      </c>
      <c r="AI61" s="85" t="str">
        <f>IF(ISERROR(VLOOKUP(AI60,#REF!,12,0)),"",(VLOOKUP(AI60,#REF!,12,0)))</f>
        <v/>
      </c>
      <c r="AJ61" s="85" t="str">
        <f>IF(ISERROR(VLOOKUP(AJ60,#REF!,12,0)),"",(VLOOKUP(AJ60,#REF!,12,0)))</f>
        <v/>
      </c>
      <c r="AK61" s="85" t="str">
        <f>IF(ISERROR(VLOOKUP(AK60,#REF!,12,0)),"",(VLOOKUP(AK60,#REF!,12,0)))</f>
        <v/>
      </c>
      <c r="AL61" s="85" t="str">
        <f>IF(ISERROR(VLOOKUP(AL60,#REF!,12,0)),"",(VLOOKUP(AL60,#REF!,12,0)))</f>
        <v/>
      </c>
      <c r="AM61" s="85" t="str">
        <f>IF(ISERROR(VLOOKUP(AM60,#REF!,12,0)),"",(VLOOKUP(AM60,#REF!,12,0)))</f>
        <v/>
      </c>
      <c r="AN61" s="85" t="str">
        <f>IF(ISERROR(VLOOKUP(AN60,#REF!,12,0)),"",(VLOOKUP(AN60,#REF!,12,0)))</f>
        <v/>
      </c>
      <c r="AO61" s="85" t="str">
        <f>IF(ISERROR(VLOOKUP(AO60,#REF!,12,0)),"",(VLOOKUP(AO60,#REF!,12,0)))</f>
        <v/>
      </c>
    </row>
    <row r="62" spans="1:41" ht="19.5" thickTop="1" thickBot="1">
      <c r="A62" s="1321" t="s">
        <v>470</v>
      </c>
      <c r="B62" s="1322"/>
      <c r="C62" s="1323" t="s">
        <v>380</v>
      </c>
      <c r="D62" s="1323"/>
      <c r="E62" s="1323" t="s">
        <v>380</v>
      </c>
      <c r="F62" s="1323"/>
      <c r="G62" s="250"/>
      <c r="H62" s="250"/>
      <c r="I62" s="250"/>
      <c r="J62" s="250" t="s">
        <v>471</v>
      </c>
      <c r="K62" s="102"/>
      <c r="L62" s="102"/>
      <c r="M62" s="33"/>
      <c r="N62" s="33"/>
      <c r="O62" s="77"/>
      <c r="P62" s="77"/>
      <c r="Q62" s="78"/>
      <c r="Z62" s="1378"/>
      <c r="AA62" s="1396">
        <v>30</v>
      </c>
      <c r="AB62" s="108" t="e">
        <f>CONCATENATE(#REF!)</f>
        <v>#REF!</v>
      </c>
      <c r="AC62" s="108"/>
      <c r="AD62" s="84" t="str">
        <f>IF(ISERROR(VLOOKUP(AB62,#REF!,2,0)),"",(VLOOKUP(AB62,#REF!,2,0)))</f>
        <v/>
      </c>
      <c r="AE62" s="84" t="str">
        <f>IF(ISERROR(VLOOKUP(AB62,#REF!,3,0)),"",(VLOOKUP(AB62,#REF!,3,0)))</f>
        <v/>
      </c>
      <c r="AF62" s="84" t="str">
        <f>IF(ISERROR(VLOOKUP(AB62,#REF!,4,0)),"",(VLOOKUP(AB62,#REF!,4,0)))</f>
        <v/>
      </c>
      <c r="AG62" s="84" t="str">
        <f>IF(ISERROR(VLOOKUP(AB62,#REF!,5,0)),"",(VLOOKUP(AB62,#REF!,5,0)))</f>
        <v/>
      </c>
      <c r="AH62" s="84" t="str">
        <f>CONCATENATE(IF(ISERROR(VLOOKUP(AB62,#REF!,6,0)),"",(VLOOKUP(AB62,#REF!,6,0))))</f>
        <v/>
      </c>
      <c r="AI62" s="84" t="str">
        <f>IF(ISERROR(VLOOKUP(AB62,#REF!,7,0)),"",(VLOOKUP(AB62,#REF!,7,0)))</f>
        <v/>
      </c>
      <c r="AJ62" s="84" t="str">
        <f>IF(ISERROR(VLOOKUP(AB62,#REF!,8,0)),"",(VLOOKUP(AB62,#REF!,8,0)))</f>
        <v/>
      </c>
      <c r="AK62" s="84" t="str">
        <f>IF(ISERROR(VLOOKUP(AB62,#REF!,9,0)),"",(VLOOKUP(AB62,#REF!,9,0)))</f>
        <v/>
      </c>
      <c r="AL62" s="84" t="str">
        <f>IF(ISERROR(VLOOKUP(AB62,#REF!,10,0)),"",(VLOOKUP(AB62,#REF!,10,0)))</f>
        <v/>
      </c>
      <c r="AM62" s="84" t="str">
        <f>IF(ISERROR(VLOOKUP(AB62,#REF!,11,0)),"",(VLOOKUP(AB62,#REF!,11,0)))</f>
        <v/>
      </c>
      <c r="AN62" s="84" t="str">
        <f>IF(ISERROR(VLOOKUP(AB62,#REF!,12,0)),"",(VLOOKUP(AB62,#REF!,12,0)))</f>
        <v/>
      </c>
      <c r="AO62" s="84" t="str">
        <f>IF(ISERROR(VLOOKUP(AB62,#REF!,13,0)),"",(VLOOKUP(AB62,#REF!,13,0)))</f>
        <v/>
      </c>
    </row>
    <row r="63" spans="1:41" ht="24" thickTop="1">
      <c r="A63" s="102"/>
      <c r="B63" s="102"/>
      <c r="C63" s="250"/>
      <c r="D63" s="250"/>
      <c r="E63" s="250"/>
      <c r="F63" s="250"/>
      <c r="G63" s="33"/>
      <c r="H63" s="103" t="s">
        <v>406</v>
      </c>
      <c r="I63" s="33"/>
      <c r="J63" s="34"/>
      <c r="K63" s="34"/>
      <c r="L63" s="33"/>
      <c r="M63" s="33"/>
      <c r="N63" s="104"/>
      <c r="O63" s="77"/>
      <c r="P63" s="77"/>
      <c r="Q63" s="78"/>
      <c r="Z63" s="1378"/>
      <c r="AA63" s="1396"/>
      <c r="AB63" s="108" t="s">
        <v>447</v>
      </c>
      <c r="AC63" s="108" t="e">
        <f>AB62</f>
        <v>#REF!</v>
      </c>
      <c r="AD63" s="85" t="str">
        <f>IF(ISERROR(VLOOKUP(AD62,#REF!,12,0)),"",(VLOOKUP(AD62,#REF!,12,0)))</f>
        <v/>
      </c>
      <c r="AE63" s="85" t="str">
        <f>IF(ISERROR(VLOOKUP(AE62,#REF!,12,0)),"",(VLOOKUP(AE62,#REF!,12,0)))</f>
        <v/>
      </c>
      <c r="AF63" s="85" t="str">
        <f>IF(ISERROR(VLOOKUP(AF62,#REF!,12,0)),"",(VLOOKUP(AF62,#REF!,12,0)))</f>
        <v/>
      </c>
      <c r="AG63" s="85" t="str">
        <f>IF(ISERROR(VLOOKUP(AG62,#REF!,12,0)),"",(VLOOKUP(AG62,#REF!,12,0)))</f>
        <v/>
      </c>
      <c r="AH63" s="85" t="str">
        <f>IF(ISERROR(VLOOKUP(AH62,#REF!,12,0)),"",(VLOOKUP(AH62,#REF!,12,0)))</f>
        <v/>
      </c>
      <c r="AI63" s="85" t="str">
        <f>IF(ISERROR(VLOOKUP(AI62,#REF!,12,0)),"",(VLOOKUP(AI62,#REF!,12,0)))</f>
        <v/>
      </c>
      <c r="AJ63" s="85" t="str">
        <f>IF(ISERROR(VLOOKUP(AJ62,#REF!,12,0)),"",(VLOOKUP(AJ62,#REF!,12,0)))</f>
        <v/>
      </c>
      <c r="AK63" s="85" t="str">
        <f>IF(ISERROR(VLOOKUP(AK62,#REF!,12,0)),"",(VLOOKUP(AK62,#REF!,12,0)))</f>
        <v/>
      </c>
      <c r="AL63" s="85" t="str">
        <f>IF(ISERROR(VLOOKUP(AL62,#REF!,12,0)),"",(VLOOKUP(AL62,#REF!,12,0)))</f>
        <v/>
      </c>
      <c r="AM63" s="85" t="str">
        <f>IF(ISERROR(VLOOKUP(AM62,#REF!,12,0)),"",(VLOOKUP(AM62,#REF!,12,0)))</f>
        <v/>
      </c>
      <c r="AN63" s="85" t="str">
        <f>IF(ISERROR(VLOOKUP(AN62,#REF!,12,0)),"",(VLOOKUP(AN62,#REF!,12,0)))</f>
        <v/>
      </c>
      <c r="AO63" s="85" t="str">
        <f>IF(ISERROR(VLOOKUP(AO62,#REF!,12,0)),"",(VLOOKUP(AO62,#REF!,12,0)))</f>
        <v/>
      </c>
    </row>
    <row r="64" spans="1:41" ht="18">
      <c r="A64" s="1295" t="s">
        <v>78</v>
      </c>
      <c r="B64" s="1295"/>
      <c r="C64" s="1295"/>
      <c r="D64" s="1295"/>
      <c r="E64" s="1295"/>
      <c r="F64" s="1295"/>
      <c r="G64" s="1295"/>
      <c r="H64" s="1295"/>
      <c r="I64" s="1295"/>
      <c r="J64" s="1295"/>
      <c r="K64" s="1295"/>
      <c r="L64" s="1295"/>
      <c r="M64" s="1295"/>
      <c r="N64" s="1295"/>
      <c r="O64" s="77"/>
      <c r="P64" s="77"/>
      <c r="Q64" s="78"/>
      <c r="Z64" s="1378"/>
      <c r="AA64" s="1396">
        <v>31</v>
      </c>
      <c r="AB64" s="108" t="e">
        <f>CONCATENATE(#REF!)</f>
        <v>#REF!</v>
      </c>
      <c r="AC64" s="108"/>
      <c r="AD64" s="84" t="str">
        <f>IF(ISERROR(VLOOKUP(AB64,#REF!,2,0)),"",(VLOOKUP(AB64,#REF!,2,0)))</f>
        <v/>
      </c>
      <c r="AE64" s="84" t="str">
        <f>IF(ISERROR(VLOOKUP(AB64,#REF!,3,0)),"",(VLOOKUP(AB64,#REF!,3,0)))</f>
        <v/>
      </c>
      <c r="AF64" s="84" t="str">
        <f>IF(ISERROR(VLOOKUP(AB64,#REF!,4,0)),"",(VLOOKUP(AB64,#REF!,4,0)))</f>
        <v/>
      </c>
      <c r="AG64" s="84" t="str">
        <f>IF(ISERROR(VLOOKUP(AB64,#REF!,5,0)),"",(VLOOKUP(AB64,#REF!,5,0)))</f>
        <v/>
      </c>
      <c r="AH64" s="84" t="str">
        <f>CONCATENATE(IF(ISERROR(VLOOKUP(AB64,#REF!,6,0)),"",(VLOOKUP(AB64,#REF!,6,0))))</f>
        <v/>
      </c>
      <c r="AI64" s="84" t="str">
        <f>IF(ISERROR(VLOOKUP(AB64,#REF!,7,0)),"",(VLOOKUP(AB64,#REF!,7,0)))</f>
        <v/>
      </c>
      <c r="AJ64" s="84" t="str">
        <f>IF(ISERROR(VLOOKUP(AB64,#REF!,8,0)),"",(VLOOKUP(AB64,#REF!,8,0)))</f>
        <v/>
      </c>
      <c r="AK64" s="84" t="str">
        <f>IF(ISERROR(VLOOKUP(AB64,#REF!,9,0)),"",(VLOOKUP(AB64,#REF!,9,0)))</f>
        <v/>
      </c>
      <c r="AL64" s="84" t="str">
        <f>IF(ISERROR(VLOOKUP(AB64,#REF!,10,0)),"",(VLOOKUP(AB64,#REF!,10,0)))</f>
        <v/>
      </c>
      <c r="AM64" s="84" t="str">
        <f>IF(ISERROR(VLOOKUP(AB64,#REF!,11,0)),"",(VLOOKUP(AB64,#REF!,11,0)))</f>
        <v/>
      </c>
      <c r="AN64" s="84" t="str">
        <f>IF(ISERROR(VLOOKUP(AB64,#REF!,12,0)),"",(VLOOKUP(AB64,#REF!,12,0)))</f>
        <v/>
      </c>
      <c r="AO64" s="84" t="str">
        <f>IF(ISERROR(VLOOKUP(AB64,#REF!,13,0)),"",(VLOOKUP(AB64,#REF!,13,0)))</f>
        <v/>
      </c>
    </row>
    <row r="65" spans="1:41" ht="18">
      <c r="A65" s="1295" t="s">
        <v>79</v>
      </c>
      <c r="B65" s="1295"/>
      <c r="C65" s="1295"/>
      <c r="D65" s="1295"/>
      <c r="E65" s="1295"/>
      <c r="F65" s="1295"/>
      <c r="G65" s="1295"/>
      <c r="H65" s="1295"/>
      <c r="I65" s="1295"/>
      <c r="J65" s="1295"/>
      <c r="K65" s="1295"/>
      <c r="L65" s="1295"/>
      <c r="M65" s="1295"/>
      <c r="N65" s="1295"/>
      <c r="O65" s="77"/>
      <c r="P65" s="77"/>
      <c r="Q65" s="78"/>
      <c r="Z65" s="1378"/>
      <c r="AA65" s="1396"/>
      <c r="AB65" s="108" t="s">
        <v>447</v>
      </c>
      <c r="AC65" s="108" t="e">
        <f>AB64</f>
        <v>#REF!</v>
      </c>
      <c r="AD65" s="85" t="str">
        <f>IF(ISERROR(VLOOKUP(AD64,#REF!,12,0)),"",(VLOOKUP(AD64,#REF!,12,0)))</f>
        <v/>
      </c>
      <c r="AE65" s="85" t="str">
        <f>IF(ISERROR(VLOOKUP(AE64,#REF!,12,0)),"",(VLOOKUP(AE64,#REF!,12,0)))</f>
        <v/>
      </c>
      <c r="AF65" s="85" t="str">
        <f>IF(ISERROR(VLOOKUP(AF64,#REF!,12,0)),"",(VLOOKUP(AF64,#REF!,12,0)))</f>
        <v/>
      </c>
      <c r="AG65" s="85" t="str">
        <f>IF(ISERROR(VLOOKUP(AG64,#REF!,12,0)),"",(VLOOKUP(AG64,#REF!,12,0)))</f>
        <v/>
      </c>
      <c r="AH65" s="85" t="str">
        <f>IF(ISERROR(VLOOKUP(AH64,#REF!,12,0)),"",(VLOOKUP(AH64,#REF!,12,0)))</f>
        <v/>
      </c>
      <c r="AI65" s="85" t="str">
        <f>IF(ISERROR(VLOOKUP(AI64,#REF!,12,0)),"",(VLOOKUP(AI64,#REF!,12,0)))</f>
        <v/>
      </c>
      <c r="AJ65" s="85" t="str">
        <f>IF(ISERROR(VLOOKUP(AJ64,#REF!,12,0)),"",(VLOOKUP(AJ64,#REF!,12,0)))</f>
        <v/>
      </c>
      <c r="AK65" s="85" t="str">
        <f>IF(ISERROR(VLOOKUP(AK64,#REF!,12,0)),"",(VLOOKUP(AK64,#REF!,12,0)))</f>
        <v/>
      </c>
      <c r="AL65" s="85" t="str">
        <f>IF(ISERROR(VLOOKUP(AL64,#REF!,12,0)),"",(VLOOKUP(AL64,#REF!,12,0)))</f>
        <v/>
      </c>
      <c r="AM65" s="85" t="str">
        <f>IF(ISERROR(VLOOKUP(AM64,#REF!,12,0)),"",(VLOOKUP(AM64,#REF!,12,0)))</f>
        <v/>
      </c>
      <c r="AN65" s="85" t="str">
        <f>IF(ISERROR(VLOOKUP(AN64,#REF!,12,0)),"",(VLOOKUP(AN64,#REF!,12,0)))</f>
        <v/>
      </c>
      <c r="AO65" s="85" t="str">
        <f>IF(ISERROR(VLOOKUP(AO64,#REF!,12,0)),"",(VLOOKUP(AO64,#REF!,12,0)))</f>
        <v/>
      </c>
    </row>
    <row r="66" spans="1:41" ht="18">
      <c r="A66" s="168" t="s">
        <v>220</v>
      </c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33"/>
      <c r="N66" s="33"/>
      <c r="O66" s="77"/>
      <c r="P66" s="77"/>
      <c r="Q66" s="78"/>
      <c r="Z66" s="1378"/>
      <c r="AA66" s="1396">
        <v>32</v>
      </c>
      <c r="AB66" s="108" t="e">
        <f>CONCATENATE(#REF!)</f>
        <v>#REF!</v>
      </c>
      <c r="AC66" s="108"/>
      <c r="AD66" s="84" t="str">
        <f>IF(ISERROR(VLOOKUP(AB66,#REF!,2,0)),"",(VLOOKUP(AB66,#REF!,2,0)))</f>
        <v/>
      </c>
      <c r="AE66" s="84" t="str">
        <f>IF(ISERROR(VLOOKUP(AB66,#REF!,3,0)),"",(VLOOKUP(AB66,#REF!,3,0)))</f>
        <v/>
      </c>
      <c r="AF66" s="84" t="str">
        <f>IF(ISERROR(VLOOKUP(AB66,#REF!,4,0)),"",(VLOOKUP(AB66,#REF!,4,0)))</f>
        <v/>
      </c>
      <c r="AG66" s="84" t="str">
        <f>IF(ISERROR(VLOOKUP(AB66,#REF!,5,0)),"",(VLOOKUP(AB66,#REF!,5,0)))</f>
        <v/>
      </c>
      <c r="AH66" s="84" t="str">
        <f>CONCATENATE(IF(ISERROR(VLOOKUP(AB66,#REF!,6,0)),"",(VLOOKUP(AB66,#REF!,6,0))))</f>
        <v/>
      </c>
      <c r="AI66" s="84" t="str">
        <f>IF(ISERROR(VLOOKUP(AB66,#REF!,7,0)),"",(VLOOKUP(AB66,#REF!,7,0)))</f>
        <v/>
      </c>
      <c r="AJ66" s="84" t="str">
        <f>IF(ISERROR(VLOOKUP(AB66,#REF!,8,0)),"",(VLOOKUP(AB66,#REF!,8,0)))</f>
        <v/>
      </c>
      <c r="AK66" s="84" t="str">
        <f>IF(ISERROR(VLOOKUP(AB66,#REF!,9,0)),"",(VLOOKUP(AB66,#REF!,9,0)))</f>
        <v/>
      </c>
      <c r="AL66" s="84" t="str">
        <f>IF(ISERROR(VLOOKUP(AB66,#REF!,10,0)),"",(VLOOKUP(AB66,#REF!,10,0)))</f>
        <v/>
      </c>
      <c r="AM66" s="84" t="str">
        <f>IF(ISERROR(VLOOKUP(AB66,#REF!,11,0)),"",(VLOOKUP(AB66,#REF!,11,0)))</f>
        <v/>
      </c>
      <c r="AN66" s="84" t="str">
        <f>IF(ISERROR(VLOOKUP(AB66,#REF!,12,0)),"",(VLOOKUP(AB66,#REF!,12,0)))</f>
        <v/>
      </c>
      <c r="AO66" s="84" t="str">
        <f>IF(ISERROR(VLOOKUP(AB66,#REF!,13,0)),"",(VLOOKUP(AB66,#REF!,13,0)))</f>
        <v/>
      </c>
    </row>
    <row r="67" spans="1:41" ht="18">
      <c r="A67" s="168" t="s">
        <v>444</v>
      </c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33"/>
      <c r="N67" s="33"/>
      <c r="O67" s="77"/>
      <c r="P67" s="77"/>
      <c r="Q67" s="78"/>
      <c r="Z67" s="1378"/>
      <c r="AA67" s="1396"/>
      <c r="AB67" s="108" t="s">
        <v>447</v>
      </c>
      <c r="AC67" s="108" t="e">
        <f>AB66</f>
        <v>#REF!</v>
      </c>
      <c r="AD67" s="85" t="str">
        <f>IF(ISERROR(VLOOKUP(AD66,#REF!,12,0)),"",(VLOOKUP(AD66,#REF!,12,0)))</f>
        <v/>
      </c>
      <c r="AE67" s="85" t="str">
        <f>IF(ISERROR(VLOOKUP(AE66,#REF!,12,0)),"",(VLOOKUP(AE66,#REF!,12,0)))</f>
        <v/>
      </c>
      <c r="AF67" s="85" t="str">
        <f>IF(ISERROR(VLOOKUP(AF66,#REF!,12,0)),"",(VLOOKUP(AF66,#REF!,12,0)))</f>
        <v/>
      </c>
      <c r="AG67" s="85" t="str">
        <f>IF(ISERROR(VLOOKUP(AG66,#REF!,12,0)),"",(VLOOKUP(AG66,#REF!,12,0)))</f>
        <v/>
      </c>
      <c r="AH67" s="85" t="str">
        <f>IF(ISERROR(VLOOKUP(AH66,#REF!,12,0)),"",(VLOOKUP(AH66,#REF!,12,0)))</f>
        <v/>
      </c>
      <c r="AI67" s="85" t="str">
        <f>IF(ISERROR(VLOOKUP(AI66,#REF!,12,0)),"",(VLOOKUP(AI66,#REF!,12,0)))</f>
        <v/>
      </c>
      <c r="AJ67" s="85" t="str">
        <f>IF(ISERROR(VLOOKUP(AJ66,#REF!,12,0)),"",(VLOOKUP(AJ66,#REF!,12,0)))</f>
        <v/>
      </c>
      <c r="AK67" s="85" t="str">
        <f>IF(ISERROR(VLOOKUP(AK66,#REF!,12,0)),"",(VLOOKUP(AK66,#REF!,12,0)))</f>
        <v/>
      </c>
      <c r="AL67" s="85" t="str">
        <f>IF(ISERROR(VLOOKUP(AL66,#REF!,12,0)),"",(VLOOKUP(AL66,#REF!,12,0)))</f>
        <v/>
      </c>
      <c r="AM67" s="85" t="str">
        <f>IF(ISERROR(VLOOKUP(AM66,#REF!,12,0)),"",(VLOOKUP(AM66,#REF!,12,0)))</f>
        <v/>
      </c>
      <c r="AN67" s="85" t="str">
        <f>IF(ISERROR(VLOOKUP(AN66,#REF!,12,0)),"",(VLOOKUP(AN66,#REF!,12,0)))</f>
        <v/>
      </c>
      <c r="AO67" s="85" t="str">
        <f>IF(ISERROR(VLOOKUP(AO66,#REF!,12,0)),"",(VLOOKUP(AO66,#REF!,12,0)))</f>
        <v/>
      </c>
    </row>
    <row r="68" spans="1:41" ht="18.75" thickBot="1">
      <c r="A68" s="250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33"/>
      <c r="N68" s="33"/>
      <c r="O68" s="77"/>
      <c r="P68" s="77"/>
      <c r="Q68" s="78"/>
      <c r="Z68" s="1378" t="s">
        <v>476</v>
      </c>
      <c r="AA68" s="1395">
        <v>33</v>
      </c>
      <c r="AB68" s="109" t="e">
        <f>CONCATENATE(#REF!)</f>
        <v>#REF!</v>
      </c>
      <c r="AC68" s="109"/>
      <c r="AD68" s="84" t="str">
        <f>IF(ISERROR(VLOOKUP(AB68,#REF!,2,0)),"",(VLOOKUP(AB68,#REF!,2,0)))</f>
        <v/>
      </c>
      <c r="AE68" s="84" t="str">
        <f>IF(ISERROR(VLOOKUP(AB68,#REF!,3,0)),"",(VLOOKUP(AB68,#REF!,3,0)))</f>
        <v/>
      </c>
      <c r="AF68" s="84" t="str">
        <f>IF(ISERROR(VLOOKUP(AB68,#REF!,4,0)),"",(VLOOKUP(AB68,#REF!,4,0)))</f>
        <v/>
      </c>
      <c r="AG68" s="84" t="str">
        <f>IF(ISERROR(VLOOKUP(AB68,#REF!,5,0)),"",(VLOOKUP(AB68,#REF!,5,0)))</f>
        <v/>
      </c>
      <c r="AH68" s="84" t="str">
        <f>CONCATENATE(IF(ISERROR(VLOOKUP(AB68,#REF!,6,0)),"",(VLOOKUP(AB68,#REF!,6,0))))</f>
        <v/>
      </c>
      <c r="AI68" s="84" t="str">
        <f>IF(ISERROR(VLOOKUP(AB68,#REF!,7,0)),"",(VLOOKUP(AB68,#REF!,7,0)))</f>
        <v/>
      </c>
      <c r="AJ68" s="84" t="str">
        <f>IF(ISERROR(VLOOKUP(AB68,#REF!,8,0)),"",(VLOOKUP(AB68,#REF!,8,0)))</f>
        <v/>
      </c>
      <c r="AK68" s="84" t="str">
        <f>IF(ISERROR(VLOOKUP(AB68,#REF!,9,0)),"",(VLOOKUP(AB68,#REF!,9,0)))</f>
        <v/>
      </c>
      <c r="AL68" s="84" t="str">
        <f>IF(ISERROR(VLOOKUP(AB68,#REF!,10,0)),"",(VLOOKUP(AB68,#REF!,10,0)))</f>
        <v/>
      </c>
      <c r="AM68" s="84" t="str">
        <f>IF(ISERROR(VLOOKUP(AB68,#REF!,11,0)),"",(VLOOKUP(AB68,#REF!,11,0)))</f>
        <v/>
      </c>
      <c r="AN68" s="84" t="str">
        <f>IF(ISERROR(VLOOKUP(AB68,#REF!,12,0)),"",(VLOOKUP(AB68,#REF!,12,0)))</f>
        <v/>
      </c>
      <c r="AO68" s="84" t="str">
        <f>IF(ISERROR(VLOOKUP(AB68,#REF!,13,0)),"",(VLOOKUP(AB68,#REF!,13,0)))</f>
        <v/>
      </c>
    </row>
    <row r="69" spans="1:41" ht="24" thickBot="1">
      <c r="A69" s="250"/>
      <c r="B69" s="250"/>
      <c r="C69" s="1333" t="s">
        <v>446</v>
      </c>
      <c r="D69" s="1334"/>
      <c r="E69" s="1334"/>
      <c r="F69" s="1334"/>
      <c r="G69" s="1334"/>
      <c r="H69" s="1334"/>
      <c r="I69" s="1334"/>
      <c r="J69" s="1334"/>
      <c r="K69" s="1334"/>
      <c r="L69" s="1335"/>
      <c r="M69" s="33"/>
      <c r="N69" s="33"/>
      <c r="O69" s="77"/>
      <c r="P69" s="77"/>
      <c r="Q69" s="78"/>
      <c r="Z69" s="1378"/>
      <c r="AA69" s="1395"/>
      <c r="AB69" s="109" t="s">
        <v>447</v>
      </c>
      <c r="AC69" s="109" t="e">
        <f>AB68</f>
        <v>#REF!</v>
      </c>
      <c r="AD69" s="85" t="str">
        <f>IF(ISERROR(VLOOKUP(AD68,#REF!,16,0)),"",(VLOOKUP(AD68,#REF!,16,0)))</f>
        <v/>
      </c>
      <c r="AE69" s="85" t="str">
        <f>IF(ISERROR(VLOOKUP(AE68,#REF!,16,0)),"",(VLOOKUP(AE68,#REF!,16,0)))</f>
        <v/>
      </c>
      <c r="AF69" s="85" t="str">
        <f>IF(ISERROR(VLOOKUP(AF68,#REF!,16,0)),"",(VLOOKUP(AF68,#REF!,16,0)))</f>
        <v/>
      </c>
      <c r="AG69" s="85" t="str">
        <f>IF(ISERROR(VLOOKUP(AG68,#REF!,16,0)),"",(VLOOKUP(AG68,#REF!,16,0)))</f>
        <v/>
      </c>
      <c r="AH69" s="85" t="str">
        <f>IF(ISERROR(VLOOKUP(AH68,#REF!,16,0)),"",(VLOOKUP(AH68,#REF!,16,0)))</f>
        <v/>
      </c>
      <c r="AI69" s="85" t="str">
        <f>IF(ISERROR(VLOOKUP(AI68,#REF!,16,0)),"",(VLOOKUP(AI68,#REF!,16,0)))</f>
        <v/>
      </c>
      <c r="AJ69" s="85" t="str">
        <f>IF(ISERROR(VLOOKUP(AJ68,#REF!,16,0)),"",(VLOOKUP(AJ68,#REF!,16,0)))</f>
        <v/>
      </c>
      <c r="AK69" s="85" t="str">
        <f>IF(ISERROR(VLOOKUP(AK68,#REF!,16,0)),"",(VLOOKUP(AK68,#REF!,16,0)))</f>
        <v/>
      </c>
      <c r="AL69" s="85" t="str">
        <f>IF(ISERROR(VLOOKUP(AL68,#REF!,16,0)),"",(VLOOKUP(AL68,#REF!,16,0)))</f>
        <v/>
      </c>
      <c r="AM69" s="85" t="str">
        <f>IF(ISERROR(VLOOKUP(AM68,#REF!,16,0)),"",(VLOOKUP(AM68,#REF!,16,0)))</f>
        <v/>
      </c>
      <c r="AN69" s="85" t="str">
        <f>IF(ISERROR(VLOOKUP(AN68,#REF!,16,0)),"",(VLOOKUP(AN68,#REF!,16,0)))</f>
        <v/>
      </c>
      <c r="AO69" s="85" t="str">
        <f>IF(ISERROR(VLOOKUP(AO68,#REF!,16,0)),"",(VLOOKUP(AO68,#REF!,16,0)))</f>
        <v/>
      </c>
    </row>
    <row r="70" spans="1:41" ht="23.25">
      <c r="A70" s="250"/>
      <c r="B70" s="250"/>
      <c r="C70" s="249"/>
      <c r="D70" s="249"/>
      <c r="E70" s="249"/>
      <c r="F70" s="249"/>
      <c r="G70" s="249"/>
      <c r="H70" s="249"/>
      <c r="I70" s="249"/>
      <c r="J70" s="249"/>
      <c r="K70" s="249"/>
      <c r="L70" s="249"/>
      <c r="M70" s="33"/>
      <c r="N70" s="33"/>
      <c r="O70" s="77"/>
      <c r="P70" s="77"/>
      <c r="Q70" s="78"/>
      <c r="Z70" s="1378"/>
      <c r="AA70" s="1395">
        <v>34</v>
      </c>
      <c r="AB70" s="109" t="e">
        <f>CONCATENATE(#REF!)</f>
        <v>#REF!</v>
      </c>
      <c r="AC70" s="109"/>
      <c r="AD70" s="84" t="str">
        <f>IF(ISERROR(VLOOKUP(AB70,#REF!,2,0)),"",(VLOOKUP(AB70,#REF!,2,0)))</f>
        <v/>
      </c>
      <c r="AE70" s="84" t="str">
        <f>IF(ISERROR(VLOOKUP(AB70,#REF!,3,0)),"",(VLOOKUP(AB70,#REF!,3,0)))</f>
        <v/>
      </c>
      <c r="AF70" s="84" t="str">
        <f>IF(ISERROR(VLOOKUP(AB70,#REF!,4,0)),"",(VLOOKUP(AB70,#REF!,4,0)))</f>
        <v/>
      </c>
      <c r="AG70" s="84" t="str">
        <f>IF(ISERROR(VLOOKUP(AB70,#REF!,5,0)),"",(VLOOKUP(AB70,#REF!,5,0)))</f>
        <v/>
      </c>
      <c r="AH70" s="84" t="str">
        <f>CONCATENATE(IF(ISERROR(VLOOKUP(AB70,#REF!,6,0)),"",(VLOOKUP(AB70,#REF!,6,0))))</f>
        <v/>
      </c>
      <c r="AI70" s="84" t="str">
        <f>IF(ISERROR(VLOOKUP(AB70,#REF!,7,0)),"",(VLOOKUP(AB70,#REF!,7,0)))</f>
        <v/>
      </c>
      <c r="AJ70" s="84" t="str">
        <f>IF(ISERROR(VLOOKUP(AB70,#REF!,8,0)),"",(VLOOKUP(AB70,#REF!,8,0)))</f>
        <v/>
      </c>
      <c r="AK70" s="84" t="str">
        <f>IF(ISERROR(VLOOKUP(AB70,#REF!,9,0)),"",(VLOOKUP(AB70,#REF!,9,0)))</f>
        <v/>
      </c>
      <c r="AL70" s="84" t="str">
        <f>IF(ISERROR(VLOOKUP(AB70,#REF!,10,0)),"",(VLOOKUP(AB70,#REF!,10,0)))</f>
        <v/>
      </c>
      <c r="AM70" s="84" t="str">
        <f>IF(ISERROR(VLOOKUP(AB70,#REF!,11,0)),"",(VLOOKUP(AB70,#REF!,11,0)))</f>
        <v/>
      </c>
      <c r="AN70" s="84" t="str">
        <f>IF(ISERROR(VLOOKUP(AB70,#REF!,12,0)),"",(VLOOKUP(AB70,#REF!,12,0)))</f>
        <v/>
      </c>
      <c r="AO70" s="84" t="str">
        <f>IF(ISERROR(VLOOKUP(AB70,#REF!,13,0)),"",(VLOOKUP(AB70,#REF!,13,0)))</f>
        <v/>
      </c>
    </row>
    <row r="71" spans="1:41" ht="23.25">
      <c r="A71" s="1295" t="s">
        <v>448</v>
      </c>
      <c r="B71" s="1295"/>
      <c r="C71" s="1295"/>
      <c r="E71" s="1294" t="s">
        <v>272</v>
      </c>
      <c r="F71" s="1294"/>
      <c r="G71" s="1294"/>
      <c r="H71" s="1294"/>
      <c r="I71" s="1294"/>
      <c r="J71" s="249"/>
      <c r="K71" s="249" t="s">
        <v>449</v>
      </c>
      <c r="L71" s="249"/>
      <c r="M71" s="1295" t="s">
        <v>262</v>
      </c>
      <c r="N71" s="1295"/>
      <c r="O71" s="153" t="str">
        <f>E39</f>
        <v>خشعي فتيحة</v>
      </c>
      <c r="P71" s="153">
        <v>3</v>
      </c>
      <c r="Q71" s="78"/>
      <c r="Z71" s="1378"/>
      <c r="AA71" s="1395"/>
      <c r="AB71" s="109" t="s">
        <v>447</v>
      </c>
      <c r="AC71" s="109" t="e">
        <f>AB70</f>
        <v>#REF!</v>
      </c>
      <c r="AD71" s="85" t="str">
        <f>IF(ISERROR(VLOOKUP(AD70,#REF!,16,0)),"",(VLOOKUP(AD70,#REF!,16,0)))</f>
        <v/>
      </c>
      <c r="AE71" s="85" t="str">
        <f>IF(ISERROR(VLOOKUP(AE70,#REF!,16,0)),"",(VLOOKUP(AE70,#REF!,16,0)))</f>
        <v/>
      </c>
      <c r="AF71" s="85" t="str">
        <f>IF(ISERROR(VLOOKUP(AF70,#REF!,16,0)),"",(VLOOKUP(AF70,#REF!,16,0)))</f>
        <v/>
      </c>
      <c r="AG71" s="85" t="str">
        <f>IF(ISERROR(VLOOKUP(AG70,#REF!,16,0)),"",(VLOOKUP(AG70,#REF!,16,0)))</f>
        <v/>
      </c>
      <c r="AH71" s="85" t="str">
        <f>IF(ISERROR(VLOOKUP(AH70,#REF!,16,0)),"",(VLOOKUP(AH70,#REF!,16,0)))</f>
        <v/>
      </c>
      <c r="AI71" s="85" t="str">
        <f>IF(ISERROR(VLOOKUP(AI70,#REF!,16,0)),"",(VLOOKUP(AI70,#REF!,16,0)))</f>
        <v/>
      </c>
      <c r="AJ71" s="85" t="str">
        <f>IF(ISERROR(VLOOKUP(AJ70,#REF!,16,0)),"",(VLOOKUP(AJ70,#REF!,16,0)))</f>
        <v/>
      </c>
      <c r="AK71" s="85" t="str">
        <f>IF(ISERROR(VLOOKUP(AK70,#REF!,16,0)),"",(VLOOKUP(AK70,#REF!,16,0)))</f>
        <v/>
      </c>
      <c r="AL71" s="85" t="str">
        <f>IF(ISERROR(VLOOKUP(AL70,#REF!,16,0)),"",(VLOOKUP(AL70,#REF!,16,0)))</f>
        <v/>
      </c>
      <c r="AM71" s="85" t="str">
        <f>IF(ISERROR(VLOOKUP(AM70,#REF!,16,0)),"",(VLOOKUP(AM70,#REF!,16,0)))</f>
        <v/>
      </c>
      <c r="AN71" s="85" t="str">
        <f>IF(ISERROR(VLOOKUP(AN70,#REF!,16,0)),"",(VLOOKUP(AN70,#REF!,16,0)))</f>
        <v/>
      </c>
      <c r="AO71" s="85" t="str">
        <f>IF(ISERROR(VLOOKUP(AO70,#REF!,16,0)),"",(VLOOKUP(AO70,#REF!,16,0)))</f>
        <v/>
      </c>
    </row>
    <row r="72" spans="1:41" ht="24" thickBot="1">
      <c r="A72" s="1340" t="s">
        <v>450</v>
      </c>
      <c r="B72" s="1340"/>
      <c r="C72" s="1340"/>
      <c r="D72" s="1340">
        <v>0</v>
      </c>
      <c r="E72" s="1340"/>
      <c r="F72" s="1340"/>
      <c r="G72" s="1340"/>
      <c r="H72" s="87"/>
      <c r="I72" s="1340" t="s">
        <v>452</v>
      </c>
      <c r="J72" s="1340"/>
      <c r="K72" s="1340"/>
      <c r="L72" s="1341" t="s">
        <v>8</v>
      </c>
      <c r="M72" s="1341"/>
      <c r="N72" s="1341"/>
      <c r="O72" s="77"/>
      <c r="P72" s="77"/>
      <c r="Q72" s="78"/>
      <c r="Z72" s="1378"/>
      <c r="AA72" s="1395">
        <v>35</v>
      </c>
      <c r="AB72" s="109" t="e">
        <f>CONCATENATE(#REF!)</f>
        <v>#REF!</v>
      </c>
      <c r="AC72" s="109"/>
      <c r="AD72" s="84" t="str">
        <f>IF(ISERROR(VLOOKUP(AB72,#REF!,2,0)),"",(VLOOKUP(AB72,#REF!,2,0)))</f>
        <v/>
      </c>
      <c r="AE72" s="84" t="str">
        <f>IF(ISERROR(VLOOKUP(AB72,#REF!,3,0)),"",(VLOOKUP(AB72,#REF!,3,0)))</f>
        <v/>
      </c>
      <c r="AF72" s="84" t="str">
        <f>IF(ISERROR(VLOOKUP(AB72,#REF!,4,0)),"",(VLOOKUP(AB72,#REF!,4,0)))</f>
        <v/>
      </c>
      <c r="AG72" s="84" t="str">
        <f>IF(ISERROR(VLOOKUP(AB72,#REF!,5,0)),"",(VLOOKUP(AB72,#REF!,5,0)))</f>
        <v/>
      </c>
      <c r="AH72" s="84" t="str">
        <f>CONCATENATE(IF(ISERROR(VLOOKUP(AB72,#REF!,6,0)),"",(VLOOKUP(AB72,#REF!,6,0))))</f>
        <v/>
      </c>
      <c r="AI72" s="84" t="str">
        <f>IF(ISERROR(VLOOKUP(AB72,#REF!,7,0)),"",(VLOOKUP(AB72,#REF!,7,0)))</f>
        <v/>
      </c>
      <c r="AJ72" s="84" t="str">
        <f>IF(ISERROR(VLOOKUP(AB72,#REF!,8,0)),"",(VLOOKUP(AB72,#REF!,8,0)))</f>
        <v/>
      </c>
      <c r="AK72" s="84" t="str">
        <f>IF(ISERROR(VLOOKUP(AB72,#REF!,9,0)),"",(VLOOKUP(AB72,#REF!,9,0)))</f>
        <v/>
      </c>
      <c r="AL72" s="84" t="str">
        <f>IF(ISERROR(VLOOKUP(AB72,#REF!,10,0)),"",(VLOOKUP(AB72,#REF!,10,0)))</f>
        <v/>
      </c>
      <c r="AM72" s="84" t="str">
        <f>IF(ISERROR(VLOOKUP(AB72,#REF!,11,0)),"",(VLOOKUP(AB72,#REF!,11,0)))</f>
        <v/>
      </c>
      <c r="AN72" s="84" t="str">
        <f>IF(ISERROR(VLOOKUP(AB72,#REF!,12,0)),"",(VLOOKUP(AB72,#REF!,12,0)))</f>
        <v/>
      </c>
      <c r="AO72" s="84" t="str">
        <f>IF(ISERROR(VLOOKUP(AB72,#REF!,13,0)),"",(VLOOKUP(AB72,#REF!,13,0)))</f>
        <v/>
      </c>
    </row>
    <row r="73" spans="1:41" ht="17.25" thickTop="1" thickBot="1">
      <c r="A73" s="1318" t="s">
        <v>453</v>
      </c>
      <c r="B73" s="1319"/>
      <c r="C73" s="88" t="s">
        <v>3</v>
      </c>
      <c r="D73" s="89" t="s">
        <v>8</v>
      </c>
      <c r="E73" s="89" t="s">
        <v>39</v>
      </c>
      <c r="F73" s="89"/>
      <c r="G73" s="89"/>
      <c r="H73" s="89" t="s">
        <v>380</v>
      </c>
      <c r="I73" s="89" t="s">
        <v>380</v>
      </c>
      <c r="J73" s="89" t="s">
        <v>380</v>
      </c>
      <c r="K73" s="89" t="s">
        <v>380</v>
      </c>
      <c r="L73" s="89" t="s">
        <v>380</v>
      </c>
      <c r="M73" s="89" t="s">
        <v>380</v>
      </c>
      <c r="N73" s="90" t="s">
        <v>380</v>
      </c>
      <c r="Q73" s="78"/>
      <c r="Z73" s="1378"/>
      <c r="AA73" s="1395"/>
      <c r="AB73" s="109" t="s">
        <v>447</v>
      </c>
      <c r="AC73" s="109" t="e">
        <f>AB72</f>
        <v>#REF!</v>
      </c>
      <c r="AD73" s="85" t="str">
        <f>IF(ISERROR(VLOOKUP(AD72,#REF!,16,0)),"",(VLOOKUP(AD72,#REF!,16,0)))</f>
        <v/>
      </c>
      <c r="AE73" s="85" t="str">
        <f>IF(ISERROR(VLOOKUP(AE72,#REF!,16,0)),"",(VLOOKUP(AE72,#REF!,16,0)))</f>
        <v/>
      </c>
      <c r="AF73" s="85" t="str">
        <f>IF(ISERROR(VLOOKUP(AF72,#REF!,16,0)),"",(VLOOKUP(AF72,#REF!,16,0)))</f>
        <v/>
      </c>
      <c r="AG73" s="85" t="str">
        <f>IF(ISERROR(VLOOKUP(AG72,#REF!,16,0)),"",(VLOOKUP(AG72,#REF!,16,0)))</f>
        <v/>
      </c>
      <c r="AH73" s="85" t="str">
        <f>IF(ISERROR(VLOOKUP(AH72,#REF!,16,0)),"",(VLOOKUP(AH72,#REF!,16,0)))</f>
        <v/>
      </c>
      <c r="AI73" s="85" t="str">
        <f>IF(ISERROR(VLOOKUP(AI72,#REF!,16,0)),"",(VLOOKUP(AI72,#REF!,16,0)))</f>
        <v/>
      </c>
      <c r="AJ73" s="85" t="str">
        <f>IF(ISERROR(VLOOKUP(AJ72,#REF!,16,0)),"",(VLOOKUP(AJ72,#REF!,16,0)))</f>
        <v/>
      </c>
      <c r="AK73" s="85" t="str">
        <f>IF(ISERROR(VLOOKUP(AK72,#REF!,16,0)),"",(VLOOKUP(AK72,#REF!,16,0)))</f>
        <v/>
      </c>
      <c r="AL73" s="85" t="str">
        <f>IF(ISERROR(VLOOKUP(AL72,#REF!,16,0)),"",(VLOOKUP(AL72,#REF!,16,0)))</f>
        <v/>
      </c>
      <c r="AM73" s="85" t="str">
        <f>IF(ISERROR(VLOOKUP(AM72,#REF!,16,0)),"",(VLOOKUP(AM72,#REF!,16,0)))</f>
        <v/>
      </c>
      <c r="AN73" s="85" t="str">
        <f>IF(ISERROR(VLOOKUP(AN72,#REF!,16,0)),"",(VLOOKUP(AN72,#REF!,16,0)))</f>
        <v/>
      </c>
      <c r="AO73" s="85" t="str">
        <f>IF(ISERROR(VLOOKUP(AO72,#REF!,16,0)),"",(VLOOKUP(AO72,#REF!,16,0)))</f>
        <v/>
      </c>
    </row>
    <row r="74" spans="1:41" ht="24" thickBot="1">
      <c r="A74" s="1329" t="s">
        <v>454</v>
      </c>
      <c r="B74" s="1330"/>
      <c r="C74" s="91">
        <v>5</v>
      </c>
      <c r="D74" s="210">
        <v>6</v>
      </c>
      <c r="E74" s="210">
        <v>3</v>
      </c>
      <c r="F74" s="210"/>
      <c r="G74" s="210"/>
      <c r="H74" s="210" t="s">
        <v>380</v>
      </c>
      <c r="I74" s="210" t="s">
        <v>380</v>
      </c>
      <c r="J74" s="210" t="s">
        <v>380</v>
      </c>
      <c r="K74" s="210" t="s">
        <v>380</v>
      </c>
      <c r="L74" s="210" t="s">
        <v>380</v>
      </c>
      <c r="M74" s="210" t="s">
        <v>380</v>
      </c>
      <c r="N74" s="92" t="s">
        <v>380</v>
      </c>
      <c r="O74" s="152"/>
      <c r="Z74" s="1378"/>
      <c r="AA74" s="1395">
        <v>36</v>
      </c>
      <c r="AB74" s="109" t="e">
        <f>CONCATENATE(#REF!)</f>
        <v>#REF!</v>
      </c>
      <c r="AC74" s="109"/>
      <c r="AD74" s="84" t="str">
        <f>IF(ISERROR(VLOOKUP(AB74,#REF!,2,0)),"",(VLOOKUP(AB74,#REF!,2,0)))</f>
        <v/>
      </c>
      <c r="AE74" s="84" t="str">
        <f>IF(ISERROR(VLOOKUP(AB74,#REF!,3,0)),"",(VLOOKUP(AB74,#REF!,3,0)))</f>
        <v/>
      </c>
      <c r="AF74" s="84" t="str">
        <f>IF(ISERROR(VLOOKUP(AB74,#REF!,4,0)),"",(VLOOKUP(AB74,#REF!,4,0)))</f>
        <v/>
      </c>
      <c r="AG74" s="84" t="str">
        <f>IF(ISERROR(VLOOKUP(AB74,#REF!,5,0)),"",(VLOOKUP(AB74,#REF!,5,0)))</f>
        <v/>
      </c>
      <c r="AH74" s="84" t="str">
        <f>CONCATENATE(IF(ISERROR(VLOOKUP(AB74,#REF!,6,0)),"",(VLOOKUP(AB74,#REF!,6,0))))</f>
        <v/>
      </c>
      <c r="AI74" s="84" t="str">
        <f>IF(ISERROR(VLOOKUP(AB74,#REF!,7,0)),"",(VLOOKUP(AB74,#REF!,7,0)))</f>
        <v/>
      </c>
      <c r="AJ74" s="84" t="str">
        <f>IF(ISERROR(VLOOKUP(AB74,#REF!,8,0)),"",(VLOOKUP(AB74,#REF!,8,0)))</f>
        <v/>
      </c>
      <c r="AK74" s="84" t="str">
        <f>IF(ISERROR(VLOOKUP(AB74,#REF!,9,0)),"",(VLOOKUP(AB74,#REF!,9,0)))</f>
        <v/>
      </c>
      <c r="AL74" s="84" t="str">
        <f>IF(ISERROR(VLOOKUP(AB74,#REF!,10,0)),"",(VLOOKUP(AB74,#REF!,10,0)))</f>
        <v/>
      </c>
      <c r="AM74" s="84" t="str">
        <f>IF(ISERROR(VLOOKUP(AB74,#REF!,11,0)),"",(VLOOKUP(AB74,#REF!,11,0)))</f>
        <v/>
      </c>
      <c r="AN74" s="84" t="str">
        <f>IF(ISERROR(VLOOKUP(AB74,#REF!,12,0)),"",(VLOOKUP(AB74,#REF!,12,0)))</f>
        <v/>
      </c>
      <c r="AO74" s="84" t="str">
        <f>IF(ISERROR(VLOOKUP(AB74,#REF!,13,0)),"",(VLOOKUP(AB74,#REF!,13,0)))</f>
        <v/>
      </c>
    </row>
    <row r="75" spans="1:41" ht="24" thickBot="1">
      <c r="A75" s="1329" t="s">
        <v>455</v>
      </c>
      <c r="B75" s="1330"/>
      <c r="C75" s="91"/>
      <c r="D75" s="210"/>
      <c r="E75" s="210"/>
      <c r="F75" s="210"/>
      <c r="G75" s="210"/>
      <c r="H75" s="210" t="s">
        <v>380</v>
      </c>
      <c r="I75" s="210" t="s">
        <v>380</v>
      </c>
      <c r="J75" s="210" t="s">
        <v>380</v>
      </c>
      <c r="K75" s="210" t="s">
        <v>380</v>
      </c>
      <c r="L75" s="210" t="s">
        <v>380</v>
      </c>
      <c r="M75" s="210" t="s">
        <v>380</v>
      </c>
      <c r="N75" s="92" t="s">
        <v>380</v>
      </c>
      <c r="O75" s="152"/>
      <c r="Z75" s="1378"/>
      <c r="AA75" s="1395"/>
      <c r="AB75" s="109" t="s">
        <v>447</v>
      </c>
      <c r="AC75" s="109" t="e">
        <f>AB74</f>
        <v>#REF!</v>
      </c>
      <c r="AD75" s="85" t="str">
        <f>IF(ISERROR(VLOOKUP(AD74,#REF!,16,0)),"",(VLOOKUP(AD74,#REF!,16,0)))</f>
        <v/>
      </c>
      <c r="AE75" s="85" t="str">
        <f>IF(ISERROR(VLOOKUP(AE74,#REF!,16,0)),"",(VLOOKUP(AE74,#REF!,16,0)))</f>
        <v/>
      </c>
      <c r="AF75" s="85" t="str">
        <f>IF(ISERROR(VLOOKUP(AF74,#REF!,16,0)),"",(VLOOKUP(AF74,#REF!,16,0)))</f>
        <v/>
      </c>
      <c r="AG75" s="85" t="str">
        <f>IF(ISERROR(VLOOKUP(AG74,#REF!,16,0)),"",(VLOOKUP(AG74,#REF!,16,0)))</f>
        <v/>
      </c>
      <c r="AH75" s="85" t="str">
        <f>IF(ISERROR(VLOOKUP(AH74,#REF!,16,0)),"",(VLOOKUP(AH74,#REF!,16,0)))</f>
        <v/>
      </c>
      <c r="AI75" s="85" t="str">
        <f>IF(ISERROR(VLOOKUP(AI74,#REF!,16,0)),"",(VLOOKUP(AI74,#REF!,16,0)))</f>
        <v/>
      </c>
      <c r="AJ75" s="85" t="str">
        <f>IF(ISERROR(VLOOKUP(AJ74,#REF!,16,0)),"",(VLOOKUP(AJ74,#REF!,16,0)))</f>
        <v/>
      </c>
      <c r="AK75" s="85" t="str">
        <f>IF(ISERROR(VLOOKUP(AK74,#REF!,16,0)),"",(VLOOKUP(AK74,#REF!,16,0)))</f>
        <v/>
      </c>
      <c r="AL75" s="85" t="str">
        <f>IF(ISERROR(VLOOKUP(AL74,#REF!,16,0)),"",(VLOOKUP(AL74,#REF!,16,0)))</f>
        <v/>
      </c>
      <c r="AM75" s="85" t="str">
        <f>IF(ISERROR(VLOOKUP(AM74,#REF!,16,0)),"",(VLOOKUP(AM74,#REF!,16,0)))</f>
        <v/>
      </c>
      <c r="AN75" s="85" t="str">
        <f>IF(ISERROR(VLOOKUP(AN74,#REF!,16,0)),"",(VLOOKUP(AN74,#REF!,16,0)))</f>
        <v/>
      </c>
      <c r="AO75" s="85" t="str">
        <f>IF(ISERROR(VLOOKUP(AO74,#REF!,16,0)),"",(VLOOKUP(AO74,#REF!,16,0)))</f>
        <v/>
      </c>
    </row>
    <row r="76" spans="1:41" ht="24" thickBot="1">
      <c r="A76" s="1327" t="s">
        <v>456</v>
      </c>
      <c r="B76" s="1328"/>
      <c r="C76" s="93"/>
      <c r="D76" s="94"/>
      <c r="E76" s="94"/>
      <c r="F76" s="94"/>
      <c r="G76" s="94"/>
      <c r="H76" s="94" t="s">
        <v>380</v>
      </c>
      <c r="I76" s="94" t="s">
        <v>380</v>
      </c>
      <c r="J76" s="94" t="s">
        <v>380</v>
      </c>
      <c r="K76" s="94" t="s">
        <v>380</v>
      </c>
      <c r="L76" s="94" t="s">
        <v>380</v>
      </c>
      <c r="M76" s="94" t="s">
        <v>380</v>
      </c>
      <c r="N76" s="95" t="s">
        <v>380</v>
      </c>
      <c r="O76" s="152"/>
      <c r="Z76" s="1378"/>
      <c r="AA76" s="1395">
        <v>37</v>
      </c>
      <c r="AB76" s="109" t="e">
        <f>CONCATENATE(#REF!)</f>
        <v>#REF!</v>
      </c>
      <c r="AC76" s="109"/>
      <c r="AD76" s="84" t="str">
        <f>IF(ISERROR(VLOOKUP(AB76,#REF!,2,0)),"",(VLOOKUP(AB76,#REF!,2,0)))</f>
        <v/>
      </c>
      <c r="AE76" s="84" t="str">
        <f>IF(ISERROR(VLOOKUP(AB76,#REF!,3,0)),"",(VLOOKUP(AB76,#REF!,3,0)))</f>
        <v/>
      </c>
      <c r="AF76" s="84" t="str">
        <f>IF(ISERROR(VLOOKUP(AB76,#REF!,4,0)),"",(VLOOKUP(AB76,#REF!,4,0)))</f>
        <v/>
      </c>
      <c r="AG76" s="84" t="str">
        <f>IF(ISERROR(VLOOKUP(AB76,#REF!,5,0)),"",(VLOOKUP(AB76,#REF!,5,0)))</f>
        <v/>
      </c>
      <c r="AH76" s="84" t="str">
        <f>CONCATENATE(IF(ISERROR(VLOOKUP(AB76,#REF!,6,0)),"",(VLOOKUP(AB76,#REF!,6,0))))</f>
        <v/>
      </c>
      <c r="AI76" s="84" t="str">
        <f>IF(ISERROR(VLOOKUP(AB76,#REF!,7,0)),"",(VLOOKUP(AB76,#REF!,7,0)))</f>
        <v/>
      </c>
      <c r="AJ76" s="84" t="str">
        <f>IF(ISERROR(VLOOKUP(AB76,#REF!,8,0)),"",(VLOOKUP(AB76,#REF!,8,0)))</f>
        <v/>
      </c>
      <c r="AK76" s="84" t="str">
        <f>IF(ISERROR(VLOOKUP(AB76,#REF!,9,0)),"",(VLOOKUP(AB76,#REF!,9,0)))</f>
        <v/>
      </c>
      <c r="AL76" s="84" t="str">
        <f>IF(ISERROR(VLOOKUP(AB76,#REF!,10,0)),"",(VLOOKUP(AB76,#REF!,10,0)))</f>
        <v/>
      </c>
      <c r="AM76" s="84" t="str">
        <f>IF(ISERROR(VLOOKUP(AB76,#REF!,11,0)),"",(VLOOKUP(AB76,#REF!,11,0)))</f>
        <v/>
      </c>
      <c r="AN76" s="84" t="str">
        <f>IF(ISERROR(VLOOKUP(AB76,#REF!,12,0)),"",(VLOOKUP(AB76,#REF!,12,0)))</f>
        <v/>
      </c>
      <c r="AO76" s="84" t="str">
        <f>IF(ISERROR(VLOOKUP(AB76,#REF!,13,0)),"",(VLOOKUP(AB76,#REF!,13,0)))</f>
        <v/>
      </c>
    </row>
    <row r="77" spans="1:41" ht="21" thickTop="1">
      <c r="A77" s="96"/>
      <c r="B77" s="96"/>
      <c r="C77" s="96"/>
      <c r="D77" s="96"/>
      <c r="E77" s="1326" t="s">
        <v>457</v>
      </c>
      <c r="F77" s="1310"/>
      <c r="G77" s="97">
        <v>18</v>
      </c>
      <c r="H77" s="1310" t="s">
        <v>458</v>
      </c>
      <c r="I77" s="1311"/>
      <c r="J77" s="1310" t="s">
        <v>459</v>
      </c>
      <c r="K77" s="1311"/>
      <c r="L77" s="96"/>
      <c r="M77" s="96"/>
      <c r="N77" s="96"/>
      <c r="O77" s="77"/>
      <c r="P77" s="77"/>
      <c r="Z77" s="1378"/>
      <c r="AA77" s="1395"/>
      <c r="AB77" s="109" t="s">
        <v>447</v>
      </c>
      <c r="AC77" s="109" t="e">
        <f>AB76</f>
        <v>#REF!</v>
      </c>
      <c r="AD77" s="85" t="str">
        <f>IF(ISERROR(VLOOKUP(AD76,#REF!,16,0)),"",(VLOOKUP(AD76,#REF!,16,0)))</f>
        <v/>
      </c>
      <c r="AE77" s="85" t="str">
        <f>IF(ISERROR(VLOOKUP(AE76,#REF!,16,0)),"",(VLOOKUP(AE76,#REF!,16,0)))</f>
        <v/>
      </c>
      <c r="AF77" s="85" t="str">
        <f>IF(ISERROR(VLOOKUP(AF76,#REF!,16,0)),"",(VLOOKUP(AF76,#REF!,16,0)))</f>
        <v/>
      </c>
      <c r="AG77" s="85" t="str">
        <f>IF(ISERROR(VLOOKUP(AG76,#REF!,16,0)),"",(VLOOKUP(AG76,#REF!,16,0)))</f>
        <v/>
      </c>
      <c r="AH77" s="85" t="str">
        <f>IF(ISERROR(VLOOKUP(AH76,#REF!,16,0)),"",(VLOOKUP(AH76,#REF!,16,0)))</f>
        <v/>
      </c>
      <c r="AI77" s="85" t="str">
        <f>IF(ISERROR(VLOOKUP(AI76,#REF!,16,0)),"",(VLOOKUP(AI76,#REF!,16,0)))</f>
        <v/>
      </c>
      <c r="AJ77" s="85" t="str">
        <f>IF(ISERROR(VLOOKUP(AJ76,#REF!,16,0)),"",(VLOOKUP(AJ76,#REF!,16,0)))</f>
        <v/>
      </c>
      <c r="AK77" s="85" t="str">
        <f>IF(ISERROR(VLOOKUP(AK76,#REF!,16,0)),"",(VLOOKUP(AK76,#REF!,16,0)))</f>
        <v/>
      </c>
      <c r="AL77" s="85" t="str">
        <f>IF(ISERROR(VLOOKUP(AL76,#REF!,16,0)),"",(VLOOKUP(AL76,#REF!,16,0)))</f>
        <v/>
      </c>
      <c r="AM77" s="85" t="str">
        <f>IF(ISERROR(VLOOKUP(AM76,#REF!,16,0)),"",(VLOOKUP(AM76,#REF!,16,0)))</f>
        <v/>
      </c>
      <c r="AN77" s="85" t="str">
        <f>IF(ISERROR(VLOOKUP(AN76,#REF!,16,0)),"",(VLOOKUP(AN76,#REF!,16,0)))</f>
        <v/>
      </c>
      <c r="AO77" s="85" t="str">
        <f>IF(ISERROR(VLOOKUP(AO76,#REF!,16,0)),"",(VLOOKUP(AO76,#REF!,16,0)))</f>
        <v/>
      </c>
    </row>
    <row r="78" spans="1:41" ht="23.25">
      <c r="A78" s="96"/>
      <c r="B78" s="96"/>
      <c r="C78" s="96"/>
      <c r="D78" s="96"/>
      <c r="E78" s="1307" t="s">
        <v>460</v>
      </c>
      <c r="F78" s="1308"/>
      <c r="G78" s="98">
        <v>17</v>
      </c>
      <c r="H78" s="1312">
        <v>0</v>
      </c>
      <c r="I78" s="1312"/>
      <c r="J78" s="1312">
        <v>0</v>
      </c>
      <c r="K78" s="1313"/>
      <c r="L78" s="96"/>
      <c r="M78" s="96"/>
      <c r="N78" s="96"/>
      <c r="O78" s="77"/>
      <c r="P78" s="77"/>
      <c r="Q78" s="78"/>
      <c r="Z78" s="1378" t="s">
        <v>477</v>
      </c>
      <c r="AA78" s="1394">
        <v>38</v>
      </c>
      <c r="AB78" s="110" t="e">
        <f>CONCATENATE(#REF!)</f>
        <v>#REF!</v>
      </c>
      <c r="AC78" s="110"/>
      <c r="AD78" s="84" t="str">
        <f>IF(ISERROR(VLOOKUP(AB78,#REF!,2,0)),"",(VLOOKUP(AB78,#REF!,2,0)))</f>
        <v/>
      </c>
      <c r="AE78" s="84" t="str">
        <f>IF(ISERROR(VLOOKUP(AB78,#REF!,3,0)),"",(VLOOKUP(AB78,#REF!,3,0)))</f>
        <v/>
      </c>
      <c r="AF78" s="84" t="str">
        <f>IF(ISERROR(VLOOKUP(AB78,#REF!,4,0)),"",(VLOOKUP(AB78,#REF!,4,0)))</f>
        <v/>
      </c>
      <c r="AG78" s="84" t="str">
        <f>IF(ISERROR(VLOOKUP(AB78,#REF!,5,0)),"",(VLOOKUP(AB78,#REF!,5,0)))</f>
        <v/>
      </c>
      <c r="AH78" s="84" t="str">
        <f>CONCATENATE(IF(ISERROR(VLOOKUP(AB78,#REF!,6,0)),"",(VLOOKUP(AB78,#REF!,6,0))))</f>
        <v/>
      </c>
      <c r="AI78" s="84" t="str">
        <f>IF(ISERROR(VLOOKUP(AB78,#REF!,7,0)),"",(VLOOKUP(AB78,#REF!,7,0)))</f>
        <v/>
      </c>
      <c r="AJ78" s="84" t="str">
        <f>IF(ISERROR(VLOOKUP(AB78,#REF!,8,0)),"",(VLOOKUP(AB78,#REF!,8,0)))</f>
        <v/>
      </c>
      <c r="AK78" s="84" t="str">
        <f>IF(ISERROR(VLOOKUP(AB78,#REF!,9,0)),"",(VLOOKUP(AB78,#REF!,9,0)))</f>
        <v/>
      </c>
      <c r="AL78" s="84" t="str">
        <f>IF(ISERROR(VLOOKUP(AB78,#REF!,10,0)),"",(VLOOKUP(AB78,#REF!,10,0)))</f>
        <v/>
      </c>
      <c r="AM78" s="84" t="str">
        <f>IF(ISERROR(VLOOKUP(AB78,#REF!,11,0)),"",(VLOOKUP(AB78,#REF!,11,0)))</f>
        <v/>
      </c>
      <c r="AN78" s="84" t="str">
        <f>IF(ISERROR(VLOOKUP(AB78,#REF!,12,0)),"",(VLOOKUP(AB78,#REF!,12,0)))</f>
        <v/>
      </c>
      <c r="AO78" s="84" t="str">
        <f>IF(ISERROR(VLOOKUP(AB78,#REF!,13,0)),"",(VLOOKUP(AB78,#REF!,13,0)))</f>
        <v/>
      </c>
    </row>
    <row r="79" spans="1:41" ht="20.25">
      <c r="A79" s="96"/>
      <c r="B79" s="96"/>
      <c r="C79" s="96"/>
      <c r="D79" s="96"/>
      <c r="E79" s="1307" t="s">
        <v>461</v>
      </c>
      <c r="F79" s="1308"/>
      <c r="G79" s="99"/>
      <c r="H79" s="1308" t="s">
        <v>462</v>
      </c>
      <c r="I79" s="1308"/>
      <c r="J79" s="1308" t="s">
        <v>463</v>
      </c>
      <c r="K79" s="1309"/>
      <c r="L79" s="96"/>
      <c r="M79" s="96"/>
      <c r="N79" s="96"/>
      <c r="O79" s="77"/>
      <c r="P79" s="77"/>
      <c r="Q79" s="78">
        <f>G78+H78+H80+J78</f>
        <v>17</v>
      </c>
      <c r="Z79" s="1378"/>
      <c r="AA79" s="1394"/>
      <c r="AB79" s="110" t="s">
        <v>447</v>
      </c>
      <c r="AC79" s="110" t="e">
        <f>AB78</f>
        <v>#REF!</v>
      </c>
      <c r="AD79" s="85" t="str">
        <f>IF(ISERROR(VLOOKUP(AD78,#REF!,17,0)),"",(VLOOKUP(AD78,#REF!,17,0)))</f>
        <v/>
      </c>
      <c r="AE79" s="85" t="str">
        <f>IF(ISERROR(VLOOKUP(AE78,#REF!,17,0)),"",(VLOOKUP(AE78,#REF!,17,0)))</f>
        <v/>
      </c>
      <c r="AF79" s="85" t="str">
        <f>IF(ISERROR(VLOOKUP(AF78,#REF!,17,0)),"",(VLOOKUP(AF78,#REF!,17,0)))</f>
        <v/>
      </c>
      <c r="AG79" s="85" t="str">
        <f>IF(ISERROR(VLOOKUP(AG78,#REF!,17,0)),"",(VLOOKUP(AG78,#REF!,17,0)))</f>
        <v/>
      </c>
      <c r="AH79" s="85" t="str">
        <f>IF(ISERROR(VLOOKUP(AH78,#REF!,17,0)),"",(VLOOKUP(AH78,#REF!,17,0)))</f>
        <v/>
      </c>
      <c r="AI79" s="85" t="str">
        <f>IF(ISERROR(VLOOKUP(AI78,#REF!,17,0)),"",(VLOOKUP(AI78,#REF!,17,0)))</f>
        <v/>
      </c>
      <c r="AJ79" s="85" t="str">
        <f>IF(ISERROR(VLOOKUP(AJ78,#REF!,17,0)),"",(VLOOKUP(AJ78,#REF!,17,0)))</f>
        <v/>
      </c>
      <c r="AK79" s="85" t="str">
        <f>IF(ISERROR(VLOOKUP(AK78,#REF!,17,0)),"",(VLOOKUP(AK78,#REF!,17,0)))</f>
        <v/>
      </c>
      <c r="AL79" s="85" t="str">
        <f>IF(ISERROR(VLOOKUP(AL78,#REF!,17,0)),"",(VLOOKUP(AL78,#REF!,17,0)))</f>
        <v/>
      </c>
      <c r="AM79" s="85" t="str">
        <f>IF(ISERROR(VLOOKUP(AM78,#REF!,17,0)),"",(VLOOKUP(AM78,#REF!,17,0)))</f>
        <v/>
      </c>
      <c r="AN79" s="85" t="str">
        <f>IF(ISERROR(VLOOKUP(AN78,#REF!,17,0)),"",(VLOOKUP(AN78,#REF!,17,0)))</f>
        <v/>
      </c>
      <c r="AO79" s="85" t="str">
        <f>IF(ISERROR(VLOOKUP(AO78,#REF!,17,0)),"",(VLOOKUP(AO78,#REF!,17,0)))</f>
        <v/>
      </c>
    </row>
    <row r="80" spans="1:41" ht="24" thickBot="1">
      <c r="A80" s="96"/>
      <c r="B80" s="96"/>
      <c r="C80" s="96"/>
      <c r="D80" s="96"/>
      <c r="E80" s="1303" t="s">
        <v>464</v>
      </c>
      <c r="F80" s="1304"/>
      <c r="G80" s="99">
        <v>0</v>
      </c>
      <c r="H80" s="1305"/>
      <c r="I80" s="1305"/>
      <c r="J80" s="1305">
        <v>0</v>
      </c>
      <c r="K80" s="1306"/>
      <c r="L80" s="96"/>
      <c r="M80" s="96"/>
      <c r="N80" s="96"/>
      <c r="O80" s="77"/>
      <c r="P80" s="77"/>
      <c r="Q80" s="78"/>
      <c r="Z80" s="1378"/>
      <c r="AA80" s="1394">
        <v>39</v>
      </c>
      <c r="AB80" s="110" t="e">
        <f>CONCATENATE(#REF!)</f>
        <v>#REF!</v>
      </c>
      <c r="AC80" s="110"/>
      <c r="AD80" s="84" t="str">
        <f>IF(ISERROR(VLOOKUP(AB80,#REF!,2,0)),"",(VLOOKUP(AB80,#REF!,2,0)))</f>
        <v/>
      </c>
      <c r="AE80" s="84" t="str">
        <f>IF(ISERROR(VLOOKUP(AB80,#REF!,3,0)),"",(VLOOKUP(AB80,#REF!,3,0)))</f>
        <v/>
      </c>
      <c r="AF80" s="84" t="str">
        <f>IF(ISERROR(VLOOKUP(AB80,#REF!,4,0)),"",(VLOOKUP(AB80,#REF!,4,0)))</f>
        <v/>
      </c>
      <c r="AG80" s="84" t="str">
        <f>IF(ISERROR(VLOOKUP(AB80,#REF!,5,0)),"",(VLOOKUP(AB80,#REF!,5,0)))</f>
        <v/>
      </c>
      <c r="AH80" s="84" t="str">
        <f>CONCATENATE(IF(ISERROR(VLOOKUP(AB80,#REF!,6,0)),"",(VLOOKUP(AB80,#REF!,6,0))))</f>
        <v/>
      </c>
      <c r="AI80" s="84" t="str">
        <f>IF(ISERROR(VLOOKUP(AB80,#REF!,7,0)),"",(VLOOKUP(AB80,#REF!,7,0)))</f>
        <v/>
      </c>
      <c r="AJ80" s="84" t="str">
        <f>IF(ISERROR(VLOOKUP(AB80,#REF!,8,0)),"",(VLOOKUP(AB80,#REF!,8,0)))</f>
        <v/>
      </c>
      <c r="AK80" s="84" t="str">
        <f>IF(ISERROR(VLOOKUP(AB80,#REF!,9,0)),"",(VLOOKUP(AB80,#REF!,9,0)))</f>
        <v/>
      </c>
      <c r="AL80" s="84" t="str">
        <f>IF(ISERROR(VLOOKUP(AB80,#REF!,10,0)),"",(VLOOKUP(AB80,#REF!,10,0)))</f>
        <v/>
      </c>
      <c r="AM80" s="84" t="str">
        <f>IF(ISERROR(VLOOKUP(AB80,#REF!,11,0)),"",(VLOOKUP(AB80,#REF!,11,0)))</f>
        <v/>
      </c>
      <c r="AN80" s="84" t="str">
        <f>IF(ISERROR(VLOOKUP(AB80,#REF!,12,0)),"",(VLOOKUP(AB80,#REF!,12,0)))</f>
        <v/>
      </c>
      <c r="AO80" s="84" t="str">
        <f>IF(ISERROR(VLOOKUP(AB80,#REF!,13,0)),"",(VLOOKUP(AB80,#REF!,13,0)))</f>
        <v/>
      </c>
    </row>
    <row r="81" spans="1:41" ht="17.25" thickTop="1" thickBot="1">
      <c r="A81" s="34"/>
      <c r="B81" s="34"/>
      <c r="C81" s="1299" t="s">
        <v>465</v>
      </c>
      <c r="D81" s="1299"/>
      <c r="E81" s="1299" t="s">
        <v>360</v>
      </c>
      <c r="F81" s="1299"/>
      <c r="G81" s="1302" t="s">
        <v>368</v>
      </c>
      <c r="H81" s="1302"/>
      <c r="I81" s="1302" t="s">
        <v>369</v>
      </c>
      <c r="J81" s="1302"/>
      <c r="K81" s="1302" t="s">
        <v>370</v>
      </c>
      <c r="L81" s="1299"/>
      <c r="M81" s="1299" t="s">
        <v>371</v>
      </c>
      <c r="N81" s="1299"/>
      <c r="O81" s="77"/>
      <c r="P81" s="77"/>
      <c r="Q81" s="78"/>
      <c r="Z81" s="1378"/>
      <c r="AA81" s="1394"/>
      <c r="AB81" s="110" t="s">
        <v>447</v>
      </c>
      <c r="AC81" s="110" t="e">
        <f>AB80</f>
        <v>#REF!</v>
      </c>
      <c r="AD81" s="85" t="str">
        <f>IF(ISERROR(VLOOKUP(AD80,#REF!,17,0)),"",(VLOOKUP(AD80,#REF!,17,0)))</f>
        <v/>
      </c>
      <c r="AE81" s="85" t="str">
        <f>IF(ISERROR(VLOOKUP(AE80,#REF!,17,0)),"",(VLOOKUP(AE80,#REF!,17,0)))</f>
        <v/>
      </c>
      <c r="AF81" s="85" t="str">
        <f>IF(ISERROR(VLOOKUP(AF80,#REF!,17,0)),"",(VLOOKUP(AF80,#REF!,17,0)))</f>
        <v/>
      </c>
      <c r="AG81" s="85" t="str">
        <f>IF(ISERROR(VLOOKUP(AG80,#REF!,17,0)),"",(VLOOKUP(AG80,#REF!,17,0)))</f>
        <v/>
      </c>
      <c r="AH81" s="85" t="str">
        <f>IF(ISERROR(VLOOKUP(AH80,#REF!,17,0)),"",(VLOOKUP(AH80,#REF!,17,0)))</f>
        <v/>
      </c>
      <c r="AI81" s="85" t="str">
        <f>IF(ISERROR(VLOOKUP(AI80,#REF!,17,0)),"",(VLOOKUP(AI80,#REF!,17,0)))</f>
        <v/>
      </c>
      <c r="AJ81" s="85" t="str">
        <f>IF(ISERROR(VLOOKUP(AJ80,#REF!,17,0)),"",(VLOOKUP(AJ80,#REF!,17,0)))</f>
        <v/>
      </c>
      <c r="AK81" s="85" t="str">
        <f>IF(ISERROR(VLOOKUP(AK80,#REF!,17,0)),"",(VLOOKUP(AK80,#REF!,17,0)))</f>
        <v/>
      </c>
      <c r="AL81" s="85" t="str">
        <f>IF(ISERROR(VLOOKUP(AL80,#REF!,17,0)),"",(VLOOKUP(AL80,#REF!,17,0)))</f>
        <v/>
      </c>
      <c r="AM81" s="85" t="str">
        <f>IF(ISERROR(VLOOKUP(AM80,#REF!,17,0)),"",(VLOOKUP(AM80,#REF!,17,0)))</f>
        <v/>
      </c>
      <c r="AN81" s="85" t="str">
        <f>IF(ISERROR(VLOOKUP(AN80,#REF!,17,0)),"",(VLOOKUP(AN80,#REF!,17,0)))</f>
        <v/>
      </c>
      <c r="AO81" s="85" t="str">
        <f>IF(ISERROR(VLOOKUP(AO80,#REF!,17,0)),"",(VLOOKUP(AO80,#REF!,17,0)))</f>
        <v/>
      </c>
    </row>
    <row r="82" spans="1:41" ht="17.25" thickTop="1" thickBot="1">
      <c r="A82" s="34"/>
      <c r="B82" s="34"/>
      <c r="C82" s="1299" t="s">
        <v>372</v>
      </c>
      <c r="D82" s="1299"/>
      <c r="E82" s="1297" t="s">
        <v>8</v>
      </c>
      <c r="F82" s="1297"/>
      <c r="G82" s="1296"/>
      <c r="H82" s="1296"/>
      <c r="I82" s="1297"/>
      <c r="J82" s="1297"/>
      <c r="K82" s="1297"/>
      <c r="L82" s="1297"/>
      <c r="M82" s="1297"/>
      <c r="N82" s="1297"/>
      <c r="O82" s="77"/>
      <c r="P82" s="77"/>
      <c r="Q82" s="78"/>
      <c r="Z82" s="1378"/>
      <c r="AA82" s="1394">
        <v>40</v>
      </c>
      <c r="AB82" s="110" t="e">
        <f>CONCATENATE(#REF!)</f>
        <v>#REF!</v>
      </c>
      <c r="AC82" s="110"/>
      <c r="AD82" s="84" t="str">
        <f>IF(ISERROR(VLOOKUP(AB82,#REF!,2,0)),"",(VLOOKUP(AB82,#REF!,2,0)))</f>
        <v/>
      </c>
      <c r="AE82" s="84" t="str">
        <f>IF(ISERROR(VLOOKUP(AB82,#REF!,3,0)),"",(VLOOKUP(AB82,#REF!,3,0)))</f>
        <v/>
      </c>
      <c r="AF82" s="84" t="str">
        <f>IF(ISERROR(VLOOKUP(AB82,#REF!,4,0)),"",(VLOOKUP(AB82,#REF!,4,0)))</f>
        <v/>
      </c>
      <c r="AG82" s="84" t="str">
        <f>IF(ISERROR(VLOOKUP(AB82,#REF!,5,0)),"",(VLOOKUP(AB82,#REF!,5,0)))</f>
        <v/>
      </c>
      <c r="AH82" s="84" t="str">
        <f>CONCATENATE(IF(ISERROR(VLOOKUP(AB82,#REF!,6,0)),"",(VLOOKUP(AB82,#REF!,6,0))))</f>
        <v/>
      </c>
      <c r="AI82" s="84" t="str">
        <f>IF(ISERROR(VLOOKUP(AB82,#REF!,7,0)),"",(VLOOKUP(AB82,#REF!,7,0)))</f>
        <v/>
      </c>
      <c r="AJ82" s="84" t="str">
        <f>IF(ISERROR(VLOOKUP(AB82,#REF!,8,0)),"",(VLOOKUP(AB82,#REF!,8,0)))</f>
        <v/>
      </c>
      <c r="AK82" s="84" t="str">
        <f>IF(ISERROR(VLOOKUP(AB82,#REF!,9,0)),"",(VLOOKUP(AB82,#REF!,9,0)))</f>
        <v/>
      </c>
      <c r="AL82" s="84" t="str">
        <f>IF(ISERROR(VLOOKUP(AB82,#REF!,10,0)),"",(VLOOKUP(AB82,#REF!,10,0)))</f>
        <v/>
      </c>
      <c r="AM82" s="84" t="str">
        <f>IF(ISERROR(VLOOKUP(AB82,#REF!,11,0)),"",(VLOOKUP(AB82,#REF!,11,0)))</f>
        <v/>
      </c>
      <c r="AN82" s="84" t="str">
        <f>IF(ISERROR(VLOOKUP(AB82,#REF!,12,0)),"",(VLOOKUP(AB82,#REF!,12,0)))</f>
        <v/>
      </c>
      <c r="AO82" s="84" t="str">
        <f>IF(ISERROR(VLOOKUP(AB82,#REF!,13,0)),"",(VLOOKUP(AB82,#REF!,13,0)))</f>
        <v/>
      </c>
    </row>
    <row r="83" spans="1:41" ht="17.25" thickTop="1" thickBot="1">
      <c r="A83" s="34"/>
      <c r="B83" s="34"/>
      <c r="C83" s="1299" t="s">
        <v>373</v>
      </c>
      <c r="D83" s="1299"/>
      <c r="E83" s="1297" t="s">
        <v>8</v>
      </c>
      <c r="F83" s="1297"/>
      <c r="G83" s="1296"/>
      <c r="H83" s="1296"/>
      <c r="I83" s="1297" t="s">
        <v>8</v>
      </c>
      <c r="J83" s="1297"/>
      <c r="K83" s="1296"/>
      <c r="L83" s="1296"/>
      <c r="M83" s="1297"/>
      <c r="N83" s="1297"/>
      <c r="O83" s="77"/>
      <c r="P83" s="77"/>
      <c r="Q83" s="78"/>
      <c r="Z83" s="1378"/>
      <c r="AA83" s="1394"/>
      <c r="AB83" s="110" t="s">
        <v>447</v>
      </c>
      <c r="AC83" s="110" t="e">
        <f>AB82</f>
        <v>#REF!</v>
      </c>
      <c r="AD83" s="85" t="str">
        <f>IF(ISERROR(VLOOKUP(AD82,#REF!,17,0)),"",(VLOOKUP(AD82,#REF!,17,0)))</f>
        <v/>
      </c>
      <c r="AE83" s="85" t="str">
        <f>IF(ISERROR(VLOOKUP(AE82,#REF!,17,0)),"",(VLOOKUP(AE82,#REF!,17,0)))</f>
        <v/>
      </c>
      <c r="AF83" s="85" t="str">
        <f>IF(ISERROR(VLOOKUP(AF82,#REF!,17,0)),"",(VLOOKUP(AF82,#REF!,17,0)))</f>
        <v/>
      </c>
      <c r="AG83" s="85" t="str">
        <f>IF(ISERROR(VLOOKUP(AG82,#REF!,17,0)),"",(VLOOKUP(AG82,#REF!,17,0)))</f>
        <v/>
      </c>
      <c r="AH83" s="85" t="str">
        <f>IF(ISERROR(VLOOKUP(AH82,#REF!,17,0)),"",(VLOOKUP(AH82,#REF!,17,0)))</f>
        <v/>
      </c>
      <c r="AI83" s="85" t="str">
        <f>IF(ISERROR(VLOOKUP(AI82,#REF!,17,0)),"",(VLOOKUP(AI82,#REF!,17,0)))</f>
        <v/>
      </c>
      <c r="AJ83" s="85" t="str">
        <f>IF(ISERROR(VLOOKUP(AJ82,#REF!,17,0)),"",(VLOOKUP(AJ82,#REF!,17,0)))</f>
        <v/>
      </c>
      <c r="AK83" s="85" t="str">
        <f>IF(ISERROR(VLOOKUP(AK82,#REF!,17,0)),"",(VLOOKUP(AK82,#REF!,17,0)))</f>
        <v/>
      </c>
      <c r="AL83" s="85" t="str">
        <f>IF(ISERROR(VLOOKUP(AL82,#REF!,17,0)),"",(VLOOKUP(AL82,#REF!,17,0)))</f>
        <v/>
      </c>
      <c r="AM83" s="85" t="str">
        <f>IF(ISERROR(VLOOKUP(AM82,#REF!,17,0)),"",(VLOOKUP(AM82,#REF!,17,0)))</f>
        <v/>
      </c>
      <c r="AN83" s="85" t="str">
        <f>IF(ISERROR(VLOOKUP(AN82,#REF!,17,0)),"",(VLOOKUP(AN82,#REF!,17,0)))</f>
        <v/>
      </c>
      <c r="AO83" s="85" t="str">
        <f>IF(ISERROR(VLOOKUP(AO82,#REF!,17,0)),"",(VLOOKUP(AO82,#REF!,17,0)))</f>
        <v/>
      </c>
    </row>
    <row r="84" spans="1:41" ht="17.25" thickTop="1" thickBot="1">
      <c r="A84" s="34"/>
      <c r="B84" s="34"/>
      <c r="C84" s="1299" t="s">
        <v>374</v>
      </c>
      <c r="D84" s="1299"/>
      <c r="E84" s="1296" t="s">
        <v>3</v>
      </c>
      <c r="F84" s="1296"/>
      <c r="G84" s="1297" t="s">
        <v>8</v>
      </c>
      <c r="H84" s="1297"/>
      <c r="I84" s="1297"/>
      <c r="J84" s="1297"/>
      <c r="K84" s="1296" t="s">
        <v>3</v>
      </c>
      <c r="L84" s="1296"/>
      <c r="M84" s="1297"/>
      <c r="N84" s="1297"/>
      <c r="O84" s="77"/>
      <c r="P84" s="77"/>
      <c r="Q84" s="78"/>
      <c r="Z84" s="1378"/>
      <c r="AA84" s="1394">
        <v>41</v>
      </c>
      <c r="AB84" s="110" t="e">
        <f>CONCATENATE(#REF!)</f>
        <v>#REF!</v>
      </c>
      <c r="AC84" s="110"/>
      <c r="AD84" s="84" t="str">
        <f>IF(ISERROR(VLOOKUP(AB84,#REF!,2,0)),"",(VLOOKUP(AB84,#REF!,2,0)))</f>
        <v/>
      </c>
      <c r="AE84" s="84" t="str">
        <f>IF(ISERROR(VLOOKUP(AB84,#REF!,3,0)),"",(VLOOKUP(AB84,#REF!,3,0)))</f>
        <v/>
      </c>
      <c r="AF84" s="84" t="str">
        <f>IF(ISERROR(VLOOKUP(AB84,#REF!,4,0)),"",(VLOOKUP(AB84,#REF!,4,0)))</f>
        <v/>
      </c>
      <c r="AG84" s="84" t="str">
        <f>IF(ISERROR(VLOOKUP(AB84,#REF!,5,0)),"",(VLOOKUP(AB84,#REF!,5,0)))</f>
        <v/>
      </c>
      <c r="AH84" s="84" t="str">
        <f>CONCATENATE(IF(ISERROR(VLOOKUP(AB84,#REF!,6,0)),"",(VLOOKUP(AB84,#REF!,6,0))))</f>
        <v/>
      </c>
      <c r="AI84" s="84" t="str">
        <f>IF(ISERROR(VLOOKUP(AB84,#REF!,7,0)),"",(VLOOKUP(AB84,#REF!,7,0)))</f>
        <v/>
      </c>
      <c r="AJ84" s="84" t="str">
        <f>IF(ISERROR(VLOOKUP(AB84,#REF!,8,0)),"",(VLOOKUP(AB84,#REF!,8,0)))</f>
        <v/>
      </c>
      <c r="AK84" s="84" t="str">
        <f>IF(ISERROR(VLOOKUP(AB84,#REF!,9,0)),"",(VLOOKUP(AB84,#REF!,9,0)))</f>
        <v/>
      </c>
      <c r="AL84" s="84" t="str">
        <f>IF(ISERROR(VLOOKUP(AB84,#REF!,10,0)),"",(VLOOKUP(AB84,#REF!,10,0)))</f>
        <v/>
      </c>
      <c r="AM84" s="84" t="str">
        <f>IF(ISERROR(VLOOKUP(AB84,#REF!,11,0)),"",(VLOOKUP(AB84,#REF!,11,0)))</f>
        <v/>
      </c>
      <c r="AN84" s="84" t="str">
        <f>IF(ISERROR(VLOOKUP(AB84,#REF!,12,0)),"",(VLOOKUP(AB84,#REF!,12,0)))</f>
        <v/>
      </c>
      <c r="AO84" s="84" t="str">
        <f>IF(ISERROR(VLOOKUP(AB84,#REF!,13,0)),"",(VLOOKUP(AB84,#REF!,13,0)))</f>
        <v/>
      </c>
    </row>
    <row r="85" spans="1:41" ht="17.25" thickTop="1" thickBot="1">
      <c r="A85" s="34"/>
      <c r="B85" s="34"/>
      <c r="C85" s="1299" t="s">
        <v>375</v>
      </c>
      <c r="D85" s="1299"/>
      <c r="E85" s="1297" t="s">
        <v>3</v>
      </c>
      <c r="F85" s="1297"/>
      <c r="G85" s="1297" t="s">
        <v>8</v>
      </c>
      <c r="H85" s="1297"/>
      <c r="I85" s="1297" t="s">
        <v>39</v>
      </c>
      <c r="J85" s="1297"/>
      <c r="K85" s="1296" t="s">
        <v>3</v>
      </c>
      <c r="L85" s="1296"/>
      <c r="M85" s="1297"/>
      <c r="N85" s="1297"/>
      <c r="O85" s="77"/>
      <c r="P85" s="77"/>
      <c r="Q85" s="78"/>
      <c r="Z85" s="1378"/>
      <c r="AA85" s="1394"/>
      <c r="AB85" s="110" t="s">
        <v>447</v>
      </c>
      <c r="AC85" s="110" t="e">
        <f>AB84</f>
        <v>#REF!</v>
      </c>
      <c r="AD85" s="85" t="str">
        <f>IF(ISERROR(VLOOKUP(AD84,#REF!,17,0)),"",(VLOOKUP(AD84,#REF!,17,0)))</f>
        <v/>
      </c>
      <c r="AE85" s="85" t="str">
        <f>IF(ISERROR(VLOOKUP(AE84,#REF!,17,0)),"",(VLOOKUP(AE84,#REF!,17,0)))</f>
        <v/>
      </c>
      <c r="AF85" s="85" t="str">
        <f>IF(ISERROR(VLOOKUP(AF84,#REF!,17,0)),"",(VLOOKUP(AF84,#REF!,17,0)))</f>
        <v/>
      </c>
      <c r="AG85" s="85" t="str">
        <f>IF(ISERROR(VLOOKUP(AG84,#REF!,17,0)),"",(VLOOKUP(AG84,#REF!,17,0)))</f>
        <v/>
      </c>
      <c r="AH85" s="85" t="str">
        <f>IF(ISERROR(VLOOKUP(AH84,#REF!,17,0)),"",(VLOOKUP(AH84,#REF!,17,0)))</f>
        <v/>
      </c>
      <c r="AI85" s="85" t="str">
        <f>IF(ISERROR(VLOOKUP(AI84,#REF!,17,0)),"",(VLOOKUP(AI84,#REF!,17,0)))</f>
        <v/>
      </c>
      <c r="AJ85" s="85" t="str">
        <f>IF(ISERROR(VLOOKUP(AJ84,#REF!,17,0)),"",(VLOOKUP(AJ84,#REF!,17,0)))</f>
        <v/>
      </c>
      <c r="AK85" s="85" t="str">
        <f>IF(ISERROR(VLOOKUP(AK84,#REF!,17,0)),"",(VLOOKUP(AK84,#REF!,17,0)))</f>
        <v/>
      </c>
      <c r="AL85" s="85" t="str">
        <f>IF(ISERROR(VLOOKUP(AL84,#REF!,17,0)),"",(VLOOKUP(AL84,#REF!,17,0)))</f>
        <v/>
      </c>
      <c r="AM85" s="85" t="str">
        <f>IF(ISERROR(VLOOKUP(AM84,#REF!,17,0)),"",(VLOOKUP(AM84,#REF!,17,0)))</f>
        <v/>
      </c>
      <c r="AN85" s="85" t="str">
        <f>IF(ISERROR(VLOOKUP(AN84,#REF!,17,0)),"",(VLOOKUP(AN84,#REF!,17,0)))</f>
        <v/>
      </c>
      <c r="AO85" s="85" t="str">
        <f>IF(ISERROR(VLOOKUP(AO84,#REF!,17,0)),"",(VLOOKUP(AO84,#REF!,17,0)))</f>
        <v/>
      </c>
    </row>
    <row r="86" spans="1:41" ht="17.25" thickTop="1" thickBot="1">
      <c r="A86" s="34"/>
      <c r="B86" s="34"/>
      <c r="C86" s="101"/>
      <c r="D86" s="101"/>
      <c r="E86" s="33"/>
      <c r="F86" s="33"/>
      <c r="G86" s="33"/>
      <c r="H86" s="33"/>
      <c r="I86" s="33"/>
      <c r="J86" s="33"/>
      <c r="K86" s="34"/>
      <c r="L86" s="34"/>
      <c r="M86" s="33"/>
      <c r="N86" s="33"/>
      <c r="O86" s="77"/>
      <c r="P86" s="77"/>
      <c r="Q86" s="78"/>
      <c r="Z86" s="1378"/>
      <c r="AA86" s="1394">
        <v>42</v>
      </c>
      <c r="AB86" s="110" t="e">
        <f>CONCATENATE(#REF!)</f>
        <v>#REF!</v>
      </c>
      <c r="AC86" s="110"/>
      <c r="AD86" s="84" t="str">
        <f>IF(ISERROR(VLOOKUP(AB86,#REF!,2,0)),"",(VLOOKUP(AB86,#REF!,2,0)))</f>
        <v/>
      </c>
      <c r="AE86" s="84" t="str">
        <f>IF(ISERROR(VLOOKUP(AB86,#REF!,3,0)),"",(VLOOKUP(AB86,#REF!,3,0)))</f>
        <v/>
      </c>
      <c r="AF86" s="84" t="str">
        <f>IF(ISERROR(VLOOKUP(AB86,#REF!,4,0)),"",(VLOOKUP(AB86,#REF!,4,0)))</f>
        <v/>
      </c>
      <c r="AG86" s="84" t="str">
        <f>IF(ISERROR(VLOOKUP(AB86,#REF!,5,0)),"",(VLOOKUP(AB86,#REF!,5,0)))</f>
        <v/>
      </c>
      <c r="AH86" s="84" t="str">
        <f>CONCATENATE(IF(ISERROR(VLOOKUP(AB86,#REF!,6,0)),"",(VLOOKUP(AB86,#REF!,6,0))))</f>
        <v/>
      </c>
      <c r="AI86" s="84" t="str">
        <f>IF(ISERROR(VLOOKUP(AB86,#REF!,7,0)),"",(VLOOKUP(AB86,#REF!,7,0)))</f>
        <v/>
      </c>
      <c r="AJ86" s="84" t="str">
        <f>IF(ISERROR(VLOOKUP(AB86,#REF!,8,0)),"",(VLOOKUP(AB86,#REF!,8,0)))</f>
        <v/>
      </c>
      <c r="AK86" s="84" t="str">
        <f>IF(ISERROR(VLOOKUP(AB86,#REF!,9,0)),"",(VLOOKUP(AB86,#REF!,9,0)))</f>
        <v/>
      </c>
      <c r="AL86" s="84" t="str">
        <f>IF(ISERROR(VLOOKUP(AB86,#REF!,10,0)),"",(VLOOKUP(AB86,#REF!,10,0)))</f>
        <v/>
      </c>
      <c r="AM86" s="84" t="str">
        <f>IF(ISERROR(VLOOKUP(AB86,#REF!,11,0)),"",(VLOOKUP(AB86,#REF!,11,0)))</f>
        <v/>
      </c>
      <c r="AN86" s="84" t="str">
        <f>IF(ISERROR(VLOOKUP(AB86,#REF!,12,0)),"",(VLOOKUP(AB86,#REF!,12,0)))</f>
        <v/>
      </c>
      <c r="AO86" s="84" t="str">
        <f>IF(ISERROR(VLOOKUP(AB86,#REF!,13,0)),"",(VLOOKUP(AB86,#REF!,13,0)))</f>
        <v/>
      </c>
    </row>
    <row r="87" spans="1:41" ht="17.25" thickTop="1" thickBot="1">
      <c r="A87" s="34"/>
      <c r="B87" s="34"/>
      <c r="C87" s="1299" t="s">
        <v>921</v>
      </c>
      <c r="D87" s="1299"/>
      <c r="E87" s="1297"/>
      <c r="F87" s="1297"/>
      <c r="G87" s="1297" t="s">
        <v>3</v>
      </c>
      <c r="H87" s="1297"/>
      <c r="I87" s="1296"/>
      <c r="J87" s="1296"/>
      <c r="K87" s="1297" t="s">
        <v>39</v>
      </c>
      <c r="L87" s="1297"/>
      <c r="M87" s="1296"/>
      <c r="N87" s="1296"/>
      <c r="O87" s="77"/>
      <c r="P87" s="77"/>
      <c r="Q87" s="78"/>
      <c r="Z87" s="1378"/>
      <c r="AA87" s="1394"/>
      <c r="AB87" s="110" t="s">
        <v>447</v>
      </c>
      <c r="AC87" s="110" t="e">
        <f>AB86</f>
        <v>#REF!</v>
      </c>
      <c r="AD87" s="85" t="str">
        <f>IF(ISERROR(VLOOKUP(AD86,#REF!,17,0)),"",(VLOOKUP(AD86,#REF!,17,0)))</f>
        <v/>
      </c>
      <c r="AE87" s="85" t="str">
        <f>IF(ISERROR(VLOOKUP(AE86,#REF!,17,0)),"",(VLOOKUP(AE86,#REF!,17,0)))</f>
        <v/>
      </c>
      <c r="AF87" s="85" t="str">
        <f>IF(ISERROR(VLOOKUP(AF86,#REF!,17,0)),"",(VLOOKUP(AF86,#REF!,17,0)))</f>
        <v/>
      </c>
      <c r="AG87" s="85" t="str">
        <f>IF(ISERROR(VLOOKUP(AG86,#REF!,17,0)),"",(VLOOKUP(AG86,#REF!,17,0)))</f>
        <v/>
      </c>
      <c r="AH87" s="85" t="str">
        <f>IF(ISERROR(VLOOKUP(AH86,#REF!,17,0)),"",(VLOOKUP(AH86,#REF!,17,0)))</f>
        <v/>
      </c>
      <c r="AI87" s="85" t="str">
        <f>IF(ISERROR(VLOOKUP(AI86,#REF!,17,0)),"",(VLOOKUP(AI86,#REF!,17,0)))</f>
        <v/>
      </c>
      <c r="AJ87" s="85" t="str">
        <f>IF(ISERROR(VLOOKUP(AJ86,#REF!,17,0)),"",(VLOOKUP(AJ86,#REF!,17,0)))</f>
        <v/>
      </c>
      <c r="AK87" s="85" t="str">
        <f>IF(ISERROR(VLOOKUP(AK86,#REF!,17,0)),"",(VLOOKUP(AK86,#REF!,17,0)))</f>
        <v/>
      </c>
      <c r="AL87" s="85" t="str">
        <f>IF(ISERROR(VLOOKUP(AL86,#REF!,17,0)),"",(VLOOKUP(AL86,#REF!,17,0)))</f>
        <v/>
      </c>
      <c r="AM87" s="85" t="str">
        <f>IF(ISERROR(VLOOKUP(AM86,#REF!,17,0)),"",(VLOOKUP(AM86,#REF!,17,0)))</f>
        <v/>
      </c>
      <c r="AN87" s="85" t="str">
        <f>IF(ISERROR(VLOOKUP(AN86,#REF!,17,0)),"",(VLOOKUP(AN86,#REF!,17,0)))</f>
        <v/>
      </c>
      <c r="AO87" s="85" t="str">
        <f>IF(ISERROR(VLOOKUP(AO86,#REF!,17,0)),"",(VLOOKUP(AO86,#REF!,17,0)))</f>
        <v/>
      </c>
    </row>
    <row r="88" spans="1:41" ht="17.25" thickTop="1" thickBot="1">
      <c r="A88" s="34"/>
      <c r="B88" s="34"/>
      <c r="C88" s="1299" t="s">
        <v>922</v>
      </c>
      <c r="D88" s="1299"/>
      <c r="E88" s="1296"/>
      <c r="F88" s="1296"/>
      <c r="G88" s="1297" t="s">
        <v>39</v>
      </c>
      <c r="H88" s="1297"/>
      <c r="I88" s="1296"/>
      <c r="J88" s="1296"/>
      <c r="K88" s="1297" t="s">
        <v>8</v>
      </c>
      <c r="L88" s="1297"/>
      <c r="M88" s="1297"/>
      <c r="N88" s="1297"/>
      <c r="O88" s="77"/>
      <c r="P88" s="77"/>
      <c r="Q88" s="78"/>
      <c r="Z88" s="1378" t="s">
        <v>478</v>
      </c>
      <c r="AA88" s="1387">
        <v>43</v>
      </c>
      <c r="AB88" s="111" t="e">
        <f>CONCATENATE(#REF!)</f>
        <v>#REF!</v>
      </c>
      <c r="AC88" s="111"/>
      <c r="AD88" s="84" t="str">
        <f>IF(ISERROR(VLOOKUP(AB88,#REF!,2,0)),"",(VLOOKUP(AB88,#REF!,2,0)))</f>
        <v/>
      </c>
      <c r="AE88" s="84" t="str">
        <f>IF(ISERROR(VLOOKUP(AB88,#REF!,3,0)),"",(VLOOKUP(AB88,#REF!,3,0)))</f>
        <v/>
      </c>
      <c r="AF88" s="84" t="str">
        <f>IF(ISERROR(VLOOKUP(AB88,#REF!,4,0)),"",(VLOOKUP(AB88,#REF!,4,0)))</f>
        <v/>
      </c>
      <c r="AG88" s="84" t="str">
        <f>IF(ISERROR(VLOOKUP(AB88,#REF!,5,0)),"",(VLOOKUP(AB88,#REF!,5,0)))</f>
        <v/>
      </c>
      <c r="AH88" s="84" t="str">
        <f>CONCATENATE(IF(ISERROR(VLOOKUP(AB88,#REF!,6,0)),"",(VLOOKUP(AB88,#REF!,6,0))))</f>
        <v/>
      </c>
      <c r="AI88" s="84" t="str">
        <f>IF(ISERROR(VLOOKUP(AB88,#REF!,7,0)),"",(VLOOKUP(AB88,#REF!,7,0)))</f>
        <v/>
      </c>
      <c r="AJ88" s="84" t="str">
        <f>IF(ISERROR(VLOOKUP(AB88,#REF!,8,0)),"",(VLOOKUP(AB88,#REF!,8,0)))</f>
        <v/>
      </c>
      <c r="AK88" s="84" t="str">
        <f>IF(ISERROR(VLOOKUP(AB88,#REF!,9,0)),"",(VLOOKUP(AB88,#REF!,9,0)))</f>
        <v/>
      </c>
      <c r="AL88" s="84" t="str">
        <f>IF(ISERROR(VLOOKUP(AB88,#REF!,10,0)),"",(VLOOKUP(AB88,#REF!,10,0)))</f>
        <v/>
      </c>
      <c r="AM88" s="84" t="str">
        <f>IF(ISERROR(VLOOKUP(AB88,#REF!,11,0)),"",(VLOOKUP(AB88,#REF!,11,0)))</f>
        <v/>
      </c>
      <c r="AN88" s="84" t="str">
        <f>IF(ISERROR(VLOOKUP(AB88,#REF!,12,0)),"",(VLOOKUP(AB88,#REF!,12,0)))</f>
        <v/>
      </c>
      <c r="AO88" s="84" t="str">
        <f>IF(ISERROR(VLOOKUP(AB88,#REF!,13,0)),"",(VLOOKUP(AB88,#REF!,13,0)))</f>
        <v/>
      </c>
    </row>
    <row r="89" spans="1:41" ht="17.25" thickTop="1" thickBot="1">
      <c r="A89" s="34"/>
      <c r="B89" s="34"/>
      <c r="C89" s="1299" t="s">
        <v>923</v>
      </c>
      <c r="D89" s="1299"/>
      <c r="E89" s="1297"/>
      <c r="F89" s="1297"/>
      <c r="G89" s="1297"/>
      <c r="H89" s="1297"/>
      <c r="I89" s="1297"/>
      <c r="J89" s="1297"/>
      <c r="K89" s="1297"/>
      <c r="L89" s="1297"/>
      <c r="M89" s="1297"/>
      <c r="N89" s="1297"/>
      <c r="O89" s="77"/>
      <c r="P89" s="77"/>
      <c r="Q89" s="78"/>
      <c r="Z89" s="1378"/>
      <c r="AA89" s="1387"/>
      <c r="AB89" s="111" t="s">
        <v>447</v>
      </c>
      <c r="AC89" s="111" t="e">
        <f>AB88</f>
        <v>#REF!</v>
      </c>
      <c r="AD89" s="85" t="str">
        <f>IF(ISERROR(VLOOKUP(AD88,#REF!,18,0)),"",(VLOOKUP(AD88,#REF!,18,0)))</f>
        <v/>
      </c>
      <c r="AE89" s="85" t="str">
        <f>IF(ISERROR(VLOOKUP(AE88,#REF!,18,0)),"",(VLOOKUP(AE88,#REF!,18,0)))</f>
        <v/>
      </c>
      <c r="AF89" s="85" t="str">
        <f>IF(ISERROR(VLOOKUP(AF88,#REF!,18,0)),"",(VLOOKUP(AF88,#REF!,18,0)))</f>
        <v/>
      </c>
      <c r="AG89" s="85" t="str">
        <f>IF(ISERROR(VLOOKUP(AG88,#REF!,18,0)),"",(VLOOKUP(AG88,#REF!,18,0)))</f>
        <v/>
      </c>
      <c r="AH89" s="85" t="str">
        <f>IF(ISERROR(VLOOKUP(AH88,#REF!,18,0)),"",(VLOOKUP(AH88,#REF!,18,0)))</f>
        <v/>
      </c>
      <c r="AI89" s="85" t="str">
        <f>IF(ISERROR(VLOOKUP(AI88,#REF!,18,0)),"",(VLOOKUP(AI88,#REF!,18,0)))</f>
        <v/>
      </c>
      <c r="AJ89" s="85" t="str">
        <f>IF(ISERROR(VLOOKUP(AJ88,#REF!,18,0)),"",(VLOOKUP(AJ88,#REF!,18,0)))</f>
        <v/>
      </c>
      <c r="AK89" s="85" t="str">
        <f>IF(ISERROR(VLOOKUP(AK88,#REF!,18,0)),"",(VLOOKUP(AK88,#REF!,18,0)))</f>
        <v/>
      </c>
      <c r="AL89" s="85" t="str">
        <f>IF(ISERROR(VLOOKUP(AL88,#REF!,18,0)),"",(VLOOKUP(AL88,#REF!,18,0)))</f>
        <v/>
      </c>
      <c r="AM89" s="85" t="str">
        <f>IF(ISERROR(VLOOKUP(AM88,#REF!,18,0)),"",(VLOOKUP(AM88,#REF!,18,0)))</f>
        <v/>
      </c>
      <c r="AN89" s="85" t="str">
        <f>IF(ISERROR(VLOOKUP(AN88,#REF!,18,0)),"",(VLOOKUP(AN88,#REF!,18,0)))</f>
        <v/>
      </c>
      <c r="AO89" s="85" t="str">
        <f>IF(ISERROR(VLOOKUP(AO88,#REF!,18,0)),"",(VLOOKUP(AO88,#REF!,18,0)))</f>
        <v/>
      </c>
    </row>
    <row r="90" spans="1:41" ht="17.25" thickTop="1" thickBot="1">
      <c r="A90" s="34"/>
      <c r="B90" s="34"/>
      <c r="C90" s="1299" t="s">
        <v>924</v>
      </c>
      <c r="D90" s="1299"/>
      <c r="E90" s="1297"/>
      <c r="F90" s="1297"/>
      <c r="G90" s="1297"/>
      <c r="H90" s="1297"/>
      <c r="I90" s="1297"/>
      <c r="J90" s="1297"/>
      <c r="K90" s="1297"/>
      <c r="L90" s="1297"/>
      <c r="M90" s="1297"/>
      <c r="N90" s="1297"/>
      <c r="O90" s="77"/>
      <c r="P90" s="77"/>
      <c r="Q90" s="78"/>
      <c r="Z90" s="1378"/>
      <c r="AA90" s="1387">
        <v>44</v>
      </c>
      <c r="AB90" s="111" t="e">
        <f>CONCATENATE(#REF!)</f>
        <v>#REF!</v>
      </c>
      <c r="AC90" s="111"/>
      <c r="AD90" s="84" t="str">
        <f>IF(ISERROR(VLOOKUP(AB90,#REF!,2,0)),"",(VLOOKUP(AB90,#REF!,2,0)))</f>
        <v/>
      </c>
      <c r="AE90" s="84" t="str">
        <f>IF(ISERROR(VLOOKUP(AB90,#REF!,3,0)),"",(VLOOKUP(AB90,#REF!,3,0)))</f>
        <v/>
      </c>
      <c r="AF90" s="84" t="str">
        <f>IF(ISERROR(VLOOKUP(AB90,#REF!,4,0)),"",(VLOOKUP(AB90,#REF!,4,0)))</f>
        <v/>
      </c>
      <c r="AG90" s="84" t="str">
        <f>IF(ISERROR(VLOOKUP(AB90,#REF!,5,0)),"",(VLOOKUP(AB90,#REF!,5,0)))</f>
        <v/>
      </c>
      <c r="AH90" s="84" t="str">
        <f>CONCATENATE(IF(ISERROR(VLOOKUP(AB90,#REF!,6,0)),"",(VLOOKUP(AB90,#REF!,6,0))))</f>
        <v/>
      </c>
      <c r="AI90" s="84" t="str">
        <f>IF(ISERROR(VLOOKUP(AB90,#REF!,7,0)),"",(VLOOKUP(AB90,#REF!,7,0)))</f>
        <v/>
      </c>
      <c r="AJ90" s="84" t="str">
        <f>IF(ISERROR(VLOOKUP(AB90,#REF!,8,0)),"",(VLOOKUP(AB90,#REF!,8,0)))</f>
        <v/>
      </c>
      <c r="AK90" s="84" t="str">
        <f>IF(ISERROR(VLOOKUP(AB90,#REF!,9,0)),"",(VLOOKUP(AB90,#REF!,9,0)))</f>
        <v/>
      </c>
      <c r="AL90" s="84" t="str">
        <f>IF(ISERROR(VLOOKUP(AB90,#REF!,10,0)),"",(VLOOKUP(AB90,#REF!,10,0)))</f>
        <v/>
      </c>
      <c r="AM90" s="84" t="str">
        <f>IF(ISERROR(VLOOKUP(AB90,#REF!,11,0)),"",(VLOOKUP(AB90,#REF!,11,0)))</f>
        <v/>
      </c>
      <c r="AN90" s="84" t="str">
        <f>IF(ISERROR(VLOOKUP(AB90,#REF!,12,0)),"",(VLOOKUP(AB90,#REF!,12,0)))</f>
        <v/>
      </c>
      <c r="AO90" s="84" t="str">
        <f>IF(ISERROR(VLOOKUP(AB90,#REF!,13,0)),"",(VLOOKUP(AB90,#REF!,13,0)))</f>
        <v/>
      </c>
    </row>
    <row r="91" spans="1:41" ht="17.25" thickTop="1" thickBot="1">
      <c r="A91" s="34"/>
      <c r="B91" s="34"/>
      <c r="C91" s="33"/>
      <c r="D91" s="33"/>
      <c r="E91" s="33"/>
      <c r="F91" s="33"/>
      <c r="G91" s="33"/>
      <c r="H91" s="33"/>
      <c r="I91" s="33"/>
      <c r="J91" s="33"/>
      <c r="K91" s="34"/>
      <c r="L91" s="34"/>
      <c r="M91" s="33"/>
      <c r="N91" s="33"/>
      <c r="O91" s="77"/>
      <c r="P91" s="77"/>
      <c r="Q91" s="78"/>
      <c r="Z91" s="1378"/>
      <c r="AA91" s="1387"/>
      <c r="AB91" s="111" t="s">
        <v>447</v>
      </c>
      <c r="AC91" s="111" t="e">
        <f>AB90</f>
        <v>#REF!</v>
      </c>
      <c r="AD91" s="85" t="str">
        <f>IF(ISERROR(VLOOKUP(AD90,#REF!,18,0)),"",(VLOOKUP(AD90,#REF!,18,0)))</f>
        <v/>
      </c>
      <c r="AE91" s="85" t="str">
        <f>IF(ISERROR(VLOOKUP(AE90,#REF!,18,0)),"",(VLOOKUP(AE90,#REF!,18,0)))</f>
        <v/>
      </c>
      <c r="AF91" s="85" t="str">
        <f>IF(ISERROR(VLOOKUP(AF90,#REF!,18,0)),"",(VLOOKUP(AF90,#REF!,18,0)))</f>
        <v/>
      </c>
      <c r="AG91" s="85" t="str">
        <f>IF(ISERROR(VLOOKUP(AG90,#REF!,18,0)),"",(VLOOKUP(AG90,#REF!,18,0)))</f>
        <v/>
      </c>
      <c r="AH91" s="85" t="str">
        <f>IF(ISERROR(VLOOKUP(AH90,#REF!,18,0)),"",(VLOOKUP(AH90,#REF!,18,0)))</f>
        <v/>
      </c>
      <c r="AI91" s="85" t="str">
        <f>IF(ISERROR(VLOOKUP(AI90,#REF!,18,0)),"",(VLOOKUP(AI90,#REF!,18,0)))</f>
        <v/>
      </c>
      <c r="AJ91" s="85" t="str">
        <f>IF(ISERROR(VLOOKUP(AJ90,#REF!,18,0)),"",(VLOOKUP(AJ90,#REF!,18,0)))</f>
        <v/>
      </c>
      <c r="AK91" s="85" t="str">
        <f>IF(ISERROR(VLOOKUP(AK90,#REF!,18,0)),"",(VLOOKUP(AK90,#REF!,18,0)))</f>
        <v/>
      </c>
      <c r="AL91" s="85" t="str">
        <f>IF(ISERROR(VLOOKUP(AL90,#REF!,18,0)),"",(VLOOKUP(AL90,#REF!,18,0)))</f>
        <v/>
      </c>
      <c r="AM91" s="85" t="str">
        <f>IF(ISERROR(VLOOKUP(AM90,#REF!,18,0)),"",(VLOOKUP(AM90,#REF!,18,0)))</f>
        <v/>
      </c>
      <c r="AN91" s="85" t="str">
        <f>IF(ISERROR(VLOOKUP(AN90,#REF!,18,0)),"",(VLOOKUP(AN90,#REF!,18,0)))</f>
        <v/>
      </c>
      <c r="AO91" s="85" t="str">
        <f>IF(ISERROR(VLOOKUP(AO90,#REF!,18,0)),"",(VLOOKUP(AO90,#REF!,18,0)))</f>
        <v/>
      </c>
    </row>
    <row r="92" spans="1:41" ht="19.5" thickTop="1" thickBot="1">
      <c r="A92" s="1321" t="s">
        <v>467</v>
      </c>
      <c r="B92" s="1322"/>
      <c r="C92" s="1323" t="s">
        <v>380</v>
      </c>
      <c r="D92" s="1323"/>
      <c r="E92" s="1323" t="s">
        <v>380</v>
      </c>
      <c r="F92" s="1323"/>
      <c r="G92" s="250"/>
      <c r="H92" s="250" t="s">
        <v>468</v>
      </c>
      <c r="I92" s="1295" t="s">
        <v>402</v>
      </c>
      <c r="J92" s="1295"/>
      <c r="K92" s="1295"/>
      <c r="L92" s="102" t="s">
        <v>403</v>
      </c>
      <c r="M92" s="1331">
        <f ca="1">TODAY()</f>
        <v>45944</v>
      </c>
      <c r="N92" s="1331"/>
      <c r="O92" s="77"/>
      <c r="P92" s="77"/>
      <c r="Q92" s="78"/>
      <c r="Z92" s="1378"/>
      <c r="AA92" s="1387">
        <v>45</v>
      </c>
      <c r="AB92" s="111" t="e">
        <f>CONCATENATE(#REF!)</f>
        <v>#REF!</v>
      </c>
      <c r="AC92" s="111"/>
      <c r="AD92" s="84" t="str">
        <f>IF(ISERROR(VLOOKUP(AB92,#REF!,2,0)),"",(VLOOKUP(AB92,#REF!,2,0)))</f>
        <v/>
      </c>
      <c r="AE92" s="84" t="str">
        <f>IF(ISERROR(VLOOKUP(AB92,#REF!,3,0)),"",(VLOOKUP(AB92,#REF!,3,0)))</f>
        <v/>
      </c>
      <c r="AF92" s="84" t="str">
        <f>IF(ISERROR(VLOOKUP(AB92,#REF!,4,0)),"",(VLOOKUP(AB92,#REF!,4,0)))</f>
        <v/>
      </c>
      <c r="AG92" s="84" t="str">
        <f>IF(ISERROR(VLOOKUP(AB92,#REF!,5,0)),"",(VLOOKUP(AB92,#REF!,5,0)))</f>
        <v/>
      </c>
      <c r="AH92" s="84" t="str">
        <f>CONCATENATE(IF(ISERROR(VLOOKUP(AB92,#REF!,6,0)),"",(VLOOKUP(AB92,#REF!,6,0))))</f>
        <v/>
      </c>
      <c r="AI92" s="84" t="str">
        <f>IF(ISERROR(VLOOKUP(AB92,#REF!,7,0)),"",(VLOOKUP(AB92,#REF!,7,0)))</f>
        <v/>
      </c>
      <c r="AJ92" s="84" t="str">
        <f>IF(ISERROR(VLOOKUP(AB92,#REF!,8,0)),"",(VLOOKUP(AB92,#REF!,8,0)))</f>
        <v/>
      </c>
      <c r="AK92" s="84" t="str">
        <f>IF(ISERROR(VLOOKUP(AB92,#REF!,9,0)),"",(VLOOKUP(AB92,#REF!,9,0)))</f>
        <v/>
      </c>
      <c r="AL92" s="84" t="str">
        <f>IF(ISERROR(VLOOKUP(AB92,#REF!,10,0)),"",(VLOOKUP(AB92,#REF!,10,0)))</f>
        <v/>
      </c>
      <c r="AM92" s="84" t="str">
        <f>IF(ISERROR(VLOOKUP(AB92,#REF!,11,0)),"",(VLOOKUP(AB92,#REF!,11,0)))</f>
        <v/>
      </c>
      <c r="AN92" s="84" t="str">
        <f>IF(ISERROR(VLOOKUP(AB92,#REF!,12,0)),"",(VLOOKUP(AB92,#REF!,12,0)))</f>
        <v/>
      </c>
      <c r="AO92" s="84" t="str">
        <f>IF(ISERROR(VLOOKUP(AB92,#REF!,13,0)),"",(VLOOKUP(AB92,#REF!,13,0)))</f>
        <v/>
      </c>
    </row>
    <row r="93" spans="1:41" ht="19.5" thickTop="1" thickBot="1">
      <c r="A93" s="1321" t="s">
        <v>469</v>
      </c>
      <c r="B93" s="1322"/>
      <c r="C93" s="1323" t="s">
        <v>380</v>
      </c>
      <c r="D93" s="1323"/>
      <c r="E93" s="1323" t="s">
        <v>380</v>
      </c>
      <c r="F93" s="1323"/>
      <c r="G93" s="250"/>
      <c r="H93" s="250"/>
      <c r="I93" s="250"/>
      <c r="J93" s="250"/>
      <c r="K93" s="102"/>
      <c r="L93" s="102"/>
      <c r="M93" s="33"/>
      <c r="N93" s="33"/>
      <c r="O93" s="77"/>
      <c r="P93" s="77"/>
      <c r="Q93" s="78"/>
      <c r="Z93" s="1378"/>
      <c r="AA93" s="1387"/>
      <c r="AB93" s="111" t="s">
        <v>447</v>
      </c>
      <c r="AC93" s="111" t="e">
        <f>AB92</f>
        <v>#REF!</v>
      </c>
      <c r="AD93" s="85" t="str">
        <f>IF(ISERROR(VLOOKUP(AD92,#REF!,18,0)),"",(VLOOKUP(AD92,#REF!,18,0)))</f>
        <v/>
      </c>
      <c r="AE93" s="85" t="str">
        <f>IF(ISERROR(VLOOKUP(AE92,#REF!,18,0)),"",(VLOOKUP(AE92,#REF!,18,0)))</f>
        <v/>
      </c>
      <c r="AF93" s="85" t="str">
        <f>IF(ISERROR(VLOOKUP(AF92,#REF!,18,0)),"",(VLOOKUP(AF92,#REF!,18,0)))</f>
        <v/>
      </c>
      <c r="AG93" s="85" t="str">
        <f>IF(ISERROR(VLOOKUP(AG92,#REF!,18,0)),"",(VLOOKUP(AG92,#REF!,18,0)))</f>
        <v/>
      </c>
      <c r="AH93" s="85" t="str">
        <f>IF(ISERROR(VLOOKUP(AH92,#REF!,18,0)),"",(VLOOKUP(AH92,#REF!,18,0)))</f>
        <v/>
      </c>
      <c r="AI93" s="85" t="str">
        <f>IF(ISERROR(VLOOKUP(AI92,#REF!,18,0)),"",(VLOOKUP(AI92,#REF!,18,0)))</f>
        <v/>
      </c>
      <c r="AJ93" s="85" t="str">
        <f>IF(ISERROR(VLOOKUP(AJ92,#REF!,18,0)),"",(VLOOKUP(AJ92,#REF!,18,0)))</f>
        <v/>
      </c>
      <c r="AK93" s="85" t="str">
        <f>IF(ISERROR(VLOOKUP(AK92,#REF!,18,0)),"",(VLOOKUP(AK92,#REF!,18,0)))</f>
        <v/>
      </c>
      <c r="AL93" s="85" t="str">
        <f>IF(ISERROR(VLOOKUP(AL92,#REF!,18,0)),"",(VLOOKUP(AL92,#REF!,18,0)))</f>
        <v/>
      </c>
      <c r="AM93" s="85" t="str">
        <f>IF(ISERROR(VLOOKUP(AM92,#REF!,18,0)),"",(VLOOKUP(AM92,#REF!,18,0)))</f>
        <v/>
      </c>
      <c r="AN93" s="85" t="str">
        <f>IF(ISERROR(VLOOKUP(AN92,#REF!,18,0)),"",(VLOOKUP(AN92,#REF!,18,0)))</f>
        <v/>
      </c>
      <c r="AO93" s="85" t="str">
        <f>IF(ISERROR(VLOOKUP(AO92,#REF!,18,0)),"",(VLOOKUP(AO92,#REF!,18,0)))</f>
        <v/>
      </c>
    </row>
    <row r="94" spans="1:41" ht="19.5" thickTop="1" thickBot="1">
      <c r="A94" s="1321" t="s">
        <v>470</v>
      </c>
      <c r="B94" s="1322"/>
      <c r="C94" s="1323" t="s">
        <v>380</v>
      </c>
      <c r="D94" s="1323"/>
      <c r="E94" s="1323" t="s">
        <v>380</v>
      </c>
      <c r="F94" s="1323"/>
      <c r="G94" s="250"/>
      <c r="H94" s="250"/>
      <c r="I94" s="250"/>
      <c r="J94" s="250" t="s">
        <v>471</v>
      </c>
      <c r="K94" s="102"/>
      <c r="L94" s="102"/>
      <c r="M94" s="33"/>
      <c r="N94" s="33"/>
      <c r="O94" s="77"/>
      <c r="P94" s="77"/>
      <c r="Q94" s="78"/>
      <c r="Z94" s="1378"/>
      <c r="AA94" s="1387">
        <v>46</v>
      </c>
      <c r="AB94" s="111" t="e">
        <f>CONCATENATE(#REF!)</f>
        <v>#REF!</v>
      </c>
      <c r="AC94" s="111"/>
      <c r="AD94" s="84" t="str">
        <f>IF(ISERROR(VLOOKUP(AB94,#REF!,2,0)),"",(VLOOKUP(AB94,#REF!,2,0)))</f>
        <v/>
      </c>
      <c r="AE94" s="84" t="str">
        <f>IF(ISERROR(VLOOKUP(AB94,#REF!,3,0)),"",(VLOOKUP(AB94,#REF!,3,0)))</f>
        <v/>
      </c>
      <c r="AF94" s="84" t="str">
        <f>IF(ISERROR(VLOOKUP(AB94,#REF!,4,0)),"",(VLOOKUP(AB94,#REF!,4,0)))</f>
        <v/>
      </c>
      <c r="AG94" s="84" t="str">
        <f>IF(ISERROR(VLOOKUP(AB94,#REF!,5,0)),"",(VLOOKUP(AB94,#REF!,5,0)))</f>
        <v/>
      </c>
      <c r="AH94" s="84" t="str">
        <f>CONCATENATE(IF(ISERROR(VLOOKUP(AB94,#REF!,6,0)),"",(VLOOKUP(AB94,#REF!,6,0))))</f>
        <v/>
      </c>
      <c r="AI94" s="84" t="str">
        <f>IF(ISERROR(VLOOKUP(AB94,#REF!,7,0)),"",(VLOOKUP(AB94,#REF!,7,0)))</f>
        <v/>
      </c>
      <c r="AJ94" s="84" t="str">
        <f>IF(ISERROR(VLOOKUP(AB94,#REF!,8,0)),"",(VLOOKUP(AB94,#REF!,8,0)))</f>
        <v/>
      </c>
      <c r="AK94" s="84" t="str">
        <f>IF(ISERROR(VLOOKUP(AB94,#REF!,9,0)),"",(VLOOKUP(AB94,#REF!,9,0)))</f>
        <v/>
      </c>
      <c r="AL94" s="84" t="str">
        <f>IF(ISERROR(VLOOKUP(AB94,#REF!,10,0)),"",(VLOOKUP(AB94,#REF!,10,0)))</f>
        <v/>
      </c>
      <c r="AM94" s="84" t="str">
        <f>IF(ISERROR(VLOOKUP(AB94,#REF!,11,0)),"",(VLOOKUP(AB94,#REF!,11,0)))</f>
        <v/>
      </c>
      <c r="AN94" s="84" t="str">
        <f>IF(ISERROR(VLOOKUP(AB94,#REF!,12,0)),"",(VLOOKUP(AB94,#REF!,12,0)))</f>
        <v/>
      </c>
      <c r="AO94" s="84" t="str">
        <f>IF(ISERROR(VLOOKUP(AB94,#REF!,13,0)),"",(VLOOKUP(AB94,#REF!,13,0)))</f>
        <v/>
      </c>
    </row>
    <row r="95" spans="1:41" ht="24" thickTop="1">
      <c r="A95" s="102"/>
      <c r="B95" s="102"/>
      <c r="C95" s="250"/>
      <c r="D95" s="250"/>
      <c r="E95" s="250"/>
      <c r="F95" s="250"/>
      <c r="G95" s="33"/>
      <c r="H95" s="103" t="s">
        <v>406</v>
      </c>
      <c r="I95" s="33"/>
      <c r="J95" s="34"/>
      <c r="K95" s="34"/>
      <c r="L95" s="33"/>
      <c r="M95" s="33"/>
      <c r="N95" s="104"/>
      <c r="O95" s="77"/>
      <c r="P95" s="77"/>
      <c r="Q95" s="78"/>
      <c r="Z95" s="1378"/>
      <c r="AA95" s="1387"/>
      <c r="AB95" s="111" t="s">
        <v>447</v>
      </c>
      <c r="AC95" s="111" t="e">
        <f>AB94</f>
        <v>#REF!</v>
      </c>
      <c r="AD95" s="85" t="str">
        <f>IF(ISERROR(VLOOKUP(AD94,#REF!,18,0)),"",(VLOOKUP(AD94,#REF!,18,0)))</f>
        <v/>
      </c>
      <c r="AE95" s="85" t="str">
        <f>IF(ISERROR(VLOOKUP(AE94,#REF!,18,0)),"",(VLOOKUP(AE94,#REF!,18,0)))</f>
        <v/>
      </c>
      <c r="AF95" s="85" t="str">
        <f>IF(ISERROR(VLOOKUP(AF94,#REF!,18,0)),"",(VLOOKUP(AF94,#REF!,18,0)))</f>
        <v/>
      </c>
      <c r="AG95" s="85" t="str">
        <f>IF(ISERROR(VLOOKUP(AG94,#REF!,18,0)),"",(VLOOKUP(AG94,#REF!,18,0)))</f>
        <v/>
      </c>
      <c r="AH95" s="85" t="str">
        <f>IF(ISERROR(VLOOKUP(AH94,#REF!,18,0)),"",(VLOOKUP(AH94,#REF!,18,0)))</f>
        <v/>
      </c>
      <c r="AI95" s="85" t="str">
        <f>IF(ISERROR(VLOOKUP(AI94,#REF!,18,0)),"",(VLOOKUP(AI94,#REF!,18,0)))</f>
        <v/>
      </c>
      <c r="AJ95" s="85" t="str">
        <f>IF(ISERROR(VLOOKUP(AJ94,#REF!,18,0)),"",(VLOOKUP(AJ94,#REF!,18,0)))</f>
        <v/>
      </c>
      <c r="AK95" s="85" t="str">
        <f>IF(ISERROR(VLOOKUP(AK94,#REF!,18,0)),"",(VLOOKUP(AK94,#REF!,18,0)))</f>
        <v/>
      </c>
      <c r="AL95" s="85" t="str">
        <f>IF(ISERROR(VLOOKUP(AL94,#REF!,18,0)),"",(VLOOKUP(AL94,#REF!,18,0)))</f>
        <v/>
      </c>
      <c r="AM95" s="85" t="str">
        <f>IF(ISERROR(VLOOKUP(AM94,#REF!,18,0)),"",(VLOOKUP(AM94,#REF!,18,0)))</f>
        <v/>
      </c>
      <c r="AN95" s="85" t="str">
        <f>IF(ISERROR(VLOOKUP(AN94,#REF!,18,0)),"",(VLOOKUP(AN94,#REF!,18,0)))</f>
        <v/>
      </c>
      <c r="AO95" s="85" t="str">
        <f>IF(ISERROR(VLOOKUP(AO94,#REF!,18,0)),"",(VLOOKUP(AO94,#REF!,18,0)))</f>
        <v/>
      </c>
    </row>
    <row r="96" spans="1:41" ht="18">
      <c r="A96" s="1295" t="s">
        <v>78</v>
      </c>
      <c r="B96" s="1295"/>
      <c r="C96" s="1295"/>
      <c r="D96" s="1295"/>
      <c r="E96" s="1295"/>
      <c r="F96" s="1295"/>
      <c r="G96" s="1295"/>
      <c r="H96" s="1295"/>
      <c r="I96" s="1295"/>
      <c r="J96" s="1295"/>
      <c r="K96" s="1295"/>
      <c r="L96" s="1295"/>
      <c r="M96" s="1295"/>
      <c r="N96" s="1295"/>
      <c r="O96" s="77"/>
      <c r="P96" s="77"/>
      <c r="Q96" s="78"/>
      <c r="Z96" s="1378"/>
      <c r="AA96" s="1387">
        <v>47</v>
      </c>
      <c r="AB96" s="111" t="e">
        <f>CONCATENATE(#REF!)</f>
        <v>#REF!</v>
      </c>
      <c r="AC96" s="111"/>
      <c r="AD96" s="84" t="str">
        <f>IF(ISERROR(VLOOKUP(AB96,#REF!,2,0)),"",(VLOOKUP(AB96,#REF!,2,0)))</f>
        <v/>
      </c>
      <c r="AE96" s="84" t="str">
        <f>IF(ISERROR(VLOOKUP(AB96,#REF!,3,0)),"",(VLOOKUP(AB96,#REF!,3,0)))</f>
        <v/>
      </c>
      <c r="AF96" s="84" t="str">
        <f>IF(ISERROR(VLOOKUP(AB96,#REF!,4,0)),"",(VLOOKUP(AB96,#REF!,4,0)))</f>
        <v/>
      </c>
      <c r="AG96" s="84" t="str">
        <f>IF(ISERROR(VLOOKUP(AB96,#REF!,5,0)),"",(VLOOKUP(AB96,#REF!,5,0)))</f>
        <v/>
      </c>
      <c r="AH96" s="84" t="str">
        <f>CONCATENATE(IF(ISERROR(VLOOKUP(AB96,#REF!,6,0)),"",(VLOOKUP(AB96,#REF!,6,0))))</f>
        <v/>
      </c>
      <c r="AI96" s="84" t="str">
        <f>IF(ISERROR(VLOOKUP(AB96,#REF!,7,0)),"",(VLOOKUP(AB96,#REF!,7,0)))</f>
        <v/>
      </c>
      <c r="AJ96" s="84" t="str">
        <f>IF(ISERROR(VLOOKUP(AB96,#REF!,8,0)),"",(VLOOKUP(AB96,#REF!,8,0)))</f>
        <v/>
      </c>
      <c r="AK96" s="84" t="str">
        <f>IF(ISERROR(VLOOKUP(AB96,#REF!,9,0)),"",(VLOOKUP(AB96,#REF!,9,0)))</f>
        <v/>
      </c>
      <c r="AL96" s="84" t="str">
        <f>IF(ISERROR(VLOOKUP(AB96,#REF!,10,0)),"",(VLOOKUP(AB96,#REF!,10,0)))</f>
        <v/>
      </c>
      <c r="AM96" s="84" t="str">
        <f>IF(ISERROR(VLOOKUP(AB96,#REF!,11,0)),"",(VLOOKUP(AB96,#REF!,11,0)))</f>
        <v/>
      </c>
      <c r="AN96" s="84" t="str">
        <f>IF(ISERROR(VLOOKUP(AB96,#REF!,12,0)),"",(VLOOKUP(AB96,#REF!,12,0)))</f>
        <v/>
      </c>
      <c r="AO96" s="84" t="str">
        <f>IF(ISERROR(VLOOKUP(AB96,#REF!,13,0)),"",(VLOOKUP(AB96,#REF!,13,0)))</f>
        <v/>
      </c>
    </row>
    <row r="97" spans="1:41" ht="18">
      <c r="A97" s="1295" t="s">
        <v>79</v>
      </c>
      <c r="B97" s="1295"/>
      <c r="C97" s="1295"/>
      <c r="D97" s="1295"/>
      <c r="E97" s="1295"/>
      <c r="F97" s="1295"/>
      <c r="G97" s="1295"/>
      <c r="H97" s="1295"/>
      <c r="I97" s="1295"/>
      <c r="J97" s="1295"/>
      <c r="K97" s="1295"/>
      <c r="L97" s="1295"/>
      <c r="M97" s="1295"/>
      <c r="N97" s="1295"/>
      <c r="O97" s="77"/>
      <c r="P97" s="77"/>
      <c r="Q97" s="78"/>
      <c r="Z97" s="1378"/>
      <c r="AA97" s="1387"/>
      <c r="AB97" s="111" t="s">
        <v>447</v>
      </c>
      <c r="AC97" s="111" t="e">
        <f>AB96</f>
        <v>#REF!</v>
      </c>
      <c r="AD97" s="85" t="str">
        <f>IF(ISERROR(VLOOKUP(AD96,#REF!,18,0)),"",(VLOOKUP(AD96,#REF!,18,0)))</f>
        <v/>
      </c>
      <c r="AE97" s="85" t="str">
        <f>IF(ISERROR(VLOOKUP(AE96,#REF!,18,0)),"",(VLOOKUP(AE96,#REF!,18,0)))</f>
        <v/>
      </c>
      <c r="AF97" s="85" t="str">
        <f>IF(ISERROR(VLOOKUP(AF96,#REF!,18,0)),"",(VLOOKUP(AF96,#REF!,18,0)))</f>
        <v/>
      </c>
      <c r="AG97" s="85" t="str">
        <f>IF(ISERROR(VLOOKUP(AG96,#REF!,18,0)),"",(VLOOKUP(AG96,#REF!,18,0)))</f>
        <v/>
      </c>
      <c r="AH97" s="85" t="str">
        <f>IF(ISERROR(VLOOKUP(AH96,#REF!,18,0)),"",(VLOOKUP(AH96,#REF!,18,0)))</f>
        <v/>
      </c>
      <c r="AI97" s="85" t="str">
        <f>IF(ISERROR(VLOOKUP(AI96,#REF!,18,0)),"",(VLOOKUP(AI96,#REF!,18,0)))</f>
        <v/>
      </c>
      <c r="AJ97" s="85" t="str">
        <f>IF(ISERROR(VLOOKUP(AJ96,#REF!,18,0)),"",(VLOOKUP(AJ96,#REF!,18,0)))</f>
        <v/>
      </c>
      <c r="AK97" s="85" t="str">
        <f>IF(ISERROR(VLOOKUP(AK96,#REF!,18,0)),"",(VLOOKUP(AK96,#REF!,18,0)))</f>
        <v/>
      </c>
      <c r="AL97" s="85" t="str">
        <f>IF(ISERROR(VLOOKUP(AL96,#REF!,18,0)),"",(VLOOKUP(AL96,#REF!,18,0)))</f>
        <v/>
      </c>
      <c r="AM97" s="85" t="str">
        <f>IF(ISERROR(VLOOKUP(AM96,#REF!,18,0)),"",(VLOOKUP(AM96,#REF!,18,0)))</f>
        <v/>
      </c>
      <c r="AN97" s="85" t="str">
        <f>IF(ISERROR(VLOOKUP(AN96,#REF!,18,0)),"",(VLOOKUP(AN96,#REF!,18,0)))</f>
        <v/>
      </c>
      <c r="AO97" s="85" t="str">
        <f>IF(ISERROR(VLOOKUP(AO96,#REF!,18,0)),"",(VLOOKUP(AO96,#REF!,18,0)))</f>
        <v/>
      </c>
    </row>
    <row r="98" spans="1:41" ht="18">
      <c r="A98" s="168" t="s">
        <v>220</v>
      </c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33"/>
      <c r="N98" s="33"/>
      <c r="O98" s="77"/>
      <c r="P98" s="77"/>
      <c r="Q98" s="78"/>
      <c r="Z98" s="1378" t="s">
        <v>479</v>
      </c>
      <c r="AA98" s="1379">
        <v>48</v>
      </c>
      <c r="AB98" s="112" t="e">
        <f>CONCATENATE(#REF!)</f>
        <v>#REF!</v>
      </c>
      <c r="AC98" s="112"/>
      <c r="AD98" s="84" t="str">
        <f>IF(ISERROR(VLOOKUP(AB98,#REF!,2,0)),"",(VLOOKUP(AB98,#REF!,2,0)))</f>
        <v/>
      </c>
      <c r="AE98" s="84" t="str">
        <f>IF(ISERROR(VLOOKUP(AB98,#REF!,3,0)),"",(VLOOKUP(AB98,#REF!,3,0)))</f>
        <v/>
      </c>
      <c r="AF98" s="84" t="str">
        <f>IF(ISERROR(VLOOKUP(AB98,#REF!,4,0)),"",(VLOOKUP(AB98,#REF!,4,0)))</f>
        <v/>
      </c>
      <c r="AG98" s="84" t="str">
        <f>IF(ISERROR(VLOOKUP(AB98,#REF!,5,0)),"",(VLOOKUP(AB98,#REF!,5,0)))</f>
        <v/>
      </c>
      <c r="AH98" s="84" t="str">
        <f>CONCATENATE(IF(ISERROR(VLOOKUP(AB98,#REF!,6,0)),"",(VLOOKUP(AB98,#REF!,6,0))))</f>
        <v/>
      </c>
      <c r="AI98" s="84" t="str">
        <f>IF(ISERROR(VLOOKUP(AB98,#REF!,7,0)),"",(VLOOKUP(AB98,#REF!,7,0)))</f>
        <v/>
      </c>
      <c r="AJ98" s="84" t="str">
        <f>IF(ISERROR(VLOOKUP(AB98,#REF!,8,0)),"",(VLOOKUP(AB98,#REF!,8,0)))</f>
        <v/>
      </c>
      <c r="AK98" s="84" t="str">
        <f>IF(ISERROR(VLOOKUP(AB98,#REF!,9,0)),"",(VLOOKUP(AB98,#REF!,9,0)))</f>
        <v/>
      </c>
      <c r="AL98" s="84" t="str">
        <f>IF(ISERROR(VLOOKUP(AB98,#REF!,10,0)),"",(VLOOKUP(AB98,#REF!,10,0)))</f>
        <v/>
      </c>
      <c r="AM98" s="84" t="str">
        <f>IF(ISERROR(VLOOKUP(AB98,#REF!,11,0)),"",(VLOOKUP(AB98,#REF!,11,0)))</f>
        <v/>
      </c>
      <c r="AN98" s="84" t="str">
        <f>IF(ISERROR(VLOOKUP(AB98,#REF!,12,0)),"",(VLOOKUP(AB98,#REF!,12,0)))</f>
        <v/>
      </c>
      <c r="AO98" s="84" t="str">
        <f>IF(ISERROR(VLOOKUP(AB98,#REF!,13,0)),"",(VLOOKUP(AB98,#REF!,13,0)))</f>
        <v/>
      </c>
    </row>
    <row r="99" spans="1:41" ht="18">
      <c r="A99" s="168" t="s">
        <v>444</v>
      </c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33"/>
      <c r="N99" s="33"/>
      <c r="O99" s="77"/>
      <c r="P99" s="77"/>
      <c r="Q99" s="78"/>
      <c r="Z99" s="1378"/>
      <c r="AA99" s="1379"/>
      <c r="AB99" s="112" t="s">
        <v>447</v>
      </c>
      <c r="AC99" s="112" t="e">
        <f>AB98</f>
        <v>#REF!</v>
      </c>
      <c r="AD99" s="85" t="str">
        <f>IF(ISERROR(VLOOKUP(AD98,#REF!,19,0)),"",(VLOOKUP(AD98,#REF!,19,0)))</f>
        <v/>
      </c>
      <c r="AE99" s="85" t="str">
        <f>IF(ISERROR(VLOOKUP(AE98,#REF!,19,0)),"",(VLOOKUP(AE98,#REF!,19,0)))</f>
        <v/>
      </c>
      <c r="AF99" s="85" t="str">
        <f>IF(ISERROR(VLOOKUP(AF98,#REF!,19,0)),"",(VLOOKUP(AF98,#REF!,19,0)))</f>
        <v/>
      </c>
      <c r="AG99" s="85" t="str">
        <f>IF(ISERROR(VLOOKUP(AG98,#REF!,19,0)),"",(VLOOKUP(AG98,#REF!,19,0)))</f>
        <v/>
      </c>
      <c r="AH99" s="85" t="str">
        <f>IF(ISERROR(VLOOKUP(AH98,#REF!,19,0)),"",(VLOOKUP(AH98,#REF!,19,0)))</f>
        <v/>
      </c>
      <c r="AI99" s="85" t="str">
        <f>IF(ISERROR(VLOOKUP(AI98,#REF!,19,0)),"",(VLOOKUP(AI98,#REF!,19,0)))</f>
        <v/>
      </c>
      <c r="AJ99" s="85" t="str">
        <f>IF(ISERROR(VLOOKUP(AJ98,#REF!,19,0)),"",(VLOOKUP(AJ98,#REF!,19,0)))</f>
        <v/>
      </c>
      <c r="AK99" s="85" t="str">
        <f>IF(ISERROR(VLOOKUP(AK98,#REF!,19,0)),"",(VLOOKUP(AK98,#REF!,19,0)))</f>
        <v/>
      </c>
      <c r="AL99" s="85" t="str">
        <f>IF(ISERROR(VLOOKUP(AL98,#REF!,19,0)),"",(VLOOKUP(AL98,#REF!,19,0)))</f>
        <v/>
      </c>
      <c r="AM99" s="85" t="str">
        <f>IF(ISERROR(VLOOKUP(AM98,#REF!,19,0)),"",(VLOOKUP(AM98,#REF!,19,0)))</f>
        <v/>
      </c>
      <c r="AN99" s="85" t="str">
        <f>IF(ISERROR(VLOOKUP(AN98,#REF!,19,0)),"",(VLOOKUP(AN98,#REF!,19,0)))</f>
        <v/>
      </c>
      <c r="AO99" s="85" t="str">
        <f>IF(ISERROR(VLOOKUP(AO98,#REF!,19,0)),"",(VLOOKUP(AO98,#REF!,19,0)))</f>
        <v/>
      </c>
    </row>
    <row r="100" spans="1:41" ht="18.75" thickBot="1">
      <c r="A100" s="250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33"/>
      <c r="N100" s="33"/>
      <c r="O100" s="77"/>
      <c r="P100" s="77"/>
      <c r="Q100" s="78"/>
      <c r="Z100" s="1378" t="s">
        <v>480</v>
      </c>
      <c r="AA100" s="1393">
        <v>49</v>
      </c>
      <c r="AB100" s="105" t="e">
        <f>CONCATENATE(#REF!)</f>
        <v>#REF!</v>
      </c>
      <c r="AC100" s="105"/>
      <c r="AD100" s="84" t="str">
        <f>IF(ISERROR(VLOOKUP(AB100,#REF!,2,0)),"",(VLOOKUP(AB100,#REF!,2,0)))</f>
        <v/>
      </c>
      <c r="AE100" s="84" t="str">
        <f>IF(ISERROR(VLOOKUP(AB100,#REF!,3,0)),"",(VLOOKUP(AB100,#REF!,3,0)))</f>
        <v/>
      </c>
      <c r="AF100" s="84" t="str">
        <f>IF(ISERROR(VLOOKUP(AB100,#REF!,4,0)),"",(VLOOKUP(AB100,#REF!,4,0)))</f>
        <v/>
      </c>
      <c r="AG100" s="84" t="str">
        <f>IF(ISERROR(VLOOKUP(AB100,#REF!,5,0)),"",(VLOOKUP(AB100,#REF!,5,0)))</f>
        <v/>
      </c>
      <c r="AH100" s="84" t="str">
        <f>CONCATENATE(IF(ISERROR(VLOOKUP(AB100,#REF!,6,0)),"",(VLOOKUP(AB100,#REF!,6,0))))</f>
        <v/>
      </c>
      <c r="AI100" s="84" t="str">
        <f>IF(ISERROR(VLOOKUP(AB100,#REF!,7,0)),"",(VLOOKUP(AB100,#REF!,7,0)))</f>
        <v/>
      </c>
      <c r="AJ100" s="84" t="str">
        <f>IF(ISERROR(VLOOKUP(AB100,#REF!,8,0)),"",(VLOOKUP(AB100,#REF!,8,0)))</f>
        <v/>
      </c>
      <c r="AK100" s="84" t="str">
        <f>IF(ISERROR(VLOOKUP(AB100,#REF!,9,0)),"",(VLOOKUP(AB100,#REF!,9,0)))</f>
        <v/>
      </c>
      <c r="AL100" s="84" t="str">
        <f>IF(ISERROR(VLOOKUP(AB100,#REF!,10,0)),"",(VLOOKUP(AB100,#REF!,10,0)))</f>
        <v/>
      </c>
      <c r="AM100" s="84" t="str">
        <f>IF(ISERROR(VLOOKUP(AB100,#REF!,11,0)),"",(VLOOKUP(AB100,#REF!,11,0)))</f>
        <v/>
      </c>
      <c r="AN100" s="84" t="str">
        <f>IF(ISERROR(VLOOKUP(AB100,#REF!,12,0)),"",(VLOOKUP(AB100,#REF!,12,0)))</f>
        <v/>
      </c>
      <c r="AO100" s="84" t="str">
        <f>IF(ISERROR(VLOOKUP(AB100,#REF!,13,0)),"",(VLOOKUP(AB100,#REF!,13,0)))</f>
        <v/>
      </c>
    </row>
    <row r="101" spans="1:41" ht="24" thickBot="1">
      <c r="A101" s="250"/>
      <c r="B101" s="250"/>
      <c r="C101" s="1333" t="s">
        <v>446</v>
      </c>
      <c r="D101" s="1334"/>
      <c r="E101" s="1334"/>
      <c r="F101" s="1334"/>
      <c r="G101" s="1334"/>
      <c r="H101" s="1334"/>
      <c r="I101" s="1334"/>
      <c r="J101" s="1334"/>
      <c r="K101" s="1334"/>
      <c r="L101" s="1335"/>
      <c r="M101" s="33"/>
      <c r="N101" s="33"/>
      <c r="O101" s="77"/>
      <c r="P101" s="77"/>
      <c r="Q101" s="78"/>
      <c r="Z101" s="1378"/>
      <c r="AA101" s="1393"/>
      <c r="AB101" s="105" t="s">
        <v>447</v>
      </c>
      <c r="AC101" s="105" t="e">
        <f>AB100</f>
        <v>#REF!</v>
      </c>
      <c r="AD101" s="85" t="str">
        <f>IF(ISERROR(VLOOKUP(AD100,#REF!,2,0)),"",(VLOOKUP(AD100,#REF!,2,0)))</f>
        <v/>
      </c>
      <c r="AE101" s="85" t="str">
        <f>IF(ISERROR(VLOOKUP(AE100,#REF!,2,0)),"",(VLOOKUP(AE100,#REF!,2,0)))</f>
        <v/>
      </c>
      <c r="AF101" s="85" t="str">
        <f>IF(ISERROR(VLOOKUP(AF100,#REF!,2,0)),"",(VLOOKUP(AF100,#REF!,2,0)))</f>
        <v/>
      </c>
      <c r="AG101" s="85" t="str">
        <f>IF(ISERROR(VLOOKUP(AG100,#REF!,2,0)),"",(VLOOKUP(AG100,#REF!,2,0)))</f>
        <v/>
      </c>
      <c r="AH101" s="85" t="str">
        <f>IF(ISERROR(VLOOKUP(AH100,#REF!,2,0)),"",(VLOOKUP(AH100,#REF!,2,0)))</f>
        <v/>
      </c>
      <c r="AI101" s="85" t="str">
        <f>IF(ISERROR(VLOOKUP(AI100,#REF!,2,0)),"",(VLOOKUP(AI100,#REF!,2,0)))</f>
        <v/>
      </c>
      <c r="AJ101" s="85" t="str">
        <f>IF(ISERROR(VLOOKUP(AJ100,#REF!,2,0)),"",(VLOOKUP(AJ100,#REF!,2,0)))</f>
        <v/>
      </c>
      <c r="AK101" s="85" t="str">
        <f>IF(ISERROR(VLOOKUP(AK100,#REF!,19,0)),"",(VLOOKUP(AK100,#REF!,19,0)))</f>
        <v/>
      </c>
      <c r="AL101" s="85" t="str">
        <f>IF(ISERROR(VLOOKUP(AL100,#REF!,19,0)),"",(VLOOKUP(AL100,#REF!,19,0)))</f>
        <v/>
      </c>
      <c r="AM101" s="85" t="str">
        <f>IF(ISERROR(VLOOKUP(AM100,#REF!,19,0)),"",(VLOOKUP(AM100,#REF!,19,0)))</f>
        <v/>
      </c>
      <c r="AN101" s="85" t="str">
        <f>IF(ISERROR(VLOOKUP(AN100,#REF!,19,0)),"",(VLOOKUP(AN100,#REF!,19,0)))</f>
        <v/>
      </c>
      <c r="AO101" s="85" t="str">
        <f>IF(ISERROR(VLOOKUP(AO100,#REF!,19,0)),"",(VLOOKUP(AO100,#REF!,19,0)))</f>
        <v/>
      </c>
    </row>
    <row r="102" spans="1:41" ht="23.25">
      <c r="A102" s="250"/>
      <c r="B102" s="250"/>
      <c r="C102" s="249"/>
      <c r="D102" s="249"/>
      <c r="E102" s="249"/>
      <c r="F102" s="249"/>
      <c r="G102" s="249"/>
      <c r="H102" s="249"/>
      <c r="I102" s="249"/>
      <c r="J102" s="249"/>
      <c r="K102" s="249"/>
      <c r="L102" s="249"/>
      <c r="M102" s="33"/>
      <c r="N102" s="33"/>
      <c r="O102" s="77"/>
      <c r="P102" s="77"/>
      <c r="Q102" s="78"/>
      <c r="Z102" s="1378"/>
      <c r="AA102" s="1393">
        <v>50</v>
      </c>
      <c r="AB102" s="105" t="e">
        <f>CONCATENATE(#REF!)</f>
        <v>#REF!</v>
      </c>
      <c r="AC102" s="105"/>
      <c r="AD102" s="84" t="str">
        <f>IF(ISERROR(VLOOKUP(AB102,#REF!,2,0)),"",(VLOOKUP(AB102,#REF!,2,0)))</f>
        <v/>
      </c>
      <c r="AE102" s="84" t="str">
        <f>IF(ISERROR(VLOOKUP(AB102,#REF!,3,0)),"",(VLOOKUP(AB102,#REF!,3,0)))</f>
        <v/>
      </c>
      <c r="AF102" s="84" t="str">
        <f>IF(ISERROR(VLOOKUP(AB102,#REF!,4,0)),"",(VLOOKUP(AB102,#REF!,4,0)))</f>
        <v/>
      </c>
      <c r="AG102" s="84" t="str">
        <f>IF(ISERROR(VLOOKUP(AB102,#REF!,5,0)),"",(VLOOKUP(AB102,#REF!,5,0)))</f>
        <v/>
      </c>
      <c r="AH102" s="84" t="str">
        <f>CONCATENATE(IF(ISERROR(VLOOKUP(AB102,#REF!,6,0)),"",(VLOOKUP(AB102,#REF!,6,0))))</f>
        <v/>
      </c>
      <c r="AI102" s="84" t="str">
        <f>IF(ISERROR(VLOOKUP(AB102,#REF!,7,0)),"",(VLOOKUP(AB102,#REF!,7,0)))</f>
        <v/>
      </c>
      <c r="AJ102" s="84" t="str">
        <f>IF(ISERROR(VLOOKUP(AB102,#REF!,8,0)),"",(VLOOKUP(AB102,#REF!,8,0)))</f>
        <v/>
      </c>
      <c r="AK102" s="84" t="str">
        <f>IF(ISERROR(VLOOKUP(AB102,#REF!,9,0)),"",(VLOOKUP(AB102,#REF!,9,0)))</f>
        <v/>
      </c>
      <c r="AL102" s="84" t="str">
        <f>IF(ISERROR(VLOOKUP(AB102,#REF!,10,0)),"",(VLOOKUP(AB102,#REF!,10,0)))</f>
        <v/>
      </c>
      <c r="AM102" s="84" t="str">
        <f>IF(ISERROR(VLOOKUP(AB102,#REF!,11,0)),"",(VLOOKUP(AB102,#REF!,11,0)))</f>
        <v/>
      </c>
      <c r="AN102" s="84" t="str">
        <f>IF(ISERROR(VLOOKUP(AB102,#REF!,12,0)),"",(VLOOKUP(AB102,#REF!,12,0)))</f>
        <v/>
      </c>
      <c r="AO102" s="84" t="str">
        <f>IF(ISERROR(VLOOKUP(AB102,#REF!,13,0)),"",(VLOOKUP(AB102,#REF!,13,0)))</f>
        <v/>
      </c>
    </row>
    <row r="103" spans="1:41" ht="23.25">
      <c r="A103" s="1295" t="s">
        <v>448</v>
      </c>
      <c r="B103" s="1295"/>
      <c r="C103" s="1295"/>
      <c r="D103" s="1294" t="s">
        <v>1241</v>
      </c>
      <c r="E103" s="1294"/>
      <c r="F103" s="1294"/>
      <c r="G103" s="1294"/>
      <c r="H103" s="1294"/>
      <c r="I103" s="249"/>
      <c r="J103" s="249"/>
      <c r="K103" s="249" t="s">
        <v>449</v>
      </c>
      <c r="L103" s="249"/>
      <c r="M103" s="1295" t="s">
        <v>262</v>
      </c>
      <c r="N103" s="1295"/>
      <c r="O103" s="1292" t="str">
        <f>D103</f>
        <v>مدينة فاطمة الزهرة</v>
      </c>
      <c r="P103" s="1292"/>
      <c r="Q103" s="78">
        <v>4</v>
      </c>
      <c r="Z103" s="1378"/>
      <c r="AA103" s="1393"/>
      <c r="AB103" s="105" t="s">
        <v>447</v>
      </c>
      <c r="AC103" s="105" t="e">
        <f>AB102</f>
        <v>#REF!</v>
      </c>
      <c r="AD103" s="85" t="str">
        <f>IF(ISERROR(VLOOKUP(AD102,#REF!,2,0)),"",(VLOOKUP(AD102,#REF!,2,0)))</f>
        <v/>
      </c>
      <c r="AE103" s="85" t="str">
        <f>IF(ISERROR(VLOOKUP(AE102,#REF!,2,0)),"",(VLOOKUP(AE102,#REF!,2,0)))</f>
        <v/>
      </c>
      <c r="AF103" s="85" t="str">
        <f>IF(ISERROR(VLOOKUP(AF102,#REF!,2,0)),"",(VLOOKUP(AF102,#REF!,2,0)))</f>
        <v/>
      </c>
      <c r="AG103" s="85" t="str">
        <f>IF(ISERROR(VLOOKUP(AG102,#REF!,2,0)),"",(VLOOKUP(AG102,#REF!,2,0)))</f>
        <v/>
      </c>
      <c r="AH103" s="85" t="str">
        <f>IF(ISERROR(VLOOKUP(AH102,#REF!,2,0)),"",(VLOOKUP(AH102,#REF!,2,0)))</f>
        <v/>
      </c>
      <c r="AI103" s="85" t="str">
        <f>IF(ISERROR(VLOOKUP(AI102,#REF!,2,0)),"",(VLOOKUP(AI102,#REF!,2,0)))</f>
        <v/>
      </c>
      <c r="AJ103" s="85" t="str">
        <f>IF(ISERROR(VLOOKUP(AJ102,#REF!,2,0)),"",(VLOOKUP(AJ102,#REF!,2,0)))</f>
        <v/>
      </c>
      <c r="AK103" s="85" t="str">
        <f>IF(ISERROR(VLOOKUP(AK102,#REF!,19,0)),"",(VLOOKUP(AK102,#REF!,19,0)))</f>
        <v/>
      </c>
      <c r="AL103" s="85" t="str">
        <f>IF(ISERROR(VLOOKUP(AL102,#REF!,19,0)),"",(VLOOKUP(AL102,#REF!,19,0)))</f>
        <v/>
      </c>
      <c r="AM103" s="85" t="str">
        <f>IF(ISERROR(VLOOKUP(AM102,#REF!,19,0)),"",(VLOOKUP(AM102,#REF!,19,0)))</f>
        <v/>
      </c>
      <c r="AN103" s="85" t="str">
        <f>IF(ISERROR(VLOOKUP(AN102,#REF!,19,0)),"",(VLOOKUP(AN102,#REF!,19,0)))</f>
        <v/>
      </c>
      <c r="AO103" s="85" t="str">
        <f>IF(ISERROR(VLOOKUP(AO102,#REF!,19,0)),"",(VLOOKUP(AO102,#REF!,19,0)))</f>
        <v/>
      </c>
    </row>
    <row r="104" spans="1:41" ht="24" thickBot="1">
      <c r="A104" s="1340" t="s">
        <v>450</v>
      </c>
      <c r="B104" s="1340"/>
      <c r="C104" s="1340"/>
      <c r="D104" s="1340">
        <v>0</v>
      </c>
      <c r="E104" s="1340"/>
      <c r="F104" s="1340"/>
      <c r="G104" s="1340"/>
      <c r="H104" s="87"/>
      <c r="I104" s="1340" t="s">
        <v>452</v>
      </c>
      <c r="J104" s="1340"/>
      <c r="K104" s="1340"/>
      <c r="L104" s="1341"/>
      <c r="M104" s="1341"/>
      <c r="N104" s="1341"/>
      <c r="O104" s="1292"/>
      <c r="P104" s="1292"/>
      <c r="Q104" s="78"/>
      <c r="Z104" s="1388" t="s">
        <v>425</v>
      </c>
      <c r="AA104" s="1390">
        <v>51</v>
      </c>
      <c r="AB104" s="113" t="e">
        <f>CONCATENATE(#REF!)</f>
        <v>#REF!</v>
      </c>
      <c r="AC104" s="113"/>
      <c r="AD104" s="84" t="str">
        <f>IF(ISERROR(VLOOKUP(AB104,#REF!,2,0)),"",(VLOOKUP(AB104,#REF!,2,0)))</f>
        <v/>
      </c>
      <c r="AE104" s="84" t="str">
        <f>IF(ISERROR(VLOOKUP(AB104,#REF!,3,0)),"",(VLOOKUP(AB104,#REF!,3,0)))</f>
        <v/>
      </c>
      <c r="AF104" s="84" t="str">
        <f>IF(ISERROR(VLOOKUP(AB104,#REF!,4,0)),"",(VLOOKUP(AB104,#REF!,4,0)))</f>
        <v/>
      </c>
      <c r="AG104" s="84" t="str">
        <f>IF(ISERROR(VLOOKUP(AB104,#REF!,5,0)),"",(VLOOKUP(AB104,#REF!,5,0)))</f>
        <v/>
      </c>
      <c r="AH104" s="84" t="str">
        <f>CONCATENATE(IF(ISERROR(VLOOKUP(AB104,#REF!,6,0)),"",(VLOOKUP(AB104,#REF!,6,0))))</f>
        <v/>
      </c>
      <c r="AI104" s="84" t="str">
        <f>IF(ISERROR(VLOOKUP(AB104,#REF!,7,0)),"",(VLOOKUP(AB104,#REF!,7,0)))</f>
        <v/>
      </c>
      <c r="AJ104" s="84" t="str">
        <f>IF(ISERROR(VLOOKUP(AB104,#REF!,8,0)),"",(VLOOKUP(AB104,#REF!,8,0)))</f>
        <v/>
      </c>
      <c r="AK104" s="84" t="str">
        <f>IF(ISERROR(VLOOKUP(AB104,#REF!,9,0)),"",(VLOOKUP(AB104,#REF!,9,0)))</f>
        <v/>
      </c>
      <c r="AL104" s="84" t="str">
        <f>IF(ISERROR(VLOOKUP(AB104,#REF!,10,0)),"",(VLOOKUP(AB104,#REF!,10,0)))</f>
        <v/>
      </c>
      <c r="AM104" s="84" t="str">
        <f>IF(ISERROR(VLOOKUP(AB104,#REF!,11,0)),"",(VLOOKUP(AB104,#REF!,11,0)))</f>
        <v/>
      </c>
      <c r="AN104" s="84" t="str">
        <f>IF(ISERROR(VLOOKUP(AB104,#REF!,12,0)),"",(VLOOKUP(AB104,#REF!,12,0)))</f>
        <v/>
      </c>
      <c r="AO104" s="84" t="str">
        <f>IF(ISERROR(VLOOKUP(AB104,#REF!,13,0)),"",(VLOOKUP(AB104,#REF!,13,0)))</f>
        <v/>
      </c>
    </row>
    <row r="105" spans="1:41" ht="17.25" thickTop="1" thickBot="1">
      <c r="A105" s="1318" t="s">
        <v>453</v>
      </c>
      <c r="B105" s="1319"/>
      <c r="C105" s="88" t="s">
        <v>807</v>
      </c>
      <c r="D105" s="89" t="s">
        <v>265</v>
      </c>
      <c r="E105" s="89" t="s">
        <v>10</v>
      </c>
      <c r="F105" s="89" t="s">
        <v>35</v>
      </c>
      <c r="G105" s="89" t="s">
        <v>380</v>
      </c>
      <c r="H105" s="89" t="s">
        <v>380</v>
      </c>
      <c r="I105" s="89" t="s">
        <v>380</v>
      </c>
      <c r="J105" s="89" t="s">
        <v>380</v>
      </c>
      <c r="K105" s="89" t="s">
        <v>380</v>
      </c>
      <c r="L105" s="89" t="s">
        <v>380</v>
      </c>
      <c r="M105" s="89" t="s">
        <v>380</v>
      </c>
      <c r="N105" s="90" t="s">
        <v>380</v>
      </c>
      <c r="O105" s="77"/>
      <c r="P105" s="77"/>
      <c r="Q105" s="78"/>
      <c r="Z105" s="1389"/>
      <c r="AA105" s="1391"/>
      <c r="AB105" s="113" t="s">
        <v>447</v>
      </c>
      <c r="AC105" s="113" t="e">
        <f>AB104</f>
        <v>#REF!</v>
      </c>
      <c r="AD105" s="85" t="str">
        <f>IF(ISERROR(VLOOKUP(AD104,#REF!,33,0)),"",(VLOOKUP(AD104,#REF!,33,0)))</f>
        <v/>
      </c>
      <c r="AE105" s="85" t="str">
        <f>IF(ISERROR(VLOOKUP(AE104,#REF!,33,0)),"",(VLOOKUP(AE104,#REF!,33,0)))</f>
        <v/>
      </c>
      <c r="AF105" s="85" t="str">
        <f>IF(ISERROR(VLOOKUP(AF104,#REF!,33,0)),"",(VLOOKUP(AF104,#REF!,33,0)))</f>
        <v/>
      </c>
      <c r="AG105" s="85" t="str">
        <f>IF(ISERROR(VLOOKUP(AG104,#REF!,33,0)),"",(VLOOKUP(AG104,#REF!,33,0)))</f>
        <v/>
      </c>
      <c r="AH105" s="85" t="str">
        <f>IF(ISERROR(VLOOKUP(AH104,#REF!,33,0)),"",(VLOOKUP(AH104,#REF!,33,0)))</f>
        <v/>
      </c>
      <c r="AI105" s="85" t="str">
        <f>IF(ISERROR(VLOOKUP(AI104,#REF!,33,0)),"",(VLOOKUP(AI104,#REF!,33,0)))</f>
        <v/>
      </c>
      <c r="AJ105" s="85" t="str">
        <f>IF(ISERROR(VLOOKUP(AJ104,#REF!,33,0)),"",(VLOOKUP(AJ104,#REF!,33,0)))</f>
        <v/>
      </c>
      <c r="AK105" s="85" t="str">
        <f>IF(ISERROR(VLOOKUP(AK104,#REF!,33,0)),"",(VLOOKUP(AK104,#REF!,33,0)))</f>
        <v/>
      </c>
      <c r="AL105" s="85" t="str">
        <f>IF(ISERROR(VLOOKUP(AL104,#REF!,33,0)),"",(VLOOKUP(AL104,#REF!,33,0)))</f>
        <v/>
      </c>
      <c r="AM105" s="85" t="str">
        <f>IF(ISERROR(VLOOKUP(AM104,#REF!,33,0)),"",(VLOOKUP(AM104,#REF!,33,0)))</f>
        <v/>
      </c>
      <c r="AN105" s="85" t="str">
        <f>IF(ISERROR(VLOOKUP(AN104,#REF!,33,0)),"",(VLOOKUP(AN104,#REF!,33,0)))</f>
        <v/>
      </c>
      <c r="AO105" s="85" t="str">
        <f>IF(ISERROR(VLOOKUP(AO104,#REF!,33,0)),"",(VLOOKUP(AO104,#REF!,33,0)))</f>
        <v/>
      </c>
    </row>
    <row r="106" spans="1:41" ht="17.25" thickTop="1" thickBot="1">
      <c r="A106" s="1329" t="s">
        <v>454</v>
      </c>
      <c r="B106" s="1330"/>
      <c r="C106" s="91">
        <v>4</v>
      </c>
      <c r="D106" s="210">
        <v>2</v>
      </c>
      <c r="E106" s="210">
        <v>6</v>
      </c>
      <c r="F106" s="210">
        <v>3</v>
      </c>
      <c r="G106" s="210" t="s">
        <v>380</v>
      </c>
      <c r="H106" s="210" t="s">
        <v>380</v>
      </c>
      <c r="I106" s="210" t="s">
        <v>380</v>
      </c>
      <c r="J106" s="210" t="s">
        <v>380</v>
      </c>
      <c r="K106" s="210" t="s">
        <v>380</v>
      </c>
      <c r="L106" s="210" t="s">
        <v>380</v>
      </c>
      <c r="M106" s="210" t="s">
        <v>380</v>
      </c>
      <c r="N106" s="92" t="s">
        <v>380</v>
      </c>
      <c r="Z106" s="1389"/>
      <c r="AA106" s="1392">
        <v>52</v>
      </c>
      <c r="AB106" s="113" t="e">
        <f>CONCATENATE(#REF!)</f>
        <v>#REF!</v>
      </c>
      <c r="AC106" s="113"/>
      <c r="AD106" s="84" t="str">
        <f>IF(ISERROR(VLOOKUP(AB106,#REF!,2,0)),"",(VLOOKUP(AB106,#REF!,2,0)))</f>
        <v/>
      </c>
      <c r="AE106" s="84" t="str">
        <f>IF(ISERROR(VLOOKUP(AB106,#REF!,3,0)),"",(VLOOKUP(AB106,#REF!,3,0)))</f>
        <v/>
      </c>
      <c r="AF106" s="84" t="str">
        <f>IF(ISERROR(VLOOKUP(AB106,#REF!,4,0)),"",(VLOOKUP(AB106,#REF!,4,0)))</f>
        <v/>
      </c>
      <c r="AG106" s="84" t="str">
        <f>IF(ISERROR(VLOOKUP(AB106,#REF!,5,0)),"",(VLOOKUP(AB106,#REF!,5,0)))</f>
        <v/>
      </c>
      <c r="AH106" s="84" t="str">
        <f>CONCATENATE(IF(ISERROR(VLOOKUP(AB106,#REF!,6,0)),"",(VLOOKUP(AB106,#REF!,6,0))))</f>
        <v/>
      </c>
      <c r="AI106" s="84" t="str">
        <f>IF(ISERROR(VLOOKUP(AB106,#REF!,7,0)),"",(VLOOKUP(AB106,#REF!,7,0)))</f>
        <v/>
      </c>
      <c r="AJ106" s="84" t="str">
        <f>IF(ISERROR(VLOOKUP(AB106,#REF!,8,0)),"",(VLOOKUP(AB106,#REF!,8,0)))</f>
        <v/>
      </c>
      <c r="AK106" s="84" t="str">
        <f>IF(ISERROR(VLOOKUP(AB106,#REF!,9,0)),"",(VLOOKUP(AB106,#REF!,9,0)))</f>
        <v/>
      </c>
      <c r="AL106" s="84" t="str">
        <f>IF(ISERROR(VLOOKUP(AB106,#REF!,10,0)),"",(VLOOKUP(AB106,#REF!,10,0)))</f>
        <v/>
      </c>
      <c r="AM106" s="84" t="str">
        <f>IF(ISERROR(VLOOKUP(AB106,#REF!,11,0)),"",(VLOOKUP(AB106,#REF!,11,0)))</f>
        <v/>
      </c>
      <c r="AN106" s="84" t="str">
        <f>IF(ISERROR(VLOOKUP(AB106,#REF!,12,0)),"",(VLOOKUP(AB106,#REF!,12,0)))</f>
        <v/>
      </c>
      <c r="AO106" s="84" t="str">
        <f>IF(ISERROR(VLOOKUP(AB106,#REF!,13,0)),"",(VLOOKUP(AB106,#REF!,13,0)))</f>
        <v/>
      </c>
    </row>
    <row r="107" spans="1:41" ht="24" thickBot="1">
      <c r="A107" s="1329" t="s">
        <v>455</v>
      </c>
      <c r="B107" s="1330"/>
      <c r="C107" s="91"/>
      <c r="D107" s="210"/>
      <c r="E107" s="210"/>
      <c r="F107" s="210"/>
      <c r="G107" s="210" t="s">
        <v>380</v>
      </c>
      <c r="H107" s="210" t="s">
        <v>380</v>
      </c>
      <c r="I107" s="210" t="s">
        <v>380</v>
      </c>
      <c r="J107" s="210" t="s">
        <v>380</v>
      </c>
      <c r="K107" s="210" t="s">
        <v>380</v>
      </c>
      <c r="L107" s="210" t="s">
        <v>380</v>
      </c>
      <c r="M107" s="210" t="s">
        <v>380</v>
      </c>
      <c r="N107" s="92" t="s">
        <v>380</v>
      </c>
      <c r="O107" s="152"/>
      <c r="Z107" s="1389"/>
      <c r="AA107" s="1391"/>
      <c r="AB107" s="113" t="s">
        <v>447</v>
      </c>
      <c r="AC107" s="113" t="e">
        <f>AB106</f>
        <v>#REF!</v>
      </c>
      <c r="AD107" s="85" t="str">
        <f>IF(ISERROR(VLOOKUP(AD106,#REF!,33,0)),"",(VLOOKUP(AD106,#REF!,33,0)))</f>
        <v/>
      </c>
      <c r="AE107" s="85" t="str">
        <f>IF(ISERROR(VLOOKUP(AE106,#REF!,33,0)),"",(VLOOKUP(AE106,#REF!,33,0)))</f>
        <v/>
      </c>
      <c r="AF107" s="85" t="str">
        <f>IF(ISERROR(VLOOKUP(AF106,#REF!,33,0)),"",(VLOOKUP(AF106,#REF!,33,0)))</f>
        <v/>
      </c>
      <c r="AG107" s="85" t="str">
        <f>IF(ISERROR(VLOOKUP(AG106,#REF!,33,0)),"",(VLOOKUP(AG106,#REF!,33,0)))</f>
        <v/>
      </c>
      <c r="AH107" s="85" t="str">
        <f>IF(ISERROR(VLOOKUP(AH106,#REF!,33,0)),"",(VLOOKUP(AH106,#REF!,33,0)))</f>
        <v/>
      </c>
      <c r="AI107" s="85" t="str">
        <f>IF(ISERROR(VLOOKUP(AI106,#REF!,33,0)),"",(VLOOKUP(AI106,#REF!,33,0)))</f>
        <v/>
      </c>
      <c r="AJ107" s="85" t="str">
        <f>IF(ISERROR(VLOOKUP(AJ106,#REF!,33,0)),"",(VLOOKUP(AJ106,#REF!,33,0)))</f>
        <v/>
      </c>
      <c r="AK107" s="85" t="str">
        <f>IF(ISERROR(VLOOKUP(AK106,#REF!,33,0)),"",(VLOOKUP(AK106,#REF!,33,0)))</f>
        <v/>
      </c>
      <c r="AL107" s="85" t="str">
        <f>IF(ISERROR(VLOOKUP(AL106,#REF!,33,0)),"",(VLOOKUP(AL106,#REF!,33,0)))</f>
        <v/>
      </c>
      <c r="AM107" s="85" t="str">
        <f>IF(ISERROR(VLOOKUP(AM106,#REF!,33,0)),"",(VLOOKUP(AM106,#REF!,33,0)))</f>
        <v/>
      </c>
      <c r="AN107" s="85" t="str">
        <f>IF(ISERROR(VLOOKUP(AN106,#REF!,33,0)),"",(VLOOKUP(AN106,#REF!,33,0)))</f>
        <v/>
      </c>
      <c r="AO107" s="85" t="str">
        <f>IF(ISERROR(VLOOKUP(AO106,#REF!,33,0)),"",(VLOOKUP(AO106,#REF!,33,0)))</f>
        <v/>
      </c>
    </row>
    <row r="108" spans="1:41" ht="24" thickBot="1">
      <c r="A108" s="1327" t="s">
        <v>456</v>
      </c>
      <c r="B108" s="1328"/>
      <c r="C108" s="93"/>
      <c r="D108" s="94"/>
      <c r="E108" s="94"/>
      <c r="F108" s="94"/>
      <c r="G108" s="94" t="s">
        <v>380</v>
      </c>
      <c r="H108" s="94" t="s">
        <v>380</v>
      </c>
      <c r="I108" s="94" t="s">
        <v>380</v>
      </c>
      <c r="J108" s="94" t="s">
        <v>380</v>
      </c>
      <c r="K108" s="94" t="s">
        <v>380</v>
      </c>
      <c r="L108" s="94" t="s">
        <v>380</v>
      </c>
      <c r="M108" s="94" t="s">
        <v>380</v>
      </c>
      <c r="N108" s="95" t="s">
        <v>380</v>
      </c>
      <c r="O108" s="152"/>
      <c r="Z108" s="1378" t="s">
        <v>481</v>
      </c>
      <c r="AA108" s="1385">
        <v>53</v>
      </c>
      <c r="AB108" s="114" t="e">
        <f>CONCATENATE(#REF!)</f>
        <v>#REF!</v>
      </c>
      <c r="AC108" s="114"/>
      <c r="AD108" s="84" t="str">
        <f>IF(ISERROR(VLOOKUP(AB108,#REF!,2,0)),"",(VLOOKUP(AB108,#REF!,2,0)))</f>
        <v/>
      </c>
      <c r="AE108" s="84" t="str">
        <f>IF(ISERROR(VLOOKUP(AB108,#REF!,3,0)),"",(VLOOKUP(AB108,#REF!,3,0)))</f>
        <v/>
      </c>
      <c r="AF108" s="84" t="str">
        <f>IF(ISERROR(VLOOKUP(AB108,#REF!,4,0)),"",(VLOOKUP(AB108,#REF!,4,0)))</f>
        <v/>
      </c>
      <c r="AG108" s="84" t="str">
        <f>IF(ISERROR(VLOOKUP(AB108,#REF!,5,0)),"",(VLOOKUP(AB108,#REF!,5,0)))</f>
        <v/>
      </c>
      <c r="AH108" s="84" t="str">
        <f>CONCATENATE(IF(ISERROR(VLOOKUP(AB108,#REF!,6,0)),"",(VLOOKUP(AB108,#REF!,6,0))))</f>
        <v/>
      </c>
      <c r="AI108" s="84" t="str">
        <f>IF(ISERROR(VLOOKUP(AB108,#REF!,7,0)),"",(VLOOKUP(AB108,#REF!,7,0)))</f>
        <v/>
      </c>
      <c r="AJ108" s="84" t="str">
        <f>IF(ISERROR(VLOOKUP(AB108,#REF!,8,0)),"",(VLOOKUP(AB108,#REF!,8,0)))</f>
        <v/>
      </c>
      <c r="AK108" s="84" t="str">
        <f>IF(ISERROR(VLOOKUP(AB108,#REF!,9,0)),"",(VLOOKUP(AB108,#REF!,9,0)))</f>
        <v/>
      </c>
      <c r="AL108" s="84" t="str">
        <f>IF(ISERROR(VLOOKUP(AB108,#REF!,10,0)),"",(VLOOKUP(AB108,#REF!,10,0)))</f>
        <v/>
      </c>
      <c r="AM108" s="84" t="str">
        <f>IF(ISERROR(VLOOKUP(AB108,#REF!,11,0)),"",(VLOOKUP(AB108,#REF!,11,0)))</f>
        <v/>
      </c>
      <c r="AN108" s="84" t="str">
        <f>IF(ISERROR(VLOOKUP(AB108,#REF!,12,0)),"",(VLOOKUP(AB108,#REF!,12,0)))</f>
        <v/>
      </c>
      <c r="AO108" s="84" t="str">
        <f>IF(ISERROR(VLOOKUP(AB108,#REF!,13,0)),"",(VLOOKUP(AB108,#REF!,13,0)))</f>
        <v/>
      </c>
    </row>
    <row r="109" spans="1:41" ht="24" thickTop="1">
      <c r="A109" s="96"/>
      <c r="B109" s="96"/>
      <c r="C109" s="96"/>
      <c r="D109" s="96"/>
      <c r="E109" s="1326" t="s">
        <v>457</v>
      </c>
      <c r="F109" s="1310"/>
      <c r="G109" s="97">
        <v>18</v>
      </c>
      <c r="H109" s="1310" t="s">
        <v>458</v>
      </c>
      <c r="I109" s="1311"/>
      <c r="J109" s="1310" t="s">
        <v>459</v>
      </c>
      <c r="K109" s="1311"/>
      <c r="L109" s="96"/>
      <c r="M109" s="96"/>
      <c r="N109" s="96"/>
      <c r="O109" s="152"/>
      <c r="Z109" s="1378"/>
      <c r="AA109" s="1386"/>
      <c r="AB109" s="114" t="s">
        <v>447</v>
      </c>
      <c r="AC109" s="114" t="e">
        <f>AB108</f>
        <v>#REF!</v>
      </c>
      <c r="AD109" s="85" t="str">
        <f>IF(ISERROR(VLOOKUP(AD108,#REF!,31,0)),"",(VLOOKUP(AD108,#REF!,31,0)))</f>
        <v/>
      </c>
      <c r="AE109" s="85" t="str">
        <f>IF(ISERROR(VLOOKUP(AE108,#REF!,31,0)),"",(VLOOKUP(AE108,#REF!,31,0)))</f>
        <v/>
      </c>
      <c r="AF109" s="85" t="str">
        <f>IF(ISERROR(VLOOKUP(AF108,#REF!,31,0)),"",(VLOOKUP(AF108,#REF!,31,0)))</f>
        <v/>
      </c>
      <c r="AG109" s="85" t="str">
        <f>IF(ISERROR(VLOOKUP(AG108,#REF!,31,0)),"",(VLOOKUP(AG108,#REF!,31,0)))</f>
        <v/>
      </c>
      <c r="AH109" s="85" t="str">
        <f>IF(ISERROR(VLOOKUP(AH108,#REF!,31,0)),"",(VLOOKUP(AH108,#REF!,31,0)))</f>
        <v/>
      </c>
      <c r="AI109" s="85" t="str">
        <f>IF(ISERROR(VLOOKUP(AI108,#REF!,31,0)),"",(VLOOKUP(AI108,#REF!,31,0)))</f>
        <v/>
      </c>
      <c r="AJ109" s="85" t="str">
        <f>IF(ISERROR(VLOOKUP(AJ108,#REF!,31,0)),"",(VLOOKUP(AJ108,#REF!,31,0)))</f>
        <v/>
      </c>
      <c r="AK109" s="85" t="str">
        <f>IF(ISERROR(VLOOKUP(AK108,#REF!,31,0)),"",(VLOOKUP(AK108,#REF!,31,0)))</f>
        <v/>
      </c>
      <c r="AL109" s="85" t="str">
        <f>IF(ISERROR(VLOOKUP(AL108,#REF!,31,0)),"",(VLOOKUP(AL108,#REF!,31,0)))</f>
        <v/>
      </c>
      <c r="AM109" s="85" t="str">
        <f>IF(ISERROR(VLOOKUP(AM108,#REF!,31,0)),"",(VLOOKUP(AM108,#REF!,31,0)))</f>
        <v/>
      </c>
      <c r="AN109" s="85" t="str">
        <f>IF(ISERROR(VLOOKUP(AN108,#REF!,31,0)),"",(VLOOKUP(AN108,#REF!,31,0)))</f>
        <v/>
      </c>
      <c r="AO109" s="85" t="str">
        <f>IF(ISERROR(VLOOKUP(AO108,#REF!,31,0)),"",(VLOOKUP(AO108,#REF!,31,0)))</f>
        <v/>
      </c>
    </row>
    <row r="110" spans="1:41" ht="23.25">
      <c r="A110" s="96"/>
      <c r="B110" s="96"/>
      <c r="C110" s="96"/>
      <c r="D110" s="96"/>
      <c r="E110" s="1307" t="s">
        <v>460</v>
      </c>
      <c r="F110" s="1308"/>
      <c r="G110" s="98">
        <v>17</v>
      </c>
      <c r="H110" s="1312">
        <v>0</v>
      </c>
      <c r="I110" s="1312"/>
      <c r="J110" s="1312">
        <v>0</v>
      </c>
      <c r="K110" s="1313"/>
      <c r="L110" s="96"/>
      <c r="M110" s="96"/>
      <c r="N110" s="96"/>
      <c r="O110" s="77"/>
      <c r="P110" s="77"/>
      <c r="Q110" s="78"/>
      <c r="Z110" s="1378"/>
      <c r="AA110" s="1385">
        <v>54</v>
      </c>
      <c r="AB110" s="114" t="e">
        <f>CONCATENATE(#REF!)</f>
        <v>#REF!</v>
      </c>
      <c r="AC110" s="114"/>
      <c r="AD110" s="84" t="str">
        <f>IF(ISERROR(VLOOKUP(AB110,#REF!,2,0)),"",(VLOOKUP(AB110,#REF!,2,0)))</f>
        <v/>
      </c>
      <c r="AE110" s="84" t="str">
        <f>IF(ISERROR(VLOOKUP(AB110,#REF!,3,0)),"",(VLOOKUP(AB110,#REF!,3,0)))</f>
        <v/>
      </c>
      <c r="AF110" s="84" t="str">
        <f>IF(ISERROR(VLOOKUP(AB110,#REF!,4,0)),"",(VLOOKUP(AB110,#REF!,4,0)))</f>
        <v/>
      </c>
      <c r="AG110" s="84" t="str">
        <f>IF(ISERROR(VLOOKUP(AB110,#REF!,5,0)),"",(VLOOKUP(AB110,#REF!,5,0)))</f>
        <v/>
      </c>
      <c r="AH110" s="84" t="str">
        <f>CONCATENATE(IF(ISERROR(VLOOKUP(AB110,#REF!,6,0)),"",(VLOOKUP(AB110,#REF!,6,0))))</f>
        <v/>
      </c>
      <c r="AI110" s="84" t="str">
        <f>IF(ISERROR(VLOOKUP(AB110,#REF!,7,0)),"",(VLOOKUP(AB110,#REF!,7,0)))</f>
        <v/>
      </c>
      <c r="AJ110" s="84" t="str">
        <f>IF(ISERROR(VLOOKUP(AB110,#REF!,8,0)),"",(VLOOKUP(AB110,#REF!,8,0)))</f>
        <v/>
      </c>
      <c r="AK110" s="84" t="str">
        <f>IF(ISERROR(VLOOKUP(AB110,#REF!,9,0)),"",(VLOOKUP(AB110,#REF!,9,0)))</f>
        <v/>
      </c>
      <c r="AL110" s="84" t="str">
        <f>IF(ISERROR(VLOOKUP(AB110,#REF!,10,0)),"",(VLOOKUP(AB110,#REF!,10,0)))</f>
        <v/>
      </c>
      <c r="AM110" s="84" t="str">
        <f>IF(ISERROR(VLOOKUP(AB110,#REF!,11,0)),"",(VLOOKUP(AB110,#REF!,11,0)))</f>
        <v/>
      </c>
      <c r="AN110" s="84" t="str">
        <f>IF(ISERROR(VLOOKUP(AB110,#REF!,12,0)),"",(VLOOKUP(AB110,#REF!,12,0)))</f>
        <v/>
      </c>
      <c r="AO110" s="84" t="str">
        <f>IF(ISERROR(VLOOKUP(AB110,#REF!,13,0)),"",(VLOOKUP(AB110,#REF!,13,0)))</f>
        <v/>
      </c>
    </row>
    <row r="111" spans="1:41" ht="20.25">
      <c r="A111" s="96"/>
      <c r="B111" s="96"/>
      <c r="C111" s="96"/>
      <c r="D111" s="96"/>
      <c r="E111" s="1307" t="s">
        <v>461</v>
      </c>
      <c r="F111" s="1308"/>
      <c r="G111" s="99"/>
      <c r="H111" s="1308" t="s">
        <v>462</v>
      </c>
      <c r="I111" s="1308"/>
      <c r="J111" s="1308" t="s">
        <v>463</v>
      </c>
      <c r="K111" s="1309"/>
      <c r="L111" s="96"/>
      <c r="M111" s="96"/>
      <c r="N111" s="96"/>
      <c r="O111" s="77"/>
      <c r="P111" s="77"/>
      <c r="Q111" s="78">
        <f>G110+H110+H112+J110</f>
        <v>17</v>
      </c>
      <c r="Z111" s="1378"/>
      <c r="AA111" s="1386"/>
      <c r="AB111" s="114" t="s">
        <v>447</v>
      </c>
      <c r="AC111" s="114" t="e">
        <f>AB110</f>
        <v>#REF!</v>
      </c>
      <c r="AD111" s="85" t="str">
        <f>IF(ISERROR(VLOOKUP(AD110,#REF!,31,0)),"",(VLOOKUP(AD110,#REF!,31,0)))</f>
        <v/>
      </c>
      <c r="AE111" s="85" t="str">
        <f>IF(ISERROR(VLOOKUP(AE110,#REF!,31,0)),"",(VLOOKUP(AE110,#REF!,31,0)))</f>
        <v/>
      </c>
      <c r="AF111" s="85" t="str">
        <f>IF(ISERROR(VLOOKUP(AF110,#REF!,31,0)),"",(VLOOKUP(AF110,#REF!,31,0)))</f>
        <v/>
      </c>
      <c r="AG111" s="85" t="str">
        <f>IF(ISERROR(VLOOKUP(AG110,#REF!,31,0)),"",(VLOOKUP(AG110,#REF!,31,0)))</f>
        <v/>
      </c>
      <c r="AH111" s="85" t="str">
        <f>IF(ISERROR(VLOOKUP(AH110,#REF!,31,0)),"",(VLOOKUP(AH110,#REF!,31,0)))</f>
        <v/>
      </c>
      <c r="AI111" s="85" t="str">
        <f>IF(ISERROR(VLOOKUP(AI110,#REF!,31,0)),"",(VLOOKUP(AI110,#REF!,31,0)))</f>
        <v/>
      </c>
      <c r="AJ111" s="85" t="str">
        <f>IF(ISERROR(VLOOKUP(AJ110,#REF!,31,0)),"",(VLOOKUP(AJ110,#REF!,31,0)))</f>
        <v/>
      </c>
      <c r="AK111" s="85" t="str">
        <f>IF(ISERROR(VLOOKUP(AK110,#REF!,31,0)),"",(VLOOKUP(AK110,#REF!,31,0)))</f>
        <v/>
      </c>
      <c r="AL111" s="85" t="str">
        <f>IF(ISERROR(VLOOKUP(AL110,#REF!,31,0)),"",(VLOOKUP(AL110,#REF!,31,0)))</f>
        <v/>
      </c>
      <c r="AM111" s="85" t="str">
        <f>IF(ISERROR(VLOOKUP(AM110,#REF!,31,0)),"",(VLOOKUP(AM110,#REF!,31,0)))</f>
        <v/>
      </c>
      <c r="AN111" s="85" t="str">
        <f>IF(ISERROR(VLOOKUP(AN110,#REF!,31,0)),"",(VLOOKUP(AN110,#REF!,31,0)))</f>
        <v/>
      </c>
      <c r="AO111" s="85" t="str">
        <f>IF(ISERROR(VLOOKUP(AO110,#REF!,31,0)),"",(VLOOKUP(AO110,#REF!,31,0)))</f>
        <v/>
      </c>
    </row>
    <row r="112" spans="1:41" ht="24" thickBot="1">
      <c r="A112" s="96"/>
      <c r="B112" s="96"/>
      <c r="C112" s="96"/>
      <c r="D112" s="96"/>
      <c r="E112" s="1303" t="s">
        <v>464</v>
      </c>
      <c r="F112" s="1304"/>
      <c r="G112" s="99">
        <v>0</v>
      </c>
      <c r="H112" s="1305">
        <v>0</v>
      </c>
      <c r="I112" s="1305"/>
      <c r="J112" s="1305">
        <v>0</v>
      </c>
      <c r="K112" s="1306"/>
      <c r="L112" s="96"/>
      <c r="M112" s="96"/>
      <c r="N112" s="96"/>
      <c r="O112" s="77"/>
      <c r="P112" s="77"/>
      <c r="Q112" s="78"/>
      <c r="Z112" s="1378" t="s">
        <v>482</v>
      </c>
      <c r="AA112" s="1383">
        <v>55</v>
      </c>
      <c r="AB112" s="115" t="e">
        <f>CONCATENATE(#REF!)</f>
        <v>#REF!</v>
      </c>
      <c r="AC112" s="115"/>
      <c r="AD112" s="84" t="str">
        <f>IF(ISERROR(VLOOKUP(AB112,#REF!,2,0)),"",(VLOOKUP(AB112,#REF!,2,0)))</f>
        <v/>
      </c>
      <c r="AE112" s="84" t="str">
        <f>IF(ISERROR(VLOOKUP(AB112,#REF!,3,0)),"",(VLOOKUP(AB112,#REF!,3,0)))</f>
        <v/>
      </c>
      <c r="AF112" s="84" t="str">
        <f>IF(ISERROR(VLOOKUP(AB112,#REF!,4,0)),"",(VLOOKUP(AB112,#REF!,4,0)))</f>
        <v/>
      </c>
      <c r="AG112" s="84" t="str">
        <f>IF(ISERROR(VLOOKUP(AB112,#REF!,5,0)),"",(VLOOKUP(AB112,#REF!,5,0)))</f>
        <v/>
      </c>
      <c r="AH112" s="84" t="str">
        <f>CONCATENATE(IF(ISERROR(VLOOKUP(AB112,#REF!,6,0)),"",(VLOOKUP(AB112,#REF!,6,0))))</f>
        <v/>
      </c>
      <c r="AI112" s="84" t="str">
        <f>IF(ISERROR(VLOOKUP(AB112,#REF!,7,0)),"",(VLOOKUP(AB112,#REF!,7,0)))</f>
        <v/>
      </c>
      <c r="AJ112" s="84" t="str">
        <f>IF(ISERROR(VLOOKUP(AB112,#REF!,8,0)),"",(VLOOKUP(AB112,#REF!,8,0)))</f>
        <v/>
      </c>
      <c r="AK112" s="84" t="str">
        <f>IF(ISERROR(VLOOKUP(AB112,#REF!,9,0)),"",(VLOOKUP(AB112,#REF!,9,0)))</f>
        <v/>
      </c>
      <c r="AL112" s="84" t="str">
        <f>IF(ISERROR(VLOOKUP(AB112,#REF!,10,0)),"",(VLOOKUP(AB112,#REF!,10,0)))</f>
        <v/>
      </c>
      <c r="AM112" s="84" t="str">
        <f>IF(ISERROR(VLOOKUP(AB112,#REF!,11,0)),"",(VLOOKUP(AB112,#REF!,11,0)))</f>
        <v/>
      </c>
      <c r="AN112" s="84" t="str">
        <f>IF(ISERROR(VLOOKUP(AB112,#REF!,12,0)),"",(VLOOKUP(AB112,#REF!,12,0)))</f>
        <v/>
      </c>
      <c r="AO112" s="84" t="str">
        <f>IF(ISERROR(VLOOKUP(AB112,#REF!,13,0)),"",(VLOOKUP(AB112,#REF!,13,0)))</f>
        <v/>
      </c>
    </row>
    <row r="113" spans="1:41" ht="17.25" thickTop="1" thickBot="1">
      <c r="A113" s="34"/>
      <c r="B113" s="34"/>
      <c r="C113" s="1299" t="s">
        <v>465</v>
      </c>
      <c r="D113" s="1299"/>
      <c r="E113" s="1299" t="s">
        <v>360</v>
      </c>
      <c r="F113" s="1299"/>
      <c r="G113" s="1302" t="s">
        <v>368</v>
      </c>
      <c r="H113" s="1302"/>
      <c r="I113" s="1302" t="s">
        <v>369</v>
      </c>
      <c r="J113" s="1302"/>
      <c r="K113" s="1302" t="s">
        <v>370</v>
      </c>
      <c r="L113" s="1299"/>
      <c r="M113" s="1299" t="s">
        <v>371</v>
      </c>
      <c r="N113" s="1299"/>
      <c r="O113" s="77"/>
      <c r="P113" s="77"/>
      <c r="Q113" s="78"/>
      <c r="Z113" s="1378"/>
      <c r="AA113" s="1384"/>
      <c r="AB113" s="115" t="s">
        <v>447</v>
      </c>
      <c r="AC113" s="115" t="e">
        <f>AB112</f>
        <v>#REF!</v>
      </c>
      <c r="AD113" s="85" t="str">
        <f>IF(ISERROR(VLOOKUP(AD112,#REF!,35,0)),"",(VLOOKUP(AD112,#REF!,35,0)))</f>
        <v/>
      </c>
      <c r="AE113" s="85" t="str">
        <f>IF(ISERROR(VLOOKUP(AE112,#REF!,35,0)),"",(VLOOKUP(AE112,#REF!,35,0)))</f>
        <v/>
      </c>
      <c r="AF113" s="85" t="str">
        <f>IF(ISERROR(VLOOKUP(AF112,#REF!,35,0)),"",(VLOOKUP(AF112,#REF!,35,0)))</f>
        <v/>
      </c>
      <c r="AG113" s="85" t="str">
        <f>IF(ISERROR(VLOOKUP(AG112,#REF!,35,0)),"",(VLOOKUP(AG112,#REF!,35,0)))</f>
        <v/>
      </c>
      <c r="AH113" s="85" t="str">
        <f>IF(ISERROR(VLOOKUP(AH112,#REF!,35,0)),"",(VLOOKUP(AH112,#REF!,35,0)))</f>
        <v/>
      </c>
      <c r="AI113" s="85" t="str">
        <f>IF(ISERROR(VLOOKUP(AI112,#REF!,35,0)),"",(VLOOKUP(AI112,#REF!,35,0)))</f>
        <v/>
      </c>
      <c r="AJ113" s="85" t="str">
        <f>IF(ISERROR(VLOOKUP(AJ112,#REF!,35,0)),"",(VLOOKUP(AJ112,#REF!,35,0)))</f>
        <v/>
      </c>
      <c r="AK113" s="85" t="str">
        <f>IF(ISERROR(VLOOKUP(AK112,#REF!,35,0)),"",(VLOOKUP(AK112,#REF!,35,0)))</f>
        <v/>
      </c>
      <c r="AL113" s="85" t="str">
        <f>IF(ISERROR(VLOOKUP(AL112,#REF!,35,0)),"",(VLOOKUP(AL112,#REF!,35,0)))</f>
        <v/>
      </c>
      <c r="AM113" s="85" t="str">
        <f>IF(ISERROR(VLOOKUP(AM112,#REF!,35,0)),"",(VLOOKUP(AM112,#REF!,35,0)))</f>
        <v/>
      </c>
      <c r="AN113" s="85" t="str">
        <f>IF(ISERROR(VLOOKUP(AN112,#REF!,35,0)),"",(VLOOKUP(AN112,#REF!,35,0)))</f>
        <v/>
      </c>
      <c r="AO113" s="85" t="str">
        <f>IF(ISERROR(VLOOKUP(AO112,#REF!,35,0)),"",(VLOOKUP(AO112,#REF!,35,0)))</f>
        <v/>
      </c>
    </row>
    <row r="114" spans="1:41" ht="17.25" thickTop="1" thickBot="1">
      <c r="A114" s="34"/>
      <c r="B114" s="34"/>
      <c r="C114" s="1299" t="s">
        <v>372</v>
      </c>
      <c r="D114" s="1299"/>
      <c r="E114" s="1297"/>
      <c r="F114" s="1297"/>
      <c r="G114" s="1297"/>
      <c r="H114" s="1297"/>
      <c r="I114" s="1297"/>
      <c r="J114" s="1297"/>
      <c r="K114" s="1297" t="s">
        <v>10</v>
      </c>
      <c r="L114" s="1297"/>
      <c r="M114" s="1297"/>
      <c r="N114" s="1297"/>
      <c r="O114" s="77"/>
      <c r="P114" s="77"/>
      <c r="Q114" s="78"/>
      <c r="Z114" s="1378"/>
      <c r="AA114" s="1383">
        <v>56</v>
      </c>
      <c r="AB114" s="115" t="e">
        <f>CONCATENATE(#REF!)</f>
        <v>#REF!</v>
      </c>
      <c r="AC114" s="115"/>
      <c r="AD114" s="84" t="str">
        <f>IF(ISERROR(VLOOKUP(AB114,#REF!,2,0)),"",(VLOOKUP(AB114,#REF!,2,0)))</f>
        <v/>
      </c>
      <c r="AE114" s="84" t="str">
        <f>IF(ISERROR(VLOOKUP(AB114,#REF!,3,0)),"",(VLOOKUP(AB114,#REF!,3,0)))</f>
        <v/>
      </c>
      <c r="AF114" s="84" t="str">
        <f>IF(ISERROR(VLOOKUP(AB114,#REF!,4,0)),"",(VLOOKUP(AB114,#REF!,4,0)))</f>
        <v/>
      </c>
      <c r="AG114" s="84" t="str">
        <f>IF(ISERROR(VLOOKUP(AB114,#REF!,5,0)),"",(VLOOKUP(AB114,#REF!,5,0)))</f>
        <v/>
      </c>
      <c r="AH114" s="84" t="str">
        <f>CONCATENATE(IF(ISERROR(VLOOKUP(AB114,#REF!,6,0)),"",(VLOOKUP(AB114,#REF!,6,0))))</f>
        <v/>
      </c>
      <c r="AI114" s="84" t="str">
        <f>IF(ISERROR(VLOOKUP(AB114,#REF!,7,0)),"",(VLOOKUP(AB114,#REF!,7,0)))</f>
        <v/>
      </c>
      <c r="AJ114" s="84" t="str">
        <f>IF(ISERROR(VLOOKUP(AB114,#REF!,8,0)),"",(VLOOKUP(AB114,#REF!,8,0)))</f>
        <v/>
      </c>
      <c r="AK114" s="84" t="str">
        <f>IF(ISERROR(VLOOKUP(AB114,#REF!,9,0)),"",(VLOOKUP(AB114,#REF!,9,0)))</f>
        <v/>
      </c>
      <c r="AL114" s="84" t="str">
        <f>IF(ISERROR(VLOOKUP(AB114,#REF!,10,0)),"",(VLOOKUP(AB114,#REF!,10,0)))</f>
        <v/>
      </c>
      <c r="AM114" s="84" t="str">
        <f>IF(ISERROR(VLOOKUP(AB114,#REF!,11,0)),"",(VLOOKUP(AB114,#REF!,11,0)))</f>
        <v/>
      </c>
      <c r="AN114" s="84" t="str">
        <f>IF(ISERROR(VLOOKUP(AB114,#REF!,12,0)),"",(VLOOKUP(AB114,#REF!,12,0)))</f>
        <v/>
      </c>
      <c r="AO114" s="84" t="str">
        <f>IF(ISERROR(VLOOKUP(AB114,#REF!,13,0)),"",(VLOOKUP(AB114,#REF!,13,0)))</f>
        <v/>
      </c>
    </row>
    <row r="115" spans="1:41" ht="17.25" thickTop="1" thickBot="1">
      <c r="A115" s="34"/>
      <c r="B115" s="34"/>
      <c r="C115" s="1299" t="s">
        <v>373</v>
      </c>
      <c r="D115" s="1299"/>
      <c r="E115" s="1297" t="s">
        <v>10</v>
      </c>
      <c r="F115" s="1297"/>
      <c r="G115" s="1297"/>
      <c r="H115" s="1297"/>
      <c r="I115" s="1297"/>
      <c r="J115" s="1297"/>
      <c r="K115" s="1297" t="s">
        <v>10</v>
      </c>
      <c r="L115" s="1297"/>
      <c r="M115" s="1297"/>
      <c r="N115" s="1297"/>
      <c r="O115" s="77"/>
      <c r="P115" s="77"/>
      <c r="Q115" s="78"/>
      <c r="Z115" s="1378"/>
      <c r="AA115" s="1384"/>
      <c r="AB115" s="115" t="s">
        <v>447</v>
      </c>
      <c r="AC115" s="115" t="e">
        <f>AB114</f>
        <v>#REF!</v>
      </c>
      <c r="AD115" s="85" t="str">
        <f>IF(ISERROR(VLOOKUP(AD114,#REF!,35,0)),"",(VLOOKUP(AD114,#REF!,35,0)))</f>
        <v/>
      </c>
      <c r="AE115" s="85" t="str">
        <f>IF(ISERROR(VLOOKUP(AE114,#REF!,35,0)),"",(VLOOKUP(AE114,#REF!,35,0)))</f>
        <v/>
      </c>
      <c r="AF115" s="85" t="str">
        <f>IF(ISERROR(VLOOKUP(AF114,#REF!,35,0)),"",(VLOOKUP(AF114,#REF!,35,0)))</f>
        <v/>
      </c>
      <c r="AG115" s="85" t="str">
        <f>IF(ISERROR(VLOOKUP(AG114,#REF!,35,0)),"",(VLOOKUP(AG114,#REF!,35,0)))</f>
        <v/>
      </c>
      <c r="AH115" s="85" t="str">
        <f>IF(ISERROR(VLOOKUP(AH114,#REF!,35,0)),"",(VLOOKUP(AH114,#REF!,35,0)))</f>
        <v/>
      </c>
      <c r="AI115" s="85" t="str">
        <f>IF(ISERROR(VLOOKUP(AI114,#REF!,35,0)),"",(VLOOKUP(AI114,#REF!,35,0)))</f>
        <v/>
      </c>
      <c r="AJ115" s="85" t="str">
        <f>IF(ISERROR(VLOOKUP(AJ114,#REF!,35,0)),"",(VLOOKUP(AJ114,#REF!,35,0)))</f>
        <v/>
      </c>
      <c r="AK115" s="85" t="str">
        <f>IF(ISERROR(VLOOKUP(AK114,#REF!,35,0)),"",(VLOOKUP(AK114,#REF!,35,0)))</f>
        <v/>
      </c>
      <c r="AL115" s="85" t="str">
        <f>IF(ISERROR(VLOOKUP(AL114,#REF!,35,0)),"",(VLOOKUP(AL114,#REF!,35,0)))</f>
        <v/>
      </c>
      <c r="AM115" s="85" t="str">
        <f>IF(ISERROR(VLOOKUP(AM114,#REF!,35,0)),"",(VLOOKUP(AM114,#REF!,35,0)))</f>
        <v/>
      </c>
      <c r="AN115" s="85" t="str">
        <f>IF(ISERROR(VLOOKUP(AN114,#REF!,35,0)),"",(VLOOKUP(AN114,#REF!,35,0)))</f>
        <v/>
      </c>
      <c r="AO115" s="85" t="str">
        <f>IF(ISERROR(VLOOKUP(AO114,#REF!,35,0)),"",(VLOOKUP(AO114,#REF!,35,0)))</f>
        <v/>
      </c>
    </row>
    <row r="116" spans="1:41" ht="17.25" thickTop="1" thickBot="1">
      <c r="A116" s="34"/>
      <c r="B116" s="34"/>
      <c r="C116" s="1299" t="s">
        <v>374</v>
      </c>
      <c r="D116" s="1299"/>
      <c r="E116" s="1297" t="s">
        <v>10</v>
      </c>
      <c r="F116" s="1297"/>
      <c r="G116" s="1297"/>
      <c r="H116" s="1297"/>
      <c r="I116" s="1317"/>
      <c r="J116" s="1317"/>
      <c r="K116" s="1297" t="s">
        <v>807</v>
      </c>
      <c r="L116" s="1297"/>
      <c r="M116" s="1297"/>
      <c r="N116" s="1297"/>
      <c r="O116" s="77"/>
      <c r="P116" s="77"/>
      <c r="Q116" s="78"/>
      <c r="Z116" s="1378" t="s">
        <v>483</v>
      </c>
      <c r="AA116" s="1380">
        <v>57</v>
      </c>
      <c r="AB116" s="113" t="e">
        <f>CONCATENATE(#REF!)</f>
        <v>#REF!</v>
      </c>
      <c r="AC116" s="113"/>
      <c r="AD116" s="84" t="str">
        <f>IF(ISERROR(VLOOKUP(AB116,#REF!,2,0)),"",(VLOOKUP(AB116,#REF!,2,0)))</f>
        <v/>
      </c>
      <c r="AE116" s="84" t="str">
        <f>IF(ISERROR(VLOOKUP(AB116,#REF!,3,0)),"",(VLOOKUP(AB116,#REF!,3,0)))</f>
        <v/>
      </c>
      <c r="AF116" s="84" t="str">
        <f>IF(ISERROR(VLOOKUP(AB116,#REF!,4,0)),"",(VLOOKUP(AB116,#REF!,4,0)))</f>
        <v/>
      </c>
      <c r="AG116" s="84" t="str">
        <f>IF(ISERROR(VLOOKUP(AB116,#REF!,5,0)),"",(VLOOKUP(AB116,#REF!,5,0)))</f>
        <v/>
      </c>
      <c r="AH116" s="84" t="str">
        <f>CONCATENATE(IF(ISERROR(VLOOKUP(AB116,#REF!,6,0)),"",(VLOOKUP(AB116,#REF!,6,0))))</f>
        <v/>
      </c>
      <c r="AI116" s="84" t="str">
        <f>IF(ISERROR(VLOOKUP(AB116,#REF!,7,0)),"",(VLOOKUP(AB116,#REF!,7,0)))</f>
        <v/>
      </c>
      <c r="AJ116" s="84" t="str">
        <f>IF(ISERROR(VLOOKUP(AB116,#REF!,8,0)),"",(VLOOKUP(AB116,#REF!,8,0)))</f>
        <v/>
      </c>
      <c r="AK116" s="84" t="str">
        <f>IF(ISERROR(VLOOKUP(AB116,#REF!,9,0)),"",(VLOOKUP(AB116,#REF!,9,0)))</f>
        <v/>
      </c>
      <c r="AL116" s="84" t="str">
        <f>IF(ISERROR(VLOOKUP(AB116,#REF!,10,0)),"",(VLOOKUP(AB116,#REF!,10,0)))</f>
        <v/>
      </c>
      <c r="AM116" s="84" t="str">
        <f>IF(ISERROR(VLOOKUP(AB116,#REF!,11,0)),"",(VLOOKUP(AB116,#REF!,11,0)))</f>
        <v/>
      </c>
      <c r="AN116" s="84" t="str">
        <f>IF(ISERROR(VLOOKUP(AB116,#REF!,12,0)),"",(VLOOKUP(AB116,#REF!,12,0)))</f>
        <v/>
      </c>
      <c r="AO116" s="84" t="str">
        <f>IF(ISERROR(VLOOKUP(AB116,#REF!,13,0)),"",(VLOOKUP(AB116,#REF!,13,0)))</f>
        <v/>
      </c>
    </row>
    <row r="117" spans="1:41" ht="17.25" thickTop="1" thickBot="1">
      <c r="A117" s="34"/>
      <c r="B117" s="34"/>
      <c r="C117" s="1299" t="s">
        <v>375</v>
      </c>
      <c r="D117" s="1299"/>
      <c r="E117" s="1297" t="s">
        <v>807</v>
      </c>
      <c r="F117" s="1297"/>
      <c r="G117" s="1297"/>
      <c r="H117" s="1297"/>
      <c r="I117" s="1297"/>
      <c r="J117" s="1297"/>
      <c r="K117" s="1297"/>
      <c r="L117" s="1297"/>
      <c r="M117" s="1297"/>
      <c r="N117" s="1297"/>
      <c r="O117" s="77"/>
      <c r="P117" s="77"/>
      <c r="Q117" s="78"/>
      <c r="Z117" s="1378"/>
      <c r="AA117" s="1380"/>
      <c r="AB117" s="113" t="s">
        <v>447</v>
      </c>
      <c r="AC117" s="113" t="e">
        <f>AB116</f>
        <v>#REF!</v>
      </c>
      <c r="AD117" s="85" t="str">
        <f>IF(ISERROR(VLOOKUP(AD116,#REF!,29,0)),"",(VLOOKUP(AD116,#REF!,29,0)))</f>
        <v/>
      </c>
      <c r="AE117" s="85" t="str">
        <f>IF(ISERROR(VLOOKUP(AE116,#REF!,29,0)),"",(VLOOKUP(AE116,#REF!,29,0)))</f>
        <v/>
      </c>
      <c r="AF117" s="85" t="str">
        <f>IF(ISERROR(VLOOKUP(AF116,#REF!,29,0)),"",(VLOOKUP(AF116,#REF!,29,0)))</f>
        <v/>
      </c>
      <c r="AG117" s="85" t="str">
        <f>IF(ISERROR(VLOOKUP(AG116,#REF!,29,0)),"",(VLOOKUP(AG116,#REF!,29,0)))</f>
        <v/>
      </c>
      <c r="AH117" s="85" t="str">
        <f>IF(ISERROR(VLOOKUP(AH116,#REF!,29,0)),"",(VLOOKUP(AH116,#REF!,29,0)))</f>
        <v/>
      </c>
      <c r="AI117" s="85" t="str">
        <f>IF(ISERROR(VLOOKUP(AI116,#REF!,29,0)),"",(VLOOKUP(AI116,#REF!,29,0)))</f>
        <v/>
      </c>
      <c r="AJ117" s="85" t="str">
        <f>IF(ISERROR(VLOOKUP(AJ116,#REF!,29,0)),"",(VLOOKUP(AJ116,#REF!,29,0)))</f>
        <v/>
      </c>
      <c r="AK117" s="85" t="str">
        <f>IF(ISERROR(VLOOKUP(AK116,#REF!,29,0)),"",(VLOOKUP(AK116,#REF!,29,0)))</f>
        <v/>
      </c>
      <c r="AL117" s="85" t="str">
        <f>IF(ISERROR(VLOOKUP(AL116,#REF!,29,0)),"",(VLOOKUP(AL116,#REF!,29,0)))</f>
        <v/>
      </c>
      <c r="AM117" s="85" t="str">
        <f>IF(ISERROR(VLOOKUP(AM116,#REF!,29,0)),"",(VLOOKUP(AM116,#REF!,29,0)))</f>
        <v/>
      </c>
      <c r="AN117" s="85" t="str">
        <f>IF(ISERROR(VLOOKUP(AN116,#REF!,29,0)),"",(VLOOKUP(AN116,#REF!,29,0)))</f>
        <v/>
      </c>
      <c r="AO117" s="85" t="str">
        <f>IF(ISERROR(VLOOKUP(AO116,#REF!,29,0)),"",(VLOOKUP(AO116,#REF!,29,0)))</f>
        <v/>
      </c>
    </row>
    <row r="118" spans="1:41" ht="17.25" thickTop="1" thickBot="1">
      <c r="A118" s="34"/>
      <c r="B118" s="34"/>
      <c r="C118" s="101"/>
      <c r="D118" s="101"/>
      <c r="E118" s="33"/>
      <c r="F118" s="33"/>
      <c r="G118" s="33"/>
      <c r="H118" s="33"/>
      <c r="I118" s="33"/>
      <c r="J118" s="33"/>
      <c r="K118" s="34"/>
      <c r="L118" s="34"/>
      <c r="M118" s="33"/>
      <c r="N118" s="33"/>
      <c r="O118" s="77"/>
      <c r="P118" s="77"/>
      <c r="Q118" s="78"/>
      <c r="Z118" s="1378"/>
      <c r="AA118" s="1380">
        <v>58</v>
      </c>
      <c r="AB118" s="113" t="e">
        <f>CONCATENATE(#REF!)</f>
        <v>#REF!</v>
      </c>
      <c r="AC118" s="113"/>
      <c r="AD118" s="84" t="str">
        <f>IF(ISERROR(VLOOKUP(AB118,#REF!,2,0)),"",(VLOOKUP(AB118,#REF!,2,0)))</f>
        <v/>
      </c>
      <c r="AE118" s="84" t="str">
        <f>IF(ISERROR(VLOOKUP(AB118,#REF!,3,0)),"",(VLOOKUP(AB118,#REF!,3,0)))</f>
        <v/>
      </c>
      <c r="AF118" s="84" t="str">
        <f>IF(ISERROR(VLOOKUP(AB118,#REF!,4,0)),"",(VLOOKUP(AB118,#REF!,4,0)))</f>
        <v/>
      </c>
      <c r="AG118" s="84" t="str">
        <f>IF(ISERROR(VLOOKUP(AB118,#REF!,5,0)),"",(VLOOKUP(AB118,#REF!,5,0)))</f>
        <v/>
      </c>
      <c r="AH118" s="84" t="str">
        <f>CONCATENATE(IF(ISERROR(VLOOKUP(AB118,#REF!,6,0)),"",(VLOOKUP(AB118,#REF!,6,0))))</f>
        <v/>
      </c>
      <c r="AI118" s="84" t="str">
        <f>IF(ISERROR(VLOOKUP(AB118,#REF!,7,0)),"",(VLOOKUP(AB118,#REF!,7,0)))</f>
        <v/>
      </c>
      <c r="AJ118" s="84" t="str">
        <f>IF(ISERROR(VLOOKUP(AB118,#REF!,8,0)),"",(VLOOKUP(AB118,#REF!,8,0)))</f>
        <v/>
      </c>
      <c r="AK118" s="84" t="str">
        <f>IF(ISERROR(VLOOKUP(AB118,#REF!,9,0)),"",(VLOOKUP(AB118,#REF!,9,0)))</f>
        <v/>
      </c>
      <c r="AL118" s="84" t="str">
        <f>IF(ISERROR(VLOOKUP(AB118,#REF!,10,0)),"",(VLOOKUP(AB118,#REF!,10,0)))</f>
        <v/>
      </c>
      <c r="AM118" s="84" t="str">
        <f>IF(ISERROR(VLOOKUP(AB118,#REF!,11,0)),"",(VLOOKUP(AB118,#REF!,11,0)))</f>
        <v/>
      </c>
      <c r="AN118" s="84" t="str">
        <f>IF(ISERROR(VLOOKUP(AB118,#REF!,12,0)),"",(VLOOKUP(AB118,#REF!,12,0)))</f>
        <v/>
      </c>
      <c r="AO118" s="84" t="str">
        <f>IF(ISERROR(VLOOKUP(AB118,#REF!,13,0)),"",(VLOOKUP(AB118,#REF!,13,0)))</f>
        <v/>
      </c>
    </row>
    <row r="119" spans="1:41" ht="17.25" thickTop="1" thickBot="1">
      <c r="A119" s="34"/>
      <c r="B119" s="34"/>
      <c r="C119" s="1299" t="s">
        <v>921</v>
      </c>
      <c r="D119" s="1299"/>
      <c r="E119" s="1297"/>
      <c r="F119" s="1297"/>
      <c r="G119" s="1297" t="s">
        <v>10</v>
      </c>
      <c r="H119" s="1297"/>
      <c r="I119" s="1297"/>
      <c r="J119" s="1297"/>
      <c r="K119" s="1297" t="s">
        <v>35</v>
      </c>
      <c r="L119" s="1297"/>
      <c r="M119" s="1297" t="s">
        <v>807</v>
      </c>
      <c r="N119" s="1297"/>
      <c r="O119" s="77"/>
      <c r="P119" s="77"/>
      <c r="Q119" s="78"/>
      <c r="Z119" s="1378"/>
      <c r="AA119" s="1380"/>
      <c r="AB119" s="113" t="s">
        <v>447</v>
      </c>
      <c r="AC119" s="113" t="e">
        <f>AB118</f>
        <v>#REF!</v>
      </c>
      <c r="AD119" s="85" t="str">
        <f>IF(ISERROR(VLOOKUP(AD118,#REF!,29,0)),"",(VLOOKUP(AD118,#REF!,29,0)))</f>
        <v/>
      </c>
      <c r="AE119" s="85" t="str">
        <f>IF(ISERROR(VLOOKUP(AE118,#REF!,29,0)),"",(VLOOKUP(AE118,#REF!,29,0)))</f>
        <v/>
      </c>
      <c r="AF119" s="85" t="str">
        <f>IF(ISERROR(VLOOKUP(AF118,#REF!,29,0)),"",(VLOOKUP(AF118,#REF!,29,0)))</f>
        <v/>
      </c>
      <c r="AG119" s="85" t="str">
        <f>IF(ISERROR(VLOOKUP(AG118,#REF!,29,0)),"",(VLOOKUP(AG118,#REF!,29,0)))</f>
        <v/>
      </c>
      <c r="AH119" s="85" t="str">
        <f>IF(ISERROR(VLOOKUP(AH118,#REF!,29,0)),"",(VLOOKUP(AH118,#REF!,29,0)))</f>
        <v/>
      </c>
      <c r="AI119" s="85" t="str">
        <f>IF(ISERROR(VLOOKUP(AI118,#REF!,29,0)),"",(VLOOKUP(AI118,#REF!,29,0)))</f>
        <v/>
      </c>
      <c r="AJ119" s="85" t="str">
        <f>IF(ISERROR(VLOOKUP(AJ118,#REF!,29,0)),"",(VLOOKUP(AJ118,#REF!,29,0)))</f>
        <v/>
      </c>
      <c r="AK119" s="85" t="str">
        <f>IF(ISERROR(VLOOKUP(AK118,#REF!,29,0)),"",(VLOOKUP(AK118,#REF!,29,0)))</f>
        <v/>
      </c>
      <c r="AL119" s="85" t="str">
        <f>IF(ISERROR(VLOOKUP(AL118,#REF!,29,0)),"",(VLOOKUP(AL118,#REF!,29,0)))</f>
        <v/>
      </c>
      <c r="AM119" s="85" t="str">
        <f>IF(ISERROR(VLOOKUP(AM118,#REF!,29,0)),"",(VLOOKUP(AM118,#REF!,29,0)))</f>
        <v/>
      </c>
      <c r="AN119" s="85" t="str">
        <f>IF(ISERROR(VLOOKUP(AN118,#REF!,29,0)),"",(VLOOKUP(AN118,#REF!,29,0)))</f>
        <v/>
      </c>
      <c r="AO119" s="85" t="str">
        <f>IF(ISERROR(VLOOKUP(AO118,#REF!,29,0)),"",(VLOOKUP(AO118,#REF!,29,0)))</f>
        <v/>
      </c>
    </row>
    <row r="120" spans="1:41" ht="17.25" thickTop="1" thickBot="1">
      <c r="A120" s="34"/>
      <c r="B120" s="34"/>
      <c r="C120" s="1299" t="s">
        <v>922</v>
      </c>
      <c r="D120" s="1299"/>
      <c r="E120" s="1297"/>
      <c r="F120" s="1297"/>
      <c r="G120" s="1297" t="s">
        <v>265</v>
      </c>
      <c r="H120" s="1297"/>
      <c r="I120" s="1297"/>
      <c r="J120" s="1297"/>
      <c r="K120" s="1297" t="s">
        <v>265</v>
      </c>
      <c r="L120" s="1297"/>
      <c r="M120" s="1317" t="s">
        <v>35</v>
      </c>
      <c r="N120" s="1317"/>
      <c r="O120" s="77"/>
      <c r="P120" s="77"/>
      <c r="Q120" s="78"/>
      <c r="Z120" s="1378"/>
      <c r="AA120" s="1380">
        <v>59</v>
      </c>
      <c r="AB120" s="113" t="e">
        <f>CONCATENATE(#REF!)</f>
        <v>#REF!</v>
      </c>
      <c r="AC120" s="113"/>
      <c r="AD120" s="84" t="str">
        <f>IF(ISERROR(VLOOKUP(AB120,#REF!,2,0)),"",(VLOOKUP(AB120,#REF!,2,0)))</f>
        <v/>
      </c>
      <c r="AE120" s="84" t="str">
        <f>IF(ISERROR(VLOOKUP(AB120,#REF!,3,0)),"",(VLOOKUP(AB120,#REF!,3,0)))</f>
        <v/>
      </c>
      <c r="AF120" s="84" t="str">
        <f>IF(ISERROR(VLOOKUP(AB120,#REF!,4,0)),"",(VLOOKUP(AB120,#REF!,4,0)))</f>
        <v/>
      </c>
      <c r="AG120" s="84" t="str">
        <f>IF(ISERROR(VLOOKUP(AB120,#REF!,5,0)),"",(VLOOKUP(AB120,#REF!,5,0)))</f>
        <v/>
      </c>
      <c r="AH120" s="84" t="str">
        <f>CONCATENATE(IF(ISERROR(VLOOKUP(AB120,#REF!,6,0)),"",(VLOOKUP(AB120,#REF!,6,0))))</f>
        <v/>
      </c>
      <c r="AI120" s="84" t="str">
        <f>IF(ISERROR(VLOOKUP(AB120,#REF!,7,0)),"",(VLOOKUP(AB120,#REF!,7,0)))</f>
        <v/>
      </c>
      <c r="AJ120" s="84" t="str">
        <f>IF(ISERROR(VLOOKUP(AB120,#REF!,8,0)),"",(VLOOKUP(AB120,#REF!,8,0)))</f>
        <v/>
      </c>
      <c r="AK120" s="84" t="str">
        <f>IF(ISERROR(VLOOKUP(AB120,#REF!,9,0)),"",(VLOOKUP(AB120,#REF!,9,0)))</f>
        <v/>
      </c>
      <c r="AL120" s="84" t="str">
        <f>IF(ISERROR(VLOOKUP(AB120,#REF!,10,0)),"",(VLOOKUP(AB120,#REF!,10,0)))</f>
        <v/>
      </c>
      <c r="AM120" s="84" t="str">
        <f>IF(ISERROR(VLOOKUP(AB120,#REF!,11,0)),"",(VLOOKUP(AB120,#REF!,11,0)))</f>
        <v/>
      </c>
      <c r="AN120" s="84" t="str">
        <f>IF(ISERROR(VLOOKUP(AB120,#REF!,12,0)),"",(VLOOKUP(AB120,#REF!,12,0)))</f>
        <v/>
      </c>
      <c r="AO120" s="84" t="str">
        <f>IF(ISERROR(VLOOKUP(AB120,#REF!,13,0)),"",(VLOOKUP(AB120,#REF!,13,0)))</f>
        <v/>
      </c>
    </row>
    <row r="121" spans="1:41" ht="17.25" thickTop="1" thickBot="1">
      <c r="A121" s="34"/>
      <c r="B121" s="34"/>
      <c r="C121" s="1299" t="s">
        <v>923</v>
      </c>
      <c r="D121" s="1299"/>
      <c r="E121" s="1297"/>
      <c r="F121" s="1297"/>
      <c r="G121" s="1297" t="s">
        <v>807</v>
      </c>
      <c r="H121" s="1297"/>
      <c r="I121" s="1297"/>
      <c r="J121" s="1297"/>
      <c r="K121" s="1297"/>
      <c r="L121" s="1297"/>
      <c r="M121" s="1297" t="s">
        <v>10</v>
      </c>
      <c r="N121" s="1297"/>
      <c r="O121" s="77"/>
      <c r="P121" s="77"/>
      <c r="Q121" s="78"/>
      <c r="Z121" s="1382"/>
      <c r="AA121" s="1381"/>
      <c r="AB121" s="116" t="s">
        <v>447</v>
      </c>
      <c r="AC121" s="113" t="e">
        <f>AB120</f>
        <v>#REF!</v>
      </c>
      <c r="AD121" s="85" t="str">
        <f>IF(ISERROR(VLOOKUP(AD120,#REF!,29,0)),"",(VLOOKUP(AD120,#REF!,29,0)))</f>
        <v/>
      </c>
      <c r="AE121" s="85" t="str">
        <f>IF(ISERROR(VLOOKUP(AE120,#REF!,29,0)),"",(VLOOKUP(AE120,#REF!,29,0)))</f>
        <v/>
      </c>
      <c r="AF121" s="85" t="str">
        <f>IF(ISERROR(VLOOKUP(AF120,#REF!,29,0)),"",(VLOOKUP(AF120,#REF!,29,0)))</f>
        <v/>
      </c>
      <c r="AG121" s="85" t="str">
        <f>IF(ISERROR(VLOOKUP(AG120,#REF!,29,0)),"",(VLOOKUP(AG120,#REF!,29,0)))</f>
        <v/>
      </c>
      <c r="AH121" s="85" t="str">
        <f>IF(ISERROR(VLOOKUP(AH120,#REF!,29,0)),"",(VLOOKUP(AH120,#REF!,29,0)))</f>
        <v/>
      </c>
      <c r="AI121" s="85" t="str">
        <f>IF(ISERROR(VLOOKUP(AI120,#REF!,29,0)),"",(VLOOKUP(AI120,#REF!,29,0)))</f>
        <v/>
      </c>
      <c r="AJ121" s="85" t="str">
        <f>IF(ISERROR(VLOOKUP(AJ120,#REF!,29,0)),"",(VLOOKUP(AJ120,#REF!,29,0)))</f>
        <v/>
      </c>
      <c r="AK121" s="85" t="str">
        <f>IF(ISERROR(VLOOKUP(AK120,#REF!,29,0)),"",(VLOOKUP(AK120,#REF!,29,0)))</f>
        <v/>
      </c>
      <c r="AL121" s="85" t="str">
        <f>IF(ISERROR(VLOOKUP(AL120,#REF!,29,0)),"",(VLOOKUP(AL120,#REF!,29,0)))</f>
        <v/>
      </c>
      <c r="AM121" s="85" t="str">
        <f>IF(ISERROR(VLOOKUP(AM120,#REF!,29,0)),"",(VLOOKUP(AM120,#REF!,29,0)))</f>
        <v/>
      </c>
      <c r="AN121" s="85" t="str">
        <f>IF(ISERROR(VLOOKUP(AN120,#REF!,29,0)),"",(VLOOKUP(AN120,#REF!,29,0)))</f>
        <v/>
      </c>
      <c r="AO121" s="85" t="str">
        <f>IF(ISERROR(VLOOKUP(AO120,#REF!,29,0)),"",(VLOOKUP(AO120,#REF!,29,0)))</f>
        <v/>
      </c>
    </row>
    <row r="122" spans="1:41" ht="17.25" thickTop="1" thickBot="1">
      <c r="A122" s="34"/>
      <c r="B122" s="34"/>
      <c r="C122" s="1299" t="s">
        <v>924</v>
      </c>
      <c r="D122" s="1299"/>
      <c r="E122" s="1297" t="s">
        <v>380</v>
      </c>
      <c r="F122" s="1297"/>
      <c r="G122" s="1297" t="s">
        <v>35</v>
      </c>
      <c r="H122" s="1297"/>
      <c r="I122" s="1297"/>
      <c r="J122" s="1297"/>
      <c r="K122" s="1297" t="s">
        <v>380</v>
      </c>
      <c r="L122" s="1297"/>
      <c r="M122" s="1297" t="s">
        <v>380</v>
      </c>
      <c r="N122" s="1297"/>
      <c r="O122" s="77"/>
      <c r="P122" s="77"/>
      <c r="Q122" s="78"/>
      <c r="Z122" s="1378" t="s">
        <v>484</v>
      </c>
      <c r="AA122" s="1379">
        <v>60</v>
      </c>
      <c r="AB122" s="112" t="e">
        <f>CONCATENATE(#REF!)</f>
        <v>#REF!</v>
      </c>
      <c r="AC122" s="113"/>
      <c r="AD122" s="84" t="str">
        <f>IF(ISERROR(VLOOKUP(AB122,#REF!,2,0)),"",(VLOOKUP(AB122,#REF!,2,0)))</f>
        <v/>
      </c>
      <c r="AE122" s="84" t="str">
        <f>IF(ISERROR(VLOOKUP(AB122,#REF!,3,0)),"",(VLOOKUP(AB122,#REF!,3,0)))</f>
        <v/>
      </c>
      <c r="AF122" s="84" t="str">
        <f>IF(ISERROR(VLOOKUP(AB122,#REF!,4,0)),"",(VLOOKUP(AB122,#REF!,4,0)))</f>
        <v/>
      </c>
      <c r="AG122" s="84" t="str">
        <f>IF(ISERROR(VLOOKUP(AB122,#REF!,5,0)),"",(VLOOKUP(AB122,#REF!,5,0)))</f>
        <v/>
      </c>
      <c r="AH122" s="84" t="str">
        <f>CONCATENATE(IF(ISERROR(VLOOKUP(AB122,#REF!,6,0)),"",(VLOOKUP(AB122,#REF!,6,0))))</f>
        <v/>
      </c>
      <c r="AI122" s="84" t="str">
        <f>IF(ISERROR(VLOOKUP(AB122,#REF!,7,0)),"",(VLOOKUP(AB122,#REF!,7,0)))</f>
        <v/>
      </c>
      <c r="AJ122" s="84" t="str">
        <f>IF(ISERROR(VLOOKUP(AB122,#REF!,8,0)),"",(VLOOKUP(AB122,#REF!,8,0)))</f>
        <v/>
      </c>
      <c r="AK122" s="84" t="str">
        <f>IF(ISERROR(VLOOKUP(AB122,#REF!,9,0)),"",(VLOOKUP(AB122,#REF!,9,0)))</f>
        <v/>
      </c>
      <c r="AL122" s="84" t="str">
        <f>IF(ISERROR(VLOOKUP(AB122,#REF!,10,0)),"",(VLOOKUP(AB122,#REF!,10,0)))</f>
        <v/>
      </c>
      <c r="AM122" s="84" t="str">
        <f>IF(ISERROR(VLOOKUP(AB122,#REF!,11,0)),"",(VLOOKUP(AB122,#REF!,11,0)))</f>
        <v/>
      </c>
      <c r="AN122" s="84" t="str">
        <f>IF(ISERROR(VLOOKUP(AB122,#REF!,12,0)),"",(VLOOKUP(AB122,#REF!,12,0)))</f>
        <v/>
      </c>
      <c r="AO122" s="84" t="str">
        <f>IF(ISERROR(VLOOKUP(AB122,#REF!,13,0)),"",(VLOOKUP(AB122,#REF!,13,0)))</f>
        <v/>
      </c>
    </row>
    <row r="123" spans="1:41" ht="17.25" thickTop="1" thickBot="1">
      <c r="A123" s="34"/>
      <c r="B123" s="34"/>
      <c r="C123" s="33"/>
      <c r="D123" s="33"/>
      <c r="E123" s="33"/>
      <c r="F123" s="33"/>
      <c r="G123" s="33"/>
      <c r="H123" s="33"/>
      <c r="I123" s="33"/>
      <c r="J123" s="33"/>
      <c r="K123" s="34"/>
      <c r="L123" s="34"/>
      <c r="M123" s="33"/>
      <c r="N123" s="33"/>
      <c r="O123" s="77"/>
      <c r="P123" s="77"/>
      <c r="Q123" s="78"/>
      <c r="Z123" s="1378"/>
      <c r="AA123" s="1379"/>
      <c r="AB123" s="112" t="s">
        <v>447</v>
      </c>
      <c r="AC123" s="113" t="e">
        <f>AB122</f>
        <v>#REF!</v>
      </c>
      <c r="AD123" s="85" t="str">
        <f>IF(ISERROR(VLOOKUP(AD122,#REF!,28,0)),"",(VLOOKUP(AD122,#REF!,28,0)))</f>
        <v/>
      </c>
      <c r="AE123" s="85" t="str">
        <f>IF(ISERROR(VLOOKUP(AE122,#REF!,28,0)),"",(VLOOKUP(AE122,#REF!,28,0)))</f>
        <v/>
      </c>
      <c r="AF123" s="85" t="str">
        <f>IF(ISERROR(VLOOKUP(AF122,#REF!,28,0)),"",(VLOOKUP(AF122,#REF!,28,0)))</f>
        <v/>
      </c>
      <c r="AG123" s="85" t="str">
        <f>IF(ISERROR(VLOOKUP(AG122,#REF!,28,0)),"",(VLOOKUP(AG122,#REF!,28,0)))</f>
        <v/>
      </c>
      <c r="AH123" s="85" t="str">
        <f>IF(ISERROR(VLOOKUP(AH122,#REF!,28,0)),"",(VLOOKUP(AH122,#REF!,28,0)))</f>
        <v/>
      </c>
      <c r="AI123" s="85" t="str">
        <f>IF(ISERROR(VLOOKUP(AI122,#REF!,28,0)),"",(VLOOKUP(AI122,#REF!,28,0)))</f>
        <v/>
      </c>
      <c r="AJ123" s="85" t="str">
        <f>IF(ISERROR(VLOOKUP(AJ122,#REF!,28,0)),"",(VLOOKUP(AJ122,#REF!,28,0)))</f>
        <v/>
      </c>
      <c r="AK123" s="85" t="str">
        <f>IF(ISERROR(VLOOKUP(AK122,#REF!,28,0)),"",(VLOOKUP(AK122,#REF!,28,0)))</f>
        <v/>
      </c>
      <c r="AL123" s="85" t="str">
        <f>IF(ISERROR(VLOOKUP(AL122,#REF!,28,0)),"",(VLOOKUP(AL122,#REF!,28,0)))</f>
        <v/>
      </c>
      <c r="AM123" s="85" t="str">
        <f>IF(ISERROR(VLOOKUP(AM122,#REF!,28,0)),"",(VLOOKUP(AM122,#REF!,28,0)))</f>
        <v/>
      </c>
      <c r="AN123" s="85" t="str">
        <f>IF(ISERROR(VLOOKUP(AN122,#REF!,28,0)),"",(VLOOKUP(AN122,#REF!,28,0)))</f>
        <v/>
      </c>
      <c r="AO123" s="85" t="str">
        <f>IF(ISERROR(VLOOKUP(AO122,#REF!,28,0)),"",(VLOOKUP(AO122,#REF!,28,0)))</f>
        <v/>
      </c>
    </row>
    <row r="124" spans="1:41" ht="19.5" thickTop="1" thickBot="1">
      <c r="A124" s="1321" t="s">
        <v>467</v>
      </c>
      <c r="B124" s="1322"/>
      <c r="C124" s="1323" t="s">
        <v>380</v>
      </c>
      <c r="D124" s="1323"/>
      <c r="E124" s="1323" t="s">
        <v>380</v>
      </c>
      <c r="F124" s="1323"/>
      <c r="G124" s="250"/>
      <c r="H124" s="250" t="s">
        <v>468</v>
      </c>
      <c r="I124" s="1295" t="s">
        <v>402</v>
      </c>
      <c r="J124" s="1295"/>
      <c r="K124" s="1295"/>
      <c r="L124" s="102" t="s">
        <v>403</v>
      </c>
      <c r="M124" s="1331">
        <f ca="1">TODAY()</f>
        <v>45944</v>
      </c>
      <c r="N124" s="1331"/>
      <c r="O124" s="77"/>
      <c r="P124" s="77"/>
      <c r="Q124" s="78"/>
      <c r="Z124" s="79"/>
      <c r="AA124" s="80"/>
      <c r="AB124" s="34"/>
      <c r="AC124" s="34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</row>
    <row r="125" spans="1:41" ht="19.5" thickTop="1" thickBot="1">
      <c r="A125" s="1321" t="s">
        <v>469</v>
      </c>
      <c r="B125" s="1322"/>
      <c r="C125" s="1323" t="s">
        <v>380</v>
      </c>
      <c r="D125" s="1323"/>
      <c r="E125" s="1323" t="s">
        <v>380</v>
      </c>
      <c r="F125" s="1323"/>
      <c r="G125" s="250"/>
      <c r="H125" s="250"/>
      <c r="I125" s="250"/>
      <c r="J125" s="250"/>
      <c r="K125" s="102"/>
      <c r="L125" s="102"/>
      <c r="M125" s="33"/>
      <c r="N125" s="33"/>
      <c r="O125" s="77"/>
      <c r="P125" s="77"/>
      <c r="Q125" s="78"/>
      <c r="Z125" s="79"/>
      <c r="AA125" s="80"/>
      <c r="AB125" s="34"/>
      <c r="AC125" s="34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</row>
    <row r="126" spans="1:41" ht="19.5" thickTop="1" thickBot="1">
      <c r="A126" s="1321" t="s">
        <v>470</v>
      </c>
      <c r="B126" s="1322"/>
      <c r="C126" s="1323" t="s">
        <v>380</v>
      </c>
      <c r="D126" s="1323"/>
      <c r="E126" s="1323" t="s">
        <v>380</v>
      </c>
      <c r="F126" s="1323"/>
      <c r="G126" s="250"/>
      <c r="H126" s="250"/>
      <c r="I126" s="250"/>
      <c r="J126" s="250" t="s">
        <v>471</v>
      </c>
      <c r="K126" s="102"/>
      <c r="L126" s="102"/>
      <c r="M126" s="33"/>
      <c r="N126" s="33"/>
      <c r="O126" s="77"/>
      <c r="P126" s="77"/>
      <c r="Q126" s="78"/>
      <c r="Z126" s="79"/>
      <c r="AA126" s="80"/>
      <c r="AB126" s="34"/>
      <c r="AC126" s="34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</row>
    <row r="127" spans="1:41" ht="24" thickTop="1">
      <c r="A127" s="102"/>
      <c r="B127" s="102"/>
      <c r="C127" s="250"/>
      <c r="D127" s="250"/>
      <c r="E127" s="250"/>
      <c r="F127" s="250"/>
      <c r="G127" s="33"/>
      <c r="H127" s="103" t="s">
        <v>406</v>
      </c>
      <c r="I127" s="33"/>
      <c r="J127" s="34"/>
      <c r="K127" s="34"/>
      <c r="L127" s="33"/>
      <c r="M127" s="33"/>
      <c r="N127" s="104"/>
      <c r="O127" s="77"/>
      <c r="P127" s="77"/>
      <c r="Q127" s="78"/>
      <c r="Z127" s="79"/>
      <c r="AA127" s="80"/>
      <c r="AB127" s="34"/>
      <c r="AC127" s="34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</row>
    <row r="128" spans="1:41" ht="18">
      <c r="A128" s="1295" t="s">
        <v>78</v>
      </c>
      <c r="B128" s="1295"/>
      <c r="C128" s="1295"/>
      <c r="D128" s="1295"/>
      <c r="E128" s="1295"/>
      <c r="F128" s="1295"/>
      <c r="G128" s="1295"/>
      <c r="H128" s="1295"/>
      <c r="I128" s="1295"/>
      <c r="J128" s="1295"/>
      <c r="K128" s="1295"/>
      <c r="L128" s="1295"/>
      <c r="M128" s="1295"/>
      <c r="N128" s="1295"/>
      <c r="O128" s="77"/>
      <c r="P128" s="77"/>
      <c r="Q128" s="78"/>
      <c r="Z128" s="79"/>
      <c r="AA128" s="80"/>
      <c r="AB128" s="34"/>
      <c r="AC128" s="34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</row>
    <row r="129" spans="1:41" ht="18">
      <c r="A129" s="1295" t="s">
        <v>79</v>
      </c>
      <c r="B129" s="1295"/>
      <c r="C129" s="1295"/>
      <c r="D129" s="1295"/>
      <c r="E129" s="1295"/>
      <c r="F129" s="1295"/>
      <c r="G129" s="1295"/>
      <c r="H129" s="1295"/>
      <c r="I129" s="1295"/>
      <c r="J129" s="1295"/>
      <c r="K129" s="1295"/>
      <c r="L129" s="1295"/>
      <c r="M129" s="1295"/>
      <c r="N129" s="1295"/>
      <c r="O129" s="77"/>
      <c r="P129" s="77"/>
      <c r="Q129" s="78"/>
      <c r="Z129" s="79"/>
      <c r="AA129" s="80"/>
      <c r="AB129" s="34"/>
      <c r="AC129" s="34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</row>
    <row r="130" spans="1:41" ht="18">
      <c r="A130" s="168" t="s">
        <v>220</v>
      </c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33"/>
      <c r="N130" s="33"/>
      <c r="O130" s="77"/>
      <c r="P130" s="77"/>
      <c r="Q130" s="78"/>
      <c r="Z130" s="79"/>
      <c r="AA130" s="80"/>
      <c r="AB130" s="34"/>
      <c r="AC130" s="34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</row>
    <row r="131" spans="1:41" ht="18">
      <c r="A131" s="168" t="s">
        <v>444</v>
      </c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33"/>
      <c r="N131" s="33"/>
      <c r="O131" s="77"/>
      <c r="P131" s="77"/>
      <c r="Q131" s="78"/>
      <c r="Z131" s="79"/>
      <c r="AA131" s="80"/>
      <c r="AB131" s="34"/>
      <c r="AC131" s="34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</row>
    <row r="132" spans="1:41" ht="18.75" thickBot="1">
      <c r="A132" s="250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33"/>
      <c r="N132" s="33"/>
      <c r="O132" s="77"/>
      <c r="P132" s="77"/>
      <c r="Q132" s="78"/>
      <c r="Z132" s="79"/>
      <c r="AA132" s="80"/>
      <c r="AB132" s="34"/>
      <c r="AC132" s="34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</row>
    <row r="133" spans="1:41" ht="24" thickBot="1">
      <c r="A133" s="250"/>
      <c r="B133" s="250"/>
      <c r="C133" s="1333" t="s">
        <v>446</v>
      </c>
      <c r="D133" s="1334"/>
      <c r="E133" s="1334"/>
      <c r="F133" s="1334"/>
      <c r="G133" s="1334"/>
      <c r="H133" s="1334"/>
      <c r="I133" s="1334"/>
      <c r="J133" s="1334"/>
      <c r="K133" s="1334"/>
      <c r="L133" s="1335"/>
      <c r="M133" s="33"/>
      <c r="N133" s="33"/>
      <c r="O133" s="77"/>
      <c r="P133" s="77"/>
      <c r="Q133" s="78"/>
      <c r="Z133" s="79"/>
      <c r="AA133" s="80"/>
      <c r="AB133" s="34"/>
      <c r="AC133" s="34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</row>
    <row r="134" spans="1:41" ht="23.25">
      <c r="A134" s="250"/>
      <c r="B134" s="250"/>
      <c r="C134" s="249"/>
      <c r="D134" s="249"/>
      <c r="E134" s="249"/>
      <c r="F134" s="249"/>
      <c r="G134" s="249"/>
      <c r="H134" s="249"/>
      <c r="I134" s="249"/>
      <c r="J134" s="249"/>
      <c r="K134" s="249"/>
      <c r="L134" s="249"/>
      <c r="M134" s="33"/>
      <c r="N134" s="33"/>
      <c r="O134" s="77"/>
      <c r="P134" s="77"/>
      <c r="Q134" s="78"/>
      <c r="Z134" s="79"/>
      <c r="AA134" s="80"/>
      <c r="AB134" s="34"/>
      <c r="AC134" s="34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</row>
    <row r="135" spans="1:41" ht="23.25">
      <c r="A135" s="1295" t="s">
        <v>448</v>
      </c>
      <c r="B135" s="1295"/>
      <c r="C135" s="1295"/>
      <c r="D135" s="1294" t="s">
        <v>1220</v>
      </c>
      <c r="E135" s="1294"/>
      <c r="F135" s="1294"/>
      <c r="G135" s="1294"/>
      <c r="H135" s="1294"/>
      <c r="I135" s="249"/>
      <c r="J135" s="249"/>
      <c r="K135" s="249" t="s">
        <v>449</v>
      </c>
      <c r="L135" s="249"/>
      <c r="M135" s="1295" t="s">
        <v>262</v>
      </c>
      <c r="N135" s="1295"/>
      <c r="O135" s="1292" t="str">
        <f>D135</f>
        <v>مدين سيف الدين</v>
      </c>
      <c r="P135" s="1292"/>
      <c r="Q135" s="78">
        <v>5</v>
      </c>
      <c r="Z135" s="79"/>
      <c r="AA135" s="80"/>
      <c r="AB135" s="34"/>
      <c r="AC135" s="34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</row>
    <row r="136" spans="1:41" ht="24" thickBot="1">
      <c r="A136" s="1340" t="s">
        <v>450</v>
      </c>
      <c r="B136" s="1340"/>
      <c r="C136" s="1340"/>
      <c r="D136" s="1340" t="s">
        <v>380</v>
      </c>
      <c r="E136" s="1340"/>
      <c r="F136" s="1340"/>
      <c r="G136" s="1340"/>
      <c r="H136" s="87"/>
      <c r="I136" s="1340" t="s">
        <v>452</v>
      </c>
      <c r="J136" s="1340"/>
      <c r="K136" s="1340"/>
      <c r="L136" s="1341" t="s">
        <v>380</v>
      </c>
      <c r="M136" s="1341"/>
      <c r="N136" s="1341"/>
      <c r="O136" s="77"/>
      <c r="P136" s="77"/>
      <c r="Q136" s="78"/>
      <c r="Z136" s="79"/>
      <c r="AA136" s="80"/>
      <c r="AB136" s="34"/>
      <c r="AC136" s="34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</row>
    <row r="137" spans="1:41" ht="17.25" thickTop="1" thickBot="1">
      <c r="A137" s="1318" t="s">
        <v>453</v>
      </c>
      <c r="B137" s="1319"/>
      <c r="C137" s="88" t="s">
        <v>2</v>
      </c>
      <c r="D137" s="89" t="s">
        <v>493</v>
      </c>
      <c r="E137" s="89" t="s">
        <v>11</v>
      </c>
      <c r="F137" s="89" t="s">
        <v>380</v>
      </c>
      <c r="G137" s="89" t="s">
        <v>380</v>
      </c>
      <c r="H137" s="89" t="s">
        <v>380</v>
      </c>
      <c r="I137" s="89" t="s">
        <v>380</v>
      </c>
      <c r="J137" s="89" t="s">
        <v>380</v>
      </c>
      <c r="K137" s="89" t="s">
        <v>380</v>
      </c>
      <c r="L137" s="89" t="s">
        <v>380</v>
      </c>
      <c r="M137" s="89" t="s">
        <v>380</v>
      </c>
      <c r="N137" s="90" t="s">
        <v>380</v>
      </c>
      <c r="Z137" s="79"/>
      <c r="AA137" s="80"/>
      <c r="AB137" s="34"/>
      <c r="AC137" s="34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</row>
    <row r="138" spans="1:41" ht="24" thickBot="1">
      <c r="A138" s="1329" t="s">
        <v>454</v>
      </c>
      <c r="B138" s="1330"/>
      <c r="C138" s="91">
        <v>5</v>
      </c>
      <c r="D138" s="210">
        <v>3</v>
      </c>
      <c r="E138" s="210">
        <v>6</v>
      </c>
      <c r="F138" s="210" t="s">
        <v>380</v>
      </c>
      <c r="G138" s="210" t="s">
        <v>380</v>
      </c>
      <c r="H138" s="210" t="s">
        <v>380</v>
      </c>
      <c r="I138" s="210" t="s">
        <v>380</v>
      </c>
      <c r="J138" s="210" t="s">
        <v>380</v>
      </c>
      <c r="K138" s="210" t="s">
        <v>380</v>
      </c>
      <c r="L138" s="210" t="s">
        <v>380</v>
      </c>
      <c r="M138" s="210" t="s">
        <v>380</v>
      </c>
      <c r="N138" s="92" t="s">
        <v>380</v>
      </c>
      <c r="O138" s="152"/>
      <c r="Z138" s="79"/>
      <c r="AA138" s="80"/>
      <c r="AB138" s="34"/>
      <c r="AC138" s="34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</row>
    <row r="139" spans="1:41" ht="24" thickBot="1">
      <c r="A139" s="1329" t="s">
        <v>455</v>
      </c>
      <c r="B139" s="1330"/>
      <c r="C139" s="91" t="s">
        <v>380</v>
      </c>
      <c r="D139" s="210" t="s">
        <v>380</v>
      </c>
      <c r="E139" s="210" t="s">
        <v>380</v>
      </c>
      <c r="F139" s="210" t="s">
        <v>380</v>
      </c>
      <c r="G139" s="210" t="s">
        <v>380</v>
      </c>
      <c r="H139" s="210" t="s">
        <v>380</v>
      </c>
      <c r="I139" s="210" t="s">
        <v>380</v>
      </c>
      <c r="J139" s="210" t="s">
        <v>380</v>
      </c>
      <c r="K139" s="210" t="s">
        <v>380</v>
      </c>
      <c r="L139" s="210" t="s">
        <v>380</v>
      </c>
      <c r="M139" s="210" t="s">
        <v>380</v>
      </c>
      <c r="N139" s="92" t="s">
        <v>380</v>
      </c>
      <c r="O139" s="152"/>
      <c r="Z139" s="79"/>
      <c r="AA139" s="80"/>
      <c r="AB139" s="34"/>
      <c r="AC139" s="34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</row>
    <row r="140" spans="1:41" ht="24" thickBot="1">
      <c r="A140" s="1327" t="s">
        <v>456</v>
      </c>
      <c r="B140" s="1328"/>
      <c r="C140" s="93" t="s">
        <v>380</v>
      </c>
      <c r="D140" s="94" t="s">
        <v>380</v>
      </c>
      <c r="E140" s="94" t="s">
        <v>380</v>
      </c>
      <c r="F140" s="94" t="s">
        <v>380</v>
      </c>
      <c r="G140" s="94" t="s">
        <v>380</v>
      </c>
      <c r="H140" s="94" t="s">
        <v>380</v>
      </c>
      <c r="I140" s="94" t="s">
        <v>380</v>
      </c>
      <c r="J140" s="94" t="s">
        <v>380</v>
      </c>
      <c r="K140" s="94" t="s">
        <v>380</v>
      </c>
      <c r="L140" s="94" t="s">
        <v>380</v>
      </c>
      <c r="M140" s="94" t="s">
        <v>380</v>
      </c>
      <c r="N140" s="95" t="s">
        <v>380</v>
      </c>
      <c r="O140" s="152"/>
      <c r="Z140" s="79"/>
      <c r="AA140" s="80"/>
      <c r="AB140" s="34"/>
      <c r="AC140" s="34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</row>
    <row r="141" spans="1:41" ht="21" thickTop="1">
      <c r="A141" s="96"/>
      <c r="B141" s="96"/>
      <c r="C141" s="96"/>
      <c r="D141" s="96"/>
      <c r="E141" s="1326" t="s">
        <v>457</v>
      </c>
      <c r="F141" s="1310"/>
      <c r="G141" s="97">
        <v>18</v>
      </c>
      <c r="H141" s="1310" t="s">
        <v>458</v>
      </c>
      <c r="I141" s="1311"/>
      <c r="J141" s="1310" t="s">
        <v>459</v>
      </c>
      <c r="K141" s="1311"/>
      <c r="L141" s="96"/>
      <c r="M141" s="96"/>
      <c r="N141" s="96"/>
      <c r="O141" s="77"/>
      <c r="P141" s="77"/>
      <c r="Q141" s="78"/>
      <c r="Z141" s="79"/>
      <c r="AA141" s="80"/>
      <c r="AB141" s="34"/>
      <c r="AC141" s="34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</row>
    <row r="142" spans="1:41" ht="23.25">
      <c r="A142" s="96"/>
      <c r="B142" s="96"/>
      <c r="C142" s="96"/>
      <c r="D142" s="96"/>
      <c r="E142" s="1307" t="s">
        <v>460</v>
      </c>
      <c r="F142" s="1308"/>
      <c r="G142" s="98">
        <v>0</v>
      </c>
      <c r="H142" s="1312">
        <v>0</v>
      </c>
      <c r="I142" s="1312"/>
      <c r="J142" s="1312">
        <v>0</v>
      </c>
      <c r="K142" s="1313"/>
      <c r="L142" s="96"/>
      <c r="M142" s="96"/>
      <c r="N142" s="96"/>
      <c r="O142" s="77"/>
      <c r="P142" s="77"/>
      <c r="Q142" s="78">
        <f>G142+H142+H144+J142</f>
        <v>0</v>
      </c>
      <c r="Z142" s="79"/>
      <c r="AA142" s="80"/>
      <c r="AB142" s="34"/>
      <c r="AC142" s="34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</row>
    <row r="143" spans="1:41" ht="20.25">
      <c r="A143" s="96"/>
      <c r="B143" s="96"/>
      <c r="C143" s="96"/>
      <c r="D143" s="96"/>
      <c r="E143" s="1307" t="s">
        <v>461</v>
      </c>
      <c r="F143" s="1308"/>
      <c r="G143" s="99">
        <v>18</v>
      </c>
      <c r="H143" s="1308" t="s">
        <v>462</v>
      </c>
      <c r="I143" s="1308"/>
      <c r="J143" s="1308" t="s">
        <v>463</v>
      </c>
      <c r="K143" s="1309"/>
      <c r="L143" s="96"/>
      <c r="M143" s="96"/>
      <c r="N143" s="96"/>
      <c r="O143" s="77"/>
      <c r="P143" s="77"/>
      <c r="Q143" s="78"/>
      <c r="Z143" s="79"/>
      <c r="AA143" s="80"/>
      <c r="AB143" s="34"/>
      <c r="AC143" s="34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</row>
    <row r="144" spans="1:41" ht="24" thickBot="1">
      <c r="A144" s="96"/>
      <c r="B144" s="96"/>
      <c r="C144" s="96"/>
      <c r="D144" s="96"/>
      <c r="E144" s="1303" t="s">
        <v>464</v>
      </c>
      <c r="F144" s="1304"/>
      <c r="G144" s="99">
        <v>0</v>
      </c>
      <c r="H144" s="1305">
        <v>0</v>
      </c>
      <c r="I144" s="1305"/>
      <c r="J144" s="1305">
        <v>0</v>
      </c>
      <c r="K144" s="1306"/>
      <c r="L144" s="96"/>
      <c r="M144" s="96"/>
      <c r="N144" s="96"/>
      <c r="O144" s="77"/>
      <c r="P144" s="77"/>
      <c r="Q144" s="78"/>
      <c r="Z144" s="79"/>
      <c r="AA144" s="80"/>
      <c r="AB144" s="34"/>
      <c r="AC144" s="34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</row>
    <row r="145" spans="1:41" ht="17.25" thickTop="1" thickBot="1">
      <c r="A145" s="34"/>
      <c r="B145" s="34"/>
      <c r="C145" s="1299" t="s">
        <v>465</v>
      </c>
      <c r="D145" s="1299"/>
      <c r="E145" s="1299" t="s">
        <v>360</v>
      </c>
      <c r="F145" s="1299"/>
      <c r="G145" s="1302" t="s">
        <v>368</v>
      </c>
      <c r="H145" s="1302"/>
      <c r="I145" s="1302" t="s">
        <v>369</v>
      </c>
      <c r="J145" s="1302"/>
      <c r="K145" s="1302" t="s">
        <v>370</v>
      </c>
      <c r="L145" s="1299"/>
      <c r="M145" s="1299" t="s">
        <v>371</v>
      </c>
      <c r="N145" s="1299"/>
      <c r="O145" s="77"/>
      <c r="P145" s="77"/>
      <c r="Q145" s="78"/>
      <c r="Z145" s="79"/>
      <c r="AA145" s="80"/>
      <c r="AB145" s="34"/>
      <c r="AC145" s="34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</row>
    <row r="146" spans="1:41" ht="17.25" thickTop="1" thickBot="1">
      <c r="A146" s="34"/>
      <c r="B146" s="34"/>
      <c r="C146" s="1299" t="s">
        <v>372</v>
      </c>
      <c r="D146" s="1299"/>
      <c r="E146" s="1297" t="s">
        <v>380</v>
      </c>
      <c r="F146" s="1297"/>
      <c r="G146" s="1297" t="s">
        <v>2</v>
      </c>
      <c r="H146" s="1297"/>
      <c r="I146" s="1297" t="s">
        <v>2</v>
      </c>
      <c r="J146" s="1297"/>
      <c r="K146" s="1297" t="s">
        <v>11</v>
      </c>
      <c r="L146" s="1297"/>
      <c r="M146" s="1297" t="s">
        <v>380</v>
      </c>
      <c r="N146" s="1297"/>
      <c r="O146" s="77"/>
      <c r="P146" s="77"/>
      <c r="Q146" s="78"/>
      <c r="Z146" s="79"/>
      <c r="AA146" s="80"/>
      <c r="AB146" s="34"/>
      <c r="AC146" s="34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</row>
    <row r="147" spans="1:41" ht="17.25" thickTop="1" thickBot="1">
      <c r="A147" s="34"/>
      <c r="B147" s="34"/>
      <c r="C147" s="1299" t="s">
        <v>373</v>
      </c>
      <c r="D147" s="1299"/>
      <c r="E147" s="1297" t="s">
        <v>380</v>
      </c>
      <c r="F147" s="1297"/>
      <c r="G147" s="1297"/>
      <c r="H147" s="1297"/>
      <c r="I147" s="1297" t="s">
        <v>493</v>
      </c>
      <c r="J147" s="1297"/>
      <c r="K147" s="1297" t="s">
        <v>11</v>
      </c>
      <c r="L147" s="1297"/>
      <c r="M147" s="1297" t="s">
        <v>380</v>
      </c>
      <c r="N147" s="1297"/>
      <c r="O147" s="77"/>
      <c r="P147" s="77"/>
      <c r="Q147" s="78"/>
      <c r="Z147" s="79"/>
      <c r="AA147" s="80"/>
      <c r="AB147" s="34"/>
      <c r="AC147" s="34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</row>
    <row r="148" spans="1:41" ht="17.25" thickTop="1" thickBot="1">
      <c r="A148" s="34"/>
      <c r="B148" s="34"/>
      <c r="C148" s="1299" t="s">
        <v>374</v>
      </c>
      <c r="D148" s="1299"/>
      <c r="E148" s="1297" t="s">
        <v>380</v>
      </c>
      <c r="F148" s="1297"/>
      <c r="G148" s="1315" t="s">
        <v>11</v>
      </c>
      <c r="H148" s="1316"/>
      <c r="I148" s="1297" t="s">
        <v>11</v>
      </c>
      <c r="J148" s="1297"/>
      <c r="K148" s="1297" t="s">
        <v>2</v>
      </c>
      <c r="L148" s="1297"/>
      <c r="M148" s="1297" t="s">
        <v>380</v>
      </c>
      <c r="N148" s="1297"/>
      <c r="O148" s="77"/>
      <c r="P148" s="77"/>
      <c r="Q148" s="78"/>
      <c r="R148" s="154"/>
      <c r="Z148" s="79"/>
      <c r="AA148" s="80"/>
      <c r="AB148" s="34"/>
      <c r="AC148" s="34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</row>
    <row r="149" spans="1:41" ht="17.25" thickTop="1" thickBot="1">
      <c r="A149" s="34"/>
      <c r="B149" s="34"/>
      <c r="C149" s="1299" t="s">
        <v>375</v>
      </c>
      <c r="D149" s="1299"/>
      <c r="E149" s="1297" t="s">
        <v>380</v>
      </c>
      <c r="F149" s="1297"/>
      <c r="G149" s="1315" t="s">
        <v>11</v>
      </c>
      <c r="H149" s="1316"/>
      <c r="I149" s="1297" t="s">
        <v>380</v>
      </c>
      <c r="J149" s="1297"/>
      <c r="K149" s="1297" t="s">
        <v>2</v>
      </c>
      <c r="L149" s="1297"/>
      <c r="M149" s="1297" t="s">
        <v>380</v>
      </c>
      <c r="N149" s="1297"/>
      <c r="O149" s="77"/>
      <c r="P149" s="77"/>
      <c r="Q149" s="78"/>
      <c r="Z149" s="79"/>
      <c r="AA149" s="80"/>
      <c r="AB149" s="34"/>
      <c r="AC149" s="34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</row>
    <row r="150" spans="1:41" ht="17.25" thickTop="1" thickBot="1">
      <c r="A150" s="34"/>
      <c r="B150" s="34"/>
      <c r="C150" s="101"/>
      <c r="D150" s="101"/>
      <c r="E150" s="33"/>
      <c r="F150" s="33"/>
      <c r="G150" s="33"/>
      <c r="H150" s="33"/>
      <c r="I150" s="33"/>
      <c r="J150" s="33"/>
      <c r="K150" s="34"/>
      <c r="L150" s="34"/>
      <c r="M150" s="33"/>
      <c r="N150" s="33"/>
      <c r="O150" s="77"/>
      <c r="P150" s="77"/>
      <c r="Q150" s="78"/>
      <c r="Z150" s="79"/>
      <c r="AA150" s="80"/>
      <c r="AB150" s="34"/>
      <c r="AC150" s="34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</row>
    <row r="151" spans="1:41" ht="17.25" thickTop="1" thickBot="1">
      <c r="A151" s="34"/>
      <c r="B151" s="34"/>
      <c r="C151" s="1299" t="s">
        <v>376</v>
      </c>
      <c r="D151" s="1299"/>
      <c r="E151" s="1297"/>
      <c r="F151" s="1297"/>
      <c r="G151" s="1297" t="s">
        <v>380</v>
      </c>
      <c r="H151" s="1297"/>
      <c r="I151" s="1297" t="s">
        <v>380</v>
      </c>
      <c r="J151" s="1297"/>
      <c r="K151" s="1297" t="s">
        <v>380</v>
      </c>
      <c r="L151" s="1297"/>
      <c r="M151" s="1297" t="s">
        <v>2</v>
      </c>
      <c r="N151" s="1297"/>
      <c r="O151" s="77"/>
      <c r="P151" s="77"/>
      <c r="Q151" s="78"/>
      <c r="Z151" s="79"/>
      <c r="AA151" s="80"/>
      <c r="AB151" s="34"/>
      <c r="AC151" s="34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</row>
    <row r="152" spans="1:41" ht="17.25" thickTop="1" thickBot="1">
      <c r="A152" s="34"/>
      <c r="B152" s="34"/>
      <c r="C152" s="1299" t="s">
        <v>377</v>
      </c>
      <c r="D152" s="1299"/>
      <c r="E152" s="1297" t="s">
        <v>11</v>
      </c>
      <c r="F152" s="1297"/>
      <c r="G152" s="1297" t="s">
        <v>380</v>
      </c>
      <c r="H152" s="1297"/>
      <c r="I152" s="1297" t="s">
        <v>380</v>
      </c>
      <c r="J152" s="1297"/>
      <c r="K152" s="1297" t="s">
        <v>380</v>
      </c>
      <c r="L152" s="1297"/>
      <c r="M152" s="1297" t="s">
        <v>380</v>
      </c>
      <c r="N152" s="1297"/>
      <c r="O152" s="77"/>
      <c r="P152" s="77"/>
      <c r="Q152" s="78"/>
      <c r="Z152" s="79"/>
      <c r="AA152" s="80"/>
      <c r="AB152" s="34"/>
      <c r="AC152" s="34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</row>
    <row r="153" spans="1:41" ht="17.25" thickTop="1" thickBot="1">
      <c r="A153" s="34"/>
      <c r="B153" s="34"/>
      <c r="C153" s="1299" t="s">
        <v>378</v>
      </c>
      <c r="D153" s="1299"/>
      <c r="E153" s="1315" t="s">
        <v>493</v>
      </c>
      <c r="F153" s="1316"/>
      <c r="G153" s="1297" t="s">
        <v>380</v>
      </c>
      <c r="H153" s="1297"/>
      <c r="I153" s="1297" t="s">
        <v>380</v>
      </c>
      <c r="J153" s="1297"/>
      <c r="K153" s="1297" t="s">
        <v>380</v>
      </c>
      <c r="L153" s="1297"/>
      <c r="M153" s="1297" t="s">
        <v>493</v>
      </c>
      <c r="N153" s="1297"/>
      <c r="O153" s="77"/>
      <c r="P153" s="77"/>
      <c r="Q153" s="78"/>
      <c r="Z153" s="79"/>
      <c r="AA153" s="80"/>
      <c r="AB153" s="34"/>
      <c r="AC153" s="34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</row>
    <row r="154" spans="1:41" ht="17.25" thickTop="1" thickBot="1">
      <c r="A154" s="34"/>
      <c r="B154" s="34"/>
      <c r="C154" s="1299" t="s">
        <v>379</v>
      </c>
      <c r="D154" s="1299"/>
      <c r="E154" s="1297" t="s">
        <v>380</v>
      </c>
      <c r="F154" s="1297"/>
      <c r="G154" s="1297" t="s">
        <v>380</v>
      </c>
      <c r="H154" s="1297"/>
      <c r="I154" s="1297" t="s">
        <v>380</v>
      </c>
      <c r="J154" s="1297"/>
      <c r="K154" s="1297" t="s">
        <v>380</v>
      </c>
      <c r="L154" s="1297"/>
      <c r="M154" s="1297" t="s">
        <v>380</v>
      </c>
      <c r="N154" s="1297"/>
      <c r="O154" s="77"/>
      <c r="P154" s="77"/>
      <c r="Q154" s="78"/>
      <c r="Z154" s="79"/>
      <c r="AA154" s="80"/>
      <c r="AB154" s="34"/>
      <c r="AC154" s="34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</row>
    <row r="155" spans="1:41" ht="17.25" thickTop="1" thickBot="1">
      <c r="A155" s="34"/>
      <c r="B155" s="34"/>
      <c r="C155" s="33"/>
      <c r="D155" s="33"/>
      <c r="E155" s="33"/>
      <c r="F155" s="33"/>
      <c r="G155" s="33"/>
      <c r="H155" s="33"/>
      <c r="I155" s="33" t="s">
        <v>494</v>
      </c>
      <c r="J155" s="33"/>
      <c r="K155" s="34"/>
      <c r="L155" s="34"/>
      <c r="M155" s="33"/>
      <c r="N155" s="33"/>
      <c r="O155" s="77"/>
      <c r="P155" s="77"/>
      <c r="Q155" s="78"/>
      <c r="Z155" s="79"/>
      <c r="AA155" s="80"/>
      <c r="AB155" s="34"/>
      <c r="AC155" s="34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</row>
    <row r="156" spans="1:41" ht="19.5" thickTop="1" thickBot="1">
      <c r="A156" s="1321" t="s">
        <v>467</v>
      </c>
      <c r="B156" s="1322"/>
      <c r="C156" s="1323" t="s">
        <v>380</v>
      </c>
      <c r="D156" s="1323"/>
      <c r="E156" s="1323" t="s">
        <v>380</v>
      </c>
      <c r="F156" s="1323"/>
      <c r="G156" s="250"/>
      <c r="H156" s="250" t="s">
        <v>468</v>
      </c>
      <c r="I156" s="1295" t="s">
        <v>402</v>
      </c>
      <c r="J156" s="1295"/>
      <c r="K156" s="1295"/>
      <c r="L156" s="102" t="s">
        <v>403</v>
      </c>
      <c r="M156" s="1331">
        <v>43710</v>
      </c>
      <c r="N156" s="1331"/>
      <c r="O156" s="77"/>
      <c r="P156" s="77"/>
      <c r="Q156" s="78"/>
      <c r="Z156" s="79"/>
      <c r="AA156" s="80"/>
      <c r="AB156" s="34"/>
      <c r="AC156" s="34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</row>
    <row r="157" spans="1:41" ht="19.5" thickTop="1" thickBot="1">
      <c r="A157" s="1321" t="s">
        <v>469</v>
      </c>
      <c r="B157" s="1322"/>
      <c r="C157" s="1323" t="s">
        <v>380</v>
      </c>
      <c r="D157" s="1323"/>
      <c r="E157" s="1323" t="s">
        <v>380</v>
      </c>
      <c r="F157" s="1323"/>
      <c r="G157" s="250"/>
      <c r="H157" s="250"/>
      <c r="I157" s="250"/>
      <c r="J157" s="250"/>
      <c r="K157" s="102"/>
      <c r="L157" s="102"/>
      <c r="M157" s="33"/>
      <c r="N157" s="33"/>
      <c r="O157" s="77"/>
      <c r="P157" s="77"/>
      <c r="Q157" s="78"/>
      <c r="Z157" s="79"/>
      <c r="AA157" s="80"/>
      <c r="AB157" s="34"/>
      <c r="AC157" s="34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</row>
    <row r="158" spans="1:41" ht="19.5" thickTop="1" thickBot="1">
      <c r="A158" s="1321" t="s">
        <v>470</v>
      </c>
      <c r="B158" s="1322"/>
      <c r="C158" s="1323" t="s">
        <v>380</v>
      </c>
      <c r="D158" s="1323"/>
      <c r="E158" s="1323" t="s">
        <v>380</v>
      </c>
      <c r="F158" s="1323"/>
      <c r="G158" s="250"/>
      <c r="H158" s="250"/>
      <c r="I158" s="250"/>
      <c r="J158" s="250" t="s">
        <v>471</v>
      </c>
      <c r="K158" s="102"/>
      <c r="L158" s="102"/>
      <c r="M158" s="33"/>
      <c r="N158" s="33"/>
      <c r="O158" s="77"/>
      <c r="P158" s="77"/>
      <c r="Q158" s="78"/>
      <c r="Z158" s="79"/>
      <c r="AA158" s="80"/>
      <c r="AB158" s="34"/>
      <c r="AC158" s="34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</row>
    <row r="159" spans="1:41" ht="24" thickTop="1">
      <c r="A159" s="34"/>
      <c r="B159" s="34"/>
      <c r="C159" s="33"/>
      <c r="D159" s="33"/>
      <c r="E159" s="33"/>
      <c r="F159" s="33"/>
      <c r="G159" s="33"/>
      <c r="H159" s="103" t="s">
        <v>406</v>
      </c>
      <c r="I159" s="33"/>
      <c r="J159" s="34"/>
      <c r="K159" s="34"/>
      <c r="L159" s="33"/>
      <c r="M159" s="33"/>
      <c r="N159" s="104"/>
      <c r="O159" s="77"/>
      <c r="P159" s="77"/>
      <c r="Q159" s="78"/>
      <c r="Z159" s="79"/>
      <c r="AA159" s="80"/>
      <c r="AB159" s="34"/>
      <c r="AC159" s="34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</row>
    <row r="160" spans="1:41" ht="18">
      <c r="A160" s="1295" t="s">
        <v>78</v>
      </c>
      <c r="B160" s="1295"/>
      <c r="C160" s="1295"/>
      <c r="D160" s="1295"/>
      <c r="E160" s="1295"/>
      <c r="F160" s="1295"/>
      <c r="G160" s="1295"/>
      <c r="H160" s="1295"/>
      <c r="I160" s="1295"/>
      <c r="J160" s="1295"/>
      <c r="K160" s="1295"/>
      <c r="L160" s="1295"/>
      <c r="M160" s="1295"/>
      <c r="N160" s="1295"/>
      <c r="O160" s="77"/>
      <c r="P160" s="77"/>
      <c r="Q160" s="78"/>
      <c r="Z160" s="79"/>
      <c r="AA160" s="80"/>
      <c r="AB160" s="34"/>
      <c r="AC160" s="34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</row>
    <row r="161" spans="1:41" ht="18">
      <c r="A161" s="1295" t="s">
        <v>79</v>
      </c>
      <c r="B161" s="1295"/>
      <c r="C161" s="1295"/>
      <c r="D161" s="1295"/>
      <c r="E161" s="1295"/>
      <c r="F161" s="1295"/>
      <c r="G161" s="1295"/>
      <c r="H161" s="1295"/>
      <c r="I161" s="1295"/>
      <c r="J161" s="1295"/>
      <c r="K161" s="1295"/>
      <c r="L161" s="1295"/>
      <c r="M161" s="1295"/>
      <c r="N161" s="1295"/>
      <c r="O161" s="77"/>
      <c r="P161" s="77"/>
      <c r="Q161" s="78"/>
      <c r="Z161" s="79"/>
      <c r="AA161" s="80"/>
      <c r="AB161" s="34"/>
      <c r="AC161" s="34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</row>
    <row r="162" spans="1:41" ht="18">
      <c r="A162" s="168" t="s">
        <v>220</v>
      </c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33"/>
      <c r="N162" s="33"/>
      <c r="O162" s="77"/>
      <c r="P162" s="77"/>
      <c r="Q162" s="78"/>
      <c r="Z162" s="79"/>
      <c r="AA162" s="80"/>
      <c r="AB162" s="34"/>
      <c r="AC162" s="34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</row>
    <row r="163" spans="1:41" ht="18">
      <c r="A163" s="168" t="s">
        <v>444</v>
      </c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33"/>
      <c r="N163" s="33"/>
      <c r="O163" s="77"/>
      <c r="P163" s="77"/>
      <c r="Q163" s="78"/>
      <c r="Z163" s="79"/>
      <c r="AA163" s="80"/>
      <c r="AB163" s="34"/>
      <c r="AC163" s="34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</row>
    <row r="164" spans="1:41" ht="18.75" thickBot="1">
      <c r="A164" s="250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33"/>
      <c r="N164" s="33"/>
      <c r="O164" s="77"/>
      <c r="P164" s="77"/>
      <c r="Q164" s="78"/>
      <c r="Z164" s="79"/>
      <c r="AA164" s="80"/>
      <c r="AB164" s="34"/>
      <c r="AC164" s="34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</row>
    <row r="165" spans="1:41" ht="24" thickBot="1">
      <c r="A165" s="250"/>
      <c r="B165" s="250"/>
      <c r="C165" s="1333" t="s">
        <v>446</v>
      </c>
      <c r="D165" s="1334"/>
      <c r="E165" s="1334"/>
      <c r="F165" s="1334"/>
      <c r="G165" s="1334"/>
      <c r="H165" s="1334"/>
      <c r="I165" s="1334"/>
      <c r="J165" s="1334"/>
      <c r="K165" s="1334"/>
      <c r="L165" s="1335"/>
      <c r="M165" s="33"/>
      <c r="N165" s="33"/>
      <c r="O165" s="77"/>
      <c r="P165" s="77"/>
      <c r="Q165" s="78"/>
      <c r="Z165" s="79"/>
      <c r="AA165" s="80"/>
      <c r="AB165" s="34"/>
      <c r="AC165" s="34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</row>
    <row r="166" spans="1:41" ht="23.25">
      <c r="A166" s="250"/>
      <c r="B166" s="250"/>
      <c r="C166" s="249"/>
      <c r="D166" s="249"/>
      <c r="E166" s="249"/>
      <c r="F166" s="249"/>
      <c r="G166" s="249"/>
      <c r="H166" s="249"/>
      <c r="I166" s="249"/>
      <c r="J166" s="249"/>
      <c r="K166" s="249"/>
      <c r="L166" s="249"/>
      <c r="M166" s="33"/>
      <c r="N166" s="33"/>
      <c r="O166" s="77"/>
      <c r="P166" s="77"/>
      <c r="Q166" s="78"/>
      <c r="Z166" s="79"/>
      <c r="AA166" s="80"/>
      <c r="AB166" s="34"/>
      <c r="AC166" s="34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</row>
    <row r="167" spans="1:41" ht="23.25">
      <c r="A167" s="1295" t="s">
        <v>448</v>
      </c>
      <c r="B167" s="1295"/>
      <c r="C167" s="1295"/>
      <c r="D167" s="1294" t="s">
        <v>808</v>
      </c>
      <c r="E167" s="1294"/>
      <c r="F167" s="1294"/>
      <c r="G167" s="1294"/>
      <c r="H167" s="1294"/>
      <c r="I167" s="249"/>
      <c r="J167" s="249"/>
      <c r="K167" s="249" t="s">
        <v>449</v>
      </c>
      <c r="L167" s="249"/>
      <c r="M167" s="1295" t="s">
        <v>270</v>
      </c>
      <c r="N167" s="1295"/>
      <c r="O167" s="1292" t="str">
        <f>D167</f>
        <v>بن ويس مختارية</v>
      </c>
      <c r="P167" s="1292"/>
      <c r="Q167" s="78">
        <v>6</v>
      </c>
      <c r="Z167" s="79"/>
      <c r="AA167" s="80"/>
      <c r="AB167" s="34"/>
      <c r="AC167" s="34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</row>
    <row r="168" spans="1:41" ht="24" thickBot="1">
      <c r="A168" s="1340" t="s">
        <v>450</v>
      </c>
      <c r="B168" s="1340"/>
      <c r="C168" s="1340"/>
      <c r="D168" s="1340" t="s">
        <v>451</v>
      </c>
      <c r="E168" s="1340"/>
      <c r="F168" s="1340"/>
      <c r="G168" s="1340"/>
      <c r="H168" s="87"/>
      <c r="I168" s="1340" t="s">
        <v>452</v>
      </c>
      <c r="J168" s="1340"/>
      <c r="K168" s="1340"/>
      <c r="L168" s="1341"/>
      <c r="M168" s="1341"/>
      <c r="N168" s="1341"/>
      <c r="O168" s="77"/>
      <c r="P168" s="77"/>
      <c r="Q168" s="78"/>
      <c r="Z168" s="79"/>
      <c r="AA168" s="80"/>
      <c r="AB168" s="34"/>
      <c r="AC168" s="34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</row>
    <row r="169" spans="1:41" ht="17.25" thickTop="1" thickBot="1">
      <c r="A169" s="1318" t="s">
        <v>453</v>
      </c>
      <c r="B169" s="1319"/>
      <c r="C169" s="88" t="s">
        <v>0</v>
      </c>
      <c r="D169" s="89" t="s">
        <v>8</v>
      </c>
      <c r="E169" s="89" t="s">
        <v>35</v>
      </c>
      <c r="F169" s="89" t="s">
        <v>380</v>
      </c>
      <c r="G169" s="89" t="s">
        <v>380</v>
      </c>
      <c r="H169" s="89" t="s">
        <v>380</v>
      </c>
      <c r="I169" s="89" t="s">
        <v>380</v>
      </c>
      <c r="J169" s="89" t="s">
        <v>380</v>
      </c>
      <c r="K169" s="89" t="s">
        <v>380</v>
      </c>
      <c r="L169" s="89" t="s">
        <v>380</v>
      </c>
      <c r="M169" s="89" t="s">
        <v>380</v>
      </c>
      <c r="N169" s="90" t="s">
        <v>380</v>
      </c>
      <c r="Z169" s="79"/>
      <c r="AA169" s="80"/>
      <c r="AB169" s="34"/>
      <c r="AC169" s="34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</row>
    <row r="170" spans="1:41" ht="24" thickBot="1">
      <c r="A170" s="1329" t="s">
        <v>454</v>
      </c>
      <c r="B170" s="1330"/>
      <c r="C170" s="91">
        <v>6</v>
      </c>
      <c r="D170" s="210">
        <v>6</v>
      </c>
      <c r="E170" s="210">
        <v>3</v>
      </c>
      <c r="F170" s="210" t="s">
        <v>380</v>
      </c>
      <c r="G170" s="210" t="s">
        <v>380</v>
      </c>
      <c r="H170" s="210" t="s">
        <v>380</v>
      </c>
      <c r="I170" s="210" t="s">
        <v>380</v>
      </c>
      <c r="J170" s="210" t="s">
        <v>380</v>
      </c>
      <c r="K170" s="210" t="s">
        <v>380</v>
      </c>
      <c r="L170" s="210" t="s">
        <v>380</v>
      </c>
      <c r="M170" s="210" t="s">
        <v>380</v>
      </c>
      <c r="N170" s="92" t="s">
        <v>380</v>
      </c>
      <c r="O170" s="152"/>
      <c r="R170" s="78"/>
      <c r="Z170" s="79"/>
      <c r="AA170" s="80"/>
      <c r="AB170" s="34"/>
      <c r="AC170" s="34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</row>
    <row r="171" spans="1:41" ht="24" thickBot="1">
      <c r="A171" s="1329" t="s">
        <v>455</v>
      </c>
      <c r="B171" s="1330"/>
      <c r="C171" s="91"/>
      <c r="D171" s="210"/>
      <c r="E171" s="210"/>
      <c r="F171" s="210" t="s">
        <v>380</v>
      </c>
      <c r="G171" s="210" t="s">
        <v>380</v>
      </c>
      <c r="H171" s="210" t="s">
        <v>380</v>
      </c>
      <c r="I171" s="210" t="s">
        <v>380</v>
      </c>
      <c r="J171" s="210" t="s">
        <v>380</v>
      </c>
      <c r="K171" s="210" t="s">
        <v>380</v>
      </c>
      <c r="L171" s="210" t="s">
        <v>380</v>
      </c>
      <c r="M171" s="210" t="s">
        <v>380</v>
      </c>
      <c r="N171" s="92" t="s">
        <v>380</v>
      </c>
      <c r="O171" s="152"/>
      <c r="R171" s="78"/>
      <c r="Z171" s="79"/>
      <c r="AA171" s="80"/>
      <c r="AB171" s="34"/>
      <c r="AC171" s="34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</row>
    <row r="172" spans="1:41" ht="24" thickBot="1">
      <c r="A172" s="1327" t="s">
        <v>456</v>
      </c>
      <c r="B172" s="1328"/>
      <c r="C172" s="93"/>
      <c r="D172" s="94"/>
      <c r="E172" s="94"/>
      <c r="F172" s="94" t="s">
        <v>380</v>
      </c>
      <c r="G172" s="94" t="s">
        <v>380</v>
      </c>
      <c r="H172" s="94" t="s">
        <v>380</v>
      </c>
      <c r="I172" s="94" t="s">
        <v>380</v>
      </c>
      <c r="J172" s="94" t="s">
        <v>380</v>
      </c>
      <c r="K172" s="94" t="s">
        <v>380</v>
      </c>
      <c r="L172" s="94" t="s">
        <v>380</v>
      </c>
      <c r="M172" s="94" t="s">
        <v>380</v>
      </c>
      <c r="N172" s="95" t="s">
        <v>380</v>
      </c>
      <c r="O172" s="152"/>
      <c r="Z172" s="79"/>
      <c r="AA172" s="80"/>
      <c r="AB172" s="34"/>
      <c r="AC172" s="34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</row>
    <row r="173" spans="1:41" ht="21" thickTop="1">
      <c r="A173" s="96"/>
      <c r="B173" s="96"/>
      <c r="C173" s="96"/>
      <c r="D173" s="96"/>
      <c r="E173" s="1326" t="s">
        <v>457</v>
      </c>
      <c r="F173" s="1310"/>
      <c r="G173" s="97">
        <v>18</v>
      </c>
      <c r="H173" s="1310" t="s">
        <v>458</v>
      </c>
      <c r="I173" s="1311"/>
      <c r="J173" s="1310" t="s">
        <v>459</v>
      </c>
      <c r="K173" s="1311"/>
      <c r="L173" s="96"/>
      <c r="M173" s="96"/>
      <c r="N173" s="96"/>
      <c r="O173" s="77"/>
      <c r="P173" s="77"/>
      <c r="Q173" s="78"/>
      <c r="Z173" s="79"/>
      <c r="AA173" s="80"/>
      <c r="AB173" s="34"/>
      <c r="AC173" s="34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</row>
    <row r="174" spans="1:41" ht="23.25">
      <c r="A174" s="96"/>
      <c r="B174" s="96"/>
      <c r="C174" s="96"/>
      <c r="D174" s="96"/>
      <c r="E174" s="1307" t="s">
        <v>460</v>
      </c>
      <c r="F174" s="1308"/>
      <c r="G174" s="98">
        <v>16</v>
      </c>
      <c r="H174" s="1312">
        <v>0</v>
      </c>
      <c r="I174" s="1312"/>
      <c r="J174" s="1312">
        <v>0</v>
      </c>
      <c r="K174" s="1313"/>
      <c r="L174" s="96"/>
      <c r="M174" s="96"/>
      <c r="N174" s="96"/>
      <c r="O174" s="77"/>
      <c r="P174" s="77"/>
      <c r="Q174" s="78">
        <f>G174+H174+H176+J174</f>
        <v>16</v>
      </c>
      <c r="Z174" s="79"/>
      <c r="AA174" s="80"/>
      <c r="AB174" s="34"/>
      <c r="AC174" s="34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</row>
    <row r="175" spans="1:41" ht="20.25">
      <c r="A175" s="96"/>
      <c r="B175" s="96"/>
      <c r="C175" s="96"/>
      <c r="D175" s="96"/>
      <c r="E175" s="1307" t="s">
        <v>461</v>
      </c>
      <c r="F175" s="1308"/>
      <c r="G175" s="99"/>
      <c r="H175" s="1308" t="s">
        <v>462</v>
      </c>
      <c r="I175" s="1308"/>
      <c r="J175" s="1308" t="s">
        <v>463</v>
      </c>
      <c r="K175" s="1309"/>
      <c r="L175" s="96"/>
      <c r="M175" s="96"/>
      <c r="N175" s="96"/>
      <c r="O175" s="77"/>
      <c r="P175" s="77"/>
      <c r="Q175" s="78"/>
      <c r="Z175" s="79"/>
      <c r="AA175" s="80"/>
      <c r="AB175" s="34"/>
      <c r="AC175" s="34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</row>
    <row r="176" spans="1:41" ht="24" thickBot="1">
      <c r="A176" s="96"/>
      <c r="B176" s="96"/>
      <c r="C176" s="96"/>
      <c r="D176" s="96"/>
      <c r="E176" s="1303" t="s">
        <v>464</v>
      </c>
      <c r="F176" s="1304"/>
      <c r="G176" s="99">
        <v>0</v>
      </c>
      <c r="H176" s="1305"/>
      <c r="I176" s="1305"/>
      <c r="J176" s="1305">
        <v>0</v>
      </c>
      <c r="K176" s="1306"/>
      <c r="L176" s="96"/>
      <c r="M176" s="96"/>
      <c r="N176" s="96"/>
      <c r="O176" s="77"/>
      <c r="P176" s="77"/>
      <c r="Z176" s="79"/>
      <c r="AA176" s="80"/>
      <c r="AB176" s="34"/>
      <c r="AC176" s="34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</row>
    <row r="177" spans="1:41" ht="17.25" thickTop="1" thickBot="1">
      <c r="A177" s="34"/>
      <c r="B177" s="34"/>
      <c r="C177" s="1299" t="s">
        <v>465</v>
      </c>
      <c r="D177" s="1299"/>
      <c r="E177" s="1299" t="s">
        <v>360</v>
      </c>
      <c r="F177" s="1299"/>
      <c r="G177" s="1302" t="s">
        <v>368</v>
      </c>
      <c r="H177" s="1302"/>
      <c r="I177" s="1302" t="s">
        <v>369</v>
      </c>
      <c r="J177" s="1302"/>
      <c r="K177" s="1302" t="s">
        <v>370</v>
      </c>
      <c r="L177" s="1299"/>
      <c r="M177" s="1299" t="s">
        <v>371</v>
      </c>
      <c r="N177" s="1299"/>
      <c r="O177" s="77"/>
      <c r="P177" s="77"/>
      <c r="Z177" s="79"/>
      <c r="AA177" s="80"/>
      <c r="AB177" s="34"/>
      <c r="AC177" s="34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</row>
    <row r="178" spans="1:41" ht="17.25" thickTop="1" thickBot="1">
      <c r="A178" s="34"/>
      <c r="B178" s="34"/>
      <c r="C178" s="1299" t="s">
        <v>372</v>
      </c>
      <c r="D178" s="1299"/>
      <c r="E178" s="1336" t="s">
        <v>0</v>
      </c>
      <c r="F178" s="1337"/>
      <c r="G178" s="1296"/>
      <c r="H178" s="1296"/>
      <c r="I178" s="1336" t="s">
        <v>0</v>
      </c>
      <c r="J178" s="1337"/>
      <c r="K178" s="1296"/>
      <c r="L178" s="1296"/>
      <c r="M178" s="1296" t="s">
        <v>8</v>
      </c>
      <c r="N178" s="1296"/>
      <c r="O178" s="77"/>
      <c r="P178" s="77"/>
      <c r="Z178" s="79"/>
      <c r="AA178" s="80"/>
      <c r="AB178" s="34"/>
      <c r="AC178" s="34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</row>
    <row r="179" spans="1:41" ht="17.25" thickTop="1" thickBot="1">
      <c r="A179" s="34"/>
      <c r="B179" s="34"/>
      <c r="C179" s="1299" t="s">
        <v>373</v>
      </c>
      <c r="D179" s="1299"/>
      <c r="E179" s="1336" t="s">
        <v>0</v>
      </c>
      <c r="F179" s="1337"/>
      <c r="G179" s="1296" t="s">
        <v>8</v>
      </c>
      <c r="H179" s="1296"/>
      <c r="I179" s="1296" t="s">
        <v>0</v>
      </c>
      <c r="J179" s="1296"/>
      <c r="K179" s="1296"/>
      <c r="L179" s="1296"/>
      <c r="M179" s="1296" t="s">
        <v>8</v>
      </c>
      <c r="N179" s="1296"/>
      <c r="O179" s="77"/>
      <c r="P179" s="77"/>
      <c r="Z179" s="79"/>
      <c r="AA179" s="80"/>
      <c r="AB179" s="34"/>
      <c r="AC179" s="34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</row>
    <row r="180" spans="1:41" ht="17.25" thickTop="1" thickBot="1">
      <c r="A180" s="34"/>
      <c r="B180" s="34"/>
      <c r="C180" s="1299" t="s">
        <v>374</v>
      </c>
      <c r="D180" s="1299"/>
      <c r="E180" s="1336" t="s">
        <v>0</v>
      </c>
      <c r="F180" s="1337"/>
      <c r="G180" s="1296"/>
      <c r="H180" s="1296"/>
      <c r="I180" s="1296" t="s">
        <v>8</v>
      </c>
      <c r="J180" s="1296"/>
      <c r="K180" s="1296"/>
      <c r="L180" s="1296"/>
      <c r="M180" s="1296" t="s">
        <v>8</v>
      </c>
      <c r="N180" s="1296"/>
      <c r="O180" s="77"/>
      <c r="P180" s="77"/>
      <c r="Z180" s="79"/>
      <c r="AA180" s="80"/>
      <c r="AB180" s="34"/>
      <c r="AC180" s="34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</row>
    <row r="181" spans="1:41" ht="17.25" thickTop="1" thickBot="1">
      <c r="A181" s="34"/>
      <c r="B181" s="34"/>
      <c r="C181" s="1299" t="s">
        <v>375</v>
      </c>
      <c r="D181" s="1299"/>
      <c r="E181" s="1336" t="s">
        <v>0</v>
      </c>
      <c r="F181" s="1337"/>
      <c r="G181" s="1296" t="s">
        <v>35</v>
      </c>
      <c r="H181" s="1296"/>
      <c r="I181" s="1296"/>
      <c r="J181" s="1296"/>
      <c r="K181" s="1296"/>
      <c r="L181" s="1296"/>
      <c r="M181" s="1296" t="s">
        <v>8</v>
      </c>
      <c r="N181" s="1296"/>
      <c r="O181" s="77"/>
      <c r="P181" s="77"/>
      <c r="Z181" s="79"/>
      <c r="AA181" s="80"/>
      <c r="AB181" s="34"/>
      <c r="AC181" s="34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</row>
    <row r="182" spans="1:41" ht="17.25" thickTop="1" thickBot="1">
      <c r="A182" s="34"/>
      <c r="B182" s="34"/>
      <c r="C182" s="101"/>
      <c r="D182" s="101"/>
      <c r="E182" s="251"/>
      <c r="F182" s="251"/>
      <c r="G182" s="251"/>
      <c r="H182" s="251"/>
      <c r="I182" s="251"/>
      <c r="J182" s="251"/>
      <c r="K182" s="252"/>
      <c r="L182" s="252"/>
      <c r="M182" s="251"/>
      <c r="N182" s="251"/>
      <c r="O182" s="77"/>
      <c r="P182" s="77"/>
      <c r="Z182" s="79"/>
      <c r="AA182" s="80"/>
      <c r="AB182" s="34"/>
      <c r="AC182" s="34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</row>
    <row r="183" spans="1:41" ht="17.25" thickTop="1" thickBot="1">
      <c r="A183" s="34"/>
      <c r="B183" s="34"/>
      <c r="C183" s="1299" t="s">
        <v>921</v>
      </c>
      <c r="D183" s="1299"/>
      <c r="E183" s="1296" t="s">
        <v>35</v>
      </c>
      <c r="F183" s="1296"/>
      <c r="G183" s="1296"/>
      <c r="H183" s="1296"/>
      <c r="I183" s="1296"/>
      <c r="J183" s="1296"/>
      <c r="K183" s="1296"/>
      <c r="L183" s="1296"/>
      <c r="M183" s="1296"/>
      <c r="N183" s="1296"/>
      <c r="O183" s="77"/>
      <c r="P183" s="77"/>
      <c r="Z183" s="79"/>
      <c r="AA183" s="80"/>
      <c r="AB183" s="34"/>
      <c r="AC183" s="34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</row>
    <row r="184" spans="1:41" ht="17.25" thickTop="1" thickBot="1">
      <c r="A184" s="34"/>
      <c r="B184" s="34"/>
      <c r="C184" s="1299" t="s">
        <v>922</v>
      </c>
      <c r="D184" s="1299"/>
      <c r="E184" s="1296" t="s">
        <v>35</v>
      </c>
      <c r="F184" s="1296"/>
      <c r="G184" s="1296"/>
      <c r="H184" s="1296"/>
      <c r="I184" s="1296"/>
      <c r="J184" s="1296"/>
      <c r="K184" s="1296"/>
      <c r="L184" s="1296"/>
      <c r="M184" s="1296"/>
      <c r="N184" s="1296"/>
      <c r="O184" s="77"/>
      <c r="P184" s="77"/>
      <c r="Z184" s="79"/>
      <c r="AA184" s="80"/>
      <c r="AB184" s="34"/>
      <c r="AC184" s="34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</row>
    <row r="185" spans="1:41" ht="17.25" thickTop="1" thickBot="1">
      <c r="A185" s="34"/>
      <c r="B185" s="34"/>
      <c r="C185" s="1299" t="s">
        <v>923</v>
      </c>
      <c r="D185" s="1299"/>
      <c r="E185" s="1336"/>
      <c r="F185" s="1337"/>
      <c r="G185" s="1296" t="s">
        <v>380</v>
      </c>
      <c r="H185" s="1296"/>
      <c r="I185" s="1296" t="s">
        <v>380</v>
      </c>
      <c r="J185" s="1296"/>
      <c r="K185" s="1296" t="s">
        <v>380</v>
      </c>
      <c r="L185" s="1296"/>
      <c r="M185" s="1296" t="s">
        <v>380</v>
      </c>
      <c r="N185" s="1296"/>
      <c r="O185" s="77"/>
      <c r="P185" s="77"/>
      <c r="Z185" s="79"/>
      <c r="AA185" s="80"/>
      <c r="AB185" s="34"/>
      <c r="AC185" s="34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</row>
    <row r="186" spans="1:41" ht="17.25" thickTop="1" thickBot="1">
      <c r="A186" s="34"/>
      <c r="B186" s="34"/>
      <c r="C186" s="1299" t="s">
        <v>924</v>
      </c>
      <c r="D186" s="1299"/>
      <c r="E186" s="1297" t="s">
        <v>380</v>
      </c>
      <c r="F186" s="1297"/>
      <c r="G186" s="1297" t="s">
        <v>380</v>
      </c>
      <c r="H186" s="1297"/>
      <c r="I186" s="1297" t="s">
        <v>380</v>
      </c>
      <c r="J186" s="1297"/>
      <c r="K186" s="1297" t="s">
        <v>380</v>
      </c>
      <c r="L186" s="1297"/>
      <c r="M186" s="1297" t="s">
        <v>380</v>
      </c>
      <c r="N186" s="1297"/>
      <c r="O186" s="77"/>
      <c r="P186" s="77"/>
      <c r="Q186" s="78"/>
      <c r="Z186" s="79"/>
      <c r="AA186" s="80"/>
      <c r="AB186" s="34"/>
      <c r="AC186" s="34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</row>
    <row r="187" spans="1:41" ht="17.25" thickTop="1" thickBot="1">
      <c r="A187" s="34"/>
      <c r="B187" s="34"/>
      <c r="C187" s="33"/>
      <c r="D187" s="33"/>
      <c r="E187" s="33"/>
      <c r="F187" s="33"/>
      <c r="G187" s="33"/>
      <c r="H187" s="33"/>
      <c r="I187" s="33"/>
      <c r="J187" s="33"/>
      <c r="K187" s="34"/>
      <c r="L187" s="34"/>
      <c r="M187" s="33"/>
      <c r="N187" s="33"/>
      <c r="O187" s="77"/>
      <c r="P187" s="77"/>
      <c r="Q187" s="78"/>
      <c r="Z187" s="79"/>
      <c r="AA187" s="80"/>
      <c r="AB187" s="34"/>
      <c r="AC187" s="34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</row>
    <row r="188" spans="1:41" ht="19.5" thickTop="1" thickBot="1">
      <c r="A188" s="1321" t="s">
        <v>467</v>
      </c>
      <c r="B188" s="1322"/>
      <c r="C188" s="1323" t="s">
        <v>380</v>
      </c>
      <c r="D188" s="1323"/>
      <c r="E188" s="1323" t="s">
        <v>380</v>
      </c>
      <c r="F188" s="1323"/>
      <c r="G188" s="250"/>
      <c r="H188" s="250" t="s">
        <v>468</v>
      </c>
      <c r="I188" s="1295" t="s">
        <v>402</v>
      </c>
      <c r="J188" s="1295"/>
      <c r="K188" s="1295"/>
      <c r="L188" s="102" t="s">
        <v>403</v>
      </c>
      <c r="M188" s="1331">
        <f ca="1">TODAY()</f>
        <v>45944</v>
      </c>
      <c r="N188" s="1331"/>
      <c r="O188" s="77"/>
      <c r="P188" s="77"/>
      <c r="Q188" s="78"/>
      <c r="Z188" s="79"/>
      <c r="AA188" s="80"/>
      <c r="AB188" s="34"/>
      <c r="AC188" s="34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</row>
    <row r="189" spans="1:41" ht="19.5" thickTop="1" thickBot="1">
      <c r="A189" s="1321" t="s">
        <v>469</v>
      </c>
      <c r="B189" s="1322"/>
      <c r="C189" s="1323" t="s">
        <v>380</v>
      </c>
      <c r="D189" s="1323"/>
      <c r="E189" s="1323" t="s">
        <v>380</v>
      </c>
      <c r="F189" s="1323"/>
      <c r="G189" s="250"/>
      <c r="H189" s="250"/>
      <c r="I189" s="250"/>
      <c r="J189" s="250"/>
      <c r="K189" s="102"/>
      <c r="L189" s="102"/>
      <c r="M189" s="33"/>
      <c r="N189" s="33"/>
      <c r="O189" s="77"/>
      <c r="P189" s="77"/>
      <c r="Q189" s="78"/>
      <c r="Z189" s="79"/>
      <c r="AA189" s="80"/>
      <c r="AB189" s="34"/>
      <c r="AC189" s="34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</row>
    <row r="190" spans="1:41" ht="19.5" thickTop="1" thickBot="1">
      <c r="A190" s="1321" t="s">
        <v>470</v>
      </c>
      <c r="B190" s="1322"/>
      <c r="C190" s="1323" t="s">
        <v>380</v>
      </c>
      <c r="D190" s="1323"/>
      <c r="E190" s="1323" t="s">
        <v>380</v>
      </c>
      <c r="F190" s="1323"/>
      <c r="G190" s="250"/>
      <c r="H190" s="250"/>
      <c r="I190" s="250"/>
      <c r="J190" s="250" t="s">
        <v>471</v>
      </c>
      <c r="K190" s="102"/>
      <c r="L190" s="102"/>
      <c r="M190" s="33"/>
      <c r="N190" s="33"/>
      <c r="O190" s="77"/>
      <c r="P190" s="77"/>
      <c r="Q190" s="78"/>
      <c r="Z190" s="79"/>
      <c r="AA190" s="80"/>
      <c r="AB190" s="34"/>
      <c r="AC190" s="34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</row>
    <row r="191" spans="1:41" ht="24" thickTop="1">
      <c r="A191" s="102"/>
      <c r="B191" s="102"/>
      <c r="C191" s="250"/>
      <c r="D191" s="250"/>
      <c r="E191" s="250"/>
      <c r="F191" s="250"/>
      <c r="G191" s="33"/>
      <c r="H191" s="103" t="s">
        <v>406</v>
      </c>
      <c r="I191" s="33"/>
      <c r="J191" s="34"/>
      <c r="K191" s="34"/>
      <c r="L191" s="33"/>
      <c r="M191" s="33"/>
      <c r="N191" s="104"/>
      <c r="O191" s="77"/>
      <c r="P191" s="77"/>
      <c r="Q191" s="78"/>
      <c r="Z191" s="79"/>
      <c r="AA191" s="80"/>
      <c r="AB191" s="34"/>
      <c r="AC191" s="34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</row>
    <row r="192" spans="1:41" ht="18">
      <c r="A192" s="1295" t="s">
        <v>78</v>
      </c>
      <c r="B192" s="1295"/>
      <c r="C192" s="1295"/>
      <c r="D192" s="1295"/>
      <c r="E192" s="1295"/>
      <c r="F192" s="1295"/>
      <c r="G192" s="1295"/>
      <c r="H192" s="1295"/>
      <c r="I192" s="1295"/>
      <c r="J192" s="1295"/>
      <c r="K192" s="1295"/>
      <c r="L192" s="1295"/>
      <c r="M192" s="1295"/>
      <c r="N192" s="1295"/>
      <c r="O192" s="77"/>
      <c r="P192" s="77"/>
      <c r="Q192" s="78"/>
      <c r="Z192" s="79"/>
      <c r="AA192" s="80"/>
      <c r="AB192" s="34"/>
      <c r="AC192" s="34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</row>
    <row r="193" spans="1:41" ht="18">
      <c r="A193" s="1295" t="s">
        <v>79</v>
      </c>
      <c r="B193" s="1295"/>
      <c r="C193" s="1295"/>
      <c r="D193" s="1295"/>
      <c r="E193" s="1295"/>
      <c r="F193" s="1295"/>
      <c r="G193" s="1295"/>
      <c r="H193" s="1295"/>
      <c r="I193" s="1295"/>
      <c r="J193" s="1295"/>
      <c r="K193" s="1295"/>
      <c r="L193" s="1295"/>
      <c r="M193" s="1295"/>
      <c r="N193" s="1295"/>
      <c r="O193" s="77"/>
      <c r="P193" s="77"/>
      <c r="Q193" s="78"/>
      <c r="Z193" s="79"/>
      <c r="AA193" s="80"/>
      <c r="AB193" s="34"/>
      <c r="AC193" s="34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</row>
    <row r="194" spans="1:41" ht="18">
      <c r="A194" s="168" t="s">
        <v>220</v>
      </c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33"/>
      <c r="N194" s="33"/>
      <c r="O194" s="77"/>
      <c r="P194" s="77"/>
      <c r="Q194" s="78"/>
      <c r="Z194" s="79"/>
      <c r="AA194" s="80"/>
      <c r="AB194" s="34"/>
      <c r="AC194" s="34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</row>
    <row r="195" spans="1:41" ht="18">
      <c r="A195" s="168" t="s">
        <v>444</v>
      </c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33"/>
      <c r="N195" s="33"/>
      <c r="O195" s="77"/>
      <c r="P195" s="77"/>
      <c r="Q195" s="78"/>
      <c r="Z195" s="79"/>
      <c r="AA195" s="80"/>
      <c r="AB195" s="34"/>
      <c r="AC195" s="34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</row>
    <row r="196" spans="1:41" ht="18.75" thickBot="1">
      <c r="A196" s="250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33"/>
      <c r="N196" s="33"/>
      <c r="O196" s="77"/>
      <c r="P196" s="77"/>
      <c r="Q196" s="78"/>
      <c r="Z196" s="79"/>
      <c r="AA196" s="80"/>
      <c r="AB196" s="34"/>
      <c r="AC196" s="34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</row>
    <row r="197" spans="1:41" ht="24" thickBot="1">
      <c r="A197" s="250"/>
      <c r="B197" s="250"/>
      <c r="C197" s="1333" t="s">
        <v>446</v>
      </c>
      <c r="D197" s="1334"/>
      <c r="E197" s="1334"/>
      <c r="F197" s="1334"/>
      <c r="G197" s="1334"/>
      <c r="H197" s="1334"/>
      <c r="I197" s="1334"/>
      <c r="J197" s="1334"/>
      <c r="K197" s="1334"/>
      <c r="L197" s="1335"/>
      <c r="M197" s="33"/>
      <c r="N197" s="33"/>
      <c r="O197" s="77"/>
      <c r="P197" s="77"/>
      <c r="Q197" s="78"/>
      <c r="Z197" s="79"/>
      <c r="AA197" s="80"/>
      <c r="AB197" s="34"/>
      <c r="AC197" s="34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</row>
    <row r="198" spans="1:41" ht="23.25">
      <c r="A198" s="250"/>
      <c r="B198" s="250"/>
      <c r="C198" s="249"/>
      <c r="D198" s="249"/>
      <c r="E198" s="249"/>
      <c r="F198" s="249"/>
      <c r="G198" s="249"/>
      <c r="H198" s="249"/>
      <c r="I198" s="249"/>
      <c r="J198" s="249"/>
      <c r="K198" s="249"/>
      <c r="L198" s="249"/>
      <c r="M198" s="33"/>
      <c r="N198" s="33"/>
      <c r="O198" s="77"/>
      <c r="P198" s="77"/>
      <c r="Q198" s="78"/>
      <c r="Z198" s="79"/>
      <c r="AA198" s="80"/>
      <c r="AB198" s="34"/>
      <c r="AC198" s="34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</row>
    <row r="199" spans="1:41" ht="23.25">
      <c r="A199" s="1295" t="s">
        <v>448</v>
      </c>
      <c r="B199" s="1295"/>
      <c r="C199" s="1295"/>
      <c r="D199" s="1294" t="s">
        <v>955</v>
      </c>
      <c r="E199" s="1294"/>
      <c r="F199" s="1294"/>
      <c r="G199" s="1294"/>
      <c r="H199" s="1294"/>
      <c r="I199" s="249"/>
      <c r="J199" s="249"/>
      <c r="K199" s="249" t="s">
        <v>449</v>
      </c>
      <c r="L199" s="249"/>
      <c r="M199" s="1295" t="s">
        <v>270</v>
      </c>
      <c r="N199" s="1295"/>
      <c r="O199" s="1292" t="str">
        <f>D199</f>
        <v>مهرى جويدة</v>
      </c>
      <c r="P199" s="1292"/>
      <c r="Q199" s="78">
        <v>7</v>
      </c>
      <c r="Z199" s="79"/>
      <c r="AA199" s="80"/>
      <c r="AB199" s="34"/>
      <c r="AC199" s="34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</row>
    <row r="200" spans="1:41" ht="24" thickBot="1">
      <c r="A200" s="1340" t="s">
        <v>450</v>
      </c>
      <c r="B200" s="1340"/>
      <c r="C200" s="1340"/>
      <c r="D200" s="1340"/>
      <c r="E200" s="1340"/>
      <c r="F200" s="1340"/>
      <c r="G200" s="1340"/>
      <c r="H200" s="87"/>
      <c r="I200" s="1340" t="s">
        <v>452</v>
      </c>
      <c r="J200" s="1340"/>
      <c r="K200" s="1340"/>
      <c r="L200" s="1341" t="s">
        <v>1</v>
      </c>
      <c r="M200" s="1341"/>
      <c r="N200" s="1341"/>
      <c r="O200" s="77"/>
      <c r="P200" s="77"/>
      <c r="Q200" s="78"/>
      <c r="Z200" s="79"/>
      <c r="AA200" s="80"/>
      <c r="AB200" s="34"/>
      <c r="AC200" s="34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</row>
    <row r="201" spans="1:41" ht="17.25" thickTop="1" thickBot="1">
      <c r="A201" s="1373" t="s">
        <v>453</v>
      </c>
      <c r="B201" s="1374"/>
      <c r="C201" s="88" t="s">
        <v>500</v>
      </c>
      <c r="D201" s="88" t="s">
        <v>1</v>
      </c>
      <c r="E201" s="89" t="s">
        <v>39</v>
      </c>
      <c r="F201" s="89"/>
      <c r="G201" s="89" t="s">
        <v>380</v>
      </c>
      <c r="H201" s="89" t="s">
        <v>380</v>
      </c>
      <c r="I201" s="89" t="s">
        <v>380</v>
      </c>
      <c r="J201" s="89" t="s">
        <v>380</v>
      </c>
      <c r="K201" s="89" t="s">
        <v>380</v>
      </c>
      <c r="L201" s="89" t="s">
        <v>380</v>
      </c>
      <c r="M201" s="89" t="s">
        <v>380</v>
      </c>
      <c r="N201" s="90" t="s">
        <v>380</v>
      </c>
      <c r="Z201" s="79"/>
      <c r="AA201" s="80"/>
      <c r="AB201" s="34"/>
      <c r="AC201" s="34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</row>
    <row r="202" spans="1:41" ht="24" thickBot="1">
      <c r="A202" s="1365" t="s">
        <v>454</v>
      </c>
      <c r="B202" s="1366"/>
      <c r="C202" s="91">
        <v>5</v>
      </c>
      <c r="D202" s="210">
        <v>6</v>
      </c>
      <c r="E202" s="210">
        <v>3</v>
      </c>
      <c r="F202" s="210"/>
      <c r="G202" s="210"/>
      <c r="H202" s="210" t="s">
        <v>380</v>
      </c>
      <c r="I202" s="210" t="s">
        <v>380</v>
      </c>
      <c r="J202" s="210" t="s">
        <v>380</v>
      </c>
      <c r="K202" s="210" t="s">
        <v>380</v>
      </c>
      <c r="L202" s="210" t="s">
        <v>380</v>
      </c>
      <c r="M202" s="210" t="s">
        <v>380</v>
      </c>
      <c r="N202" s="92" t="s">
        <v>380</v>
      </c>
      <c r="O202" s="152"/>
      <c r="Z202" s="79"/>
      <c r="AA202" s="80"/>
      <c r="AB202" s="34"/>
      <c r="AC202" s="34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</row>
    <row r="203" spans="1:41" ht="24" thickBot="1">
      <c r="A203" s="1365" t="s">
        <v>455</v>
      </c>
      <c r="B203" s="1366"/>
      <c r="C203" s="91"/>
      <c r="D203" s="210"/>
      <c r="E203" s="210"/>
      <c r="F203" s="210"/>
      <c r="G203" s="210"/>
      <c r="H203" s="210" t="s">
        <v>380</v>
      </c>
      <c r="I203" s="210" t="s">
        <v>380</v>
      </c>
      <c r="J203" s="210" t="s">
        <v>380</v>
      </c>
      <c r="K203" s="210" t="s">
        <v>380</v>
      </c>
      <c r="L203" s="210" t="s">
        <v>380</v>
      </c>
      <c r="M203" s="210" t="s">
        <v>380</v>
      </c>
      <c r="N203" s="92" t="s">
        <v>380</v>
      </c>
      <c r="O203" s="152"/>
      <c r="Z203" s="79"/>
      <c r="AA203" s="80"/>
      <c r="AB203" s="34"/>
      <c r="AC203" s="34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</row>
    <row r="204" spans="1:41" ht="24" thickBot="1">
      <c r="A204" s="1367" t="s">
        <v>456</v>
      </c>
      <c r="B204" s="1368"/>
      <c r="C204" s="93"/>
      <c r="D204" s="94"/>
      <c r="E204" s="94"/>
      <c r="F204" s="94"/>
      <c r="G204" s="94"/>
      <c r="H204" s="94" t="s">
        <v>380</v>
      </c>
      <c r="I204" s="94" t="s">
        <v>380</v>
      </c>
      <c r="J204" s="94" t="s">
        <v>380</v>
      </c>
      <c r="K204" s="94" t="s">
        <v>380</v>
      </c>
      <c r="L204" s="94" t="s">
        <v>380</v>
      </c>
      <c r="M204" s="94" t="s">
        <v>380</v>
      </c>
      <c r="N204" s="95" t="s">
        <v>380</v>
      </c>
      <c r="O204" s="152"/>
      <c r="Z204" s="79"/>
      <c r="AA204" s="80"/>
      <c r="AB204" s="34"/>
      <c r="AC204" s="34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</row>
    <row r="205" spans="1:41" ht="21" thickTop="1">
      <c r="A205" s="96"/>
      <c r="B205" s="96"/>
      <c r="C205" s="96"/>
      <c r="D205" s="96"/>
      <c r="E205" s="1326" t="s">
        <v>457</v>
      </c>
      <c r="F205" s="1310"/>
      <c r="G205" s="97">
        <v>18</v>
      </c>
      <c r="H205" s="1310" t="s">
        <v>458</v>
      </c>
      <c r="I205" s="1311"/>
      <c r="J205" s="1310" t="s">
        <v>459</v>
      </c>
      <c r="K205" s="1311"/>
      <c r="L205" s="96"/>
      <c r="M205" s="96"/>
      <c r="N205" s="96"/>
      <c r="O205" s="77"/>
      <c r="P205" s="77"/>
      <c r="Q205" s="78"/>
      <c r="Z205" s="79"/>
      <c r="AA205" s="80"/>
      <c r="AB205" s="34"/>
      <c r="AC205" s="34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</row>
    <row r="206" spans="1:41" ht="23.25">
      <c r="A206" s="96"/>
      <c r="B206" s="96"/>
      <c r="C206" s="96"/>
      <c r="D206" s="96"/>
      <c r="E206" s="1307" t="s">
        <v>460</v>
      </c>
      <c r="F206" s="1308"/>
      <c r="G206" s="98">
        <v>15</v>
      </c>
      <c r="H206" s="1312">
        <v>0</v>
      </c>
      <c r="I206" s="1312"/>
      <c r="J206" s="1312">
        <v>0</v>
      </c>
      <c r="K206" s="1313"/>
      <c r="L206" s="96"/>
      <c r="M206" s="96"/>
      <c r="N206" s="96"/>
      <c r="O206" s="77"/>
      <c r="P206" s="77"/>
      <c r="Q206" s="78">
        <f>G206+H206+H208+J206</f>
        <v>15</v>
      </c>
      <c r="Z206" s="79"/>
      <c r="AA206" s="80"/>
      <c r="AB206" s="34"/>
      <c r="AC206" s="34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</row>
    <row r="207" spans="1:41" ht="20.25">
      <c r="A207" s="96"/>
      <c r="B207" s="96"/>
      <c r="C207" s="96"/>
      <c r="D207" s="96"/>
      <c r="E207" s="1307" t="s">
        <v>461</v>
      </c>
      <c r="F207" s="1308"/>
      <c r="G207" s="99"/>
      <c r="H207" s="1308" t="s">
        <v>462</v>
      </c>
      <c r="I207" s="1308"/>
      <c r="J207" s="1308" t="s">
        <v>463</v>
      </c>
      <c r="K207" s="1309"/>
      <c r="L207" s="96"/>
      <c r="M207" s="96"/>
      <c r="N207" s="96"/>
      <c r="O207" s="77"/>
      <c r="P207" s="77"/>
      <c r="Q207" s="78"/>
      <c r="Z207" s="79"/>
      <c r="AA207" s="80"/>
      <c r="AB207" s="34"/>
      <c r="AC207" s="34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</row>
    <row r="208" spans="1:41" ht="24" thickBot="1">
      <c r="A208" s="96"/>
      <c r="B208" s="96"/>
      <c r="C208" s="96"/>
      <c r="D208" s="96"/>
      <c r="E208" s="1303" t="s">
        <v>464</v>
      </c>
      <c r="F208" s="1304"/>
      <c r="G208" s="99">
        <v>0</v>
      </c>
      <c r="H208" s="1305">
        <v>0</v>
      </c>
      <c r="I208" s="1305"/>
      <c r="J208" s="1305">
        <v>0</v>
      </c>
      <c r="K208" s="1306"/>
      <c r="L208" s="96"/>
      <c r="M208" s="96"/>
      <c r="N208" s="96"/>
      <c r="O208" s="77"/>
      <c r="P208" s="77"/>
      <c r="Q208" s="78"/>
      <c r="Z208" s="79"/>
      <c r="AA208" s="80"/>
      <c r="AB208" s="34"/>
      <c r="AC208" s="34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</row>
    <row r="209" spans="1:41" ht="17.25" thickTop="1" thickBot="1">
      <c r="A209" s="34"/>
      <c r="B209" s="34"/>
      <c r="C209" s="1299" t="s">
        <v>465</v>
      </c>
      <c r="D209" s="1299"/>
      <c r="E209" s="1299" t="s">
        <v>360</v>
      </c>
      <c r="F209" s="1299"/>
      <c r="G209" s="1302" t="s">
        <v>368</v>
      </c>
      <c r="H209" s="1302"/>
      <c r="I209" s="1302" t="s">
        <v>369</v>
      </c>
      <c r="J209" s="1302"/>
      <c r="K209" s="1302" t="s">
        <v>370</v>
      </c>
      <c r="L209" s="1299"/>
      <c r="M209" s="1299" t="s">
        <v>371</v>
      </c>
      <c r="N209" s="1299"/>
      <c r="O209" s="77"/>
      <c r="P209" s="77"/>
      <c r="Q209" s="78"/>
      <c r="Z209" s="79"/>
      <c r="AA209" s="80"/>
      <c r="AB209" s="34"/>
      <c r="AC209" s="34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</row>
    <row r="210" spans="1:41" ht="17.25" thickTop="1" thickBot="1">
      <c r="A210" s="34"/>
      <c r="B210" s="34"/>
      <c r="C210" s="1299" t="s">
        <v>372</v>
      </c>
      <c r="D210" s="1299"/>
      <c r="E210" s="1336" t="s">
        <v>1</v>
      </c>
      <c r="F210" s="1337"/>
      <c r="G210" s="1336" t="s">
        <v>1</v>
      </c>
      <c r="H210" s="1337"/>
      <c r="I210" s="1296"/>
      <c r="J210" s="1296"/>
      <c r="K210" s="1296" t="s">
        <v>380</v>
      </c>
      <c r="L210" s="1296"/>
      <c r="M210" s="1296" t="s">
        <v>500</v>
      </c>
      <c r="N210" s="1296"/>
      <c r="O210" s="77"/>
      <c r="P210" s="77"/>
      <c r="Q210" s="78"/>
      <c r="Z210" s="79"/>
      <c r="AA210" s="80"/>
      <c r="AB210" s="34"/>
      <c r="AC210" s="34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</row>
    <row r="211" spans="1:41" ht="17.25" thickTop="1" thickBot="1">
      <c r="A211" s="34"/>
      <c r="B211" s="34"/>
      <c r="C211" s="1299" t="s">
        <v>373</v>
      </c>
      <c r="D211" s="1299"/>
      <c r="E211" s="1296"/>
      <c r="F211" s="1296"/>
      <c r="G211" s="1336" t="s">
        <v>1</v>
      </c>
      <c r="H211" s="1337"/>
      <c r="I211" s="1296"/>
      <c r="J211" s="1296"/>
      <c r="K211" s="1296" t="s">
        <v>380</v>
      </c>
      <c r="L211" s="1296"/>
      <c r="M211" s="1296" t="s">
        <v>500</v>
      </c>
      <c r="N211" s="1296"/>
      <c r="O211" s="77"/>
      <c r="P211" s="77"/>
      <c r="Q211" s="78"/>
      <c r="Z211" s="79"/>
      <c r="AA211" s="80"/>
      <c r="AB211" s="34"/>
      <c r="AC211" s="34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</row>
    <row r="212" spans="1:41" ht="17.25" thickTop="1" thickBot="1">
      <c r="A212" s="34"/>
      <c r="B212" s="34"/>
      <c r="C212" s="1299" t="s">
        <v>374</v>
      </c>
      <c r="D212" s="1299"/>
      <c r="E212" s="1296" t="s">
        <v>500</v>
      </c>
      <c r="F212" s="1296"/>
      <c r="G212" s="1336" t="s">
        <v>1</v>
      </c>
      <c r="H212" s="1337"/>
      <c r="I212" s="1296" t="s">
        <v>500</v>
      </c>
      <c r="J212" s="1296"/>
      <c r="K212" s="1296" t="s">
        <v>380</v>
      </c>
      <c r="L212" s="1296"/>
      <c r="M212" s="1296" t="s">
        <v>380</v>
      </c>
      <c r="N212" s="1296"/>
      <c r="O212" s="77"/>
      <c r="P212" s="77"/>
      <c r="Q212" s="78"/>
      <c r="Z212" s="79"/>
      <c r="AA212" s="80"/>
      <c r="AB212" s="34"/>
      <c r="AC212" s="34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</row>
    <row r="213" spans="1:41" ht="17.25" thickTop="1" thickBot="1">
      <c r="A213" s="34"/>
      <c r="B213" s="34"/>
      <c r="C213" s="1299" t="s">
        <v>375</v>
      </c>
      <c r="D213" s="1299"/>
      <c r="E213" s="1296" t="s">
        <v>380</v>
      </c>
      <c r="F213" s="1296"/>
      <c r="G213" s="1336" t="s">
        <v>1</v>
      </c>
      <c r="H213" s="1337"/>
      <c r="I213" s="1296" t="s">
        <v>500</v>
      </c>
      <c r="J213" s="1296"/>
      <c r="K213" s="1296" t="s">
        <v>380</v>
      </c>
      <c r="L213" s="1296"/>
      <c r="M213" s="1296" t="s">
        <v>380</v>
      </c>
      <c r="N213" s="1296"/>
      <c r="O213" s="77"/>
      <c r="P213" s="77"/>
      <c r="Q213" s="78"/>
      <c r="Z213" s="79"/>
      <c r="AA213" s="80"/>
      <c r="AB213" s="34"/>
      <c r="AC213" s="34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</row>
    <row r="214" spans="1:41" ht="17.25" thickTop="1" thickBot="1">
      <c r="A214" s="34"/>
      <c r="B214" s="34"/>
      <c r="C214" s="101"/>
      <c r="D214" s="101"/>
      <c r="E214" s="251"/>
      <c r="F214" s="251"/>
      <c r="G214" s="251"/>
      <c r="H214" s="251"/>
      <c r="I214" s="251"/>
      <c r="J214" s="251"/>
      <c r="K214" s="252"/>
      <c r="L214" s="252"/>
      <c r="M214" s="251"/>
      <c r="N214" s="251"/>
      <c r="O214" s="77"/>
      <c r="P214" s="77"/>
      <c r="Q214" s="78"/>
      <c r="Z214" s="79"/>
      <c r="AA214" s="80"/>
      <c r="AB214" s="34"/>
      <c r="AC214" s="34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</row>
    <row r="215" spans="1:41" ht="17.25" thickTop="1" thickBot="1">
      <c r="A215" s="34"/>
      <c r="B215" s="34"/>
      <c r="C215" s="1299" t="s">
        <v>921</v>
      </c>
      <c r="D215" s="1299"/>
      <c r="E215" s="1296" t="s">
        <v>380</v>
      </c>
      <c r="F215" s="1296"/>
      <c r="G215" s="1296"/>
      <c r="H215" s="1296"/>
      <c r="I215" s="1296" t="s">
        <v>380</v>
      </c>
      <c r="J215" s="1296"/>
      <c r="K215" s="1296" t="s">
        <v>380</v>
      </c>
      <c r="L215" s="1296"/>
      <c r="M215" s="1336" t="s">
        <v>1</v>
      </c>
      <c r="N215" s="1337"/>
      <c r="O215" s="77"/>
      <c r="P215" s="77"/>
      <c r="Q215" s="78"/>
      <c r="Z215" s="79"/>
      <c r="AA215" s="80"/>
      <c r="AB215" s="34"/>
      <c r="AC215" s="34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</row>
    <row r="216" spans="1:41" ht="17.25" thickTop="1" thickBot="1">
      <c r="A216" s="34"/>
      <c r="B216" s="34"/>
      <c r="C216" s="1299" t="s">
        <v>922</v>
      </c>
      <c r="D216" s="1299"/>
      <c r="E216" s="1296"/>
      <c r="F216" s="1296"/>
      <c r="G216" s="1296"/>
      <c r="H216" s="1296"/>
      <c r="I216" s="1296"/>
      <c r="J216" s="1296"/>
      <c r="K216" s="1296" t="s">
        <v>380</v>
      </c>
      <c r="L216" s="1296"/>
      <c r="M216" s="1296" t="s">
        <v>39</v>
      </c>
      <c r="N216" s="1296"/>
      <c r="O216" s="77"/>
      <c r="P216" s="77"/>
      <c r="Q216" s="78"/>
      <c r="Z216" s="79"/>
      <c r="AA216" s="80"/>
      <c r="AB216" s="34"/>
      <c r="AC216" s="34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</row>
    <row r="217" spans="1:41" ht="17.25" thickTop="1" thickBot="1">
      <c r="A217" s="34"/>
      <c r="B217" s="34"/>
      <c r="C217" s="1299" t="s">
        <v>923</v>
      </c>
      <c r="D217" s="1299"/>
      <c r="E217" s="1296"/>
      <c r="F217" s="1296"/>
      <c r="G217" s="1296" t="s">
        <v>39</v>
      </c>
      <c r="H217" s="1296"/>
      <c r="I217" s="1296"/>
      <c r="J217" s="1296"/>
      <c r="K217" s="1296" t="s">
        <v>380</v>
      </c>
      <c r="L217" s="1296"/>
      <c r="M217" s="1296" t="s">
        <v>380</v>
      </c>
      <c r="N217" s="1296"/>
      <c r="O217" s="77"/>
      <c r="P217" s="77"/>
      <c r="Q217" s="78"/>
      <c r="Z217" s="79"/>
      <c r="AA217" s="80"/>
      <c r="AB217" s="34"/>
      <c r="AC217" s="34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</row>
    <row r="218" spans="1:41" ht="17.25" thickTop="1" thickBot="1">
      <c r="A218" s="34"/>
      <c r="B218" s="34"/>
      <c r="C218" s="1299" t="s">
        <v>924</v>
      </c>
      <c r="D218" s="1299"/>
      <c r="E218" s="1296" t="s">
        <v>380</v>
      </c>
      <c r="F218" s="1296"/>
      <c r="G218" s="1296" t="s">
        <v>39</v>
      </c>
      <c r="H218" s="1296"/>
      <c r="I218" s="1296"/>
      <c r="J218" s="1296"/>
      <c r="K218" s="1296" t="s">
        <v>380</v>
      </c>
      <c r="L218" s="1296"/>
      <c r="M218" s="1296" t="s">
        <v>380</v>
      </c>
      <c r="N218" s="1296"/>
      <c r="O218" s="77"/>
      <c r="P218" s="77"/>
      <c r="Q218" s="78"/>
      <c r="Z218" s="79"/>
      <c r="AA218" s="80"/>
      <c r="AB218" s="34"/>
      <c r="AC218" s="34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</row>
    <row r="219" spans="1:41" ht="17.25" thickTop="1" thickBot="1">
      <c r="A219" s="34"/>
      <c r="B219" s="34"/>
      <c r="C219" s="33"/>
      <c r="D219" s="33"/>
      <c r="E219" s="33"/>
      <c r="F219" s="33"/>
      <c r="G219" s="33"/>
      <c r="H219" s="33"/>
      <c r="I219" s="33"/>
      <c r="J219" s="33"/>
      <c r="K219" s="34"/>
      <c r="L219" s="34"/>
      <c r="M219" s="33"/>
      <c r="N219" s="33"/>
      <c r="O219" s="77"/>
      <c r="P219" s="77"/>
      <c r="Q219" s="78"/>
      <c r="Z219" s="79"/>
      <c r="AA219" s="80"/>
      <c r="AB219" s="34"/>
      <c r="AC219" s="34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</row>
    <row r="220" spans="1:41" ht="19.5" thickTop="1" thickBot="1">
      <c r="A220" s="1321" t="s">
        <v>467</v>
      </c>
      <c r="B220" s="1322"/>
      <c r="C220" s="1323" t="s">
        <v>380</v>
      </c>
      <c r="D220" s="1323"/>
      <c r="E220" s="1323" t="s">
        <v>380</v>
      </c>
      <c r="F220" s="1323"/>
      <c r="G220" s="250"/>
      <c r="H220" s="250" t="s">
        <v>468</v>
      </c>
      <c r="I220" s="1295" t="s">
        <v>402</v>
      </c>
      <c r="J220" s="1295"/>
      <c r="K220" s="1295"/>
      <c r="L220" s="102" t="s">
        <v>403</v>
      </c>
      <c r="M220" s="1331">
        <f ca="1">TODAY()</f>
        <v>45944</v>
      </c>
      <c r="N220" s="1331"/>
      <c r="O220" s="77"/>
      <c r="P220" s="77"/>
      <c r="Q220" s="78"/>
      <c r="Z220" s="79"/>
      <c r="AA220" s="80"/>
      <c r="AB220" s="34"/>
      <c r="AC220" s="34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</row>
    <row r="221" spans="1:41" ht="19.5" thickTop="1" thickBot="1">
      <c r="A221" s="1321" t="s">
        <v>469</v>
      </c>
      <c r="B221" s="1322"/>
      <c r="C221" s="1323" t="s">
        <v>380</v>
      </c>
      <c r="D221" s="1323"/>
      <c r="E221" s="1323" t="s">
        <v>380</v>
      </c>
      <c r="F221" s="1323"/>
      <c r="G221" s="250"/>
      <c r="H221" s="250"/>
      <c r="I221" s="250"/>
      <c r="J221" s="250"/>
      <c r="K221" s="102"/>
      <c r="L221" s="102"/>
      <c r="M221" s="33"/>
      <c r="N221" s="33"/>
      <c r="O221" s="77"/>
      <c r="P221" s="77"/>
      <c r="Q221" s="78"/>
      <c r="Z221" s="79"/>
      <c r="AA221" s="80"/>
      <c r="AB221" s="34"/>
      <c r="AC221" s="34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</row>
    <row r="222" spans="1:41" ht="19.5" thickTop="1" thickBot="1">
      <c r="A222" s="1321" t="s">
        <v>470</v>
      </c>
      <c r="B222" s="1322"/>
      <c r="C222" s="1323" t="s">
        <v>380</v>
      </c>
      <c r="D222" s="1323"/>
      <c r="E222" s="1323" t="s">
        <v>380</v>
      </c>
      <c r="F222" s="1323"/>
      <c r="G222" s="250"/>
      <c r="H222" s="250"/>
      <c r="I222" s="250"/>
      <c r="J222" s="250" t="s">
        <v>471</v>
      </c>
      <c r="K222" s="102"/>
      <c r="L222" s="102"/>
      <c r="M222" s="33"/>
      <c r="N222" s="33"/>
      <c r="O222" s="77"/>
      <c r="P222" s="77"/>
      <c r="Q222" s="78"/>
      <c r="Z222" s="79"/>
      <c r="AA222" s="80"/>
      <c r="AB222" s="34"/>
      <c r="AC222" s="34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</row>
    <row r="223" spans="1:41" ht="24" thickTop="1">
      <c r="A223" s="102"/>
      <c r="B223" s="102"/>
      <c r="C223" s="250"/>
      <c r="D223" s="250"/>
      <c r="E223" s="250"/>
      <c r="F223" s="250"/>
      <c r="G223" s="33"/>
      <c r="H223" s="103" t="s">
        <v>406</v>
      </c>
      <c r="I223" s="33"/>
      <c r="J223" s="34"/>
      <c r="K223" s="34"/>
      <c r="L223" s="33"/>
      <c r="M223" s="33"/>
      <c r="N223" s="104"/>
      <c r="O223" s="77"/>
      <c r="P223" s="77"/>
      <c r="Q223" s="78"/>
      <c r="Z223" s="79"/>
      <c r="AA223" s="80"/>
      <c r="AB223" s="34"/>
      <c r="AC223" s="34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</row>
    <row r="224" spans="1:41" ht="18">
      <c r="A224" s="1295" t="s">
        <v>78</v>
      </c>
      <c r="B224" s="1295"/>
      <c r="C224" s="1295"/>
      <c r="D224" s="1295"/>
      <c r="E224" s="1295"/>
      <c r="F224" s="1295"/>
      <c r="G224" s="1295"/>
      <c r="H224" s="1295"/>
      <c r="I224" s="1295"/>
      <c r="J224" s="1295"/>
      <c r="K224" s="1295"/>
      <c r="L224" s="1295"/>
      <c r="M224" s="1295"/>
      <c r="N224" s="1295"/>
      <c r="O224" s="77"/>
      <c r="P224" s="77"/>
      <c r="Q224" s="78"/>
      <c r="Z224" s="79"/>
      <c r="AA224" s="80"/>
      <c r="AB224" s="34"/>
      <c r="AC224" s="34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</row>
    <row r="225" spans="1:41" ht="18">
      <c r="A225" s="1295" t="s">
        <v>79</v>
      </c>
      <c r="B225" s="1295"/>
      <c r="C225" s="1295"/>
      <c r="D225" s="1295"/>
      <c r="E225" s="1295"/>
      <c r="F225" s="1295"/>
      <c r="G225" s="1295"/>
      <c r="H225" s="1295"/>
      <c r="I225" s="1295"/>
      <c r="J225" s="1295"/>
      <c r="K225" s="1295"/>
      <c r="L225" s="1295"/>
      <c r="M225" s="1295"/>
      <c r="N225" s="1295"/>
      <c r="O225" s="77"/>
      <c r="P225" s="77"/>
      <c r="Q225" s="78"/>
      <c r="Z225" s="79"/>
      <c r="AA225" s="80"/>
      <c r="AB225" s="34"/>
      <c r="AC225" s="34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</row>
    <row r="226" spans="1:41" ht="18">
      <c r="A226" s="168" t="s">
        <v>220</v>
      </c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33"/>
      <c r="N226" s="33"/>
      <c r="O226" s="77"/>
      <c r="P226" s="77"/>
      <c r="Q226" s="78"/>
      <c r="Z226" s="79"/>
      <c r="AA226" s="80"/>
      <c r="AB226" s="34"/>
      <c r="AC226" s="34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</row>
    <row r="227" spans="1:41" ht="18">
      <c r="A227" s="168" t="s">
        <v>444</v>
      </c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33"/>
      <c r="N227" s="33"/>
      <c r="O227" s="77"/>
      <c r="P227" s="77"/>
      <c r="Q227" s="78"/>
      <c r="Z227" s="79"/>
      <c r="AA227" s="80"/>
      <c r="AB227" s="34"/>
      <c r="AC227" s="34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</row>
    <row r="228" spans="1:41" ht="18.75" thickBot="1">
      <c r="A228" s="250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33"/>
      <c r="N228" s="33"/>
      <c r="O228" s="77"/>
      <c r="P228" s="77"/>
      <c r="Q228" s="78"/>
      <c r="Z228" s="79"/>
      <c r="AA228" s="80"/>
      <c r="AB228" s="34"/>
      <c r="AC228" s="34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</row>
    <row r="229" spans="1:41" ht="24" thickBot="1">
      <c r="A229" s="250"/>
      <c r="B229" s="250"/>
      <c r="C229" s="1333" t="s">
        <v>446</v>
      </c>
      <c r="D229" s="1334"/>
      <c r="E229" s="1334"/>
      <c r="F229" s="1334"/>
      <c r="G229" s="1334"/>
      <c r="H229" s="1334"/>
      <c r="I229" s="1334"/>
      <c r="J229" s="1334"/>
      <c r="K229" s="1334"/>
      <c r="L229" s="1335"/>
      <c r="M229" s="33"/>
      <c r="N229" s="33"/>
      <c r="O229" s="77"/>
      <c r="P229" s="77"/>
      <c r="Q229" s="78"/>
      <c r="Z229" s="79"/>
      <c r="AA229" s="80"/>
      <c r="AB229" s="34"/>
      <c r="AC229" s="34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</row>
    <row r="230" spans="1:41" ht="23.25">
      <c r="A230" s="250"/>
      <c r="B230" s="250"/>
      <c r="C230" s="249"/>
      <c r="D230" s="249"/>
      <c r="E230" s="249"/>
      <c r="F230" s="249"/>
      <c r="G230" s="249"/>
      <c r="H230" s="249"/>
      <c r="I230" s="249"/>
      <c r="J230" s="249"/>
      <c r="K230" s="249"/>
      <c r="L230" s="249"/>
      <c r="M230" s="33"/>
      <c r="N230" s="33"/>
      <c r="O230" s="77"/>
      <c r="P230" s="77"/>
      <c r="Q230" s="78"/>
      <c r="Z230" s="79"/>
      <c r="AA230" s="80"/>
      <c r="AB230" s="34"/>
      <c r="AC230" s="34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</row>
    <row r="231" spans="1:41" ht="23.25">
      <c r="A231" s="1295" t="s">
        <v>448</v>
      </c>
      <c r="B231" s="1295"/>
      <c r="C231" s="1295"/>
      <c r="D231" s="1294" t="s">
        <v>941</v>
      </c>
      <c r="E231" s="1294"/>
      <c r="F231" s="1294"/>
      <c r="G231" s="1294"/>
      <c r="H231" s="1294"/>
      <c r="I231" s="249"/>
      <c r="J231" s="249"/>
      <c r="K231" s="249" t="s">
        <v>449</v>
      </c>
      <c r="L231" s="249"/>
      <c r="M231" s="1295" t="s">
        <v>270</v>
      </c>
      <c r="N231" s="1295"/>
      <c r="O231" s="1292" t="str">
        <f>D231</f>
        <v>منصورة عائشة</v>
      </c>
      <c r="P231" s="1292"/>
      <c r="Q231" s="78">
        <v>8</v>
      </c>
      <c r="Z231" s="79"/>
      <c r="AA231" s="80"/>
      <c r="AB231" s="34"/>
      <c r="AC231" s="34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</row>
    <row r="232" spans="1:41" ht="24" thickBot="1">
      <c r="A232" s="1340" t="s">
        <v>450</v>
      </c>
      <c r="B232" s="1340"/>
      <c r="C232" s="1340"/>
      <c r="D232" s="1340">
        <v>0</v>
      </c>
      <c r="E232" s="1340"/>
      <c r="F232" s="1340"/>
      <c r="G232" s="1340"/>
      <c r="H232" s="87"/>
      <c r="I232" s="1340" t="s">
        <v>452</v>
      </c>
      <c r="J232" s="1340"/>
      <c r="K232" s="1340"/>
      <c r="L232" s="1341"/>
      <c r="M232" s="1341"/>
      <c r="N232" s="1341"/>
      <c r="O232" s="77"/>
      <c r="P232" s="77"/>
      <c r="Q232" s="78"/>
      <c r="Z232" s="79"/>
      <c r="AA232" s="80"/>
      <c r="AB232" s="34"/>
      <c r="AC232" s="34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</row>
    <row r="233" spans="1:41" ht="17.25" thickTop="1" thickBot="1">
      <c r="A233" s="1373" t="s">
        <v>453</v>
      </c>
      <c r="B233" s="1374"/>
      <c r="C233" s="88" t="s">
        <v>6</v>
      </c>
      <c r="D233" s="89" t="s">
        <v>3</v>
      </c>
      <c r="E233" s="89" t="s">
        <v>10</v>
      </c>
      <c r="F233" s="89"/>
      <c r="G233" s="89" t="s">
        <v>380</v>
      </c>
      <c r="H233" s="89" t="s">
        <v>380</v>
      </c>
      <c r="I233" s="89" t="s">
        <v>380</v>
      </c>
      <c r="J233" s="89" t="s">
        <v>380</v>
      </c>
      <c r="K233" s="89" t="s">
        <v>380</v>
      </c>
      <c r="L233" s="89" t="s">
        <v>380</v>
      </c>
      <c r="M233" s="89" t="s">
        <v>380</v>
      </c>
      <c r="N233" s="90" t="s">
        <v>380</v>
      </c>
      <c r="Z233" s="79"/>
      <c r="AA233" s="80"/>
      <c r="AB233" s="34"/>
      <c r="AC233" s="34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</row>
    <row r="234" spans="1:41" ht="24" thickBot="1">
      <c r="A234" s="1365" t="s">
        <v>454</v>
      </c>
      <c r="B234" s="1366"/>
      <c r="C234" s="91">
        <v>5</v>
      </c>
      <c r="D234" s="210">
        <v>6</v>
      </c>
      <c r="E234" s="210">
        <v>6</v>
      </c>
      <c r="F234" s="210" t="s">
        <v>380</v>
      </c>
      <c r="G234" s="210" t="s">
        <v>380</v>
      </c>
      <c r="H234" s="210" t="s">
        <v>380</v>
      </c>
      <c r="I234" s="210" t="s">
        <v>380</v>
      </c>
      <c r="J234" s="210" t="s">
        <v>380</v>
      </c>
      <c r="K234" s="210" t="s">
        <v>380</v>
      </c>
      <c r="L234" s="210" t="s">
        <v>380</v>
      </c>
      <c r="M234" s="210" t="s">
        <v>380</v>
      </c>
      <c r="N234" s="92" t="s">
        <v>380</v>
      </c>
      <c r="O234" s="152"/>
      <c r="R234" s="78"/>
      <c r="Z234" s="79"/>
      <c r="AA234" s="80"/>
      <c r="AB234" s="34"/>
      <c r="AC234" s="34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</row>
    <row r="235" spans="1:41" ht="24" thickBot="1">
      <c r="A235" s="1365" t="s">
        <v>455</v>
      </c>
      <c r="B235" s="1366"/>
      <c r="C235" s="91"/>
      <c r="D235" s="210"/>
      <c r="E235" s="210"/>
      <c r="F235" s="210" t="s">
        <v>380</v>
      </c>
      <c r="G235" s="210" t="s">
        <v>380</v>
      </c>
      <c r="H235" s="210" t="s">
        <v>380</v>
      </c>
      <c r="I235" s="210" t="s">
        <v>380</v>
      </c>
      <c r="J235" s="210" t="s">
        <v>380</v>
      </c>
      <c r="K235" s="210" t="s">
        <v>380</v>
      </c>
      <c r="L235" s="210" t="s">
        <v>380</v>
      </c>
      <c r="M235" s="210" t="s">
        <v>380</v>
      </c>
      <c r="N235" s="92" t="s">
        <v>380</v>
      </c>
      <c r="O235" s="152"/>
      <c r="R235" s="78"/>
      <c r="Z235" s="79"/>
      <c r="AA235" s="80"/>
      <c r="AB235" s="34"/>
      <c r="AC235" s="34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</row>
    <row r="236" spans="1:41" ht="24" thickBot="1">
      <c r="A236" s="1367" t="s">
        <v>456</v>
      </c>
      <c r="B236" s="1368"/>
      <c r="C236" s="93"/>
      <c r="D236" s="94"/>
      <c r="E236" s="94"/>
      <c r="F236" s="94" t="s">
        <v>380</v>
      </c>
      <c r="G236" s="94" t="s">
        <v>380</v>
      </c>
      <c r="H236" s="94" t="s">
        <v>380</v>
      </c>
      <c r="I236" s="94" t="s">
        <v>380</v>
      </c>
      <c r="J236" s="94" t="s">
        <v>380</v>
      </c>
      <c r="K236" s="94" t="s">
        <v>380</v>
      </c>
      <c r="L236" s="94" t="s">
        <v>380</v>
      </c>
      <c r="M236" s="94" t="s">
        <v>380</v>
      </c>
      <c r="N236" s="95" t="s">
        <v>380</v>
      </c>
      <c r="O236" s="152"/>
      <c r="Z236" s="79"/>
      <c r="AA236" s="80"/>
      <c r="AB236" s="34"/>
      <c r="AC236" s="34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</row>
    <row r="237" spans="1:41" ht="21" thickTop="1">
      <c r="A237" s="96"/>
      <c r="B237" s="96"/>
      <c r="C237" s="96"/>
      <c r="D237" s="96"/>
      <c r="E237" s="1326" t="s">
        <v>457</v>
      </c>
      <c r="F237" s="1310"/>
      <c r="G237" s="97">
        <v>18</v>
      </c>
      <c r="H237" s="1310" t="s">
        <v>458</v>
      </c>
      <c r="I237" s="1311"/>
      <c r="J237" s="1310" t="s">
        <v>459</v>
      </c>
      <c r="K237" s="1311"/>
      <c r="L237" s="96"/>
      <c r="M237" s="96"/>
      <c r="N237" s="96"/>
      <c r="O237" s="77"/>
      <c r="P237" s="77"/>
      <c r="Q237" s="78"/>
      <c r="Z237" s="79"/>
      <c r="AA237" s="80"/>
      <c r="AB237" s="34"/>
      <c r="AC237" s="34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</row>
    <row r="238" spans="1:41" ht="23.25">
      <c r="A238" s="96"/>
      <c r="B238" s="96"/>
      <c r="C238" s="96"/>
      <c r="D238" s="96"/>
      <c r="E238" s="1307" t="s">
        <v>460</v>
      </c>
      <c r="F238" s="1308"/>
      <c r="G238" s="98">
        <v>15</v>
      </c>
      <c r="H238" s="1312">
        <v>0</v>
      </c>
      <c r="I238" s="1312"/>
      <c r="J238" s="1312">
        <v>0</v>
      </c>
      <c r="K238" s="1313"/>
      <c r="L238" s="96"/>
      <c r="M238" s="96"/>
      <c r="N238" s="96"/>
      <c r="O238" s="77"/>
      <c r="P238" s="77"/>
      <c r="Q238" s="78">
        <f>G238+H238+H240+J238</f>
        <v>15</v>
      </c>
      <c r="Z238" s="79"/>
      <c r="AA238" s="80"/>
      <c r="AB238" s="34"/>
      <c r="AC238" s="34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</row>
    <row r="239" spans="1:41" ht="20.25">
      <c r="A239" s="96"/>
      <c r="B239" s="96"/>
      <c r="C239" s="96"/>
      <c r="D239" s="96"/>
      <c r="E239" s="1307" t="s">
        <v>461</v>
      </c>
      <c r="F239" s="1308"/>
      <c r="G239" s="99">
        <v>3</v>
      </c>
      <c r="H239" s="1308" t="s">
        <v>462</v>
      </c>
      <c r="I239" s="1308"/>
      <c r="J239" s="1308" t="s">
        <v>463</v>
      </c>
      <c r="K239" s="1309"/>
      <c r="L239" s="96"/>
      <c r="M239" s="96"/>
      <c r="N239" s="96"/>
      <c r="O239" s="77"/>
      <c r="P239" s="77"/>
      <c r="Q239" s="78"/>
      <c r="Z239" s="79"/>
      <c r="AA239" s="80"/>
      <c r="AB239" s="34"/>
      <c r="AC239" s="34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</row>
    <row r="240" spans="1:41" ht="24" thickBot="1">
      <c r="A240" s="96"/>
      <c r="B240" s="96"/>
      <c r="C240" s="96"/>
      <c r="D240" s="96"/>
      <c r="E240" s="1303" t="s">
        <v>464</v>
      </c>
      <c r="F240" s="1304"/>
      <c r="G240" s="99">
        <v>0</v>
      </c>
      <c r="H240" s="1305">
        <v>0</v>
      </c>
      <c r="I240" s="1305"/>
      <c r="J240" s="1305">
        <v>0</v>
      </c>
      <c r="K240" s="1306"/>
      <c r="L240" s="96"/>
      <c r="M240" s="96"/>
      <c r="N240" s="96"/>
      <c r="O240" s="77"/>
      <c r="P240" s="77"/>
      <c r="Q240" s="78"/>
      <c r="Z240" s="79"/>
      <c r="AA240" s="80"/>
      <c r="AB240" s="34"/>
      <c r="AC240" s="34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</row>
    <row r="241" spans="1:41" ht="17.25" thickTop="1" thickBot="1">
      <c r="A241" s="34"/>
      <c r="B241" s="34"/>
      <c r="C241" s="1299" t="s">
        <v>465</v>
      </c>
      <c r="D241" s="1299"/>
      <c r="E241" s="1299" t="s">
        <v>360</v>
      </c>
      <c r="F241" s="1299"/>
      <c r="G241" s="1302" t="s">
        <v>368</v>
      </c>
      <c r="H241" s="1302"/>
      <c r="I241" s="1302" t="s">
        <v>369</v>
      </c>
      <c r="J241" s="1302"/>
      <c r="K241" s="1302" t="s">
        <v>370</v>
      </c>
      <c r="L241" s="1299"/>
      <c r="M241" s="1299" t="s">
        <v>371</v>
      </c>
      <c r="N241" s="1299"/>
      <c r="O241" s="77"/>
      <c r="P241" s="77"/>
      <c r="Q241" s="78"/>
      <c r="Z241" s="79"/>
      <c r="AA241" s="80"/>
      <c r="AB241" s="34"/>
      <c r="AC241" s="34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</row>
    <row r="242" spans="1:41" ht="17.25" thickTop="1" thickBot="1">
      <c r="A242" s="34"/>
      <c r="B242" s="34"/>
      <c r="C242" s="1299" t="s">
        <v>372</v>
      </c>
      <c r="D242" s="1299"/>
      <c r="E242" s="1296" t="s">
        <v>6</v>
      </c>
      <c r="F242" s="1296"/>
      <c r="G242" s="1296" t="s">
        <v>10</v>
      </c>
      <c r="H242" s="1296"/>
      <c r="I242" s="1296" t="s">
        <v>3</v>
      </c>
      <c r="J242" s="1296"/>
      <c r="K242" s="1296"/>
      <c r="L242" s="1296"/>
      <c r="M242" s="1296" t="s">
        <v>10</v>
      </c>
      <c r="N242" s="1296"/>
      <c r="O242" s="77"/>
      <c r="P242" s="77"/>
      <c r="Z242" s="79"/>
      <c r="AA242" s="80"/>
      <c r="AB242" s="34"/>
      <c r="AC242" s="34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</row>
    <row r="243" spans="1:41" ht="17.25" thickTop="1" thickBot="1">
      <c r="A243" s="34"/>
      <c r="B243" s="34"/>
      <c r="C243" s="1299" t="s">
        <v>373</v>
      </c>
      <c r="D243" s="1299"/>
      <c r="E243" s="1296" t="s">
        <v>6</v>
      </c>
      <c r="F243" s="1296"/>
      <c r="G243" s="1296" t="s">
        <v>10</v>
      </c>
      <c r="H243" s="1296"/>
      <c r="I243" s="1296" t="s">
        <v>3</v>
      </c>
      <c r="J243" s="1296"/>
      <c r="K243" s="1296"/>
      <c r="L243" s="1296"/>
      <c r="M243" s="1296" t="s">
        <v>3</v>
      </c>
      <c r="N243" s="1296"/>
      <c r="O243" s="77"/>
      <c r="P243" s="77"/>
      <c r="Z243" s="79"/>
      <c r="AA243" s="80"/>
      <c r="AB243" s="34"/>
      <c r="AC243" s="34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</row>
    <row r="244" spans="1:41" ht="17.25" thickTop="1" thickBot="1">
      <c r="A244" s="34"/>
      <c r="B244" s="34"/>
      <c r="C244" s="1299" t="s">
        <v>374</v>
      </c>
      <c r="D244" s="1299"/>
      <c r="E244" s="1296"/>
      <c r="F244" s="1296"/>
      <c r="G244" s="1296" t="s">
        <v>10</v>
      </c>
      <c r="H244" s="1296"/>
      <c r="I244" s="1296" t="s">
        <v>3</v>
      </c>
      <c r="J244" s="1296"/>
      <c r="K244" s="1296"/>
      <c r="L244" s="1296"/>
      <c r="M244" s="1296" t="s">
        <v>6</v>
      </c>
      <c r="N244" s="1296"/>
      <c r="O244" s="77"/>
      <c r="P244" s="77"/>
      <c r="Z244" s="79"/>
      <c r="AA244" s="80"/>
      <c r="AB244" s="34"/>
      <c r="AC244" s="34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</row>
    <row r="245" spans="1:41" ht="17.25" thickTop="1" thickBot="1">
      <c r="A245" s="34"/>
      <c r="B245" s="34"/>
      <c r="C245" s="1299" t="s">
        <v>375</v>
      </c>
      <c r="D245" s="1299"/>
      <c r="E245" s="1296" t="s">
        <v>10</v>
      </c>
      <c r="F245" s="1296"/>
      <c r="G245" s="1296" t="s">
        <v>10</v>
      </c>
      <c r="H245" s="1296"/>
      <c r="I245" s="1296" t="s">
        <v>3</v>
      </c>
      <c r="J245" s="1296"/>
      <c r="K245" s="1296"/>
      <c r="L245" s="1296"/>
      <c r="M245" s="1296" t="s">
        <v>6</v>
      </c>
      <c r="N245" s="1296"/>
      <c r="O245" s="77"/>
      <c r="P245" s="77"/>
      <c r="Z245" s="79"/>
      <c r="AA245" s="80"/>
      <c r="AB245" s="34"/>
      <c r="AC245" s="34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</row>
    <row r="246" spans="1:41" ht="17.25" thickTop="1" thickBot="1">
      <c r="A246" s="34"/>
      <c r="B246" s="34"/>
      <c r="C246" s="101"/>
      <c r="D246" s="101"/>
      <c r="E246" s="251"/>
      <c r="F246" s="251"/>
      <c r="G246" s="251"/>
      <c r="H246" s="251"/>
      <c r="I246" s="251"/>
      <c r="J246" s="251"/>
      <c r="K246" s="252"/>
      <c r="L246" s="252"/>
      <c r="M246" s="251"/>
      <c r="N246" s="251"/>
      <c r="O246" s="77"/>
      <c r="P246" s="77"/>
      <c r="Z246" s="79"/>
      <c r="AA246" s="80"/>
      <c r="AB246" s="34"/>
      <c r="AC246" s="34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</row>
    <row r="247" spans="1:41" ht="17.25" thickTop="1" thickBot="1">
      <c r="A247" s="34"/>
      <c r="B247" s="34"/>
      <c r="C247" s="1299" t="s">
        <v>921</v>
      </c>
      <c r="D247" s="1299"/>
      <c r="E247" s="1297" t="s">
        <v>380</v>
      </c>
      <c r="F247" s="1297"/>
      <c r="G247" s="1297" t="s">
        <v>6</v>
      </c>
      <c r="H247" s="1297"/>
      <c r="I247" s="1297"/>
      <c r="J247" s="1297"/>
      <c r="K247" s="1297" t="s">
        <v>380</v>
      </c>
      <c r="L247" s="1297"/>
      <c r="M247" s="1297" t="s">
        <v>380</v>
      </c>
      <c r="N247" s="1297"/>
      <c r="O247" s="77"/>
      <c r="P247" s="77"/>
      <c r="Z247" s="79"/>
      <c r="AA247" s="80"/>
      <c r="AB247" s="34"/>
      <c r="AC247" s="34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</row>
    <row r="248" spans="1:41" ht="17.25" thickTop="1" thickBot="1">
      <c r="A248" s="34"/>
      <c r="B248" s="34"/>
      <c r="C248" s="1299" t="s">
        <v>922</v>
      </c>
      <c r="D248" s="1299"/>
      <c r="E248" s="1297"/>
      <c r="F248" s="1297"/>
      <c r="G248" s="1297" t="s">
        <v>3</v>
      </c>
      <c r="H248" s="1297"/>
      <c r="I248" s="1297"/>
      <c r="J248" s="1297"/>
      <c r="K248" s="1297"/>
      <c r="L248" s="1297"/>
      <c r="M248" s="1297" t="s">
        <v>380</v>
      </c>
      <c r="N248" s="1297"/>
      <c r="O248" s="77"/>
      <c r="P248" s="77"/>
      <c r="Z248" s="79"/>
      <c r="AA248" s="80"/>
      <c r="AB248" s="34"/>
      <c r="AC248" s="34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</row>
    <row r="249" spans="1:41" ht="17.25" thickTop="1" thickBot="1">
      <c r="A249" s="34"/>
      <c r="B249" s="34"/>
      <c r="C249" s="1299" t="s">
        <v>923</v>
      </c>
      <c r="D249" s="1299"/>
      <c r="E249" s="1297"/>
      <c r="F249" s="1297"/>
      <c r="G249" s="1297"/>
      <c r="H249" s="1297"/>
      <c r="I249" s="1297"/>
      <c r="J249" s="1297"/>
      <c r="K249" s="1297"/>
      <c r="L249" s="1297"/>
      <c r="M249" s="1297" t="s">
        <v>380</v>
      </c>
      <c r="N249" s="1297"/>
      <c r="O249" s="77"/>
      <c r="P249" s="77"/>
      <c r="Z249" s="79"/>
      <c r="AA249" s="80"/>
      <c r="AB249" s="34"/>
      <c r="AC249" s="34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</row>
    <row r="250" spans="1:41" ht="17.25" thickTop="1" thickBot="1">
      <c r="A250" s="34"/>
      <c r="B250" s="34"/>
      <c r="C250" s="1299" t="s">
        <v>924</v>
      </c>
      <c r="D250" s="1299"/>
      <c r="E250" s="1297" t="s">
        <v>380</v>
      </c>
      <c r="F250" s="1297"/>
      <c r="G250" s="1297" t="s">
        <v>380</v>
      </c>
      <c r="H250" s="1297"/>
      <c r="I250" s="1297"/>
      <c r="J250" s="1297"/>
      <c r="K250" s="1297" t="s">
        <v>380</v>
      </c>
      <c r="L250" s="1297"/>
      <c r="M250" s="1297" t="s">
        <v>380</v>
      </c>
      <c r="N250" s="1297"/>
      <c r="O250" s="77"/>
      <c r="P250" s="77"/>
      <c r="Z250" s="79"/>
      <c r="AA250" s="80"/>
      <c r="AB250" s="34"/>
      <c r="AC250" s="34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</row>
    <row r="251" spans="1:41" ht="17.25" thickTop="1" thickBot="1">
      <c r="A251" s="34"/>
      <c r="B251" s="34"/>
      <c r="C251" s="33"/>
      <c r="D251" s="33"/>
      <c r="E251" s="33"/>
      <c r="F251" s="33"/>
      <c r="G251" s="33"/>
      <c r="H251" s="33"/>
      <c r="I251" s="33"/>
      <c r="J251" s="33"/>
      <c r="K251" s="34"/>
      <c r="L251" s="34"/>
      <c r="M251" s="33"/>
      <c r="N251" s="33"/>
      <c r="O251" s="77"/>
      <c r="P251" s="77"/>
      <c r="Z251" s="79"/>
      <c r="AA251" s="80"/>
      <c r="AB251" s="34"/>
      <c r="AC251" s="34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</row>
    <row r="252" spans="1:41" ht="19.5" thickTop="1" thickBot="1">
      <c r="A252" s="1321" t="s">
        <v>467</v>
      </c>
      <c r="B252" s="1322"/>
      <c r="C252" s="1323" t="s">
        <v>380</v>
      </c>
      <c r="D252" s="1323"/>
      <c r="E252" s="1323" t="s">
        <v>380</v>
      </c>
      <c r="F252" s="1323"/>
      <c r="G252" s="250"/>
      <c r="H252" s="250" t="s">
        <v>468</v>
      </c>
      <c r="I252" s="1295" t="s">
        <v>402</v>
      </c>
      <c r="J252" s="1295"/>
      <c r="K252" s="1295"/>
      <c r="L252" s="102" t="s">
        <v>403</v>
      </c>
      <c r="M252" s="1331">
        <f ca="1">TODAY()</f>
        <v>45944</v>
      </c>
      <c r="N252" s="1331"/>
      <c r="O252" s="77"/>
      <c r="P252" s="77"/>
      <c r="Q252" s="78"/>
      <c r="Z252" s="79"/>
      <c r="AA252" s="80"/>
      <c r="AB252" s="34"/>
      <c r="AC252" s="34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</row>
    <row r="253" spans="1:41" ht="19.5" thickTop="1" thickBot="1">
      <c r="A253" s="1321" t="s">
        <v>469</v>
      </c>
      <c r="B253" s="1322"/>
      <c r="C253" s="1323" t="s">
        <v>380</v>
      </c>
      <c r="D253" s="1323"/>
      <c r="E253" s="1323" t="s">
        <v>380</v>
      </c>
      <c r="F253" s="1323"/>
      <c r="G253" s="250"/>
      <c r="H253" s="250"/>
      <c r="I253" s="250"/>
      <c r="J253" s="250"/>
      <c r="K253" s="102"/>
      <c r="L253" s="102"/>
      <c r="M253" s="33"/>
      <c r="N253" s="33"/>
      <c r="O253" s="77"/>
      <c r="P253" s="77"/>
      <c r="Q253" s="78"/>
      <c r="Z253" s="79"/>
      <c r="AA253" s="80"/>
      <c r="AB253" s="34"/>
      <c r="AC253" s="34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</row>
    <row r="254" spans="1:41" ht="19.5" thickTop="1" thickBot="1">
      <c r="A254" s="1321" t="s">
        <v>470</v>
      </c>
      <c r="B254" s="1322"/>
      <c r="C254" s="1323" t="s">
        <v>380</v>
      </c>
      <c r="D254" s="1323"/>
      <c r="E254" s="1323" t="s">
        <v>380</v>
      </c>
      <c r="F254" s="1323"/>
      <c r="G254" s="250"/>
      <c r="H254" s="250"/>
      <c r="I254" s="250"/>
      <c r="J254" s="250" t="s">
        <v>471</v>
      </c>
      <c r="K254" s="102"/>
      <c r="L254" s="102"/>
      <c r="M254" s="33"/>
      <c r="N254" s="33"/>
      <c r="O254" s="77"/>
      <c r="P254" s="77"/>
      <c r="Q254" s="78"/>
      <c r="Z254" s="79"/>
      <c r="AA254" s="80"/>
      <c r="AB254" s="34"/>
      <c r="AC254" s="34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</row>
    <row r="255" spans="1:41" ht="24" thickTop="1">
      <c r="A255" s="102"/>
      <c r="B255" s="102"/>
      <c r="C255" s="250"/>
      <c r="D255" s="250"/>
      <c r="E255" s="250"/>
      <c r="F255" s="250"/>
      <c r="G255" s="33"/>
      <c r="H255" s="103" t="s">
        <v>406</v>
      </c>
      <c r="I255" s="33"/>
      <c r="J255" s="34"/>
      <c r="K255" s="34"/>
      <c r="L255" s="33"/>
      <c r="M255" s="33"/>
      <c r="N255" s="104"/>
      <c r="O255" s="77"/>
      <c r="P255" s="77"/>
      <c r="Q255" s="78"/>
      <c r="Z255" s="79"/>
      <c r="AA255" s="80"/>
      <c r="AB255" s="34"/>
      <c r="AC255" s="34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</row>
    <row r="256" spans="1:41" ht="18">
      <c r="A256" s="1295" t="s">
        <v>78</v>
      </c>
      <c r="B256" s="1295"/>
      <c r="C256" s="1295"/>
      <c r="D256" s="1295"/>
      <c r="E256" s="1295"/>
      <c r="F256" s="1295"/>
      <c r="G256" s="1295"/>
      <c r="H256" s="1295"/>
      <c r="I256" s="1295"/>
      <c r="J256" s="1295"/>
      <c r="K256" s="1295"/>
      <c r="L256" s="1295"/>
      <c r="M256" s="1295"/>
      <c r="N256" s="1295"/>
      <c r="O256" s="77"/>
      <c r="P256" s="77"/>
      <c r="Q256" s="78"/>
      <c r="Z256" s="79"/>
      <c r="AA256" s="80"/>
      <c r="AB256" s="34"/>
      <c r="AC256" s="34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</row>
    <row r="257" spans="1:41" ht="18">
      <c r="A257" s="1295" t="s">
        <v>79</v>
      </c>
      <c r="B257" s="1295"/>
      <c r="C257" s="1295"/>
      <c r="D257" s="1295"/>
      <c r="E257" s="1295"/>
      <c r="F257" s="1295"/>
      <c r="G257" s="1295"/>
      <c r="H257" s="1295"/>
      <c r="I257" s="1295"/>
      <c r="J257" s="1295"/>
      <c r="K257" s="1295"/>
      <c r="L257" s="1295"/>
      <c r="M257" s="1295"/>
      <c r="N257" s="1295"/>
      <c r="O257" s="77"/>
      <c r="P257" s="77"/>
      <c r="Q257" s="78"/>
      <c r="Z257" s="79"/>
      <c r="AA257" s="80"/>
      <c r="AB257" s="34"/>
      <c r="AC257" s="34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</row>
    <row r="258" spans="1:41" ht="18">
      <c r="A258" s="168" t="s">
        <v>220</v>
      </c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33"/>
      <c r="N258" s="33"/>
      <c r="O258" s="77"/>
      <c r="P258" s="77"/>
      <c r="Q258" s="78"/>
      <c r="Z258" s="79"/>
      <c r="AA258" s="80"/>
      <c r="AB258" s="34"/>
      <c r="AC258" s="34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</row>
    <row r="259" spans="1:41" ht="18">
      <c r="A259" s="168" t="s">
        <v>444</v>
      </c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33"/>
      <c r="N259" s="33"/>
      <c r="O259" s="77"/>
      <c r="P259" s="77"/>
      <c r="Q259" s="78"/>
      <c r="Z259" s="79"/>
      <c r="AA259" s="80"/>
      <c r="AB259" s="34"/>
      <c r="AC259" s="34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</row>
    <row r="260" spans="1:41" ht="18.75" thickBot="1">
      <c r="A260" s="250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33"/>
      <c r="N260" s="33"/>
      <c r="O260" s="77"/>
      <c r="P260" s="77"/>
      <c r="Q260" s="78"/>
      <c r="Z260" s="79"/>
      <c r="AA260" s="80"/>
      <c r="AB260" s="34"/>
      <c r="AC260" s="34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</row>
    <row r="261" spans="1:41" ht="24" thickBot="1">
      <c r="A261" s="250"/>
      <c r="B261" s="250"/>
      <c r="C261" s="1333" t="s">
        <v>446</v>
      </c>
      <c r="D261" s="1334"/>
      <c r="E261" s="1334"/>
      <c r="F261" s="1334"/>
      <c r="G261" s="1334"/>
      <c r="H261" s="1334"/>
      <c r="I261" s="1334"/>
      <c r="J261" s="1334"/>
      <c r="K261" s="1334"/>
      <c r="L261" s="1335"/>
      <c r="M261" s="33"/>
      <c r="N261" s="33"/>
      <c r="O261" s="77"/>
      <c r="P261" s="77"/>
      <c r="Q261" s="78"/>
      <c r="Z261" s="79"/>
      <c r="AA261" s="80"/>
      <c r="AB261" s="34"/>
      <c r="AC261" s="34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</row>
    <row r="262" spans="1:41" ht="23.25">
      <c r="A262" s="250"/>
      <c r="B262" s="250"/>
      <c r="C262" s="249"/>
      <c r="D262" s="249"/>
      <c r="E262" s="249"/>
      <c r="F262" s="249"/>
      <c r="G262" s="249"/>
      <c r="H262" s="249"/>
      <c r="I262" s="249"/>
      <c r="J262" s="249"/>
      <c r="K262" s="249"/>
      <c r="L262" s="249"/>
      <c r="M262" s="33"/>
      <c r="N262" s="33"/>
      <c r="O262" s="77"/>
      <c r="P262" s="77"/>
      <c r="Q262" s="78"/>
      <c r="Z262" s="79"/>
      <c r="AA262" s="80"/>
      <c r="AB262" s="34"/>
      <c r="AC262" s="34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</row>
    <row r="263" spans="1:41" ht="23.25">
      <c r="A263" s="1295" t="s">
        <v>448</v>
      </c>
      <c r="B263" s="1295"/>
      <c r="C263" s="1295"/>
      <c r="D263" s="1294" t="s">
        <v>1221</v>
      </c>
      <c r="E263" s="1294"/>
      <c r="F263" s="1294"/>
      <c r="G263" s="1294"/>
      <c r="H263" s="1294"/>
      <c r="I263" s="249"/>
      <c r="J263" s="249"/>
      <c r="K263" s="249" t="s">
        <v>449</v>
      </c>
      <c r="L263" s="249"/>
      <c r="M263" s="1295" t="s">
        <v>270</v>
      </c>
      <c r="N263" s="1295"/>
      <c r="O263" s="1292" t="str">
        <f>D263</f>
        <v>توات الطيب</v>
      </c>
      <c r="P263" s="1292"/>
      <c r="Q263" s="78">
        <v>9</v>
      </c>
      <c r="Z263" s="79"/>
      <c r="AA263" s="80"/>
      <c r="AB263" s="34"/>
      <c r="AC263" s="34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</row>
    <row r="264" spans="1:41" ht="24" thickBot="1">
      <c r="A264" s="1340" t="s">
        <v>450</v>
      </c>
      <c r="B264" s="1340"/>
      <c r="C264" s="1340"/>
      <c r="D264" s="1340">
        <v>0</v>
      </c>
      <c r="E264" s="1340"/>
      <c r="F264" s="1340"/>
      <c r="G264" s="1340"/>
      <c r="H264" s="87"/>
      <c r="I264" s="1340" t="s">
        <v>452</v>
      </c>
      <c r="J264" s="1340"/>
      <c r="K264" s="1340"/>
      <c r="L264" s="1341" t="s">
        <v>380</v>
      </c>
      <c r="M264" s="1341"/>
      <c r="N264" s="1341"/>
      <c r="O264" s="77"/>
      <c r="P264" s="77"/>
      <c r="Q264" s="78"/>
      <c r="Z264" s="79"/>
      <c r="AA264" s="80"/>
      <c r="AB264" s="34"/>
      <c r="AC264" s="34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</row>
    <row r="265" spans="1:41" ht="17.25" thickTop="1" thickBot="1">
      <c r="A265" s="1373" t="s">
        <v>453</v>
      </c>
      <c r="B265" s="1374"/>
      <c r="C265" s="88" t="s">
        <v>2</v>
      </c>
      <c r="D265" s="89" t="s">
        <v>639</v>
      </c>
      <c r="E265" s="89" t="s">
        <v>11</v>
      </c>
      <c r="F265" s="89" t="s">
        <v>380</v>
      </c>
      <c r="G265" s="89" t="s">
        <v>380</v>
      </c>
      <c r="H265" s="89" t="s">
        <v>380</v>
      </c>
      <c r="I265" s="89" t="s">
        <v>380</v>
      </c>
      <c r="J265" s="89" t="s">
        <v>380</v>
      </c>
      <c r="K265" s="89" t="s">
        <v>380</v>
      </c>
      <c r="L265" s="89" t="s">
        <v>380</v>
      </c>
      <c r="M265" s="89" t="s">
        <v>380</v>
      </c>
      <c r="N265" s="90" t="s">
        <v>380</v>
      </c>
      <c r="Z265" s="79"/>
      <c r="AA265" s="80"/>
      <c r="AB265" s="34"/>
      <c r="AC265" s="34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</row>
    <row r="266" spans="1:41" ht="24" thickBot="1">
      <c r="A266" s="1365" t="s">
        <v>454</v>
      </c>
      <c r="B266" s="1366"/>
      <c r="C266" s="91">
        <v>6</v>
      </c>
      <c r="D266" s="210">
        <v>3</v>
      </c>
      <c r="E266" s="210">
        <v>6</v>
      </c>
      <c r="F266" s="210" t="s">
        <v>380</v>
      </c>
      <c r="G266" s="210" t="s">
        <v>380</v>
      </c>
      <c r="H266" s="210" t="s">
        <v>380</v>
      </c>
      <c r="I266" s="210" t="s">
        <v>380</v>
      </c>
      <c r="J266" s="210" t="s">
        <v>380</v>
      </c>
      <c r="K266" s="210" t="s">
        <v>380</v>
      </c>
      <c r="L266" s="210" t="s">
        <v>380</v>
      </c>
      <c r="M266" s="210" t="s">
        <v>380</v>
      </c>
      <c r="N266" s="92" t="s">
        <v>380</v>
      </c>
      <c r="O266" s="152"/>
      <c r="R266" s="78"/>
      <c r="Z266" s="79"/>
      <c r="AA266" s="80"/>
      <c r="AB266" s="34"/>
      <c r="AC266" s="34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</row>
    <row r="267" spans="1:41" ht="24" thickBot="1">
      <c r="A267" s="1365" t="s">
        <v>455</v>
      </c>
      <c r="B267" s="1366"/>
      <c r="C267" s="91"/>
      <c r="D267" s="210"/>
      <c r="E267" s="210"/>
      <c r="F267" s="210" t="s">
        <v>380</v>
      </c>
      <c r="G267" s="210" t="s">
        <v>380</v>
      </c>
      <c r="H267" s="210" t="s">
        <v>380</v>
      </c>
      <c r="I267" s="210" t="s">
        <v>380</v>
      </c>
      <c r="J267" s="210" t="s">
        <v>380</v>
      </c>
      <c r="K267" s="210" t="s">
        <v>380</v>
      </c>
      <c r="L267" s="210" t="s">
        <v>380</v>
      </c>
      <c r="M267" s="210" t="s">
        <v>380</v>
      </c>
      <c r="N267" s="92" t="s">
        <v>380</v>
      </c>
      <c r="O267" s="152"/>
      <c r="R267" s="78"/>
      <c r="Z267" s="79"/>
      <c r="AA267" s="80"/>
      <c r="AB267" s="34"/>
      <c r="AC267" s="34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</row>
    <row r="268" spans="1:41" ht="24" thickBot="1">
      <c r="A268" s="1367" t="s">
        <v>456</v>
      </c>
      <c r="B268" s="1368"/>
      <c r="C268" s="93"/>
      <c r="D268" s="94"/>
      <c r="E268" s="94"/>
      <c r="F268" s="94" t="s">
        <v>380</v>
      </c>
      <c r="G268" s="94" t="s">
        <v>380</v>
      </c>
      <c r="H268" s="94" t="s">
        <v>380</v>
      </c>
      <c r="I268" s="94" t="s">
        <v>380</v>
      </c>
      <c r="J268" s="94" t="s">
        <v>380</v>
      </c>
      <c r="K268" s="94" t="s">
        <v>380</v>
      </c>
      <c r="L268" s="94" t="s">
        <v>380</v>
      </c>
      <c r="M268" s="94" t="s">
        <v>380</v>
      </c>
      <c r="N268" s="95" t="s">
        <v>380</v>
      </c>
      <c r="O268" s="152"/>
      <c r="Z268" s="79"/>
      <c r="AA268" s="80"/>
      <c r="AB268" s="34"/>
      <c r="AC268" s="34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</row>
    <row r="269" spans="1:41" ht="21" thickTop="1">
      <c r="A269" s="96"/>
      <c r="B269" s="96"/>
      <c r="C269" s="96"/>
      <c r="D269" s="96"/>
      <c r="E269" s="1326" t="s">
        <v>457</v>
      </c>
      <c r="F269" s="1310"/>
      <c r="G269" s="97">
        <v>18</v>
      </c>
      <c r="H269" s="1310" t="s">
        <v>458</v>
      </c>
      <c r="I269" s="1311"/>
      <c r="J269" s="1310" t="s">
        <v>459</v>
      </c>
      <c r="K269" s="1311"/>
      <c r="L269" s="96"/>
      <c r="M269" s="96"/>
      <c r="N269" s="96"/>
      <c r="O269" s="77"/>
      <c r="P269" s="77"/>
      <c r="Q269" s="78"/>
      <c r="Z269" s="79"/>
      <c r="AA269" s="80"/>
      <c r="AB269" s="34"/>
      <c r="AC269" s="34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</row>
    <row r="270" spans="1:41" ht="23.25">
      <c r="A270" s="96"/>
      <c r="B270" s="96"/>
      <c r="C270" s="96"/>
      <c r="D270" s="96"/>
      <c r="E270" s="1307" t="s">
        <v>460</v>
      </c>
      <c r="F270" s="1308"/>
      <c r="G270" s="98">
        <v>15</v>
      </c>
      <c r="H270" s="1312">
        <v>0</v>
      </c>
      <c r="I270" s="1312"/>
      <c r="J270" s="1312">
        <v>0</v>
      </c>
      <c r="K270" s="1313"/>
      <c r="L270" s="96"/>
      <c r="M270" s="96"/>
      <c r="N270" s="96"/>
      <c r="O270" s="77"/>
      <c r="P270" s="77"/>
      <c r="Q270" s="78">
        <f>G270+H270+H272+J270</f>
        <v>15</v>
      </c>
      <c r="Z270" s="79"/>
      <c r="AA270" s="80"/>
      <c r="AB270" s="34"/>
      <c r="AC270" s="34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</row>
    <row r="271" spans="1:41" ht="20.25">
      <c r="A271" s="96"/>
      <c r="B271" s="96"/>
      <c r="C271" s="96"/>
      <c r="D271" s="96"/>
      <c r="E271" s="1307" t="s">
        <v>461</v>
      </c>
      <c r="F271" s="1308"/>
      <c r="G271" s="99"/>
      <c r="H271" s="1308" t="s">
        <v>462</v>
      </c>
      <c r="I271" s="1308"/>
      <c r="J271" s="1308" t="s">
        <v>463</v>
      </c>
      <c r="K271" s="1309"/>
      <c r="L271" s="96"/>
      <c r="M271" s="96"/>
      <c r="N271" s="96"/>
      <c r="O271" s="77"/>
      <c r="P271" s="77"/>
      <c r="Q271" s="78"/>
      <c r="Z271" s="79"/>
      <c r="AA271" s="80"/>
      <c r="AB271" s="34"/>
      <c r="AC271" s="34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</row>
    <row r="272" spans="1:41" ht="24" thickBot="1">
      <c r="A272" s="96"/>
      <c r="B272" s="96"/>
      <c r="C272" s="96"/>
      <c r="D272" s="96"/>
      <c r="E272" s="1303" t="s">
        <v>464</v>
      </c>
      <c r="F272" s="1304"/>
      <c r="G272" s="99">
        <v>0</v>
      </c>
      <c r="H272" s="1305">
        <v>0</v>
      </c>
      <c r="I272" s="1305"/>
      <c r="J272" s="1305">
        <v>0</v>
      </c>
      <c r="K272" s="1306"/>
      <c r="L272" s="96"/>
      <c r="M272" s="96"/>
      <c r="N272" s="96"/>
      <c r="O272" s="77"/>
      <c r="P272" s="77"/>
      <c r="Q272" s="78"/>
      <c r="Z272" s="79"/>
      <c r="AA272" s="80"/>
      <c r="AB272" s="34"/>
      <c r="AC272" s="34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</row>
    <row r="273" spans="1:41" ht="17.25" thickTop="1" thickBot="1">
      <c r="A273" s="34"/>
      <c r="B273" s="34"/>
      <c r="C273" s="1299" t="s">
        <v>465</v>
      </c>
      <c r="D273" s="1299"/>
      <c r="E273" s="1299" t="s">
        <v>360</v>
      </c>
      <c r="F273" s="1299"/>
      <c r="G273" s="1302" t="s">
        <v>368</v>
      </c>
      <c r="H273" s="1302"/>
      <c r="I273" s="1302" t="s">
        <v>369</v>
      </c>
      <c r="J273" s="1302"/>
      <c r="K273" s="1302" t="s">
        <v>370</v>
      </c>
      <c r="L273" s="1299"/>
      <c r="M273" s="1299" t="s">
        <v>371</v>
      </c>
      <c r="N273" s="1299"/>
      <c r="O273" s="77"/>
      <c r="P273" s="77"/>
      <c r="Q273" s="78"/>
      <c r="Z273" s="79"/>
      <c r="AA273" s="80"/>
      <c r="AB273" s="34"/>
      <c r="AC273" s="34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</row>
    <row r="274" spans="1:41" ht="17.25" thickTop="1" thickBot="1">
      <c r="A274" s="34"/>
      <c r="B274" s="34"/>
      <c r="C274" s="1299" t="s">
        <v>372</v>
      </c>
      <c r="D274" s="1299"/>
      <c r="E274" s="1296" t="s">
        <v>11</v>
      </c>
      <c r="F274" s="1296"/>
      <c r="G274" s="1296"/>
      <c r="H274" s="1296"/>
      <c r="I274" s="1296" t="s">
        <v>11</v>
      </c>
      <c r="J274" s="1296"/>
      <c r="K274" s="1296"/>
      <c r="L274" s="1296"/>
      <c r="M274" s="1296" t="s">
        <v>2</v>
      </c>
      <c r="N274" s="1296"/>
      <c r="O274" s="77"/>
      <c r="P274" s="77"/>
      <c r="Q274" s="78"/>
      <c r="Z274" s="79"/>
      <c r="AA274" s="80"/>
      <c r="AB274" s="34"/>
      <c r="AC274" s="34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</row>
    <row r="275" spans="1:41" ht="17.25" thickTop="1" thickBot="1">
      <c r="A275" s="34"/>
      <c r="B275" s="34"/>
      <c r="C275" s="1299" t="s">
        <v>373</v>
      </c>
      <c r="D275" s="1299"/>
      <c r="E275" s="1296" t="s">
        <v>11</v>
      </c>
      <c r="F275" s="1296"/>
      <c r="G275" s="1296"/>
      <c r="H275" s="1296"/>
      <c r="I275" s="1296" t="s">
        <v>2</v>
      </c>
      <c r="J275" s="1296"/>
      <c r="K275" s="1296"/>
      <c r="L275" s="1296"/>
      <c r="M275" s="1296" t="s">
        <v>2</v>
      </c>
      <c r="N275" s="1296"/>
      <c r="O275" s="77"/>
      <c r="P275" s="77"/>
      <c r="Z275" s="79"/>
      <c r="AA275" s="80"/>
      <c r="AB275" s="34"/>
      <c r="AC275" s="34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</row>
    <row r="276" spans="1:41" ht="17.25" thickTop="1" thickBot="1">
      <c r="A276" s="34"/>
      <c r="B276" s="34"/>
      <c r="C276" s="1299" t="s">
        <v>374</v>
      </c>
      <c r="D276" s="1299"/>
      <c r="E276" s="1296" t="s">
        <v>11</v>
      </c>
      <c r="F276" s="1296"/>
      <c r="G276" s="1296"/>
      <c r="H276" s="1296"/>
      <c r="I276" s="1296"/>
      <c r="J276" s="1296"/>
      <c r="K276" s="1296"/>
      <c r="L276" s="1296"/>
      <c r="M276" s="1296" t="s">
        <v>2</v>
      </c>
      <c r="N276" s="1296"/>
      <c r="O276" s="77"/>
      <c r="P276" s="77"/>
      <c r="Z276" s="79"/>
      <c r="AA276" s="80"/>
      <c r="AB276" s="34"/>
      <c r="AC276" s="34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</row>
    <row r="277" spans="1:41" ht="17.25" thickTop="1" thickBot="1">
      <c r="A277" s="34"/>
      <c r="B277" s="34"/>
      <c r="C277" s="1299" t="s">
        <v>375</v>
      </c>
      <c r="D277" s="1299"/>
      <c r="E277" s="1296" t="s">
        <v>11</v>
      </c>
      <c r="F277" s="1296"/>
      <c r="G277" s="1296"/>
      <c r="H277" s="1296"/>
      <c r="I277" s="1296" t="s">
        <v>639</v>
      </c>
      <c r="J277" s="1296"/>
      <c r="K277" s="1296"/>
      <c r="L277" s="1296"/>
      <c r="M277" s="1296" t="s">
        <v>2</v>
      </c>
      <c r="N277" s="1296"/>
      <c r="O277" s="77"/>
      <c r="P277" s="77"/>
      <c r="Z277" s="79"/>
      <c r="AA277" s="80"/>
      <c r="AB277" s="34"/>
      <c r="AC277" s="34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</row>
    <row r="278" spans="1:41" ht="17.25" thickTop="1" thickBot="1">
      <c r="A278" s="34"/>
      <c r="B278" s="34"/>
      <c r="C278" s="101"/>
      <c r="D278" s="101"/>
      <c r="E278" s="33"/>
      <c r="F278" s="33"/>
      <c r="G278" s="33"/>
      <c r="H278" s="33"/>
      <c r="I278" s="33"/>
      <c r="J278" s="33"/>
      <c r="K278" s="34"/>
      <c r="L278" s="34"/>
      <c r="M278" s="33"/>
      <c r="N278" s="33"/>
      <c r="O278" s="77"/>
      <c r="P278" s="77"/>
      <c r="Z278" s="79"/>
      <c r="AA278" s="80"/>
      <c r="AB278" s="34"/>
      <c r="AC278" s="34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</row>
    <row r="279" spans="1:41" ht="17.25" thickTop="1" thickBot="1">
      <c r="A279" s="34"/>
      <c r="B279" s="34"/>
      <c r="C279" s="1299" t="s">
        <v>921</v>
      </c>
      <c r="D279" s="1299"/>
      <c r="E279" s="1297"/>
      <c r="F279" s="1297"/>
      <c r="G279" s="1296" t="s">
        <v>11</v>
      </c>
      <c r="H279" s="1296"/>
      <c r="I279" s="1297"/>
      <c r="J279" s="1297"/>
      <c r="K279" s="1297"/>
      <c r="L279" s="1297"/>
      <c r="M279" s="1297"/>
      <c r="N279" s="1297"/>
      <c r="O279" s="77"/>
      <c r="P279" s="77"/>
      <c r="Z279" s="79"/>
      <c r="AA279" s="80"/>
      <c r="AB279" s="34"/>
      <c r="AC279" s="34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</row>
    <row r="280" spans="1:41" ht="17.25" thickTop="1" thickBot="1">
      <c r="A280" s="34"/>
      <c r="B280" s="34"/>
      <c r="C280" s="1299" t="s">
        <v>922</v>
      </c>
      <c r="D280" s="1299"/>
      <c r="E280" s="1317"/>
      <c r="F280" s="1317"/>
      <c r="G280" s="1296" t="s">
        <v>2</v>
      </c>
      <c r="H280" s="1296"/>
      <c r="I280" s="1297"/>
      <c r="J280" s="1297"/>
      <c r="K280" s="1297"/>
      <c r="L280" s="1297"/>
      <c r="M280" s="1297"/>
      <c r="N280" s="1297"/>
      <c r="O280" s="77"/>
      <c r="P280" s="77"/>
      <c r="Z280" s="79"/>
      <c r="AA280" s="80"/>
      <c r="AB280" s="34"/>
      <c r="AC280" s="34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</row>
    <row r="281" spans="1:41" ht="17.25" thickTop="1" thickBot="1">
      <c r="A281" s="34"/>
      <c r="B281" s="34"/>
      <c r="C281" s="1299" t="s">
        <v>923</v>
      </c>
      <c r="D281" s="1299"/>
      <c r="E281" s="1317"/>
      <c r="F281" s="1317"/>
      <c r="G281" s="1297" t="s">
        <v>380</v>
      </c>
      <c r="H281" s="1297"/>
      <c r="I281" s="1300"/>
      <c r="J281" s="1300"/>
      <c r="K281" s="1296" t="s">
        <v>639</v>
      </c>
      <c r="L281" s="1296"/>
      <c r="M281" s="1297" t="s">
        <v>380</v>
      </c>
      <c r="N281" s="1297"/>
      <c r="O281" s="77"/>
      <c r="P281" s="77"/>
      <c r="Z281" s="79"/>
      <c r="AA281" s="80"/>
      <c r="AB281" s="34"/>
      <c r="AC281" s="34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</row>
    <row r="282" spans="1:41" ht="17.25" thickTop="1" thickBot="1">
      <c r="A282" s="34"/>
      <c r="B282" s="34"/>
      <c r="C282" s="1299" t="s">
        <v>924</v>
      </c>
      <c r="D282" s="1299"/>
      <c r="E282" s="1297" t="s">
        <v>380</v>
      </c>
      <c r="F282" s="1297"/>
      <c r="G282" s="1297" t="s">
        <v>380</v>
      </c>
      <c r="H282" s="1297"/>
      <c r="I282" s="1297" t="s">
        <v>380</v>
      </c>
      <c r="J282" s="1297"/>
      <c r="K282" s="1296" t="s">
        <v>639</v>
      </c>
      <c r="L282" s="1296"/>
      <c r="M282" s="1297" t="s">
        <v>380</v>
      </c>
      <c r="N282" s="1297"/>
      <c r="O282" s="77"/>
      <c r="P282" s="77"/>
      <c r="Z282" s="79"/>
      <c r="AA282" s="80"/>
      <c r="AB282" s="34"/>
      <c r="AC282" s="34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</row>
    <row r="283" spans="1:41" ht="17.25" thickTop="1" thickBot="1">
      <c r="A283" s="34"/>
      <c r="B283" s="34"/>
      <c r="C283" s="33"/>
      <c r="D283" s="33"/>
      <c r="E283" s="33"/>
      <c r="F283" s="33"/>
      <c r="G283" s="33"/>
      <c r="H283" s="33"/>
      <c r="I283" s="33"/>
      <c r="J283" s="33"/>
      <c r="K283" s="34"/>
      <c r="L283" s="34"/>
      <c r="M283" s="33"/>
      <c r="N283" s="33"/>
      <c r="O283" s="77"/>
      <c r="P283" s="77"/>
      <c r="Z283" s="79"/>
      <c r="AA283" s="80"/>
      <c r="AB283" s="34"/>
      <c r="AC283" s="34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</row>
    <row r="284" spans="1:41" ht="19.5" thickTop="1" thickBot="1">
      <c r="A284" s="1321" t="s">
        <v>467</v>
      </c>
      <c r="B284" s="1322"/>
      <c r="C284" s="1323" t="s">
        <v>380</v>
      </c>
      <c r="D284" s="1323"/>
      <c r="E284" s="1323" t="s">
        <v>380</v>
      </c>
      <c r="F284" s="1323"/>
      <c r="G284" s="250"/>
      <c r="H284" s="250" t="s">
        <v>468</v>
      </c>
      <c r="I284" s="1295" t="s">
        <v>402</v>
      </c>
      <c r="J284" s="1295"/>
      <c r="K284" s="1295"/>
      <c r="L284" s="102" t="s">
        <v>403</v>
      </c>
      <c r="M284" s="1331">
        <v>43710</v>
      </c>
      <c r="N284" s="1331"/>
      <c r="O284" s="77"/>
      <c r="P284" s="77"/>
      <c r="Z284" s="79"/>
      <c r="AA284" s="80"/>
      <c r="AB284" s="34"/>
      <c r="AC284" s="34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</row>
    <row r="285" spans="1:41" ht="19.5" thickTop="1" thickBot="1">
      <c r="A285" s="1321" t="s">
        <v>469</v>
      </c>
      <c r="B285" s="1322"/>
      <c r="C285" s="1323" t="s">
        <v>380</v>
      </c>
      <c r="D285" s="1323"/>
      <c r="E285" s="1323" t="s">
        <v>380</v>
      </c>
      <c r="F285" s="1323"/>
      <c r="G285" s="250"/>
      <c r="H285" s="250"/>
      <c r="I285" s="250"/>
      <c r="J285" s="250"/>
      <c r="K285" s="102"/>
      <c r="L285" s="102"/>
      <c r="M285" s="33"/>
      <c r="N285" s="33"/>
      <c r="O285" s="77"/>
      <c r="P285" s="77"/>
      <c r="Q285" s="78"/>
      <c r="Z285" s="79"/>
      <c r="AA285" s="80"/>
      <c r="AB285" s="34"/>
      <c r="AC285" s="34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</row>
    <row r="286" spans="1:41" ht="19.5" thickTop="1" thickBot="1">
      <c r="A286" s="1321" t="s">
        <v>470</v>
      </c>
      <c r="B286" s="1322"/>
      <c r="C286" s="1323" t="s">
        <v>380</v>
      </c>
      <c r="D286" s="1323"/>
      <c r="E286" s="1323" t="s">
        <v>380</v>
      </c>
      <c r="F286" s="1323"/>
      <c r="G286" s="250"/>
      <c r="H286" s="250"/>
      <c r="I286" s="250"/>
      <c r="J286" s="250" t="s">
        <v>471</v>
      </c>
      <c r="K286" s="102"/>
      <c r="L286" s="102"/>
      <c r="M286" s="33"/>
      <c r="N286" s="33"/>
      <c r="O286" s="77"/>
      <c r="P286" s="77"/>
      <c r="Q286" s="78"/>
      <c r="Z286" s="79"/>
      <c r="AA286" s="80"/>
      <c r="AB286" s="34"/>
      <c r="AC286" s="34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</row>
    <row r="287" spans="1:41" ht="24" thickTop="1">
      <c r="A287" s="102"/>
      <c r="B287" s="102"/>
      <c r="C287" s="250"/>
      <c r="D287" s="250"/>
      <c r="E287" s="250"/>
      <c r="F287" s="250"/>
      <c r="G287" s="33"/>
      <c r="H287" s="103" t="s">
        <v>406</v>
      </c>
      <c r="I287" s="33"/>
      <c r="J287" s="34"/>
      <c r="K287" s="34"/>
      <c r="L287" s="33"/>
      <c r="M287" s="33"/>
      <c r="N287" s="104"/>
      <c r="O287" s="77"/>
      <c r="P287" s="77"/>
      <c r="Q287" s="78"/>
      <c r="Z287" s="79"/>
      <c r="AA287" s="80"/>
      <c r="AB287" s="34"/>
      <c r="AC287" s="34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</row>
    <row r="288" spans="1:41" ht="18">
      <c r="A288" s="1295" t="s">
        <v>78</v>
      </c>
      <c r="B288" s="1295"/>
      <c r="C288" s="1295"/>
      <c r="D288" s="1295"/>
      <c r="E288" s="1295"/>
      <c r="F288" s="1295"/>
      <c r="G288" s="1295"/>
      <c r="H288" s="1295"/>
      <c r="I288" s="1295"/>
      <c r="J288" s="1295"/>
      <c r="K288" s="1295"/>
      <c r="L288" s="1295"/>
      <c r="M288" s="1295"/>
      <c r="N288" s="1295"/>
      <c r="O288" s="77"/>
      <c r="P288" s="77"/>
      <c r="Q288" s="78"/>
      <c r="Z288" s="79"/>
      <c r="AA288" s="80"/>
      <c r="AB288" s="34"/>
      <c r="AC288" s="34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</row>
    <row r="289" spans="1:41" ht="18">
      <c r="A289" s="1295" t="s">
        <v>79</v>
      </c>
      <c r="B289" s="1295"/>
      <c r="C289" s="1295"/>
      <c r="D289" s="1295"/>
      <c r="E289" s="1295"/>
      <c r="F289" s="1295"/>
      <c r="G289" s="1295"/>
      <c r="H289" s="1295"/>
      <c r="I289" s="1295"/>
      <c r="J289" s="1295"/>
      <c r="K289" s="1295"/>
      <c r="L289" s="1295"/>
      <c r="M289" s="1295"/>
      <c r="N289" s="1295"/>
      <c r="O289" s="77"/>
      <c r="P289" s="77"/>
      <c r="Q289" s="78"/>
      <c r="Z289" s="79"/>
      <c r="AA289" s="80"/>
      <c r="AB289" s="34"/>
      <c r="AC289" s="34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</row>
    <row r="290" spans="1:41" ht="18">
      <c r="A290" s="168" t="s">
        <v>220</v>
      </c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33"/>
      <c r="N290" s="33"/>
      <c r="O290" s="77"/>
      <c r="P290" s="77"/>
      <c r="Q290" s="78"/>
      <c r="Z290" s="79"/>
      <c r="AA290" s="80"/>
      <c r="AB290" s="34"/>
      <c r="AC290" s="34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</row>
    <row r="291" spans="1:41" ht="18">
      <c r="A291" s="168" t="s">
        <v>444</v>
      </c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33"/>
      <c r="N291" s="33"/>
      <c r="O291" s="77"/>
      <c r="P291" s="77"/>
      <c r="Q291" s="78"/>
      <c r="Z291" s="79"/>
      <c r="AA291" s="80"/>
      <c r="AB291" s="34"/>
      <c r="AC291" s="34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</row>
    <row r="292" spans="1:41" ht="18.75" thickBot="1">
      <c r="A292" s="250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33"/>
      <c r="N292" s="33"/>
      <c r="O292" s="77"/>
      <c r="P292" s="77"/>
      <c r="Q292" s="78"/>
      <c r="Z292" s="79"/>
      <c r="AA292" s="80"/>
      <c r="AB292" s="34"/>
      <c r="AC292" s="34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</row>
    <row r="293" spans="1:41" ht="24" thickBot="1">
      <c r="A293" s="250"/>
      <c r="B293" s="250"/>
      <c r="C293" s="1333" t="s">
        <v>446</v>
      </c>
      <c r="D293" s="1334"/>
      <c r="E293" s="1334"/>
      <c r="F293" s="1334"/>
      <c r="G293" s="1334"/>
      <c r="H293" s="1334"/>
      <c r="I293" s="1334"/>
      <c r="J293" s="1334"/>
      <c r="K293" s="1334"/>
      <c r="L293" s="1335"/>
      <c r="M293" s="33"/>
      <c r="N293" s="33"/>
      <c r="O293" s="77"/>
      <c r="P293" s="77"/>
      <c r="Q293" s="78"/>
      <c r="Z293" s="79"/>
      <c r="AA293" s="80"/>
      <c r="AB293" s="34"/>
      <c r="AC293" s="34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</row>
    <row r="294" spans="1:41" ht="23.25">
      <c r="A294" s="250"/>
      <c r="B294" s="250"/>
      <c r="C294" s="249"/>
      <c r="D294" s="249"/>
      <c r="E294" s="249"/>
      <c r="F294" s="249"/>
      <c r="G294" s="249"/>
      <c r="H294" s="249"/>
      <c r="I294" s="249"/>
      <c r="J294" s="249"/>
      <c r="K294" s="249"/>
      <c r="L294" s="249"/>
      <c r="M294" s="33"/>
      <c r="N294" s="33"/>
      <c r="O294" s="77"/>
      <c r="P294" s="77"/>
      <c r="Q294" s="78"/>
      <c r="Z294" s="79"/>
      <c r="AA294" s="80"/>
      <c r="AB294" s="34"/>
      <c r="AC294" s="34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</row>
    <row r="295" spans="1:41" ht="23.25">
      <c r="A295" s="1295" t="s">
        <v>448</v>
      </c>
      <c r="B295" s="1295"/>
      <c r="C295" s="1295"/>
      <c r="D295" s="1407" t="s">
        <v>1243</v>
      </c>
      <c r="E295" s="1407"/>
      <c r="F295" s="1407"/>
      <c r="G295" s="1407"/>
      <c r="H295" s="1407"/>
      <c r="I295" s="249"/>
      <c r="J295" s="249"/>
      <c r="K295" s="249" t="s">
        <v>449</v>
      </c>
      <c r="L295" s="249"/>
      <c r="M295" s="1295" t="s">
        <v>270</v>
      </c>
      <c r="N295" s="1295"/>
      <c r="O295" s="1292" t="str">
        <f>D295</f>
        <v>خليل فاطمة الزهرة</v>
      </c>
      <c r="P295" s="1292"/>
      <c r="Q295" s="78">
        <v>10</v>
      </c>
      <c r="Z295" s="79"/>
      <c r="AA295" s="80"/>
      <c r="AB295" s="34"/>
      <c r="AC295" s="34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</row>
    <row r="296" spans="1:41" ht="24" thickBot="1">
      <c r="A296" s="1340" t="s">
        <v>450</v>
      </c>
      <c r="B296" s="1340"/>
      <c r="C296" s="1340"/>
      <c r="D296" s="1340" t="s">
        <v>451</v>
      </c>
      <c r="E296" s="1340"/>
      <c r="F296" s="1340"/>
      <c r="G296" s="1340"/>
      <c r="H296" s="87"/>
      <c r="I296" s="1340" t="s">
        <v>452</v>
      </c>
      <c r="J296" s="1340"/>
      <c r="K296" s="1340"/>
      <c r="L296" s="1341" t="s">
        <v>380</v>
      </c>
      <c r="M296" s="1341"/>
      <c r="N296" s="1341"/>
      <c r="O296" s="77"/>
      <c r="P296" s="77"/>
      <c r="Q296" s="78"/>
      <c r="Z296" s="79"/>
      <c r="AA296" s="80"/>
      <c r="AB296" s="34"/>
      <c r="AC296" s="34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</row>
    <row r="297" spans="1:41" ht="17.25" thickTop="1" thickBot="1">
      <c r="A297" s="1373" t="s">
        <v>453</v>
      </c>
      <c r="B297" s="1374"/>
      <c r="C297" s="88" t="s">
        <v>1</v>
      </c>
      <c r="D297" s="253" t="s">
        <v>10</v>
      </c>
      <c r="E297" s="89" t="s">
        <v>11</v>
      </c>
      <c r="F297" s="89"/>
      <c r="G297" s="89" t="s">
        <v>380</v>
      </c>
      <c r="H297" s="89" t="s">
        <v>380</v>
      </c>
      <c r="I297" s="89" t="s">
        <v>380</v>
      </c>
      <c r="J297" s="89" t="s">
        <v>380</v>
      </c>
      <c r="K297" s="89" t="s">
        <v>380</v>
      </c>
      <c r="L297" s="89" t="s">
        <v>380</v>
      </c>
      <c r="M297" s="89" t="s">
        <v>380</v>
      </c>
      <c r="N297" s="90" t="s">
        <v>380</v>
      </c>
      <c r="Z297" s="79"/>
      <c r="AA297" s="80"/>
      <c r="AB297" s="34"/>
      <c r="AC297" s="34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</row>
    <row r="298" spans="1:41" ht="24" thickBot="1">
      <c r="A298" s="1365" t="s">
        <v>454</v>
      </c>
      <c r="B298" s="1366"/>
      <c r="C298" s="91">
        <v>7</v>
      </c>
      <c r="D298" s="254">
        <v>3</v>
      </c>
      <c r="E298" s="210">
        <v>6</v>
      </c>
      <c r="F298" s="210"/>
      <c r="G298" s="210" t="s">
        <v>380</v>
      </c>
      <c r="H298" s="210" t="s">
        <v>380</v>
      </c>
      <c r="I298" s="210" t="s">
        <v>380</v>
      </c>
      <c r="J298" s="210" t="s">
        <v>380</v>
      </c>
      <c r="K298" s="210" t="s">
        <v>380</v>
      </c>
      <c r="L298" s="210" t="s">
        <v>380</v>
      </c>
      <c r="M298" s="210" t="s">
        <v>380</v>
      </c>
      <c r="N298" s="92" t="s">
        <v>380</v>
      </c>
      <c r="O298" s="152"/>
      <c r="R298" s="78"/>
      <c r="Z298" s="79"/>
      <c r="AA298" s="80"/>
      <c r="AB298" s="34"/>
      <c r="AC298" s="34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</row>
    <row r="299" spans="1:41" ht="24" thickBot="1">
      <c r="A299" s="1365" t="s">
        <v>455</v>
      </c>
      <c r="B299" s="1366"/>
      <c r="C299" s="91"/>
      <c r="D299" s="210"/>
      <c r="E299" s="210"/>
      <c r="F299" s="210"/>
      <c r="G299" s="210" t="s">
        <v>380</v>
      </c>
      <c r="H299" s="210" t="s">
        <v>380</v>
      </c>
      <c r="I299" s="210" t="s">
        <v>380</v>
      </c>
      <c r="J299" s="210" t="s">
        <v>380</v>
      </c>
      <c r="K299" s="210" t="s">
        <v>380</v>
      </c>
      <c r="L299" s="210" t="s">
        <v>380</v>
      </c>
      <c r="M299" s="210" t="s">
        <v>380</v>
      </c>
      <c r="N299" s="92" t="s">
        <v>380</v>
      </c>
      <c r="O299" s="152"/>
      <c r="R299" s="78"/>
      <c r="Z299" s="79"/>
      <c r="AA299" s="80"/>
      <c r="AB299" s="34"/>
      <c r="AC299" s="34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</row>
    <row r="300" spans="1:41" ht="24" thickBot="1">
      <c r="A300" s="1367" t="s">
        <v>456</v>
      </c>
      <c r="B300" s="1368"/>
      <c r="C300" s="93"/>
      <c r="D300" s="94"/>
      <c r="E300" s="94"/>
      <c r="F300" s="94"/>
      <c r="G300" s="94" t="s">
        <v>380</v>
      </c>
      <c r="H300" s="94" t="s">
        <v>380</v>
      </c>
      <c r="I300" s="94" t="s">
        <v>380</v>
      </c>
      <c r="J300" s="94" t="s">
        <v>380</v>
      </c>
      <c r="K300" s="94" t="s">
        <v>380</v>
      </c>
      <c r="L300" s="94" t="s">
        <v>380</v>
      </c>
      <c r="M300" s="94" t="s">
        <v>380</v>
      </c>
      <c r="N300" s="95" t="s">
        <v>380</v>
      </c>
      <c r="O300" s="152"/>
      <c r="Z300" s="79"/>
      <c r="AA300" s="80"/>
      <c r="AB300" s="34"/>
      <c r="AC300" s="34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</row>
    <row r="301" spans="1:41" ht="21" thickTop="1">
      <c r="A301" s="96"/>
      <c r="B301" s="96"/>
      <c r="C301" s="96"/>
      <c r="D301" s="96"/>
      <c r="E301" s="1326" t="s">
        <v>457</v>
      </c>
      <c r="F301" s="1310"/>
      <c r="G301" s="97">
        <v>18</v>
      </c>
      <c r="H301" s="1310" t="s">
        <v>458</v>
      </c>
      <c r="I301" s="1311"/>
      <c r="J301" s="1310" t="s">
        <v>459</v>
      </c>
      <c r="K301" s="1311"/>
      <c r="L301" s="96"/>
      <c r="M301" s="96"/>
      <c r="N301" s="96"/>
      <c r="O301" s="77"/>
      <c r="P301" s="77"/>
      <c r="Q301" s="78"/>
      <c r="Z301" s="79"/>
      <c r="AA301" s="80"/>
      <c r="AB301" s="34"/>
      <c r="AC301" s="34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</row>
    <row r="302" spans="1:41" ht="23.25">
      <c r="A302" s="96"/>
      <c r="B302" s="96"/>
      <c r="C302" s="96"/>
      <c r="D302" s="96"/>
      <c r="E302" s="1307" t="s">
        <v>460</v>
      </c>
      <c r="F302" s="1308"/>
      <c r="G302" s="98">
        <v>16</v>
      </c>
      <c r="H302" s="1312">
        <v>0</v>
      </c>
      <c r="I302" s="1312"/>
      <c r="J302" s="1312">
        <v>0</v>
      </c>
      <c r="K302" s="1313"/>
      <c r="L302" s="96"/>
      <c r="M302" s="96"/>
      <c r="N302" s="96"/>
      <c r="O302" s="77"/>
      <c r="P302" s="77"/>
      <c r="Q302" s="78">
        <f>G302+H302+H304+J302</f>
        <v>16</v>
      </c>
      <c r="Z302" s="79"/>
      <c r="AA302" s="80"/>
      <c r="AB302" s="34"/>
      <c r="AC302" s="34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</row>
    <row r="303" spans="1:41" ht="20.25">
      <c r="A303" s="96"/>
      <c r="B303" s="96"/>
      <c r="C303" s="96"/>
      <c r="D303" s="96"/>
      <c r="E303" s="1307" t="s">
        <v>461</v>
      </c>
      <c r="F303" s="1308"/>
      <c r="G303" s="99"/>
      <c r="H303" s="1308" t="s">
        <v>462</v>
      </c>
      <c r="I303" s="1308"/>
      <c r="J303" s="1308" t="s">
        <v>463</v>
      </c>
      <c r="K303" s="1309"/>
      <c r="L303" s="96"/>
      <c r="M303" s="96"/>
      <c r="N303" s="96"/>
      <c r="O303" s="77"/>
      <c r="P303" s="77"/>
      <c r="Q303" s="78"/>
      <c r="Z303" s="79"/>
      <c r="AA303" s="80"/>
      <c r="AB303" s="34"/>
      <c r="AC303" s="34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</row>
    <row r="304" spans="1:41" ht="24" thickBot="1">
      <c r="A304" s="96"/>
      <c r="B304" s="96"/>
      <c r="C304" s="96"/>
      <c r="D304" s="96"/>
      <c r="E304" s="1303" t="s">
        <v>464</v>
      </c>
      <c r="F304" s="1304"/>
      <c r="G304" s="99">
        <v>0</v>
      </c>
      <c r="H304" s="1305"/>
      <c r="I304" s="1305"/>
      <c r="J304" s="1305">
        <v>0</v>
      </c>
      <c r="K304" s="1306"/>
      <c r="L304" s="96"/>
      <c r="M304" s="96"/>
      <c r="N304" s="96"/>
      <c r="O304" s="77"/>
      <c r="P304" s="77"/>
      <c r="Q304" s="78"/>
      <c r="Z304" s="79"/>
      <c r="AA304" s="80"/>
      <c r="AB304" s="34"/>
      <c r="AC304" s="34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</row>
    <row r="305" spans="1:41" ht="17.25" thickTop="1" thickBot="1">
      <c r="A305" s="34"/>
      <c r="B305" s="34"/>
      <c r="C305" s="1299" t="s">
        <v>465</v>
      </c>
      <c r="D305" s="1299"/>
      <c r="E305" s="1299" t="s">
        <v>360</v>
      </c>
      <c r="F305" s="1299"/>
      <c r="G305" s="1302" t="s">
        <v>368</v>
      </c>
      <c r="H305" s="1302"/>
      <c r="I305" s="1302" t="s">
        <v>369</v>
      </c>
      <c r="J305" s="1302"/>
      <c r="K305" s="1302" t="s">
        <v>370</v>
      </c>
      <c r="L305" s="1299"/>
      <c r="M305" s="1299" t="s">
        <v>371</v>
      </c>
      <c r="N305" s="1299"/>
      <c r="O305" s="77"/>
      <c r="P305" s="77"/>
      <c r="Q305" s="78"/>
      <c r="Z305" s="79"/>
      <c r="AA305" s="80"/>
      <c r="AB305" s="34"/>
      <c r="AC305" s="34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</row>
    <row r="306" spans="1:41" ht="17.25" thickTop="1" thickBot="1">
      <c r="A306" s="34"/>
      <c r="B306" s="34"/>
      <c r="C306" s="1299" t="s">
        <v>372</v>
      </c>
      <c r="D306" s="1299"/>
      <c r="E306" s="1296" t="s">
        <v>11</v>
      </c>
      <c r="F306" s="1296"/>
      <c r="G306" s="1296" t="s">
        <v>1</v>
      </c>
      <c r="H306" s="1296"/>
      <c r="I306" s="1296" t="s">
        <v>1</v>
      </c>
      <c r="J306" s="1296"/>
      <c r="K306" s="1296" t="s">
        <v>380</v>
      </c>
      <c r="L306" s="1296"/>
      <c r="M306" s="1296" t="s">
        <v>1</v>
      </c>
      <c r="N306" s="1296"/>
      <c r="O306" s="77"/>
      <c r="P306" s="77"/>
      <c r="Q306" s="78"/>
      <c r="Z306" s="79"/>
      <c r="AA306" s="80"/>
      <c r="AB306" s="34"/>
      <c r="AC306" s="34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</row>
    <row r="307" spans="1:41" ht="17.25" thickTop="1" thickBot="1">
      <c r="A307" s="34"/>
      <c r="B307" s="34"/>
      <c r="C307" s="1299" t="s">
        <v>373</v>
      </c>
      <c r="D307" s="1299"/>
      <c r="E307" s="1296" t="s">
        <v>11</v>
      </c>
      <c r="F307" s="1296"/>
      <c r="G307" s="1296" t="s">
        <v>1</v>
      </c>
      <c r="H307" s="1296"/>
      <c r="I307" s="1296" t="s">
        <v>1</v>
      </c>
      <c r="J307" s="1296"/>
      <c r="K307" s="1296" t="s">
        <v>380</v>
      </c>
      <c r="L307" s="1296"/>
      <c r="M307" s="1296" t="s">
        <v>380</v>
      </c>
      <c r="N307" s="1296"/>
      <c r="O307" s="77"/>
      <c r="P307" s="77"/>
      <c r="Z307" s="79"/>
      <c r="AA307" s="80"/>
      <c r="AB307" s="34"/>
      <c r="AC307" s="34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</row>
    <row r="308" spans="1:41" ht="17.25" thickTop="1" thickBot="1">
      <c r="A308" s="34"/>
      <c r="B308" s="34"/>
      <c r="C308" s="1299" t="s">
        <v>374</v>
      </c>
      <c r="D308" s="1299"/>
      <c r="E308" s="1296" t="s">
        <v>11</v>
      </c>
      <c r="F308" s="1296"/>
      <c r="G308" s="1296" t="s">
        <v>1</v>
      </c>
      <c r="H308" s="1296"/>
      <c r="I308" s="1296"/>
      <c r="J308" s="1296"/>
      <c r="K308" s="1296" t="s">
        <v>380</v>
      </c>
      <c r="L308" s="1296"/>
      <c r="M308" s="1296" t="s">
        <v>11</v>
      </c>
      <c r="N308" s="1296"/>
      <c r="O308" s="77"/>
      <c r="P308" s="77"/>
      <c r="Z308" s="79"/>
      <c r="AA308" s="80"/>
      <c r="AB308" s="34"/>
      <c r="AC308" s="34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</row>
    <row r="309" spans="1:41" ht="17.25" thickTop="1" thickBot="1">
      <c r="A309" s="34"/>
      <c r="B309" s="34"/>
      <c r="C309" s="1299" t="s">
        <v>375</v>
      </c>
      <c r="D309" s="1299"/>
      <c r="E309" s="1296" t="s">
        <v>11</v>
      </c>
      <c r="F309" s="1296"/>
      <c r="G309" s="1296" t="s">
        <v>1</v>
      </c>
      <c r="H309" s="1296"/>
      <c r="I309" s="1296" t="s">
        <v>11</v>
      </c>
      <c r="J309" s="1296"/>
      <c r="K309" s="1296"/>
      <c r="L309" s="1296"/>
      <c r="M309" s="1296"/>
      <c r="N309" s="1296"/>
      <c r="O309" s="77"/>
      <c r="P309" s="77"/>
      <c r="Z309" s="79"/>
      <c r="AA309" s="80"/>
      <c r="AB309" s="34"/>
      <c r="AC309" s="34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</row>
    <row r="310" spans="1:41" ht="17.25" thickTop="1" thickBot="1">
      <c r="A310" s="34"/>
      <c r="B310" s="34"/>
      <c r="C310" s="101"/>
      <c r="D310" s="101"/>
      <c r="E310" s="251"/>
      <c r="F310" s="251"/>
      <c r="G310" s="251"/>
      <c r="H310" s="251"/>
      <c r="I310" s="251"/>
      <c r="J310" s="251"/>
      <c r="K310" s="252"/>
      <c r="L310" s="252"/>
      <c r="M310" s="251"/>
      <c r="N310" s="251"/>
      <c r="O310" s="77"/>
      <c r="P310" s="77"/>
      <c r="Z310" s="79"/>
      <c r="AA310" s="80"/>
      <c r="AB310" s="34"/>
      <c r="AC310" s="34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</row>
    <row r="311" spans="1:41" ht="17.25" thickTop="1" thickBot="1">
      <c r="A311" s="34"/>
      <c r="B311" s="34"/>
      <c r="C311" s="1299" t="s">
        <v>921</v>
      </c>
      <c r="D311" s="1299"/>
      <c r="E311" s="1296" t="s">
        <v>10</v>
      </c>
      <c r="F311" s="1296"/>
      <c r="G311" s="1296"/>
      <c r="H311" s="1296"/>
      <c r="I311" s="1296"/>
      <c r="J311" s="1296"/>
      <c r="K311" s="1296" t="s">
        <v>380</v>
      </c>
      <c r="L311" s="1296"/>
      <c r="M311" s="1296" t="s">
        <v>380</v>
      </c>
      <c r="N311" s="1296"/>
      <c r="O311" s="77"/>
      <c r="P311" s="77"/>
      <c r="Z311" s="79"/>
      <c r="AA311" s="80"/>
      <c r="AB311" s="34"/>
      <c r="AC311" s="34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</row>
    <row r="312" spans="1:41" ht="17.25" thickTop="1" thickBot="1">
      <c r="A312" s="34"/>
      <c r="B312" s="34"/>
      <c r="C312" s="1299" t="s">
        <v>922</v>
      </c>
      <c r="D312" s="1299"/>
      <c r="E312" s="1296" t="s">
        <v>10</v>
      </c>
      <c r="F312" s="1296"/>
      <c r="G312" s="1296"/>
      <c r="H312" s="1296"/>
      <c r="I312" s="1297"/>
      <c r="J312" s="1297"/>
      <c r="K312" s="1297" t="s">
        <v>380</v>
      </c>
      <c r="L312" s="1297"/>
      <c r="M312" s="1297" t="s">
        <v>380</v>
      </c>
      <c r="N312" s="1297"/>
      <c r="O312" s="77"/>
      <c r="P312" s="77"/>
      <c r="Z312" s="79"/>
      <c r="AA312" s="80"/>
      <c r="AB312" s="34"/>
      <c r="AC312" s="34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</row>
    <row r="313" spans="1:41" ht="17.25" thickTop="1" thickBot="1">
      <c r="A313" s="34"/>
      <c r="B313" s="34"/>
      <c r="C313" s="1299" t="s">
        <v>923</v>
      </c>
      <c r="D313" s="1299"/>
      <c r="E313" s="1296"/>
      <c r="F313" s="1296"/>
      <c r="G313" s="1297"/>
      <c r="H313" s="1297"/>
      <c r="I313" s="1297"/>
      <c r="J313" s="1297"/>
      <c r="K313" s="1297" t="s">
        <v>380</v>
      </c>
      <c r="L313" s="1297"/>
      <c r="M313" s="1297" t="s">
        <v>380</v>
      </c>
      <c r="N313" s="1297"/>
      <c r="O313" s="77"/>
      <c r="P313" s="77"/>
      <c r="Z313" s="79"/>
      <c r="AA313" s="80"/>
      <c r="AB313" s="34"/>
      <c r="AC313" s="34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</row>
    <row r="314" spans="1:41" ht="17.25" thickTop="1" thickBot="1">
      <c r="A314" s="34"/>
      <c r="B314" s="34"/>
      <c r="C314" s="1299" t="s">
        <v>924</v>
      </c>
      <c r="D314" s="1299"/>
      <c r="E314" s="1297"/>
      <c r="F314" s="1297"/>
      <c r="G314" s="1297"/>
      <c r="H314" s="1297"/>
      <c r="I314" s="1297" t="s">
        <v>380</v>
      </c>
      <c r="J314" s="1297"/>
      <c r="K314" s="1297" t="s">
        <v>380</v>
      </c>
      <c r="L314" s="1297"/>
      <c r="M314" s="1297" t="s">
        <v>380</v>
      </c>
      <c r="N314" s="1297"/>
      <c r="O314" s="77"/>
      <c r="P314" s="77"/>
      <c r="Z314" s="79"/>
      <c r="AA314" s="80"/>
      <c r="AB314" s="34"/>
      <c r="AC314" s="34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</row>
    <row r="315" spans="1:41" ht="17.25" thickTop="1" thickBot="1">
      <c r="A315" s="34"/>
      <c r="B315" s="34"/>
      <c r="C315" s="33"/>
      <c r="D315" s="33"/>
      <c r="E315" s="33"/>
      <c r="F315" s="33"/>
      <c r="G315" s="33"/>
      <c r="H315" s="33"/>
      <c r="I315" s="33"/>
      <c r="J315" s="33"/>
      <c r="K315" s="34"/>
      <c r="L315" s="34"/>
      <c r="M315" s="33"/>
      <c r="N315" s="33"/>
      <c r="O315" s="77"/>
      <c r="P315" s="77"/>
      <c r="Z315" s="79"/>
      <c r="AA315" s="80"/>
      <c r="AB315" s="34"/>
      <c r="AC315" s="34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</row>
    <row r="316" spans="1:41" ht="19.5" thickTop="1" thickBot="1">
      <c r="A316" s="1321" t="s">
        <v>467</v>
      </c>
      <c r="B316" s="1322"/>
      <c r="C316" s="1323" t="s">
        <v>380</v>
      </c>
      <c r="D316" s="1323"/>
      <c r="E316" s="1323" t="s">
        <v>380</v>
      </c>
      <c r="F316" s="1323"/>
      <c r="G316" s="250"/>
      <c r="H316" s="250" t="s">
        <v>468</v>
      </c>
      <c r="I316" s="1295" t="s">
        <v>402</v>
      </c>
      <c r="J316" s="1295"/>
      <c r="K316" s="1295"/>
      <c r="L316" s="102" t="s">
        <v>403</v>
      </c>
      <c r="M316" s="1331">
        <v>43710</v>
      </c>
      <c r="N316" s="1331"/>
      <c r="O316" s="77"/>
      <c r="P316" s="77"/>
      <c r="Z316" s="79"/>
      <c r="AA316" s="80"/>
      <c r="AB316" s="34"/>
      <c r="AC316" s="34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</row>
    <row r="317" spans="1:41" ht="19.5" thickTop="1" thickBot="1">
      <c r="A317" s="1321" t="s">
        <v>469</v>
      </c>
      <c r="B317" s="1322"/>
      <c r="C317" s="1323" t="s">
        <v>380</v>
      </c>
      <c r="D317" s="1323"/>
      <c r="E317" s="1377" t="s">
        <v>925</v>
      </c>
      <c r="F317" s="1377"/>
      <c r="G317" s="250"/>
      <c r="H317" s="250"/>
      <c r="I317" s="250"/>
      <c r="J317" s="250"/>
      <c r="K317" s="102"/>
      <c r="L317" s="102"/>
      <c r="M317" s="33"/>
      <c r="N317" s="33"/>
      <c r="O317" s="77"/>
      <c r="P317" s="77"/>
      <c r="Q317" s="78"/>
      <c r="Z317" s="79"/>
      <c r="AA317" s="80"/>
      <c r="AB317" s="34"/>
      <c r="AC317" s="34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</row>
    <row r="318" spans="1:41" ht="19.5" thickTop="1" thickBot="1">
      <c r="A318" s="1321" t="s">
        <v>470</v>
      </c>
      <c r="B318" s="1322"/>
      <c r="C318" s="1323" t="s">
        <v>380</v>
      </c>
      <c r="D318" s="1323"/>
      <c r="E318" s="1323" t="s">
        <v>380</v>
      </c>
      <c r="F318" s="1323"/>
      <c r="G318" s="250"/>
      <c r="H318" s="250"/>
      <c r="I318" s="250"/>
      <c r="J318" s="250" t="s">
        <v>471</v>
      </c>
      <c r="K318" s="102"/>
      <c r="L318" s="102"/>
      <c r="M318" s="33"/>
      <c r="N318" s="33"/>
      <c r="O318" s="77"/>
      <c r="P318" s="77"/>
      <c r="Q318" s="78"/>
      <c r="Z318" s="79"/>
      <c r="AA318" s="80"/>
      <c r="AB318" s="34"/>
      <c r="AC318" s="34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</row>
    <row r="319" spans="1:41" ht="24" thickTop="1">
      <c r="A319" s="102"/>
      <c r="B319" s="102"/>
      <c r="C319" s="250"/>
      <c r="D319" s="250"/>
      <c r="E319" s="250"/>
      <c r="F319" s="250"/>
      <c r="G319" s="33"/>
      <c r="H319" s="103" t="s">
        <v>406</v>
      </c>
      <c r="I319" s="33"/>
      <c r="J319" s="34"/>
      <c r="K319" s="34"/>
      <c r="L319" s="33"/>
      <c r="M319" s="33"/>
      <c r="N319" s="104"/>
      <c r="O319" s="77"/>
      <c r="P319" s="77"/>
      <c r="Q319" s="78"/>
      <c r="Z319" s="79"/>
      <c r="AA319" s="80"/>
      <c r="AB319" s="34"/>
      <c r="AC319" s="34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</row>
    <row r="320" spans="1:41" ht="18">
      <c r="A320" s="1295" t="s">
        <v>78</v>
      </c>
      <c r="B320" s="1295"/>
      <c r="C320" s="1295"/>
      <c r="D320" s="1295"/>
      <c r="E320" s="1295"/>
      <c r="F320" s="1295"/>
      <c r="G320" s="1295"/>
      <c r="H320" s="1295"/>
      <c r="I320" s="1295"/>
      <c r="J320" s="1295"/>
      <c r="K320" s="1295"/>
      <c r="L320" s="1295"/>
      <c r="M320" s="1295"/>
      <c r="N320" s="1295"/>
      <c r="O320" s="77"/>
      <c r="P320" s="77"/>
      <c r="Q320" s="78"/>
      <c r="Z320" s="79"/>
      <c r="AA320" s="80"/>
      <c r="AB320" s="34"/>
      <c r="AC320" s="34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</row>
    <row r="321" spans="1:41" ht="18">
      <c r="A321" s="1295" t="s">
        <v>79</v>
      </c>
      <c r="B321" s="1295"/>
      <c r="C321" s="1295"/>
      <c r="D321" s="1295"/>
      <c r="E321" s="1295"/>
      <c r="F321" s="1295"/>
      <c r="G321" s="1295"/>
      <c r="H321" s="1295"/>
      <c r="I321" s="1295"/>
      <c r="J321" s="1295"/>
      <c r="K321" s="1295"/>
      <c r="L321" s="1295"/>
      <c r="M321" s="1295"/>
      <c r="N321" s="1295"/>
      <c r="O321" s="77"/>
      <c r="P321" s="77"/>
      <c r="Q321" s="78"/>
      <c r="Z321" s="79"/>
      <c r="AA321" s="80"/>
      <c r="AB321" s="34"/>
      <c r="AC321" s="34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</row>
    <row r="322" spans="1:41" ht="18">
      <c r="A322" s="168" t="s">
        <v>220</v>
      </c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33"/>
      <c r="N322" s="33"/>
      <c r="O322" s="77"/>
      <c r="P322" s="77"/>
      <c r="Q322" s="78"/>
      <c r="Z322" s="79"/>
      <c r="AA322" s="80"/>
      <c r="AB322" s="34"/>
      <c r="AC322" s="34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</row>
    <row r="323" spans="1:41" ht="18">
      <c r="A323" s="168" t="s">
        <v>444</v>
      </c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33"/>
      <c r="N323" s="33"/>
      <c r="O323" s="77"/>
      <c r="P323" s="77"/>
      <c r="Q323" s="78"/>
      <c r="Z323" s="79"/>
      <c r="AA323" s="80"/>
      <c r="AB323" s="34"/>
      <c r="AC323" s="34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</row>
    <row r="324" spans="1:41" ht="18.75" thickBot="1">
      <c r="A324" s="250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33"/>
      <c r="N324" s="33"/>
      <c r="O324" s="77"/>
      <c r="P324" s="77"/>
      <c r="Q324" s="78"/>
      <c r="Z324" s="79"/>
      <c r="AA324" s="80"/>
      <c r="AB324" s="34"/>
      <c r="AC324" s="34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</row>
    <row r="325" spans="1:41" ht="24" thickBot="1">
      <c r="A325" s="250"/>
      <c r="B325" s="250"/>
      <c r="C325" s="1333" t="s">
        <v>446</v>
      </c>
      <c r="D325" s="1334"/>
      <c r="E325" s="1334"/>
      <c r="F325" s="1334"/>
      <c r="G325" s="1334"/>
      <c r="H325" s="1334"/>
      <c r="I325" s="1334"/>
      <c r="J325" s="1334"/>
      <c r="K325" s="1334"/>
      <c r="L325" s="1335"/>
      <c r="M325" s="33"/>
      <c r="N325" s="33"/>
      <c r="O325" s="77"/>
      <c r="P325" s="77"/>
      <c r="Q325" s="78"/>
      <c r="Z325" s="79"/>
      <c r="AA325" s="80"/>
      <c r="AB325" s="34"/>
      <c r="AC325" s="34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</row>
    <row r="326" spans="1:41" ht="23.25">
      <c r="A326" s="250"/>
      <c r="B326" s="250"/>
      <c r="C326" s="249"/>
      <c r="D326" s="249"/>
      <c r="E326" s="249"/>
      <c r="F326" s="249"/>
      <c r="G326" s="249"/>
      <c r="H326" s="249"/>
      <c r="I326" s="249"/>
      <c r="J326" s="249"/>
      <c r="K326" s="249"/>
      <c r="L326" s="249"/>
      <c r="M326" s="33"/>
      <c r="N326" s="33"/>
      <c r="O326" s="77"/>
      <c r="P326" s="77"/>
      <c r="Q326" s="78"/>
      <c r="Z326" s="79"/>
      <c r="AA326" s="80"/>
      <c r="AB326" s="34"/>
      <c r="AC326" s="34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</row>
    <row r="327" spans="1:41" ht="23.25">
      <c r="A327" s="1295" t="s">
        <v>448</v>
      </c>
      <c r="B327" s="1295"/>
      <c r="C327" s="1295"/>
      <c r="D327" s="1294" t="s">
        <v>276</v>
      </c>
      <c r="E327" s="1294"/>
      <c r="F327" s="1294"/>
      <c r="G327" s="1294"/>
      <c r="H327" s="1294"/>
      <c r="I327" s="249"/>
      <c r="J327" s="249"/>
      <c r="K327" s="249" t="s">
        <v>449</v>
      </c>
      <c r="L327" s="249"/>
      <c r="M327" s="1295" t="s">
        <v>408</v>
      </c>
      <c r="N327" s="1295"/>
      <c r="O327" s="1292" t="str">
        <f>D327</f>
        <v>عتو فاطمة</v>
      </c>
      <c r="P327" s="1292"/>
      <c r="Q327" s="78">
        <v>11</v>
      </c>
      <c r="Z327" s="79"/>
      <c r="AA327" s="80"/>
      <c r="AB327" s="34"/>
      <c r="AC327" s="34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</row>
    <row r="328" spans="1:41" ht="24" thickBot="1">
      <c r="A328" s="1340" t="s">
        <v>450</v>
      </c>
      <c r="B328" s="1340"/>
      <c r="C328" s="1340"/>
      <c r="D328" s="1340"/>
      <c r="E328" s="1340"/>
      <c r="F328" s="1340"/>
      <c r="G328" s="1340"/>
      <c r="H328" s="87"/>
      <c r="I328" s="1340" t="s">
        <v>452</v>
      </c>
      <c r="J328" s="1340"/>
      <c r="K328" s="1340"/>
      <c r="L328" s="1341" t="s">
        <v>2</v>
      </c>
      <c r="M328" s="1341"/>
      <c r="N328" s="1341"/>
      <c r="O328" s="77"/>
      <c r="P328" s="77"/>
      <c r="Q328" s="78"/>
      <c r="Z328" s="79"/>
      <c r="AA328" s="80"/>
      <c r="AB328" s="34"/>
      <c r="AC328" s="34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</row>
    <row r="329" spans="1:41" ht="17.25" thickTop="1" thickBot="1">
      <c r="A329" s="1373" t="s">
        <v>453</v>
      </c>
      <c r="B329" s="1374"/>
      <c r="C329" s="88" t="s">
        <v>2</v>
      </c>
      <c r="D329" s="89" t="s">
        <v>10</v>
      </c>
      <c r="E329" s="89" t="s">
        <v>11</v>
      </c>
      <c r="F329" s="89" t="s">
        <v>380</v>
      </c>
      <c r="G329" s="89" t="s">
        <v>380</v>
      </c>
      <c r="H329" s="89" t="s">
        <v>380</v>
      </c>
      <c r="I329" s="89" t="s">
        <v>380</v>
      </c>
      <c r="J329" s="89" t="s">
        <v>380</v>
      </c>
      <c r="K329" s="89" t="s">
        <v>380</v>
      </c>
      <c r="L329" s="89" t="s">
        <v>380</v>
      </c>
      <c r="M329" s="89" t="s">
        <v>380</v>
      </c>
      <c r="N329" s="90" t="s">
        <v>380</v>
      </c>
      <c r="Z329" s="79"/>
      <c r="AA329" s="80"/>
      <c r="AB329" s="34"/>
      <c r="AC329" s="34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</row>
    <row r="330" spans="1:41" ht="24" thickBot="1">
      <c r="A330" s="1365" t="s">
        <v>454</v>
      </c>
      <c r="B330" s="1366"/>
      <c r="C330" s="91">
        <v>7</v>
      </c>
      <c r="D330" s="210">
        <v>6</v>
      </c>
      <c r="E330" s="254">
        <v>3</v>
      </c>
      <c r="F330" s="210" t="s">
        <v>380</v>
      </c>
      <c r="G330" s="210" t="s">
        <v>380</v>
      </c>
      <c r="H330" s="210" t="s">
        <v>380</v>
      </c>
      <c r="I330" s="210" t="s">
        <v>380</v>
      </c>
      <c r="J330" s="210" t="s">
        <v>380</v>
      </c>
      <c r="K330" s="210" t="s">
        <v>380</v>
      </c>
      <c r="L330" s="210" t="s">
        <v>380</v>
      </c>
      <c r="M330" s="210" t="s">
        <v>380</v>
      </c>
      <c r="N330" s="92" t="s">
        <v>380</v>
      </c>
      <c r="O330" s="152"/>
      <c r="R330" s="78"/>
      <c r="Z330" s="79"/>
      <c r="AA330" s="80"/>
      <c r="AB330" s="34"/>
      <c r="AC330" s="34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</row>
    <row r="331" spans="1:41" ht="24" thickBot="1">
      <c r="A331" s="1365" t="s">
        <v>455</v>
      </c>
      <c r="B331" s="1366"/>
      <c r="C331" s="91"/>
      <c r="D331" s="210"/>
      <c r="E331" s="210"/>
      <c r="F331" s="210" t="s">
        <v>380</v>
      </c>
      <c r="G331" s="210" t="s">
        <v>380</v>
      </c>
      <c r="H331" s="210" t="s">
        <v>380</v>
      </c>
      <c r="I331" s="210" t="s">
        <v>380</v>
      </c>
      <c r="J331" s="210" t="s">
        <v>380</v>
      </c>
      <c r="K331" s="210" t="s">
        <v>380</v>
      </c>
      <c r="L331" s="210" t="s">
        <v>380</v>
      </c>
      <c r="M331" s="210" t="s">
        <v>380</v>
      </c>
      <c r="N331" s="92" t="s">
        <v>380</v>
      </c>
      <c r="O331" s="152"/>
      <c r="R331" s="78"/>
      <c r="Z331" s="79"/>
      <c r="AA331" s="80"/>
      <c r="AB331" s="34"/>
      <c r="AC331" s="34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</row>
    <row r="332" spans="1:41" ht="24" thickBot="1">
      <c r="A332" s="1367" t="s">
        <v>456</v>
      </c>
      <c r="B332" s="1368"/>
      <c r="C332" s="93"/>
      <c r="D332" s="94"/>
      <c r="E332" s="94"/>
      <c r="F332" s="94" t="s">
        <v>380</v>
      </c>
      <c r="G332" s="94" t="s">
        <v>380</v>
      </c>
      <c r="H332" s="94" t="s">
        <v>380</v>
      </c>
      <c r="I332" s="94" t="s">
        <v>380</v>
      </c>
      <c r="J332" s="94" t="s">
        <v>380</v>
      </c>
      <c r="K332" s="94" t="s">
        <v>380</v>
      </c>
      <c r="L332" s="94" t="s">
        <v>380</v>
      </c>
      <c r="M332" s="94" t="s">
        <v>380</v>
      </c>
      <c r="N332" s="95" t="s">
        <v>380</v>
      </c>
      <c r="O332" s="152"/>
      <c r="Z332" s="79"/>
      <c r="AA332" s="80"/>
      <c r="AB332" s="34"/>
      <c r="AC332" s="34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</row>
    <row r="333" spans="1:41" ht="21" thickTop="1">
      <c r="A333" s="96"/>
      <c r="B333" s="96"/>
      <c r="C333" s="96"/>
      <c r="D333" s="96"/>
      <c r="E333" s="1326" t="s">
        <v>457</v>
      </c>
      <c r="F333" s="1310"/>
      <c r="G333" s="97">
        <v>18</v>
      </c>
      <c r="H333" s="1310" t="s">
        <v>458</v>
      </c>
      <c r="I333" s="1311"/>
      <c r="J333" s="1310" t="s">
        <v>459</v>
      </c>
      <c r="K333" s="1311"/>
      <c r="L333" s="96"/>
      <c r="M333" s="96"/>
      <c r="N333" s="96"/>
      <c r="O333" s="77"/>
      <c r="P333" s="77"/>
      <c r="Q333" s="78"/>
      <c r="Z333" s="79"/>
      <c r="AA333" s="80"/>
      <c r="AB333" s="34"/>
      <c r="AC333" s="34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</row>
    <row r="334" spans="1:41" ht="23.25">
      <c r="A334" s="96"/>
      <c r="B334" s="96"/>
      <c r="C334" s="96"/>
      <c r="D334" s="96"/>
      <c r="E334" s="1307" t="s">
        <v>460</v>
      </c>
      <c r="F334" s="1308"/>
      <c r="G334" s="98">
        <v>16</v>
      </c>
      <c r="H334" s="1312">
        <v>0</v>
      </c>
      <c r="I334" s="1312"/>
      <c r="J334" s="1312">
        <v>0</v>
      </c>
      <c r="K334" s="1313"/>
      <c r="L334" s="96"/>
      <c r="M334" s="96"/>
      <c r="N334" s="96"/>
      <c r="O334" s="77"/>
      <c r="P334" s="77"/>
      <c r="Q334" s="78">
        <f>G334+H334+H336+J334</f>
        <v>16</v>
      </c>
      <c r="Z334" s="79"/>
      <c r="AA334" s="80"/>
      <c r="AB334" s="34"/>
      <c r="AC334" s="34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</row>
    <row r="335" spans="1:41" ht="20.25">
      <c r="A335" s="96"/>
      <c r="B335" s="96"/>
      <c r="C335" s="96"/>
      <c r="D335" s="96"/>
      <c r="E335" s="1307" t="s">
        <v>461</v>
      </c>
      <c r="F335" s="1308"/>
      <c r="G335" s="99"/>
      <c r="H335" s="1308" t="s">
        <v>462</v>
      </c>
      <c r="I335" s="1308"/>
      <c r="J335" s="1308" t="s">
        <v>463</v>
      </c>
      <c r="K335" s="1309"/>
      <c r="L335" s="96"/>
      <c r="M335" s="96"/>
      <c r="N335" s="96"/>
      <c r="O335" s="77"/>
      <c r="P335" s="77"/>
      <c r="Q335" s="78"/>
      <c r="Z335" s="79"/>
      <c r="AA335" s="80"/>
      <c r="AB335" s="34"/>
      <c r="AC335" s="34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</row>
    <row r="336" spans="1:41" ht="24" thickBot="1">
      <c r="A336" s="96"/>
      <c r="B336" s="96"/>
      <c r="C336" s="96"/>
      <c r="D336" s="96"/>
      <c r="E336" s="1303" t="s">
        <v>464</v>
      </c>
      <c r="F336" s="1304"/>
      <c r="G336" s="99">
        <v>0</v>
      </c>
      <c r="H336" s="1305">
        <v>0</v>
      </c>
      <c r="I336" s="1305"/>
      <c r="J336" s="1305">
        <v>0</v>
      </c>
      <c r="K336" s="1306"/>
      <c r="L336" s="96"/>
      <c r="M336" s="96"/>
      <c r="N336" s="96"/>
      <c r="O336" s="77"/>
      <c r="P336" s="77"/>
      <c r="Q336" s="78"/>
      <c r="Z336" s="79"/>
      <c r="AA336" s="80"/>
      <c r="AB336" s="34"/>
      <c r="AC336" s="34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</row>
    <row r="337" spans="1:41" ht="17.25" thickTop="1" thickBot="1">
      <c r="A337" s="34"/>
      <c r="B337" s="34"/>
      <c r="C337" s="1299" t="s">
        <v>465</v>
      </c>
      <c r="D337" s="1299"/>
      <c r="E337" s="1299" t="s">
        <v>360</v>
      </c>
      <c r="F337" s="1299"/>
      <c r="G337" s="1302" t="s">
        <v>368</v>
      </c>
      <c r="H337" s="1302"/>
      <c r="I337" s="1302" t="s">
        <v>369</v>
      </c>
      <c r="J337" s="1302"/>
      <c r="K337" s="1302" t="s">
        <v>370</v>
      </c>
      <c r="L337" s="1299"/>
      <c r="M337" s="1299" t="s">
        <v>371</v>
      </c>
      <c r="N337" s="1299"/>
      <c r="O337" s="77"/>
      <c r="P337" s="77"/>
      <c r="Q337" s="78"/>
      <c r="Z337" s="79"/>
      <c r="AA337" s="80"/>
      <c r="AB337" s="34"/>
      <c r="AC337" s="34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</row>
    <row r="338" spans="1:41" ht="17.25" thickTop="1" thickBot="1">
      <c r="A338" s="34"/>
      <c r="B338" s="34"/>
      <c r="C338" s="1299" t="s">
        <v>372</v>
      </c>
      <c r="D338" s="1299"/>
      <c r="E338" s="1296" t="s">
        <v>2</v>
      </c>
      <c r="F338" s="1296"/>
      <c r="G338" s="1296" t="s">
        <v>10</v>
      </c>
      <c r="H338" s="1296"/>
      <c r="I338" s="1296" t="s">
        <v>10</v>
      </c>
      <c r="J338" s="1296"/>
      <c r="K338" s="1296"/>
      <c r="L338" s="1296"/>
      <c r="M338" s="1296" t="s">
        <v>2</v>
      </c>
      <c r="N338" s="1296"/>
      <c r="O338" s="77"/>
      <c r="P338" s="77"/>
      <c r="Q338" s="78"/>
      <c r="Z338" s="79"/>
      <c r="AA338" s="80"/>
      <c r="AB338" s="34"/>
      <c r="AC338" s="34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</row>
    <row r="339" spans="1:41" ht="17.25" thickTop="1" thickBot="1">
      <c r="A339" s="34"/>
      <c r="B339" s="34"/>
      <c r="C339" s="1299" t="s">
        <v>373</v>
      </c>
      <c r="D339" s="1299"/>
      <c r="E339" s="1296" t="s">
        <v>2</v>
      </c>
      <c r="F339" s="1296"/>
      <c r="G339" s="1296" t="s">
        <v>10</v>
      </c>
      <c r="H339" s="1296"/>
      <c r="I339" s="1296" t="s">
        <v>10</v>
      </c>
      <c r="J339" s="1296"/>
      <c r="K339" s="1296"/>
      <c r="L339" s="1296"/>
      <c r="M339" s="1296" t="s">
        <v>2</v>
      </c>
      <c r="N339" s="1296"/>
      <c r="O339" s="77"/>
      <c r="P339" s="77"/>
      <c r="Z339" s="79"/>
      <c r="AA339" s="80"/>
      <c r="AB339" s="34"/>
      <c r="AC339" s="34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</row>
    <row r="340" spans="1:41" ht="17.25" thickTop="1" thickBot="1">
      <c r="A340" s="34"/>
      <c r="B340" s="34"/>
      <c r="C340" s="1299" t="s">
        <v>374</v>
      </c>
      <c r="D340" s="1299"/>
      <c r="E340" s="1296"/>
      <c r="F340" s="1296"/>
      <c r="G340" s="1296" t="s">
        <v>10</v>
      </c>
      <c r="H340" s="1296"/>
      <c r="I340" s="1296" t="s">
        <v>2</v>
      </c>
      <c r="J340" s="1296"/>
      <c r="K340" s="1296"/>
      <c r="L340" s="1296"/>
      <c r="M340" s="1296" t="s">
        <v>2</v>
      </c>
      <c r="N340" s="1296"/>
      <c r="O340" s="77"/>
      <c r="P340" s="77"/>
      <c r="Z340" s="79"/>
      <c r="AA340" s="80"/>
      <c r="AB340" s="34"/>
      <c r="AC340" s="34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</row>
    <row r="341" spans="1:41" ht="17.25" thickTop="1" thickBot="1">
      <c r="A341" s="34"/>
      <c r="B341" s="34"/>
      <c r="C341" s="1299" t="s">
        <v>375</v>
      </c>
      <c r="D341" s="1299"/>
      <c r="E341" s="1296"/>
      <c r="F341" s="1296"/>
      <c r="G341" s="1296" t="s">
        <v>10</v>
      </c>
      <c r="H341" s="1296"/>
      <c r="I341" s="1296"/>
      <c r="J341" s="1296"/>
      <c r="K341" s="1296" t="s">
        <v>11</v>
      </c>
      <c r="L341" s="1296"/>
      <c r="M341" s="1296" t="s">
        <v>2</v>
      </c>
      <c r="N341" s="1296"/>
      <c r="O341" s="77"/>
      <c r="P341" s="77"/>
      <c r="Z341" s="79"/>
      <c r="AA341" s="80"/>
      <c r="AB341" s="34"/>
      <c r="AC341" s="34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</row>
    <row r="342" spans="1:41" ht="17.25" thickTop="1" thickBot="1">
      <c r="A342" s="34"/>
      <c r="B342" s="34"/>
      <c r="C342" s="101"/>
      <c r="D342" s="101"/>
      <c r="E342" s="251"/>
      <c r="F342" s="251"/>
      <c r="G342" s="251"/>
      <c r="H342" s="251"/>
      <c r="I342" s="251"/>
      <c r="J342" s="251"/>
      <c r="K342" s="252"/>
      <c r="L342" s="252"/>
      <c r="M342" s="251"/>
      <c r="N342" s="251"/>
      <c r="O342" s="77"/>
      <c r="P342" s="77"/>
      <c r="Z342" s="79"/>
      <c r="AA342" s="80"/>
      <c r="AB342" s="34"/>
      <c r="AC342" s="34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</row>
    <row r="343" spans="1:41" ht="17.25" thickTop="1" thickBot="1">
      <c r="A343" s="34"/>
      <c r="B343" s="34"/>
      <c r="C343" s="1299" t="s">
        <v>921</v>
      </c>
      <c r="D343" s="1299"/>
      <c r="E343" s="1296"/>
      <c r="F343" s="1296"/>
      <c r="G343" s="1296" t="s">
        <v>380</v>
      </c>
      <c r="H343" s="1296"/>
      <c r="I343" s="1301"/>
      <c r="J343" s="1301"/>
      <c r="K343" s="1296" t="s">
        <v>380</v>
      </c>
      <c r="L343" s="1296"/>
      <c r="M343" s="1296"/>
      <c r="N343" s="1296"/>
      <c r="O343" s="77"/>
      <c r="P343" s="77"/>
      <c r="Z343" s="79"/>
      <c r="AA343" s="80"/>
      <c r="AB343" s="34"/>
      <c r="AC343" s="34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</row>
    <row r="344" spans="1:41" ht="17.25" thickTop="1" thickBot="1">
      <c r="A344" s="34"/>
      <c r="B344" s="34"/>
      <c r="C344" s="1299" t="s">
        <v>922</v>
      </c>
      <c r="D344" s="1299"/>
      <c r="E344" s="1296"/>
      <c r="F344" s="1296"/>
      <c r="G344" s="1296"/>
      <c r="H344" s="1296"/>
      <c r="I344" s="1296"/>
      <c r="J344" s="1296"/>
      <c r="K344" s="1296" t="s">
        <v>380</v>
      </c>
      <c r="L344" s="1296"/>
      <c r="M344" s="1296" t="s">
        <v>11</v>
      </c>
      <c r="N344" s="1296"/>
      <c r="O344" s="77"/>
      <c r="P344" s="77"/>
      <c r="Z344" s="79"/>
      <c r="AA344" s="80"/>
      <c r="AB344" s="34"/>
      <c r="AC344" s="34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</row>
    <row r="345" spans="1:41" ht="17.25" thickTop="1" thickBot="1">
      <c r="A345" s="34"/>
      <c r="B345" s="34"/>
      <c r="C345" s="1299" t="s">
        <v>923</v>
      </c>
      <c r="D345" s="1299"/>
      <c r="E345" s="1296"/>
      <c r="F345" s="1296"/>
      <c r="G345" s="1296"/>
      <c r="H345" s="1296"/>
      <c r="I345" s="1296"/>
      <c r="J345" s="1296"/>
      <c r="K345" s="1296" t="s">
        <v>380</v>
      </c>
      <c r="L345" s="1296"/>
      <c r="M345" s="1296" t="s">
        <v>11</v>
      </c>
      <c r="N345" s="1296"/>
      <c r="O345" s="77"/>
      <c r="P345" s="77"/>
      <c r="Z345" s="79"/>
      <c r="AA345" s="80"/>
      <c r="AB345" s="34"/>
      <c r="AC345" s="34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</row>
    <row r="346" spans="1:41" ht="17.25" thickTop="1" thickBot="1">
      <c r="A346" s="34"/>
      <c r="B346" s="34"/>
      <c r="C346" s="1299" t="s">
        <v>924</v>
      </c>
      <c r="D346" s="1299"/>
      <c r="E346" s="1297" t="s">
        <v>380</v>
      </c>
      <c r="F346" s="1297"/>
      <c r="G346" s="1297" t="s">
        <v>380</v>
      </c>
      <c r="H346" s="1297"/>
      <c r="I346" s="1297" t="s">
        <v>380</v>
      </c>
      <c r="J346" s="1297"/>
      <c r="K346" s="1297" t="s">
        <v>380</v>
      </c>
      <c r="L346" s="1297"/>
      <c r="M346" s="1297" t="s">
        <v>380</v>
      </c>
      <c r="N346" s="1297"/>
      <c r="O346" s="77"/>
      <c r="P346" s="77"/>
      <c r="Z346" s="79"/>
      <c r="AA346" s="80"/>
      <c r="AB346" s="34"/>
      <c r="AC346" s="34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</row>
    <row r="347" spans="1:41" ht="17.25" thickTop="1" thickBot="1">
      <c r="A347" s="34"/>
      <c r="B347" s="34"/>
      <c r="C347" s="33"/>
      <c r="D347" s="33"/>
      <c r="E347" s="33"/>
      <c r="F347" s="33"/>
      <c r="G347" s="33"/>
      <c r="H347" s="33"/>
      <c r="I347" s="33"/>
      <c r="J347" s="33"/>
      <c r="K347" s="34"/>
      <c r="L347" s="34"/>
      <c r="M347" s="33"/>
      <c r="N347" s="33"/>
      <c r="O347" s="77"/>
      <c r="P347" s="77"/>
      <c r="Z347" s="79"/>
      <c r="AA347" s="80"/>
      <c r="AB347" s="34"/>
      <c r="AC347" s="34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</row>
    <row r="348" spans="1:41" ht="19.5" thickTop="1" thickBot="1">
      <c r="A348" s="1321" t="s">
        <v>467</v>
      </c>
      <c r="B348" s="1322"/>
      <c r="C348" s="1323" t="s">
        <v>380</v>
      </c>
      <c r="D348" s="1323"/>
      <c r="E348" s="1323" t="s">
        <v>380</v>
      </c>
      <c r="F348" s="1323"/>
      <c r="G348" s="250"/>
      <c r="H348" s="250" t="s">
        <v>468</v>
      </c>
      <c r="I348" s="1295" t="s">
        <v>402</v>
      </c>
      <c r="J348" s="1295"/>
      <c r="K348" s="1295"/>
      <c r="L348" s="102" t="s">
        <v>403</v>
      </c>
      <c r="M348" s="1331">
        <v>43710</v>
      </c>
      <c r="N348" s="1331"/>
      <c r="O348" s="77"/>
      <c r="P348" s="77"/>
      <c r="Z348" s="79"/>
      <c r="AA348" s="80"/>
      <c r="AB348" s="34"/>
      <c r="AC348" s="34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</row>
    <row r="349" spans="1:41" ht="19.5" thickTop="1" thickBot="1">
      <c r="A349" s="1321" t="s">
        <v>469</v>
      </c>
      <c r="B349" s="1322"/>
      <c r="C349" s="1323" t="s">
        <v>380</v>
      </c>
      <c r="D349" s="1323"/>
      <c r="E349" s="1323" t="s">
        <v>380</v>
      </c>
      <c r="F349" s="1323"/>
      <c r="G349" s="250"/>
      <c r="H349" s="250"/>
      <c r="I349" s="250"/>
      <c r="J349" s="250"/>
      <c r="K349" s="102"/>
      <c r="L349" s="102"/>
      <c r="M349" s="33"/>
      <c r="N349" s="33"/>
      <c r="O349" s="77"/>
      <c r="P349" s="77"/>
      <c r="Q349" s="78"/>
      <c r="Z349" s="79"/>
      <c r="AA349" s="80"/>
      <c r="AB349" s="34"/>
      <c r="AC349" s="34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</row>
    <row r="350" spans="1:41" ht="19.5" thickTop="1" thickBot="1">
      <c r="A350" s="1321" t="s">
        <v>470</v>
      </c>
      <c r="B350" s="1322"/>
      <c r="C350" s="1323" t="s">
        <v>380</v>
      </c>
      <c r="D350" s="1323"/>
      <c r="E350" s="1377" t="s">
        <v>926</v>
      </c>
      <c r="F350" s="1377"/>
      <c r="G350" s="250"/>
      <c r="H350" s="250"/>
      <c r="I350" s="250"/>
      <c r="J350" s="250" t="s">
        <v>471</v>
      </c>
      <c r="K350" s="102"/>
      <c r="L350" s="102"/>
      <c r="M350" s="33"/>
      <c r="N350" s="33"/>
      <c r="O350" s="77"/>
      <c r="P350" s="77"/>
      <c r="Q350" s="78"/>
      <c r="Z350" s="79"/>
      <c r="AA350" s="80"/>
      <c r="AB350" s="34"/>
      <c r="AC350" s="34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</row>
    <row r="351" spans="1:41" ht="24" thickTop="1">
      <c r="A351" s="102"/>
      <c r="B351" s="102"/>
      <c r="C351" s="250"/>
      <c r="D351" s="250"/>
      <c r="E351" s="250"/>
      <c r="F351" s="250"/>
      <c r="G351" s="33"/>
      <c r="H351" s="103" t="s">
        <v>406</v>
      </c>
      <c r="I351" s="33"/>
      <c r="J351" s="34"/>
      <c r="K351" s="34"/>
      <c r="L351" s="33"/>
      <c r="M351" s="33"/>
      <c r="N351" s="104"/>
      <c r="O351" s="77"/>
      <c r="P351" s="77"/>
      <c r="Q351" s="78"/>
      <c r="Z351" s="79"/>
      <c r="AA351" s="80"/>
      <c r="AB351" s="34"/>
      <c r="AC351" s="34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</row>
    <row r="352" spans="1:41" ht="18">
      <c r="A352" s="1295" t="s">
        <v>78</v>
      </c>
      <c r="B352" s="1295"/>
      <c r="C352" s="1295"/>
      <c r="D352" s="1295"/>
      <c r="E352" s="1295"/>
      <c r="F352" s="1295"/>
      <c r="G352" s="1295"/>
      <c r="H352" s="1295"/>
      <c r="I352" s="1295"/>
      <c r="J352" s="1295"/>
      <c r="K352" s="1295"/>
      <c r="L352" s="1295"/>
      <c r="M352" s="1295"/>
      <c r="N352" s="1295"/>
      <c r="O352" s="77"/>
      <c r="P352" s="77"/>
      <c r="Q352" s="78"/>
      <c r="Z352" s="79"/>
      <c r="AA352" s="80"/>
      <c r="AB352" s="34"/>
      <c r="AC352" s="34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</row>
    <row r="353" spans="1:41" ht="18">
      <c r="A353" s="1295" t="s">
        <v>79</v>
      </c>
      <c r="B353" s="1295"/>
      <c r="C353" s="1295"/>
      <c r="D353" s="1295"/>
      <c r="E353" s="1295"/>
      <c r="F353" s="1295"/>
      <c r="G353" s="1295"/>
      <c r="H353" s="1295"/>
      <c r="I353" s="1295"/>
      <c r="J353" s="1295"/>
      <c r="K353" s="1295"/>
      <c r="L353" s="1295"/>
      <c r="M353" s="1295"/>
      <c r="N353" s="1295"/>
      <c r="O353" s="77"/>
      <c r="P353" s="77"/>
      <c r="Q353" s="78"/>
      <c r="Z353" s="79"/>
      <c r="AA353" s="80"/>
      <c r="AB353" s="34"/>
      <c r="AC353" s="34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</row>
    <row r="354" spans="1:41" ht="18">
      <c r="A354" s="168" t="s">
        <v>220</v>
      </c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33"/>
      <c r="N354" s="33"/>
      <c r="O354" s="77"/>
      <c r="P354" s="77"/>
      <c r="Q354" s="78"/>
      <c r="Z354" s="79"/>
      <c r="AA354" s="80"/>
      <c r="AB354" s="34"/>
      <c r="AC354" s="34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</row>
    <row r="355" spans="1:41" ht="18">
      <c r="A355" s="168" t="s">
        <v>444</v>
      </c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33"/>
      <c r="N355" s="33"/>
      <c r="O355" s="77"/>
      <c r="P355" s="77"/>
      <c r="Q355" s="78"/>
      <c r="Z355" s="79"/>
      <c r="AA355" s="80"/>
      <c r="AB355" s="34"/>
      <c r="AC355" s="34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</row>
    <row r="356" spans="1:41" ht="18.75" thickBot="1">
      <c r="A356" s="250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33"/>
      <c r="N356" s="33"/>
      <c r="O356" s="77"/>
      <c r="P356" s="77"/>
      <c r="Q356" s="78"/>
      <c r="Z356" s="79"/>
      <c r="AA356" s="80"/>
      <c r="AB356" s="34"/>
      <c r="AC356" s="34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</row>
    <row r="357" spans="1:41" ht="24" thickBot="1">
      <c r="A357" s="250"/>
      <c r="B357" s="250"/>
      <c r="C357" s="1333" t="s">
        <v>446</v>
      </c>
      <c r="D357" s="1334"/>
      <c r="E357" s="1334"/>
      <c r="F357" s="1334"/>
      <c r="G357" s="1334"/>
      <c r="H357" s="1334"/>
      <c r="I357" s="1334"/>
      <c r="J357" s="1334"/>
      <c r="K357" s="1334"/>
      <c r="L357" s="1335"/>
      <c r="M357" s="33"/>
      <c r="N357" s="33"/>
      <c r="O357" s="77"/>
      <c r="P357" s="77"/>
      <c r="Q357" s="78"/>
      <c r="Z357" s="79"/>
      <c r="AA357" s="80"/>
      <c r="AB357" s="34"/>
      <c r="AC357" s="34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</row>
    <row r="358" spans="1:41" ht="23.25">
      <c r="A358" s="250"/>
      <c r="B358" s="250"/>
      <c r="C358" s="249"/>
      <c r="D358" s="249"/>
      <c r="E358" s="249"/>
      <c r="F358" s="249"/>
      <c r="G358" s="249"/>
      <c r="H358" s="249"/>
      <c r="I358" s="249"/>
      <c r="J358" s="249"/>
      <c r="K358" s="249"/>
      <c r="L358" s="249"/>
      <c r="M358" s="33"/>
      <c r="N358" s="33"/>
      <c r="O358" s="77"/>
      <c r="P358" s="77"/>
      <c r="Q358" s="78"/>
      <c r="Z358" s="79"/>
      <c r="AA358" s="80"/>
      <c r="AB358" s="34"/>
      <c r="AC358" s="34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</row>
    <row r="359" spans="1:41" ht="23.25">
      <c r="A359" s="1295" t="s">
        <v>448</v>
      </c>
      <c r="B359" s="1295"/>
      <c r="C359" s="1295"/>
      <c r="D359" s="1294" t="s">
        <v>811</v>
      </c>
      <c r="E359" s="1294"/>
      <c r="F359" s="1294"/>
      <c r="G359" s="1294"/>
      <c r="H359" s="1294"/>
      <c r="I359" s="249"/>
      <c r="J359" s="249"/>
      <c r="K359" s="249" t="s">
        <v>449</v>
      </c>
      <c r="L359" s="249"/>
      <c r="M359" s="1295" t="s">
        <v>408</v>
      </c>
      <c r="N359" s="1295"/>
      <c r="O359" s="1292" t="str">
        <f>D359</f>
        <v>مغربي عمر</v>
      </c>
      <c r="P359" s="1292"/>
      <c r="Q359" s="78">
        <v>12</v>
      </c>
      <c r="Z359" s="79"/>
      <c r="AA359" s="80"/>
      <c r="AB359" s="34"/>
      <c r="AC359" s="34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</row>
    <row r="360" spans="1:41" ht="24" thickBot="1">
      <c r="A360" s="1340" t="s">
        <v>450</v>
      </c>
      <c r="B360" s="1340"/>
      <c r="C360" s="1340"/>
      <c r="D360" s="1340">
        <v>0</v>
      </c>
      <c r="E360" s="1340"/>
      <c r="F360" s="1340"/>
      <c r="G360" s="1340"/>
      <c r="H360" s="87"/>
      <c r="I360" s="1340" t="s">
        <v>452</v>
      </c>
      <c r="J360" s="1340"/>
      <c r="K360" s="1340"/>
      <c r="L360" s="1341" t="s">
        <v>3</v>
      </c>
      <c r="M360" s="1341"/>
      <c r="N360" s="1341"/>
      <c r="O360" s="77"/>
      <c r="P360" s="77"/>
      <c r="Q360" s="78"/>
      <c r="Z360" s="79"/>
      <c r="AA360" s="80"/>
      <c r="AB360" s="34"/>
      <c r="AC360" s="34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</row>
    <row r="361" spans="1:41" ht="17.25" thickTop="1" thickBot="1">
      <c r="A361" s="1318" t="s">
        <v>453</v>
      </c>
      <c r="B361" s="1319"/>
      <c r="C361" s="88" t="s">
        <v>0</v>
      </c>
      <c r="D361" s="89" t="s">
        <v>810</v>
      </c>
      <c r="E361" s="253" t="s">
        <v>8</v>
      </c>
      <c r="F361" s="89" t="s">
        <v>380</v>
      </c>
      <c r="G361" s="89" t="s">
        <v>380</v>
      </c>
      <c r="H361" s="89" t="s">
        <v>380</v>
      </c>
      <c r="I361" s="89" t="s">
        <v>380</v>
      </c>
      <c r="J361" s="89" t="s">
        <v>380</v>
      </c>
      <c r="K361" s="89" t="s">
        <v>380</v>
      </c>
      <c r="L361" s="89" t="s">
        <v>380</v>
      </c>
      <c r="M361" s="89" t="s">
        <v>380</v>
      </c>
      <c r="N361" s="90" t="s">
        <v>380</v>
      </c>
      <c r="Z361" s="79"/>
      <c r="AA361" s="80"/>
      <c r="AB361" s="34"/>
      <c r="AC361" s="34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</row>
    <row r="362" spans="1:41" ht="24" thickBot="1">
      <c r="A362" s="1329" t="s">
        <v>454</v>
      </c>
      <c r="B362" s="1330"/>
      <c r="C362" s="91">
        <v>7</v>
      </c>
      <c r="D362" s="210">
        <v>7</v>
      </c>
      <c r="E362" s="210">
        <v>3</v>
      </c>
      <c r="F362" s="210" t="s">
        <v>380</v>
      </c>
      <c r="G362" s="210" t="s">
        <v>380</v>
      </c>
      <c r="H362" s="210" t="s">
        <v>380</v>
      </c>
      <c r="I362" s="210" t="s">
        <v>380</v>
      </c>
      <c r="J362" s="210" t="s">
        <v>380</v>
      </c>
      <c r="K362" s="210" t="s">
        <v>380</v>
      </c>
      <c r="L362" s="210" t="s">
        <v>380</v>
      </c>
      <c r="M362" s="210" t="s">
        <v>380</v>
      </c>
      <c r="N362" s="92" t="s">
        <v>380</v>
      </c>
      <c r="O362" s="152"/>
      <c r="R362" s="78"/>
      <c r="Z362" s="79"/>
      <c r="AA362" s="80"/>
      <c r="AB362" s="34"/>
      <c r="AC362" s="34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</row>
    <row r="363" spans="1:41" ht="24" thickBot="1">
      <c r="A363" s="1329" t="s">
        <v>455</v>
      </c>
      <c r="B363" s="1330"/>
      <c r="C363" s="91"/>
      <c r="D363" s="210"/>
      <c r="E363" s="210"/>
      <c r="F363" s="210" t="s">
        <v>380</v>
      </c>
      <c r="G363" s="210" t="s">
        <v>380</v>
      </c>
      <c r="H363" s="210" t="s">
        <v>380</v>
      </c>
      <c r="I363" s="210" t="s">
        <v>380</v>
      </c>
      <c r="J363" s="210" t="s">
        <v>380</v>
      </c>
      <c r="K363" s="210" t="s">
        <v>380</v>
      </c>
      <c r="L363" s="210" t="s">
        <v>380</v>
      </c>
      <c r="M363" s="210" t="s">
        <v>380</v>
      </c>
      <c r="N363" s="92" t="s">
        <v>380</v>
      </c>
      <c r="O363" s="152"/>
      <c r="R363" s="78"/>
      <c r="Z363" s="79"/>
      <c r="AA363" s="80"/>
      <c r="AB363" s="34"/>
      <c r="AC363" s="34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</row>
    <row r="364" spans="1:41" ht="24" thickBot="1">
      <c r="A364" s="1327" t="s">
        <v>456</v>
      </c>
      <c r="B364" s="1328"/>
      <c r="C364" s="93"/>
      <c r="D364" s="94"/>
      <c r="E364" s="94"/>
      <c r="F364" s="94" t="s">
        <v>380</v>
      </c>
      <c r="G364" s="94" t="s">
        <v>380</v>
      </c>
      <c r="H364" s="94" t="s">
        <v>380</v>
      </c>
      <c r="I364" s="94" t="s">
        <v>380</v>
      </c>
      <c r="J364" s="94" t="s">
        <v>380</v>
      </c>
      <c r="K364" s="94" t="s">
        <v>380</v>
      </c>
      <c r="L364" s="94" t="s">
        <v>380</v>
      </c>
      <c r="M364" s="94" t="s">
        <v>380</v>
      </c>
      <c r="N364" s="95" t="s">
        <v>380</v>
      </c>
      <c r="O364" s="152"/>
      <c r="Z364" s="79"/>
      <c r="AA364" s="80"/>
      <c r="AB364" s="34"/>
      <c r="AC364" s="34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</row>
    <row r="365" spans="1:41" ht="21" thickTop="1">
      <c r="A365" s="96"/>
      <c r="B365" s="96"/>
      <c r="C365" s="96"/>
      <c r="D365" s="96"/>
      <c r="E365" s="1326" t="s">
        <v>457</v>
      </c>
      <c r="F365" s="1310"/>
      <c r="G365" s="97">
        <v>18</v>
      </c>
      <c r="H365" s="1310" t="s">
        <v>458</v>
      </c>
      <c r="I365" s="1311"/>
      <c r="J365" s="1310" t="s">
        <v>459</v>
      </c>
      <c r="K365" s="1311"/>
      <c r="L365" s="96"/>
      <c r="M365" s="96"/>
      <c r="N365" s="96"/>
      <c r="O365" s="77"/>
      <c r="P365" s="77"/>
      <c r="Q365" s="78"/>
      <c r="Z365" s="79"/>
      <c r="AA365" s="80"/>
      <c r="AB365" s="34"/>
      <c r="AC365" s="34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</row>
    <row r="366" spans="1:41" ht="23.25">
      <c r="A366" s="96"/>
      <c r="B366" s="96"/>
      <c r="C366" s="96"/>
      <c r="D366" s="96"/>
      <c r="E366" s="1307" t="s">
        <v>460</v>
      </c>
      <c r="F366" s="1308"/>
      <c r="G366" s="98">
        <v>16</v>
      </c>
      <c r="H366" s="1312">
        <v>0</v>
      </c>
      <c r="I366" s="1312"/>
      <c r="J366" s="1312">
        <v>0</v>
      </c>
      <c r="K366" s="1313"/>
      <c r="L366" s="96"/>
      <c r="M366" s="96"/>
      <c r="N366" s="96"/>
      <c r="O366" s="77"/>
      <c r="P366" s="77"/>
      <c r="Q366" s="78">
        <f>G366+H366+H368+J366</f>
        <v>16</v>
      </c>
      <c r="Z366" s="79"/>
      <c r="AA366" s="80"/>
      <c r="AB366" s="34"/>
      <c r="AC366" s="34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</row>
    <row r="367" spans="1:41" ht="20.25">
      <c r="A367" s="96"/>
      <c r="B367" s="96"/>
      <c r="C367" s="96"/>
      <c r="D367" s="96"/>
      <c r="E367" s="1307" t="s">
        <v>461</v>
      </c>
      <c r="F367" s="1308"/>
      <c r="G367" s="99"/>
      <c r="H367" s="1308" t="s">
        <v>462</v>
      </c>
      <c r="I367" s="1308"/>
      <c r="J367" s="1308" t="s">
        <v>463</v>
      </c>
      <c r="K367" s="1309"/>
      <c r="L367" s="96"/>
      <c r="M367" s="96"/>
      <c r="N367" s="96"/>
      <c r="O367" s="77"/>
      <c r="P367" s="77"/>
      <c r="Q367" s="78"/>
      <c r="Z367" s="79"/>
      <c r="AA367" s="80"/>
      <c r="AB367" s="34"/>
      <c r="AC367" s="34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</row>
    <row r="368" spans="1:41" ht="24" thickBot="1">
      <c r="A368" s="96"/>
      <c r="B368" s="96"/>
      <c r="C368" s="96"/>
      <c r="D368" s="96"/>
      <c r="E368" s="1303" t="s">
        <v>464</v>
      </c>
      <c r="F368" s="1304"/>
      <c r="G368" s="99">
        <v>0</v>
      </c>
      <c r="H368" s="1305">
        <v>0</v>
      </c>
      <c r="I368" s="1305"/>
      <c r="J368" s="1305">
        <v>0</v>
      </c>
      <c r="K368" s="1306"/>
      <c r="L368" s="96"/>
      <c r="M368" s="96"/>
      <c r="N368" s="96"/>
      <c r="O368" s="77"/>
      <c r="P368" s="77"/>
      <c r="Q368" s="78"/>
      <c r="Z368" s="79"/>
      <c r="AA368" s="80"/>
      <c r="AB368" s="34"/>
      <c r="AC368" s="34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</row>
    <row r="369" spans="1:41" ht="17.25" thickTop="1" thickBot="1">
      <c r="A369" s="34"/>
      <c r="B369" s="34"/>
      <c r="C369" s="1299" t="s">
        <v>465</v>
      </c>
      <c r="D369" s="1299"/>
      <c r="E369" s="1299" t="s">
        <v>360</v>
      </c>
      <c r="F369" s="1299"/>
      <c r="G369" s="1302" t="s">
        <v>368</v>
      </c>
      <c r="H369" s="1302"/>
      <c r="I369" s="1302" t="s">
        <v>369</v>
      </c>
      <c r="J369" s="1302"/>
      <c r="K369" s="1302" t="s">
        <v>370</v>
      </c>
      <c r="L369" s="1299"/>
      <c r="M369" s="1299" t="s">
        <v>371</v>
      </c>
      <c r="N369" s="1299"/>
      <c r="O369" s="77"/>
      <c r="P369" s="77"/>
      <c r="Q369" s="78"/>
      <c r="Z369" s="79"/>
      <c r="AA369" s="80"/>
      <c r="AB369" s="34"/>
      <c r="AC369" s="34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</row>
    <row r="370" spans="1:41" ht="17.25" thickTop="1" thickBot="1">
      <c r="A370" s="34"/>
      <c r="B370" s="34"/>
      <c r="C370" s="1299" t="s">
        <v>372</v>
      </c>
      <c r="D370" s="1299"/>
      <c r="E370" s="1296" t="s">
        <v>0</v>
      </c>
      <c r="F370" s="1296"/>
      <c r="G370" s="1296" t="s">
        <v>3</v>
      </c>
      <c r="H370" s="1296"/>
      <c r="I370" s="1296" t="s">
        <v>3</v>
      </c>
      <c r="J370" s="1296"/>
      <c r="K370" s="1296" t="s">
        <v>380</v>
      </c>
      <c r="L370" s="1296"/>
      <c r="M370" s="1296" t="s">
        <v>3</v>
      </c>
      <c r="N370" s="1296"/>
      <c r="O370" s="77"/>
      <c r="P370" s="77"/>
      <c r="Z370" s="79"/>
      <c r="AA370" s="80"/>
      <c r="AB370" s="34"/>
      <c r="AC370" s="34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</row>
    <row r="371" spans="1:41" ht="17.25" thickTop="1" thickBot="1">
      <c r="A371" s="34"/>
      <c r="B371" s="34"/>
      <c r="C371" s="1299" t="s">
        <v>373</v>
      </c>
      <c r="D371" s="1299"/>
      <c r="E371" s="1296" t="s">
        <v>0</v>
      </c>
      <c r="F371" s="1296"/>
      <c r="G371" s="1296" t="s">
        <v>3</v>
      </c>
      <c r="H371" s="1296"/>
      <c r="I371" s="1296" t="s">
        <v>3</v>
      </c>
      <c r="J371" s="1296"/>
      <c r="K371" s="1296" t="s">
        <v>380</v>
      </c>
      <c r="L371" s="1296"/>
      <c r="M371" s="1296"/>
      <c r="N371" s="1296"/>
      <c r="O371" s="77"/>
      <c r="P371" s="77"/>
      <c r="Z371" s="79"/>
      <c r="AA371" s="80"/>
      <c r="AB371" s="34"/>
      <c r="AC371" s="34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</row>
    <row r="372" spans="1:41" ht="17.25" thickTop="1" thickBot="1">
      <c r="A372" s="34"/>
      <c r="B372" s="34"/>
      <c r="C372" s="1299" t="s">
        <v>374</v>
      </c>
      <c r="D372" s="1299"/>
      <c r="E372" s="1296" t="s">
        <v>0</v>
      </c>
      <c r="F372" s="1296"/>
      <c r="G372" s="1296" t="s">
        <v>0</v>
      </c>
      <c r="H372" s="1296"/>
      <c r="I372" s="1296" t="s">
        <v>3</v>
      </c>
      <c r="J372" s="1296"/>
      <c r="K372" s="1296"/>
      <c r="L372" s="1296"/>
      <c r="M372" s="1296" t="s">
        <v>0</v>
      </c>
      <c r="N372" s="1296"/>
      <c r="O372" s="77"/>
      <c r="P372" s="77"/>
      <c r="Z372" s="79"/>
      <c r="AA372" s="80"/>
      <c r="AB372" s="34"/>
      <c r="AC372" s="34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</row>
    <row r="373" spans="1:41" ht="17.25" thickTop="1" thickBot="1">
      <c r="A373" s="34"/>
      <c r="B373" s="34"/>
      <c r="C373" s="1299" t="s">
        <v>375</v>
      </c>
      <c r="D373" s="1299"/>
      <c r="E373" s="1296" t="s">
        <v>0</v>
      </c>
      <c r="F373" s="1296"/>
      <c r="G373" s="1296"/>
      <c r="H373" s="1296"/>
      <c r="I373" s="1296" t="s">
        <v>3</v>
      </c>
      <c r="J373" s="1296"/>
      <c r="K373" s="1296"/>
      <c r="L373" s="1296"/>
      <c r="M373" s="1296" t="s">
        <v>0</v>
      </c>
      <c r="N373" s="1296"/>
      <c r="O373" s="77"/>
      <c r="P373" s="77"/>
      <c r="Z373" s="79"/>
      <c r="AA373" s="80"/>
      <c r="AB373" s="34"/>
      <c r="AC373" s="34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</row>
    <row r="374" spans="1:41" ht="17.25" thickTop="1" thickBot="1">
      <c r="A374" s="34"/>
      <c r="B374" s="34"/>
      <c r="C374" s="101"/>
      <c r="D374" s="101"/>
      <c r="E374" s="251"/>
      <c r="F374" s="251"/>
      <c r="G374" s="251"/>
      <c r="H374" s="251"/>
      <c r="I374" s="251"/>
      <c r="J374" s="251"/>
      <c r="K374" s="252"/>
      <c r="L374" s="252"/>
      <c r="M374" s="251"/>
      <c r="N374" s="251"/>
      <c r="O374" s="77"/>
      <c r="P374" s="77"/>
      <c r="Z374" s="79"/>
      <c r="AA374" s="80"/>
      <c r="AB374" s="34"/>
      <c r="AC374" s="34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</row>
    <row r="375" spans="1:41" ht="17.25" thickTop="1" thickBot="1">
      <c r="A375" s="34"/>
      <c r="B375" s="34"/>
      <c r="C375" s="1299" t="s">
        <v>921</v>
      </c>
      <c r="D375" s="1299"/>
      <c r="E375" s="1296" t="s">
        <v>380</v>
      </c>
      <c r="F375" s="1296"/>
      <c r="G375" s="1296" t="s">
        <v>8</v>
      </c>
      <c r="H375" s="1296"/>
      <c r="I375" s="1296" t="s">
        <v>380</v>
      </c>
      <c r="J375" s="1296"/>
      <c r="K375" s="1296" t="s">
        <v>380</v>
      </c>
      <c r="L375" s="1296"/>
      <c r="M375" s="1296" t="s">
        <v>380</v>
      </c>
      <c r="N375" s="1296"/>
      <c r="O375" s="77"/>
      <c r="P375" s="77"/>
      <c r="Z375" s="79"/>
      <c r="AA375" s="80"/>
      <c r="AB375" s="34"/>
      <c r="AC375" s="34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</row>
    <row r="376" spans="1:41" ht="17.25" thickTop="1" thickBot="1">
      <c r="A376" s="34"/>
      <c r="B376" s="34"/>
      <c r="C376" s="1299" t="s">
        <v>922</v>
      </c>
      <c r="D376" s="1299"/>
      <c r="E376" s="1296"/>
      <c r="F376" s="1296"/>
      <c r="G376" s="1296" t="s">
        <v>8</v>
      </c>
      <c r="H376" s="1296"/>
      <c r="I376" s="1296" t="s">
        <v>380</v>
      </c>
      <c r="J376" s="1296"/>
      <c r="K376" s="1296" t="s">
        <v>380</v>
      </c>
      <c r="L376" s="1296"/>
      <c r="M376" s="1296"/>
      <c r="N376" s="1296"/>
      <c r="O376" s="77"/>
      <c r="P376" s="77"/>
      <c r="Z376" s="79"/>
      <c r="AA376" s="80"/>
      <c r="AB376" s="34"/>
      <c r="AC376" s="34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</row>
    <row r="377" spans="1:41" ht="17.25" thickTop="1" thickBot="1">
      <c r="A377" s="34"/>
      <c r="B377" s="34"/>
      <c r="C377" s="1299" t="s">
        <v>923</v>
      </c>
      <c r="D377" s="1299"/>
      <c r="E377" s="1297"/>
      <c r="F377" s="1297"/>
      <c r="G377" s="1297"/>
      <c r="H377" s="1297"/>
      <c r="I377" s="1297" t="s">
        <v>380</v>
      </c>
      <c r="J377" s="1297"/>
      <c r="K377" s="1297" t="s">
        <v>380</v>
      </c>
      <c r="L377" s="1297"/>
      <c r="M377" s="1297"/>
      <c r="N377" s="1297"/>
      <c r="O377" s="77"/>
      <c r="P377" s="77"/>
      <c r="Z377" s="79"/>
      <c r="AA377" s="80"/>
      <c r="AB377" s="34"/>
      <c r="AC377" s="34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</row>
    <row r="378" spans="1:41" ht="17.25" thickTop="1" thickBot="1">
      <c r="A378" s="34"/>
      <c r="B378" s="34"/>
      <c r="C378" s="1299" t="s">
        <v>924</v>
      </c>
      <c r="D378" s="1299"/>
      <c r="E378" s="1297" t="s">
        <v>380</v>
      </c>
      <c r="F378" s="1297"/>
      <c r="G378" s="1297" t="s">
        <v>380</v>
      </c>
      <c r="H378" s="1297"/>
      <c r="I378" s="1297" t="s">
        <v>380</v>
      </c>
      <c r="J378" s="1297"/>
      <c r="K378" s="1297" t="s">
        <v>380</v>
      </c>
      <c r="L378" s="1297"/>
      <c r="M378" s="1297"/>
      <c r="N378" s="1297"/>
      <c r="O378" s="77"/>
      <c r="P378" s="77"/>
      <c r="Z378" s="79"/>
      <c r="AA378" s="80"/>
      <c r="AB378" s="34"/>
      <c r="AC378" s="34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</row>
    <row r="379" spans="1:41" ht="17.25" thickTop="1" thickBot="1">
      <c r="A379" s="34"/>
      <c r="B379" s="34"/>
      <c r="C379" s="33"/>
      <c r="D379" s="33"/>
      <c r="E379" s="33"/>
      <c r="F379" s="33"/>
      <c r="G379" s="33"/>
      <c r="H379" s="33"/>
      <c r="I379" s="33"/>
      <c r="J379" s="33"/>
      <c r="K379" s="34"/>
      <c r="L379" s="34"/>
      <c r="M379" s="33"/>
      <c r="N379" s="33"/>
      <c r="O379" s="77"/>
      <c r="P379" s="77"/>
      <c r="Q379" s="154" t="s">
        <v>525</v>
      </c>
      <c r="R379" s="154"/>
      <c r="Z379" s="79"/>
      <c r="AA379" s="80"/>
      <c r="AB379" s="34"/>
      <c r="AC379" s="34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</row>
    <row r="380" spans="1:41" ht="19.5" thickTop="1" thickBot="1">
      <c r="A380" s="1321" t="s">
        <v>467</v>
      </c>
      <c r="B380" s="1322"/>
      <c r="C380" s="1323" t="s">
        <v>380</v>
      </c>
      <c r="D380" s="1323"/>
      <c r="E380" s="1377" t="s">
        <v>927</v>
      </c>
      <c r="F380" s="1377"/>
      <c r="G380" s="250"/>
      <c r="H380" s="250" t="s">
        <v>468</v>
      </c>
      <c r="I380" s="1295" t="s">
        <v>402</v>
      </c>
      <c r="J380" s="1295"/>
      <c r="K380" s="1295"/>
      <c r="L380" s="102" t="s">
        <v>403</v>
      </c>
      <c r="M380" s="1331">
        <f ca="1">TODAY()</f>
        <v>45944</v>
      </c>
      <c r="N380" s="1331"/>
      <c r="O380" s="77"/>
      <c r="P380" s="77"/>
      <c r="Q380" s="78"/>
      <c r="Z380" s="79"/>
      <c r="AA380" s="80"/>
      <c r="AB380" s="34"/>
      <c r="AC380" s="34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</row>
    <row r="381" spans="1:41" ht="19.5" thickTop="1" thickBot="1">
      <c r="A381" s="1321" t="s">
        <v>469</v>
      </c>
      <c r="B381" s="1322"/>
      <c r="C381" s="1323" t="s">
        <v>380</v>
      </c>
      <c r="D381" s="1323"/>
      <c r="E381" s="1323" t="s">
        <v>380</v>
      </c>
      <c r="F381" s="1323"/>
      <c r="G381" s="250"/>
      <c r="H381" s="250"/>
      <c r="I381" s="250"/>
      <c r="J381" s="250"/>
      <c r="K381" s="102"/>
      <c r="L381" s="102"/>
      <c r="M381" s="33"/>
      <c r="N381" s="33"/>
      <c r="O381" s="77"/>
      <c r="P381" s="77"/>
      <c r="Q381" s="78"/>
      <c r="Z381" s="79"/>
      <c r="AA381" s="80"/>
      <c r="AB381" s="34"/>
      <c r="AC381" s="34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</row>
    <row r="382" spans="1:41" ht="19.5" thickTop="1" thickBot="1">
      <c r="A382" s="1321" t="s">
        <v>470</v>
      </c>
      <c r="B382" s="1322"/>
      <c r="C382" s="1323" t="s">
        <v>380</v>
      </c>
      <c r="D382" s="1323"/>
      <c r="E382" s="1323" t="s">
        <v>380</v>
      </c>
      <c r="F382" s="1323"/>
      <c r="G382" s="250"/>
      <c r="H382" s="250"/>
      <c r="I382" s="250"/>
      <c r="J382" s="250" t="s">
        <v>471</v>
      </c>
      <c r="K382" s="102"/>
      <c r="L382" s="102"/>
      <c r="M382" s="33"/>
      <c r="N382" s="33"/>
      <c r="O382" s="77"/>
      <c r="P382" s="77"/>
      <c r="Q382" s="78"/>
      <c r="Z382" s="79"/>
      <c r="AA382" s="80"/>
      <c r="AB382" s="34"/>
      <c r="AC382" s="34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</row>
    <row r="383" spans="1:41" ht="24" thickTop="1">
      <c r="A383" s="102"/>
      <c r="B383" s="102"/>
      <c r="C383" s="250"/>
      <c r="D383" s="250"/>
      <c r="E383" s="250"/>
      <c r="F383" s="250"/>
      <c r="G383" s="33"/>
      <c r="H383" s="103" t="s">
        <v>406</v>
      </c>
      <c r="I383" s="33"/>
      <c r="J383" s="34"/>
      <c r="K383" s="34"/>
      <c r="L383" s="33"/>
      <c r="M383" s="33"/>
      <c r="N383" s="104"/>
      <c r="O383" s="77"/>
      <c r="P383" s="77"/>
      <c r="Q383" s="78"/>
      <c r="Z383" s="79"/>
      <c r="AA383" s="80"/>
      <c r="AB383" s="34"/>
      <c r="AC383" s="34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</row>
    <row r="384" spans="1:41" ht="18">
      <c r="A384" s="1295" t="s">
        <v>78</v>
      </c>
      <c r="B384" s="1295"/>
      <c r="C384" s="1295"/>
      <c r="D384" s="1295"/>
      <c r="E384" s="1295"/>
      <c r="F384" s="1295"/>
      <c r="G384" s="1295"/>
      <c r="H384" s="1295"/>
      <c r="I384" s="1295"/>
      <c r="J384" s="1295"/>
      <c r="K384" s="1295"/>
      <c r="L384" s="1295"/>
      <c r="M384" s="1295"/>
      <c r="N384" s="1295"/>
      <c r="O384" s="77"/>
      <c r="P384" s="77"/>
      <c r="Q384" s="78"/>
      <c r="Z384" s="79"/>
      <c r="AA384" s="80"/>
      <c r="AB384" s="34"/>
      <c r="AC384" s="34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</row>
    <row r="385" spans="1:41" ht="18">
      <c r="A385" s="1295" t="s">
        <v>79</v>
      </c>
      <c r="B385" s="1295"/>
      <c r="C385" s="1295"/>
      <c r="D385" s="1295"/>
      <c r="E385" s="1295"/>
      <c r="F385" s="1295"/>
      <c r="G385" s="1295"/>
      <c r="H385" s="1295"/>
      <c r="I385" s="1295"/>
      <c r="J385" s="1295"/>
      <c r="K385" s="1295"/>
      <c r="L385" s="1295"/>
      <c r="M385" s="1295"/>
      <c r="N385" s="1295"/>
      <c r="O385" s="77"/>
      <c r="P385" s="77"/>
      <c r="Q385" s="78"/>
      <c r="Z385" s="79"/>
      <c r="AA385" s="80"/>
      <c r="AB385" s="34"/>
      <c r="AC385" s="34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</row>
    <row r="386" spans="1:41" ht="18">
      <c r="A386" s="168" t="s">
        <v>220</v>
      </c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33"/>
      <c r="N386" s="33"/>
      <c r="O386" s="77"/>
      <c r="P386" s="77"/>
      <c r="Q386" s="78"/>
      <c r="Z386" s="79"/>
      <c r="AA386" s="80"/>
      <c r="AB386" s="34"/>
      <c r="AC386" s="34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</row>
    <row r="387" spans="1:41" ht="18">
      <c r="A387" s="168" t="s">
        <v>444</v>
      </c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33"/>
      <c r="N387" s="33"/>
      <c r="O387" s="77"/>
      <c r="P387" s="77"/>
      <c r="Q387" s="78"/>
      <c r="Z387" s="79"/>
      <c r="AA387" s="80"/>
      <c r="AB387" s="34"/>
      <c r="AC387" s="34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</row>
    <row r="388" spans="1:41" ht="18.75" thickBot="1">
      <c r="A388" s="250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33"/>
      <c r="N388" s="33"/>
      <c r="O388" s="77"/>
      <c r="P388" s="77"/>
      <c r="Q388" s="78"/>
      <c r="Z388" s="79"/>
      <c r="AA388" s="80"/>
      <c r="AB388" s="34"/>
      <c r="AC388" s="34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</row>
    <row r="389" spans="1:41" ht="24" thickBot="1">
      <c r="A389" s="250"/>
      <c r="B389" s="250"/>
      <c r="C389" s="1333" t="s">
        <v>446</v>
      </c>
      <c r="D389" s="1334"/>
      <c r="E389" s="1334"/>
      <c r="F389" s="1334"/>
      <c r="G389" s="1334"/>
      <c r="H389" s="1334"/>
      <c r="I389" s="1334"/>
      <c r="J389" s="1334"/>
      <c r="K389" s="1334"/>
      <c r="L389" s="1335"/>
      <c r="M389" s="33"/>
      <c r="N389" s="33"/>
      <c r="O389" s="77"/>
      <c r="P389" s="77"/>
      <c r="Q389" s="78"/>
      <c r="Z389" s="79"/>
      <c r="AA389" s="80"/>
      <c r="AB389" s="34"/>
      <c r="AC389" s="34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</row>
    <row r="390" spans="1:41" ht="23.25">
      <c r="A390" s="250"/>
      <c r="B390" s="250"/>
      <c r="C390" s="249"/>
      <c r="D390" s="249"/>
      <c r="E390" s="249"/>
      <c r="F390" s="249"/>
      <c r="G390" s="249"/>
      <c r="H390" s="249"/>
      <c r="I390" s="249"/>
      <c r="J390" s="249"/>
      <c r="K390" s="249"/>
      <c r="L390" s="249"/>
      <c r="M390" s="33"/>
      <c r="N390" s="33"/>
      <c r="O390" s="77"/>
      <c r="P390" s="77"/>
      <c r="Q390" s="78"/>
      <c r="Z390" s="79"/>
      <c r="AA390" s="80"/>
      <c r="AB390" s="34"/>
      <c r="AC390" s="34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</row>
    <row r="391" spans="1:41" ht="23.25">
      <c r="A391" s="1295" t="s">
        <v>448</v>
      </c>
      <c r="B391" s="1295"/>
      <c r="C391" s="1295"/>
      <c r="D391" s="1294" t="s">
        <v>1223</v>
      </c>
      <c r="E391" s="1294"/>
      <c r="F391" s="1294"/>
      <c r="G391" s="1294"/>
      <c r="H391" s="1294"/>
      <c r="I391" s="249"/>
      <c r="J391" s="249"/>
      <c r="K391" s="249" t="s">
        <v>449</v>
      </c>
      <c r="L391" s="249"/>
      <c r="M391" s="1295" t="s">
        <v>408</v>
      </c>
      <c r="N391" s="1295"/>
      <c r="O391" s="1292" t="str">
        <f>D391</f>
        <v>بن تخيسي الزهرة</v>
      </c>
      <c r="P391" s="1292"/>
      <c r="Q391" s="78">
        <v>13</v>
      </c>
      <c r="Z391" s="79"/>
      <c r="AA391" s="80"/>
      <c r="AB391" s="34"/>
      <c r="AC391" s="34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</row>
    <row r="392" spans="1:41" ht="24" thickBot="1">
      <c r="A392" s="1340" t="s">
        <v>450</v>
      </c>
      <c r="B392" s="1340"/>
      <c r="C392" s="1340"/>
      <c r="D392" s="1340">
        <v>0</v>
      </c>
      <c r="E392" s="1340"/>
      <c r="F392" s="1340"/>
      <c r="G392" s="1340"/>
      <c r="H392" s="87"/>
      <c r="I392" s="1340" t="s">
        <v>452</v>
      </c>
      <c r="J392" s="1340"/>
      <c r="K392" s="1340"/>
      <c r="L392" s="1341"/>
      <c r="M392" s="1341"/>
      <c r="N392" s="1341"/>
      <c r="O392" s="77"/>
      <c r="P392" s="77"/>
      <c r="Q392" s="78"/>
      <c r="Z392" s="79"/>
      <c r="AA392" s="80"/>
      <c r="AB392" s="34"/>
      <c r="AC392" s="34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</row>
    <row r="393" spans="1:41" ht="17.25" thickTop="1" thickBot="1">
      <c r="A393" s="1318" t="s">
        <v>453</v>
      </c>
      <c r="B393" s="1319"/>
      <c r="C393" s="88" t="s">
        <v>639</v>
      </c>
      <c r="D393" s="89" t="s">
        <v>8</v>
      </c>
      <c r="E393" s="89" t="s">
        <v>638</v>
      </c>
      <c r="F393" s="89" t="s">
        <v>264</v>
      </c>
      <c r="G393" s="89" t="s">
        <v>380</v>
      </c>
      <c r="H393" s="89" t="s">
        <v>380</v>
      </c>
      <c r="I393" s="89" t="s">
        <v>380</v>
      </c>
      <c r="J393" s="89" t="s">
        <v>380</v>
      </c>
      <c r="K393" s="89" t="s">
        <v>380</v>
      </c>
      <c r="L393" s="89" t="s">
        <v>380</v>
      </c>
      <c r="M393" s="89" t="s">
        <v>380</v>
      </c>
      <c r="N393" s="90" t="s">
        <v>380</v>
      </c>
      <c r="Z393" s="79"/>
      <c r="AA393" s="80"/>
      <c r="AB393" s="34"/>
      <c r="AC393" s="34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</row>
    <row r="394" spans="1:41" ht="24" thickBot="1">
      <c r="A394" s="1329" t="s">
        <v>454</v>
      </c>
      <c r="B394" s="1330"/>
      <c r="C394" s="91">
        <v>3</v>
      </c>
      <c r="D394" s="210">
        <v>6</v>
      </c>
      <c r="E394" s="210">
        <v>3</v>
      </c>
      <c r="F394" s="210">
        <v>3</v>
      </c>
      <c r="G394" s="210" t="s">
        <v>380</v>
      </c>
      <c r="H394" s="210" t="s">
        <v>380</v>
      </c>
      <c r="I394" s="210" t="s">
        <v>380</v>
      </c>
      <c r="J394" s="210" t="s">
        <v>380</v>
      </c>
      <c r="K394" s="210" t="s">
        <v>380</v>
      </c>
      <c r="L394" s="210" t="s">
        <v>380</v>
      </c>
      <c r="M394" s="210" t="s">
        <v>380</v>
      </c>
      <c r="N394" s="92" t="s">
        <v>380</v>
      </c>
      <c r="O394" s="152"/>
      <c r="R394" s="78"/>
      <c r="Z394" s="79"/>
      <c r="AA394" s="80"/>
      <c r="AB394" s="34"/>
      <c r="AC394" s="34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</row>
    <row r="395" spans="1:41" ht="24" thickBot="1">
      <c r="A395" s="1329" t="s">
        <v>455</v>
      </c>
      <c r="B395" s="1330"/>
      <c r="C395" s="91"/>
      <c r="D395" s="210"/>
      <c r="E395" s="210"/>
      <c r="F395" s="210" t="s">
        <v>380</v>
      </c>
      <c r="G395" s="210" t="s">
        <v>380</v>
      </c>
      <c r="H395" s="210" t="s">
        <v>380</v>
      </c>
      <c r="I395" s="210" t="s">
        <v>380</v>
      </c>
      <c r="J395" s="210" t="s">
        <v>380</v>
      </c>
      <c r="K395" s="210" t="s">
        <v>380</v>
      </c>
      <c r="L395" s="210" t="s">
        <v>380</v>
      </c>
      <c r="M395" s="210" t="s">
        <v>380</v>
      </c>
      <c r="N395" s="92" t="s">
        <v>380</v>
      </c>
      <c r="O395" s="152"/>
      <c r="R395" s="78"/>
      <c r="Z395" s="79"/>
      <c r="AA395" s="80"/>
      <c r="AB395" s="34"/>
      <c r="AC395" s="34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</row>
    <row r="396" spans="1:41" ht="24" thickBot="1">
      <c r="A396" s="1327" t="s">
        <v>456</v>
      </c>
      <c r="B396" s="1328"/>
      <c r="C396" s="93"/>
      <c r="D396" s="94"/>
      <c r="E396" s="94"/>
      <c r="F396" s="94" t="s">
        <v>380</v>
      </c>
      <c r="G396" s="94" t="s">
        <v>380</v>
      </c>
      <c r="H396" s="94" t="s">
        <v>380</v>
      </c>
      <c r="I396" s="94" t="s">
        <v>380</v>
      </c>
      <c r="J396" s="94" t="s">
        <v>380</v>
      </c>
      <c r="K396" s="94" t="s">
        <v>380</v>
      </c>
      <c r="L396" s="94" t="s">
        <v>380</v>
      </c>
      <c r="M396" s="94" t="s">
        <v>380</v>
      </c>
      <c r="N396" s="95" t="s">
        <v>380</v>
      </c>
      <c r="O396" s="152"/>
      <c r="Z396" s="79"/>
      <c r="AA396" s="80"/>
      <c r="AB396" s="34"/>
      <c r="AC396" s="34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</row>
    <row r="397" spans="1:41" ht="21" thickTop="1">
      <c r="A397" s="96"/>
      <c r="B397" s="96"/>
      <c r="C397" s="96"/>
      <c r="D397" s="96"/>
      <c r="E397" s="1326" t="s">
        <v>457</v>
      </c>
      <c r="F397" s="1310"/>
      <c r="G397" s="97">
        <v>18</v>
      </c>
      <c r="H397" s="1310" t="s">
        <v>458</v>
      </c>
      <c r="I397" s="1311"/>
      <c r="J397" s="1310" t="s">
        <v>459</v>
      </c>
      <c r="K397" s="1311"/>
      <c r="L397" s="96"/>
      <c r="M397" s="96"/>
      <c r="N397" s="96"/>
      <c r="O397" s="77"/>
      <c r="P397" s="77"/>
      <c r="Q397" s="78"/>
      <c r="Z397" s="79"/>
      <c r="AA397" s="80"/>
      <c r="AB397" s="34"/>
      <c r="AC397" s="34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</row>
    <row r="398" spans="1:41" ht="23.25">
      <c r="A398" s="96"/>
      <c r="B398" s="96"/>
      <c r="C398" s="96"/>
      <c r="D398" s="96"/>
      <c r="E398" s="1307" t="s">
        <v>460</v>
      </c>
      <c r="F398" s="1308"/>
      <c r="G398" s="98">
        <v>16</v>
      </c>
      <c r="H398" s="1312">
        <v>0</v>
      </c>
      <c r="I398" s="1312"/>
      <c r="J398" s="1312">
        <v>0</v>
      </c>
      <c r="K398" s="1313"/>
      <c r="L398" s="96"/>
      <c r="M398" s="96"/>
      <c r="N398" s="96"/>
      <c r="O398" s="77"/>
      <c r="P398" s="77"/>
      <c r="Q398" s="78">
        <f>G398+H398+H400+J398</f>
        <v>17</v>
      </c>
      <c r="Z398" s="79"/>
      <c r="AA398" s="80"/>
      <c r="AB398" s="34"/>
      <c r="AC398" s="34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</row>
    <row r="399" spans="1:41" ht="20.25">
      <c r="A399" s="96"/>
      <c r="B399" s="96"/>
      <c r="C399" s="96"/>
      <c r="D399" s="96"/>
      <c r="E399" s="1307" t="s">
        <v>461</v>
      </c>
      <c r="F399" s="1308"/>
      <c r="G399" s="99">
        <v>1</v>
      </c>
      <c r="H399" s="1308" t="s">
        <v>462</v>
      </c>
      <c r="I399" s="1308"/>
      <c r="J399" s="1308" t="s">
        <v>463</v>
      </c>
      <c r="K399" s="1309"/>
      <c r="L399" s="96"/>
      <c r="M399" s="96"/>
      <c r="N399" s="96"/>
      <c r="O399" s="77"/>
      <c r="P399" s="77"/>
      <c r="Q399" s="78"/>
      <c r="Z399" s="79"/>
      <c r="AA399" s="80"/>
      <c r="AB399" s="34"/>
      <c r="AC399" s="34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</row>
    <row r="400" spans="1:41" ht="24" thickBot="1">
      <c r="A400" s="96"/>
      <c r="B400" s="96"/>
      <c r="C400" s="96"/>
      <c r="D400" s="96"/>
      <c r="E400" s="1303" t="s">
        <v>464</v>
      </c>
      <c r="F400" s="1304"/>
      <c r="G400" s="99">
        <v>0</v>
      </c>
      <c r="H400" s="1305">
        <v>1</v>
      </c>
      <c r="I400" s="1305"/>
      <c r="J400" s="1305">
        <v>0</v>
      </c>
      <c r="K400" s="1306"/>
      <c r="L400" s="96"/>
      <c r="M400" s="96"/>
      <c r="N400" s="96"/>
      <c r="O400" s="77"/>
      <c r="P400" s="77"/>
      <c r="Q400" s="78"/>
      <c r="Z400" s="79"/>
      <c r="AA400" s="80"/>
      <c r="AB400" s="34"/>
      <c r="AC400" s="34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</row>
    <row r="401" spans="1:41" ht="17.25" thickTop="1" thickBot="1">
      <c r="A401" s="34"/>
      <c r="B401" s="34"/>
      <c r="C401" s="1299" t="s">
        <v>465</v>
      </c>
      <c r="D401" s="1299"/>
      <c r="E401" s="1299" t="s">
        <v>360</v>
      </c>
      <c r="F401" s="1299"/>
      <c r="G401" s="1302" t="s">
        <v>368</v>
      </c>
      <c r="H401" s="1302"/>
      <c r="I401" s="1302" t="s">
        <v>369</v>
      </c>
      <c r="J401" s="1302"/>
      <c r="K401" s="1302" t="s">
        <v>370</v>
      </c>
      <c r="L401" s="1299"/>
      <c r="M401" s="1299" t="s">
        <v>371</v>
      </c>
      <c r="N401" s="1299"/>
      <c r="O401" s="77"/>
      <c r="P401" s="77"/>
      <c r="Q401" s="78"/>
      <c r="Z401" s="79"/>
      <c r="AA401" s="80"/>
      <c r="AB401" s="34"/>
      <c r="AC401" s="34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</row>
    <row r="402" spans="1:41" ht="17.25" thickTop="1" thickBot="1">
      <c r="A402" s="34"/>
      <c r="B402" s="34"/>
      <c r="C402" s="1299" t="s">
        <v>376</v>
      </c>
      <c r="D402" s="1299"/>
      <c r="E402" s="1296"/>
      <c r="F402" s="1296"/>
      <c r="G402" s="1296"/>
      <c r="H402" s="1296"/>
      <c r="I402" s="1296"/>
      <c r="J402" s="1296"/>
      <c r="K402" s="1296"/>
      <c r="L402" s="1296"/>
      <c r="M402" s="1296" t="s">
        <v>8</v>
      </c>
      <c r="N402" s="1296"/>
      <c r="O402" s="77"/>
      <c r="P402" s="77"/>
      <c r="Q402" s="78"/>
      <c r="Z402" s="79"/>
      <c r="AA402" s="80"/>
      <c r="AB402" s="34"/>
      <c r="AC402" s="34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</row>
    <row r="403" spans="1:41" ht="17.25" thickTop="1" thickBot="1">
      <c r="A403" s="34"/>
      <c r="B403" s="34"/>
      <c r="C403" s="1299" t="s">
        <v>377</v>
      </c>
      <c r="D403" s="1299"/>
      <c r="E403" s="1296"/>
      <c r="F403" s="1296"/>
      <c r="G403" s="1296"/>
      <c r="H403" s="1296"/>
      <c r="I403" s="1296"/>
      <c r="J403" s="1296"/>
      <c r="K403" s="1296"/>
      <c r="L403" s="1296"/>
      <c r="M403" s="1296" t="s">
        <v>8</v>
      </c>
      <c r="N403" s="1296"/>
      <c r="O403" s="77"/>
      <c r="P403" s="77"/>
      <c r="Q403" s="78"/>
      <c r="Z403" s="79"/>
      <c r="AA403" s="80"/>
      <c r="AB403" s="34"/>
      <c r="AC403" s="34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</row>
    <row r="404" spans="1:41" ht="17.25" thickTop="1" thickBot="1">
      <c r="A404" s="34"/>
      <c r="B404" s="34"/>
      <c r="C404" s="1299" t="s">
        <v>378</v>
      </c>
      <c r="D404" s="1299"/>
      <c r="E404" s="1296" t="s">
        <v>8</v>
      </c>
      <c r="F404" s="1296"/>
      <c r="G404" s="1296"/>
      <c r="H404" s="1296"/>
      <c r="I404" s="1296" t="s">
        <v>264</v>
      </c>
      <c r="J404" s="1296"/>
      <c r="K404" s="1296"/>
      <c r="L404" s="1296"/>
      <c r="M404" s="1296" t="s">
        <v>8</v>
      </c>
      <c r="N404" s="1296"/>
      <c r="O404" s="77"/>
      <c r="P404" s="77"/>
      <c r="Z404" s="79"/>
      <c r="AA404" s="80"/>
      <c r="AB404" s="34"/>
      <c r="AC404" s="34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</row>
    <row r="405" spans="1:41" ht="17.25" thickTop="1" thickBot="1">
      <c r="A405" s="34"/>
      <c r="B405" s="34"/>
      <c r="C405" s="1299" t="s">
        <v>379</v>
      </c>
      <c r="D405" s="1299"/>
      <c r="E405" s="1296" t="s">
        <v>639</v>
      </c>
      <c r="F405" s="1296"/>
      <c r="G405" s="1296"/>
      <c r="H405" s="1296"/>
      <c r="I405" s="1296" t="s">
        <v>8</v>
      </c>
      <c r="J405" s="1296"/>
      <c r="K405" s="1296"/>
      <c r="L405" s="1296"/>
      <c r="M405" s="1296" t="s">
        <v>8</v>
      </c>
      <c r="N405" s="1296"/>
      <c r="O405" s="77"/>
      <c r="P405" s="77"/>
      <c r="Z405" s="79"/>
      <c r="AA405" s="80"/>
      <c r="AB405" s="34"/>
      <c r="AC405" s="34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</row>
    <row r="406" spans="1:41" ht="17.25" thickTop="1" thickBot="1">
      <c r="A406" s="34"/>
      <c r="B406" s="34"/>
      <c r="C406" s="101"/>
      <c r="D406" s="101"/>
      <c r="E406" s="251"/>
      <c r="F406" s="251"/>
      <c r="G406" s="251"/>
      <c r="H406" s="251"/>
      <c r="I406" s="251"/>
      <c r="J406" s="251"/>
      <c r="K406" s="252"/>
      <c r="L406" s="252"/>
      <c r="M406" s="251"/>
      <c r="N406" s="251"/>
      <c r="O406" s="77"/>
      <c r="P406" s="77"/>
      <c r="Z406" s="79"/>
      <c r="AA406" s="80"/>
      <c r="AB406" s="34"/>
      <c r="AC406" s="34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</row>
    <row r="407" spans="1:41" ht="17.25" thickTop="1" thickBot="1">
      <c r="A407" s="34"/>
      <c r="B407" s="34"/>
      <c r="C407" s="1299" t="s">
        <v>921</v>
      </c>
      <c r="D407" s="1299"/>
      <c r="E407" s="1296" t="s">
        <v>638</v>
      </c>
      <c r="F407" s="1296"/>
      <c r="G407" s="1296" t="s">
        <v>638</v>
      </c>
      <c r="H407" s="1296"/>
      <c r="I407" s="1296"/>
      <c r="J407" s="1296"/>
      <c r="K407" s="1296"/>
      <c r="L407" s="1296"/>
      <c r="M407" s="1296"/>
      <c r="N407" s="1296"/>
      <c r="O407" s="77"/>
      <c r="P407" s="77"/>
      <c r="Z407" s="79"/>
      <c r="AA407" s="80"/>
      <c r="AB407" s="34"/>
      <c r="AC407" s="34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</row>
    <row r="408" spans="1:41" ht="17.25" thickTop="1" thickBot="1">
      <c r="A408" s="34"/>
      <c r="B408" s="34"/>
      <c r="C408" s="1299" t="s">
        <v>922</v>
      </c>
      <c r="D408" s="1299"/>
      <c r="E408" s="1296" t="s">
        <v>638</v>
      </c>
      <c r="F408" s="1296"/>
      <c r="G408" s="1296"/>
      <c r="H408" s="1296"/>
      <c r="I408" s="1296"/>
      <c r="J408" s="1296"/>
      <c r="K408" s="1296"/>
      <c r="L408" s="1296"/>
      <c r="M408" s="1296"/>
      <c r="N408" s="1296"/>
      <c r="O408" s="77"/>
      <c r="P408" s="77"/>
      <c r="Z408" s="79"/>
      <c r="AA408" s="80"/>
      <c r="AB408" s="34"/>
      <c r="AC408" s="34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</row>
    <row r="409" spans="1:41" ht="17.25" thickTop="1" thickBot="1">
      <c r="A409" s="34"/>
      <c r="B409" s="34"/>
      <c r="C409" s="1299" t="s">
        <v>923</v>
      </c>
      <c r="D409" s="1299"/>
      <c r="E409" s="1296"/>
      <c r="F409" s="1296"/>
      <c r="G409" s="1296" t="s">
        <v>264</v>
      </c>
      <c r="H409" s="1296"/>
      <c r="I409" s="1296"/>
      <c r="J409" s="1296"/>
      <c r="K409" s="1296" t="s">
        <v>639</v>
      </c>
      <c r="L409" s="1296"/>
      <c r="M409" s="1296"/>
      <c r="N409" s="1296"/>
      <c r="O409" s="77"/>
      <c r="P409" s="77"/>
      <c r="Z409" s="79"/>
      <c r="AA409" s="80"/>
      <c r="AB409" s="34"/>
      <c r="AC409" s="34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</row>
    <row r="410" spans="1:41" ht="17.25" thickTop="1" thickBot="1">
      <c r="A410" s="34"/>
      <c r="B410" s="34"/>
      <c r="C410" s="1299" t="s">
        <v>924</v>
      </c>
      <c r="D410" s="1299"/>
      <c r="E410" s="1296"/>
      <c r="F410" s="1296"/>
      <c r="G410" s="1296" t="s">
        <v>264</v>
      </c>
      <c r="H410" s="1296"/>
      <c r="I410" s="1296"/>
      <c r="J410" s="1296"/>
      <c r="K410" s="1296" t="s">
        <v>639</v>
      </c>
      <c r="L410" s="1296"/>
      <c r="M410" s="1296" t="s">
        <v>380</v>
      </c>
      <c r="N410" s="1296"/>
      <c r="O410" s="77"/>
      <c r="P410" s="77"/>
      <c r="Z410" s="79"/>
      <c r="AA410" s="80"/>
      <c r="AB410" s="34"/>
      <c r="AC410" s="34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</row>
    <row r="411" spans="1:41" ht="17.25" thickTop="1" thickBot="1">
      <c r="A411" s="34"/>
      <c r="B411" s="34"/>
      <c r="C411" s="33"/>
      <c r="D411" s="33"/>
      <c r="E411" s="33"/>
      <c r="F411" s="33"/>
      <c r="G411" s="33"/>
      <c r="H411" s="33"/>
      <c r="I411" s="33"/>
      <c r="J411" s="33"/>
      <c r="K411" s="34"/>
      <c r="L411" s="34"/>
      <c r="M411" s="33"/>
      <c r="N411" s="33"/>
      <c r="O411" s="77"/>
      <c r="P411" s="77"/>
      <c r="Z411" s="79"/>
      <c r="AA411" s="80"/>
      <c r="AB411" s="34"/>
      <c r="AC411" s="34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</row>
    <row r="412" spans="1:41" ht="19.5" thickTop="1" thickBot="1">
      <c r="A412" s="1321" t="s">
        <v>467</v>
      </c>
      <c r="B412" s="1322"/>
      <c r="C412" s="1323" t="s">
        <v>380</v>
      </c>
      <c r="D412" s="1323"/>
      <c r="E412" s="1323" t="s">
        <v>380</v>
      </c>
      <c r="F412" s="1323"/>
      <c r="G412" s="250"/>
      <c r="H412" s="250" t="s">
        <v>468</v>
      </c>
      <c r="I412" s="1295" t="s">
        <v>402</v>
      </c>
      <c r="J412" s="1295"/>
      <c r="K412" s="1295"/>
      <c r="L412" s="102" t="s">
        <v>403</v>
      </c>
      <c r="M412" s="1331">
        <f ca="1">TODAY()</f>
        <v>45944</v>
      </c>
      <c r="N412" s="1331"/>
      <c r="O412" s="77"/>
      <c r="P412" s="77"/>
      <c r="Z412" s="79"/>
      <c r="AA412" s="80"/>
      <c r="AB412" s="34"/>
      <c r="AC412" s="34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</row>
    <row r="413" spans="1:41" ht="19.5" thickTop="1" thickBot="1">
      <c r="A413" s="1321" t="s">
        <v>469</v>
      </c>
      <c r="B413" s="1322"/>
      <c r="C413" s="1323" t="s">
        <v>380</v>
      </c>
      <c r="D413" s="1323"/>
      <c r="E413" s="1323" t="s">
        <v>380</v>
      </c>
      <c r="F413" s="1323"/>
      <c r="G413" s="250"/>
      <c r="H413" s="250"/>
      <c r="I413" s="250"/>
      <c r="J413" s="250"/>
      <c r="K413" s="102"/>
      <c r="L413" s="102"/>
      <c r="M413" s="33"/>
      <c r="N413" s="33"/>
      <c r="O413" s="77"/>
      <c r="P413" s="77"/>
      <c r="Z413" s="79"/>
      <c r="AA413" s="80"/>
      <c r="AB413" s="34"/>
      <c r="AC413" s="34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</row>
    <row r="414" spans="1:41" ht="19.5" thickTop="1" thickBot="1">
      <c r="A414" s="1321" t="s">
        <v>470</v>
      </c>
      <c r="B414" s="1322"/>
      <c r="C414" s="1323" t="s">
        <v>380</v>
      </c>
      <c r="D414" s="1323"/>
      <c r="E414" s="1323" t="s">
        <v>380</v>
      </c>
      <c r="F414" s="1323"/>
      <c r="G414" s="250"/>
      <c r="H414" s="250"/>
      <c r="I414" s="250"/>
      <c r="J414" s="250" t="s">
        <v>471</v>
      </c>
      <c r="K414" s="102"/>
      <c r="L414" s="102"/>
      <c r="M414" s="33"/>
      <c r="N414" s="33"/>
      <c r="O414" s="77"/>
      <c r="P414" s="77"/>
      <c r="Z414" s="79"/>
      <c r="AA414" s="80"/>
      <c r="AB414" s="34"/>
      <c r="AC414" s="34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</row>
    <row r="415" spans="1:41" ht="24" thickTop="1">
      <c r="A415" s="102"/>
      <c r="B415" s="102"/>
      <c r="C415" s="250"/>
      <c r="D415" s="250"/>
      <c r="E415" s="250"/>
      <c r="F415" s="250"/>
      <c r="G415" s="33"/>
      <c r="H415" s="103" t="s">
        <v>406</v>
      </c>
      <c r="I415" s="33"/>
      <c r="J415" s="34"/>
      <c r="K415" s="34"/>
      <c r="L415" s="33"/>
      <c r="M415" s="33"/>
      <c r="N415" s="104"/>
      <c r="O415" s="77"/>
      <c r="P415" s="77"/>
      <c r="Q415" s="78"/>
      <c r="Z415" s="79"/>
      <c r="AA415" s="80"/>
      <c r="AB415" s="34"/>
      <c r="AC415" s="34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</row>
    <row r="416" spans="1:41" ht="18">
      <c r="A416" s="1295" t="s">
        <v>78</v>
      </c>
      <c r="B416" s="1295"/>
      <c r="C416" s="1295"/>
      <c r="D416" s="1295"/>
      <c r="E416" s="1295"/>
      <c r="F416" s="1295"/>
      <c r="G416" s="1295"/>
      <c r="H416" s="1295"/>
      <c r="I416" s="1295"/>
      <c r="J416" s="1295"/>
      <c r="K416" s="1295"/>
      <c r="L416" s="1295"/>
      <c r="M416" s="1295"/>
      <c r="N416" s="1295"/>
      <c r="O416" s="77"/>
      <c r="P416" s="77"/>
      <c r="Q416" s="78"/>
      <c r="Z416" s="79"/>
      <c r="AA416" s="80"/>
      <c r="AB416" s="34"/>
      <c r="AC416" s="34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</row>
    <row r="417" spans="1:41" ht="18">
      <c r="A417" s="1295" t="s">
        <v>79</v>
      </c>
      <c r="B417" s="1295"/>
      <c r="C417" s="1295"/>
      <c r="D417" s="1295"/>
      <c r="E417" s="1295"/>
      <c r="F417" s="1295"/>
      <c r="G417" s="1295"/>
      <c r="H417" s="1295"/>
      <c r="I417" s="1295"/>
      <c r="J417" s="1295"/>
      <c r="K417" s="1295"/>
      <c r="L417" s="1295"/>
      <c r="M417" s="1295"/>
      <c r="N417" s="1295"/>
      <c r="O417" s="77"/>
      <c r="P417" s="77"/>
      <c r="Q417" s="78"/>
      <c r="Z417" s="79"/>
      <c r="AA417" s="80"/>
      <c r="AB417" s="34"/>
      <c r="AC417" s="34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</row>
    <row r="418" spans="1:41" ht="18">
      <c r="A418" s="168" t="s">
        <v>220</v>
      </c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33"/>
      <c r="N418" s="33"/>
      <c r="O418" s="77"/>
      <c r="P418" s="77"/>
      <c r="Q418" s="78"/>
      <c r="Z418" s="79"/>
      <c r="AA418" s="80"/>
      <c r="AB418" s="34"/>
      <c r="AC418" s="34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</row>
    <row r="419" spans="1:41" ht="18">
      <c r="A419" s="168" t="s">
        <v>444</v>
      </c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33"/>
      <c r="N419" s="33"/>
      <c r="O419" s="77"/>
      <c r="P419" s="77"/>
      <c r="Q419" s="78"/>
      <c r="Z419" s="79"/>
      <c r="AA419" s="80"/>
      <c r="AB419" s="34"/>
      <c r="AC419" s="34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</row>
    <row r="420" spans="1:41" ht="18.75" thickBot="1">
      <c r="A420" s="250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33"/>
      <c r="N420" s="33"/>
      <c r="O420" s="77"/>
      <c r="P420" s="77"/>
      <c r="Q420" s="78"/>
      <c r="Z420" s="79"/>
      <c r="AA420" s="80"/>
      <c r="AB420" s="34"/>
      <c r="AC420" s="34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</row>
    <row r="421" spans="1:41" ht="24" thickBot="1">
      <c r="A421" s="250"/>
      <c r="B421" s="250"/>
      <c r="C421" s="1333" t="s">
        <v>446</v>
      </c>
      <c r="D421" s="1334"/>
      <c r="E421" s="1334"/>
      <c r="F421" s="1334"/>
      <c r="G421" s="1334"/>
      <c r="H421" s="1334"/>
      <c r="I421" s="1334"/>
      <c r="J421" s="1334"/>
      <c r="K421" s="1334"/>
      <c r="L421" s="1335"/>
      <c r="M421" s="33"/>
      <c r="N421" s="33"/>
      <c r="O421" s="77"/>
      <c r="P421" s="77"/>
      <c r="Q421" s="78"/>
      <c r="Z421" s="79"/>
      <c r="AA421" s="80"/>
      <c r="AB421" s="34"/>
      <c r="AC421" s="34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</row>
    <row r="422" spans="1:41" ht="23.25">
      <c r="A422" s="250"/>
      <c r="B422" s="250"/>
      <c r="C422" s="249"/>
      <c r="D422" s="249"/>
      <c r="E422" s="249"/>
      <c r="F422" s="249"/>
      <c r="G422" s="249"/>
      <c r="H422" s="249"/>
      <c r="I422" s="249"/>
      <c r="J422" s="249"/>
      <c r="K422" s="249"/>
      <c r="L422" s="249"/>
      <c r="M422" s="33"/>
      <c r="N422" s="33"/>
      <c r="O422" s="77"/>
      <c r="P422" s="77"/>
      <c r="Q422" s="78"/>
      <c r="Z422" s="79"/>
      <c r="AA422" s="80"/>
      <c r="AB422" s="34"/>
      <c r="AC422" s="34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</row>
    <row r="423" spans="1:41" ht="23.25">
      <c r="A423" s="1295" t="s">
        <v>448</v>
      </c>
      <c r="B423" s="1295"/>
      <c r="C423" s="1295"/>
      <c r="D423" s="1294" t="s">
        <v>1244</v>
      </c>
      <c r="E423" s="1294"/>
      <c r="F423" s="1294"/>
      <c r="G423" s="1294"/>
      <c r="H423" s="1294"/>
      <c r="I423" s="249"/>
      <c r="J423" s="249"/>
      <c r="K423" s="249" t="s">
        <v>449</v>
      </c>
      <c r="L423" s="249"/>
      <c r="M423" s="1295" t="s">
        <v>408</v>
      </c>
      <c r="N423" s="1295"/>
      <c r="O423" s="1292" t="str">
        <f>D423</f>
        <v>بن شيخ وهرة</v>
      </c>
      <c r="P423" s="1292"/>
      <c r="Q423" s="78">
        <v>14</v>
      </c>
      <c r="Z423" s="79"/>
      <c r="AA423" s="80"/>
      <c r="AB423" s="34"/>
      <c r="AC423" s="34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</row>
    <row r="424" spans="1:41" ht="24" thickBot="1">
      <c r="A424" s="1340" t="s">
        <v>450</v>
      </c>
      <c r="B424" s="1340"/>
      <c r="C424" s="1340"/>
      <c r="D424" s="1340" t="s">
        <v>451</v>
      </c>
      <c r="E424" s="1340"/>
      <c r="F424" s="1340"/>
      <c r="G424" s="1340"/>
      <c r="H424" s="87"/>
      <c r="I424" s="1340" t="s">
        <v>452</v>
      </c>
      <c r="J424" s="1340"/>
      <c r="K424" s="1340"/>
      <c r="L424" s="1341"/>
      <c r="M424" s="1341"/>
      <c r="N424" s="1341"/>
      <c r="O424" s="77"/>
      <c r="P424" s="77"/>
      <c r="Q424" s="78"/>
      <c r="Z424" s="79"/>
      <c r="AA424" s="80"/>
      <c r="AB424" s="34"/>
      <c r="AC424" s="34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</row>
    <row r="425" spans="1:41" ht="17.25" thickTop="1" thickBot="1">
      <c r="A425" s="1318" t="s">
        <v>453</v>
      </c>
      <c r="B425" s="1319"/>
      <c r="C425" s="88" t="s">
        <v>6</v>
      </c>
      <c r="D425" s="88" t="s">
        <v>2</v>
      </c>
      <c r="E425" s="89" t="s">
        <v>3</v>
      </c>
      <c r="F425" s="89" t="s">
        <v>493</v>
      </c>
      <c r="G425" s="89" t="s">
        <v>639</v>
      </c>
      <c r="H425" s="89" t="s">
        <v>828</v>
      </c>
      <c r="I425" s="89" t="s">
        <v>10</v>
      </c>
      <c r="J425" s="89" t="s">
        <v>11</v>
      </c>
      <c r="K425" s="89" t="s">
        <v>39</v>
      </c>
      <c r="L425" s="209"/>
      <c r="M425" s="89" t="s">
        <v>380</v>
      </c>
      <c r="N425" s="90" t="s">
        <v>380</v>
      </c>
      <c r="Z425" s="79"/>
      <c r="AA425" s="80"/>
      <c r="AB425" s="34"/>
      <c r="AC425" s="34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</row>
    <row r="426" spans="1:41" ht="24" thickBot="1">
      <c r="A426" s="1329" t="s">
        <v>454</v>
      </c>
      <c r="B426" s="1330"/>
      <c r="C426" s="91">
        <v>2</v>
      </c>
      <c r="D426" s="210">
        <v>2</v>
      </c>
      <c r="E426" s="210">
        <v>2</v>
      </c>
      <c r="F426" s="210">
        <v>2</v>
      </c>
      <c r="G426" s="91">
        <v>2</v>
      </c>
      <c r="H426" s="210">
        <v>2</v>
      </c>
      <c r="I426" s="210">
        <v>1</v>
      </c>
      <c r="J426" s="210">
        <v>1</v>
      </c>
      <c r="K426" s="210">
        <v>2</v>
      </c>
      <c r="L426" s="210" t="s">
        <v>380</v>
      </c>
      <c r="M426" s="210" t="s">
        <v>380</v>
      </c>
      <c r="N426" s="92" t="s">
        <v>380</v>
      </c>
      <c r="O426" s="152"/>
      <c r="R426" s="78"/>
      <c r="Z426" s="79"/>
      <c r="AA426" s="80"/>
      <c r="AB426" s="34"/>
      <c r="AC426" s="34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</row>
    <row r="427" spans="1:41" ht="24" thickBot="1">
      <c r="A427" s="1329" t="s">
        <v>455</v>
      </c>
      <c r="B427" s="1330"/>
      <c r="C427" s="91"/>
      <c r="D427" s="210"/>
      <c r="E427" s="210"/>
      <c r="F427" s="210"/>
      <c r="G427" s="210"/>
      <c r="H427" s="210"/>
      <c r="I427" s="210"/>
      <c r="J427" s="210"/>
      <c r="K427" s="210"/>
      <c r="L427" s="210" t="s">
        <v>380</v>
      </c>
      <c r="M427" s="210" t="s">
        <v>380</v>
      </c>
      <c r="N427" s="92" t="s">
        <v>380</v>
      </c>
      <c r="O427" s="152"/>
      <c r="R427" s="78"/>
      <c r="Z427" s="79"/>
      <c r="AA427" s="80"/>
      <c r="AB427" s="34"/>
      <c r="AC427" s="34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</row>
    <row r="428" spans="1:41" ht="24" thickBot="1">
      <c r="A428" s="1327" t="s">
        <v>456</v>
      </c>
      <c r="B428" s="1328"/>
      <c r="C428" s="93"/>
      <c r="D428" s="94"/>
      <c r="E428" s="94"/>
      <c r="F428" s="94"/>
      <c r="G428" s="94"/>
      <c r="H428" s="94"/>
      <c r="I428" s="94"/>
      <c r="J428" s="94"/>
      <c r="K428" s="94"/>
      <c r="L428" s="94" t="s">
        <v>380</v>
      </c>
      <c r="M428" s="94" t="s">
        <v>380</v>
      </c>
      <c r="N428" s="95" t="s">
        <v>380</v>
      </c>
      <c r="O428" s="152"/>
      <c r="Z428" s="79"/>
      <c r="AA428" s="80"/>
      <c r="AB428" s="34"/>
      <c r="AC428" s="34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</row>
    <row r="429" spans="1:41" ht="21" thickTop="1">
      <c r="A429" s="96"/>
      <c r="B429" s="96"/>
      <c r="C429" s="96"/>
      <c r="D429" s="96"/>
      <c r="E429" s="1326" t="s">
        <v>457</v>
      </c>
      <c r="F429" s="1310"/>
      <c r="G429" s="97">
        <v>18</v>
      </c>
      <c r="H429" s="1310" t="s">
        <v>458</v>
      </c>
      <c r="I429" s="1311"/>
      <c r="J429" s="1310" t="s">
        <v>459</v>
      </c>
      <c r="K429" s="1311"/>
      <c r="L429" s="96"/>
      <c r="M429" s="96"/>
      <c r="N429" s="96"/>
      <c r="O429" s="77"/>
      <c r="P429" s="77"/>
      <c r="Q429" s="78"/>
      <c r="Z429" s="79"/>
      <c r="AA429" s="80"/>
      <c r="AB429" s="34"/>
      <c r="AC429" s="34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</row>
    <row r="430" spans="1:41" ht="23.25">
      <c r="A430" s="96"/>
      <c r="B430" s="96"/>
      <c r="C430" s="96"/>
      <c r="D430" s="96"/>
      <c r="E430" s="1307" t="s">
        <v>460</v>
      </c>
      <c r="F430" s="1308"/>
      <c r="G430" s="98">
        <v>15</v>
      </c>
      <c r="H430" s="1312">
        <v>0</v>
      </c>
      <c r="I430" s="1312"/>
      <c r="J430" s="1312">
        <v>0</v>
      </c>
      <c r="K430" s="1313"/>
      <c r="L430" s="96"/>
      <c r="M430" s="96"/>
      <c r="N430" s="96"/>
      <c r="O430" s="77"/>
      <c r="P430" s="77"/>
      <c r="Q430" s="78">
        <f>G430+H430+H432+J430</f>
        <v>15</v>
      </c>
      <c r="Z430" s="79"/>
      <c r="AA430" s="80"/>
      <c r="AB430" s="34"/>
      <c r="AC430" s="34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</row>
    <row r="431" spans="1:41" ht="20.25">
      <c r="A431" s="96"/>
      <c r="B431" s="96"/>
      <c r="C431" s="96"/>
      <c r="D431" s="96"/>
      <c r="E431" s="1307" t="s">
        <v>461</v>
      </c>
      <c r="F431" s="1308"/>
      <c r="G431" s="99"/>
      <c r="H431" s="1308" t="s">
        <v>462</v>
      </c>
      <c r="I431" s="1308"/>
      <c r="J431" s="1308" t="s">
        <v>463</v>
      </c>
      <c r="K431" s="1309"/>
      <c r="L431" s="96"/>
      <c r="M431" s="96"/>
      <c r="N431" s="96"/>
      <c r="O431" s="77"/>
      <c r="P431" s="77"/>
      <c r="Q431" s="78"/>
      <c r="Z431" s="79"/>
      <c r="AA431" s="80"/>
      <c r="AB431" s="34"/>
      <c r="AC431" s="34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</row>
    <row r="432" spans="1:41" ht="24" thickBot="1">
      <c r="A432" s="96"/>
      <c r="B432" s="96"/>
      <c r="C432" s="96"/>
      <c r="D432" s="96"/>
      <c r="E432" s="1303" t="s">
        <v>464</v>
      </c>
      <c r="F432" s="1304"/>
      <c r="G432" s="99">
        <v>0</v>
      </c>
      <c r="H432" s="1305">
        <v>0</v>
      </c>
      <c r="I432" s="1305"/>
      <c r="J432" s="1305">
        <v>0</v>
      </c>
      <c r="K432" s="1306"/>
      <c r="L432" s="96"/>
      <c r="M432" s="96"/>
      <c r="N432" s="96"/>
      <c r="O432" s="77"/>
      <c r="P432" s="77"/>
      <c r="Q432" s="78"/>
      <c r="Z432" s="79"/>
      <c r="AA432" s="80"/>
      <c r="AB432" s="34"/>
      <c r="AC432" s="34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</row>
    <row r="433" spans="1:41" ht="17.25" thickTop="1" thickBot="1">
      <c r="A433" s="34"/>
      <c r="B433" s="34"/>
      <c r="C433" s="1299" t="s">
        <v>465</v>
      </c>
      <c r="D433" s="1299"/>
      <c r="E433" s="1299" t="s">
        <v>360</v>
      </c>
      <c r="F433" s="1299"/>
      <c r="G433" s="1302" t="s">
        <v>368</v>
      </c>
      <c r="H433" s="1302"/>
      <c r="I433" s="1302" t="s">
        <v>369</v>
      </c>
      <c r="J433" s="1302"/>
      <c r="K433" s="1302" t="s">
        <v>370</v>
      </c>
      <c r="L433" s="1299"/>
      <c r="M433" s="1299" t="s">
        <v>371</v>
      </c>
      <c r="N433" s="1299"/>
      <c r="O433" s="77"/>
      <c r="P433" s="77"/>
      <c r="Z433" s="79"/>
      <c r="AA433" s="80"/>
      <c r="AB433" s="34"/>
      <c r="AC433" s="34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</row>
    <row r="434" spans="1:41" ht="17.25" thickTop="1" thickBot="1">
      <c r="A434" s="34"/>
      <c r="B434" s="34"/>
      <c r="C434" s="1299" t="s">
        <v>376</v>
      </c>
      <c r="D434" s="1299"/>
      <c r="E434" s="1297" t="s">
        <v>39</v>
      </c>
      <c r="F434" s="1297"/>
      <c r="G434" s="1297"/>
      <c r="H434" s="1297"/>
      <c r="I434" s="1297"/>
      <c r="J434" s="1297"/>
      <c r="K434" s="1297" t="s">
        <v>493</v>
      </c>
      <c r="L434" s="1297"/>
      <c r="M434" s="1297"/>
      <c r="N434" s="1297"/>
      <c r="O434" s="77"/>
      <c r="P434" s="77"/>
      <c r="Z434" s="79"/>
      <c r="AA434" s="80"/>
      <c r="AB434" s="34"/>
      <c r="AC434" s="34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</row>
    <row r="435" spans="1:41" ht="17.25" thickTop="1" thickBot="1">
      <c r="A435" s="34"/>
      <c r="B435" s="34"/>
      <c r="C435" s="1299" t="s">
        <v>377</v>
      </c>
      <c r="D435" s="1299"/>
      <c r="E435" s="1297" t="s">
        <v>3</v>
      </c>
      <c r="F435" s="1297"/>
      <c r="G435" s="1297"/>
      <c r="H435" s="1297"/>
      <c r="I435" s="1300"/>
      <c r="J435" s="1300"/>
      <c r="K435" s="1297" t="s">
        <v>2</v>
      </c>
      <c r="L435" s="1297"/>
      <c r="M435" s="1297"/>
      <c r="N435" s="1297"/>
      <c r="O435" s="77"/>
      <c r="P435" s="77"/>
      <c r="Z435" s="79"/>
      <c r="AA435" s="80"/>
      <c r="AB435" s="34"/>
      <c r="AC435" s="34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</row>
    <row r="436" spans="1:41" ht="17.25" thickTop="1" thickBot="1">
      <c r="A436" s="34"/>
      <c r="B436" s="34"/>
      <c r="C436" s="1299" t="s">
        <v>378</v>
      </c>
      <c r="D436" s="1299"/>
      <c r="E436" s="1297" t="s">
        <v>639</v>
      </c>
      <c r="F436" s="1297"/>
      <c r="G436" s="1297"/>
      <c r="H436" s="1297"/>
      <c r="I436" s="1297"/>
      <c r="J436" s="1297"/>
      <c r="K436" s="1297" t="s">
        <v>6</v>
      </c>
      <c r="L436" s="1297"/>
      <c r="M436" s="1297"/>
      <c r="N436" s="1297"/>
      <c r="O436" s="77"/>
      <c r="P436" s="77"/>
      <c r="Z436" s="79"/>
      <c r="AA436" s="80"/>
      <c r="AB436" s="34"/>
      <c r="AC436" s="34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</row>
    <row r="437" spans="1:41" ht="17.25" thickTop="1" thickBot="1">
      <c r="A437" s="34"/>
      <c r="B437" s="34"/>
      <c r="C437" s="1299" t="s">
        <v>379</v>
      </c>
      <c r="D437" s="1299"/>
      <c r="E437" s="1297" t="s">
        <v>493</v>
      </c>
      <c r="F437" s="1297"/>
      <c r="G437" s="1315"/>
      <c r="H437" s="1316"/>
      <c r="I437" s="1297"/>
      <c r="J437" s="1297"/>
      <c r="K437" s="1297"/>
      <c r="L437" s="1297"/>
      <c r="M437" s="1297"/>
      <c r="N437" s="1297"/>
      <c r="O437" s="77"/>
      <c r="P437" s="77"/>
      <c r="Z437" s="79"/>
      <c r="AA437" s="80"/>
      <c r="AB437" s="34"/>
      <c r="AC437" s="34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</row>
    <row r="438" spans="1:41" ht="17.25" thickTop="1" thickBot="1">
      <c r="A438" s="34"/>
      <c r="B438" s="34"/>
      <c r="C438" s="101"/>
      <c r="D438" s="101"/>
      <c r="E438" s="33"/>
      <c r="F438" s="33"/>
      <c r="G438" s="33"/>
      <c r="H438" s="33"/>
      <c r="I438" s="33"/>
      <c r="J438" s="33"/>
      <c r="K438" s="34"/>
      <c r="L438" s="34"/>
      <c r="M438" s="33"/>
      <c r="N438" s="33"/>
      <c r="O438" s="77"/>
      <c r="P438" s="77"/>
      <c r="Z438" s="79"/>
      <c r="AA438" s="80"/>
      <c r="AB438" s="34"/>
      <c r="AC438" s="34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</row>
    <row r="439" spans="1:41" ht="17.25" thickTop="1" thickBot="1">
      <c r="A439" s="34"/>
      <c r="B439" s="34"/>
      <c r="C439" s="1299" t="s">
        <v>921</v>
      </c>
      <c r="D439" s="1299"/>
      <c r="E439" s="1297"/>
      <c r="F439" s="1297"/>
      <c r="G439" s="1297" t="s">
        <v>2</v>
      </c>
      <c r="H439" s="1297"/>
      <c r="I439" s="1297"/>
      <c r="J439" s="1297"/>
      <c r="K439" s="1297" t="s">
        <v>10</v>
      </c>
      <c r="L439" s="1297"/>
      <c r="M439" s="1297" t="s">
        <v>828</v>
      </c>
      <c r="N439" s="1297"/>
      <c r="O439" s="77"/>
      <c r="P439" s="77"/>
      <c r="Z439" s="79"/>
      <c r="AA439" s="80"/>
      <c r="AB439" s="34"/>
      <c r="AC439" s="34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</row>
    <row r="440" spans="1:41" ht="17.25" thickTop="1" thickBot="1">
      <c r="A440" s="34"/>
      <c r="B440" s="34"/>
      <c r="C440" s="1299" t="s">
        <v>922</v>
      </c>
      <c r="D440" s="1299"/>
      <c r="E440" s="1297"/>
      <c r="F440" s="1297"/>
      <c r="G440" s="1297" t="s">
        <v>11</v>
      </c>
      <c r="H440" s="1297"/>
      <c r="I440" s="1297"/>
      <c r="J440" s="1297"/>
      <c r="K440" s="1297" t="s">
        <v>39</v>
      </c>
      <c r="L440" s="1297"/>
      <c r="M440" s="1297" t="s">
        <v>3</v>
      </c>
      <c r="N440" s="1297"/>
      <c r="O440" s="77"/>
      <c r="P440" s="77"/>
      <c r="Z440" s="79"/>
      <c r="AA440" s="80"/>
      <c r="AB440" s="34"/>
      <c r="AC440" s="34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</row>
    <row r="441" spans="1:41" ht="17.25" thickTop="1" thickBot="1">
      <c r="A441" s="34"/>
      <c r="B441" s="34"/>
      <c r="C441" s="1299" t="s">
        <v>923</v>
      </c>
      <c r="D441" s="1299"/>
      <c r="E441" s="1297"/>
      <c r="F441" s="1297"/>
      <c r="G441" s="1297" t="s">
        <v>639</v>
      </c>
      <c r="H441" s="1297"/>
      <c r="I441" s="1297"/>
      <c r="J441" s="1297"/>
      <c r="K441" s="1297"/>
      <c r="L441" s="1297"/>
      <c r="M441" s="1297" t="s">
        <v>6</v>
      </c>
      <c r="N441" s="1297"/>
      <c r="O441" s="77"/>
      <c r="P441" s="77"/>
      <c r="Z441" s="79"/>
      <c r="AA441" s="80"/>
      <c r="AB441" s="34"/>
      <c r="AC441" s="34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</row>
    <row r="442" spans="1:41" ht="17.25" thickTop="1" thickBot="1">
      <c r="A442" s="34"/>
      <c r="B442" s="34"/>
      <c r="C442" s="1299" t="s">
        <v>924</v>
      </c>
      <c r="D442" s="1299"/>
      <c r="E442" s="1297"/>
      <c r="F442" s="1297"/>
      <c r="G442" s="1297" t="s">
        <v>828</v>
      </c>
      <c r="H442" s="1297"/>
      <c r="I442" s="1297"/>
      <c r="J442" s="1297"/>
      <c r="K442" s="1297"/>
      <c r="L442" s="1297"/>
      <c r="M442" s="1297"/>
      <c r="N442" s="1297"/>
      <c r="O442" s="77"/>
      <c r="P442" s="77"/>
      <c r="Q442" s="78"/>
      <c r="Z442" s="79"/>
      <c r="AA442" s="80"/>
      <c r="AB442" s="34"/>
      <c r="AC442" s="34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</row>
    <row r="443" spans="1:41" ht="17.25" thickTop="1" thickBot="1">
      <c r="A443" s="34"/>
      <c r="B443" s="34"/>
      <c r="C443" s="33"/>
      <c r="D443" s="33"/>
      <c r="E443" s="33"/>
      <c r="F443" s="33"/>
      <c r="G443" s="33"/>
      <c r="H443" s="33"/>
      <c r="I443" s="33"/>
      <c r="J443" s="33"/>
      <c r="K443" s="34"/>
      <c r="L443" s="34"/>
      <c r="M443" s="33"/>
      <c r="N443" s="33"/>
      <c r="O443" s="77"/>
      <c r="P443" s="77"/>
      <c r="Q443" s="78"/>
      <c r="Z443" s="79"/>
      <c r="AA443" s="80"/>
      <c r="AB443" s="34"/>
      <c r="AC443" s="34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</row>
    <row r="444" spans="1:41" ht="19.5" thickTop="1" thickBot="1">
      <c r="A444" s="1321" t="s">
        <v>467</v>
      </c>
      <c r="B444" s="1322"/>
      <c r="C444" s="1323" t="s">
        <v>380</v>
      </c>
      <c r="D444" s="1323"/>
      <c r="E444" s="1323" t="s">
        <v>380</v>
      </c>
      <c r="F444" s="1323"/>
      <c r="G444" s="250"/>
      <c r="H444" s="250" t="s">
        <v>468</v>
      </c>
      <c r="I444" s="1295" t="s">
        <v>402</v>
      </c>
      <c r="J444" s="1295"/>
      <c r="K444" s="1295"/>
      <c r="L444" s="102" t="s">
        <v>403</v>
      </c>
      <c r="M444" s="1331">
        <f ca="1">TODAY()</f>
        <v>45944</v>
      </c>
      <c r="N444" s="1331"/>
      <c r="O444" s="77"/>
      <c r="P444" s="77"/>
      <c r="Q444" s="78"/>
      <c r="Z444" s="79"/>
      <c r="AA444" s="80"/>
      <c r="AB444" s="34"/>
      <c r="AC444" s="34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</row>
    <row r="445" spans="1:41" ht="19.5" thickTop="1" thickBot="1">
      <c r="A445" s="1321" t="s">
        <v>469</v>
      </c>
      <c r="B445" s="1322"/>
      <c r="C445" s="1323" t="s">
        <v>380</v>
      </c>
      <c r="D445" s="1323"/>
      <c r="E445" s="1323" t="s">
        <v>380</v>
      </c>
      <c r="F445" s="1323"/>
      <c r="G445" s="250"/>
      <c r="H445" s="250"/>
      <c r="I445" s="250"/>
      <c r="J445" s="250"/>
      <c r="K445" s="102"/>
      <c r="L445" s="102"/>
      <c r="M445" s="33"/>
      <c r="N445" s="33"/>
      <c r="O445" s="77"/>
      <c r="P445" s="77"/>
      <c r="Q445" s="78"/>
      <c r="Z445" s="79"/>
      <c r="AA445" s="80"/>
      <c r="AB445" s="34"/>
      <c r="AC445" s="34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</row>
    <row r="446" spans="1:41" ht="19.5" thickTop="1" thickBot="1">
      <c r="A446" s="1321" t="s">
        <v>470</v>
      </c>
      <c r="B446" s="1322"/>
      <c r="C446" s="1323" t="s">
        <v>380</v>
      </c>
      <c r="D446" s="1323"/>
      <c r="E446" s="1323" t="s">
        <v>380</v>
      </c>
      <c r="F446" s="1323"/>
      <c r="G446" s="250"/>
      <c r="H446" s="250"/>
      <c r="I446" s="250"/>
      <c r="J446" s="250" t="s">
        <v>471</v>
      </c>
      <c r="K446" s="102"/>
      <c r="L446" s="102"/>
      <c r="M446" s="33"/>
      <c r="N446" s="33"/>
      <c r="O446" s="77"/>
      <c r="P446" s="77"/>
      <c r="Q446" s="78"/>
      <c r="Z446" s="79"/>
      <c r="AA446" s="80"/>
      <c r="AB446" s="34"/>
      <c r="AC446" s="34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</row>
    <row r="447" spans="1:41" ht="24" thickTop="1">
      <c r="A447" s="34"/>
      <c r="B447" s="34"/>
      <c r="C447" s="33"/>
      <c r="D447" s="33"/>
      <c r="E447" s="33"/>
      <c r="F447" s="33"/>
      <c r="G447" s="33"/>
      <c r="H447" s="103" t="s">
        <v>406</v>
      </c>
      <c r="I447" s="33"/>
      <c r="J447" s="34"/>
      <c r="K447" s="34"/>
      <c r="L447" s="33"/>
      <c r="M447" s="33"/>
      <c r="N447" s="104"/>
      <c r="O447" s="77"/>
      <c r="P447" s="77"/>
      <c r="Q447" s="78"/>
      <c r="Z447" s="79"/>
      <c r="AA447" s="80"/>
      <c r="AB447" s="34"/>
      <c r="AC447" s="34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</row>
    <row r="448" spans="1:41" ht="18">
      <c r="A448" s="1295" t="s">
        <v>78</v>
      </c>
      <c r="B448" s="1295"/>
      <c r="C448" s="1295"/>
      <c r="D448" s="1295"/>
      <c r="E448" s="1295"/>
      <c r="F448" s="1295"/>
      <c r="G448" s="1295"/>
      <c r="H448" s="1295"/>
      <c r="I448" s="1295"/>
      <c r="J448" s="1295"/>
      <c r="K448" s="1295"/>
      <c r="L448" s="1295"/>
      <c r="M448" s="1295"/>
      <c r="N448" s="1295"/>
      <c r="O448" s="77"/>
      <c r="P448" s="77"/>
      <c r="Q448" s="78"/>
      <c r="Z448" s="79"/>
      <c r="AA448" s="80"/>
      <c r="AB448" s="34"/>
      <c r="AC448" s="34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</row>
    <row r="449" spans="1:41" ht="18">
      <c r="A449" s="1295" t="s">
        <v>79</v>
      </c>
      <c r="B449" s="1295"/>
      <c r="C449" s="1295"/>
      <c r="D449" s="1295"/>
      <c r="E449" s="1295"/>
      <c r="F449" s="1295"/>
      <c r="G449" s="1295"/>
      <c r="H449" s="1295"/>
      <c r="I449" s="1295"/>
      <c r="J449" s="1295"/>
      <c r="K449" s="1295"/>
      <c r="L449" s="1295"/>
      <c r="M449" s="1295"/>
      <c r="N449" s="1295"/>
      <c r="O449" s="77"/>
      <c r="P449" s="77"/>
      <c r="Q449" s="78"/>
      <c r="Z449" s="79"/>
      <c r="AA449" s="80"/>
      <c r="AB449" s="34"/>
      <c r="AC449" s="34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</row>
    <row r="450" spans="1:41" ht="18">
      <c r="A450" s="168" t="s">
        <v>220</v>
      </c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33"/>
      <c r="N450" s="33"/>
      <c r="O450" s="77"/>
      <c r="P450" s="77"/>
      <c r="Q450" s="78"/>
      <c r="Z450" s="79"/>
      <c r="AA450" s="80"/>
      <c r="AB450" s="34"/>
      <c r="AC450" s="34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</row>
    <row r="451" spans="1:41" ht="18">
      <c r="A451" s="168" t="s">
        <v>444</v>
      </c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33"/>
      <c r="N451" s="33"/>
      <c r="O451" s="77"/>
      <c r="P451" s="77"/>
      <c r="Q451" s="78"/>
      <c r="Z451" s="79"/>
      <c r="AA451" s="80"/>
      <c r="AB451" s="34"/>
      <c r="AC451" s="34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</row>
    <row r="452" spans="1:41" ht="18.75" thickBot="1">
      <c r="A452" s="250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33"/>
      <c r="N452" s="33"/>
      <c r="O452" s="77"/>
      <c r="P452" s="77"/>
      <c r="Q452" s="78"/>
      <c r="Z452" s="79"/>
      <c r="AA452" s="80"/>
      <c r="AB452" s="34"/>
      <c r="AC452" s="34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</row>
    <row r="453" spans="1:41" ht="24" thickBot="1">
      <c r="A453" s="250"/>
      <c r="B453" s="250"/>
      <c r="C453" s="1333" t="s">
        <v>446</v>
      </c>
      <c r="D453" s="1334"/>
      <c r="E453" s="1334"/>
      <c r="F453" s="1334"/>
      <c r="G453" s="1334"/>
      <c r="H453" s="1334"/>
      <c r="I453" s="1334"/>
      <c r="J453" s="1334"/>
      <c r="K453" s="1334"/>
      <c r="L453" s="1335"/>
      <c r="M453" s="33"/>
      <c r="N453" s="33"/>
      <c r="O453" s="77"/>
      <c r="P453" s="77"/>
      <c r="Q453" s="78"/>
      <c r="Z453" s="79"/>
      <c r="AA453" s="80"/>
      <c r="AB453" s="34"/>
      <c r="AC453" s="34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</row>
    <row r="454" spans="1:41" ht="23.25">
      <c r="A454" s="250"/>
      <c r="B454" s="250"/>
      <c r="C454" s="249"/>
      <c r="D454" s="249"/>
      <c r="E454" s="249"/>
      <c r="F454" s="249"/>
      <c r="G454" s="249"/>
      <c r="H454" s="249"/>
      <c r="I454" s="249"/>
      <c r="J454" s="249"/>
      <c r="K454" s="249"/>
      <c r="L454" s="249"/>
      <c r="M454" s="33"/>
      <c r="N454" s="33"/>
      <c r="O454" s="77"/>
      <c r="P454" s="77"/>
      <c r="Q454" s="78"/>
      <c r="Z454" s="79"/>
      <c r="AA454" s="80"/>
      <c r="AB454" s="34"/>
      <c r="AC454" s="34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</row>
    <row r="455" spans="1:41" ht="23.25">
      <c r="A455" s="1295" t="s">
        <v>448</v>
      </c>
      <c r="B455" s="1295"/>
      <c r="C455" s="1295"/>
      <c r="D455" s="1294" t="s">
        <v>283</v>
      </c>
      <c r="E455" s="1294"/>
      <c r="F455" s="1294"/>
      <c r="G455" s="1294"/>
      <c r="H455" s="1294"/>
      <c r="I455" s="249"/>
      <c r="J455" s="249"/>
      <c r="K455" s="249" t="s">
        <v>449</v>
      </c>
      <c r="L455" s="249"/>
      <c r="M455" s="1295" t="s">
        <v>383</v>
      </c>
      <c r="N455" s="1295"/>
      <c r="O455" s="1292" t="str">
        <f>D455</f>
        <v>رماصي محمد</v>
      </c>
      <c r="P455" s="1292"/>
      <c r="Q455" s="78">
        <v>15</v>
      </c>
      <c r="Z455" s="79"/>
      <c r="AA455" s="80"/>
      <c r="AB455" s="34"/>
      <c r="AC455" s="34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</row>
    <row r="456" spans="1:41" ht="24" thickBot="1">
      <c r="A456" s="1340" t="s">
        <v>450</v>
      </c>
      <c r="B456" s="1340"/>
      <c r="C456" s="1340"/>
      <c r="D456" s="1340"/>
      <c r="E456" s="1340"/>
      <c r="F456" s="1340"/>
      <c r="G456" s="1340"/>
      <c r="H456" s="87"/>
      <c r="I456" s="1340" t="s">
        <v>452</v>
      </c>
      <c r="J456" s="1340"/>
      <c r="K456" s="1340"/>
      <c r="L456" s="1341" t="s">
        <v>380</v>
      </c>
      <c r="M456" s="1341"/>
      <c r="N456" s="1341"/>
      <c r="O456" s="77"/>
      <c r="P456" s="77"/>
      <c r="Q456" s="78"/>
      <c r="Z456" s="79"/>
      <c r="AA456" s="80"/>
      <c r="AB456" s="34"/>
      <c r="AC456" s="34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</row>
    <row r="457" spans="1:41" ht="17.25" thickTop="1" thickBot="1">
      <c r="A457" s="1318" t="s">
        <v>453</v>
      </c>
      <c r="B457" s="1319"/>
      <c r="C457" s="88" t="s">
        <v>500</v>
      </c>
      <c r="D457" s="89" t="s">
        <v>0</v>
      </c>
      <c r="E457" s="89" t="s">
        <v>1</v>
      </c>
      <c r="F457" s="89" t="s">
        <v>19</v>
      </c>
      <c r="G457" s="89" t="s">
        <v>22</v>
      </c>
      <c r="H457" s="89" t="s">
        <v>268</v>
      </c>
      <c r="I457" s="89" t="s">
        <v>8</v>
      </c>
      <c r="J457" s="89" t="s">
        <v>35</v>
      </c>
      <c r="K457" s="89"/>
      <c r="L457" s="89"/>
      <c r="M457" s="89"/>
      <c r="N457" s="89"/>
      <c r="Z457" s="79"/>
      <c r="AA457" s="80"/>
      <c r="AB457" s="34"/>
      <c r="AC457" s="34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</row>
    <row r="458" spans="1:41" ht="24" thickBot="1">
      <c r="A458" s="1329" t="s">
        <v>454</v>
      </c>
      <c r="B458" s="1330"/>
      <c r="C458" s="91">
        <v>2</v>
      </c>
      <c r="D458" s="210">
        <v>2</v>
      </c>
      <c r="E458" s="210">
        <v>2</v>
      </c>
      <c r="F458" s="210">
        <v>2</v>
      </c>
      <c r="G458" s="210">
        <v>2</v>
      </c>
      <c r="H458" s="210">
        <v>2</v>
      </c>
      <c r="I458" s="210">
        <v>1</v>
      </c>
      <c r="J458" s="210">
        <v>2</v>
      </c>
      <c r="K458" s="210"/>
      <c r="L458" s="210"/>
      <c r="M458" s="210" t="s">
        <v>380</v>
      </c>
      <c r="N458" s="92" t="s">
        <v>380</v>
      </c>
      <c r="O458" s="152"/>
      <c r="Z458" s="79"/>
      <c r="AA458" s="80"/>
      <c r="AB458" s="34"/>
      <c r="AC458" s="34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</row>
    <row r="459" spans="1:41" ht="24" thickBot="1">
      <c r="A459" s="1329" t="s">
        <v>455</v>
      </c>
      <c r="B459" s="1330"/>
      <c r="C459" s="91"/>
      <c r="D459" s="210"/>
      <c r="E459" s="210"/>
      <c r="F459" s="210"/>
      <c r="G459" s="210"/>
      <c r="H459" s="210"/>
      <c r="I459" s="210"/>
      <c r="J459" s="210"/>
      <c r="K459" s="210"/>
      <c r="L459" s="210"/>
      <c r="M459" s="210" t="s">
        <v>380</v>
      </c>
      <c r="N459" s="92" t="s">
        <v>380</v>
      </c>
      <c r="O459" s="152"/>
      <c r="Z459" s="79"/>
      <c r="AA459" s="80"/>
      <c r="AB459" s="34"/>
      <c r="AC459" s="34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</row>
    <row r="460" spans="1:41" ht="24" thickBot="1">
      <c r="A460" s="1327" t="s">
        <v>456</v>
      </c>
      <c r="B460" s="1328"/>
      <c r="C460" s="93"/>
      <c r="D460" s="94"/>
      <c r="E460" s="94"/>
      <c r="F460" s="94"/>
      <c r="G460" s="94"/>
      <c r="H460" s="94"/>
      <c r="I460" s="94"/>
      <c r="J460" s="94"/>
      <c r="K460" s="94"/>
      <c r="L460" s="94"/>
      <c r="M460" s="94" t="s">
        <v>380</v>
      </c>
      <c r="N460" s="95" t="s">
        <v>380</v>
      </c>
      <c r="O460" s="152"/>
      <c r="Z460" s="79"/>
      <c r="AA460" s="80"/>
      <c r="AB460" s="34"/>
      <c r="AC460" s="34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</row>
    <row r="461" spans="1:41" ht="21" thickTop="1">
      <c r="A461" s="96"/>
      <c r="B461" s="96"/>
      <c r="C461" s="96"/>
      <c r="D461" s="96"/>
      <c r="E461" s="1326" t="s">
        <v>457</v>
      </c>
      <c r="F461" s="1310"/>
      <c r="G461" s="97">
        <v>18</v>
      </c>
      <c r="H461" s="1310" t="s">
        <v>458</v>
      </c>
      <c r="I461" s="1311"/>
      <c r="J461" s="1310" t="s">
        <v>459</v>
      </c>
      <c r="K461" s="1311"/>
      <c r="L461" s="96"/>
      <c r="M461" s="96"/>
      <c r="N461" s="96"/>
      <c r="O461" s="77"/>
      <c r="P461" s="77"/>
      <c r="Q461" s="78"/>
      <c r="Z461" s="79"/>
      <c r="AA461" s="80"/>
      <c r="AB461" s="34"/>
      <c r="AC461" s="34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</row>
    <row r="462" spans="1:41" ht="23.25">
      <c r="A462" s="96"/>
      <c r="B462" s="96"/>
      <c r="C462" s="96"/>
      <c r="D462" s="96"/>
      <c r="E462" s="1307" t="s">
        <v>460</v>
      </c>
      <c r="F462" s="1308"/>
      <c r="G462" s="98">
        <v>16</v>
      </c>
      <c r="H462" s="1312">
        <v>0</v>
      </c>
      <c r="I462" s="1312"/>
      <c r="J462" s="1312">
        <v>0</v>
      </c>
      <c r="K462" s="1313"/>
      <c r="L462" s="96"/>
      <c r="M462" s="96"/>
      <c r="N462" s="96"/>
      <c r="O462" s="77"/>
      <c r="P462" s="77"/>
      <c r="Q462" s="78">
        <f>G462+H462+H464+J462</f>
        <v>16</v>
      </c>
      <c r="Z462" s="79"/>
      <c r="AA462" s="80"/>
      <c r="AB462" s="34"/>
      <c r="AC462" s="34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</row>
    <row r="463" spans="1:41" ht="20.25">
      <c r="A463" s="96"/>
      <c r="B463" s="96"/>
      <c r="C463" s="96"/>
      <c r="D463" s="96"/>
      <c r="E463" s="1307" t="s">
        <v>461</v>
      </c>
      <c r="F463" s="1308"/>
      <c r="G463" s="99"/>
      <c r="H463" s="1308" t="s">
        <v>462</v>
      </c>
      <c r="I463" s="1308"/>
      <c r="J463" s="1308" t="s">
        <v>463</v>
      </c>
      <c r="K463" s="1309"/>
      <c r="L463" s="96"/>
      <c r="M463" s="96"/>
      <c r="N463" s="96"/>
      <c r="O463" s="77"/>
      <c r="P463" s="77"/>
      <c r="Q463" s="78"/>
      <c r="Z463" s="79"/>
      <c r="AA463" s="80"/>
      <c r="AB463" s="34"/>
      <c r="AC463" s="34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</row>
    <row r="464" spans="1:41" ht="24" thickBot="1">
      <c r="A464" s="96"/>
      <c r="B464" s="96"/>
      <c r="C464" s="96"/>
      <c r="D464" s="96"/>
      <c r="E464" s="1303" t="s">
        <v>464</v>
      </c>
      <c r="F464" s="1304"/>
      <c r="G464" s="99">
        <v>0</v>
      </c>
      <c r="H464" s="1305">
        <v>0</v>
      </c>
      <c r="I464" s="1305"/>
      <c r="J464" s="1305">
        <v>0</v>
      </c>
      <c r="K464" s="1306"/>
      <c r="L464" s="96"/>
      <c r="M464" s="96"/>
      <c r="N464" s="96"/>
      <c r="O464" s="77"/>
      <c r="P464" s="77"/>
      <c r="Q464" s="78"/>
      <c r="Z464" s="79"/>
      <c r="AA464" s="80"/>
      <c r="AB464" s="34"/>
      <c r="AC464" s="34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</row>
    <row r="465" spans="1:41" ht="17.25" thickTop="1" thickBot="1">
      <c r="A465" s="34"/>
      <c r="B465" s="34"/>
      <c r="C465" s="1299" t="s">
        <v>465</v>
      </c>
      <c r="D465" s="1299"/>
      <c r="E465" s="1299" t="s">
        <v>360</v>
      </c>
      <c r="F465" s="1299"/>
      <c r="G465" s="1302" t="s">
        <v>368</v>
      </c>
      <c r="H465" s="1302"/>
      <c r="I465" s="1302" t="s">
        <v>369</v>
      </c>
      <c r="J465" s="1302"/>
      <c r="K465" s="1302" t="s">
        <v>370</v>
      </c>
      <c r="L465" s="1299"/>
      <c r="M465" s="1299" t="s">
        <v>371</v>
      </c>
      <c r="N465" s="1299"/>
      <c r="O465" s="77"/>
      <c r="P465" s="77"/>
      <c r="Q465" s="78"/>
      <c r="Z465" s="79"/>
      <c r="AA465" s="80"/>
      <c r="AB465" s="34"/>
      <c r="AC465" s="34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</row>
    <row r="466" spans="1:41" ht="17.25" thickTop="1" thickBot="1">
      <c r="A466" s="34"/>
      <c r="B466" s="34"/>
      <c r="C466" s="1299" t="s">
        <v>372</v>
      </c>
      <c r="D466" s="1299"/>
      <c r="E466" s="1297"/>
      <c r="F466" s="1297"/>
      <c r="G466" s="1297"/>
      <c r="H466" s="1297"/>
      <c r="I466" s="1297" t="s">
        <v>22</v>
      </c>
      <c r="J466" s="1297"/>
      <c r="K466" s="1297"/>
      <c r="L466" s="1297"/>
      <c r="M466" s="1297" t="s">
        <v>0</v>
      </c>
      <c r="N466" s="1297"/>
      <c r="O466" s="77"/>
      <c r="P466" s="77"/>
      <c r="Q466" s="78"/>
      <c r="Z466" s="79"/>
      <c r="AA466" s="80"/>
      <c r="AB466" s="34"/>
      <c r="AC466" s="34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</row>
    <row r="467" spans="1:41" ht="17.25" thickTop="1" thickBot="1">
      <c r="A467" s="34"/>
      <c r="B467" s="34"/>
      <c r="C467" s="1299" t="s">
        <v>373</v>
      </c>
      <c r="D467" s="1299"/>
      <c r="E467" s="1297"/>
      <c r="F467" s="1297"/>
      <c r="G467" s="1297"/>
      <c r="H467" s="1297"/>
      <c r="I467" s="1297" t="s">
        <v>35</v>
      </c>
      <c r="J467" s="1297"/>
      <c r="K467" s="1297"/>
      <c r="L467" s="1297"/>
      <c r="M467" s="1297"/>
      <c r="N467" s="1297"/>
      <c r="O467" s="77"/>
      <c r="P467" s="77"/>
      <c r="Q467" s="78"/>
      <c r="Z467" s="79"/>
      <c r="AA467" s="80"/>
      <c r="AB467" s="34"/>
      <c r="AC467" s="34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</row>
    <row r="468" spans="1:41" ht="17.25" thickTop="1" thickBot="1">
      <c r="A468" s="34"/>
      <c r="B468" s="34"/>
      <c r="C468" s="1299" t="s">
        <v>374</v>
      </c>
      <c r="D468" s="1299"/>
      <c r="E468" s="1297"/>
      <c r="F468" s="1297"/>
      <c r="G468" s="1297"/>
      <c r="H468" s="1297"/>
      <c r="I468" s="1297" t="s">
        <v>268</v>
      </c>
      <c r="J468" s="1297"/>
      <c r="K468" s="1297" t="s">
        <v>8</v>
      </c>
      <c r="L468" s="1297"/>
      <c r="M468" s="1297" t="s">
        <v>1</v>
      </c>
      <c r="N468" s="1297"/>
      <c r="O468" s="77"/>
      <c r="P468" s="77"/>
      <c r="Q468" s="78"/>
      <c r="Z468" s="79"/>
      <c r="AA468" s="80"/>
      <c r="AB468" s="34"/>
      <c r="AC468" s="34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</row>
    <row r="469" spans="1:41" ht="17.25" thickTop="1" thickBot="1">
      <c r="A469" s="34"/>
      <c r="B469" s="34"/>
      <c r="C469" s="1299" t="s">
        <v>375</v>
      </c>
      <c r="D469" s="1299"/>
      <c r="E469" s="1297"/>
      <c r="F469" s="1297"/>
      <c r="G469" s="1297"/>
      <c r="H469" s="1297"/>
      <c r="I469" s="1297" t="s">
        <v>0</v>
      </c>
      <c r="J469" s="1297"/>
      <c r="K469" s="1297" t="s">
        <v>1</v>
      </c>
      <c r="L469" s="1297"/>
      <c r="M469" s="1297" t="s">
        <v>19</v>
      </c>
      <c r="N469" s="1297"/>
      <c r="O469" s="77"/>
      <c r="P469" s="77"/>
      <c r="Q469" s="78"/>
      <c r="Z469" s="79"/>
      <c r="AA469" s="80"/>
      <c r="AB469" s="34"/>
      <c r="AC469" s="34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</row>
    <row r="470" spans="1:41" ht="17.25" thickTop="1" thickBot="1">
      <c r="A470" s="34"/>
      <c r="B470" s="34"/>
      <c r="C470" s="101"/>
      <c r="D470" s="101"/>
      <c r="E470" s="33"/>
      <c r="F470" s="33"/>
      <c r="G470" s="33"/>
      <c r="H470" s="33"/>
      <c r="I470" s="33"/>
      <c r="J470" s="33"/>
      <c r="K470" s="34"/>
      <c r="L470" s="34"/>
      <c r="M470" s="33"/>
      <c r="N470" s="33"/>
      <c r="O470" s="77"/>
      <c r="P470" s="77"/>
      <c r="Q470" s="78"/>
      <c r="Z470" s="79"/>
      <c r="AA470" s="80"/>
      <c r="AB470" s="34"/>
      <c r="AC470" s="34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</row>
    <row r="471" spans="1:41" ht="17.25" thickTop="1" thickBot="1">
      <c r="A471" s="34"/>
      <c r="B471" s="34"/>
      <c r="C471" s="1299" t="s">
        <v>921</v>
      </c>
      <c r="D471" s="1299"/>
      <c r="E471" s="1297" t="s">
        <v>22</v>
      </c>
      <c r="F471" s="1297"/>
      <c r="G471" s="1297"/>
      <c r="H471" s="1297"/>
      <c r="I471" s="1297"/>
      <c r="J471" s="1297"/>
      <c r="K471" s="1297"/>
      <c r="L471" s="1297"/>
      <c r="M471" s="1297" t="s">
        <v>268</v>
      </c>
      <c r="N471" s="1297"/>
      <c r="O471" s="77"/>
      <c r="P471" s="77"/>
      <c r="Q471" s="78"/>
      <c r="Z471" s="79"/>
      <c r="AA471" s="80"/>
      <c r="AB471" s="34"/>
      <c r="AC471" s="34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</row>
    <row r="472" spans="1:41" ht="17.25" thickTop="1" thickBot="1">
      <c r="A472" s="34"/>
      <c r="B472" s="34"/>
      <c r="C472" s="1299" t="s">
        <v>922</v>
      </c>
      <c r="D472" s="1299"/>
      <c r="E472" s="1297" t="s">
        <v>19</v>
      </c>
      <c r="F472" s="1297"/>
      <c r="G472" s="1297"/>
      <c r="H472" s="1297"/>
      <c r="I472" s="1297"/>
      <c r="J472" s="1297"/>
      <c r="K472" s="1297"/>
      <c r="L472" s="1297"/>
      <c r="M472" s="1297" t="s">
        <v>500</v>
      </c>
      <c r="N472" s="1297"/>
      <c r="O472" s="77"/>
      <c r="P472" s="77"/>
      <c r="Q472" s="78"/>
      <c r="Z472" s="79"/>
      <c r="AA472" s="80"/>
      <c r="AB472" s="34"/>
      <c r="AC472" s="34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</row>
    <row r="473" spans="1:41" ht="17.25" thickTop="1" thickBot="1">
      <c r="A473" s="34"/>
      <c r="B473" s="34"/>
      <c r="C473" s="1299" t="s">
        <v>923</v>
      </c>
      <c r="D473" s="1299"/>
      <c r="E473" s="1297" t="s">
        <v>500</v>
      </c>
      <c r="F473" s="1297"/>
      <c r="G473" s="1297"/>
      <c r="H473" s="1297"/>
      <c r="I473" s="1297"/>
      <c r="J473" s="1297"/>
      <c r="K473" s="1297"/>
      <c r="L473" s="1297"/>
      <c r="M473" s="1297" t="s">
        <v>35</v>
      </c>
      <c r="N473" s="1297"/>
      <c r="O473" s="77"/>
      <c r="P473" s="77"/>
      <c r="Q473" s="78"/>
      <c r="Z473" s="79"/>
      <c r="AA473" s="80"/>
      <c r="AB473" s="34"/>
      <c r="AC473" s="34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</row>
    <row r="474" spans="1:41" ht="17.25" thickTop="1" thickBot="1">
      <c r="A474" s="34"/>
      <c r="B474" s="34"/>
      <c r="C474" s="1299" t="s">
        <v>924</v>
      </c>
      <c r="D474" s="1299"/>
      <c r="E474" s="1297"/>
      <c r="F474" s="1297"/>
      <c r="G474" s="1297"/>
      <c r="H474" s="1297"/>
      <c r="I474" s="1297"/>
      <c r="J474" s="1297"/>
      <c r="K474" s="1297"/>
      <c r="L474" s="1297"/>
      <c r="M474" s="1297"/>
      <c r="N474" s="1297"/>
      <c r="O474" s="77"/>
      <c r="P474" s="77"/>
      <c r="Q474" s="78"/>
      <c r="Z474" s="79"/>
      <c r="AA474" s="80"/>
      <c r="AB474" s="34"/>
      <c r="AC474" s="34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</row>
    <row r="475" spans="1:41" ht="17.25" thickTop="1" thickBot="1">
      <c r="A475" s="34"/>
      <c r="B475" s="34"/>
      <c r="C475" s="33"/>
      <c r="D475" s="33"/>
      <c r="E475" s="33"/>
      <c r="F475" s="33"/>
      <c r="G475" s="33"/>
      <c r="H475" s="33"/>
      <c r="I475" s="33"/>
      <c r="J475" s="33"/>
      <c r="K475" s="34"/>
      <c r="L475" s="34"/>
      <c r="M475" s="33"/>
      <c r="N475" s="33"/>
      <c r="O475" s="77"/>
      <c r="P475" s="77"/>
      <c r="Q475" s="78"/>
      <c r="Z475" s="79"/>
      <c r="AA475" s="80"/>
      <c r="AB475" s="34"/>
      <c r="AC475" s="34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</row>
    <row r="476" spans="1:41" ht="19.5" thickTop="1" thickBot="1">
      <c r="A476" s="1321" t="s">
        <v>467</v>
      </c>
      <c r="B476" s="1322"/>
      <c r="C476" s="1323" t="s">
        <v>380</v>
      </c>
      <c r="D476" s="1323"/>
      <c r="E476" s="1323" t="s">
        <v>380</v>
      </c>
      <c r="F476" s="1323"/>
      <c r="G476" s="250"/>
      <c r="H476" s="250" t="s">
        <v>468</v>
      </c>
      <c r="I476" s="1295" t="s">
        <v>402</v>
      </c>
      <c r="J476" s="1295"/>
      <c r="K476" s="1295"/>
      <c r="L476" s="102" t="s">
        <v>403</v>
      </c>
      <c r="M476" s="1331">
        <f ca="1">TODAY()</f>
        <v>45944</v>
      </c>
      <c r="N476" s="1331"/>
      <c r="O476" s="77"/>
      <c r="P476" s="77"/>
      <c r="Q476" s="78"/>
      <c r="Z476" s="79"/>
      <c r="AA476" s="80"/>
      <c r="AB476" s="34"/>
      <c r="AC476" s="34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</row>
    <row r="477" spans="1:41" ht="19.5" thickTop="1" thickBot="1">
      <c r="A477" s="1321" t="s">
        <v>469</v>
      </c>
      <c r="B477" s="1322"/>
      <c r="C477" s="1323" t="s">
        <v>380</v>
      </c>
      <c r="D477" s="1323"/>
      <c r="E477" s="1323" t="s">
        <v>380</v>
      </c>
      <c r="F477" s="1323"/>
      <c r="G477" s="250"/>
      <c r="H477" s="250"/>
      <c r="I477" s="250"/>
      <c r="J477" s="250"/>
      <c r="K477" s="102"/>
      <c r="L477" s="102"/>
      <c r="M477" s="33"/>
      <c r="N477" s="33"/>
      <c r="O477" s="77"/>
      <c r="P477" s="77"/>
      <c r="Q477" s="78"/>
      <c r="Z477" s="79"/>
      <c r="AA477" s="80"/>
      <c r="AB477" s="34"/>
      <c r="AC477" s="34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</row>
    <row r="478" spans="1:41" ht="19.5" thickTop="1" thickBot="1">
      <c r="A478" s="1321" t="s">
        <v>470</v>
      </c>
      <c r="B478" s="1322"/>
      <c r="C478" s="1323" t="s">
        <v>380</v>
      </c>
      <c r="D478" s="1323"/>
      <c r="E478" s="1323" t="s">
        <v>380</v>
      </c>
      <c r="F478" s="1323"/>
      <c r="G478" s="250"/>
      <c r="H478" s="250"/>
      <c r="I478" s="250"/>
      <c r="J478" s="250" t="s">
        <v>471</v>
      </c>
      <c r="K478" s="102"/>
      <c r="L478" s="102"/>
      <c r="M478" s="33"/>
      <c r="N478" s="33"/>
      <c r="O478" s="77"/>
      <c r="P478" s="77"/>
      <c r="Q478" s="78"/>
      <c r="Z478" s="79"/>
      <c r="AA478" s="80"/>
      <c r="AB478" s="34"/>
      <c r="AC478" s="34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</row>
    <row r="479" spans="1:41" ht="24" thickTop="1">
      <c r="A479" s="34"/>
      <c r="B479" s="34"/>
      <c r="C479" s="33"/>
      <c r="D479" s="33"/>
      <c r="E479" s="33"/>
      <c r="F479" s="33"/>
      <c r="G479" s="33"/>
      <c r="H479" s="103" t="s">
        <v>406</v>
      </c>
      <c r="I479" s="33"/>
      <c r="J479" s="34"/>
      <c r="K479" s="34"/>
      <c r="L479" s="33"/>
      <c r="M479" s="33"/>
      <c r="N479" s="104"/>
      <c r="O479" s="77"/>
      <c r="P479" s="77"/>
      <c r="Q479" s="78"/>
      <c r="Z479" s="79"/>
      <c r="AA479" s="80"/>
      <c r="AB479" s="34"/>
      <c r="AC479" s="34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</row>
    <row r="480" spans="1:41" ht="18">
      <c r="A480" s="1295" t="s">
        <v>78</v>
      </c>
      <c r="B480" s="1295"/>
      <c r="C480" s="1295"/>
      <c r="D480" s="1295"/>
      <c r="E480" s="1295"/>
      <c r="F480" s="1295"/>
      <c r="G480" s="1295"/>
      <c r="H480" s="1295"/>
      <c r="I480" s="1295"/>
      <c r="J480" s="1295"/>
      <c r="K480" s="1295"/>
      <c r="L480" s="1295"/>
      <c r="M480" s="1295"/>
      <c r="N480" s="1295"/>
      <c r="O480" s="77"/>
      <c r="P480" s="77"/>
      <c r="Q480" s="78"/>
      <c r="Z480" s="79"/>
      <c r="AA480" s="80"/>
      <c r="AB480" s="34"/>
      <c r="AC480" s="34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</row>
    <row r="481" spans="1:41" ht="18">
      <c r="A481" s="1295" t="s">
        <v>79</v>
      </c>
      <c r="B481" s="1295"/>
      <c r="C481" s="1295"/>
      <c r="D481" s="1295"/>
      <c r="E481" s="1295"/>
      <c r="F481" s="1295"/>
      <c r="G481" s="1295"/>
      <c r="H481" s="1295"/>
      <c r="I481" s="1295"/>
      <c r="J481" s="1295"/>
      <c r="K481" s="1295"/>
      <c r="L481" s="1295"/>
      <c r="M481" s="1295"/>
      <c r="N481" s="1295"/>
      <c r="O481" s="77"/>
      <c r="P481" s="77"/>
      <c r="Q481" s="78"/>
      <c r="Z481" s="79"/>
      <c r="AA481" s="80"/>
      <c r="AB481" s="34"/>
      <c r="AC481" s="34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</row>
    <row r="482" spans="1:41" ht="18">
      <c r="A482" s="168" t="s">
        <v>220</v>
      </c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33"/>
      <c r="N482" s="33"/>
      <c r="O482" s="77"/>
      <c r="P482" s="77"/>
      <c r="Q482" s="78"/>
      <c r="Z482" s="79"/>
      <c r="AA482" s="80"/>
      <c r="AB482" s="34"/>
      <c r="AC482" s="34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</row>
    <row r="483" spans="1:41" ht="18">
      <c r="A483" s="168" t="s">
        <v>444</v>
      </c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33"/>
      <c r="N483" s="33"/>
      <c r="O483" s="77"/>
      <c r="P483" s="77"/>
      <c r="Q483" s="78"/>
      <c r="Z483" s="79"/>
      <c r="AA483" s="80"/>
      <c r="AB483" s="34"/>
      <c r="AC483" s="34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</row>
    <row r="484" spans="1:41" ht="18.75" thickBot="1">
      <c r="A484" s="250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33"/>
      <c r="N484" s="33"/>
      <c r="O484" s="77"/>
      <c r="P484" s="77"/>
      <c r="Q484" s="78"/>
      <c r="Z484" s="79"/>
      <c r="AA484" s="80"/>
      <c r="AB484" s="34"/>
      <c r="AC484" s="34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</row>
    <row r="485" spans="1:41" ht="24" thickBot="1">
      <c r="A485" s="250"/>
      <c r="B485" s="250"/>
      <c r="C485" s="1333" t="s">
        <v>446</v>
      </c>
      <c r="D485" s="1334"/>
      <c r="E485" s="1334"/>
      <c r="F485" s="1334"/>
      <c r="G485" s="1334"/>
      <c r="H485" s="1334"/>
      <c r="I485" s="1334"/>
      <c r="J485" s="1334"/>
      <c r="K485" s="1334"/>
      <c r="L485" s="1335"/>
      <c r="M485" s="33"/>
      <c r="N485" s="33"/>
      <c r="O485" s="77"/>
      <c r="P485" s="77"/>
      <c r="Q485" s="78"/>
      <c r="Z485" s="79"/>
      <c r="AA485" s="80"/>
      <c r="AB485" s="34"/>
      <c r="AC485" s="34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</row>
    <row r="486" spans="1:41" ht="23.25">
      <c r="A486" s="250"/>
      <c r="B486" s="250"/>
      <c r="C486" s="249"/>
      <c r="D486" s="249"/>
      <c r="E486" s="249"/>
      <c r="F486" s="249"/>
      <c r="G486" s="249"/>
      <c r="H486" s="249"/>
      <c r="I486" s="249"/>
      <c r="J486" s="249"/>
      <c r="K486" s="249"/>
      <c r="L486" s="249"/>
      <c r="M486" s="33"/>
      <c r="N486" s="33"/>
      <c r="O486" s="77"/>
      <c r="P486" s="77"/>
      <c r="Q486" s="78"/>
      <c r="Z486" s="79"/>
      <c r="AA486" s="80"/>
      <c r="AB486" s="34"/>
      <c r="AC486" s="34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</row>
    <row r="487" spans="1:41" ht="23.25">
      <c r="A487" s="1295" t="s">
        <v>448</v>
      </c>
      <c r="B487" s="1295"/>
      <c r="C487" s="1295"/>
      <c r="D487" s="1294" t="s">
        <v>281</v>
      </c>
      <c r="E487" s="1294"/>
      <c r="F487" s="1294"/>
      <c r="G487" s="1294"/>
      <c r="H487" s="1294"/>
      <c r="I487" s="249"/>
      <c r="J487" s="249"/>
      <c r="K487" s="249" t="s">
        <v>449</v>
      </c>
      <c r="L487" s="249"/>
      <c r="M487" s="1295" t="s">
        <v>383</v>
      </c>
      <c r="N487" s="1295"/>
      <c r="O487" s="1292" t="str">
        <f>D487</f>
        <v>بوراس نعيمة</v>
      </c>
      <c r="P487" s="1292"/>
      <c r="Q487" s="78">
        <v>16</v>
      </c>
      <c r="Z487" s="79"/>
      <c r="AA487" s="80"/>
      <c r="AB487" s="34"/>
      <c r="AC487" s="34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</row>
    <row r="488" spans="1:41" ht="24" thickBot="1">
      <c r="A488" s="1340" t="s">
        <v>450</v>
      </c>
      <c r="B488" s="1340"/>
      <c r="C488" s="1340"/>
      <c r="D488" s="1340" t="s">
        <v>451</v>
      </c>
      <c r="E488" s="1340"/>
      <c r="F488" s="1340"/>
      <c r="G488" s="1340"/>
      <c r="H488" s="87"/>
      <c r="I488" s="1340" t="s">
        <v>452</v>
      </c>
      <c r="J488" s="1340"/>
      <c r="K488" s="1340"/>
      <c r="L488" s="1341" t="s">
        <v>380</v>
      </c>
      <c r="M488" s="1341"/>
      <c r="N488" s="1341"/>
      <c r="O488" s="77"/>
      <c r="P488" s="77"/>
      <c r="Q488" s="78"/>
      <c r="Z488" s="79"/>
      <c r="AA488" s="80"/>
      <c r="AB488" s="34"/>
      <c r="AC488" s="34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</row>
    <row r="489" spans="1:41" ht="17.25" thickTop="1" thickBot="1">
      <c r="A489" s="1318" t="s">
        <v>453</v>
      </c>
      <c r="B489" s="1319"/>
      <c r="C489" s="88" t="s">
        <v>500</v>
      </c>
      <c r="D489" s="89" t="s">
        <v>1</v>
      </c>
      <c r="E489" s="89" t="s">
        <v>22</v>
      </c>
      <c r="F489" s="89" t="s">
        <v>380</v>
      </c>
      <c r="G489" s="89" t="s">
        <v>380</v>
      </c>
      <c r="H489" s="89" t="s">
        <v>380</v>
      </c>
      <c r="I489" s="89" t="s">
        <v>380</v>
      </c>
      <c r="J489" s="89" t="s">
        <v>380</v>
      </c>
      <c r="K489" s="89" t="s">
        <v>380</v>
      </c>
      <c r="L489" s="89" t="s">
        <v>380</v>
      </c>
      <c r="M489" s="89" t="s">
        <v>380</v>
      </c>
      <c r="N489" s="90" t="s">
        <v>380</v>
      </c>
      <c r="Z489" s="79"/>
      <c r="AA489" s="80"/>
      <c r="AB489" s="34"/>
      <c r="AC489" s="34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</row>
    <row r="490" spans="1:41" ht="24" thickBot="1">
      <c r="A490" s="1329" t="s">
        <v>454</v>
      </c>
      <c r="B490" s="1330"/>
      <c r="C490" s="91">
        <v>2</v>
      </c>
      <c r="D490" s="210">
        <v>3</v>
      </c>
      <c r="E490" s="210">
        <v>7</v>
      </c>
      <c r="F490" s="210" t="s">
        <v>380</v>
      </c>
      <c r="G490" s="210" t="s">
        <v>380</v>
      </c>
      <c r="H490" s="210" t="s">
        <v>380</v>
      </c>
      <c r="I490" s="210" t="s">
        <v>380</v>
      </c>
      <c r="J490" s="210" t="s">
        <v>380</v>
      </c>
      <c r="K490" s="210" t="s">
        <v>380</v>
      </c>
      <c r="L490" s="210" t="s">
        <v>380</v>
      </c>
      <c r="M490" s="210" t="s">
        <v>380</v>
      </c>
      <c r="N490" s="92" t="s">
        <v>380</v>
      </c>
      <c r="O490" s="152"/>
      <c r="R490" s="78"/>
      <c r="Z490" s="79"/>
      <c r="AA490" s="80"/>
      <c r="AB490" s="34"/>
      <c r="AC490" s="34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</row>
    <row r="491" spans="1:41" ht="24" thickBot="1">
      <c r="A491" s="1329" t="s">
        <v>455</v>
      </c>
      <c r="B491" s="1330"/>
      <c r="C491" s="91"/>
      <c r="D491" s="210"/>
      <c r="E491" s="210"/>
      <c r="F491" s="210" t="s">
        <v>380</v>
      </c>
      <c r="G491" s="210" t="s">
        <v>380</v>
      </c>
      <c r="H491" s="210" t="s">
        <v>380</v>
      </c>
      <c r="I491" s="210" t="s">
        <v>380</v>
      </c>
      <c r="J491" s="210" t="s">
        <v>380</v>
      </c>
      <c r="K491" s="210" t="s">
        <v>380</v>
      </c>
      <c r="L491" s="210" t="s">
        <v>380</v>
      </c>
      <c r="M491" s="210" t="s">
        <v>380</v>
      </c>
      <c r="N491" s="92" t="s">
        <v>380</v>
      </c>
      <c r="O491" s="152"/>
      <c r="R491" s="78"/>
      <c r="Z491" s="79"/>
      <c r="AA491" s="80"/>
      <c r="AB491" s="34"/>
      <c r="AC491" s="34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</row>
    <row r="492" spans="1:41" ht="24" thickBot="1">
      <c r="A492" s="1327" t="s">
        <v>456</v>
      </c>
      <c r="B492" s="1328"/>
      <c r="C492" s="93"/>
      <c r="D492" s="94"/>
      <c r="E492" s="94"/>
      <c r="F492" s="94" t="s">
        <v>380</v>
      </c>
      <c r="G492" s="94" t="s">
        <v>380</v>
      </c>
      <c r="H492" s="94" t="s">
        <v>380</v>
      </c>
      <c r="I492" s="94" t="s">
        <v>380</v>
      </c>
      <c r="J492" s="94" t="s">
        <v>380</v>
      </c>
      <c r="K492" s="94" t="s">
        <v>380</v>
      </c>
      <c r="L492" s="94" t="s">
        <v>380</v>
      </c>
      <c r="M492" s="94" t="s">
        <v>380</v>
      </c>
      <c r="N492" s="95" t="s">
        <v>380</v>
      </c>
      <c r="O492" s="152"/>
      <c r="Z492" s="79"/>
      <c r="AA492" s="80"/>
      <c r="AB492" s="34"/>
      <c r="AC492" s="34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</row>
    <row r="493" spans="1:41" ht="21" thickTop="1">
      <c r="A493" s="96"/>
      <c r="B493" s="96"/>
      <c r="C493" s="96"/>
      <c r="D493" s="96"/>
      <c r="E493" s="1326" t="s">
        <v>457</v>
      </c>
      <c r="F493" s="1310"/>
      <c r="G493" s="97">
        <v>18</v>
      </c>
      <c r="H493" s="1310" t="s">
        <v>458</v>
      </c>
      <c r="I493" s="1311"/>
      <c r="J493" s="1310" t="s">
        <v>459</v>
      </c>
      <c r="K493" s="1311"/>
      <c r="L493" s="96"/>
      <c r="M493" s="96"/>
      <c r="N493" s="96"/>
      <c r="O493" s="77"/>
      <c r="P493" s="77"/>
      <c r="Q493" s="78"/>
      <c r="Z493" s="79"/>
      <c r="AA493" s="80"/>
      <c r="AB493" s="34"/>
      <c r="AC493" s="34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</row>
    <row r="494" spans="1:41" ht="23.25">
      <c r="A494" s="96"/>
      <c r="B494" s="96"/>
      <c r="C494" s="96"/>
      <c r="D494" s="96"/>
      <c r="E494" s="1307" t="s">
        <v>460</v>
      </c>
      <c r="F494" s="1308"/>
      <c r="G494" s="98">
        <v>12</v>
      </c>
      <c r="H494" s="1312">
        <v>0</v>
      </c>
      <c r="I494" s="1312"/>
      <c r="J494" s="1312">
        <v>0</v>
      </c>
      <c r="K494" s="1313"/>
      <c r="L494" s="96"/>
      <c r="M494" s="96"/>
      <c r="N494" s="96"/>
      <c r="O494" s="77"/>
      <c r="P494" s="77"/>
      <c r="Q494" s="78">
        <f>G494+H494+H496+J494</f>
        <v>12</v>
      </c>
      <c r="Z494" s="79"/>
      <c r="AA494" s="80"/>
      <c r="AB494" s="34"/>
      <c r="AC494" s="34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</row>
    <row r="495" spans="1:41" ht="20.25">
      <c r="A495" s="96"/>
      <c r="B495" s="96"/>
      <c r="C495" s="96"/>
      <c r="D495" s="96"/>
      <c r="E495" s="1307" t="s">
        <v>461</v>
      </c>
      <c r="F495" s="1308"/>
      <c r="G495" s="99"/>
      <c r="H495" s="1308" t="s">
        <v>462</v>
      </c>
      <c r="I495" s="1308"/>
      <c r="J495" s="1308" t="s">
        <v>463</v>
      </c>
      <c r="K495" s="1309"/>
      <c r="L495" s="96"/>
      <c r="M495" s="96"/>
      <c r="N495" s="96"/>
      <c r="O495" s="77"/>
      <c r="P495" s="77"/>
      <c r="Q495" s="78"/>
      <c r="Z495" s="79"/>
      <c r="AA495" s="80"/>
      <c r="AB495" s="34"/>
      <c r="AC495" s="34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</row>
    <row r="496" spans="1:41" ht="24" thickBot="1">
      <c r="A496" s="96"/>
      <c r="B496" s="96"/>
      <c r="C496" s="96"/>
      <c r="D496" s="96"/>
      <c r="E496" s="1303" t="s">
        <v>464</v>
      </c>
      <c r="F496" s="1304"/>
      <c r="G496" s="99">
        <v>0</v>
      </c>
      <c r="H496" s="1305"/>
      <c r="I496" s="1305"/>
      <c r="J496" s="1305">
        <v>0</v>
      </c>
      <c r="K496" s="1306"/>
      <c r="L496" s="96"/>
      <c r="M496" s="96"/>
      <c r="N496" s="96"/>
      <c r="O496" s="77"/>
      <c r="P496" s="77"/>
      <c r="Q496" s="78"/>
      <c r="Z496" s="79"/>
      <c r="AA496" s="80"/>
      <c r="AB496" s="34"/>
      <c r="AC496" s="34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</row>
    <row r="497" spans="1:41" ht="17.25" thickTop="1" thickBot="1">
      <c r="A497" s="34"/>
      <c r="B497" s="34"/>
      <c r="C497" s="1299" t="s">
        <v>465</v>
      </c>
      <c r="D497" s="1299"/>
      <c r="E497" s="1299" t="s">
        <v>360</v>
      </c>
      <c r="F497" s="1299"/>
      <c r="G497" s="1302" t="s">
        <v>368</v>
      </c>
      <c r="H497" s="1302"/>
      <c r="I497" s="1302" t="s">
        <v>369</v>
      </c>
      <c r="J497" s="1302"/>
      <c r="K497" s="1302" t="s">
        <v>370</v>
      </c>
      <c r="L497" s="1299"/>
      <c r="M497" s="1299" t="s">
        <v>371</v>
      </c>
      <c r="N497" s="1299"/>
      <c r="O497" s="77"/>
      <c r="P497" s="77"/>
      <c r="Q497" s="78"/>
      <c r="Z497" s="79"/>
      <c r="AA497" s="80"/>
      <c r="AB497" s="34"/>
      <c r="AC497" s="34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</row>
    <row r="498" spans="1:41" ht="17.25" thickTop="1" thickBot="1">
      <c r="A498" s="34"/>
      <c r="B498" s="34"/>
      <c r="C498" s="1299" t="s">
        <v>372</v>
      </c>
      <c r="D498" s="1299"/>
      <c r="E498" s="1296" t="s">
        <v>265</v>
      </c>
      <c r="F498" s="1296"/>
      <c r="G498" s="1296" t="s">
        <v>265</v>
      </c>
      <c r="H498" s="1296"/>
      <c r="I498" s="1296"/>
      <c r="J498" s="1296"/>
      <c r="K498" s="1296" t="s">
        <v>265</v>
      </c>
      <c r="L498" s="1296"/>
      <c r="M498" s="1296"/>
      <c r="N498" s="1296"/>
      <c r="O498" s="77"/>
      <c r="P498" s="77"/>
      <c r="Q498" s="78"/>
      <c r="Z498" s="79"/>
      <c r="AA498" s="80"/>
      <c r="AB498" s="34"/>
      <c r="AC498" s="34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</row>
    <row r="499" spans="1:41" ht="17.25" thickTop="1" thickBot="1">
      <c r="A499" s="34"/>
      <c r="B499" s="34"/>
      <c r="C499" s="1299" t="s">
        <v>373</v>
      </c>
      <c r="D499" s="1299"/>
      <c r="E499" s="1296" t="s">
        <v>1</v>
      </c>
      <c r="F499" s="1296"/>
      <c r="G499" s="1296" t="s">
        <v>265</v>
      </c>
      <c r="H499" s="1296"/>
      <c r="I499" s="1296"/>
      <c r="J499" s="1296"/>
      <c r="K499" s="1296" t="s">
        <v>265</v>
      </c>
      <c r="L499" s="1296"/>
      <c r="M499" s="1296"/>
      <c r="N499" s="1296"/>
      <c r="O499" s="77"/>
      <c r="P499" s="77"/>
      <c r="Z499" s="79"/>
      <c r="AA499" s="80"/>
      <c r="AB499" s="34"/>
      <c r="AC499" s="34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</row>
    <row r="500" spans="1:41" ht="17.25" thickTop="1" thickBot="1">
      <c r="A500" s="34"/>
      <c r="B500" s="34"/>
      <c r="C500" s="1299" t="s">
        <v>374</v>
      </c>
      <c r="D500" s="1299"/>
      <c r="E500" s="1296"/>
      <c r="F500" s="1296"/>
      <c r="G500" s="1301"/>
      <c r="H500" s="1301"/>
      <c r="I500" s="1296"/>
      <c r="J500" s="1296"/>
      <c r="K500" s="1296" t="s">
        <v>1</v>
      </c>
      <c r="L500" s="1296"/>
      <c r="M500" s="1296" t="s">
        <v>265</v>
      </c>
      <c r="N500" s="1296"/>
      <c r="O500" s="77"/>
      <c r="P500" s="77"/>
      <c r="Z500" s="79"/>
      <c r="AA500" s="80"/>
      <c r="AB500" s="34"/>
      <c r="AC500" s="34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</row>
    <row r="501" spans="1:41" ht="17.25" thickTop="1" thickBot="1">
      <c r="A501" s="34"/>
      <c r="B501" s="34"/>
      <c r="C501" s="1299" t="s">
        <v>375</v>
      </c>
      <c r="D501" s="1299"/>
      <c r="E501" s="1296" t="s">
        <v>500</v>
      </c>
      <c r="F501" s="1296"/>
      <c r="G501" s="1336"/>
      <c r="H501" s="1337"/>
      <c r="I501" s="1296"/>
      <c r="J501" s="1296"/>
      <c r="K501" s="1296"/>
      <c r="L501" s="1296"/>
      <c r="M501" s="1296" t="s">
        <v>265</v>
      </c>
      <c r="N501" s="1296"/>
      <c r="O501" s="77"/>
      <c r="P501" s="77"/>
      <c r="Z501" s="79"/>
      <c r="AA501" s="80"/>
      <c r="AB501" s="34"/>
      <c r="AC501" s="34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</row>
    <row r="502" spans="1:41" ht="17.25" thickTop="1" thickBot="1">
      <c r="A502" s="34"/>
      <c r="B502" s="34"/>
      <c r="C502" s="101"/>
      <c r="D502" s="101"/>
      <c r="E502" s="251"/>
      <c r="F502" s="251"/>
      <c r="G502" s="251"/>
      <c r="H502" s="251"/>
      <c r="I502" s="251"/>
      <c r="J502" s="251"/>
      <c r="K502" s="252"/>
      <c r="L502" s="252"/>
      <c r="M502" s="251"/>
      <c r="N502" s="251"/>
      <c r="O502" s="77"/>
      <c r="P502" s="77"/>
      <c r="Z502" s="79"/>
      <c r="AA502" s="80"/>
      <c r="AB502" s="34"/>
      <c r="AC502" s="34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</row>
    <row r="503" spans="1:41" ht="17.25" thickTop="1" thickBot="1">
      <c r="A503" s="34"/>
      <c r="B503" s="34"/>
      <c r="C503" s="1299" t="s">
        <v>921</v>
      </c>
      <c r="D503" s="1299"/>
      <c r="E503" s="1296"/>
      <c r="F503" s="1296"/>
      <c r="G503" s="1296" t="s">
        <v>1</v>
      </c>
      <c r="H503" s="1296"/>
      <c r="I503" s="1296"/>
      <c r="J503" s="1296"/>
      <c r="K503" s="1296"/>
      <c r="L503" s="1296"/>
      <c r="M503" s="1296"/>
      <c r="N503" s="1296"/>
      <c r="O503" s="77"/>
      <c r="P503" s="77"/>
      <c r="Z503" s="79"/>
      <c r="AA503" s="80"/>
      <c r="AB503" s="34"/>
      <c r="AC503" s="34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</row>
    <row r="504" spans="1:41" ht="17.25" thickTop="1" thickBot="1">
      <c r="A504" s="34"/>
      <c r="B504" s="34"/>
      <c r="C504" s="1299" t="s">
        <v>922</v>
      </c>
      <c r="D504" s="1299"/>
      <c r="E504" s="1296"/>
      <c r="F504" s="1296"/>
      <c r="G504" s="1296" t="s">
        <v>500</v>
      </c>
      <c r="H504" s="1296"/>
      <c r="I504" s="1296"/>
      <c r="J504" s="1296"/>
      <c r="K504" s="1296"/>
      <c r="L504" s="1296"/>
      <c r="M504" s="1296"/>
      <c r="N504" s="1296"/>
      <c r="O504" s="77"/>
      <c r="P504" s="77"/>
      <c r="AA504" s="80"/>
      <c r="AB504" s="34"/>
      <c r="AC504" s="34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</row>
    <row r="505" spans="1:41" ht="17.25" thickTop="1" thickBot="1">
      <c r="A505" s="34"/>
      <c r="B505" s="34"/>
      <c r="C505" s="1299" t="s">
        <v>923</v>
      </c>
      <c r="D505" s="1299"/>
      <c r="E505" s="1297"/>
      <c r="F505" s="1297"/>
      <c r="G505" s="1297" t="s">
        <v>380</v>
      </c>
      <c r="H505" s="1297"/>
      <c r="I505" s="1297" t="s">
        <v>380</v>
      </c>
      <c r="J505" s="1297"/>
      <c r="K505" s="1297"/>
      <c r="L505" s="1297"/>
      <c r="M505" s="1297" t="s">
        <v>380</v>
      </c>
      <c r="N505" s="1297"/>
      <c r="O505" s="77"/>
      <c r="P505" s="77"/>
      <c r="AA505" s="80"/>
      <c r="AB505" s="34"/>
      <c r="AC505" s="34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</row>
    <row r="506" spans="1:41" ht="17.25" thickTop="1" thickBot="1">
      <c r="A506" s="34"/>
      <c r="B506" s="34"/>
      <c r="C506" s="1299" t="s">
        <v>924</v>
      </c>
      <c r="D506" s="1299"/>
      <c r="E506" s="1297" t="s">
        <v>380</v>
      </c>
      <c r="F506" s="1297"/>
      <c r="G506" s="1297" t="s">
        <v>380</v>
      </c>
      <c r="H506" s="1297"/>
      <c r="I506" s="1297" t="s">
        <v>380</v>
      </c>
      <c r="J506" s="1297"/>
      <c r="K506" s="1297" t="s">
        <v>380</v>
      </c>
      <c r="L506" s="1297"/>
      <c r="M506" s="1297" t="s">
        <v>380</v>
      </c>
      <c r="N506" s="1297"/>
      <c r="O506" s="77"/>
      <c r="P506" s="77"/>
      <c r="AA506" s="80"/>
      <c r="AB506" s="34"/>
      <c r="AC506" s="34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</row>
    <row r="507" spans="1:41" ht="17.25" thickTop="1" thickBot="1">
      <c r="A507" s="34"/>
      <c r="B507" s="34"/>
      <c r="C507" s="33"/>
      <c r="D507" s="33"/>
      <c r="E507" s="33"/>
      <c r="F507" s="33"/>
      <c r="G507" s="33"/>
      <c r="H507" s="33"/>
      <c r="I507" s="33"/>
      <c r="J507" s="33"/>
      <c r="K507" s="34"/>
      <c r="L507" s="34"/>
      <c r="M507" s="33"/>
      <c r="N507" s="33"/>
      <c r="O507" s="77"/>
      <c r="P507" s="77"/>
      <c r="AA507" s="80"/>
      <c r="AB507" s="34"/>
      <c r="AC507" s="34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</row>
    <row r="508" spans="1:41" ht="19.5" thickTop="1" thickBot="1">
      <c r="A508" s="1321" t="s">
        <v>467</v>
      </c>
      <c r="B508" s="1322"/>
      <c r="C508" s="1323" t="s">
        <v>380</v>
      </c>
      <c r="D508" s="1323"/>
      <c r="E508" s="1323" t="s">
        <v>380</v>
      </c>
      <c r="F508" s="1323"/>
      <c r="G508" s="250"/>
      <c r="H508" s="250" t="s">
        <v>468</v>
      </c>
      <c r="I508" s="1295" t="s">
        <v>402</v>
      </c>
      <c r="J508" s="1295"/>
      <c r="K508" s="1295"/>
      <c r="L508" s="102" t="s">
        <v>403</v>
      </c>
      <c r="M508" s="1331">
        <f ca="1">TODAY()</f>
        <v>45944</v>
      </c>
      <c r="N508" s="1331"/>
      <c r="O508" s="77"/>
      <c r="P508" s="77"/>
      <c r="AA508" s="80"/>
      <c r="AB508" s="34"/>
      <c r="AC508" s="34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</row>
    <row r="509" spans="1:41" ht="19.5" thickTop="1" thickBot="1">
      <c r="A509" s="1321" t="s">
        <v>469</v>
      </c>
      <c r="B509" s="1322"/>
      <c r="C509" s="1323" t="s">
        <v>380</v>
      </c>
      <c r="D509" s="1323"/>
      <c r="E509" s="1323" t="s">
        <v>380</v>
      </c>
      <c r="F509" s="1323"/>
      <c r="G509" s="250"/>
      <c r="H509" s="250"/>
      <c r="I509" s="250"/>
      <c r="J509" s="250"/>
      <c r="K509" s="102"/>
      <c r="L509" s="102"/>
      <c r="M509" s="33"/>
      <c r="N509" s="33"/>
      <c r="O509" s="77"/>
      <c r="P509" s="77"/>
      <c r="Q509" s="78"/>
      <c r="AA509" s="80"/>
      <c r="AB509" s="34"/>
      <c r="AC509" s="34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</row>
    <row r="510" spans="1:41" ht="19.5" thickTop="1" thickBot="1">
      <c r="A510" s="1321" t="s">
        <v>470</v>
      </c>
      <c r="B510" s="1322"/>
      <c r="C510" s="1323" t="s">
        <v>380</v>
      </c>
      <c r="D510" s="1323"/>
      <c r="E510" s="1323" t="s">
        <v>380</v>
      </c>
      <c r="F510" s="1323"/>
      <c r="G510" s="250"/>
      <c r="H510" s="250"/>
      <c r="I510" s="250"/>
      <c r="J510" s="250" t="s">
        <v>471</v>
      </c>
      <c r="K510" s="102"/>
      <c r="L510" s="102"/>
      <c r="M510" s="33"/>
      <c r="N510" s="33"/>
      <c r="O510" s="77"/>
      <c r="P510" s="77"/>
      <c r="Q510" s="78"/>
      <c r="Z510" s="79"/>
      <c r="AA510" s="80"/>
      <c r="AB510" s="34"/>
      <c r="AC510" s="34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</row>
    <row r="511" spans="1:41" ht="24" thickTop="1">
      <c r="A511" s="34"/>
      <c r="B511" s="34"/>
      <c r="C511" s="33"/>
      <c r="D511" s="33"/>
      <c r="E511" s="33"/>
      <c r="F511" s="33"/>
      <c r="G511" s="33"/>
      <c r="H511" s="103" t="s">
        <v>406</v>
      </c>
      <c r="I511" s="33"/>
      <c r="J511" s="34"/>
      <c r="K511" s="34"/>
      <c r="L511" s="33"/>
      <c r="M511" s="33"/>
      <c r="N511" s="104"/>
      <c r="O511" s="77"/>
      <c r="P511" s="77"/>
      <c r="Q511" s="78"/>
      <c r="Z511" s="79"/>
      <c r="AA511" s="80"/>
      <c r="AB511" s="34"/>
      <c r="AC511" s="34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</row>
    <row r="512" spans="1:41" ht="18">
      <c r="A512" s="1295" t="s">
        <v>78</v>
      </c>
      <c r="B512" s="1295"/>
      <c r="C512" s="1295"/>
      <c r="D512" s="1295"/>
      <c r="E512" s="1295"/>
      <c r="F512" s="1295"/>
      <c r="G512" s="1295"/>
      <c r="H512" s="1295"/>
      <c r="I512" s="1295"/>
      <c r="J512" s="1295"/>
      <c r="K512" s="1295"/>
      <c r="L512" s="1295"/>
      <c r="M512" s="1295"/>
      <c r="N512" s="1295"/>
      <c r="O512" s="77"/>
      <c r="P512" s="77"/>
      <c r="Q512" s="78"/>
      <c r="Z512" s="79"/>
      <c r="AA512" s="80"/>
      <c r="AB512" s="34"/>
      <c r="AC512" s="34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</row>
    <row r="513" spans="1:41" ht="18">
      <c r="A513" s="1295" t="s">
        <v>79</v>
      </c>
      <c r="B513" s="1295"/>
      <c r="C513" s="1295"/>
      <c r="D513" s="1295"/>
      <c r="E513" s="1295"/>
      <c r="F513" s="1295"/>
      <c r="G513" s="1295"/>
      <c r="H513" s="1295"/>
      <c r="I513" s="1295"/>
      <c r="J513" s="1295"/>
      <c r="K513" s="1295"/>
      <c r="L513" s="1295"/>
      <c r="M513" s="1295"/>
      <c r="N513" s="1295"/>
      <c r="O513" s="77"/>
      <c r="P513" s="77"/>
      <c r="Q513" s="78"/>
      <c r="Z513" s="79"/>
      <c r="AA513" s="80"/>
      <c r="AB513" s="34"/>
      <c r="AC513" s="34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</row>
    <row r="514" spans="1:41" ht="18">
      <c r="A514" s="168" t="s">
        <v>220</v>
      </c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33"/>
      <c r="N514" s="33"/>
      <c r="O514" s="77"/>
      <c r="P514" s="77"/>
      <c r="Q514" s="78"/>
      <c r="Z514" s="79"/>
      <c r="AA514" s="80"/>
      <c r="AB514" s="34"/>
      <c r="AC514" s="34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</row>
    <row r="515" spans="1:41" ht="18">
      <c r="A515" s="168" t="s">
        <v>444</v>
      </c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33"/>
      <c r="N515" s="33"/>
      <c r="O515" s="77"/>
      <c r="P515" s="77"/>
      <c r="Q515" s="78"/>
      <c r="Z515" s="79"/>
      <c r="AA515" s="80"/>
      <c r="AB515" s="34"/>
      <c r="AC515" s="34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</row>
    <row r="516" spans="1:41" ht="18.75" thickBot="1">
      <c r="A516" s="250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33"/>
      <c r="N516" s="33"/>
      <c r="O516" s="77"/>
      <c r="P516" s="77"/>
      <c r="Q516" s="78"/>
      <c r="Z516" s="79"/>
      <c r="AA516" s="80"/>
      <c r="AB516" s="34"/>
      <c r="AC516" s="34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</row>
    <row r="517" spans="1:41" ht="24" thickBot="1">
      <c r="A517" s="250"/>
      <c r="B517" s="250"/>
      <c r="C517" s="1333" t="s">
        <v>446</v>
      </c>
      <c r="D517" s="1334"/>
      <c r="E517" s="1334"/>
      <c r="F517" s="1334"/>
      <c r="G517" s="1334"/>
      <c r="H517" s="1334"/>
      <c r="I517" s="1334"/>
      <c r="J517" s="1334"/>
      <c r="K517" s="1334"/>
      <c r="L517" s="1335"/>
      <c r="M517" s="33"/>
      <c r="N517" s="33"/>
      <c r="O517" s="77"/>
      <c r="P517" s="77"/>
      <c r="Q517" s="78"/>
      <c r="Z517" s="79"/>
      <c r="AA517" s="80"/>
      <c r="AB517" s="34"/>
      <c r="AC517" s="34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</row>
    <row r="518" spans="1:41" ht="23.25">
      <c r="A518" s="250"/>
      <c r="B518" s="250"/>
      <c r="C518" s="249"/>
      <c r="D518" s="249"/>
      <c r="E518" s="249"/>
      <c r="F518" s="249"/>
      <c r="G518" s="249"/>
      <c r="H518" s="249"/>
      <c r="I518" s="249"/>
      <c r="J518" s="249"/>
      <c r="K518" s="249"/>
      <c r="L518" s="249"/>
      <c r="M518" s="33"/>
      <c r="N518" s="33"/>
      <c r="O518" s="77"/>
      <c r="P518" s="77"/>
      <c r="Q518" s="78"/>
      <c r="Z518" s="79"/>
      <c r="AA518" s="80"/>
      <c r="AB518" s="34"/>
      <c r="AC518" s="34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</row>
    <row r="519" spans="1:41" ht="23.25">
      <c r="A519" s="1295" t="s">
        <v>448</v>
      </c>
      <c r="B519" s="1295"/>
      <c r="C519" s="1295"/>
      <c r="D519" s="1294" t="s">
        <v>278</v>
      </c>
      <c r="E519" s="1294"/>
      <c r="F519" s="1294"/>
      <c r="G519" s="1294"/>
      <c r="H519" s="1294"/>
      <c r="I519" s="249"/>
      <c r="J519" s="249"/>
      <c r="K519" s="249" t="s">
        <v>449</v>
      </c>
      <c r="L519" s="249"/>
      <c r="M519" s="1295" t="s">
        <v>279</v>
      </c>
      <c r="N519" s="1295"/>
      <c r="O519" s="1292" t="str">
        <f>D519</f>
        <v>فليو احمد</v>
      </c>
      <c r="P519" s="1292"/>
      <c r="Q519" s="78">
        <v>17</v>
      </c>
      <c r="Z519" s="79"/>
      <c r="AA519" s="80"/>
      <c r="AB519" s="34"/>
      <c r="AC519" s="34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</row>
    <row r="520" spans="1:41" ht="24" thickBot="1">
      <c r="A520" s="1340" t="s">
        <v>450</v>
      </c>
      <c r="B520" s="1340"/>
      <c r="C520" s="1340"/>
      <c r="D520" s="1340">
        <v>0</v>
      </c>
      <c r="E520" s="1340"/>
      <c r="F520" s="1340"/>
      <c r="G520" s="1340"/>
      <c r="H520" s="87"/>
      <c r="I520" s="1340" t="s">
        <v>452</v>
      </c>
      <c r="J520" s="1340"/>
      <c r="K520" s="1340"/>
      <c r="L520" s="1341" t="s">
        <v>380</v>
      </c>
      <c r="M520" s="1341"/>
      <c r="N520" s="1341"/>
      <c r="O520" s="77"/>
      <c r="P520" s="77"/>
      <c r="Q520" s="78"/>
      <c r="Z520" s="79"/>
      <c r="AA520" s="80"/>
      <c r="AB520" s="34"/>
      <c r="AC520" s="34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</row>
    <row r="521" spans="1:41" ht="17.25" thickTop="1" thickBot="1">
      <c r="A521" s="1318" t="s">
        <v>453</v>
      </c>
      <c r="B521" s="1319"/>
      <c r="C521" s="88" t="s">
        <v>0</v>
      </c>
      <c r="D521" s="89" t="s">
        <v>19</v>
      </c>
      <c r="E521" s="89" t="s">
        <v>268</v>
      </c>
      <c r="F521" s="89" t="s">
        <v>13</v>
      </c>
      <c r="G521" s="89" t="s">
        <v>380</v>
      </c>
      <c r="H521" s="89" t="s">
        <v>380</v>
      </c>
      <c r="I521" s="89" t="s">
        <v>380</v>
      </c>
      <c r="J521" s="88"/>
      <c r="K521" s="89"/>
      <c r="L521" s="89"/>
      <c r="M521" s="89"/>
      <c r="N521" s="90" t="s">
        <v>380</v>
      </c>
      <c r="Z521" s="79"/>
      <c r="AA521" s="80"/>
      <c r="AB521" s="34"/>
      <c r="AC521" s="34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</row>
    <row r="522" spans="1:41" ht="24" thickBot="1">
      <c r="A522" s="1329" t="s">
        <v>454</v>
      </c>
      <c r="B522" s="1330"/>
      <c r="C522" s="91">
        <v>3</v>
      </c>
      <c r="D522" s="210">
        <v>2</v>
      </c>
      <c r="E522" s="210">
        <v>3</v>
      </c>
      <c r="F522" s="210">
        <v>4</v>
      </c>
      <c r="G522" s="210" t="s">
        <v>380</v>
      </c>
      <c r="H522" s="210" t="s">
        <v>380</v>
      </c>
      <c r="I522" s="210" t="s">
        <v>380</v>
      </c>
      <c r="J522" s="210" t="s">
        <v>380</v>
      </c>
      <c r="K522" s="210" t="s">
        <v>380</v>
      </c>
      <c r="L522" s="210" t="s">
        <v>380</v>
      </c>
      <c r="M522" s="210" t="s">
        <v>380</v>
      </c>
      <c r="N522" s="92" t="s">
        <v>380</v>
      </c>
      <c r="O522" s="152"/>
      <c r="R522" s="78"/>
      <c r="Z522" s="79"/>
      <c r="AA522" s="80"/>
      <c r="AB522" s="34"/>
      <c r="AC522" s="34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</row>
    <row r="523" spans="1:41" ht="24" thickBot="1">
      <c r="A523" s="1329" t="s">
        <v>455</v>
      </c>
      <c r="B523" s="1330"/>
      <c r="C523" s="91"/>
      <c r="D523" s="210"/>
      <c r="E523" s="210"/>
      <c r="F523" s="210"/>
      <c r="G523" s="210" t="s">
        <v>380</v>
      </c>
      <c r="H523" s="210" t="s">
        <v>380</v>
      </c>
      <c r="I523" s="210" t="s">
        <v>380</v>
      </c>
      <c r="J523" s="210" t="s">
        <v>380</v>
      </c>
      <c r="K523" s="210" t="s">
        <v>380</v>
      </c>
      <c r="L523" s="210" t="s">
        <v>380</v>
      </c>
      <c r="M523" s="210" t="s">
        <v>380</v>
      </c>
      <c r="N523" s="92" t="s">
        <v>380</v>
      </c>
      <c r="O523" s="152"/>
      <c r="R523" s="78"/>
      <c r="Z523" s="79"/>
      <c r="AA523" s="80"/>
      <c r="AB523" s="34"/>
      <c r="AC523" s="34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</row>
    <row r="524" spans="1:41" ht="24" thickBot="1">
      <c r="A524" s="1327" t="s">
        <v>456</v>
      </c>
      <c r="B524" s="1328"/>
      <c r="C524" s="93"/>
      <c r="D524" s="94"/>
      <c r="E524" s="94"/>
      <c r="F524" s="94"/>
      <c r="G524" s="94" t="s">
        <v>380</v>
      </c>
      <c r="H524" s="94" t="s">
        <v>380</v>
      </c>
      <c r="I524" s="94" t="s">
        <v>380</v>
      </c>
      <c r="J524" s="94" t="s">
        <v>380</v>
      </c>
      <c r="K524" s="94" t="s">
        <v>380</v>
      </c>
      <c r="L524" s="94" t="s">
        <v>380</v>
      </c>
      <c r="M524" s="94" t="s">
        <v>380</v>
      </c>
      <c r="N524" s="95" t="s">
        <v>380</v>
      </c>
      <c r="O524" s="152"/>
      <c r="Z524" s="79"/>
      <c r="AA524" s="80"/>
      <c r="AB524" s="34"/>
      <c r="AC524" s="34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</row>
    <row r="525" spans="1:41" ht="21" thickTop="1">
      <c r="A525" s="96"/>
      <c r="B525" s="96"/>
      <c r="C525" s="96"/>
      <c r="D525" s="96"/>
      <c r="E525" s="1326" t="s">
        <v>457</v>
      </c>
      <c r="F525" s="1310"/>
      <c r="G525" s="97">
        <v>18</v>
      </c>
      <c r="H525" s="1310" t="s">
        <v>458</v>
      </c>
      <c r="I525" s="1311"/>
      <c r="J525" s="1310" t="s">
        <v>459</v>
      </c>
      <c r="K525" s="1311"/>
      <c r="L525" s="96"/>
      <c r="M525" s="96"/>
      <c r="N525" s="96"/>
      <c r="O525" s="77"/>
      <c r="P525" s="77"/>
      <c r="Q525" s="78"/>
      <c r="Z525" s="79"/>
      <c r="AA525" s="80"/>
      <c r="AB525" s="34"/>
      <c r="AC525" s="34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</row>
    <row r="526" spans="1:41" ht="23.25">
      <c r="A526" s="96"/>
      <c r="B526" s="96"/>
      <c r="C526" s="96"/>
      <c r="D526" s="96"/>
      <c r="E526" s="1307" t="s">
        <v>460</v>
      </c>
      <c r="F526" s="1308"/>
      <c r="G526" s="98">
        <v>13</v>
      </c>
      <c r="H526" s="1312">
        <v>0</v>
      </c>
      <c r="I526" s="1312"/>
      <c r="J526" s="1312">
        <v>0</v>
      </c>
      <c r="K526" s="1313"/>
      <c r="L526" s="96"/>
      <c r="M526" s="96"/>
      <c r="N526" s="96"/>
      <c r="O526" s="77"/>
      <c r="P526" s="77"/>
      <c r="Q526" s="78">
        <f>G526+H526+H528+J526</f>
        <v>13</v>
      </c>
      <c r="Z526" s="79"/>
      <c r="AA526" s="80"/>
      <c r="AB526" s="34"/>
      <c r="AC526" s="34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</row>
    <row r="527" spans="1:41" ht="20.25">
      <c r="A527" s="96"/>
      <c r="B527" s="96"/>
      <c r="C527" s="96"/>
      <c r="D527" s="96"/>
      <c r="E527" s="1307" t="s">
        <v>461</v>
      </c>
      <c r="F527" s="1308"/>
      <c r="G527" s="99"/>
      <c r="H527" s="1308" t="s">
        <v>462</v>
      </c>
      <c r="I527" s="1308"/>
      <c r="J527" s="1308" t="s">
        <v>463</v>
      </c>
      <c r="K527" s="1309"/>
      <c r="L527" s="96"/>
      <c r="M527" s="96"/>
      <c r="N527" s="96"/>
      <c r="O527" s="77"/>
      <c r="P527" s="77"/>
      <c r="Q527" s="78"/>
      <c r="Z527" s="79"/>
      <c r="AA527" s="80"/>
      <c r="AB527" s="34"/>
      <c r="AC527" s="34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</row>
    <row r="528" spans="1:41" ht="24" thickBot="1">
      <c r="A528" s="96"/>
      <c r="B528" s="96"/>
      <c r="C528" s="96"/>
      <c r="D528" s="96"/>
      <c r="E528" s="1303" t="s">
        <v>464</v>
      </c>
      <c r="F528" s="1304"/>
      <c r="G528" s="99">
        <v>0</v>
      </c>
      <c r="H528" s="1305"/>
      <c r="I528" s="1305"/>
      <c r="J528" s="1305">
        <v>0</v>
      </c>
      <c r="K528" s="1306"/>
      <c r="L528" s="96"/>
      <c r="M528" s="96"/>
      <c r="N528" s="96"/>
      <c r="O528" s="77"/>
      <c r="P528" s="77"/>
      <c r="Q528" s="78"/>
      <c r="Z528" s="79"/>
      <c r="AA528" s="80"/>
      <c r="AB528" s="34"/>
      <c r="AC528" s="34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</row>
    <row r="529" spans="1:41" ht="17.25" thickTop="1" thickBot="1">
      <c r="A529" s="34"/>
      <c r="B529" s="34"/>
      <c r="C529" s="1299" t="s">
        <v>465</v>
      </c>
      <c r="D529" s="1299"/>
      <c r="E529" s="1299" t="s">
        <v>360</v>
      </c>
      <c r="F529" s="1299"/>
      <c r="G529" s="1302" t="s">
        <v>368</v>
      </c>
      <c r="H529" s="1302"/>
      <c r="I529" s="1302" t="s">
        <v>369</v>
      </c>
      <c r="J529" s="1302"/>
      <c r="K529" s="1302" t="s">
        <v>370</v>
      </c>
      <c r="L529" s="1299"/>
      <c r="M529" s="1299" t="s">
        <v>371</v>
      </c>
      <c r="N529" s="1299"/>
      <c r="O529" s="77"/>
      <c r="P529" s="77"/>
      <c r="Q529" s="78"/>
      <c r="Z529" s="79"/>
      <c r="AA529" s="80"/>
      <c r="AB529" s="34"/>
      <c r="AC529" s="34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</row>
    <row r="530" spans="1:41" ht="17.25" thickTop="1" thickBot="1">
      <c r="A530" s="34"/>
      <c r="B530" s="34"/>
      <c r="C530" s="1299" t="s">
        <v>372</v>
      </c>
      <c r="D530" s="1299"/>
      <c r="E530" s="1297" t="s">
        <v>13</v>
      </c>
      <c r="F530" s="1297"/>
      <c r="G530" s="1297" t="s">
        <v>19</v>
      </c>
      <c r="H530" s="1297"/>
      <c r="I530" s="1297"/>
      <c r="J530" s="1297"/>
      <c r="K530" s="1297" t="s">
        <v>13</v>
      </c>
      <c r="L530" s="1297"/>
      <c r="M530" s="1297" t="s">
        <v>268</v>
      </c>
      <c r="N530" s="1297"/>
      <c r="O530" s="77"/>
      <c r="P530" s="77"/>
      <c r="Q530" s="78"/>
      <c r="Z530" s="79"/>
      <c r="AA530" s="80"/>
      <c r="AB530" s="34"/>
      <c r="AC530" s="34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</row>
    <row r="531" spans="1:41" ht="17.25" thickTop="1" thickBot="1">
      <c r="A531" s="34"/>
      <c r="B531" s="34"/>
      <c r="C531" s="1299" t="s">
        <v>373</v>
      </c>
      <c r="D531" s="1299"/>
      <c r="E531" s="1297"/>
      <c r="F531" s="1297"/>
      <c r="G531" s="1297"/>
      <c r="H531" s="1297"/>
      <c r="I531" s="1297"/>
      <c r="J531" s="1297"/>
      <c r="K531" s="1297" t="s">
        <v>0</v>
      </c>
      <c r="L531" s="1297"/>
      <c r="M531" s="1297" t="s">
        <v>268</v>
      </c>
      <c r="N531" s="1297"/>
      <c r="O531" s="77"/>
      <c r="P531" s="77"/>
      <c r="Q531" s="78"/>
      <c r="Z531" s="79"/>
      <c r="AA531" s="80"/>
      <c r="AB531" s="34"/>
      <c r="AC531" s="34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</row>
    <row r="532" spans="1:41" ht="17.25" thickTop="1" thickBot="1">
      <c r="A532" s="34"/>
      <c r="B532" s="34"/>
      <c r="C532" s="1299" t="s">
        <v>374</v>
      </c>
      <c r="D532" s="1299"/>
      <c r="E532" s="1297" t="s">
        <v>268</v>
      </c>
      <c r="F532" s="1297"/>
      <c r="G532" s="1297" t="s">
        <v>13</v>
      </c>
      <c r="H532" s="1297"/>
      <c r="I532" s="1297"/>
      <c r="J532" s="1297"/>
      <c r="K532" s="1297"/>
      <c r="L532" s="1297"/>
      <c r="M532" s="1297"/>
      <c r="N532" s="1297"/>
      <c r="O532" s="77"/>
      <c r="P532" s="77"/>
      <c r="Z532" s="79"/>
      <c r="AA532" s="80"/>
      <c r="AB532" s="34"/>
      <c r="AC532" s="34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</row>
    <row r="533" spans="1:41" ht="17.25" thickTop="1" thickBot="1">
      <c r="A533" s="34"/>
      <c r="B533" s="34"/>
      <c r="C533" s="1299" t="s">
        <v>375</v>
      </c>
      <c r="D533" s="1299"/>
      <c r="E533" s="1297"/>
      <c r="F533" s="1297"/>
      <c r="G533" s="1297"/>
      <c r="H533" s="1297"/>
      <c r="I533" s="1297"/>
      <c r="J533" s="1297"/>
      <c r="K533" s="1297"/>
      <c r="L533" s="1297"/>
      <c r="M533" s="1297"/>
      <c r="N533" s="1297"/>
      <c r="O533" s="77"/>
      <c r="P533" s="77"/>
      <c r="Z533" s="79"/>
      <c r="AA533" s="80"/>
      <c r="AB533" s="34"/>
      <c r="AC533" s="34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</row>
    <row r="534" spans="1:41" ht="17.25" thickTop="1" thickBot="1">
      <c r="A534" s="34"/>
      <c r="B534" s="34"/>
      <c r="C534" s="101"/>
      <c r="D534" s="101"/>
      <c r="E534" s="33"/>
      <c r="F534" s="33"/>
      <c r="G534" s="33"/>
      <c r="H534" s="33"/>
      <c r="I534" s="33"/>
      <c r="J534" s="33"/>
      <c r="K534" s="34"/>
      <c r="L534" s="34"/>
      <c r="M534" s="33"/>
      <c r="N534" s="33"/>
      <c r="O534" s="77"/>
      <c r="P534" s="77"/>
      <c r="Z534" s="79"/>
      <c r="AA534" s="80"/>
      <c r="AB534" s="34"/>
      <c r="AC534" s="34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</row>
    <row r="535" spans="1:41" ht="17.25" thickTop="1" thickBot="1">
      <c r="A535" s="34"/>
      <c r="B535" s="34"/>
      <c r="C535" s="1299" t="s">
        <v>921</v>
      </c>
      <c r="D535" s="1299"/>
      <c r="E535" s="1297"/>
      <c r="F535" s="1297"/>
      <c r="G535" s="1315" t="s">
        <v>0</v>
      </c>
      <c r="H535" s="1316"/>
      <c r="I535" s="1297"/>
      <c r="J535" s="1297"/>
      <c r="K535" s="1297"/>
      <c r="L535" s="1297"/>
      <c r="M535" s="1297" t="s">
        <v>0</v>
      </c>
      <c r="N535" s="1297"/>
      <c r="O535" s="77"/>
      <c r="P535" s="77"/>
      <c r="Z535" s="79"/>
      <c r="AA535" s="80"/>
      <c r="AB535" s="34"/>
      <c r="AC535" s="34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</row>
    <row r="536" spans="1:41" ht="17.25" thickTop="1" thickBot="1">
      <c r="A536" s="34"/>
      <c r="B536" s="34"/>
      <c r="C536" s="1299" t="s">
        <v>922</v>
      </c>
      <c r="D536" s="1299"/>
      <c r="E536" s="1317"/>
      <c r="F536" s="1317"/>
      <c r="G536" s="1297" t="s">
        <v>268</v>
      </c>
      <c r="H536" s="1297"/>
      <c r="I536" s="1297"/>
      <c r="J536" s="1297"/>
      <c r="K536" s="1297"/>
      <c r="L536" s="1297"/>
      <c r="M536" s="1297" t="s">
        <v>13</v>
      </c>
      <c r="N536" s="1297"/>
      <c r="O536" s="77"/>
      <c r="P536" s="77"/>
      <c r="Z536" s="79"/>
      <c r="AA536" s="80"/>
      <c r="AB536" s="34"/>
      <c r="AC536" s="34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</row>
    <row r="537" spans="1:41" ht="17.25" thickTop="1" thickBot="1">
      <c r="A537" s="34"/>
      <c r="B537" s="34"/>
      <c r="C537" s="1299" t="s">
        <v>923</v>
      </c>
      <c r="D537" s="1299"/>
      <c r="E537" s="1297"/>
      <c r="F537" s="1297"/>
      <c r="G537" s="1297"/>
      <c r="H537" s="1297"/>
      <c r="I537" s="1297"/>
      <c r="J537" s="1297"/>
      <c r="K537" s="1297"/>
      <c r="L537" s="1297"/>
      <c r="M537" s="1297" t="s">
        <v>19</v>
      </c>
      <c r="N537" s="1297"/>
      <c r="O537" s="77"/>
      <c r="P537" s="77"/>
      <c r="Z537" s="79"/>
      <c r="AA537" s="80"/>
      <c r="AB537" s="34"/>
      <c r="AC537" s="34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</row>
    <row r="538" spans="1:41" ht="17.25" thickTop="1" thickBot="1">
      <c r="A538" s="34"/>
      <c r="B538" s="34"/>
      <c r="C538" s="1299" t="s">
        <v>924</v>
      </c>
      <c r="D538" s="1299"/>
      <c r="E538" s="1297" t="s">
        <v>380</v>
      </c>
      <c r="F538" s="1297"/>
      <c r="G538" s="1297"/>
      <c r="H538" s="1297"/>
      <c r="I538" s="1297" t="s">
        <v>380</v>
      </c>
      <c r="J538" s="1297"/>
      <c r="K538" s="1297" t="s">
        <v>380</v>
      </c>
      <c r="L538" s="1297"/>
      <c r="M538" s="1297" t="s">
        <v>380</v>
      </c>
      <c r="N538" s="1297"/>
      <c r="O538" s="77"/>
      <c r="P538" s="77"/>
      <c r="Z538" s="79"/>
      <c r="AA538" s="80"/>
      <c r="AB538" s="34"/>
      <c r="AC538" s="34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</row>
    <row r="539" spans="1:41" ht="17.25" thickTop="1" thickBot="1">
      <c r="A539" s="34"/>
      <c r="B539" s="34"/>
      <c r="C539" s="33"/>
      <c r="D539" s="33"/>
      <c r="E539" s="33"/>
      <c r="F539" s="33"/>
      <c r="G539" s="33"/>
      <c r="H539" s="33"/>
      <c r="I539" s="33"/>
      <c r="J539" s="33"/>
      <c r="K539" s="34"/>
      <c r="L539" s="34"/>
      <c r="M539" s="33"/>
      <c r="N539" s="33"/>
      <c r="O539" s="77"/>
      <c r="P539" s="77"/>
      <c r="Z539" s="79"/>
      <c r="AA539" s="80"/>
      <c r="AB539" s="34"/>
      <c r="AC539" s="34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</row>
    <row r="540" spans="1:41" ht="19.5" thickTop="1" thickBot="1">
      <c r="A540" s="1321" t="s">
        <v>467</v>
      </c>
      <c r="B540" s="1322"/>
      <c r="C540" s="1323" t="s">
        <v>380</v>
      </c>
      <c r="D540" s="1323"/>
      <c r="E540" s="1323" t="s">
        <v>380</v>
      </c>
      <c r="F540" s="1323"/>
      <c r="G540" s="250"/>
      <c r="H540" s="250" t="s">
        <v>468</v>
      </c>
      <c r="I540" s="1295" t="s">
        <v>402</v>
      </c>
      <c r="J540" s="1295"/>
      <c r="K540" s="1295"/>
      <c r="L540" s="102" t="s">
        <v>403</v>
      </c>
      <c r="M540" s="1331">
        <f ca="1">TODAY()</f>
        <v>45944</v>
      </c>
      <c r="N540" s="1331"/>
      <c r="O540" s="77"/>
      <c r="P540" s="77"/>
      <c r="Z540" s="79"/>
      <c r="AA540" s="80"/>
      <c r="AB540" s="34"/>
      <c r="AC540" s="34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</row>
    <row r="541" spans="1:41" ht="19.5" thickTop="1" thickBot="1">
      <c r="A541" s="1321" t="s">
        <v>469</v>
      </c>
      <c r="B541" s="1322"/>
      <c r="C541" s="1323" t="s">
        <v>380</v>
      </c>
      <c r="D541" s="1323"/>
      <c r="E541" s="1323" t="s">
        <v>380</v>
      </c>
      <c r="F541" s="1323"/>
      <c r="G541" s="250"/>
      <c r="H541" s="250"/>
      <c r="I541" s="250"/>
      <c r="J541" s="250"/>
      <c r="K541" s="102"/>
      <c r="L541" s="102"/>
      <c r="M541" s="33"/>
      <c r="N541" s="33"/>
      <c r="O541" s="77"/>
      <c r="P541" s="77"/>
      <c r="Q541" s="78"/>
      <c r="Z541" s="79"/>
      <c r="AA541" s="80"/>
      <c r="AB541" s="34"/>
      <c r="AC541" s="34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</row>
    <row r="542" spans="1:41" ht="19.5" thickTop="1" thickBot="1">
      <c r="A542" s="1321" t="s">
        <v>470</v>
      </c>
      <c r="B542" s="1322"/>
      <c r="C542" s="1323" t="s">
        <v>380</v>
      </c>
      <c r="D542" s="1323"/>
      <c r="E542" s="1323" t="s">
        <v>380</v>
      </c>
      <c r="F542" s="1323"/>
      <c r="G542" s="250"/>
      <c r="H542" s="250"/>
      <c r="I542" s="250"/>
      <c r="J542" s="250" t="s">
        <v>471</v>
      </c>
      <c r="K542" s="102"/>
      <c r="L542" s="102"/>
      <c r="M542" s="33"/>
      <c r="N542" s="33"/>
      <c r="O542" s="77"/>
      <c r="P542" s="77"/>
      <c r="Q542" s="78"/>
      <c r="Z542" s="79"/>
      <c r="AA542" s="80"/>
      <c r="AB542" s="34"/>
      <c r="AC542" s="34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</row>
    <row r="543" spans="1:41" ht="24" thickTop="1">
      <c r="A543" s="34"/>
      <c r="B543" s="34"/>
      <c r="C543" s="33"/>
      <c r="D543" s="33"/>
      <c r="E543" s="33"/>
      <c r="F543" s="33"/>
      <c r="G543" s="33"/>
      <c r="H543" s="103" t="s">
        <v>406</v>
      </c>
      <c r="I543" s="33"/>
      <c r="J543" s="34"/>
      <c r="K543" s="34"/>
      <c r="L543" s="33"/>
      <c r="M543" s="33"/>
      <c r="N543" s="104"/>
      <c r="O543" s="77"/>
      <c r="P543" s="77"/>
      <c r="Q543" s="78"/>
      <c r="Z543" s="79"/>
      <c r="AA543" s="80"/>
      <c r="AB543" s="34"/>
      <c r="AC543" s="34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</row>
    <row r="544" spans="1:41" ht="18">
      <c r="A544" s="1295" t="s">
        <v>78</v>
      </c>
      <c r="B544" s="1295"/>
      <c r="C544" s="1295"/>
      <c r="D544" s="1295"/>
      <c r="E544" s="1295"/>
      <c r="F544" s="1295"/>
      <c r="G544" s="1295"/>
      <c r="H544" s="1295"/>
      <c r="I544" s="1295"/>
      <c r="J544" s="1295"/>
      <c r="K544" s="1295"/>
      <c r="L544" s="1295"/>
      <c r="M544" s="1295"/>
      <c r="N544" s="1295"/>
      <c r="O544" s="77"/>
      <c r="P544" s="77"/>
      <c r="Q544" s="78"/>
      <c r="Z544" s="79"/>
      <c r="AA544" s="80"/>
      <c r="AB544" s="34"/>
      <c r="AC544" s="34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</row>
    <row r="545" spans="1:41" ht="18">
      <c r="A545" s="1295" t="s">
        <v>79</v>
      </c>
      <c r="B545" s="1295"/>
      <c r="C545" s="1295"/>
      <c r="D545" s="1295"/>
      <c r="E545" s="1295"/>
      <c r="F545" s="1295"/>
      <c r="G545" s="1295"/>
      <c r="H545" s="1295"/>
      <c r="I545" s="1295"/>
      <c r="J545" s="1295"/>
      <c r="K545" s="1295"/>
      <c r="L545" s="1295"/>
      <c r="M545" s="1295"/>
      <c r="N545" s="1295"/>
      <c r="O545" s="77"/>
      <c r="P545" s="77"/>
      <c r="Q545" s="78"/>
      <c r="Z545" s="79"/>
      <c r="AA545" s="80"/>
      <c r="AB545" s="34"/>
      <c r="AC545" s="34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</row>
    <row r="546" spans="1:41" ht="18">
      <c r="A546" s="168" t="s">
        <v>220</v>
      </c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33"/>
      <c r="N546" s="33"/>
      <c r="O546" s="77"/>
      <c r="P546" s="77"/>
      <c r="Q546" s="78"/>
      <c r="Z546" s="79"/>
      <c r="AA546" s="80"/>
      <c r="AB546" s="34"/>
      <c r="AC546" s="34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</row>
    <row r="547" spans="1:41" ht="18">
      <c r="A547" s="168" t="s">
        <v>444</v>
      </c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33"/>
      <c r="N547" s="33"/>
      <c r="O547" s="77"/>
      <c r="P547" s="77"/>
      <c r="Q547" s="78"/>
      <c r="Z547" s="79"/>
      <c r="AA547" s="80"/>
      <c r="AB547" s="34"/>
      <c r="AC547" s="34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</row>
    <row r="548" spans="1:41" ht="18.75" thickBot="1">
      <c r="A548" s="250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33"/>
      <c r="N548" s="33"/>
      <c r="O548" s="77"/>
      <c r="P548" s="77"/>
      <c r="Q548" s="78"/>
      <c r="Z548" s="79"/>
      <c r="AA548" s="80"/>
      <c r="AB548" s="34"/>
      <c r="AC548" s="34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</row>
    <row r="549" spans="1:41" ht="24" thickBot="1">
      <c r="A549" s="250"/>
      <c r="B549" s="250"/>
      <c r="C549" s="1333" t="s">
        <v>446</v>
      </c>
      <c r="D549" s="1334"/>
      <c r="E549" s="1334"/>
      <c r="F549" s="1334"/>
      <c r="G549" s="1334"/>
      <c r="H549" s="1334"/>
      <c r="I549" s="1334"/>
      <c r="J549" s="1334"/>
      <c r="K549" s="1334"/>
      <c r="L549" s="1335"/>
      <c r="M549" s="33"/>
      <c r="N549" s="33"/>
      <c r="O549" s="77"/>
      <c r="P549" s="77"/>
      <c r="Q549" s="78"/>
      <c r="Z549" s="79"/>
      <c r="AA549" s="80"/>
      <c r="AB549" s="34"/>
      <c r="AC549" s="34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</row>
    <row r="550" spans="1:41" ht="23.25">
      <c r="A550" s="250"/>
      <c r="B550" s="250"/>
      <c r="C550" s="249"/>
      <c r="D550" s="249"/>
      <c r="E550" s="249"/>
      <c r="F550" s="249"/>
      <c r="G550" s="249"/>
      <c r="H550" s="249"/>
      <c r="I550" s="249"/>
      <c r="J550" s="249"/>
      <c r="K550" s="249"/>
      <c r="L550" s="249"/>
      <c r="M550" s="33"/>
      <c r="N550" s="33"/>
      <c r="O550" s="77"/>
      <c r="P550" s="77"/>
      <c r="Q550" s="78"/>
      <c r="Z550" s="79"/>
      <c r="AA550" s="80"/>
      <c r="AB550" s="34"/>
      <c r="AC550" s="34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</row>
    <row r="551" spans="1:41" ht="23.25">
      <c r="A551" s="1295" t="s">
        <v>448</v>
      </c>
      <c r="B551" s="1295"/>
      <c r="C551" s="1295"/>
      <c r="D551" s="1294" t="s">
        <v>942</v>
      </c>
      <c r="E551" s="1294"/>
      <c r="F551" s="1294"/>
      <c r="G551" s="1294"/>
      <c r="H551" s="1294"/>
      <c r="I551" s="249"/>
      <c r="J551" s="249"/>
      <c r="K551" s="249" t="s">
        <v>449</v>
      </c>
      <c r="L551" s="249"/>
      <c r="M551" s="1295" t="s">
        <v>279</v>
      </c>
      <c r="N551" s="1295"/>
      <c r="O551" s="1292" t="str">
        <f>D551</f>
        <v>ملالي سميرة</v>
      </c>
      <c r="P551" s="1292"/>
      <c r="Q551" s="78">
        <v>18</v>
      </c>
      <c r="Z551" s="79"/>
      <c r="AA551" s="80"/>
      <c r="AB551" s="34"/>
      <c r="AC551" s="34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</row>
    <row r="552" spans="1:41" ht="24" thickBot="1">
      <c r="A552" s="1340" t="s">
        <v>450</v>
      </c>
      <c r="B552" s="1340"/>
      <c r="C552" s="1340"/>
      <c r="D552" s="1340">
        <v>0</v>
      </c>
      <c r="E552" s="1340"/>
      <c r="F552" s="1340"/>
      <c r="G552" s="1340"/>
      <c r="H552" s="87"/>
      <c r="I552" s="1340" t="s">
        <v>452</v>
      </c>
      <c r="J552" s="1340"/>
      <c r="K552" s="1340"/>
      <c r="L552" s="1341" t="s">
        <v>10</v>
      </c>
      <c r="M552" s="1341"/>
      <c r="N552" s="1341"/>
      <c r="O552" s="77"/>
      <c r="P552" s="77"/>
      <c r="Q552" s="78"/>
      <c r="Z552" s="79"/>
      <c r="AA552" s="80"/>
      <c r="AB552" s="34"/>
      <c r="AC552" s="34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</row>
    <row r="553" spans="1:41" ht="17.25" thickTop="1" thickBot="1">
      <c r="A553" s="1318" t="s">
        <v>453</v>
      </c>
      <c r="B553" s="1319"/>
      <c r="C553" s="88" t="s">
        <v>2</v>
      </c>
      <c r="D553" s="89" t="s">
        <v>10</v>
      </c>
      <c r="E553" s="89" t="s">
        <v>264</v>
      </c>
      <c r="F553" s="89"/>
      <c r="G553" s="89" t="s">
        <v>380</v>
      </c>
      <c r="H553" s="89" t="s">
        <v>380</v>
      </c>
      <c r="I553" s="89" t="s">
        <v>380</v>
      </c>
      <c r="J553" s="89" t="s">
        <v>380</v>
      </c>
      <c r="K553" s="89" t="s">
        <v>380</v>
      </c>
      <c r="L553" s="89" t="s">
        <v>380</v>
      </c>
      <c r="M553" s="89" t="s">
        <v>380</v>
      </c>
      <c r="N553" s="90" t="s">
        <v>380</v>
      </c>
      <c r="AA553" s="80"/>
      <c r="AB553" s="34"/>
      <c r="AC553" s="34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</row>
    <row r="554" spans="1:41" ht="24" thickBot="1">
      <c r="A554" s="1329" t="s">
        <v>454</v>
      </c>
      <c r="B554" s="1330"/>
      <c r="C554" s="91">
        <v>3</v>
      </c>
      <c r="D554" s="210">
        <v>4</v>
      </c>
      <c r="E554" s="210">
        <v>7</v>
      </c>
      <c r="F554" s="210"/>
      <c r="G554" s="210" t="s">
        <v>380</v>
      </c>
      <c r="H554" s="210" t="s">
        <v>380</v>
      </c>
      <c r="I554" s="210" t="s">
        <v>380</v>
      </c>
      <c r="J554" s="210" t="s">
        <v>380</v>
      </c>
      <c r="K554" s="210" t="s">
        <v>380</v>
      </c>
      <c r="L554" s="210" t="s">
        <v>380</v>
      </c>
      <c r="M554" s="210" t="s">
        <v>380</v>
      </c>
      <c r="N554" s="92" t="s">
        <v>380</v>
      </c>
      <c r="O554" s="152"/>
      <c r="R554" s="78"/>
      <c r="AA554" s="80"/>
      <c r="AB554" s="34"/>
      <c r="AC554" s="34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</row>
    <row r="555" spans="1:41" ht="24" thickBot="1">
      <c r="A555" s="1329" t="s">
        <v>455</v>
      </c>
      <c r="B555" s="1330"/>
      <c r="C555" s="91"/>
      <c r="D555" s="210"/>
      <c r="E555" s="210"/>
      <c r="F555" s="210"/>
      <c r="G555" s="210" t="s">
        <v>380</v>
      </c>
      <c r="H555" s="210" t="s">
        <v>380</v>
      </c>
      <c r="I555" s="210" t="s">
        <v>380</v>
      </c>
      <c r="J555" s="210" t="s">
        <v>380</v>
      </c>
      <c r="K555" s="210" t="s">
        <v>380</v>
      </c>
      <c r="L555" s="210" t="s">
        <v>380</v>
      </c>
      <c r="M555" s="210" t="s">
        <v>380</v>
      </c>
      <c r="N555" s="92" t="s">
        <v>380</v>
      </c>
      <c r="O555" s="152"/>
      <c r="R555" s="78"/>
      <c r="AA555" s="80"/>
      <c r="AB555" s="34"/>
      <c r="AC555" s="34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</row>
    <row r="556" spans="1:41" ht="24" thickBot="1">
      <c r="A556" s="1327" t="s">
        <v>456</v>
      </c>
      <c r="B556" s="1328"/>
      <c r="C556" s="93"/>
      <c r="D556" s="94"/>
      <c r="E556" s="94"/>
      <c r="F556" s="94"/>
      <c r="G556" s="94" t="s">
        <v>380</v>
      </c>
      <c r="H556" s="94" t="s">
        <v>380</v>
      </c>
      <c r="I556" s="94" t="s">
        <v>380</v>
      </c>
      <c r="J556" s="94" t="s">
        <v>380</v>
      </c>
      <c r="K556" s="94" t="s">
        <v>380</v>
      </c>
      <c r="L556" s="94" t="s">
        <v>380</v>
      </c>
      <c r="M556" s="94" t="s">
        <v>380</v>
      </c>
      <c r="N556" s="95" t="s">
        <v>380</v>
      </c>
      <c r="O556" s="152"/>
      <c r="AA556" s="80"/>
      <c r="AB556" s="34"/>
      <c r="AC556" s="34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</row>
    <row r="557" spans="1:41" ht="21" thickTop="1">
      <c r="A557" s="96"/>
      <c r="B557" s="96"/>
      <c r="C557" s="96"/>
      <c r="D557" s="96"/>
      <c r="E557" s="1326" t="s">
        <v>457</v>
      </c>
      <c r="F557" s="1310"/>
      <c r="G557" s="97">
        <v>18</v>
      </c>
      <c r="H557" s="1310" t="s">
        <v>458</v>
      </c>
      <c r="I557" s="1311"/>
      <c r="J557" s="1310" t="s">
        <v>459</v>
      </c>
      <c r="K557" s="1311"/>
      <c r="L557" s="96"/>
      <c r="M557" s="96"/>
      <c r="N557" s="96"/>
      <c r="O557" s="77"/>
      <c r="P557" s="77"/>
      <c r="Q557" s="78"/>
      <c r="AA557" s="80"/>
      <c r="AB557" s="34"/>
      <c r="AC557" s="34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</row>
    <row r="558" spans="1:41" ht="23.25">
      <c r="A558" s="96"/>
      <c r="B558" s="96"/>
      <c r="C558" s="96"/>
      <c r="D558" s="96"/>
      <c r="E558" s="1307" t="s">
        <v>460</v>
      </c>
      <c r="F558" s="1308"/>
      <c r="G558" s="98">
        <v>14</v>
      </c>
      <c r="H558" s="1312">
        <v>0</v>
      </c>
      <c r="I558" s="1312"/>
      <c r="J558" s="1312">
        <v>0</v>
      </c>
      <c r="K558" s="1313"/>
      <c r="L558" s="96"/>
      <c r="M558" s="96"/>
      <c r="N558" s="96"/>
      <c r="O558" s="77"/>
      <c r="P558" s="77"/>
      <c r="Q558" s="78">
        <f>G558+H558+H560+J558</f>
        <v>14</v>
      </c>
      <c r="Z558" s="79"/>
      <c r="AA558" s="80"/>
      <c r="AB558" s="34"/>
      <c r="AC558" s="34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</row>
    <row r="559" spans="1:41" ht="20.25">
      <c r="A559" s="96"/>
      <c r="B559" s="96"/>
      <c r="C559" s="96"/>
      <c r="D559" s="96"/>
      <c r="E559" s="1307" t="s">
        <v>461</v>
      </c>
      <c r="F559" s="1308"/>
      <c r="G559" s="99"/>
      <c r="H559" s="1308" t="s">
        <v>462</v>
      </c>
      <c r="I559" s="1308"/>
      <c r="J559" s="1308" t="s">
        <v>463</v>
      </c>
      <c r="K559" s="1309"/>
      <c r="L559" s="96"/>
      <c r="M559" s="96"/>
      <c r="N559" s="96"/>
      <c r="O559" s="77"/>
      <c r="P559" s="77"/>
      <c r="Q559" s="78"/>
      <c r="Z559" s="79"/>
      <c r="AA559" s="80"/>
      <c r="AB559" s="34"/>
      <c r="AC559" s="34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</row>
    <row r="560" spans="1:41" ht="24" thickBot="1">
      <c r="A560" s="96"/>
      <c r="B560" s="96"/>
      <c r="C560" s="96"/>
      <c r="D560" s="96"/>
      <c r="E560" s="1303" t="s">
        <v>464</v>
      </c>
      <c r="F560" s="1304"/>
      <c r="G560" s="99">
        <v>0</v>
      </c>
      <c r="H560" s="1305"/>
      <c r="I560" s="1305"/>
      <c r="J560" s="1305">
        <v>0</v>
      </c>
      <c r="K560" s="1306"/>
      <c r="L560" s="96"/>
      <c r="M560" s="96"/>
      <c r="N560" s="96"/>
      <c r="O560" s="77"/>
      <c r="P560" s="77"/>
      <c r="Q560" s="78"/>
      <c r="Z560" s="79"/>
      <c r="AA560" s="80"/>
      <c r="AB560" s="34"/>
      <c r="AC560" s="34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</row>
    <row r="561" spans="1:41" ht="17.25" thickTop="1" thickBot="1">
      <c r="A561" s="34"/>
      <c r="B561" s="34"/>
      <c r="C561" s="1299" t="s">
        <v>465</v>
      </c>
      <c r="D561" s="1299"/>
      <c r="E561" s="1299" t="s">
        <v>360</v>
      </c>
      <c r="F561" s="1299"/>
      <c r="G561" s="1302" t="s">
        <v>368</v>
      </c>
      <c r="H561" s="1302"/>
      <c r="I561" s="1302" t="s">
        <v>369</v>
      </c>
      <c r="J561" s="1302"/>
      <c r="K561" s="1302" t="s">
        <v>370</v>
      </c>
      <c r="L561" s="1299"/>
      <c r="M561" s="1299" t="s">
        <v>371</v>
      </c>
      <c r="N561" s="1299"/>
      <c r="O561" s="77"/>
      <c r="P561" s="77"/>
      <c r="Q561" s="78"/>
      <c r="Z561" s="79"/>
      <c r="AA561" s="80"/>
      <c r="AB561" s="34"/>
      <c r="AC561" s="34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</row>
    <row r="562" spans="1:41" ht="17.25" thickTop="1" thickBot="1">
      <c r="A562" s="34"/>
      <c r="B562" s="34"/>
      <c r="C562" s="1299" t="s">
        <v>372</v>
      </c>
      <c r="D562" s="1299"/>
      <c r="E562" s="1297"/>
      <c r="F562" s="1297"/>
      <c r="G562" s="1297"/>
      <c r="H562" s="1297"/>
      <c r="I562" s="1297" t="s">
        <v>264</v>
      </c>
      <c r="J562" s="1297"/>
      <c r="K562" s="1297"/>
      <c r="L562" s="1297"/>
      <c r="M562" s="1297" t="s">
        <v>264</v>
      </c>
      <c r="N562" s="1297"/>
      <c r="O562" s="77"/>
      <c r="P562" s="77"/>
      <c r="Q562" s="78"/>
      <c r="Z562" s="79"/>
      <c r="AA562" s="80"/>
      <c r="AB562" s="34"/>
      <c r="AC562" s="34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</row>
    <row r="563" spans="1:41" ht="17.25" thickTop="1" thickBot="1">
      <c r="A563" s="34"/>
      <c r="B563" s="34"/>
      <c r="C563" s="1299" t="s">
        <v>373</v>
      </c>
      <c r="D563" s="1299"/>
      <c r="E563" s="1297"/>
      <c r="F563" s="1297"/>
      <c r="G563" s="1297"/>
      <c r="H563" s="1297"/>
      <c r="I563" s="1297" t="s">
        <v>264</v>
      </c>
      <c r="J563" s="1297"/>
      <c r="K563" s="1297"/>
      <c r="L563" s="1297"/>
      <c r="M563" s="1297" t="s">
        <v>264</v>
      </c>
      <c r="N563" s="1297"/>
      <c r="O563" s="77"/>
      <c r="P563" s="77"/>
      <c r="Z563" s="79"/>
      <c r="AA563" s="80"/>
      <c r="AB563" s="34"/>
      <c r="AC563" s="34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</row>
    <row r="564" spans="1:41" ht="17.25" thickTop="1" thickBot="1">
      <c r="A564" s="34"/>
      <c r="B564" s="34"/>
      <c r="C564" s="1299" t="s">
        <v>374</v>
      </c>
      <c r="D564" s="1299"/>
      <c r="E564" s="1297"/>
      <c r="F564" s="1297"/>
      <c r="G564" s="1297"/>
      <c r="H564" s="1297"/>
      <c r="I564" s="1297" t="s">
        <v>10</v>
      </c>
      <c r="J564" s="1297"/>
      <c r="K564" s="1297" t="s">
        <v>264</v>
      </c>
      <c r="L564" s="1297"/>
      <c r="M564" s="1296" t="s">
        <v>10</v>
      </c>
      <c r="N564" s="1296"/>
      <c r="O564" s="77"/>
      <c r="P564" s="77"/>
      <c r="Z564" s="79"/>
      <c r="AA564" s="80"/>
      <c r="AB564" s="34"/>
      <c r="AC564" s="34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</row>
    <row r="565" spans="1:41" ht="17.25" thickTop="1" thickBot="1">
      <c r="A565" s="34"/>
      <c r="B565" s="34"/>
      <c r="C565" s="1299" t="s">
        <v>375</v>
      </c>
      <c r="D565" s="1299"/>
      <c r="E565" s="1297"/>
      <c r="F565" s="1297"/>
      <c r="G565" s="1297"/>
      <c r="H565" s="1297"/>
      <c r="I565" s="1297" t="s">
        <v>2</v>
      </c>
      <c r="J565" s="1297"/>
      <c r="K565" s="1297" t="s">
        <v>264</v>
      </c>
      <c r="L565" s="1297"/>
      <c r="M565" s="1297"/>
      <c r="N565" s="1297"/>
      <c r="O565" s="77"/>
      <c r="P565" s="77"/>
      <c r="Z565" s="79"/>
      <c r="AA565" s="80"/>
      <c r="AB565" s="34"/>
      <c r="AC565" s="34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</row>
    <row r="566" spans="1:41" ht="17.25" thickTop="1" thickBot="1">
      <c r="A566" s="34"/>
      <c r="B566" s="34"/>
      <c r="C566" s="101"/>
      <c r="D566" s="101"/>
      <c r="E566" s="33"/>
      <c r="F566" s="33"/>
      <c r="G566" s="33"/>
      <c r="H566" s="33"/>
      <c r="I566" s="33"/>
      <c r="J566" s="33"/>
      <c r="K566" s="34"/>
      <c r="L566" s="34"/>
      <c r="M566" s="33"/>
      <c r="N566" s="33"/>
      <c r="O566" s="77"/>
      <c r="P566" s="77"/>
      <c r="Z566" s="79"/>
      <c r="AA566" s="80"/>
      <c r="AB566" s="34"/>
      <c r="AC566" s="34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</row>
    <row r="567" spans="1:41" ht="17.25" thickTop="1" thickBot="1">
      <c r="A567" s="34"/>
      <c r="B567" s="34"/>
      <c r="C567" s="1299" t="s">
        <v>921</v>
      </c>
      <c r="D567" s="1299"/>
      <c r="E567" s="1297" t="s">
        <v>264</v>
      </c>
      <c r="F567" s="1297"/>
      <c r="G567" s="1297"/>
      <c r="H567" s="1297"/>
      <c r="I567" s="1297"/>
      <c r="J567" s="1297"/>
      <c r="K567" s="1317" t="s">
        <v>2</v>
      </c>
      <c r="L567" s="1317"/>
      <c r="M567" s="1297"/>
      <c r="N567" s="1297"/>
      <c r="O567" s="77"/>
      <c r="P567" s="77"/>
      <c r="Z567" s="79"/>
      <c r="AA567" s="80"/>
      <c r="AB567" s="34"/>
      <c r="AC567" s="34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</row>
    <row r="568" spans="1:41" ht="17.25" thickTop="1" thickBot="1">
      <c r="A568" s="34"/>
      <c r="B568" s="34"/>
      <c r="C568" s="1299" t="s">
        <v>922</v>
      </c>
      <c r="D568" s="1299"/>
      <c r="E568" s="1297" t="s">
        <v>2</v>
      </c>
      <c r="F568" s="1297"/>
      <c r="G568" s="1297"/>
      <c r="H568" s="1297"/>
      <c r="I568" s="1297"/>
      <c r="J568" s="1297"/>
      <c r="K568" s="1297"/>
      <c r="L568" s="1297"/>
      <c r="M568" s="1297"/>
      <c r="N568" s="1297"/>
      <c r="O568" s="77"/>
      <c r="P568" s="77"/>
      <c r="Z568" s="79"/>
      <c r="AA568" s="80"/>
      <c r="AB568" s="34"/>
      <c r="AC568" s="34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</row>
    <row r="569" spans="1:41" ht="17.25" thickTop="1" thickBot="1">
      <c r="A569" s="34"/>
      <c r="B569" s="34"/>
      <c r="C569" s="1299" t="s">
        <v>923</v>
      </c>
      <c r="D569" s="1299"/>
      <c r="E569" s="1297" t="s">
        <v>10</v>
      </c>
      <c r="F569" s="1297"/>
      <c r="G569" s="1297"/>
      <c r="H569" s="1297"/>
      <c r="I569" s="1297"/>
      <c r="J569" s="1297"/>
      <c r="K569" s="1297" t="s">
        <v>10</v>
      </c>
      <c r="L569" s="1297"/>
      <c r="M569" s="1297"/>
      <c r="N569" s="1297"/>
      <c r="O569" s="77"/>
      <c r="P569" s="77"/>
      <c r="Z569" s="79"/>
      <c r="AA569" s="80"/>
      <c r="AB569" s="34"/>
      <c r="AC569" s="34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</row>
    <row r="570" spans="1:41" ht="17.25" thickTop="1" thickBot="1">
      <c r="A570" s="34"/>
      <c r="B570" s="34"/>
      <c r="C570" s="1299" t="s">
        <v>924</v>
      </c>
      <c r="D570" s="1299"/>
      <c r="E570" s="1297" t="s">
        <v>380</v>
      </c>
      <c r="F570" s="1297"/>
      <c r="G570" s="1297" t="s">
        <v>380</v>
      </c>
      <c r="H570" s="1297"/>
      <c r="I570" s="1297" t="s">
        <v>380</v>
      </c>
      <c r="J570" s="1297"/>
      <c r="K570" s="1297" t="s">
        <v>380</v>
      </c>
      <c r="L570" s="1297"/>
      <c r="M570" s="1297" t="s">
        <v>380</v>
      </c>
      <c r="N570" s="1297"/>
      <c r="O570" s="77"/>
      <c r="P570" s="77"/>
      <c r="Z570" s="79"/>
      <c r="AA570" s="80"/>
      <c r="AB570" s="34"/>
      <c r="AC570" s="34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</row>
    <row r="571" spans="1:41" ht="17.25" thickTop="1" thickBot="1">
      <c r="A571" s="34"/>
      <c r="B571" s="34"/>
      <c r="C571" s="33"/>
      <c r="D571" s="33"/>
      <c r="E571" s="33"/>
      <c r="F571" s="33"/>
      <c r="G571" s="33"/>
      <c r="H571" s="33"/>
      <c r="I571" s="33"/>
      <c r="J571" s="33"/>
      <c r="K571" s="34"/>
      <c r="L571" s="34"/>
      <c r="M571" s="33"/>
      <c r="N571" s="33"/>
      <c r="O571" s="77"/>
      <c r="P571" s="77"/>
      <c r="Z571" s="79"/>
      <c r="AA571" s="80"/>
      <c r="AB571" s="34"/>
      <c r="AC571" s="34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</row>
    <row r="572" spans="1:41" ht="19.5" thickTop="1" thickBot="1">
      <c r="A572" s="1321" t="s">
        <v>467</v>
      </c>
      <c r="B572" s="1322"/>
      <c r="C572" s="1323" t="s">
        <v>380</v>
      </c>
      <c r="D572" s="1323"/>
      <c r="E572" s="1323" t="s">
        <v>380</v>
      </c>
      <c r="F572" s="1323"/>
      <c r="G572" s="250"/>
      <c r="H572" s="250" t="s">
        <v>468</v>
      </c>
      <c r="I572" s="1295" t="s">
        <v>402</v>
      </c>
      <c r="J572" s="1295"/>
      <c r="K572" s="1295"/>
      <c r="L572" s="102" t="s">
        <v>403</v>
      </c>
      <c r="M572" s="1331">
        <f ca="1">TODAY()</f>
        <v>45944</v>
      </c>
      <c r="N572" s="1331"/>
      <c r="O572" s="77"/>
      <c r="P572" s="77"/>
      <c r="Q572" s="78"/>
      <c r="Z572" s="79"/>
      <c r="AA572" s="80"/>
      <c r="AB572" s="34"/>
      <c r="AC572" s="34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</row>
    <row r="573" spans="1:41" ht="19.5" thickTop="1" thickBot="1">
      <c r="A573" s="1321" t="s">
        <v>469</v>
      </c>
      <c r="B573" s="1322"/>
      <c r="C573" s="1323" t="s">
        <v>380</v>
      </c>
      <c r="D573" s="1323"/>
      <c r="E573" s="1323" t="s">
        <v>380</v>
      </c>
      <c r="F573" s="1323"/>
      <c r="G573" s="250"/>
      <c r="H573" s="250"/>
      <c r="I573" s="250"/>
      <c r="J573" s="250"/>
      <c r="K573" s="102"/>
      <c r="L573" s="102"/>
      <c r="M573" s="33"/>
      <c r="N573" s="33"/>
      <c r="O573" s="77"/>
      <c r="P573" s="77"/>
      <c r="Q573" s="78"/>
      <c r="Z573" s="79"/>
      <c r="AA573" s="80"/>
      <c r="AB573" s="34"/>
      <c r="AC573" s="34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</row>
    <row r="574" spans="1:41" ht="19.5" thickTop="1" thickBot="1">
      <c r="A574" s="1321" t="s">
        <v>470</v>
      </c>
      <c r="B574" s="1322"/>
      <c r="C574" s="1323" t="s">
        <v>380</v>
      </c>
      <c r="D574" s="1323"/>
      <c r="E574" s="1323" t="s">
        <v>380</v>
      </c>
      <c r="F574" s="1323"/>
      <c r="G574" s="250"/>
      <c r="H574" s="250"/>
      <c r="I574" s="250"/>
      <c r="J574" s="250" t="s">
        <v>471</v>
      </c>
      <c r="K574" s="102"/>
      <c r="L574" s="102"/>
      <c r="M574" s="33"/>
      <c r="N574" s="33"/>
      <c r="O574" s="77"/>
      <c r="P574" s="77"/>
      <c r="Q574" s="78"/>
      <c r="Z574" s="79"/>
      <c r="AA574" s="80"/>
      <c r="AB574" s="34"/>
      <c r="AC574" s="34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</row>
    <row r="575" spans="1:41" ht="24" thickTop="1">
      <c r="A575" s="34"/>
      <c r="B575" s="34"/>
      <c r="C575" s="33"/>
      <c r="D575" s="33"/>
      <c r="E575" s="33"/>
      <c r="F575" s="33"/>
      <c r="G575" s="33"/>
      <c r="H575" s="103" t="s">
        <v>406</v>
      </c>
      <c r="I575" s="33"/>
      <c r="J575" s="34"/>
      <c r="K575" s="34"/>
      <c r="L575" s="33"/>
      <c r="M575" s="33"/>
      <c r="N575" s="104"/>
      <c r="O575" s="77"/>
      <c r="P575" s="77"/>
      <c r="Q575" s="78"/>
      <c r="Z575" s="79"/>
      <c r="AA575" s="80"/>
      <c r="AB575" s="34"/>
      <c r="AC575" s="34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</row>
    <row r="576" spans="1:41" ht="18">
      <c r="A576" s="1295" t="s">
        <v>78</v>
      </c>
      <c r="B576" s="1295"/>
      <c r="C576" s="1295"/>
      <c r="D576" s="1295"/>
      <c r="E576" s="1295"/>
      <c r="F576" s="1295"/>
      <c r="G576" s="1295"/>
      <c r="H576" s="1295"/>
      <c r="I576" s="1295"/>
      <c r="J576" s="1295"/>
      <c r="K576" s="1295"/>
      <c r="L576" s="1295"/>
      <c r="M576" s="1295"/>
      <c r="N576" s="1295"/>
      <c r="O576" s="77"/>
      <c r="P576" s="77"/>
      <c r="Q576" s="78"/>
      <c r="Z576" s="79"/>
      <c r="AA576" s="80"/>
      <c r="AB576" s="34"/>
      <c r="AC576" s="34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</row>
    <row r="577" spans="1:41" ht="18">
      <c r="A577" s="1295" t="s">
        <v>79</v>
      </c>
      <c r="B577" s="1295"/>
      <c r="C577" s="1295"/>
      <c r="D577" s="1295"/>
      <c r="E577" s="1295"/>
      <c r="F577" s="1295"/>
      <c r="G577" s="1295"/>
      <c r="H577" s="1295"/>
      <c r="I577" s="1295"/>
      <c r="J577" s="1295"/>
      <c r="K577" s="1295"/>
      <c r="L577" s="1295"/>
      <c r="M577" s="1295"/>
      <c r="N577" s="1295"/>
      <c r="O577" s="77"/>
      <c r="P577" s="77"/>
      <c r="Q577" s="78"/>
      <c r="Z577" s="79"/>
      <c r="AA577" s="80"/>
      <c r="AB577" s="34"/>
      <c r="AC577" s="34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</row>
    <row r="578" spans="1:41" ht="18">
      <c r="A578" s="168" t="s">
        <v>220</v>
      </c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33"/>
      <c r="N578" s="33"/>
      <c r="O578" s="77"/>
      <c r="P578" s="77"/>
      <c r="Q578" s="78"/>
      <c r="Z578" s="79"/>
      <c r="AA578" s="80"/>
      <c r="AB578" s="34"/>
      <c r="AC578" s="34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</row>
    <row r="579" spans="1:41" ht="18">
      <c r="A579" s="168" t="s">
        <v>444</v>
      </c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33"/>
      <c r="N579" s="33"/>
      <c r="O579" s="77"/>
      <c r="P579" s="77"/>
      <c r="Q579" s="78"/>
      <c r="Z579" s="79"/>
      <c r="AA579" s="80"/>
      <c r="AB579" s="34"/>
      <c r="AC579" s="34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</row>
    <row r="580" spans="1:41" ht="18.75" thickBot="1">
      <c r="A580" s="250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33"/>
      <c r="N580" s="33"/>
      <c r="O580" s="77"/>
      <c r="P580" s="77"/>
      <c r="Q580" s="78"/>
      <c r="Z580" s="79"/>
      <c r="AA580" s="80"/>
      <c r="AB580" s="34"/>
      <c r="AC580" s="34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</row>
    <row r="581" spans="1:41" ht="24" thickBot="1">
      <c r="A581" s="250"/>
      <c r="B581" s="250"/>
      <c r="C581" s="1333" t="s">
        <v>446</v>
      </c>
      <c r="D581" s="1334"/>
      <c r="E581" s="1334"/>
      <c r="F581" s="1334"/>
      <c r="G581" s="1334"/>
      <c r="H581" s="1334"/>
      <c r="I581" s="1334"/>
      <c r="J581" s="1334"/>
      <c r="K581" s="1334"/>
      <c r="L581" s="1335"/>
      <c r="M581" s="33"/>
      <c r="N581" s="33"/>
      <c r="O581" s="77"/>
      <c r="P581" s="77"/>
      <c r="Q581" s="78"/>
      <c r="Z581" s="79"/>
      <c r="AA581" s="80"/>
      <c r="AB581" s="34"/>
      <c r="AC581" s="34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</row>
    <row r="582" spans="1:41" ht="23.25">
      <c r="A582" s="250"/>
      <c r="B582" s="250"/>
      <c r="C582" s="249"/>
      <c r="D582" s="249"/>
      <c r="E582" s="249"/>
      <c r="F582" s="249"/>
      <c r="G582" s="249"/>
      <c r="H582" s="249"/>
      <c r="I582" s="249"/>
      <c r="J582" s="249"/>
      <c r="K582" s="249"/>
      <c r="L582" s="249"/>
      <c r="M582" s="33"/>
      <c r="N582" s="33"/>
      <c r="O582" s="77"/>
      <c r="P582" s="77"/>
      <c r="Q582" s="78"/>
      <c r="Z582" s="79"/>
      <c r="AA582" s="80"/>
      <c r="AB582" s="34"/>
      <c r="AC582" s="34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</row>
    <row r="583" spans="1:41" ht="23.25">
      <c r="A583" s="1295" t="s">
        <v>448</v>
      </c>
      <c r="B583" s="1295"/>
      <c r="C583" s="1295"/>
      <c r="D583" s="1320" t="s">
        <v>286</v>
      </c>
      <c r="E583" s="1320"/>
      <c r="F583" s="1320"/>
      <c r="G583" s="1320"/>
      <c r="H583" s="1320"/>
      <c r="I583" s="249"/>
      <c r="J583" s="249"/>
      <c r="K583" s="249" t="s">
        <v>449</v>
      </c>
      <c r="L583" s="249"/>
      <c r="M583" s="1295" t="s">
        <v>384</v>
      </c>
      <c r="N583" s="1295"/>
      <c r="O583" s="1292" t="str">
        <f>D583</f>
        <v>بوترعة سحنونية</v>
      </c>
      <c r="P583" s="1292"/>
      <c r="Q583" s="78">
        <v>19</v>
      </c>
      <c r="Z583" s="79"/>
      <c r="AA583" s="80"/>
      <c r="AB583" s="34"/>
      <c r="AC583" s="34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</row>
    <row r="584" spans="1:41" ht="24" thickBot="1">
      <c r="A584" s="1340" t="s">
        <v>450</v>
      </c>
      <c r="B584" s="1340"/>
      <c r="C584" s="1340"/>
      <c r="D584" s="1340">
        <v>0</v>
      </c>
      <c r="E584" s="1340"/>
      <c r="F584" s="1340"/>
      <c r="G584" s="1340"/>
      <c r="H584" s="87"/>
      <c r="I584" s="1340" t="s">
        <v>452</v>
      </c>
      <c r="J584" s="1340"/>
      <c r="K584" s="1340"/>
      <c r="L584" s="1341"/>
      <c r="M584" s="1341"/>
      <c r="N584" s="1341"/>
      <c r="O584" s="77"/>
      <c r="P584" s="77"/>
      <c r="Q584" s="78"/>
      <c r="Z584" s="79"/>
      <c r="AA584" s="80"/>
      <c r="AB584" s="34"/>
      <c r="AC584" s="34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</row>
    <row r="585" spans="1:41" ht="17.25" thickTop="1" thickBot="1">
      <c r="A585" s="1318" t="s">
        <v>453</v>
      </c>
      <c r="B585" s="1319"/>
      <c r="C585" s="88" t="s">
        <v>1</v>
      </c>
      <c r="D585" s="89" t="s">
        <v>807</v>
      </c>
      <c r="E585" s="89" t="s">
        <v>268</v>
      </c>
      <c r="F585" s="89" t="s">
        <v>11</v>
      </c>
      <c r="G585" s="89" t="s">
        <v>380</v>
      </c>
      <c r="H585" s="89" t="s">
        <v>380</v>
      </c>
      <c r="I585" s="89" t="s">
        <v>380</v>
      </c>
      <c r="J585" s="89" t="s">
        <v>380</v>
      </c>
      <c r="K585" s="89" t="s">
        <v>380</v>
      </c>
      <c r="L585" s="89" t="s">
        <v>380</v>
      </c>
      <c r="M585" s="89" t="s">
        <v>380</v>
      </c>
      <c r="N585" s="90" t="s">
        <v>380</v>
      </c>
      <c r="Z585" s="79"/>
      <c r="AA585" s="80"/>
      <c r="AB585" s="34"/>
      <c r="AC585" s="34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</row>
    <row r="586" spans="1:41" ht="24" thickBot="1">
      <c r="A586" s="1329" t="s">
        <v>454</v>
      </c>
      <c r="B586" s="1330"/>
      <c r="C586" s="91">
        <v>3</v>
      </c>
      <c r="D586" s="210">
        <v>3</v>
      </c>
      <c r="E586" s="210">
        <v>5</v>
      </c>
      <c r="F586" s="210">
        <v>4</v>
      </c>
      <c r="G586" s="210" t="s">
        <v>380</v>
      </c>
      <c r="H586" s="210" t="s">
        <v>380</v>
      </c>
      <c r="I586" s="210" t="s">
        <v>380</v>
      </c>
      <c r="J586" s="210" t="s">
        <v>380</v>
      </c>
      <c r="K586" s="210" t="s">
        <v>380</v>
      </c>
      <c r="L586" s="210" t="s">
        <v>380</v>
      </c>
      <c r="M586" s="210" t="s">
        <v>380</v>
      </c>
      <c r="N586" s="92" t="s">
        <v>380</v>
      </c>
      <c r="O586" s="152"/>
      <c r="R586" s="78"/>
      <c r="Z586" s="79"/>
      <c r="AA586" s="80"/>
      <c r="AB586" s="34"/>
      <c r="AC586" s="34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</row>
    <row r="587" spans="1:41" ht="24" thickBot="1">
      <c r="A587" s="1329" t="s">
        <v>455</v>
      </c>
      <c r="B587" s="1330"/>
      <c r="C587" s="91"/>
      <c r="D587" s="210"/>
      <c r="E587" s="210"/>
      <c r="F587" s="210"/>
      <c r="G587" s="210" t="s">
        <v>380</v>
      </c>
      <c r="H587" s="210" t="s">
        <v>380</v>
      </c>
      <c r="I587" s="210" t="s">
        <v>380</v>
      </c>
      <c r="J587" s="210" t="s">
        <v>380</v>
      </c>
      <c r="K587" s="210" t="s">
        <v>380</v>
      </c>
      <c r="L587" s="210" t="s">
        <v>380</v>
      </c>
      <c r="M587" s="210" t="s">
        <v>380</v>
      </c>
      <c r="N587" s="92" t="s">
        <v>380</v>
      </c>
      <c r="O587" s="152"/>
      <c r="R587" s="78"/>
      <c r="Z587" s="79"/>
      <c r="AA587" s="80"/>
      <c r="AB587" s="34"/>
      <c r="AC587" s="34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</row>
    <row r="588" spans="1:41" ht="24" thickBot="1">
      <c r="A588" s="1327" t="s">
        <v>456</v>
      </c>
      <c r="B588" s="1328"/>
      <c r="C588" s="93"/>
      <c r="D588" s="94"/>
      <c r="E588" s="94"/>
      <c r="F588" s="94"/>
      <c r="G588" s="94" t="s">
        <v>380</v>
      </c>
      <c r="H588" s="94" t="s">
        <v>380</v>
      </c>
      <c r="I588" s="94" t="s">
        <v>380</v>
      </c>
      <c r="J588" s="94" t="s">
        <v>380</v>
      </c>
      <c r="K588" s="94" t="s">
        <v>380</v>
      </c>
      <c r="L588" s="94" t="s">
        <v>380</v>
      </c>
      <c r="M588" s="94" t="s">
        <v>380</v>
      </c>
      <c r="N588" s="95" t="s">
        <v>380</v>
      </c>
      <c r="O588" s="152"/>
      <c r="Z588" s="79"/>
      <c r="AA588" s="80"/>
      <c r="AB588" s="34"/>
      <c r="AC588" s="34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</row>
    <row r="589" spans="1:41" ht="21" thickTop="1">
      <c r="A589" s="96"/>
      <c r="B589" s="96"/>
      <c r="C589" s="96"/>
      <c r="D589" s="96"/>
      <c r="E589" s="1326" t="s">
        <v>457</v>
      </c>
      <c r="F589" s="1310"/>
      <c r="G589" s="97">
        <v>18</v>
      </c>
      <c r="H589" s="1310" t="s">
        <v>458</v>
      </c>
      <c r="I589" s="1311"/>
      <c r="J589" s="1310" t="s">
        <v>459</v>
      </c>
      <c r="K589" s="1311"/>
      <c r="L589" s="96"/>
      <c r="M589" s="96"/>
      <c r="N589" s="96"/>
      <c r="O589" s="77"/>
      <c r="P589" s="77"/>
      <c r="Q589" s="78"/>
      <c r="Z589" s="79"/>
      <c r="AA589" s="80"/>
      <c r="AB589" s="34"/>
      <c r="AC589" s="34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</row>
    <row r="590" spans="1:41" ht="23.25">
      <c r="A590" s="96"/>
      <c r="B590" s="96"/>
      <c r="C590" s="96"/>
      <c r="D590" s="96"/>
      <c r="E590" s="1307" t="s">
        <v>460</v>
      </c>
      <c r="F590" s="1308"/>
      <c r="G590" s="98">
        <v>16</v>
      </c>
      <c r="H590" s="1312">
        <v>0</v>
      </c>
      <c r="I590" s="1312"/>
      <c r="J590" s="1312">
        <v>0</v>
      </c>
      <c r="K590" s="1313"/>
      <c r="L590" s="96"/>
      <c r="M590" s="96"/>
      <c r="N590" s="96"/>
      <c r="O590" s="77"/>
      <c r="P590" s="77"/>
      <c r="Q590" s="78">
        <f>G590+H590+H592+J590</f>
        <v>16</v>
      </c>
      <c r="Z590" s="79"/>
      <c r="AA590" s="80"/>
      <c r="AB590" s="34"/>
      <c r="AC590" s="34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</row>
    <row r="591" spans="1:41" ht="20.25">
      <c r="A591" s="96"/>
      <c r="B591" s="96"/>
      <c r="C591" s="96"/>
      <c r="D591" s="96"/>
      <c r="E591" s="1307" t="s">
        <v>461</v>
      </c>
      <c r="F591" s="1308"/>
      <c r="G591" s="99"/>
      <c r="H591" s="1308" t="s">
        <v>462</v>
      </c>
      <c r="I591" s="1308"/>
      <c r="J591" s="1308" t="s">
        <v>463</v>
      </c>
      <c r="K591" s="1309"/>
      <c r="L591" s="96"/>
      <c r="M591" s="96"/>
      <c r="N591" s="96"/>
      <c r="O591" s="77"/>
      <c r="P591" s="77"/>
      <c r="Q591" s="78"/>
      <c r="Z591" s="79"/>
      <c r="AA591" s="80"/>
      <c r="AB591" s="34"/>
      <c r="AC591" s="34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</row>
    <row r="592" spans="1:41" ht="24" thickBot="1">
      <c r="A592" s="96"/>
      <c r="B592" s="96"/>
      <c r="C592" s="96"/>
      <c r="D592" s="96"/>
      <c r="E592" s="1303" t="s">
        <v>464</v>
      </c>
      <c r="F592" s="1304"/>
      <c r="G592" s="99">
        <v>0</v>
      </c>
      <c r="H592" s="1305"/>
      <c r="I592" s="1305"/>
      <c r="J592" s="1305">
        <v>0</v>
      </c>
      <c r="K592" s="1306"/>
      <c r="L592" s="96"/>
      <c r="M592" s="96"/>
      <c r="N592" s="96"/>
      <c r="O592" s="77"/>
      <c r="P592" s="77"/>
      <c r="Q592" s="78"/>
      <c r="Z592" s="79"/>
      <c r="AA592" s="80"/>
      <c r="AB592" s="34"/>
      <c r="AC592" s="34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</row>
    <row r="593" spans="1:41" ht="17.25" thickTop="1" thickBot="1">
      <c r="A593" s="34"/>
      <c r="B593" s="34"/>
      <c r="C593" s="1299" t="s">
        <v>465</v>
      </c>
      <c r="D593" s="1299"/>
      <c r="E593" s="1299" t="s">
        <v>360</v>
      </c>
      <c r="F593" s="1299"/>
      <c r="G593" s="1302" t="s">
        <v>368</v>
      </c>
      <c r="H593" s="1302"/>
      <c r="I593" s="1302" t="s">
        <v>369</v>
      </c>
      <c r="J593" s="1302"/>
      <c r="K593" s="1302" t="s">
        <v>370</v>
      </c>
      <c r="L593" s="1299"/>
      <c r="M593" s="1299" t="s">
        <v>371</v>
      </c>
      <c r="N593" s="1299"/>
      <c r="O593" s="77"/>
      <c r="P593" s="77"/>
      <c r="Q593" s="78"/>
      <c r="Z593" s="79"/>
      <c r="AA593" s="80"/>
      <c r="AB593" s="34"/>
      <c r="AC593" s="34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</row>
    <row r="594" spans="1:41" ht="20.25" thickTop="1" thickBot="1">
      <c r="A594" s="34"/>
      <c r="B594" s="34"/>
      <c r="C594" s="1299" t="s">
        <v>372</v>
      </c>
      <c r="D594" s="1299"/>
      <c r="E594" s="1324" t="s">
        <v>268</v>
      </c>
      <c r="F594" s="1325"/>
      <c r="G594" s="1297"/>
      <c r="H594" s="1297"/>
      <c r="I594" s="1297" t="s">
        <v>268</v>
      </c>
      <c r="J594" s="1297"/>
      <c r="K594" s="1297"/>
      <c r="L594" s="1297"/>
      <c r="M594" s="1296" t="s">
        <v>11</v>
      </c>
      <c r="N594" s="1296"/>
      <c r="O594" s="77"/>
      <c r="P594" s="77"/>
      <c r="Z594" s="79"/>
      <c r="AA594" s="80"/>
      <c r="AB594" s="34"/>
      <c r="AC594" s="34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</row>
    <row r="595" spans="1:41" ht="20.25" thickTop="1" thickBot="1">
      <c r="A595" s="34"/>
      <c r="B595" s="34"/>
      <c r="C595" s="1299" t="s">
        <v>373</v>
      </c>
      <c r="D595" s="1299"/>
      <c r="E595" s="1324" t="s">
        <v>268</v>
      </c>
      <c r="F595" s="1325"/>
      <c r="G595" s="1297"/>
      <c r="H595" s="1297"/>
      <c r="I595" s="1300" t="s">
        <v>11</v>
      </c>
      <c r="J595" s="1300"/>
      <c r="K595" s="1297"/>
      <c r="L595" s="1297"/>
      <c r="M595" s="1297" t="s">
        <v>1</v>
      </c>
      <c r="N595" s="1297"/>
      <c r="O595" s="77"/>
      <c r="P595" s="77"/>
      <c r="Z595" s="79"/>
      <c r="AA595" s="80"/>
      <c r="AB595" s="34"/>
      <c r="AC595" s="34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</row>
    <row r="596" spans="1:41" ht="17.25" thickTop="1" thickBot="1">
      <c r="A596" s="34"/>
      <c r="B596" s="34"/>
      <c r="C596" s="1299" t="s">
        <v>374</v>
      </c>
      <c r="D596" s="1299"/>
      <c r="E596" s="1297"/>
      <c r="F596" s="1297"/>
      <c r="G596" s="1297"/>
      <c r="H596" s="1297"/>
      <c r="I596" s="1297" t="s">
        <v>1</v>
      </c>
      <c r="J596" s="1297"/>
      <c r="K596" s="1297"/>
      <c r="L596" s="1297"/>
      <c r="M596" s="1301" t="s">
        <v>807</v>
      </c>
      <c r="N596" s="1301"/>
      <c r="O596" s="77"/>
      <c r="P596" s="77"/>
      <c r="Z596" s="79"/>
      <c r="AA596" s="80"/>
      <c r="AB596" s="34"/>
      <c r="AC596" s="34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</row>
    <row r="597" spans="1:41" ht="17.25" thickTop="1" thickBot="1">
      <c r="A597" s="34"/>
      <c r="B597" s="34"/>
      <c r="C597" s="1299" t="s">
        <v>375</v>
      </c>
      <c r="D597" s="1299"/>
      <c r="E597" s="1297"/>
      <c r="F597" s="1297"/>
      <c r="G597" s="1297"/>
      <c r="H597" s="1297"/>
      <c r="I597" s="1300" t="s">
        <v>807</v>
      </c>
      <c r="J597" s="1300"/>
      <c r="K597" s="1297"/>
      <c r="L597" s="1297"/>
      <c r="M597" s="1297" t="s">
        <v>268</v>
      </c>
      <c r="N597" s="1297"/>
      <c r="O597" s="77"/>
      <c r="P597" s="77"/>
      <c r="Z597" s="79"/>
      <c r="AA597" s="80"/>
      <c r="AB597" s="34"/>
      <c r="AC597" s="34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</row>
    <row r="598" spans="1:41" ht="17.25" thickTop="1" thickBot="1">
      <c r="A598" s="34"/>
      <c r="B598" s="34"/>
      <c r="C598" s="101"/>
      <c r="D598" s="101"/>
      <c r="E598" s="33"/>
      <c r="F598" s="33"/>
      <c r="G598" s="33"/>
      <c r="H598" s="33"/>
      <c r="I598" s="33"/>
      <c r="J598" s="33"/>
      <c r="K598" s="34"/>
      <c r="L598" s="34"/>
      <c r="M598" s="33"/>
      <c r="N598" s="33"/>
      <c r="O598" s="77"/>
      <c r="P598" s="77"/>
      <c r="Z598" s="79"/>
      <c r="AA598" s="80"/>
      <c r="AB598" s="34"/>
      <c r="AC598" s="34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</row>
    <row r="599" spans="1:41" ht="17.25" thickTop="1" thickBot="1">
      <c r="A599" s="34"/>
      <c r="B599" s="34"/>
      <c r="C599" s="1299" t="s">
        <v>921</v>
      </c>
      <c r="D599" s="1299"/>
      <c r="E599" s="1297" t="s">
        <v>11</v>
      </c>
      <c r="F599" s="1297"/>
      <c r="G599" s="1297"/>
      <c r="H599" s="1297"/>
      <c r="I599" s="1297"/>
      <c r="J599" s="1297"/>
      <c r="K599" s="1296"/>
      <c r="L599" s="1296"/>
      <c r="M599" s="1296"/>
      <c r="N599" s="1296"/>
      <c r="O599" s="77"/>
      <c r="P599" s="77"/>
      <c r="Z599" s="79"/>
      <c r="AA599" s="80"/>
      <c r="AB599" s="34"/>
      <c r="AC599" s="34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</row>
    <row r="600" spans="1:41" ht="17.25" thickTop="1" thickBot="1">
      <c r="A600" s="34"/>
      <c r="B600" s="34"/>
      <c r="C600" s="1299" t="s">
        <v>922</v>
      </c>
      <c r="D600" s="1299"/>
      <c r="E600" s="1297" t="s">
        <v>1</v>
      </c>
      <c r="F600" s="1297"/>
      <c r="G600" s="1297"/>
      <c r="H600" s="1297"/>
      <c r="I600" s="1297"/>
      <c r="J600" s="1297"/>
      <c r="K600" s="1296" t="s">
        <v>268</v>
      </c>
      <c r="L600" s="1296"/>
      <c r="M600" s="1297"/>
      <c r="N600" s="1297"/>
      <c r="O600" s="77"/>
      <c r="P600" s="77"/>
      <c r="Z600" s="79"/>
      <c r="AA600" s="80"/>
      <c r="AB600" s="34"/>
      <c r="AC600" s="34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</row>
    <row r="601" spans="1:41" ht="17.25" thickTop="1" thickBot="1">
      <c r="A601" s="34"/>
      <c r="B601" s="34"/>
      <c r="C601" s="1299" t="s">
        <v>923</v>
      </c>
      <c r="D601" s="1299"/>
      <c r="E601" s="1297"/>
      <c r="F601" s="1297"/>
      <c r="G601" s="1297"/>
      <c r="H601" s="1297"/>
      <c r="I601" s="1297"/>
      <c r="J601" s="1297"/>
      <c r="K601" s="1300" t="s">
        <v>11</v>
      </c>
      <c r="L601" s="1300"/>
      <c r="M601" s="1301"/>
      <c r="N601" s="1301"/>
      <c r="O601" s="77"/>
      <c r="P601" s="77"/>
      <c r="Z601" s="79"/>
      <c r="AA601" s="80"/>
      <c r="AB601" s="34"/>
      <c r="AC601" s="34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</row>
    <row r="602" spans="1:41" ht="17.25" thickTop="1" thickBot="1">
      <c r="A602" s="34"/>
      <c r="B602" s="34"/>
      <c r="C602" s="1299" t="s">
        <v>924</v>
      </c>
      <c r="D602" s="1299"/>
      <c r="E602" s="1297" t="s">
        <v>807</v>
      </c>
      <c r="F602" s="1297"/>
      <c r="G602" s="1297" t="s">
        <v>380</v>
      </c>
      <c r="H602" s="1297"/>
      <c r="I602" s="1297" t="s">
        <v>380</v>
      </c>
      <c r="J602" s="1297"/>
      <c r="K602" s="1297" t="s">
        <v>380</v>
      </c>
      <c r="L602" s="1297"/>
      <c r="M602" s="1297" t="s">
        <v>380</v>
      </c>
      <c r="N602" s="1297"/>
      <c r="O602" s="77"/>
      <c r="P602" s="77"/>
      <c r="Z602" s="79"/>
      <c r="AA602" s="80"/>
      <c r="AB602" s="34"/>
      <c r="AC602" s="34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</row>
    <row r="603" spans="1:41" ht="17.25" thickTop="1" thickBot="1">
      <c r="A603" s="34"/>
      <c r="B603" s="34"/>
      <c r="C603" s="33"/>
      <c r="D603" s="33"/>
      <c r="E603" s="33"/>
      <c r="F603" s="33"/>
      <c r="G603" s="33"/>
      <c r="H603" s="33"/>
      <c r="I603" s="33"/>
      <c r="J603" s="33"/>
      <c r="K603" s="34"/>
      <c r="L603" s="34"/>
      <c r="M603" s="33"/>
      <c r="N603" s="33"/>
      <c r="O603" s="77"/>
      <c r="P603" s="77"/>
      <c r="Q603" s="78"/>
      <c r="Z603" s="79"/>
      <c r="AA603" s="80"/>
      <c r="AB603" s="34"/>
      <c r="AC603" s="34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</row>
    <row r="604" spans="1:41" ht="19.5" thickTop="1" thickBot="1">
      <c r="A604" s="1321" t="s">
        <v>467</v>
      </c>
      <c r="B604" s="1322"/>
      <c r="C604" s="1323" t="s">
        <v>380</v>
      </c>
      <c r="D604" s="1323"/>
      <c r="E604" s="1323" t="s">
        <v>380</v>
      </c>
      <c r="F604" s="1323"/>
      <c r="G604" s="250"/>
      <c r="H604" s="250" t="s">
        <v>468</v>
      </c>
      <c r="I604" s="1295" t="s">
        <v>402</v>
      </c>
      <c r="J604" s="1295"/>
      <c r="K604" s="1295"/>
      <c r="L604" s="102" t="s">
        <v>403</v>
      </c>
      <c r="M604" s="1331">
        <f ca="1">TODAY()</f>
        <v>45944</v>
      </c>
      <c r="N604" s="1331"/>
      <c r="O604" s="77"/>
      <c r="P604" s="77"/>
      <c r="Q604" s="78"/>
      <c r="R604" s="184" t="s">
        <v>496</v>
      </c>
      <c r="Z604" s="79"/>
      <c r="AA604" s="80"/>
      <c r="AB604" s="34"/>
      <c r="AC604" s="34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</row>
    <row r="605" spans="1:41" ht="19.5" thickTop="1" thickBot="1">
      <c r="A605" s="1321" t="s">
        <v>469</v>
      </c>
      <c r="B605" s="1322"/>
      <c r="C605" s="1323" t="s">
        <v>380</v>
      </c>
      <c r="D605" s="1323"/>
      <c r="E605" s="1323" t="s">
        <v>380</v>
      </c>
      <c r="F605" s="1323"/>
      <c r="G605" s="250"/>
      <c r="H605" s="250"/>
      <c r="I605" s="250"/>
      <c r="J605" s="250"/>
      <c r="K605" s="102"/>
      <c r="L605" s="102"/>
      <c r="M605" s="33"/>
      <c r="N605" s="33"/>
      <c r="O605" s="77"/>
      <c r="P605" s="77"/>
      <c r="Q605" s="78"/>
      <c r="Z605" s="79"/>
      <c r="AA605" s="80"/>
      <c r="AB605" s="34"/>
      <c r="AC605" s="34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</row>
    <row r="606" spans="1:41" ht="19.5" thickTop="1" thickBot="1">
      <c r="A606" s="1321" t="s">
        <v>470</v>
      </c>
      <c r="B606" s="1322"/>
      <c r="C606" s="1323" t="s">
        <v>380</v>
      </c>
      <c r="D606" s="1323"/>
      <c r="E606" s="1323" t="s">
        <v>380</v>
      </c>
      <c r="F606" s="1323"/>
      <c r="G606" s="250"/>
      <c r="H606" s="250"/>
      <c r="I606" s="250"/>
      <c r="J606" s="250" t="s">
        <v>471</v>
      </c>
      <c r="K606" s="102"/>
      <c r="L606" s="102"/>
      <c r="M606" s="33"/>
      <c r="N606" s="33"/>
      <c r="O606" s="77"/>
      <c r="P606" s="77"/>
      <c r="Q606" s="78"/>
      <c r="Z606" s="79"/>
      <c r="AA606" s="80"/>
      <c r="AB606" s="34"/>
      <c r="AC606" s="34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</row>
    <row r="607" spans="1:41" ht="24" thickTop="1">
      <c r="A607" s="34"/>
      <c r="B607" s="34"/>
      <c r="C607" s="33"/>
      <c r="D607" s="33"/>
      <c r="E607" s="33"/>
      <c r="F607" s="33"/>
      <c r="G607" s="33"/>
      <c r="H607" s="103" t="s">
        <v>406</v>
      </c>
      <c r="I607" s="33"/>
      <c r="J607" s="34"/>
      <c r="K607" s="34"/>
      <c r="L607" s="33"/>
      <c r="M607" s="33"/>
      <c r="N607" s="104"/>
      <c r="O607" s="77"/>
      <c r="P607" s="77"/>
      <c r="Q607" s="78"/>
      <c r="Z607" s="79"/>
      <c r="AA607" s="80"/>
      <c r="AB607" s="34"/>
      <c r="AC607" s="34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</row>
    <row r="608" spans="1:41" ht="18">
      <c r="A608" s="1295" t="s">
        <v>78</v>
      </c>
      <c r="B608" s="1295"/>
      <c r="C608" s="1295"/>
      <c r="D608" s="1295"/>
      <c r="E608" s="1295"/>
      <c r="F608" s="1295"/>
      <c r="G608" s="1295"/>
      <c r="H608" s="1295"/>
      <c r="I608" s="1295"/>
      <c r="J608" s="1295"/>
      <c r="K608" s="1295"/>
      <c r="L608" s="1295"/>
      <c r="M608" s="1295"/>
      <c r="N608" s="1295"/>
      <c r="O608" s="77"/>
      <c r="P608" s="77"/>
      <c r="Q608" s="78"/>
      <c r="Z608" s="79"/>
      <c r="AA608" s="80"/>
      <c r="AB608" s="34"/>
      <c r="AC608" s="34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</row>
    <row r="609" spans="1:41" ht="18">
      <c r="A609" s="1295" t="s">
        <v>79</v>
      </c>
      <c r="B609" s="1295"/>
      <c r="C609" s="1295"/>
      <c r="D609" s="1295"/>
      <c r="E609" s="1295"/>
      <c r="F609" s="1295"/>
      <c r="G609" s="1295"/>
      <c r="H609" s="1295"/>
      <c r="I609" s="1295"/>
      <c r="J609" s="1295"/>
      <c r="K609" s="1295"/>
      <c r="L609" s="1295"/>
      <c r="M609" s="1295"/>
      <c r="N609" s="1295"/>
      <c r="O609" s="77"/>
      <c r="P609" s="77"/>
      <c r="Q609" s="78"/>
      <c r="Z609" s="79"/>
      <c r="AA609" s="80"/>
      <c r="AB609" s="34"/>
      <c r="AC609" s="34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</row>
    <row r="610" spans="1:41" ht="18">
      <c r="A610" s="168" t="s">
        <v>220</v>
      </c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33"/>
      <c r="N610" s="33"/>
      <c r="O610" s="77"/>
      <c r="P610" s="77"/>
      <c r="Q610" s="78"/>
      <c r="Z610" s="79"/>
      <c r="AA610" s="80"/>
      <c r="AB610" s="34"/>
      <c r="AC610" s="34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</row>
    <row r="611" spans="1:41" ht="18">
      <c r="A611" s="168" t="s">
        <v>444</v>
      </c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33"/>
      <c r="N611" s="33"/>
      <c r="O611" s="77"/>
      <c r="P611" s="77"/>
      <c r="Q611" s="78"/>
      <c r="Z611" s="79"/>
      <c r="AA611" s="80"/>
      <c r="AB611" s="34"/>
      <c r="AC611" s="34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</row>
    <row r="612" spans="1:41" ht="18.75" thickBot="1">
      <c r="A612" s="250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33"/>
      <c r="N612" s="33"/>
      <c r="O612" s="77"/>
      <c r="P612" s="77"/>
      <c r="Q612" s="78"/>
      <c r="Z612" s="79"/>
      <c r="AA612" s="80"/>
      <c r="AB612" s="34"/>
      <c r="AC612" s="34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</row>
    <row r="613" spans="1:41" ht="24" thickBot="1">
      <c r="A613" s="250"/>
      <c r="B613" s="250"/>
      <c r="C613" s="1333" t="s">
        <v>446</v>
      </c>
      <c r="D613" s="1334"/>
      <c r="E613" s="1334"/>
      <c r="F613" s="1334"/>
      <c r="G613" s="1334"/>
      <c r="H613" s="1334"/>
      <c r="I613" s="1334"/>
      <c r="J613" s="1334"/>
      <c r="K613" s="1334"/>
      <c r="L613" s="1335"/>
      <c r="M613" s="33"/>
      <c r="N613" s="33"/>
      <c r="O613" s="77"/>
      <c r="P613" s="77"/>
      <c r="Q613" s="78"/>
      <c r="Z613" s="79"/>
      <c r="AA613" s="80"/>
      <c r="AB613" s="34"/>
      <c r="AC613" s="34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</row>
    <row r="614" spans="1:41" ht="23.25">
      <c r="A614" s="250"/>
      <c r="B614" s="250"/>
      <c r="C614" s="249"/>
      <c r="D614" s="249"/>
      <c r="E614" s="249"/>
      <c r="F614" s="249"/>
      <c r="G614" s="249"/>
      <c r="H614" s="249"/>
      <c r="I614" s="249"/>
      <c r="J614" s="249"/>
      <c r="K614" s="249"/>
      <c r="L614" s="249"/>
      <c r="M614" s="33"/>
      <c r="N614" s="33"/>
      <c r="O614" s="77"/>
      <c r="P614" s="77"/>
      <c r="Q614" s="78"/>
      <c r="Z614" s="79"/>
      <c r="AA614" s="80"/>
      <c r="AB614" s="34"/>
      <c r="AC614" s="34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</row>
    <row r="615" spans="1:41" ht="23.25">
      <c r="A615" s="1295" t="s">
        <v>448</v>
      </c>
      <c r="B615" s="1295"/>
      <c r="C615" s="1295"/>
      <c r="D615" s="1320" t="s">
        <v>815</v>
      </c>
      <c r="E615" s="1320"/>
      <c r="F615" s="1320"/>
      <c r="G615" s="1320"/>
      <c r="H615" s="1320"/>
      <c r="I615" s="249"/>
      <c r="J615" s="249"/>
      <c r="K615" s="249" t="s">
        <v>449</v>
      </c>
      <c r="L615" s="249"/>
      <c r="M615" s="1295" t="s">
        <v>384</v>
      </c>
      <c r="N615" s="1295"/>
      <c r="O615" s="1292" t="str">
        <f>D615</f>
        <v>جرموني رزقة</v>
      </c>
      <c r="P615" s="1292"/>
      <c r="Q615" s="78">
        <v>20</v>
      </c>
      <c r="Z615" s="79"/>
      <c r="AA615" s="80"/>
      <c r="AB615" s="34"/>
      <c r="AC615" s="34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</row>
    <row r="616" spans="1:41" ht="24" thickBot="1">
      <c r="A616" s="1340" t="s">
        <v>450</v>
      </c>
      <c r="B616" s="1340"/>
      <c r="C616" s="1340"/>
      <c r="D616" s="1340" t="s">
        <v>451</v>
      </c>
      <c r="E616" s="1340"/>
      <c r="F616" s="1340"/>
      <c r="G616" s="1340"/>
      <c r="H616" s="87"/>
      <c r="I616" s="1340" t="s">
        <v>452</v>
      </c>
      <c r="J616" s="1340"/>
      <c r="K616" s="1340"/>
      <c r="L616" s="1341"/>
      <c r="M616" s="1341"/>
      <c r="N616" s="1341"/>
      <c r="O616" s="77"/>
      <c r="P616" s="77"/>
      <c r="Q616" s="78"/>
      <c r="Z616" s="79"/>
      <c r="AA616" s="80"/>
      <c r="AB616" s="34"/>
      <c r="AC616" s="34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</row>
    <row r="617" spans="1:41" ht="17.25" thickTop="1" thickBot="1">
      <c r="A617" s="1318" t="s">
        <v>453</v>
      </c>
      <c r="B617" s="1319"/>
      <c r="C617" s="88" t="s">
        <v>6</v>
      </c>
      <c r="D617" s="89" t="s">
        <v>639</v>
      </c>
      <c r="E617" s="89" t="s">
        <v>35</v>
      </c>
      <c r="F617" s="89"/>
      <c r="G617" s="89" t="s">
        <v>380</v>
      </c>
      <c r="H617" s="89" t="s">
        <v>380</v>
      </c>
      <c r="I617" s="89" t="s">
        <v>380</v>
      </c>
      <c r="J617" s="89" t="s">
        <v>380</v>
      </c>
      <c r="K617" s="89" t="s">
        <v>380</v>
      </c>
      <c r="L617" s="89" t="s">
        <v>380</v>
      </c>
      <c r="M617" s="89" t="s">
        <v>380</v>
      </c>
      <c r="N617" s="90" t="s">
        <v>380</v>
      </c>
      <c r="Z617" s="79"/>
      <c r="AA617" s="80"/>
      <c r="AB617" s="34"/>
      <c r="AC617" s="34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</row>
    <row r="618" spans="1:41" ht="24" thickBot="1">
      <c r="A618" s="1329" t="s">
        <v>454</v>
      </c>
      <c r="B618" s="1330"/>
      <c r="C618" s="91">
        <v>3</v>
      </c>
      <c r="D618" s="210">
        <v>4</v>
      </c>
      <c r="E618" s="210">
        <v>7</v>
      </c>
      <c r="F618" s="210"/>
      <c r="G618" s="210" t="s">
        <v>380</v>
      </c>
      <c r="H618" s="210" t="s">
        <v>380</v>
      </c>
      <c r="I618" s="210" t="s">
        <v>380</v>
      </c>
      <c r="J618" s="210" t="s">
        <v>380</v>
      </c>
      <c r="K618" s="210" t="s">
        <v>380</v>
      </c>
      <c r="L618" s="210" t="s">
        <v>380</v>
      </c>
      <c r="M618" s="210" t="s">
        <v>380</v>
      </c>
      <c r="N618" s="92" t="s">
        <v>380</v>
      </c>
      <c r="O618" s="152"/>
      <c r="R618" s="78"/>
      <c r="Z618" s="79"/>
      <c r="AA618" s="80"/>
      <c r="AB618" s="34"/>
      <c r="AC618" s="34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</row>
    <row r="619" spans="1:41" ht="24" thickBot="1">
      <c r="A619" s="1329" t="s">
        <v>455</v>
      </c>
      <c r="B619" s="1330"/>
      <c r="C619" s="91"/>
      <c r="D619" s="210"/>
      <c r="E619" s="210"/>
      <c r="F619" s="210"/>
      <c r="G619" s="210" t="s">
        <v>380</v>
      </c>
      <c r="H619" s="210" t="s">
        <v>380</v>
      </c>
      <c r="I619" s="210" t="s">
        <v>380</v>
      </c>
      <c r="J619" s="210" t="s">
        <v>380</v>
      </c>
      <c r="K619" s="210" t="s">
        <v>380</v>
      </c>
      <c r="L619" s="210" t="s">
        <v>380</v>
      </c>
      <c r="M619" s="210" t="s">
        <v>380</v>
      </c>
      <c r="N619" s="92" t="s">
        <v>380</v>
      </c>
      <c r="O619" s="152"/>
      <c r="R619" s="78"/>
      <c r="Z619" s="79"/>
      <c r="AA619" s="80"/>
      <c r="AB619" s="34"/>
      <c r="AC619" s="34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</row>
    <row r="620" spans="1:41" ht="24" thickBot="1">
      <c r="A620" s="1327" t="s">
        <v>456</v>
      </c>
      <c r="B620" s="1328"/>
      <c r="C620" s="93"/>
      <c r="D620" s="94"/>
      <c r="E620" s="94"/>
      <c r="F620" s="94"/>
      <c r="G620" s="94" t="s">
        <v>380</v>
      </c>
      <c r="H620" s="94" t="s">
        <v>380</v>
      </c>
      <c r="I620" s="94" t="s">
        <v>380</v>
      </c>
      <c r="J620" s="94" t="s">
        <v>380</v>
      </c>
      <c r="K620" s="94" t="s">
        <v>380</v>
      </c>
      <c r="L620" s="94" t="s">
        <v>380</v>
      </c>
      <c r="M620" s="94" t="s">
        <v>380</v>
      </c>
      <c r="N620" s="95" t="s">
        <v>380</v>
      </c>
      <c r="O620" s="152"/>
      <c r="Z620" s="79"/>
      <c r="AA620" s="80"/>
      <c r="AB620" s="34"/>
      <c r="AC620" s="34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</row>
    <row r="621" spans="1:41" ht="21" thickTop="1">
      <c r="A621" s="96"/>
      <c r="B621" s="96"/>
      <c r="C621" s="96"/>
      <c r="D621" s="96"/>
      <c r="E621" s="1326" t="s">
        <v>457</v>
      </c>
      <c r="F621" s="1310"/>
      <c r="G621" s="97">
        <v>18</v>
      </c>
      <c r="H621" s="1310" t="s">
        <v>458</v>
      </c>
      <c r="I621" s="1311"/>
      <c r="J621" s="1310" t="s">
        <v>459</v>
      </c>
      <c r="K621" s="1311"/>
      <c r="L621" s="96"/>
      <c r="M621" s="96"/>
      <c r="N621" s="96"/>
      <c r="O621" s="77"/>
      <c r="P621" s="77"/>
      <c r="Q621" s="78"/>
      <c r="Z621" s="79"/>
      <c r="AA621" s="80"/>
      <c r="AB621" s="34"/>
      <c r="AC621" s="34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</row>
    <row r="622" spans="1:41" ht="23.25">
      <c r="A622" s="96"/>
      <c r="B622" s="96"/>
      <c r="C622" s="96"/>
      <c r="D622" s="96"/>
      <c r="E622" s="1307" t="s">
        <v>460</v>
      </c>
      <c r="F622" s="1308"/>
      <c r="G622" s="98">
        <v>13</v>
      </c>
      <c r="H622" s="1312">
        <v>0</v>
      </c>
      <c r="I622" s="1312"/>
      <c r="J622" s="1312">
        <v>0</v>
      </c>
      <c r="K622" s="1313"/>
      <c r="L622" s="96"/>
      <c r="M622" s="96"/>
      <c r="N622" s="96"/>
      <c r="O622" s="77"/>
      <c r="P622" s="77"/>
      <c r="Q622" s="78">
        <f>G622+H622+H624+J622</f>
        <v>13</v>
      </c>
      <c r="Z622" s="79"/>
      <c r="AA622" s="80"/>
      <c r="AB622" s="34"/>
      <c r="AC622" s="34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</row>
    <row r="623" spans="1:41" ht="20.25">
      <c r="A623" s="96"/>
      <c r="B623" s="96"/>
      <c r="C623" s="96"/>
      <c r="D623" s="96"/>
      <c r="E623" s="1307" t="s">
        <v>461</v>
      </c>
      <c r="F623" s="1308"/>
      <c r="G623" s="99"/>
      <c r="H623" s="1308" t="s">
        <v>462</v>
      </c>
      <c r="I623" s="1308"/>
      <c r="J623" s="1308" t="s">
        <v>463</v>
      </c>
      <c r="K623" s="1309"/>
      <c r="L623" s="96"/>
      <c r="M623" s="96"/>
      <c r="N623" s="96"/>
      <c r="O623" s="77"/>
      <c r="P623" s="77"/>
      <c r="Q623" s="78"/>
      <c r="Z623" s="79"/>
      <c r="AA623" s="80"/>
      <c r="AB623" s="34"/>
      <c r="AC623" s="34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</row>
    <row r="624" spans="1:41" ht="24" thickBot="1">
      <c r="A624" s="96"/>
      <c r="B624" s="96"/>
      <c r="C624" s="96"/>
      <c r="D624" s="96"/>
      <c r="E624" s="1303" t="s">
        <v>464</v>
      </c>
      <c r="F624" s="1304"/>
      <c r="G624" s="99">
        <v>0</v>
      </c>
      <c r="H624" s="1305">
        <v>0</v>
      </c>
      <c r="I624" s="1305"/>
      <c r="J624" s="1305">
        <v>0</v>
      </c>
      <c r="K624" s="1306"/>
      <c r="L624" s="96"/>
      <c r="M624" s="96"/>
      <c r="N624" s="96"/>
      <c r="O624" s="77"/>
      <c r="P624" s="77"/>
      <c r="Q624" s="78"/>
      <c r="Z624" s="79"/>
      <c r="AA624" s="80"/>
      <c r="AB624" s="34"/>
      <c r="AC624" s="34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</row>
    <row r="625" spans="1:41" ht="17.25" thickTop="1" thickBot="1">
      <c r="A625" s="34"/>
      <c r="B625" s="34"/>
      <c r="C625" s="1299" t="s">
        <v>465</v>
      </c>
      <c r="D625" s="1299"/>
      <c r="E625" s="1299" t="s">
        <v>360</v>
      </c>
      <c r="F625" s="1299"/>
      <c r="G625" s="1302" t="s">
        <v>368</v>
      </c>
      <c r="H625" s="1302"/>
      <c r="I625" s="1302" t="s">
        <v>369</v>
      </c>
      <c r="J625" s="1302"/>
      <c r="K625" s="1302" t="s">
        <v>370</v>
      </c>
      <c r="L625" s="1299"/>
      <c r="M625" s="1299" t="s">
        <v>371</v>
      </c>
      <c r="N625" s="1299"/>
      <c r="O625" s="77"/>
      <c r="P625" s="77"/>
      <c r="Q625" s="78"/>
      <c r="R625" s="1297" t="s">
        <v>823</v>
      </c>
      <c r="S625" s="1297"/>
      <c r="T625" s="1297"/>
      <c r="U625" s="1297"/>
      <c r="V625" s="1297"/>
      <c r="W625" s="1297"/>
      <c r="X625" s="1297"/>
      <c r="Y625" s="1297"/>
      <c r="Z625" s="79"/>
      <c r="AA625" s="80"/>
      <c r="AB625" s="34"/>
      <c r="AC625" s="34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</row>
    <row r="626" spans="1:41" ht="17.25" thickTop="1" thickBot="1">
      <c r="A626" s="34"/>
      <c r="B626" s="34"/>
      <c r="C626" s="1299" t="s">
        <v>372</v>
      </c>
      <c r="D626" s="1299"/>
      <c r="E626" s="1297" t="s">
        <v>35</v>
      </c>
      <c r="F626" s="1297"/>
      <c r="G626" s="1297"/>
      <c r="H626" s="1297"/>
      <c r="I626" s="1297" t="s">
        <v>639</v>
      </c>
      <c r="J626" s="1297"/>
      <c r="K626" s="1297" t="s">
        <v>35</v>
      </c>
      <c r="L626" s="1297"/>
      <c r="M626" s="1300" t="s">
        <v>639</v>
      </c>
      <c r="N626" s="1300"/>
      <c r="O626" s="77"/>
      <c r="P626" s="77"/>
      <c r="Q626" s="78"/>
      <c r="R626" s="154" t="s">
        <v>268</v>
      </c>
      <c r="Z626" s="79"/>
      <c r="AA626" s="80"/>
      <c r="AB626" s="34"/>
      <c r="AC626" s="34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</row>
    <row r="627" spans="1:41" ht="17.25" thickTop="1" thickBot="1">
      <c r="A627" s="34"/>
      <c r="B627" s="34"/>
      <c r="C627" s="1299" t="s">
        <v>373</v>
      </c>
      <c r="D627" s="1299"/>
      <c r="E627" s="1297" t="s">
        <v>35</v>
      </c>
      <c r="F627" s="1297"/>
      <c r="G627" s="1297"/>
      <c r="H627" s="1297"/>
      <c r="I627" s="1297" t="s">
        <v>6</v>
      </c>
      <c r="J627" s="1297"/>
      <c r="K627" s="1297" t="s">
        <v>35</v>
      </c>
      <c r="L627" s="1297"/>
      <c r="M627" s="1297" t="s">
        <v>35</v>
      </c>
      <c r="N627" s="1297"/>
      <c r="O627" s="77"/>
      <c r="P627" s="77"/>
      <c r="Q627" s="78"/>
      <c r="R627" s="154" t="s">
        <v>637</v>
      </c>
      <c r="Z627" s="79"/>
      <c r="AA627" s="80"/>
      <c r="AB627" s="34"/>
      <c r="AC627" s="34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</row>
    <row r="628" spans="1:41" ht="17.25" thickTop="1" thickBot="1">
      <c r="A628" s="34"/>
      <c r="B628" s="34"/>
      <c r="C628" s="1299" t="s">
        <v>374</v>
      </c>
      <c r="D628" s="1299"/>
      <c r="E628" s="1297"/>
      <c r="F628" s="1297"/>
      <c r="G628" s="1297"/>
      <c r="H628" s="1297"/>
      <c r="I628" s="1297" t="s">
        <v>35</v>
      </c>
      <c r="J628" s="1297"/>
      <c r="K628" s="1297"/>
      <c r="L628" s="1297"/>
      <c r="M628" s="1300"/>
      <c r="N628" s="1300"/>
      <c r="O628" s="77"/>
      <c r="P628" s="77"/>
      <c r="Q628" s="78"/>
      <c r="R628" s="154" t="s">
        <v>11</v>
      </c>
      <c r="Z628" s="79"/>
      <c r="AA628" s="80"/>
      <c r="AB628" s="34"/>
      <c r="AC628" s="34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</row>
    <row r="629" spans="1:41" ht="17.25" thickTop="1" thickBot="1">
      <c r="A629" s="34"/>
      <c r="B629" s="34"/>
      <c r="C629" s="1299" t="s">
        <v>375</v>
      </c>
      <c r="D629" s="1299"/>
      <c r="E629" s="1297"/>
      <c r="F629" s="1297"/>
      <c r="G629" s="1297"/>
      <c r="H629" s="1297"/>
      <c r="I629" s="1297" t="s">
        <v>35</v>
      </c>
      <c r="J629" s="1297"/>
      <c r="K629" s="1315" t="s">
        <v>6</v>
      </c>
      <c r="L629" s="1316"/>
      <c r="M629" s="1297"/>
      <c r="N629" s="1297"/>
      <c r="O629" s="77"/>
      <c r="P629" s="77"/>
      <c r="Q629" s="78"/>
      <c r="R629" s="154" t="s">
        <v>8</v>
      </c>
      <c r="Z629" s="79"/>
      <c r="AA629" s="80"/>
      <c r="AB629" s="34"/>
      <c r="AC629" s="34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</row>
    <row r="630" spans="1:41" ht="17.25" thickTop="1" thickBot="1">
      <c r="A630" s="34"/>
      <c r="B630" s="34"/>
      <c r="C630" s="101"/>
      <c r="D630" s="101"/>
      <c r="E630" s="33"/>
      <c r="F630" s="33"/>
      <c r="G630" s="33"/>
      <c r="H630" s="33"/>
      <c r="I630" s="33"/>
      <c r="J630" s="33"/>
      <c r="K630" s="34"/>
      <c r="L630" s="34"/>
      <c r="M630" s="33"/>
      <c r="N630" s="33"/>
      <c r="O630" s="77"/>
      <c r="P630" s="77"/>
      <c r="Q630" s="78"/>
      <c r="Z630" s="79"/>
      <c r="AA630" s="80"/>
      <c r="AB630" s="34"/>
      <c r="AC630" s="34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</row>
    <row r="631" spans="1:41" ht="17.25" thickTop="1" thickBot="1">
      <c r="A631" s="34"/>
      <c r="B631" s="34"/>
      <c r="C631" s="1299" t="s">
        <v>921</v>
      </c>
      <c r="D631" s="1299"/>
      <c r="E631" s="1297" t="s">
        <v>639</v>
      </c>
      <c r="F631" s="1297"/>
      <c r="G631" s="1296"/>
      <c r="H631" s="1296"/>
      <c r="I631" s="1296"/>
      <c r="J631" s="1296"/>
      <c r="K631" s="1336"/>
      <c r="L631" s="1337"/>
      <c r="M631" s="1296"/>
      <c r="N631" s="1296"/>
      <c r="O631" s="77"/>
      <c r="P631" s="77"/>
      <c r="Q631" s="78"/>
      <c r="Z631" s="79"/>
      <c r="AA631" s="80"/>
      <c r="AB631" s="34"/>
      <c r="AC631" s="34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</row>
    <row r="632" spans="1:41" ht="17.25" thickTop="1" thickBot="1">
      <c r="A632" s="34"/>
      <c r="B632" s="34"/>
      <c r="C632" s="1299" t="s">
        <v>922</v>
      </c>
      <c r="D632" s="1299"/>
      <c r="E632" s="1297" t="s">
        <v>639</v>
      </c>
      <c r="F632" s="1297"/>
      <c r="G632" s="1296"/>
      <c r="H632" s="1296"/>
      <c r="I632" s="1296"/>
      <c r="J632" s="1296"/>
      <c r="K632" s="1336"/>
      <c r="L632" s="1337"/>
      <c r="M632" s="1296"/>
      <c r="N632" s="1296"/>
      <c r="O632" s="77"/>
      <c r="P632" s="77"/>
      <c r="Q632" s="78"/>
      <c r="Z632" s="79"/>
      <c r="AA632" s="80"/>
      <c r="AB632" s="34"/>
      <c r="AC632" s="34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</row>
    <row r="633" spans="1:41" ht="17.25" thickTop="1" thickBot="1">
      <c r="A633" s="34"/>
      <c r="B633" s="34"/>
      <c r="C633" s="1299" t="s">
        <v>923</v>
      </c>
      <c r="D633" s="1299"/>
      <c r="E633" s="1297" t="s">
        <v>6</v>
      </c>
      <c r="F633" s="1297"/>
      <c r="G633" s="1297"/>
      <c r="H633" s="1297"/>
      <c r="I633" s="1297"/>
      <c r="J633" s="1297"/>
      <c r="K633" s="1297"/>
      <c r="L633" s="1297"/>
      <c r="M633" s="1297" t="s">
        <v>380</v>
      </c>
      <c r="N633" s="1297"/>
      <c r="O633" s="77"/>
      <c r="P633" s="77"/>
      <c r="Q633" s="78"/>
      <c r="Z633" s="79"/>
      <c r="AA633" s="80"/>
      <c r="AB633" s="34"/>
      <c r="AC633" s="34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</row>
    <row r="634" spans="1:41" ht="17.25" thickTop="1" thickBot="1">
      <c r="A634" s="34"/>
      <c r="B634" s="34"/>
      <c r="C634" s="1299" t="s">
        <v>924</v>
      </c>
      <c r="D634" s="1299"/>
      <c r="E634" s="1297" t="s">
        <v>380</v>
      </c>
      <c r="F634" s="1297"/>
      <c r="G634" s="1297"/>
      <c r="H634" s="1297"/>
      <c r="I634" s="1297"/>
      <c r="J634" s="1297"/>
      <c r="K634" s="1297" t="s">
        <v>380</v>
      </c>
      <c r="L634" s="1297"/>
      <c r="M634" s="1297" t="s">
        <v>380</v>
      </c>
      <c r="N634" s="1297"/>
      <c r="O634" s="77"/>
      <c r="P634" s="77"/>
      <c r="Q634" s="78"/>
      <c r="Z634" s="79"/>
      <c r="AA634" s="80"/>
      <c r="AB634" s="34"/>
      <c r="AC634" s="34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</row>
    <row r="635" spans="1:41" ht="17.25" thickTop="1" thickBot="1">
      <c r="A635" s="34"/>
      <c r="B635" s="34"/>
      <c r="C635" s="33"/>
      <c r="D635" s="33"/>
      <c r="E635" s="33"/>
      <c r="F635" s="33"/>
      <c r="G635" s="33"/>
      <c r="H635" s="33"/>
      <c r="I635" s="33"/>
      <c r="J635" s="33"/>
      <c r="K635" s="34"/>
      <c r="L635" s="34"/>
      <c r="M635" s="33"/>
      <c r="N635" s="33"/>
      <c r="O635" s="77"/>
      <c r="P635" s="77"/>
      <c r="Q635" s="78"/>
      <c r="Z635" s="79"/>
      <c r="AA635" s="80"/>
      <c r="AB635" s="34"/>
      <c r="AC635" s="34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</row>
    <row r="636" spans="1:41" ht="19.5" thickTop="1" thickBot="1">
      <c r="A636" s="1321" t="s">
        <v>467</v>
      </c>
      <c r="B636" s="1322"/>
      <c r="C636" s="1323" t="s">
        <v>380</v>
      </c>
      <c r="D636" s="1323"/>
      <c r="E636" s="1323" t="s">
        <v>380</v>
      </c>
      <c r="F636" s="1323"/>
      <c r="G636" s="250"/>
      <c r="H636" s="250" t="s">
        <v>468</v>
      </c>
      <c r="I636" s="1295" t="s">
        <v>402</v>
      </c>
      <c r="J636" s="1295"/>
      <c r="K636" s="1295"/>
      <c r="L636" s="102" t="s">
        <v>403</v>
      </c>
      <c r="M636" s="1331">
        <f ca="1">TODAY()</f>
        <v>45944</v>
      </c>
      <c r="N636" s="1331"/>
      <c r="O636" s="77"/>
      <c r="P636" s="77"/>
      <c r="Q636" s="78"/>
      <c r="Z636" s="79"/>
      <c r="AA636" s="80"/>
      <c r="AB636" s="34"/>
      <c r="AC636" s="34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</row>
    <row r="637" spans="1:41" ht="19.5" thickTop="1" thickBot="1">
      <c r="A637" s="1321" t="s">
        <v>469</v>
      </c>
      <c r="B637" s="1322"/>
      <c r="C637" s="1323" t="s">
        <v>380</v>
      </c>
      <c r="D637" s="1323"/>
      <c r="E637" s="1323" t="s">
        <v>380</v>
      </c>
      <c r="F637" s="1323"/>
      <c r="G637" s="250"/>
      <c r="H637" s="250"/>
      <c r="I637" s="250"/>
      <c r="J637" s="250"/>
      <c r="K637" s="102"/>
      <c r="L637" s="102"/>
      <c r="M637" s="33"/>
      <c r="N637" s="33"/>
      <c r="O637" s="77"/>
      <c r="P637" s="77"/>
      <c r="Q637" s="78"/>
      <c r="Z637" s="79"/>
      <c r="AA637" s="80"/>
      <c r="AB637" s="34"/>
      <c r="AC637" s="34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</row>
    <row r="638" spans="1:41" ht="19.5" thickTop="1" thickBot="1">
      <c r="A638" s="1321" t="s">
        <v>470</v>
      </c>
      <c r="B638" s="1322"/>
      <c r="C638" s="1323" t="s">
        <v>380</v>
      </c>
      <c r="D638" s="1323"/>
      <c r="E638" s="1323" t="s">
        <v>380</v>
      </c>
      <c r="F638" s="1323"/>
      <c r="G638" s="250"/>
      <c r="H638" s="250"/>
      <c r="I638" s="250"/>
      <c r="J638" s="250" t="s">
        <v>471</v>
      </c>
      <c r="K638" s="102"/>
      <c r="L638" s="102"/>
      <c r="M638" s="33"/>
      <c r="N638" s="33"/>
      <c r="O638" s="77"/>
      <c r="P638" s="77"/>
      <c r="Q638" s="78"/>
      <c r="Z638" s="79"/>
      <c r="AA638" s="80"/>
      <c r="AB638" s="34"/>
      <c r="AC638" s="34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</row>
    <row r="639" spans="1:41" ht="24" thickTop="1">
      <c r="A639" s="34"/>
      <c r="B639" s="34"/>
      <c r="C639" s="33"/>
      <c r="D639" s="33"/>
      <c r="E639" s="33"/>
      <c r="F639" s="33"/>
      <c r="G639" s="33"/>
      <c r="H639" s="103" t="s">
        <v>406</v>
      </c>
      <c r="I639" s="33"/>
      <c r="J639" s="34"/>
      <c r="K639" s="34"/>
      <c r="L639" s="33"/>
      <c r="M639" s="33"/>
      <c r="N639" s="104"/>
      <c r="O639" s="77"/>
      <c r="P639" s="77"/>
      <c r="Q639" s="78"/>
      <c r="Z639" s="79"/>
      <c r="AA639" s="80"/>
      <c r="AB639" s="34"/>
      <c r="AC639" s="34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</row>
    <row r="640" spans="1:41" ht="18">
      <c r="A640" s="1295" t="s">
        <v>78</v>
      </c>
      <c r="B640" s="1295"/>
      <c r="C640" s="1295"/>
      <c r="D640" s="1295"/>
      <c r="E640" s="1295"/>
      <c r="F640" s="1295"/>
      <c r="G640" s="1295"/>
      <c r="H640" s="1295"/>
      <c r="I640" s="1295"/>
      <c r="J640" s="1295"/>
      <c r="K640" s="1295"/>
      <c r="L640" s="1295"/>
      <c r="M640" s="1295"/>
      <c r="N640" s="1295"/>
      <c r="O640" s="77"/>
      <c r="P640" s="77"/>
      <c r="Q640" s="78"/>
      <c r="Z640" s="79"/>
      <c r="AA640" s="80"/>
      <c r="AB640" s="34"/>
      <c r="AC640" s="34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</row>
    <row r="641" spans="1:41" ht="18">
      <c r="A641" s="1295" t="s">
        <v>79</v>
      </c>
      <c r="B641" s="1295"/>
      <c r="C641" s="1295"/>
      <c r="D641" s="1295"/>
      <c r="E641" s="1295"/>
      <c r="F641" s="1295"/>
      <c r="G641" s="1295"/>
      <c r="H641" s="1295"/>
      <c r="I641" s="1295"/>
      <c r="J641" s="1295"/>
      <c r="K641" s="1295"/>
      <c r="L641" s="1295"/>
      <c r="M641" s="1295"/>
      <c r="N641" s="1295"/>
      <c r="O641" s="77"/>
      <c r="P641" s="77"/>
      <c r="Q641" s="78"/>
      <c r="Z641" s="79"/>
      <c r="AA641" s="80"/>
      <c r="AB641" s="34"/>
      <c r="AC641" s="34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</row>
    <row r="642" spans="1:41" ht="18">
      <c r="A642" s="168" t="s">
        <v>220</v>
      </c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33"/>
      <c r="N642" s="33"/>
      <c r="O642" s="77"/>
      <c r="P642" s="77"/>
      <c r="Q642" s="78"/>
      <c r="Z642" s="79"/>
      <c r="AA642" s="80"/>
      <c r="AB642" s="34"/>
      <c r="AC642" s="34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</row>
    <row r="643" spans="1:41" ht="18">
      <c r="A643" s="168" t="s">
        <v>444</v>
      </c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33"/>
      <c r="N643" s="33"/>
      <c r="O643" s="77"/>
      <c r="P643" s="77"/>
      <c r="Q643" s="78"/>
      <c r="Z643" s="79"/>
      <c r="AA643" s="80"/>
      <c r="AB643" s="34"/>
      <c r="AC643" s="34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</row>
    <row r="644" spans="1:41" ht="18.75" thickBot="1">
      <c r="A644" s="250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33"/>
      <c r="N644" s="33"/>
      <c r="O644" s="77"/>
      <c r="P644" s="77"/>
      <c r="Q644" s="78"/>
      <c r="Z644" s="79"/>
      <c r="AA644" s="80"/>
      <c r="AB644" s="34"/>
      <c r="AC644" s="34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</row>
    <row r="645" spans="1:41" ht="24" thickBot="1">
      <c r="A645" s="250"/>
      <c r="B645" s="250"/>
      <c r="C645" s="1333" t="s">
        <v>446</v>
      </c>
      <c r="D645" s="1334"/>
      <c r="E645" s="1334"/>
      <c r="F645" s="1334"/>
      <c r="G645" s="1334"/>
      <c r="H645" s="1334"/>
      <c r="I645" s="1334"/>
      <c r="J645" s="1334"/>
      <c r="K645" s="1334"/>
      <c r="L645" s="1335"/>
      <c r="M645" s="33"/>
      <c r="N645" s="33"/>
      <c r="O645" s="77"/>
      <c r="P645" s="77"/>
      <c r="Q645" s="78"/>
      <c r="Z645" s="79"/>
      <c r="AA645" s="80"/>
      <c r="AB645" s="34"/>
      <c r="AC645" s="34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</row>
    <row r="646" spans="1:41" ht="23.25">
      <c r="A646" s="250"/>
      <c r="B646" s="250"/>
      <c r="C646" s="249"/>
      <c r="D646" s="249"/>
      <c r="E646" s="249"/>
      <c r="F646" s="249"/>
      <c r="G646" s="249"/>
      <c r="H646" s="249"/>
      <c r="I646" s="249"/>
      <c r="J646" s="249"/>
      <c r="K646" s="249"/>
      <c r="L646" s="249"/>
      <c r="M646" s="33"/>
      <c r="N646" s="33"/>
      <c r="O646" s="77"/>
      <c r="P646" s="77"/>
      <c r="Q646" s="78"/>
      <c r="Z646" s="79"/>
      <c r="AA646" s="80"/>
      <c r="AB646" s="34"/>
      <c r="AC646" s="34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</row>
    <row r="647" spans="1:41" ht="23.25">
      <c r="A647" s="1295" t="s">
        <v>448</v>
      </c>
      <c r="B647" s="1295"/>
      <c r="C647" s="1295"/>
      <c r="D647" s="1320" t="s">
        <v>284</v>
      </c>
      <c r="E647" s="1320"/>
      <c r="F647" s="1320"/>
      <c r="G647" s="1320"/>
      <c r="H647" s="1320"/>
      <c r="I647" s="249"/>
      <c r="J647" s="249"/>
      <c r="K647" s="249" t="s">
        <v>449</v>
      </c>
      <c r="L647" s="249"/>
      <c r="M647" s="1295" t="s">
        <v>384</v>
      </c>
      <c r="N647" s="1295"/>
      <c r="O647" s="1292" t="str">
        <f>D647</f>
        <v>بوعلي حنيفي مريم</v>
      </c>
      <c r="P647" s="1292"/>
      <c r="Q647" s="78">
        <v>21</v>
      </c>
      <c r="Z647" s="79"/>
      <c r="AA647" s="80"/>
      <c r="AB647" s="34"/>
      <c r="AC647" s="34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</row>
    <row r="648" spans="1:41" ht="24" thickBot="1">
      <c r="A648" s="1340" t="s">
        <v>450</v>
      </c>
      <c r="B648" s="1340"/>
      <c r="C648" s="1340"/>
      <c r="D648" s="1340">
        <v>0</v>
      </c>
      <c r="E648" s="1340"/>
      <c r="F648" s="1340"/>
      <c r="G648" s="1340"/>
      <c r="H648" s="87"/>
      <c r="I648" s="1340" t="s">
        <v>452</v>
      </c>
      <c r="J648" s="1340"/>
      <c r="K648" s="1340"/>
      <c r="L648" s="1341" t="s">
        <v>265</v>
      </c>
      <c r="M648" s="1341"/>
      <c r="N648" s="1341"/>
      <c r="O648" s="77"/>
      <c r="P648" s="77"/>
      <c r="Q648" s="78"/>
      <c r="Z648" s="79"/>
      <c r="AA648" s="80"/>
      <c r="AB648" s="34"/>
      <c r="AC648" s="34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</row>
    <row r="649" spans="1:41" ht="17.25" thickTop="1" thickBot="1">
      <c r="A649" s="1318" t="s">
        <v>453</v>
      </c>
      <c r="B649" s="1319"/>
      <c r="C649" s="88" t="s">
        <v>500</v>
      </c>
      <c r="D649" s="89" t="s">
        <v>265</v>
      </c>
      <c r="E649" s="89" t="s">
        <v>8</v>
      </c>
      <c r="F649" s="89"/>
      <c r="G649" s="89" t="s">
        <v>380</v>
      </c>
      <c r="H649" s="89" t="s">
        <v>380</v>
      </c>
      <c r="I649" s="89" t="s">
        <v>380</v>
      </c>
      <c r="J649" s="89" t="s">
        <v>380</v>
      </c>
      <c r="K649" s="89" t="s">
        <v>380</v>
      </c>
      <c r="L649" s="89" t="s">
        <v>380</v>
      </c>
      <c r="M649" s="89" t="s">
        <v>380</v>
      </c>
      <c r="N649" s="90" t="s">
        <v>380</v>
      </c>
      <c r="Z649" s="79"/>
      <c r="AA649" s="80"/>
      <c r="AB649" s="34"/>
      <c r="AC649" s="34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</row>
    <row r="650" spans="1:41" ht="24" thickBot="1">
      <c r="A650" s="1329" t="s">
        <v>454</v>
      </c>
      <c r="B650" s="1330"/>
      <c r="C650" s="91">
        <v>3</v>
      </c>
      <c r="D650" s="210">
        <v>7</v>
      </c>
      <c r="E650" s="210">
        <v>4</v>
      </c>
      <c r="F650" s="210"/>
      <c r="G650" s="210" t="s">
        <v>380</v>
      </c>
      <c r="H650" s="210" t="s">
        <v>380</v>
      </c>
      <c r="I650" s="210" t="s">
        <v>380</v>
      </c>
      <c r="J650" s="210" t="s">
        <v>380</v>
      </c>
      <c r="K650" s="210" t="s">
        <v>380</v>
      </c>
      <c r="L650" s="210" t="s">
        <v>380</v>
      </c>
      <c r="M650" s="210" t="s">
        <v>380</v>
      </c>
      <c r="N650" s="92" t="s">
        <v>380</v>
      </c>
      <c r="O650" s="152"/>
      <c r="R650" s="78"/>
      <c r="Z650" s="79"/>
      <c r="AA650" s="80"/>
      <c r="AB650" s="34"/>
      <c r="AC650" s="34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</row>
    <row r="651" spans="1:41" ht="24" thickBot="1">
      <c r="A651" s="1329" t="s">
        <v>455</v>
      </c>
      <c r="B651" s="1330"/>
      <c r="C651" s="91"/>
      <c r="D651" s="210"/>
      <c r="E651" s="210"/>
      <c r="F651" s="210"/>
      <c r="G651" s="210" t="s">
        <v>380</v>
      </c>
      <c r="H651" s="210" t="s">
        <v>380</v>
      </c>
      <c r="I651" s="210" t="s">
        <v>380</v>
      </c>
      <c r="J651" s="210" t="s">
        <v>380</v>
      </c>
      <c r="K651" s="210" t="s">
        <v>380</v>
      </c>
      <c r="L651" s="210" t="s">
        <v>380</v>
      </c>
      <c r="M651" s="210" t="s">
        <v>380</v>
      </c>
      <c r="N651" s="92" t="s">
        <v>380</v>
      </c>
      <c r="O651" s="152"/>
      <c r="R651" s="78"/>
      <c r="Z651" s="79"/>
      <c r="AA651" s="80"/>
      <c r="AB651" s="34"/>
      <c r="AC651" s="34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</row>
    <row r="652" spans="1:41" ht="24" thickBot="1">
      <c r="A652" s="1327" t="s">
        <v>456</v>
      </c>
      <c r="B652" s="1328"/>
      <c r="C652" s="93"/>
      <c r="D652" s="94"/>
      <c r="E652" s="94"/>
      <c r="F652" s="94"/>
      <c r="G652" s="94" t="s">
        <v>380</v>
      </c>
      <c r="H652" s="94" t="s">
        <v>380</v>
      </c>
      <c r="I652" s="94" t="s">
        <v>380</v>
      </c>
      <c r="J652" s="94" t="s">
        <v>380</v>
      </c>
      <c r="K652" s="94" t="s">
        <v>380</v>
      </c>
      <c r="L652" s="94" t="s">
        <v>380</v>
      </c>
      <c r="M652" s="94" t="s">
        <v>380</v>
      </c>
      <c r="N652" s="95" t="s">
        <v>380</v>
      </c>
      <c r="O652" s="152"/>
      <c r="Z652" s="79"/>
      <c r="AA652" s="80"/>
      <c r="AB652" s="34"/>
      <c r="AC652" s="34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</row>
    <row r="653" spans="1:41" ht="21" thickTop="1">
      <c r="A653" s="96"/>
      <c r="B653" s="96"/>
      <c r="C653" s="96"/>
      <c r="D653" s="96"/>
      <c r="E653" s="1326" t="s">
        <v>457</v>
      </c>
      <c r="F653" s="1310"/>
      <c r="G653" s="97">
        <v>18</v>
      </c>
      <c r="H653" s="1310" t="s">
        <v>458</v>
      </c>
      <c r="I653" s="1311"/>
      <c r="J653" s="1310" t="s">
        <v>459</v>
      </c>
      <c r="K653" s="1311"/>
      <c r="L653" s="96"/>
      <c r="M653" s="96"/>
      <c r="N653" s="96"/>
      <c r="O653" s="77"/>
      <c r="P653" s="77"/>
      <c r="Q653" s="78"/>
      <c r="Z653" s="79"/>
      <c r="AA653" s="80"/>
      <c r="AB653" s="34"/>
      <c r="AC653" s="34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</row>
    <row r="654" spans="1:41" ht="23.25">
      <c r="A654" s="96"/>
      <c r="B654" s="96"/>
      <c r="C654" s="96"/>
      <c r="D654" s="96"/>
      <c r="E654" s="1307" t="s">
        <v>460</v>
      </c>
      <c r="F654" s="1308"/>
      <c r="G654" s="98">
        <v>14</v>
      </c>
      <c r="H654" s="1312">
        <v>0</v>
      </c>
      <c r="I654" s="1312"/>
      <c r="J654" s="1312">
        <v>0</v>
      </c>
      <c r="K654" s="1313"/>
      <c r="L654" s="96"/>
      <c r="M654" s="96"/>
      <c r="N654" s="96"/>
      <c r="O654" s="77"/>
      <c r="P654" s="77"/>
      <c r="Q654" s="78">
        <f>G654+H654+H656+J654</f>
        <v>14</v>
      </c>
      <c r="Z654" s="79"/>
      <c r="AA654" s="80"/>
      <c r="AB654" s="34"/>
      <c r="AC654" s="34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</row>
    <row r="655" spans="1:41" ht="20.25">
      <c r="A655" s="96"/>
      <c r="B655" s="96"/>
      <c r="C655" s="96"/>
      <c r="D655" s="96"/>
      <c r="E655" s="1307" t="s">
        <v>461</v>
      </c>
      <c r="F655" s="1308"/>
      <c r="G655" s="99"/>
      <c r="H655" s="1308" t="s">
        <v>462</v>
      </c>
      <c r="I655" s="1308"/>
      <c r="J655" s="1308" t="s">
        <v>463</v>
      </c>
      <c r="K655" s="1309"/>
      <c r="L655" s="96"/>
      <c r="M655" s="96"/>
      <c r="N655" s="96"/>
      <c r="O655" s="77"/>
      <c r="P655" s="77"/>
      <c r="Q655" s="78"/>
      <c r="Z655" s="79"/>
      <c r="AA655" s="80"/>
      <c r="AB655" s="34"/>
      <c r="AC655" s="34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</row>
    <row r="656" spans="1:41" ht="24" thickBot="1">
      <c r="A656" s="96"/>
      <c r="B656" s="96"/>
      <c r="C656" s="96"/>
      <c r="D656" s="96"/>
      <c r="E656" s="1303" t="s">
        <v>464</v>
      </c>
      <c r="F656" s="1304"/>
      <c r="G656" s="99">
        <v>0</v>
      </c>
      <c r="H656" s="1305"/>
      <c r="I656" s="1305"/>
      <c r="J656" s="1305">
        <v>0</v>
      </c>
      <c r="K656" s="1306"/>
      <c r="L656" s="96"/>
      <c r="M656" s="96"/>
      <c r="N656" s="96"/>
      <c r="O656" s="77"/>
      <c r="P656" s="77"/>
      <c r="Q656" s="78"/>
      <c r="Z656" s="79"/>
      <c r="AA656" s="80"/>
      <c r="AB656" s="34"/>
      <c r="AC656" s="34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</row>
    <row r="657" spans="1:41" ht="17.25" thickTop="1" thickBot="1">
      <c r="A657" s="34"/>
      <c r="B657" s="34"/>
      <c r="C657" s="1299" t="s">
        <v>465</v>
      </c>
      <c r="D657" s="1299"/>
      <c r="E657" s="1299" t="s">
        <v>360</v>
      </c>
      <c r="F657" s="1299"/>
      <c r="G657" s="1302" t="s">
        <v>368</v>
      </c>
      <c r="H657" s="1302"/>
      <c r="I657" s="1302" t="s">
        <v>369</v>
      </c>
      <c r="J657" s="1302"/>
      <c r="K657" s="1302" t="s">
        <v>370</v>
      </c>
      <c r="L657" s="1299"/>
      <c r="M657" s="1299" t="s">
        <v>371</v>
      </c>
      <c r="N657" s="1299"/>
      <c r="O657" s="77"/>
      <c r="P657" s="77"/>
      <c r="Q657" s="78"/>
      <c r="Z657" s="79"/>
      <c r="AA657" s="80"/>
      <c r="AB657" s="34"/>
      <c r="AC657" s="34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</row>
    <row r="658" spans="1:41" ht="17.25" thickTop="1" thickBot="1">
      <c r="A658" s="34"/>
      <c r="B658" s="34"/>
      <c r="C658" s="1299" t="s">
        <v>372</v>
      </c>
      <c r="D658" s="1299"/>
      <c r="E658" s="1297"/>
      <c r="F658" s="1297"/>
      <c r="G658" s="1297"/>
      <c r="H658" s="1297"/>
      <c r="I658" s="1332" t="s">
        <v>8</v>
      </c>
      <c r="J658" s="1332"/>
      <c r="K658" s="1297"/>
      <c r="L658" s="1297"/>
      <c r="M658" s="1297" t="s">
        <v>265</v>
      </c>
      <c r="N658" s="1297"/>
      <c r="O658" s="77"/>
      <c r="P658" s="77"/>
      <c r="Q658" s="78"/>
      <c r="Z658" s="79"/>
      <c r="AA658" s="80"/>
      <c r="AB658" s="34"/>
      <c r="AC658" s="34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</row>
    <row r="659" spans="1:41" ht="17.25" thickTop="1" thickBot="1">
      <c r="A659" s="34"/>
      <c r="B659" s="34"/>
      <c r="C659" s="1299" t="s">
        <v>373</v>
      </c>
      <c r="D659" s="1299"/>
      <c r="E659" s="1297" t="s">
        <v>265</v>
      </c>
      <c r="F659" s="1297"/>
      <c r="G659" s="1297"/>
      <c r="H659" s="1297"/>
      <c r="I659" s="1297" t="s">
        <v>500</v>
      </c>
      <c r="J659" s="1297"/>
      <c r="K659" s="1297"/>
      <c r="L659" s="1297"/>
      <c r="M659" s="1297" t="s">
        <v>265</v>
      </c>
      <c r="N659" s="1297"/>
      <c r="O659" s="77"/>
      <c r="P659" s="77"/>
      <c r="Q659" s="78"/>
      <c r="Z659" s="79"/>
      <c r="AA659" s="80"/>
      <c r="AB659" s="34"/>
      <c r="AC659" s="34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</row>
    <row r="660" spans="1:41" ht="17.25" thickTop="1" thickBot="1">
      <c r="A660" s="34"/>
      <c r="B660" s="34"/>
      <c r="C660" s="1299" t="s">
        <v>374</v>
      </c>
      <c r="D660" s="1299"/>
      <c r="E660" s="1297" t="s">
        <v>265</v>
      </c>
      <c r="F660" s="1297"/>
      <c r="G660" s="1297"/>
      <c r="H660" s="1297"/>
      <c r="I660" s="1297" t="s">
        <v>265</v>
      </c>
      <c r="J660" s="1297"/>
      <c r="K660" s="1297"/>
      <c r="L660" s="1297"/>
      <c r="M660" s="1297"/>
      <c r="N660" s="1297"/>
      <c r="O660" s="77"/>
      <c r="P660" s="77"/>
      <c r="Z660" s="79"/>
      <c r="AA660" s="80"/>
      <c r="AB660" s="34"/>
      <c r="AC660" s="34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</row>
    <row r="661" spans="1:41" ht="17.25" thickTop="1" thickBot="1">
      <c r="A661" s="34"/>
      <c r="B661" s="34"/>
      <c r="C661" s="1299" t="s">
        <v>375</v>
      </c>
      <c r="D661" s="1299"/>
      <c r="E661" s="1332" t="s">
        <v>8</v>
      </c>
      <c r="F661" s="1332"/>
      <c r="G661" s="1297"/>
      <c r="H661" s="1297"/>
      <c r="I661" s="1297" t="s">
        <v>265</v>
      </c>
      <c r="J661" s="1297"/>
      <c r="K661" s="1297"/>
      <c r="L661" s="1297"/>
      <c r="M661" s="1297"/>
      <c r="N661" s="1297"/>
      <c r="O661" s="77"/>
      <c r="P661" s="77"/>
      <c r="Z661" s="79"/>
      <c r="AA661" s="80"/>
      <c r="AB661" s="34"/>
      <c r="AC661" s="34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</row>
    <row r="662" spans="1:41" ht="17.25" thickTop="1" thickBot="1">
      <c r="A662" s="34"/>
      <c r="B662" s="34"/>
      <c r="C662" s="101"/>
      <c r="D662" s="101"/>
      <c r="E662" s="33"/>
      <c r="F662" s="33"/>
      <c r="G662" s="33"/>
      <c r="H662" s="33"/>
      <c r="I662" s="33"/>
      <c r="J662" s="33"/>
      <c r="K662" s="34"/>
      <c r="L662" s="34"/>
      <c r="M662" s="33"/>
      <c r="N662" s="33"/>
      <c r="O662" s="77"/>
      <c r="P662" s="77"/>
      <c r="Z662" s="79"/>
      <c r="AA662" s="80"/>
      <c r="AB662" s="34"/>
      <c r="AC662" s="34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</row>
    <row r="663" spans="1:41" ht="17.25" thickTop="1" thickBot="1">
      <c r="A663" s="34"/>
      <c r="B663" s="34"/>
      <c r="C663" s="1299" t="s">
        <v>921</v>
      </c>
      <c r="D663" s="1299"/>
      <c r="E663" s="1297"/>
      <c r="F663" s="1297"/>
      <c r="G663" s="1297"/>
      <c r="H663" s="1297"/>
      <c r="I663" s="1297"/>
      <c r="J663" s="1297"/>
      <c r="K663" s="1332" t="s">
        <v>8</v>
      </c>
      <c r="L663" s="1332"/>
      <c r="M663" s="1332" t="s">
        <v>8</v>
      </c>
      <c r="N663" s="1332"/>
      <c r="O663" s="77"/>
      <c r="P663" s="77"/>
      <c r="Z663" s="79"/>
      <c r="AA663" s="80"/>
      <c r="AB663" s="34"/>
      <c r="AC663" s="34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</row>
    <row r="664" spans="1:41" ht="17.25" thickTop="1" thickBot="1">
      <c r="A664" s="34"/>
      <c r="B664" s="34"/>
      <c r="C664" s="1299" t="s">
        <v>922</v>
      </c>
      <c r="D664" s="1299"/>
      <c r="E664" s="1332"/>
      <c r="F664" s="1332"/>
      <c r="G664" s="1297"/>
      <c r="H664" s="1297"/>
      <c r="I664" s="1297"/>
      <c r="J664" s="1297"/>
      <c r="K664" s="1297"/>
      <c r="L664" s="1297"/>
      <c r="M664" s="1297"/>
      <c r="N664" s="1297"/>
      <c r="O664" s="77"/>
      <c r="P664" s="77"/>
      <c r="Z664" s="79"/>
      <c r="AA664" s="80"/>
      <c r="AB664" s="34"/>
      <c r="AC664" s="34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</row>
    <row r="665" spans="1:41" ht="17.25" thickTop="1" thickBot="1">
      <c r="A665" s="34"/>
      <c r="B665" s="34"/>
      <c r="C665" s="1299" t="s">
        <v>923</v>
      </c>
      <c r="D665" s="1299"/>
      <c r="E665" s="1297"/>
      <c r="F665" s="1297"/>
      <c r="G665" s="1297"/>
      <c r="H665" s="1297"/>
      <c r="I665" s="1297"/>
      <c r="J665" s="1297"/>
      <c r="K665" s="1297" t="s">
        <v>500</v>
      </c>
      <c r="L665" s="1297"/>
      <c r="M665" s="1297" t="s">
        <v>500</v>
      </c>
      <c r="N665" s="1297"/>
      <c r="O665" s="77"/>
      <c r="P665" s="77"/>
      <c r="Z665" s="79"/>
      <c r="AA665" s="80"/>
      <c r="AB665" s="34"/>
      <c r="AC665" s="34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</row>
    <row r="666" spans="1:41" ht="17.25" thickTop="1" thickBot="1">
      <c r="A666" s="34"/>
      <c r="B666" s="34"/>
      <c r="C666" s="1299" t="s">
        <v>924</v>
      </c>
      <c r="D666" s="1299"/>
      <c r="E666" s="1296"/>
      <c r="F666" s="1296"/>
      <c r="G666" s="1296"/>
      <c r="H666" s="1296"/>
      <c r="I666" s="1296" t="s">
        <v>380</v>
      </c>
      <c r="J666" s="1296"/>
      <c r="K666" s="1296" t="s">
        <v>265</v>
      </c>
      <c r="L666" s="1296"/>
      <c r="M666" s="1297" t="s">
        <v>380</v>
      </c>
      <c r="N666" s="1297"/>
      <c r="O666" s="77"/>
      <c r="P666" s="77"/>
      <c r="Z666" s="79"/>
      <c r="AA666" s="80"/>
      <c r="AB666" s="34"/>
      <c r="AC666" s="34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</row>
    <row r="667" spans="1:41" ht="17.25" thickTop="1" thickBot="1">
      <c r="A667" s="34"/>
      <c r="B667" s="34"/>
      <c r="C667" s="33"/>
      <c r="D667" s="33"/>
      <c r="E667" s="33"/>
      <c r="F667" s="33"/>
      <c r="G667" s="33"/>
      <c r="H667" s="33"/>
      <c r="I667" s="33"/>
      <c r="J667" s="33"/>
      <c r="K667" s="34"/>
      <c r="L667" s="34"/>
      <c r="M667" s="33"/>
      <c r="N667" s="33"/>
      <c r="O667" s="77"/>
      <c r="P667" s="77"/>
      <c r="Z667" s="79"/>
      <c r="AA667" s="80"/>
      <c r="AB667" s="34"/>
      <c r="AC667" s="34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</row>
    <row r="668" spans="1:41" ht="19.5" thickTop="1" thickBot="1">
      <c r="A668" s="1321" t="s">
        <v>467</v>
      </c>
      <c r="B668" s="1322"/>
      <c r="C668" s="1323" t="s">
        <v>380</v>
      </c>
      <c r="D668" s="1323"/>
      <c r="E668" s="1323" t="s">
        <v>380</v>
      </c>
      <c r="F668" s="1323"/>
      <c r="G668" s="250"/>
      <c r="H668" s="250" t="s">
        <v>468</v>
      </c>
      <c r="I668" s="1295" t="s">
        <v>402</v>
      </c>
      <c r="J668" s="1295"/>
      <c r="K668" s="1295"/>
      <c r="L668" s="102" t="s">
        <v>403</v>
      </c>
      <c r="M668" s="1331">
        <v>43710</v>
      </c>
      <c r="N668" s="1331"/>
      <c r="O668" s="77"/>
      <c r="P668" s="77"/>
      <c r="Z668" s="79"/>
      <c r="AA668" s="80"/>
      <c r="AB668" s="34"/>
      <c r="AC668" s="34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</row>
    <row r="669" spans="1:41" ht="19.5" thickTop="1" thickBot="1">
      <c r="A669" s="1321" t="s">
        <v>469</v>
      </c>
      <c r="B669" s="1322"/>
      <c r="C669" s="1323" t="s">
        <v>380</v>
      </c>
      <c r="D669" s="1323"/>
      <c r="E669" s="1323" t="s">
        <v>380</v>
      </c>
      <c r="F669" s="1323"/>
      <c r="G669" s="250"/>
      <c r="H669" s="250"/>
      <c r="I669" s="250"/>
      <c r="J669" s="250"/>
      <c r="K669" s="102"/>
      <c r="L669" s="102"/>
      <c r="M669" s="33"/>
      <c r="N669" s="33"/>
      <c r="O669" s="77"/>
      <c r="P669" s="77"/>
      <c r="Q669" s="78"/>
      <c r="Z669" s="79"/>
      <c r="AA669" s="80"/>
      <c r="AB669" s="34"/>
      <c r="AC669" s="34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</row>
    <row r="670" spans="1:41" ht="19.5" thickTop="1" thickBot="1">
      <c r="A670" s="1321" t="s">
        <v>470</v>
      </c>
      <c r="B670" s="1322"/>
      <c r="C670" s="1323" t="s">
        <v>380</v>
      </c>
      <c r="D670" s="1323"/>
      <c r="E670" s="1323" t="s">
        <v>380</v>
      </c>
      <c r="F670" s="1323"/>
      <c r="G670" s="250"/>
      <c r="H670" s="250"/>
      <c r="I670" s="250"/>
      <c r="J670" s="250" t="s">
        <v>471</v>
      </c>
      <c r="K670" s="102"/>
      <c r="L670" s="102"/>
      <c r="M670" s="33"/>
      <c r="N670" s="33"/>
      <c r="O670" s="77"/>
      <c r="P670" s="77"/>
      <c r="Q670" s="78"/>
      <c r="Z670" s="79"/>
      <c r="AA670" s="80"/>
      <c r="AB670" s="34"/>
      <c r="AC670" s="34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</row>
    <row r="671" spans="1:41" ht="24" thickTop="1">
      <c r="A671" s="34"/>
      <c r="B671" s="34"/>
      <c r="C671" s="33"/>
      <c r="D671" s="33"/>
      <c r="E671" s="33"/>
      <c r="F671" s="33"/>
      <c r="G671" s="33"/>
      <c r="H671" s="103" t="s">
        <v>406</v>
      </c>
      <c r="I671" s="33"/>
      <c r="J671" s="34"/>
      <c r="K671" s="34"/>
      <c r="L671" s="33"/>
      <c r="M671" s="33"/>
      <c r="N671" s="104"/>
      <c r="O671" s="77"/>
      <c r="P671" s="77"/>
      <c r="Q671" s="78"/>
      <c r="Z671" s="79"/>
      <c r="AA671" s="80"/>
      <c r="AB671" s="34"/>
      <c r="AC671" s="34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</row>
    <row r="672" spans="1:41" ht="18">
      <c r="A672" s="1295" t="s">
        <v>78</v>
      </c>
      <c r="B672" s="1295"/>
      <c r="C672" s="1295"/>
      <c r="D672" s="1295"/>
      <c r="E672" s="1295"/>
      <c r="F672" s="1295"/>
      <c r="G672" s="1295"/>
      <c r="H672" s="1295"/>
      <c r="I672" s="1295"/>
      <c r="J672" s="1295"/>
      <c r="K672" s="1295"/>
      <c r="L672" s="1295"/>
      <c r="M672" s="1295"/>
      <c r="N672" s="1295"/>
      <c r="O672" s="77"/>
      <c r="P672" s="77"/>
      <c r="Q672" s="78"/>
      <c r="Z672" s="79"/>
      <c r="AA672" s="80"/>
      <c r="AB672" s="34"/>
      <c r="AC672" s="34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</row>
    <row r="673" spans="1:41" ht="18">
      <c r="A673" s="1295" t="s">
        <v>79</v>
      </c>
      <c r="B673" s="1295"/>
      <c r="C673" s="1295"/>
      <c r="D673" s="1295"/>
      <c r="E673" s="1295"/>
      <c r="F673" s="1295"/>
      <c r="G673" s="1295"/>
      <c r="H673" s="1295"/>
      <c r="I673" s="1295"/>
      <c r="J673" s="1295"/>
      <c r="K673" s="1295"/>
      <c r="L673" s="1295"/>
      <c r="M673" s="1295"/>
      <c r="N673" s="1295"/>
      <c r="O673" s="77"/>
      <c r="P673" s="77"/>
      <c r="Q673" s="78"/>
      <c r="Z673" s="79"/>
      <c r="AA673" s="80"/>
      <c r="AB673" s="34"/>
      <c r="AC673" s="34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</row>
    <row r="674" spans="1:41" ht="18">
      <c r="A674" s="168" t="s">
        <v>220</v>
      </c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33"/>
      <c r="N674" s="33"/>
      <c r="O674" s="77"/>
      <c r="P674" s="77"/>
      <c r="Q674" s="78"/>
      <c r="Z674" s="79"/>
      <c r="AA674" s="80"/>
      <c r="AB674" s="34"/>
      <c r="AC674" s="34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</row>
    <row r="675" spans="1:41" ht="18">
      <c r="A675" s="168" t="s">
        <v>444</v>
      </c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33"/>
      <c r="N675" s="33"/>
      <c r="O675" s="77"/>
      <c r="P675" s="77"/>
      <c r="Q675" s="78"/>
      <c r="Z675" s="79"/>
      <c r="AA675" s="80"/>
      <c r="AB675" s="34"/>
      <c r="AC675" s="34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</row>
    <row r="676" spans="1:41" ht="18.75" thickBot="1">
      <c r="A676" s="250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33"/>
      <c r="N676" s="33"/>
      <c r="O676" s="77"/>
      <c r="P676" s="77"/>
      <c r="Q676" s="78"/>
      <c r="Z676" s="79"/>
      <c r="AA676" s="80"/>
      <c r="AB676" s="34"/>
      <c r="AC676" s="34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</row>
    <row r="677" spans="1:41" ht="24" thickBot="1">
      <c r="A677" s="250"/>
      <c r="B677" s="250"/>
      <c r="C677" s="1333" t="s">
        <v>446</v>
      </c>
      <c r="D677" s="1334"/>
      <c r="E677" s="1334"/>
      <c r="F677" s="1334"/>
      <c r="G677" s="1334"/>
      <c r="H677" s="1334"/>
      <c r="I677" s="1334"/>
      <c r="J677" s="1334"/>
      <c r="K677" s="1334"/>
      <c r="L677" s="1335"/>
      <c r="M677" s="33"/>
      <c r="N677" s="33"/>
      <c r="O677" s="77"/>
      <c r="P677" s="77"/>
      <c r="Q677" s="78"/>
      <c r="Z677" s="79"/>
      <c r="AA677" s="80"/>
      <c r="AB677" s="34"/>
      <c r="AC677" s="34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</row>
    <row r="678" spans="1:41" ht="23.25">
      <c r="A678" s="250"/>
      <c r="B678" s="250"/>
      <c r="C678" s="249"/>
      <c r="D678" s="249"/>
      <c r="E678" s="249"/>
      <c r="F678" s="249"/>
      <c r="G678" s="249"/>
      <c r="H678" s="249"/>
      <c r="I678" s="249"/>
      <c r="J678" s="249"/>
      <c r="K678" s="249"/>
      <c r="L678" s="249"/>
      <c r="M678" s="33"/>
      <c r="N678" s="33"/>
      <c r="O678" s="77"/>
      <c r="P678" s="77"/>
      <c r="Q678" s="78"/>
      <c r="Z678" s="79"/>
      <c r="AA678" s="80"/>
      <c r="AB678" s="34"/>
      <c r="AC678" s="34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</row>
    <row r="679" spans="1:41" ht="23.25">
      <c r="A679" s="1295" t="s">
        <v>448</v>
      </c>
      <c r="B679" s="1295"/>
      <c r="C679" s="1295"/>
      <c r="D679" s="1294" t="s">
        <v>421</v>
      </c>
      <c r="E679" s="1294"/>
      <c r="F679" s="1294"/>
      <c r="G679" s="1294"/>
      <c r="H679" s="1294"/>
      <c r="I679" s="249"/>
      <c r="J679" s="249"/>
      <c r="K679" s="249" t="s">
        <v>449</v>
      </c>
      <c r="L679" s="249"/>
      <c r="M679" s="1295" t="s">
        <v>384</v>
      </c>
      <c r="N679" s="1295"/>
      <c r="O679" s="1292" t="str">
        <f>D679</f>
        <v>عمرون فاطمة الزهرة</v>
      </c>
      <c r="P679" s="1292"/>
      <c r="Q679" s="78">
        <v>22</v>
      </c>
      <c r="Z679" s="79"/>
      <c r="AA679" s="80"/>
      <c r="AB679" s="34"/>
      <c r="AC679" s="34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</row>
    <row r="680" spans="1:41" ht="24" thickBot="1">
      <c r="A680" s="1340" t="s">
        <v>450</v>
      </c>
      <c r="B680" s="1340"/>
      <c r="C680" s="1340"/>
      <c r="D680" s="1340">
        <v>0</v>
      </c>
      <c r="E680" s="1340"/>
      <c r="F680" s="1340"/>
      <c r="G680" s="1340"/>
      <c r="H680" s="87"/>
      <c r="I680" s="1340" t="s">
        <v>452</v>
      </c>
      <c r="J680" s="1340"/>
      <c r="K680" s="1340"/>
      <c r="L680" s="1341" t="s">
        <v>493</v>
      </c>
      <c r="M680" s="1341"/>
      <c r="N680" s="1341"/>
      <c r="O680" s="77"/>
      <c r="P680" s="77"/>
      <c r="Q680" s="78"/>
      <c r="Z680" s="79"/>
      <c r="AA680" s="80"/>
      <c r="AB680" s="34"/>
      <c r="AC680" s="34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</row>
    <row r="681" spans="1:41" ht="17.25" thickTop="1" thickBot="1">
      <c r="A681" s="1318" t="s">
        <v>453</v>
      </c>
      <c r="B681" s="1319"/>
      <c r="C681" s="88" t="s">
        <v>0</v>
      </c>
      <c r="D681" s="89" t="s">
        <v>3</v>
      </c>
      <c r="E681" s="89" t="s">
        <v>493</v>
      </c>
      <c r="F681" s="89" t="s">
        <v>828</v>
      </c>
      <c r="G681" s="89" t="s">
        <v>380</v>
      </c>
      <c r="H681" s="89" t="s">
        <v>380</v>
      </c>
      <c r="I681" s="89" t="s">
        <v>380</v>
      </c>
      <c r="J681" s="89" t="s">
        <v>380</v>
      </c>
      <c r="K681" s="89" t="s">
        <v>380</v>
      </c>
      <c r="L681" s="89" t="s">
        <v>380</v>
      </c>
      <c r="M681" s="89" t="s">
        <v>380</v>
      </c>
      <c r="N681" s="90" t="s">
        <v>380</v>
      </c>
      <c r="Z681" s="79"/>
      <c r="AA681" s="80"/>
      <c r="AB681" s="34"/>
      <c r="AC681" s="34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</row>
    <row r="682" spans="1:41" ht="24" thickBot="1">
      <c r="A682" s="1329" t="s">
        <v>454</v>
      </c>
      <c r="B682" s="1330"/>
      <c r="C682" s="91">
        <v>3</v>
      </c>
      <c r="D682" s="210">
        <v>3</v>
      </c>
      <c r="E682" s="210">
        <v>3</v>
      </c>
      <c r="F682" s="210">
        <v>5</v>
      </c>
      <c r="G682" s="210" t="s">
        <v>380</v>
      </c>
      <c r="H682" s="210" t="s">
        <v>380</v>
      </c>
      <c r="I682" s="210" t="s">
        <v>380</v>
      </c>
      <c r="J682" s="210" t="s">
        <v>380</v>
      </c>
      <c r="K682" s="210" t="s">
        <v>380</v>
      </c>
      <c r="L682" s="210" t="s">
        <v>380</v>
      </c>
      <c r="M682" s="210" t="s">
        <v>380</v>
      </c>
      <c r="N682" s="92" t="s">
        <v>380</v>
      </c>
      <c r="O682" s="152"/>
      <c r="R682" s="78"/>
      <c r="Z682" s="79"/>
      <c r="AA682" s="80"/>
      <c r="AB682" s="34"/>
      <c r="AC682" s="34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</row>
    <row r="683" spans="1:41" ht="24" thickBot="1">
      <c r="A683" s="1329" t="s">
        <v>455</v>
      </c>
      <c r="B683" s="1330"/>
      <c r="C683" s="91"/>
      <c r="D683" s="210"/>
      <c r="E683" s="210"/>
      <c r="F683" s="210"/>
      <c r="G683" s="210" t="s">
        <v>380</v>
      </c>
      <c r="H683" s="210" t="s">
        <v>380</v>
      </c>
      <c r="I683" s="210" t="s">
        <v>380</v>
      </c>
      <c r="J683" s="210" t="s">
        <v>380</v>
      </c>
      <c r="K683" s="210" t="s">
        <v>380</v>
      </c>
      <c r="L683" s="210" t="s">
        <v>380</v>
      </c>
      <c r="M683" s="210" t="s">
        <v>380</v>
      </c>
      <c r="N683" s="92" t="s">
        <v>380</v>
      </c>
      <c r="O683" s="152"/>
      <c r="R683" s="78"/>
      <c r="Z683" s="79"/>
      <c r="AA683" s="80"/>
      <c r="AB683" s="34"/>
      <c r="AC683" s="34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</row>
    <row r="684" spans="1:41" ht="24" thickBot="1">
      <c r="A684" s="1327" t="s">
        <v>456</v>
      </c>
      <c r="B684" s="1328"/>
      <c r="C684" s="93"/>
      <c r="D684" s="94"/>
      <c r="E684" s="94"/>
      <c r="F684" s="94"/>
      <c r="G684" s="94" t="s">
        <v>380</v>
      </c>
      <c r="H684" s="94" t="s">
        <v>380</v>
      </c>
      <c r="I684" s="94" t="s">
        <v>380</v>
      </c>
      <c r="J684" s="94" t="s">
        <v>380</v>
      </c>
      <c r="K684" s="94" t="s">
        <v>380</v>
      </c>
      <c r="L684" s="94" t="s">
        <v>380</v>
      </c>
      <c r="M684" s="94" t="s">
        <v>380</v>
      </c>
      <c r="N684" s="95" t="s">
        <v>380</v>
      </c>
      <c r="O684" s="152"/>
      <c r="AB684" s="34"/>
      <c r="AC684" s="34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</row>
    <row r="685" spans="1:41" ht="21" thickTop="1">
      <c r="A685" s="96"/>
      <c r="B685" s="96"/>
      <c r="C685" s="96"/>
      <c r="D685" s="96"/>
      <c r="E685" s="1326" t="s">
        <v>457</v>
      </c>
      <c r="F685" s="1310"/>
      <c r="G685" s="97">
        <v>18</v>
      </c>
      <c r="H685" s="1310" t="s">
        <v>458</v>
      </c>
      <c r="I685" s="1311"/>
      <c r="J685" s="1310" t="s">
        <v>459</v>
      </c>
      <c r="K685" s="1311"/>
      <c r="L685" s="96"/>
      <c r="M685" s="96"/>
      <c r="N685" s="96"/>
      <c r="O685" s="77"/>
      <c r="P685" s="77"/>
      <c r="Q685" s="78"/>
      <c r="AB685" s="34"/>
      <c r="AC685" s="34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</row>
    <row r="686" spans="1:41" ht="23.25">
      <c r="A686" s="96"/>
      <c r="B686" s="96"/>
      <c r="C686" s="96"/>
      <c r="D686" s="96"/>
      <c r="E686" s="1307" t="s">
        <v>460</v>
      </c>
      <c r="F686" s="1308"/>
      <c r="G686" s="98">
        <v>14</v>
      </c>
      <c r="H686" s="1312">
        <v>0</v>
      </c>
      <c r="I686" s="1312"/>
      <c r="J686" s="1312">
        <v>0</v>
      </c>
      <c r="K686" s="1313"/>
      <c r="L686" s="96"/>
      <c r="M686" s="96"/>
      <c r="N686" s="96"/>
      <c r="O686" s="77"/>
      <c r="P686" s="77"/>
      <c r="Q686" s="78">
        <f>G686+H686+H688+J686</f>
        <v>14</v>
      </c>
      <c r="AB686" s="34"/>
      <c r="AC686" s="34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</row>
    <row r="687" spans="1:41" ht="20.25">
      <c r="A687" s="96"/>
      <c r="B687" s="96"/>
      <c r="C687" s="96"/>
      <c r="D687" s="96"/>
      <c r="E687" s="1307" t="s">
        <v>461</v>
      </c>
      <c r="F687" s="1308"/>
      <c r="G687" s="99"/>
      <c r="H687" s="1308" t="s">
        <v>462</v>
      </c>
      <c r="I687" s="1308"/>
      <c r="J687" s="1308" t="s">
        <v>463</v>
      </c>
      <c r="K687" s="1309"/>
      <c r="L687" s="96"/>
      <c r="M687" s="96"/>
      <c r="N687" s="96"/>
      <c r="O687" s="77"/>
      <c r="P687" s="77"/>
      <c r="Q687" s="78"/>
      <c r="AB687" s="34"/>
      <c r="AC687" s="34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</row>
    <row r="688" spans="1:41" ht="24" thickBot="1">
      <c r="A688" s="96"/>
      <c r="B688" s="96"/>
      <c r="C688" s="96"/>
      <c r="D688" s="96"/>
      <c r="E688" s="1303" t="s">
        <v>464</v>
      </c>
      <c r="F688" s="1304"/>
      <c r="G688" s="99">
        <v>0</v>
      </c>
      <c r="H688" s="1305"/>
      <c r="I688" s="1305"/>
      <c r="J688" s="1305">
        <v>0</v>
      </c>
      <c r="K688" s="1306"/>
      <c r="L688" s="96"/>
      <c r="M688" s="96"/>
      <c r="N688" s="96"/>
      <c r="O688" s="77"/>
      <c r="P688" s="77"/>
      <c r="Q688" s="78"/>
      <c r="Z688" s="79"/>
      <c r="AA688" s="80"/>
      <c r="AB688" s="34"/>
      <c r="AC688" s="34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</row>
    <row r="689" spans="1:41" ht="17.25" thickTop="1" thickBot="1">
      <c r="A689" s="34"/>
      <c r="B689" s="34"/>
      <c r="C689" s="1299" t="s">
        <v>465</v>
      </c>
      <c r="D689" s="1299"/>
      <c r="E689" s="1299" t="s">
        <v>360</v>
      </c>
      <c r="F689" s="1299"/>
      <c r="G689" s="1302" t="s">
        <v>368</v>
      </c>
      <c r="H689" s="1302"/>
      <c r="I689" s="1302" t="s">
        <v>369</v>
      </c>
      <c r="J689" s="1302"/>
      <c r="K689" s="1302" t="s">
        <v>370</v>
      </c>
      <c r="L689" s="1299"/>
      <c r="M689" s="1299" t="s">
        <v>371</v>
      </c>
      <c r="N689" s="1299"/>
      <c r="O689" s="77"/>
      <c r="P689" s="77"/>
      <c r="Q689" s="78"/>
      <c r="Z689" s="79"/>
      <c r="AA689" s="80"/>
      <c r="AB689" s="34"/>
      <c r="AC689" s="34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</row>
    <row r="690" spans="1:41" ht="17.25" thickTop="1" thickBot="1">
      <c r="A690" s="34"/>
      <c r="B690" s="34"/>
      <c r="C690" s="1299" t="s">
        <v>372</v>
      </c>
      <c r="D690" s="1299"/>
      <c r="E690" s="1297"/>
      <c r="F690" s="1297"/>
      <c r="G690" s="1297"/>
      <c r="H690" s="1297"/>
      <c r="I690" s="1297" t="s">
        <v>828</v>
      </c>
      <c r="J690" s="1297"/>
      <c r="K690" s="1297" t="s">
        <v>3</v>
      </c>
      <c r="L690" s="1297"/>
      <c r="M690" s="1297" t="s">
        <v>493</v>
      </c>
      <c r="N690" s="1297"/>
      <c r="O690" s="77"/>
      <c r="P690" s="77"/>
      <c r="Q690" s="78"/>
      <c r="Z690" s="79"/>
      <c r="AA690" s="80"/>
      <c r="AB690" s="34"/>
      <c r="AC690" s="34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</row>
    <row r="691" spans="1:41" ht="17.25" thickTop="1" thickBot="1">
      <c r="A691" s="34"/>
      <c r="B691" s="34"/>
      <c r="C691" s="1299" t="s">
        <v>373</v>
      </c>
      <c r="D691" s="1299"/>
      <c r="E691" s="1297"/>
      <c r="F691" s="1297"/>
      <c r="G691" s="1297"/>
      <c r="H691" s="1297"/>
      <c r="I691" s="1297" t="s">
        <v>828</v>
      </c>
      <c r="J691" s="1297"/>
      <c r="K691" s="1297" t="s">
        <v>828</v>
      </c>
      <c r="L691" s="1297"/>
      <c r="M691" s="1297" t="s">
        <v>0</v>
      </c>
      <c r="N691" s="1297"/>
      <c r="O691" s="77"/>
      <c r="P691" s="77"/>
      <c r="Q691" s="78"/>
      <c r="Z691" s="79"/>
      <c r="AA691" s="80"/>
      <c r="AB691" s="34"/>
      <c r="AC691" s="34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</row>
    <row r="692" spans="1:41" ht="17.25" thickTop="1" thickBot="1">
      <c r="A692" s="34"/>
      <c r="B692" s="34"/>
      <c r="C692" s="1299" t="s">
        <v>374</v>
      </c>
      <c r="D692" s="1299"/>
      <c r="E692" s="1297"/>
      <c r="F692" s="1297"/>
      <c r="G692" s="1297"/>
      <c r="H692" s="1297"/>
      <c r="I692" s="1297"/>
      <c r="J692" s="1297"/>
      <c r="K692" s="1297"/>
      <c r="L692" s="1297"/>
      <c r="M692" s="1297"/>
      <c r="N692" s="1297"/>
      <c r="O692" s="77"/>
      <c r="P692" s="77"/>
      <c r="Z692" s="79"/>
      <c r="AA692" s="80"/>
      <c r="AB692" s="34"/>
      <c r="AC692" s="34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</row>
    <row r="693" spans="1:41" ht="17.25" thickTop="1" thickBot="1">
      <c r="A693" s="34"/>
      <c r="B693" s="34"/>
      <c r="C693" s="1299" t="s">
        <v>375</v>
      </c>
      <c r="D693" s="1299"/>
      <c r="E693" s="1297"/>
      <c r="F693" s="1297"/>
      <c r="G693" s="1297"/>
      <c r="H693" s="1297"/>
      <c r="I693" s="1317"/>
      <c r="J693" s="1317"/>
      <c r="K693" s="1297"/>
      <c r="L693" s="1297"/>
      <c r="M693" s="1297" t="s">
        <v>3</v>
      </c>
      <c r="N693" s="1297"/>
      <c r="O693" s="77"/>
      <c r="P693" s="77"/>
      <c r="Z693" s="79"/>
      <c r="AA693" s="80"/>
      <c r="AB693" s="34"/>
      <c r="AC693" s="34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</row>
    <row r="694" spans="1:41" ht="17.25" thickTop="1" thickBot="1">
      <c r="A694" s="34"/>
      <c r="B694" s="34"/>
      <c r="C694" s="101"/>
      <c r="D694" s="101"/>
      <c r="E694" s="33"/>
      <c r="F694" s="33"/>
      <c r="G694" s="33"/>
      <c r="H694" s="33"/>
      <c r="I694" s="33"/>
      <c r="J694" s="33"/>
      <c r="K694" s="34"/>
      <c r="L694" s="34"/>
      <c r="M694" s="33"/>
      <c r="N694" s="33"/>
      <c r="O694" s="77"/>
      <c r="P694" s="77"/>
      <c r="Z694" s="79"/>
      <c r="AA694" s="80"/>
      <c r="AB694" s="34"/>
      <c r="AC694" s="34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</row>
    <row r="695" spans="1:41" ht="17.25" thickTop="1" thickBot="1">
      <c r="A695" s="34"/>
      <c r="B695" s="34"/>
      <c r="C695" s="1299" t="s">
        <v>921</v>
      </c>
      <c r="D695" s="1299"/>
      <c r="E695" s="1297" t="s">
        <v>3</v>
      </c>
      <c r="F695" s="1297"/>
      <c r="G695" s="1317"/>
      <c r="H695" s="1317"/>
      <c r="I695" s="1297"/>
      <c r="J695" s="1297"/>
      <c r="K695" s="1297" t="s">
        <v>0</v>
      </c>
      <c r="L695" s="1297"/>
      <c r="M695" s="1297"/>
      <c r="N695" s="1297"/>
      <c r="O695" s="77"/>
      <c r="P695" s="77"/>
      <c r="Z695" s="79"/>
      <c r="AA695" s="80"/>
      <c r="AB695" s="34"/>
      <c r="AC695" s="34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</row>
    <row r="696" spans="1:41" ht="17.25" thickTop="1" thickBot="1">
      <c r="A696" s="34"/>
      <c r="B696" s="34"/>
      <c r="C696" s="1299" t="s">
        <v>922</v>
      </c>
      <c r="D696" s="1299"/>
      <c r="E696" s="1297" t="s">
        <v>493</v>
      </c>
      <c r="F696" s="1297"/>
      <c r="G696" s="1317" t="s">
        <v>0</v>
      </c>
      <c r="H696" s="1317"/>
      <c r="I696" s="1297"/>
      <c r="J696" s="1297"/>
      <c r="K696" s="1317" t="s">
        <v>493</v>
      </c>
      <c r="L696" s="1317"/>
      <c r="M696" s="1317"/>
      <c r="N696" s="1317"/>
      <c r="O696" s="77"/>
      <c r="P696" s="77"/>
      <c r="Z696" s="79"/>
      <c r="AA696" s="80"/>
      <c r="AB696" s="34"/>
      <c r="AC696" s="34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</row>
    <row r="697" spans="1:41" ht="19.5" thickTop="1" thickBot="1">
      <c r="A697" s="34"/>
      <c r="B697" s="34"/>
      <c r="C697" s="1299" t="s">
        <v>923</v>
      </c>
      <c r="D697" s="1299"/>
      <c r="E697" s="1403" t="s">
        <v>828</v>
      </c>
      <c r="F697" s="1404"/>
      <c r="G697" s="1297" t="s">
        <v>828</v>
      </c>
      <c r="H697" s="1297"/>
      <c r="I697" s="1297"/>
      <c r="J697" s="1297"/>
      <c r="K697" s="1317"/>
      <c r="L697" s="1317"/>
      <c r="M697" s="1317"/>
      <c r="N697" s="1317"/>
      <c r="O697" s="77"/>
      <c r="P697" s="77"/>
      <c r="Z697" s="79"/>
      <c r="AA697" s="80"/>
      <c r="AB697" s="34"/>
      <c r="AC697" s="34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</row>
    <row r="698" spans="1:41" ht="17.25" thickTop="1" thickBot="1">
      <c r="A698" s="34"/>
      <c r="B698" s="34"/>
      <c r="C698" s="1299" t="s">
        <v>924</v>
      </c>
      <c r="D698" s="1299"/>
      <c r="E698" s="1297" t="s">
        <v>380</v>
      </c>
      <c r="F698" s="1297"/>
      <c r="G698" s="1297"/>
      <c r="H698" s="1297"/>
      <c r="I698" s="1297" t="s">
        <v>380</v>
      </c>
      <c r="J698" s="1297"/>
      <c r="K698" s="1297" t="s">
        <v>380</v>
      </c>
      <c r="L698" s="1297"/>
      <c r="M698" s="1297" t="s">
        <v>380</v>
      </c>
      <c r="N698" s="1297"/>
      <c r="O698" s="77"/>
      <c r="P698" s="77"/>
      <c r="Z698" s="79"/>
      <c r="AA698" s="80"/>
      <c r="AB698" s="34"/>
      <c r="AC698" s="34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</row>
    <row r="699" spans="1:41" ht="17.25" thickTop="1" thickBot="1">
      <c r="A699" s="34"/>
      <c r="B699" s="34"/>
      <c r="C699" s="33"/>
      <c r="D699" s="33"/>
      <c r="E699" s="33"/>
      <c r="F699" s="33"/>
      <c r="G699" s="33"/>
      <c r="H699" s="33"/>
      <c r="I699" s="33"/>
      <c r="J699" s="33"/>
      <c r="K699" s="34"/>
      <c r="L699" s="34"/>
      <c r="M699" s="33"/>
      <c r="N699" s="33"/>
      <c r="O699" s="77"/>
      <c r="P699" s="77"/>
      <c r="Z699" s="79"/>
      <c r="AA699" s="80"/>
      <c r="AB699" s="34"/>
      <c r="AC699" s="34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</row>
    <row r="700" spans="1:41" ht="19.5" thickTop="1" thickBot="1">
      <c r="A700" s="1321" t="s">
        <v>467</v>
      </c>
      <c r="B700" s="1322"/>
      <c r="C700" s="1323" t="s">
        <v>380</v>
      </c>
      <c r="D700" s="1323"/>
      <c r="E700" s="1323" t="s">
        <v>380</v>
      </c>
      <c r="F700" s="1323"/>
      <c r="G700" s="250"/>
      <c r="H700" s="250" t="s">
        <v>468</v>
      </c>
      <c r="I700" s="1295" t="s">
        <v>402</v>
      </c>
      <c r="J700" s="1295"/>
      <c r="K700" s="1295"/>
      <c r="L700" s="102" t="s">
        <v>403</v>
      </c>
      <c r="M700" s="1331">
        <f ca="1">TODAY()</f>
        <v>45944</v>
      </c>
      <c r="N700" s="1331"/>
      <c r="O700" s="77"/>
      <c r="P700" s="77"/>
      <c r="Z700" s="79"/>
      <c r="AA700" s="80"/>
      <c r="AB700" s="34"/>
      <c r="AC700" s="34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</row>
    <row r="701" spans="1:41" ht="19.5" thickTop="1" thickBot="1">
      <c r="A701" s="1321" t="s">
        <v>469</v>
      </c>
      <c r="B701" s="1322"/>
      <c r="C701" s="1323" t="s">
        <v>380</v>
      </c>
      <c r="D701" s="1323"/>
      <c r="E701" s="1323" t="s">
        <v>380</v>
      </c>
      <c r="F701" s="1323"/>
      <c r="G701" s="250"/>
      <c r="H701" s="250"/>
      <c r="I701" s="250"/>
      <c r="J701" s="250"/>
      <c r="K701" s="102"/>
      <c r="L701" s="102"/>
      <c r="M701" s="33"/>
      <c r="N701" s="33"/>
      <c r="O701" s="77"/>
      <c r="P701" s="77"/>
      <c r="Q701" s="78"/>
      <c r="Z701" s="79"/>
      <c r="AA701" s="80"/>
      <c r="AB701" s="34"/>
      <c r="AC701" s="34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</row>
    <row r="702" spans="1:41" ht="19.5" thickTop="1" thickBot="1">
      <c r="A702" s="1321" t="s">
        <v>470</v>
      </c>
      <c r="B702" s="1322"/>
      <c r="C702" s="1323" t="s">
        <v>380</v>
      </c>
      <c r="D702" s="1323"/>
      <c r="E702" s="1323" t="s">
        <v>380</v>
      </c>
      <c r="F702" s="1323"/>
      <c r="G702" s="250"/>
      <c r="H702" s="250"/>
      <c r="I702" s="250"/>
      <c r="J702" s="250" t="s">
        <v>471</v>
      </c>
      <c r="K702" s="102"/>
      <c r="L702" s="102"/>
      <c r="M702" s="33"/>
      <c r="N702" s="33"/>
      <c r="O702" s="77"/>
      <c r="P702" s="77"/>
      <c r="Q702" s="78"/>
      <c r="Z702" s="79"/>
      <c r="AA702" s="80"/>
      <c r="AB702" s="34"/>
      <c r="AC702" s="34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</row>
    <row r="703" spans="1:41" ht="24" thickTop="1">
      <c r="A703" s="34"/>
      <c r="B703" s="34"/>
      <c r="C703" s="33"/>
      <c r="D703" s="33"/>
      <c r="E703" s="33"/>
      <c r="F703" s="33"/>
      <c r="G703" s="33"/>
      <c r="H703" s="103" t="s">
        <v>406</v>
      </c>
      <c r="I703" s="33"/>
      <c r="J703" s="34"/>
      <c r="K703" s="34"/>
      <c r="L703" s="33"/>
      <c r="M703" s="33"/>
      <c r="N703" s="104"/>
      <c r="O703" s="77"/>
      <c r="P703" s="77"/>
      <c r="Q703" s="78"/>
      <c r="Z703" s="79"/>
      <c r="AA703" s="80"/>
      <c r="AB703" s="34"/>
      <c r="AC703" s="34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</row>
    <row r="704" spans="1:41" ht="18">
      <c r="A704" s="1295" t="s">
        <v>78</v>
      </c>
      <c r="B704" s="1295"/>
      <c r="C704" s="1295"/>
      <c r="D704" s="1295"/>
      <c r="E704" s="1295"/>
      <c r="F704" s="1295"/>
      <c r="G704" s="1295"/>
      <c r="H704" s="1295"/>
      <c r="I704" s="1295"/>
      <c r="J704" s="1295"/>
      <c r="K704" s="1295"/>
      <c r="L704" s="1295"/>
      <c r="M704" s="1295"/>
      <c r="N704" s="1295"/>
      <c r="O704" s="77"/>
      <c r="P704" s="77"/>
      <c r="Q704" s="78"/>
      <c r="Z704" s="79"/>
      <c r="AA704" s="80"/>
      <c r="AB704" s="34"/>
      <c r="AC704" s="34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</row>
    <row r="705" spans="1:41" ht="18">
      <c r="A705" s="1295" t="s">
        <v>79</v>
      </c>
      <c r="B705" s="1295"/>
      <c r="C705" s="1295"/>
      <c r="D705" s="1295"/>
      <c r="E705" s="1295"/>
      <c r="F705" s="1295"/>
      <c r="G705" s="1295"/>
      <c r="H705" s="1295"/>
      <c r="I705" s="1295"/>
      <c r="J705" s="1295"/>
      <c r="K705" s="1295"/>
      <c r="L705" s="1295"/>
      <c r="M705" s="1295"/>
      <c r="N705" s="1295"/>
      <c r="O705" s="77"/>
      <c r="P705" s="77"/>
      <c r="Q705" s="78"/>
      <c r="Z705" s="79"/>
      <c r="AA705" s="80"/>
      <c r="AB705" s="34"/>
      <c r="AC705" s="34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</row>
    <row r="706" spans="1:41" ht="18">
      <c r="A706" s="168" t="s">
        <v>220</v>
      </c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33"/>
      <c r="N706" s="33"/>
      <c r="O706" s="77"/>
      <c r="P706" s="77"/>
      <c r="Q706" s="78"/>
      <c r="Z706" s="79"/>
      <c r="AA706" s="80"/>
      <c r="AB706" s="34"/>
      <c r="AC706" s="34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</row>
    <row r="707" spans="1:41" ht="18">
      <c r="A707" s="168" t="s">
        <v>444</v>
      </c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33"/>
      <c r="N707" s="33"/>
      <c r="O707" s="77"/>
      <c r="P707" s="77"/>
      <c r="Q707" s="78"/>
      <c r="Z707" s="79"/>
      <c r="AA707" s="80"/>
      <c r="AB707" s="34"/>
      <c r="AC707" s="34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</row>
    <row r="708" spans="1:41" ht="18.75" thickBot="1">
      <c r="A708" s="250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33"/>
      <c r="N708" s="33"/>
      <c r="O708" s="77"/>
      <c r="P708" s="77"/>
      <c r="Q708" s="78"/>
      <c r="Z708" s="79"/>
      <c r="AA708" s="80"/>
      <c r="AB708" s="34"/>
      <c r="AC708" s="34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</row>
    <row r="709" spans="1:41" ht="24" thickBot="1">
      <c r="A709" s="250"/>
      <c r="B709" s="250"/>
      <c r="C709" s="1333" t="s">
        <v>446</v>
      </c>
      <c r="D709" s="1334"/>
      <c r="E709" s="1334"/>
      <c r="F709" s="1334"/>
      <c r="G709" s="1334"/>
      <c r="H709" s="1334"/>
      <c r="I709" s="1334"/>
      <c r="J709" s="1334"/>
      <c r="K709" s="1334"/>
      <c r="L709" s="1335"/>
      <c r="M709" s="33"/>
      <c r="N709" s="33"/>
      <c r="O709" s="77"/>
      <c r="P709" s="77"/>
      <c r="Q709" s="78"/>
      <c r="Z709" s="79"/>
      <c r="AA709" s="80"/>
      <c r="AB709" s="34"/>
      <c r="AC709" s="34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</row>
    <row r="710" spans="1:41" ht="23.25">
      <c r="A710" s="250"/>
      <c r="B710" s="250"/>
      <c r="C710" s="249"/>
      <c r="D710" s="249"/>
      <c r="E710" s="249"/>
      <c r="F710" s="249"/>
      <c r="G710" s="249"/>
      <c r="H710" s="249"/>
      <c r="I710" s="249"/>
      <c r="J710" s="249"/>
      <c r="K710" s="249"/>
      <c r="L710" s="249"/>
      <c r="M710" s="33"/>
      <c r="N710" s="33"/>
      <c r="O710" s="77"/>
      <c r="P710" s="77"/>
      <c r="Q710" s="78"/>
      <c r="Z710" s="79"/>
      <c r="AA710" s="80"/>
      <c r="AB710" s="34"/>
      <c r="AC710" s="34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</row>
    <row r="711" spans="1:41" ht="23.25">
      <c r="A711" s="1295" t="s">
        <v>448</v>
      </c>
      <c r="B711" s="1295"/>
      <c r="C711" s="1295"/>
      <c r="E711" s="1294" t="s">
        <v>1228</v>
      </c>
      <c r="F711" s="1294"/>
      <c r="G711" s="1294"/>
      <c r="H711" s="1294"/>
      <c r="I711" s="1294"/>
      <c r="J711" s="249"/>
      <c r="K711" s="249" t="s">
        <v>449</v>
      </c>
      <c r="L711" s="249"/>
      <c r="M711" s="1295" t="s">
        <v>385</v>
      </c>
      <c r="N711" s="1295"/>
      <c r="O711" s="1292" t="str">
        <f>E711</f>
        <v>اوهيبة هجيرة</v>
      </c>
      <c r="P711" s="1292"/>
      <c r="Q711" s="78">
        <v>23</v>
      </c>
      <c r="Z711" s="79"/>
      <c r="AA711" s="80"/>
      <c r="AB711" s="34"/>
      <c r="AC711" s="34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</row>
    <row r="712" spans="1:41" ht="24" thickBot="1">
      <c r="A712" s="1340" t="s">
        <v>450</v>
      </c>
      <c r="B712" s="1340"/>
      <c r="C712" s="1340"/>
      <c r="D712" s="1340" t="s">
        <v>451</v>
      </c>
      <c r="E712" s="1340"/>
      <c r="F712" s="1340"/>
      <c r="G712" s="1340"/>
      <c r="H712" s="87"/>
      <c r="I712" s="1340" t="s">
        <v>452</v>
      </c>
      <c r="J712" s="1340"/>
      <c r="K712" s="1340"/>
      <c r="L712" s="1341" t="s">
        <v>380</v>
      </c>
      <c r="M712" s="1341"/>
      <c r="N712" s="1341"/>
      <c r="O712" s="77"/>
      <c r="P712" s="77"/>
      <c r="Q712" s="78"/>
      <c r="Z712" s="79"/>
      <c r="AA712" s="80"/>
      <c r="AB712" s="34"/>
      <c r="AC712" s="34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</row>
    <row r="713" spans="1:41" ht="17.25" thickTop="1" thickBot="1">
      <c r="A713" s="1318" t="s">
        <v>453</v>
      </c>
      <c r="B713" s="1319"/>
      <c r="C713" s="89" t="s">
        <v>19</v>
      </c>
      <c r="D713" s="89" t="s">
        <v>268</v>
      </c>
      <c r="E713" s="89" t="s">
        <v>6</v>
      </c>
      <c r="F713" s="89" t="s">
        <v>3</v>
      </c>
      <c r="G713" s="89" t="s">
        <v>828</v>
      </c>
      <c r="H713" s="89"/>
      <c r="I713" s="89" t="s">
        <v>380</v>
      </c>
      <c r="J713" s="89" t="s">
        <v>380</v>
      </c>
      <c r="K713" s="89" t="s">
        <v>380</v>
      </c>
      <c r="L713" s="89" t="s">
        <v>380</v>
      </c>
      <c r="M713" s="89" t="s">
        <v>380</v>
      </c>
      <c r="N713" s="90" t="s">
        <v>380</v>
      </c>
      <c r="Z713" s="79"/>
      <c r="AA713" s="80"/>
      <c r="AB713" s="34"/>
      <c r="AC713" s="34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</row>
    <row r="714" spans="1:41" ht="24" thickBot="1">
      <c r="A714" s="1329" t="s">
        <v>454</v>
      </c>
      <c r="B714" s="1330"/>
      <c r="C714" s="91">
        <v>4</v>
      </c>
      <c r="D714" s="210">
        <v>3</v>
      </c>
      <c r="E714" s="210">
        <v>3</v>
      </c>
      <c r="F714" s="210">
        <v>3</v>
      </c>
      <c r="G714" s="210">
        <v>4</v>
      </c>
      <c r="H714" s="210"/>
      <c r="I714" s="210" t="s">
        <v>380</v>
      </c>
      <c r="J714" s="210" t="s">
        <v>380</v>
      </c>
      <c r="K714" s="210" t="s">
        <v>380</v>
      </c>
      <c r="L714" s="210" t="s">
        <v>380</v>
      </c>
      <c r="M714" s="210" t="s">
        <v>380</v>
      </c>
      <c r="N714" s="92" t="s">
        <v>380</v>
      </c>
      <c r="O714" s="152"/>
      <c r="R714" s="78"/>
      <c r="Z714" s="79"/>
      <c r="AA714" s="80"/>
      <c r="AB714" s="34"/>
      <c r="AC714" s="34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</row>
    <row r="715" spans="1:41" ht="24" thickBot="1">
      <c r="A715" s="1329" t="s">
        <v>455</v>
      </c>
      <c r="B715" s="1330"/>
      <c r="C715" s="91"/>
      <c r="D715" s="210"/>
      <c r="E715" s="210"/>
      <c r="F715" s="210"/>
      <c r="G715" s="210"/>
      <c r="H715" s="210"/>
      <c r="I715" s="210" t="s">
        <v>380</v>
      </c>
      <c r="J715" s="210" t="s">
        <v>380</v>
      </c>
      <c r="K715" s="210" t="s">
        <v>380</v>
      </c>
      <c r="L715" s="210" t="s">
        <v>380</v>
      </c>
      <c r="M715" s="210" t="s">
        <v>380</v>
      </c>
      <c r="N715" s="92" t="s">
        <v>380</v>
      </c>
      <c r="O715" s="152"/>
      <c r="R715" s="78"/>
      <c r="Z715" s="79"/>
      <c r="AA715" s="80"/>
      <c r="AB715" s="34"/>
      <c r="AC715" s="34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</row>
    <row r="716" spans="1:41" ht="24" thickBot="1">
      <c r="A716" s="1327" t="s">
        <v>456</v>
      </c>
      <c r="B716" s="1328"/>
      <c r="C716" s="93"/>
      <c r="D716" s="94"/>
      <c r="E716" s="94"/>
      <c r="F716" s="94"/>
      <c r="G716" s="94"/>
      <c r="H716" s="94"/>
      <c r="I716" s="94" t="s">
        <v>380</v>
      </c>
      <c r="J716" s="94" t="s">
        <v>380</v>
      </c>
      <c r="K716" s="94" t="s">
        <v>380</v>
      </c>
      <c r="L716" s="94" t="s">
        <v>380</v>
      </c>
      <c r="M716" s="94" t="s">
        <v>380</v>
      </c>
      <c r="N716" s="95" t="s">
        <v>380</v>
      </c>
      <c r="O716" s="152"/>
      <c r="Z716" s="79"/>
      <c r="AA716" s="80"/>
      <c r="AB716" s="34"/>
      <c r="AC716" s="34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</row>
    <row r="717" spans="1:41" ht="21" thickTop="1">
      <c r="A717" s="96"/>
      <c r="B717" s="96"/>
      <c r="C717" s="96"/>
      <c r="D717" s="96"/>
      <c r="E717" s="1326" t="s">
        <v>457</v>
      </c>
      <c r="F717" s="1310"/>
      <c r="G717" s="97">
        <v>18</v>
      </c>
      <c r="H717" s="1310" t="s">
        <v>458</v>
      </c>
      <c r="I717" s="1311"/>
      <c r="J717" s="1310" t="s">
        <v>459</v>
      </c>
      <c r="K717" s="1311"/>
      <c r="L717" s="96"/>
      <c r="M717" s="96"/>
      <c r="N717" s="96"/>
      <c r="O717" s="77"/>
      <c r="P717" s="77"/>
      <c r="Q717" s="78"/>
      <c r="Z717" s="79"/>
      <c r="AA717" s="80"/>
      <c r="AB717" s="34"/>
      <c r="AC717" s="34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</row>
    <row r="718" spans="1:41" ht="23.25">
      <c r="A718" s="96"/>
      <c r="B718" s="96"/>
      <c r="C718" s="96"/>
      <c r="D718" s="96"/>
      <c r="E718" s="1307" t="s">
        <v>460</v>
      </c>
      <c r="F718" s="1308"/>
      <c r="G718" s="98">
        <v>18</v>
      </c>
      <c r="H718" s="1312">
        <v>0</v>
      </c>
      <c r="I718" s="1312"/>
      <c r="J718" s="1312">
        <v>0</v>
      </c>
      <c r="K718" s="1313"/>
      <c r="L718" s="96"/>
      <c r="M718" s="96"/>
      <c r="N718" s="96"/>
      <c r="O718" s="77"/>
      <c r="P718" s="77"/>
      <c r="Q718" s="78">
        <f>G718+H718+H720+J718</f>
        <v>18</v>
      </c>
      <c r="Z718" s="79"/>
      <c r="AA718" s="80"/>
      <c r="AB718" s="34"/>
      <c r="AC718" s="34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</row>
    <row r="719" spans="1:41" ht="20.25">
      <c r="A719" s="96"/>
      <c r="B719" s="96"/>
      <c r="C719" s="96"/>
      <c r="D719" s="96"/>
      <c r="E719" s="1307" t="s">
        <v>461</v>
      </c>
      <c r="F719" s="1308"/>
      <c r="G719" s="99"/>
      <c r="H719" s="1308" t="s">
        <v>462</v>
      </c>
      <c r="I719" s="1308"/>
      <c r="J719" s="1308" t="s">
        <v>463</v>
      </c>
      <c r="K719" s="1309"/>
      <c r="L719" s="96"/>
      <c r="M719" s="96"/>
      <c r="N719" s="96"/>
      <c r="O719" s="77"/>
      <c r="P719" s="77"/>
      <c r="Q719" s="78"/>
      <c r="Z719" s="79"/>
      <c r="AA719" s="80"/>
      <c r="AB719" s="34"/>
      <c r="AC719" s="34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</row>
    <row r="720" spans="1:41" ht="24" thickBot="1">
      <c r="A720" s="96"/>
      <c r="B720" s="96"/>
      <c r="C720" s="96"/>
      <c r="D720" s="96"/>
      <c r="E720" s="1303" t="s">
        <v>464</v>
      </c>
      <c r="F720" s="1304"/>
      <c r="G720" s="99"/>
      <c r="H720" s="1305"/>
      <c r="I720" s="1305"/>
      <c r="J720" s="1305">
        <v>0</v>
      </c>
      <c r="K720" s="1306"/>
      <c r="L720" s="96"/>
      <c r="M720" s="96"/>
      <c r="N720" s="96"/>
      <c r="O720" s="77"/>
      <c r="P720" s="77"/>
      <c r="Q720" s="78"/>
      <c r="Z720" s="79"/>
      <c r="AA720" s="80"/>
      <c r="AB720" s="34"/>
      <c r="AC720" s="34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</row>
    <row r="721" spans="1:41" ht="17.25" thickTop="1" thickBot="1">
      <c r="A721" s="34"/>
      <c r="B721" s="34"/>
      <c r="C721" s="1299" t="s">
        <v>465</v>
      </c>
      <c r="D721" s="1299"/>
      <c r="E721" s="1299" t="s">
        <v>360</v>
      </c>
      <c r="F721" s="1299"/>
      <c r="G721" s="1302" t="s">
        <v>368</v>
      </c>
      <c r="H721" s="1302"/>
      <c r="I721" s="1302" t="s">
        <v>369</v>
      </c>
      <c r="J721" s="1302"/>
      <c r="K721" s="1302" t="s">
        <v>370</v>
      </c>
      <c r="L721" s="1299"/>
      <c r="M721" s="1299" t="s">
        <v>371</v>
      </c>
      <c r="N721" s="1299"/>
      <c r="O721" s="77"/>
      <c r="P721" s="77"/>
      <c r="Z721" s="79"/>
      <c r="AA721" s="80"/>
      <c r="AB721" s="34"/>
      <c r="AC721" s="34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</row>
    <row r="722" spans="1:41" ht="17.25" thickTop="1" thickBot="1">
      <c r="A722" s="34"/>
      <c r="B722" s="34"/>
      <c r="C722" s="1299" t="s">
        <v>372</v>
      </c>
      <c r="D722" s="1299"/>
      <c r="E722" s="1297"/>
      <c r="F722" s="1297"/>
      <c r="G722" s="1297" t="s">
        <v>828</v>
      </c>
      <c r="H722" s="1297"/>
      <c r="I722" s="1297" t="s">
        <v>6</v>
      </c>
      <c r="J722" s="1297"/>
      <c r="K722" s="1296" t="s">
        <v>828</v>
      </c>
      <c r="L722" s="1296"/>
      <c r="M722" s="1296" t="s">
        <v>19</v>
      </c>
      <c r="N722" s="1296"/>
      <c r="O722" s="77"/>
      <c r="P722" s="77"/>
      <c r="Z722" s="79"/>
      <c r="AA722" s="80"/>
      <c r="AB722" s="34"/>
      <c r="AC722" s="34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</row>
    <row r="723" spans="1:41" ht="17.25" thickTop="1" thickBot="1">
      <c r="A723" s="34"/>
      <c r="B723" s="34"/>
      <c r="C723" s="1299" t="s">
        <v>373</v>
      </c>
      <c r="D723" s="1299"/>
      <c r="E723" s="1297"/>
      <c r="F723" s="1297"/>
      <c r="G723" s="1297" t="s">
        <v>19</v>
      </c>
      <c r="H723" s="1297"/>
      <c r="I723" s="1297" t="s">
        <v>268</v>
      </c>
      <c r="J723" s="1297"/>
      <c r="K723" s="1300" t="s">
        <v>3</v>
      </c>
      <c r="L723" s="1300"/>
      <c r="M723" s="1297" t="s">
        <v>19</v>
      </c>
      <c r="N723" s="1297"/>
      <c r="O723" s="77"/>
      <c r="P723" s="77"/>
      <c r="Z723" s="79"/>
      <c r="AA723" s="80"/>
      <c r="AB723" s="34"/>
      <c r="AC723" s="34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</row>
    <row r="724" spans="1:41" ht="17.25" thickTop="1" thickBot="1">
      <c r="A724" s="34"/>
      <c r="B724" s="34"/>
      <c r="C724" s="1299" t="s">
        <v>374</v>
      </c>
      <c r="D724" s="1299"/>
      <c r="E724" s="1297"/>
      <c r="F724" s="1297"/>
      <c r="G724" s="1297"/>
      <c r="H724" s="1297"/>
      <c r="I724" s="1297" t="s">
        <v>828</v>
      </c>
      <c r="J724" s="1297"/>
      <c r="K724" s="1296"/>
      <c r="L724" s="1296"/>
      <c r="M724" s="1297" t="s">
        <v>828</v>
      </c>
      <c r="N724" s="1297"/>
      <c r="O724" s="77"/>
      <c r="P724" s="77"/>
      <c r="Z724" s="79"/>
      <c r="AA724" s="80"/>
      <c r="AB724" s="34"/>
      <c r="AC724" s="34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</row>
    <row r="725" spans="1:41" ht="17.25" thickTop="1" thickBot="1">
      <c r="A725" s="34"/>
      <c r="B725" s="34"/>
      <c r="C725" s="1299" t="s">
        <v>375</v>
      </c>
      <c r="D725" s="1299"/>
      <c r="E725" s="1297"/>
      <c r="F725" s="1297"/>
      <c r="G725" s="1297" t="s">
        <v>3</v>
      </c>
      <c r="H725" s="1297"/>
      <c r="I725" s="1297"/>
      <c r="J725" s="1297"/>
      <c r="K725" s="1300"/>
      <c r="L725" s="1300"/>
      <c r="M725" s="1297"/>
      <c r="N725" s="1297"/>
      <c r="O725" s="77"/>
      <c r="P725" s="77"/>
      <c r="Z725" s="79"/>
      <c r="AA725" s="80"/>
      <c r="AB725" s="34"/>
      <c r="AC725" s="34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</row>
    <row r="726" spans="1:41" ht="17.25" thickTop="1" thickBot="1">
      <c r="A726" s="34"/>
      <c r="B726" s="34"/>
      <c r="C726" s="101"/>
      <c r="D726" s="101"/>
      <c r="E726" s="33"/>
      <c r="F726" s="33"/>
      <c r="G726" s="33"/>
      <c r="H726" s="33"/>
      <c r="I726" s="33"/>
      <c r="J726" s="33"/>
      <c r="K726" s="34"/>
      <c r="L726" s="34"/>
      <c r="M726" s="33"/>
      <c r="N726" s="33"/>
      <c r="O726" s="77"/>
      <c r="P726" s="77"/>
      <c r="Z726" s="79"/>
      <c r="AA726" s="80"/>
      <c r="AB726" s="34"/>
      <c r="AC726" s="34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</row>
    <row r="727" spans="1:41" ht="17.25" thickTop="1" thickBot="1">
      <c r="A727" s="34"/>
      <c r="B727" s="34"/>
      <c r="C727" s="1299" t="s">
        <v>921</v>
      </c>
      <c r="D727" s="1299"/>
      <c r="E727" s="1297"/>
      <c r="F727" s="1297"/>
      <c r="G727" s="1297"/>
      <c r="H727" s="1297"/>
      <c r="I727" s="1297"/>
      <c r="J727" s="1297"/>
      <c r="K727" s="1297" t="s">
        <v>19</v>
      </c>
      <c r="L727" s="1297"/>
      <c r="M727" s="1297" t="s">
        <v>3</v>
      </c>
      <c r="N727" s="1297"/>
      <c r="O727" s="77"/>
      <c r="P727" s="77"/>
      <c r="Z727" s="79"/>
      <c r="AA727" s="80"/>
      <c r="AB727" s="34"/>
      <c r="AC727" s="34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</row>
    <row r="728" spans="1:41" ht="17.25" thickTop="1" thickBot="1">
      <c r="A728" s="34"/>
      <c r="B728" s="34"/>
      <c r="C728" s="1299" t="s">
        <v>922</v>
      </c>
      <c r="D728" s="1299"/>
      <c r="E728" s="1297"/>
      <c r="F728" s="1297"/>
      <c r="G728" s="1297"/>
      <c r="H728" s="1297"/>
      <c r="I728" s="1297"/>
      <c r="J728" s="1297"/>
      <c r="K728" s="1297" t="s">
        <v>6</v>
      </c>
      <c r="L728" s="1297"/>
      <c r="M728" s="1297" t="s">
        <v>6</v>
      </c>
      <c r="N728" s="1297"/>
      <c r="O728" s="77"/>
      <c r="P728" s="77"/>
      <c r="Z728" s="79"/>
      <c r="AA728" s="80"/>
      <c r="AB728" s="34"/>
      <c r="AC728" s="34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</row>
    <row r="729" spans="1:41" ht="17.25" thickTop="1" thickBot="1">
      <c r="A729" s="34"/>
      <c r="B729" s="34"/>
      <c r="C729" s="1299" t="s">
        <v>923</v>
      </c>
      <c r="D729" s="1299"/>
      <c r="E729" s="1297"/>
      <c r="F729" s="1297"/>
      <c r="G729" s="1297"/>
      <c r="H729" s="1297"/>
      <c r="I729" s="1297"/>
      <c r="J729" s="1297"/>
      <c r="K729" s="1297" t="s">
        <v>268</v>
      </c>
      <c r="L729" s="1297"/>
      <c r="M729" s="1297" t="s">
        <v>268</v>
      </c>
      <c r="N729" s="1297"/>
      <c r="O729" s="77"/>
      <c r="P729" s="77"/>
      <c r="Z729" s="79"/>
      <c r="AA729" s="80"/>
      <c r="AB729" s="34"/>
      <c r="AC729" s="34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</row>
    <row r="730" spans="1:41" ht="17.25" thickTop="1" thickBot="1">
      <c r="A730" s="34"/>
      <c r="B730" s="34"/>
      <c r="C730" s="1299" t="s">
        <v>924</v>
      </c>
      <c r="D730" s="1299"/>
      <c r="E730" s="1297"/>
      <c r="F730" s="1297"/>
      <c r="G730" s="1297"/>
      <c r="H730" s="1297"/>
      <c r="I730" s="1297"/>
      <c r="J730" s="1297"/>
      <c r="K730" s="1297"/>
      <c r="L730" s="1297"/>
      <c r="M730" s="1297"/>
      <c r="N730" s="1297"/>
      <c r="O730" s="77"/>
      <c r="P730" s="77"/>
      <c r="Q730" s="78"/>
      <c r="Z730" s="79"/>
      <c r="AA730" s="80"/>
      <c r="AB730" s="34"/>
      <c r="AC730" s="34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</row>
    <row r="731" spans="1:41" ht="17.25" thickTop="1" thickBot="1">
      <c r="A731" s="34"/>
      <c r="B731" s="34"/>
      <c r="C731" s="33"/>
      <c r="D731" s="33"/>
      <c r="E731" s="33"/>
      <c r="F731" s="33"/>
      <c r="G731" s="33"/>
      <c r="H731" s="33"/>
      <c r="I731" s="33"/>
      <c r="J731" s="33"/>
      <c r="K731" s="34"/>
      <c r="L731" s="34"/>
      <c r="M731" s="33"/>
      <c r="N731" s="33"/>
      <c r="O731" s="77"/>
      <c r="P731" s="77"/>
      <c r="Q731" s="78"/>
      <c r="Z731" s="79"/>
      <c r="AA731" s="80"/>
      <c r="AB731" s="34"/>
      <c r="AC731" s="34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</row>
    <row r="732" spans="1:41" ht="19.5" thickTop="1" thickBot="1">
      <c r="A732" s="1321" t="s">
        <v>467</v>
      </c>
      <c r="B732" s="1322"/>
      <c r="C732" s="1323" t="s">
        <v>380</v>
      </c>
      <c r="D732" s="1323"/>
      <c r="E732" s="1323" t="s">
        <v>380</v>
      </c>
      <c r="F732" s="1323"/>
      <c r="G732" s="250"/>
      <c r="H732" s="250" t="s">
        <v>468</v>
      </c>
      <c r="I732" s="1295" t="s">
        <v>402</v>
      </c>
      <c r="J732" s="1295"/>
      <c r="K732" s="1295"/>
      <c r="L732" s="102" t="s">
        <v>403</v>
      </c>
      <c r="M732" s="1331">
        <v>43710</v>
      </c>
      <c r="N732" s="1331"/>
      <c r="O732" s="77"/>
      <c r="P732" s="77"/>
      <c r="Q732" s="78"/>
      <c r="Z732" s="79"/>
      <c r="AA732" s="80"/>
      <c r="AB732" s="34"/>
      <c r="AC732" s="34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</row>
    <row r="733" spans="1:41" ht="19.5" thickTop="1" thickBot="1">
      <c r="A733" s="1321" t="s">
        <v>469</v>
      </c>
      <c r="B733" s="1322"/>
      <c r="C733" s="1323" t="s">
        <v>380</v>
      </c>
      <c r="D733" s="1323"/>
      <c r="E733" s="1323" t="s">
        <v>380</v>
      </c>
      <c r="F733" s="1323"/>
      <c r="G733" s="250"/>
      <c r="H733" s="250"/>
      <c r="I733" s="250"/>
      <c r="J733" s="250"/>
      <c r="K733" s="102"/>
      <c r="L733" s="102"/>
      <c r="M733" s="33"/>
      <c r="N733" s="33"/>
      <c r="O733" s="77"/>
      <c r="P733" s="77"/>
      <c r="Q733" s="78"/>
      <c r="Z733" s="79"/>
      <c r="AA733" s="80"/>
      <c r="AB733" s="34"/>
      <c r="AC733" s="34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</row>
    <row r="734" spans="1:41" ht="19.5" thickTop="1" thickBot="1">
      <c r="A734" s="1321" t="s">
        <v>470</v>
      </c>
      <c r="B734" s="1322"/>
      <c r="C734" s="1323" t="s">
        <v>380</v>
      </c>
      <c r="D734" s="1323"/>
      <c r="E734" s="1323" t="s">
        <v>380</v>
      </c>
      <c r="F734" s="1323"/>
      <c r="G734" s="250"/>
      <c r="H734" s="250"/>
      <c r="I734" s="250"/>
      <c r="J734" s="250" t="s">
        <v>471</v>
      </c>
      <c r="K734" s="102"/>
      <c r="L734" s="102"/>
      <c r="M734" s="33"/>
      <c r="N734" s="33"/>
      <c r="O734" s="77"/>
      <c r="P734" s="77"/>
      <c r="Q734" s="78"/>
      <c r="Z734" s="79"/>
      <c r="AA734" s="80"/>
      <c r="AB734" s="34"/>
      <c r="AC734" s="34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</row>
    <row r="735" spans="1:41" ht="24" thickTop="1">
      <c r="A735" s="34"/>
      <c r="B735" s="34"/>
      <c r="C735" s="33"/>
      <c r="D735" s="33"/>
      <c r="E735" s="33"/>
      <c r="F735" s="33"/>
      <c r="G735" s="33"/>
      <c r="H735" s="103" t="s">
        <v>406</v>
      </c>
      <c r="I735" s="33"/>
      <c r="J735" s="34"/>
      <c r="K735" s="34"/>
      <c r="L735" s="33"/>
      <c r="M735" s="33"/>
      <c r="N735" s="104"/>
      <c r="O735" s="77"/>
      <c r="P735" s="77"/>
      <c r="Q735" s="78"/>
      <c r="Z735" s="79"/>
      <c r="AA735" s="80"/>
      <c r="AB735" s="34"/>
      <c r="AC735" s="34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</row>
    <row r="736" spans="1:41" ht="18">
      <c r="A736" s="1295" t="s">
        <v>78</v>
      </c>
      <c r="B736" s="1295"/>
      <c r="C736" s="1295"/>
      <c r="D736" s="1295"/>
      <c r="E736" s="1295"/>
      <c r="F736" s="1295"/>
      <c r="G736" s="1295"/>
      <c r="H736" s="1295"/>
      <c r="I736" s="1295"/>
      <c r="J736" s="1295"/>
      <c r="K736" s="1295"/>
      <c r="L736" s="1295"/>
      <c r="M736" s="1295"/>
      <c r="N736" s="1295"/>
      <c r="O736" s="77"/>
      <c r="P736" s="77"/>
      <c r="Q736" s="78"/>
      <c r="Z736" s="79"/>
      <c r="AA736" s="80"/>
      <c r="AB736" s="34"/>
      <c r="AC736" s="34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</row>
    <row r="737" spans="1:41" ht="18">
      <c r="A737" s="1295" t="s">
        <v>79</v>
      </c>
      <c r="B737" s="1295"/>
      <c r="C737" s="1295"/>
      <c r="D737" s="1295"/>
      <c r="E737" s="1295"/>
      <c r="F737" s="1295"/>
      <c r="G737" s="1295"/>
      <c r="H737" s="1295"/>
      <c r="I737" s="1295"/>
      <c r="J737" s="1295"/>
      <c r="K737" s="1295"/>
      <c r="L737" s="1295"/>
      <c r="M737" s="1295"/>
      <c r="N737" s="1295"/>
      <c r="O737" s="77"/>
      <c r="P737" s="77"/>
      <c r="Q737" s="78"/>
      <c r="Z737" s="79"/>
      <c r="AA737" s="80"/>
      <c r="AB737" s="34"/>
      <c r="AC737" s="34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</row>
    <row r="738" spans="1:41" ht="18">
      <c r="A738" s="168" t="s">
        <v>220</v>
      </c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33"/>
      <c r="N738" s="33"/>
      <c r="O738" s="77"/>
      <c r="P738" s="77"/>
      <c r="Q738" s="78"/>
      <c r="Z738" s="79"/>
      <c r="AA738" s="80"/>
      <c r="AB738" s="34"/>
      <c r="AC738" s="34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</row>
    <row r="739" spans="1:41" ht="18">
      <c r="A739" s="168" t="s">
        <v>444</v>
      </c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33"/>
      <c r="N739" s="33"/>
      <c r="O739" s="77"/>
      <c r="P739" s="77"/>
      <c r="Q739" s="78"/>
      <c r="Z739" s="79"/>
      <c r="AA739" s="80"/>
      <c r="AB739" s="34"/>
      <c r="AC739" s="34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</row>
    <row r="740" spans="1:41" ht="18.75" thickBot="1">
      <c r="A740" s="250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33"/>
      <c r="N740" s="33"/>
      <c r="O740" s="77"/>
      <c r="P740" s="77"/>
      <c r="Q740" s="78"/>
      <c r="Z740" s="79"/>
      <c r="AA740" s="80"/>
      <c r="AB740" s="34"/>
      <c r="AC740" s="34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</row>
    <row r="741" spans="1:41" ht="24" thickBot="1">
      <c r="A741" s="250"/>
      <c r="B741" s="250"/>
      <c r="C741" s="1333" t="s">
        <v>446</v>
      </c>
      <c r="D741" s="1334"/>
      <c r="E741" s="1334"/>
      <c r="F741" s="1334"/>
      <c r="G741" s="1334"/>
      <c r="H741" s="1334"/>
      <c r="I741" s="1334"/>
      <c r="J741" s="1334"/>
      <c r="K741" s="1334"/>
      <c r="L741" s="1335"/>
      <c r="M741" s="33"/>
      <c r="N741" s="33"/>
      <c r="O741" s="77"/>
      <c r="P741" s="77"/>
      <c r="Q741" s="78"/>
      <c r="Z741" s="79"/>
      <c r="AA741" s="80"/>
      <c r="AB741" s="34"/>
      <c r="AC741" s="34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</row>
    <row r="742" spans="1:41" ht="23.25">
      <c r="A742" s="250"/>
      <c r="B742" s="250"/>
      <c r="C742" s="249"/>
      <c r="D742" s="249"/>
      <c r="E742" s="249"/>
      <c r="F742" s="249"/>
      <c r="G742" s="249"/>
      <c r="H742" s="249"/>
      <c r="I742" s="249"/>
      <c r="J742" s="249"/>
      <c r="K742" s="249"/>
      <c r="L742" s="249"/>
      <c r="M742" s="33"/>
      <c r="N742" s="33"/>
      <c r="O742" s="77"/>
      <c r="P742" s="77"/>
      <c r="Q742" s="78"/>
      <c r="Z742" s="79"/>
      <c r="AA742" s="80"/>
      <c r="AB742" s="34"/>
      <c r="AC742" s="34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</row>
    <row r="743" spans="1:41" ht="23.25">
      <c r="A743" s="1295" t="s">
        <v>448</v>
      </c>
      <c r="B743" s="1295"/>
      <c r="C743" s="1295"/>
      <c r="E743" s="1294" t="s">
        <v>943</v>
      </c>
      <c r="F743" s="1294"/>
      <c r="G743" s="1294"/>
      <c r="H743" s="1294"/>
      <c r="I743" s="1294"/>
      <c r="J743" s="249"/>
      <c r="K743" s="249" t="s">
        <v>449</v>
      </c>
      <c r="L743" s="249"/>
      <c r="M743" s="1295" t="s">
        <v>385</v>
      </c>
      <c r="N743" s="1295"/>
      <c r="O743" s="1292" t="str">
        <f>E743</f>
        <v>رمدوم حسنة</v>
      </c>
      <c r="P743" s="1292"/>
      <c r="Q743" s="78">
        <v>24</v>
      </c>
      <c r="Z743" s="79"/>
      <c r="AA743" s="80"/>
      <c r="AB743" s="34"/>
      <c r="AC743" s="34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</row>
    <row r="744" spans="1:41" ht="24" thickBot="1">
      <c r="A744" s="1340" t="s">
        <v>450</v>
      </c>
      <c r="B744" s="1340"/>
      <c r="C744" s="1340"/>
      <c r="D744" s="1340"/>
      <c r="E744" s="1340"/>
      <c r="F744" s="1340"/>
      <c r="G744" s="1340"/>
      <c r="H744" s="87"/>
      <c r="I744" s="1340" t="s">
        <v>452</v>
      </c>
      <c r="J744" s="1340"/>
      <c r="K744" s="1340"/>
      <c r="L744" s="1341" t="s">
        <v>380</v>
      </c>
      <c r="M744" s="1341"/>
      <c r="N744" s="1341"/>
      <c r="O744" s="77"/>
      <c r="P744" s="77"/>
      <c r="Q744" s="78"/>
      <c r="Z744" s="79"/>
      <c r="AA744" s="80"/>
      <c r="AB744" s="34"/>
      <c r="AC744" s="34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</row>
    <row r="745" spans="1:41" ht="17.25" thickTop="1" thickBot="1">
      <c r="A745" s="1318" t="s">
        <v>453</v>
      </c>
      <c r="B745" s="1319"/>
      <c r="C745" s="88" t="s">
        <v>500</v>
      </c>
      <c r="D745" s="89" t="s">
        <v>0</v>
      </c>
      <c r="E745" s="89" t="s">
        <v>1</v>
      </c>
      <c r="F745" s="89" t="s">
        <v>265</v>
      </c>
      <c r="G745" s="89" t="s">
        <v>2</v>
      </c>
      <c r="H745" s="89" t="s">
        <v>10</v>
      </c>
      <c r="I745" s="89" t="s">
        <v>11</v>
      </c>
      <c r="J745" s="89" t="s">
        <v>380</v>
      </c>
      <c r="K745" s="89" t="s">
        <v>380</v>
      </c>
      <c r="L745" s="89" t="s">
        <v>380</v>
      </c>
      <c r="M745" s="89" t="s">
        <v>380</v>
      </c>
      <c r="N745" s="90" t="s">
        <v>380</v>
      </c>
      <c r="Z745" s="79"/>
      <c r="AA745" s="80"/>
      <c r="AB745" s="34"/>
      <c r="AC745" s="34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</row>
    <row r="746" spans="1:41" ht="24" thickBot="1">
      <c r="A746" s="1329" t="s">
        <v>454</v>
      </c>
      <c r="B746" s="1330"/>
      <c r="C746" s="91">
        <v>2</v>
      </c>
      <c r="D746" s="210">
        <v>2</v>
      </c>
      <c r="E746" s="210">
        <v>2</v>
      </c>
      <c r="F746" s="210">
        <v>4</v>
      </c>
      <c r="G746" s="210">
        <v>3</v>
      </c>
      <c r="H746" s="210">
        <v>2</v>
      </c>
      <c r="I746" s="210">
        <v>2</v>
      </c>
      <c r="J746" s="210" t="s">
        <v>380</v>
      </c>
      <c r="K746" s="210" t="s">
        <v>380</v>
      </c>
      <c r="L746" s="210" t="s">
        <v>380</v>
      </c>
      <c r="M746" s="210" t="s">
        <v>380</v>
      </c>
      <c r="N746" s="92" t="s">
        <v>380</v>
      </c>
      <c r="O746" s="152"/>
      <c r="R746" s="78"/>
      <c r="Z746" s="79"/>
      <c r="AA746" s="80"/>
      <c r="AB746" s="34"/>
      <c r="AC746" s="34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</row>
    <row r="747" spans="1:41" ht="24" thickBot="1">
      <c r="A747" s="1329" t="s">
        <v>455</v>
      </c>
      <c r="B747" s="1330"/>
      <c r="C747" s="91"/>
      <c r="D747" s="210"/>
      <c r="E747" s="210"/>
      <c r="F747" s="210"/>
      <c r="G747" s="210"/>
      <c r="H747" s="210" t="s">
        <v>380</v>
      </c>
      <c r="I747" s="210" t="s">
        <v>380</v>
      </c>
      <c r="J747" s="210" t="s">
        <v>380</v>
      </c>
      <c r="K747" s="210" t="s">
        <v>380</v>
      </c>
      <c r="L747" s="210" t="s">
        <v>380</v>
      </c>
      <c r="M747" s="210" t="s">
        <v>380</v>
      </c>
      <c r="N747" s="92" t="s">
        <v>380</v>
      </c>
      <c r="O747" s="152"/>
      <c r="R747" s="78"/>
      <c r="Z747" s="79"/>
      <c r="AA747" s="80"/>
      <c r="AB747" s="34"/>
      <c r="AC747" s="34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</row>
    <row r="748" spans="1:41" ht="24" thickBot="1">
      <c r="A748" s="1327" t="s">
        <v>456</v>
      </c>
      <c r="B748" s="1328"/>
      <c r="C748" s="93"/>
      <c r="D748" s="94"/>
      <c r="E748" s="94"/>
      <c r="F748" s="94"/>
      <c r="G748" s="94"/>
      <c r="H748" s="94" t="s">
        <v>380</v>
      </c>
      <c r="I748" s="94" t="s">
        <v>380</v>
      </c>
      <c r="J748" s="94" t="s">
        <v>380</v>
      </c>
      <c r="K748" s="94" t="s">
        <v>380</v>
      </c>
      <c r="L748" s="94" t="s">
        <v>380</v>
      </c>
      <c r="M748" s="94" t="s">
        <v>380</v>
      </c>
      <c r="N748" s="95" t="s">
        <v>380</v>
      </c>
      <c r="O748" s="152"/>
      <c r="AA748" s="80"/>
      <c r="AB748" s="34"/>
      <c r="AC748" s="34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</row>
    <row r="749" spans="1:41" ht="21" thickTop="1">
      <c r="A749" s="96"/>
      <c r="B749" s="96"/>
      <c r="C749" s="96"/>
      <c r="D749" s="96"/>
      <c r="E749" s="1326" t="s">
        <v>457</v>
      </c>
      <c r="F749" s="1310"/>
      <c r="G749" s="97">
        <v>18</v>
      </c>
      <c r="H749" s="1310" t="s">
        <v>458</v>
      </c>
      <c r="I749" s="1311"/>
      <c r="J749" s="1310" t="s">
        <v>459</v>
      </c>
      <c r="K749" s="1311"/>
      <c r="L749" s="96"/>
      <c r="M749" s="96"/>
      <c r="N749" s="96"/>
      <c r="O749" s="77"/>
      <c r="P749" s="77"/>
      <c r="Q749" s="78"/>
      <c r="AA749" s="80"/>
      <c r="AB749" s="34"/>
      <c r="AC749" s="34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</row>
    <row r="750" spans="1:41" ht="23.25">
      <c r="A750" s="96"/>
      <c r="B750" s="96"/>
      <c r="C750" s="96"/>
      <c r="D750" s="96"/>
      <c r="E750" s="1307" t="s">
        <v>460</v>
      </c>
      <c r="F750" s="1308"/>
      <c r="G750" s="98">
        <v>16</v>
      </c>
      <c r="H750" s="1312">
        <v>0</v>
      </c>
      <c r="I750" s="1312"/>
      <c r="J750" s="1312">
        <v>0</v>
      </c>
      <c r="K750" s="1313"/>
      <c r="L750" s="96"/>
      <c r="M750" s="96"/>
      <c r="N750" s="96"/>
      <c r="O750" s="77"/>
      <c r="P750" s="77"/>
      <c r="Q750" s="78">
        <f>G750+H750+H752+J750</f>
        <v>17</v>
      </c>
      <c r="AA750" s="80"/>
      <c r="AB750" s="34"/>
      <c r="AC750" s="34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</row>
    <row r="751" spans="1:41" ht="20.25">
      <c r="A751" s="96"/>
      <c r="B751" s="96"/>
      <c r="C751" s="96"/>
      <c r="D751" s="96"/>
      <c r="E751" s="1307" t="s">
        <v>461</v>
      </c>
      <c r="F751" s="1308"/>
      <c r="G751" s="99"/>
      <c r="H751" s="1308" t="s">
        <v>462</v>
      </c>
      <c r="I751" s="1308"/>
      <c r="J751" s="1308" t="s">
        <v>463</v>
      </c>
      <c r="K751" s="1309"/>
      <c r="L751" s="96"/>
      <c r="M751" s="96"/>
      <c r="N751" s="96"/>
      <c r="O751" s="77"/>
      <c r="P751" s="77"/>
      <c r="Q751" s="78"/>
      <c r="AA751" s="80"/>
      <c r="AB751" s="34"/>
      <c r="AC751" s="34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</row>
    <row r="752" spans="1:41" ht="24" thickBot="1">
      <c r="A752" s="96"/>
      <c r="B752" s="96"/>
      <c r="C752" s="96"/>
      <c r="D752" s="96"/>
      <c r="E752" s="1303" t="s">
        <v>464</v>
      </c>
      <c r="F752" s="1304"/>
      <c r="G752" s="99">
        <v>0</v>
      </c>
      <c r="H752" s="1305">
        <v>1</v>
      </c>
      <c r="I752" s="1305"/>
      <c r="J752" s="1305">
        <v>0</v>
      </c>
      <c r="K752" s="1306"/>
      <c r="L752" s="96"/>
      <c r="M752" s="96"/>
      <c r="N752" s="96"/>
      <c r="O752" s="77"/>
      <c r="P752" s="77"/>
      <c r="Q752" s="78"/>
      <c r="Z752" s="79"/>
      <c r="AA752" s="80"/>
      <c r="AB752" s="34"/>
      <c r="AC752" s="34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</row>
    <row r="753" spans="1:41" ht="17.25" thickTop="1" thickBot="1">
      <c r="A753" s="34"/>
      <c r="B753" s="34"/>
      <c r="C753" s="1299" t="s">
        <v>465</v>
      </c>
      <c r="D753" s="1299"/>
      <c r="E753" s="1299" t="s">
        <v>360</v>
      </c>
      <c r="F753" s="1299"/>
      <c r="G753" s="1302" t="s">
        <v>368</v>
      </c>
      <c r="H753" s="1302"/>
      <c r="I753" s="1302" t="s">
        <v>369</v>
      </c>
      <c r="J753" s="1302"/>
      <c r="K753" s="1302" t="s">
        <v>370</v>
      </c>
      <c r="L753" s="1299"/>
      <c r="M753" s="1299" t="s">
        <v>371</v>
      </c>
      <c r="N753" s="1299"/>
      <c r="O753" s="77"/>
      <c r="P753" s="77"/>
      <c r="Q753" s="78"/>
      <c r="Z753" s="79"/>
      <c r="AA753" s="80"/>
      <c r="AB753" s="34"/>
      <c r="AC753" s="34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</row>
    <row r="754" spans="1:41" ht="17.25" thickTop="1" thickBot="1">
      <c r="A754" s="34"/>
      <c r="B754" s="34"/>
      <c r="C754" s="1299" t="s">
        <v>372</v>
      </c>
      <c r="D754" s="1299"/>
      <c r="E754" s="1297"/>
      <c r="F754" s="1297"/>
      <c r="G754" s="1297"/>
      <c r="H754" s="1297"/>
      <c r="I754" s="1297"/>
      <c r="J754" s="1297"/>
      <c r="K754" s="1297" t="s">
        <v>2</v>
      </c>
      <c r="L754" s="1297"/>
      <c r="M754" s="1297"/>
      <c r="N754" s="1297"/>
      <c r="O754" s="77"/>
      <c r="P754" s="77"/>
      <c r="Q754" s="78"/>
      <c r="Z754" s="79"/>
      <c r="AA754" s="80"/>
      <c r="AB754" s="34"/>
      <c r="AC754" s="34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</row>
    <row r="755" spans="1:41" ht="17.25" thickTop="1" thickBot="1">
      <c r="A755" s="34"/>
      <c r="B755" s="34"/>
      <c r="C755" s="1299" t="s">
        <v>373</v>
      </c>
      <c r="D755" s="1299"/>
      <c r="E755" s="1297"/>
      <c r="F755" s="1297"/>
      <c r="G755" s="1297"/>
      <c r="H755" s="1297"/>
      <c r="I755" s="1297" t="s">
        <v>265</v>
      </c>
      <c r="J755" s="1297"/>
      <c r="K755" s="1297"/>
      <c r="L755" s="1297"/>
      <c r="M755" s="1297" t="s">
        <v>10</v>
      </c>
      <c r="N755" s="1297"/>
      <c r="O755" s="77"/>
      <c r="P755" s="77"/>
      <c r="Q755" s="78"/>
      <c r="Z755" s="79"/>
      <c r="AA755" s="80"/>
      <c r="AB755" s="34"/>
      <c r="AC755" s="34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</row>
    <row r="756" spans="1:41" ht="17.25" thickTop="1" thickBot="1">
      <c r="A756" s="34"/>
      <c r="B756" s="34"/>
      <c r="C756" s="1299" t="s">
        <v>374</v>
      </c>
      <c r="D756" s="1299"/>
      <c r="E756" s="1297"/>
      <c r="F756" s="1297"/>
      <c r="G756" s="1297"/>
      <c r="H756" s="1297"/>
      <c r="I756" s="1297" t="s">
        <v>0</v>
      </c>
      <c r="J756" s="1297"/>
      <c r="K756" s="1297" t="s">
        <v>11</v>
      </c>
      <c r="L756" s="1297"/>
      <c r="M756" s="1297"/>
      <c r="N756" s="1297"/>
      <c r="O756" s="77"/>
      <c r="P756" s="77"/>
      <c r="Q756" s="78"/>
      <c r="Z756" s="79"/>
      <c r="AA756" s="80"/>
      <c r="AB756" s="34"/>
      <c r="AC756" s="34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</row>
    <row r="757" spans="1:41" ht="17.25" thickTop="1" thickBot="1">
      <c r="A757" s="34"/>
      <c r="B757" s="34"/>
      <c r="C757" s="1299" t="s">
        <v>375</v>
      </c>
      <c r="D757" s="1299"/>
      <c r="E757" s="1297"/>
      <c r="F757" s="1297"/>
      <c r="G757" s="1297"/>
      <c r="H757" s="1297"/>
      <c r="I757" s="1297" t="s">
        <v>1</v>
      </c>
      <c r="J757" s="1297"/>
      <c r="K757" s="1297"/>
      <c r="L757" s="1297"/>
      <c r="M757" s="1297" t="s">
        <v>11</v>
      </c>
      <c r="N757" s="1297"/>
      <c r="O757" s="77"/>
      <c r="P757" s="77"/>
      <c r="Q757" s="78"/>
      <c r="Z757" s="79"/>
      <c r="AA757" s="80"/>
      <c r="AB757" s="34"/>
      <c r="AC757" s="34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</row>
    <row r="758" spans="1:41" ht="17.25" thickTop="1" thickBot="1">
      <c r="A758" s="34"/>
      <c r="B758" s="34"/>
      <c r="C758" s="101"/>
      <c r="D758" s="101"/>
      <c r="E758" s="33"/>
      <c r="F758" s="33"/>
      <c r="G758" s="33"/>
      <c r="H758" s="33"/>
      <c r="I758" s="33"/>
      <c r="J758" s="33"/>
      <c r="K758" s="34"/>
      <c r="L758" s="34"/>
      <c r="M758" s="33"/>
      <c r="N758" s="33"/>
      <c r="O758" s="77"/>
      <c r="P758" s="77"/>
      <c r="Q758" s="78"/>
      <c r="Z758" s="79"/>
      <c r="AA758" s="80"/>
      <c r="AB758" s="34"/>
      <c r="AC758" s="34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</row>
    <row r="759" spans="1:41" ht="17.25" thickTop="1" thickBot="1">
      <c r="A759" s="34"/>
      <c r="B759" s="34"/>
      <c r="C759" s="1299" t="s">
        <v>921</v>
      </c>
      <c r="D759" s="1299"/>
      <c r="E759" s="1297" t="s">
        <v>2</v>
      </c>
      <c r="F759" s="1297"/>
      <c r="G759" s="1297"/>
      <c r="H759" s="1297"/>
      <c r="I759" s="1297"/>
      <c r="J759" s="1297"/>
      <c r="K759" s="1297" t="s">
        <v>500</v>
      </c>
      <c r="L759" s="1297"/>
      <c r="M759" s="1297" t="s">
        <v>500</v>
      </c>
      <c r="N759" s="1297"/>
      <c r="O759" s="77"/>
      <c r="P759" s="77"/>
      <c r="Q759" s="78"/>
      <c r="Z759" s="79"/>
      <c r="AA759" s="80"/>
      <c r="AB759" s="34"/>
      <c r="AC759" s="34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</row>
    <row r="760" spans="1:41" ht="17.25" thickTop="1" thickBot="1">
      <c r="A760" s="34"/>
      <c r="B760" s="34"/>
      <c r="C760" s="1299" t="s">
        <v>922</v>
      </c>
      <c r="D760" s="1299"/>
      <c r="E760" s="1297" t="s">
        <v>265</v>
      </c>
      <c r="F760" s="1297"/>
      <c r="G760" s="1297"/>
      <c r="H760" s="1297"/>
      <c r="I760" s="1297"/>
      <c r="J760" s="1297"/>
      <c r="K760" s="1297" t="s">
        <v>0</v>
      </c>
      <c r="L760" s="1297"/>
      <c r="M760" s="1297" t="s">
        <v>2</v>
      </c>
      <c r="N760" s="1297"/>
      <c r="O760" s="77"/>
      <c r="P760" s="77"/>
      <c r="Q760" s="78"/>
      <c r="Z760" s="79"/>
      <c r="AA760" s="80"/>
      <c r="AB760" s="34"/>
      <c r="AC760" s="34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</row>
    <row r="761" spans="1:41" ht="17.25" thickTop="1" thickBot="1">
      <c r="A761" s="34"/>
      <c r="B761" s="34"/>
      <c r="C761" s="1299" t="s">
        <v>923</v>
      </c>
      <c r="D761" s="1299"/>
      <c r="E761" s="1297" t="s">
        <v>1</v>
      </c>
      <c r="F761" s="1297"/>
      <c r="G761" s="1297"/>
      <c r="H761" s="1297"/>
      <c r="I761" s="1297"/>
      <c r="J761" s="1297"/>
      <c r="K761" s="1297" t="s">
        <v>265</v>
      </c>
      <c r="L761" s="1297"/>
      <c r="M761" s="1297" t="s">
        <v>265</v>
      </c>
      <c r="N761" s="1297"/>
      <c r="O761" s="77"/>
      <c r="P761" s="77"/>
      <c r="Q761" s="78"/>
      <c r="Z761" s="79"/>
      <c r="AA761" s="80"/>
      <c r="AB761" s="34"/>
      <c r="AC761" s="34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</row>
    <row r="762" spans="1:41" ht="17.25" thickTop="1" thickBot="1">
      <c r="A762" s="34"/>
      <c r="B762" s="34"/>
      <c r="C762" s="1299" t="s">
        <v>924</v>
      </c>
      <c r="D762" s="1299"/>
      <c r="E762" s="1297" t="s">
        <v>10</v>
      </c>
      <c r="F762" s="1297"/>
      <c r="G762" s="1297"/>
      <c r="H762" s="1297"/>
      <c r="I762" s="1297"/>
      <c r="J762" s="1297"/>
      <c r="K762" s="1297"/>
      <c r="L762" s="1297"/>
      <c r="M762" s="1297"/>
      <c r="N762" s="1297"/>
      <c r="O762" s="77"/>
      <c r="P762" s="77"/>
      <c r="Q762" s="78"/>
      <c r="Z762" s="79"/>
      <c r="AA762" s="80"/>
      <c r="AB762" s="34"/>
      <c r="AC762" s="34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</row>
    <row r="763" spans="1:41" ht="17.25" thickTop="1" thickBot="1">
      <c r="A763" s="34"/>
      <c r="B763" s="34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77"/>
      <c r="P763" s="77"/>
      <c r="Q763" s="78"/>
      <c r="Z763" s="79"/>
      <c r="AA763" s="80"/>
      <c r="AB763" s="34"/>
      <c r="AC763" s="34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</row>
    <row r="764" spans="1:41" ht="19.5" thickTop="1" thickBot="1">
      <c r="A764" s="1321" t="s">
        <v>467</v>
      </c>
      <c r="B764" s="1322"/>
      <c r="C764" s="1323" t="s">
        <v>380</v>
      </c>
      <c r="D764" s="1323"/>
      <c r="E764" s="1323" t="s">
        <v>380</v>
      </c>
      <c r="F764" s="1323"/>
      <c r="G764" s="250"/>
      <c r="H764" s="250" t="s">
        <v>468</v>
      </c>
      <c r="I764" s="1295" t="s">
        <v>402</v>
      </c>
      <c r="J764" s="1295"/>
      <c r="K764" s="1295"/>
      <c r="L764" s="102" t="s">
        <v>403</v>
      </c>
      <c r="M764" s="1331">
        <f ca="1">TODAY()</f>
        <v>45944</v>
      </c>
      <c r="N764" s="1331"/>
      <c r="O764" s="77"/>
      <c r="P764" s="77"/>
      <c r="Q764" s="78"/>
      <c r="Z764" s="79"/>
      <c r="AA764" s="80"/>
      <c r="AB764" s="34"/>
      <c r="AC764" s="34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</row>
    <row r="765" spans="1:41" ht="19.5" thickTop="1" thickBot="1">
      <c r="A765" s="1321" t="s">
        <v>469</v>
      </c>
      <c r="B765" s="1322"/>
      <c r="C765" s="1323" t="s">
        <v>380</v>
      </c>
      <c r="D765" s="1323"/>
      <c r="E765" s="1323" t="s">
        <v>380</v>
      </c>
      <c r="F765" s="1323"/>
      <c r="G765" s="250"/>
      <c r="H765" s="250"/>
      <c r="I765" s="250"/>
      <c r="J765" s="250"/>
      <c r="K765" s="102"/>
      <c r="L765" s="102"/>
      <c r="M765" s="33"/>
      <c r="N765" s="33"/>
      <c r="O765" s="77"/>
      <c r="P765" s="77"/>
      <c r="Q765" s="78"/>
      <c r="Z765" s="79"/>
      <c r="AA765" s="80"/>
      <c r="AB765" s="34"/>
      <c r="AC765" s="34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</row>
    <row r="766" spans="1:41" ht="19.5" thickTop="1" thickBot="1">
      <c r="A766" s="1321" t="s">
        <v>470</v>
      </c>
      <c r="B766" s="1322"/>
      <c r="C766" s="1323" t="s">
        <v>380</v>
      </c>
      <c r="D766" s="1323"/>
      <c r="E766" s="1323" t="s">
        <v>380</v>
      </c>
      <c r="F766" s="1323"/>
      <c r="G766" s="250"/>
      <c r="H766" s="250"/>
      <c r="I766" s="250"/>
      <c r="J766" s="250" t="s">
        <v>471</v>
      </c>
      <c r="K766" s="102"/>
      <c r="L766" s="102"/>
      <c r="M766" s="33"/>
      <c r="N766" s="33"/>
      <c r="O766" s="77"/>
      <c r="P766" s="77"/>
      <c r="Q766" s="78"/>
      <c r="Z766" s="79"/>
      <c r="AA766" s="80"/>
      <c r="AB766" s="34"/>
      <c r="AC766" s="34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</row>
    <row r="767" spans="1:41" ht="24" thickTop="1">
      <c r="A767" s="34"/>
      <c r="B767" s="34"/>
      <c r="C767" s="33"/>
      <c r="D767" s="33"/>
      <c r="E767" s="33"/>
      <c r="F767" s="33"/>
      <c r="G767" s="33"/>
      <c r="H767" s="103" t="s">
        <v>406</v>
      </c>
      <c r="I767" s="33"/>
      <c r="J767" s="34"/>
      <c r="K767" s="34"/>
      <c r="L767" s="33"/>
      <c r="M767" s="33"/>
      <c r="N767" s="104"/>
      <c r="O767" s="77"/>
      <c r="P767" s="77"/>
      <c r="Q767" s="78"/>
      <c r="Z767" s="79"/>
      <c r="AA767" s="80"/>
      <c r="AB767" s="34"/>
      <c r="AC767" s="34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</row>
    <row r="768" spans="1:41" ht="18">
      <c r="A768" s="1295" t="s">
        <v>78</v>
      </c>
      <c r="B768" s="1295"/>
      <c r="C768" s="1295"/>
      <c r="D768" s="1295"/>
      <c r="E768" s="1295"/>
      <c r="F768" s="1295"/>
      <c r="G768" s="1295"/>
      <c r="H768" s="1295"/>
      <c r="I768" s="1295"/>
      <c r="J768" s="1295"/>
      <c r="K768" s="1295"/>
      <c r="L768" s="1295"/>
      <c r="M768" s="1295"/>
      <c r="N768" s="1295"/>
      <c r="O768" s="77"/>
      <c r="P768" s="77"/>
      <c r="Q768" s="78"/>
      <c r="Z768" s="79"/>
      <c r="AA768" s="80"/>
      <c r="AB768" s="34"/>
      <c r="AC768" s="34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</row>
    <row r="769" spans="1:41" ht="18">
      <c r="A769" s="1295" t="s">
        <v>79</v>
      </c>
      <c r="B769" s="1295"/>
      <c r="C769" s="1295"/>
      <c r="D769" s="1295"/>
      <c r="E769" s="1295"/>
      <c r="F769" s="1295"/>
      <c r="G769" s="1295"/>
      <c r="H769" s="1295"/>
      <c r="I769" s="1295"/>
      <c r="J769" s="1295"/>
      <c r="K769" s="1295"/>
      <c r="L769" s="1295"/>
      <c r="M769" s="1295"/>
      <c r="N769" s="1295"/>
      <c r="O769" s="77"/>
      <c r="P769" s="77"/>
      <c r="Q769" s="78"/>
      <c r="Z769" s="79"/>
      <c r="AA769" s="80"/>
      <c r="AB769" s="34"/>
      <c r="AC769" s="34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</row>
    <row r="770" spans="1:41" ht="18">
      <c r="A770" s="168" t="s">
        <v>220</v>
      </c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33"/>
      <c r="N770" s="33"/>
      <c r="O770" s="77"/>
      <c r="P770" s="77"/>
      <c r="Q770" s="78"/>
      <c r="Z770" s="79"/>
      <c r="AA770" s="80"/>
      <c r="AB770" s="34"/>
      <c r="AC770" s="34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</row>
    <row r="771" spans="1:41" ht="18">
      <c r="A771" s="168" t="s">
        <v>444</v>
      </c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33"/>
      <c r="N771" s="33"/>
      <c r="O771" s="77"/>
      <c r="P771" s="77"/>
      <c r="Q771" s="78"/>
      <c r="Z771" s="79"/>
      <c r="AA771" s="80"/>
      <c r="AB771" s="34"/>
      <c r="AC771" s="34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</row>
    <row r="772" spans="1:41" ht="18.75" thickBot="1">
      <c r="A772" s="250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33"/>
      <c r="N772" s="33"/>
      <c r="O772" s="77"/>
      <c r="P772" s="77"/>
      <c r="Q772" s="78"/>
      <c r="Z772" s="79"/>
      <c r="AA772" s="80"/>
      <c r="AB772" s="34"/>
      <c r="AC772" s="34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</row>
    <row r="773" spans="1:41" ht="24" thickBot="1">
      <c r="A773" s="250"/>
      <c r="B773" s="250"/>
      <c r="C773" s="1333" t="s">
        <v>446</v>
      </c>
      <c r="D773" s="1334"/>
      <c r="E773" s="1334"/>
      <c r="F773" s="1334"/>
      <c r="G773" s="1334"/>
      <c r="H773" s="1334"/>
      <c r="I773" s="1334"/>
      <c r="J773" s="1334"/>
      <c r="K773" s="1334"/>
      <c r="L773" s="1335"/>
      <c r="M773" s="33"/>
      <c r="N773" s="33"/>
      <c r="O773" s="77"/>
      <c r="P773" s="77"/>
      <c r="Q773" s="78"/>
      <c r="Z773" s="79"/>
      <c r="AA773" s="80"/>
      <c r="AB773" s="34"/>
      <c r="AC773" s="34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</row>
    <row r="774" spans="1:41" ht="23.25">
      <c r="A774" s="250"/>
      <c r="B774" s="250"/>
      <c r="C774" s="249"/>
      <c r="D774" s="249"/>
      <c r="E774" s="249"/>
      <c r="F774" s="249"/>
      <c r="G774" s="249"/>
      <c r="H774" s="249"/>
      <c r="I774" s="249"/>
      <c r="J774" s="249"/>
      <c r="K774" s="249"/>
      <c r="L774" s="249"/>
      <c r="M774" s="33"/>
      <c r="N774" s="33"/>
      <c r="O774" s="77"/>
      <c r="P774" s="77"/>
      <c r="Q774" s="78"/>
      <c r="Z774" s="79"/>
      <c r="AA774" s="80"/>
      <c r="AB774" s="34"/>
      <c r="AC774" s="34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</row>
    <row r="775" spans="1:41" ht="23.25">
      <c r="A775" s="1295" t="s">
        <v>448</v>
      </c>
      <c r="B775" s="1295"/>
      <c r="C775" s="1295"/>
      <c r="E775" s="1294" t="s">
        <v>271</v>
      </c>
      <c r="F775" s="1294"/>
      <c r="G775" s="1294"/>
      <c r="H775" s="1294"/>
      <c r="I775" s="1294"/>
      <c r="J775" s="249"/>
      <c r="K775" s="249" t="s">
        <v>449</v>
      </c>
      <c r="L775" s="249"/>
      <c r="M775" s="1295" t="s">
        <v>385</v>
      </c>
      <c r="N775" s="1295"/>
      <c r="O775" s="1292" t="str">
        <f>E775</f>
        <v>بلوحي لخضر</v>
      </c>
      <c r="P775" s="1292"/>
      <c r="Q775" s="78">
        <v>25</v>
      </c>
      <c r="Z775" s="79"/>
      <c r="AA775" s="80"/>
      <c r="AB775" s="34"/>
      <c r="AC775" s="34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</row>
    <row r="776" spans="1:41" ht="24" thickBot="1">
      <c r="A776" s="1340" t="s">
        <v>450</v>
      </c>
      <c r="B776" s="1340"/>
      <c r="C776" s="1340"/>
      <c r="D776" s="1340">
        <v>0</v>
      </c>
      <c r="E776" s="1340"/>
      <c r="F776" s="1340"/>
      <c r="G776" s="1340"/>
      <c r="H776" s="87"/>
      <c r="I776" s="1340" t="s">
        <v>452</v>
      </c>
      <c r="J776" s="1340"/>
      <c r="K776" s="1340"/>
      <c r="L776" s="1341"/>
      <c r="M776" s="1341"/>
      <c r="N776" s="1341"/>
      <c r="O776" s="77"/>
      <c r="P776" s="77"/>
      <c r="Q776" s="78"/>
      <c r="Z776" s="79"/>
      <c r="AA776" s="80"/>
      <c r="AB776" s="34"/>
      <c r="AC776" s="34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</row>
    <row r="777" spans="1:41" ht="17.25" thickTop="1" thickBot="1">
      <c r="A777" s="1318" t="s">
        <v>453</v>
      </c>
      <c r="B777" s="1319"/>
      <c r="C777" s="88" t="s">
        <v>928</v>
      </c>
      <c r="D777" s="89" t="s">
        <v>13</v>
      </c>
      <c r="E777" s="89" t="s">
        <v>8</v>
      </c>
      <c r="F777" s="89" t="s">
        <v>35</v>
      </c>
      <c r="G777" s="89" t="s">
        <v>39</v>
      </c>
      <c r="H777" s="89"/>
      <c r="I777" s="89"/>
      <c r="J777" s="89" t="s">
        <v>380</v>
      </c>
      <c r="K777" s="89" t="s">
        <v>380</v>
      </c>
      <c r="L777" s="89" t="s">
        <v>380</v>
      </c>
      <c r="M777" s="89" t="s">
        <v>380</v>
      </c>
      <c r="N777" s="90" t="s">
        <v>380</v>
      </c>
      <c r="Z777" s="79"/>
      <c r="AA777" s="80"/>
      <c r="AB777" s="34"/>
      <c r="AC777" s="34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</row>
    <row r="778" spans="1:41" ht="24" thickBot="1">
      <c r="A778" s="1329" t="s">
        <v>454</v>
      </c>
      <c r="B778" s="1330"/>
      <c r="C778" s="91">
        <v>4</v>
      </c>
      <c r="D778" s="210">
        <v>4</v>
      </c>
      <c r="E778" s="210">
        <v>2</v>
      </c>
      <c r="F778" s="210">
        <v>4</v>
      </c>
      <c r="G778" s="210">
        <v>4</v>
      </c>
      <c r="H778" s="210"/>
      <c r="I778" s="210"/>
      <c r="J778" s="210" t="s">
        <v>380</v>
      </c>
      <c r="K778" s="210" t="s">
        <v>380</v>
      </c>
      <c r="L778" s="210" t="s">
        <v>380</v>
      </c>
      <c r="M778" s="210" t="s">
        <v>380</v>
      </c>
      <c r="N778" s="92" t="s">
        <v>380</v>
      </c>
      <c r="O778" s="152"/>
      <c r="R778" s="78"/>
      <c r="Z778" s="79"/>
      <c r="AA778" s="80"/>
      <c r="AB778" s="34"/>
      <c r="AC778" s="34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</row>
    <row r="779" spans="1:41" ht="24" thickBot="1">
      <c r="A779" s="1329" t="s">
        <v>455</v>
      </c>
      <c r="B779" s="1330"/>
      <c r="C779" s="91"/>
      <c r="D779" s="210"/>
      <c r="E779" s="210"/>
      <c r="F779" s="210"/>
      <c r="G779" s="210"/>
      <c r="H779" s="210"/>
      <c r="I779" s="210"/>
      <c r="J779" s="210" t="s">
        <v>380</v>
      </c>
      <c r="K779" s="210" t="s">
        <v>380</v>
      </c>
      <c r="L779" s="210" t="s">
        <v>380</v>
      </c>
      <c r="M779" s="210" t="s">
        <v>380</v>
      </c>
      <c r="N779" s="92" t="s">
        <v>380</v>
      </c>
      <c r="O779" s="152"/>
      <c r="Z779" s="79"/>
      <c r="AA779" s="80"/>
      <c r="AB779" s="34"/>
      <c r="AC779" s="34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</row>
    <row r="780" spans="1:41" ht="24" thickBot="1">
      <c r="A780" s="1327" t="s">
        <v>456</v>
      </c>
      <c r="B780" s="1328"/>
      <c r="C780" s="93"/>
      <c r="D780" s="94"/>
      <c r="E780" s="94"/>
      <c r="F780" s="94"/>
      <c r="G780" s="94"/>
      <c r="H780" s="94"/>
      <c r="I780" s="94"/>
      <c r="J780" s="94" t="s">
        <v>380</v>
      </c>
      <c r="K780" s="94" t="s">
        <v>380</v>
      </c>
      <c r="L780" s="94" t="s">
        <v>380</v>
      </c>
      <c r="M780" s="94" t="s">
        <v>380</v>
      </c>
      <c r="N780" s="95" t="s">
        <v>380</v>
      </c>
      <c r="O780" s="152"/>
      <c r="Z780" s="79"/>
      <c r="AA780" s="80"/>
      <c r="AB780" s="34"/>
      <c r="AC780" s="34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</row>
    <row r="781" spans="1:41" ht="21" thickTop="1">
      <c r="A781" s="96"/>
      <c r="B781" s="96"/>
      <c r="C781" s="96"/>
      <c r="D781" s="96"/>
      <c r="E781" s="1326" t="s">
        <v>457</v>
      </c>
      <c r="F781" s="1310"/>
      <c r="G781" s="97">
        <v>18</v>
      </c>
      <c r="H781" s="1310" t="s">
        <v>458</v>
      </c>
      <c r="I781" s="1311"/>
      <c r="J781" s="1310" t="s">
        <v>459</v>
      </c>
      <c r="K781" s="1311"/>
      <c r="L781" s="96"/>
      <c r="M781" s="96"/>
      <c r="N781" s="96"/>
      <c r="O781" s="77"/>
      <c r="P781" s="77"/>
      <c r="Q781" s="78"/>
      <c r="Z781" s="79"/>
      <c r="AA781" s="80"/>
      <c r="AB781" s="34"/>
      <c r="AC781" s="34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</row>
    <row r="782" spans="1:41" ht="23.25">
      <c r="A782" s="96"/>
      <c r="B782" s="96"/>
      <c r="C782" s="96"/>
      <c r="D782" s="96"/>
      <c r="E782" s="1307" t="s">
        <v>460</v>
      </c>
      <c r="F782" s="1308"/>
      <c r="G782" s="98">
        <v>18</v>
      </c>
      <c r="H782" s="1312">
        <v>0</v>
      </c>
      <c r="I782" s="1312"/>
      <c r="J782" s="1312">
        <v>0</v>
      </c>
      <c r="K782" s="1313"/>
      <c r="L782" s="96"/>
      <c r="M782" s="96"/>
      <c r="N782" s="96"/>
      <c r="O782" s="77"/>
      <c r="P782" s="77"/>
      <c r="Q782" s="78">
        <f>G782+H782+H784+J782</f>
        <v>18</v>
      </c>
      <c r="Z782" s="79"/>
      <c r="AA782" s="80"/>
      <c r="AB782" s="34"/>
      <c r="AC782" s="34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</row>
    <row r="783" spans="1:41" ht="20.25">
      <c r="A783" s="96"/>
      <c r="B783" s="96"/>
      <c r="C783" s="96"/>
      <c r="D783" s="96"/>
      <c r="E783" s="1307" t="s">
        <v>461</v>
      </c>
      <c r="F783" s="1308"/>
      <c r="G783" s="99"/>
      <c r="H783" s="1308" t="s">
        <v>462</v>
      </c>
      <c r="I783" s="1308"/>
      <c r="J783" s="1308" t="s">
        <v>463</v>
      </c>
      <c r="K783" s="1309"/>
      <c r="L783" s="96"/>
      <c r="M783" s="96"/>
      <c r="N783" s="96"/>
      <c r="O783" s="77"/>
      <c r="P783" s="77"/>
      <c r="Q783" s="78"/>
      <c r="Z783" s="79"/>
      <c r="AA783" s="80"/>
      <c r="AB783" s="34"/>
      <c r="AC783" s="34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</row>
    <row r="784" spans="1:41" ht="24" thickBot="1">
      <c r="A784" s="96"/>
      <c r="B784" s="96"/>
      <c r="C784" s="96"/>
      <c r="D784" s="96"/>
      <c r="E784" s="1303" t="s">
        <v>464</v>
      </c>
      <c r="F784" s="1304"/>
      <c r="G784" s="99"/>
      <c r="H784" s="1305"/>
      <c r="I784" s="1305"/>
      <c r="J784" s="1305">
        <v>0</v>
      </c>
      <c r="K784" s="1306"/>
      <c r="L784" s="96"/>
      <c r="M784" s="96"/>
      <c r="N784" s="96"/>
      <c r="O784" s="77"/>
      <c r="P784" s="77"/>
      <c r="Q784" s="78"/>
      <c r="Z784" s="79"/>
      <c r="AA784" s="80"/>
      <c r="AB784" s="34"/>
      <c r="AC784" s="34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</row>
    <row r="785" spans="1:41" ht="17.25" thickTop="1" thickBot="1">
      <c r="A785" s="34"/>
      <c r="B785" s="34"/>
      <c r="C785" s="1299" t="s">
        <v>465</v>
      </c>
      <c r="D785" s="1299"/>
      <c r="E785" s="1299" t="s">
        <v>360</v>
      </c>
      <c r="F785" s="1299"/>
      <c r="G785" s="1302" t="s">
        <v>368</v>
      </c>
      <c r="H785" s="1302"/>
      <c r="I785" s="1302" t="s">
        <v>369</v>
      </c>
      <c r="J785" s="1302"/>
      <c r="K785" s="1302" t="s">
        <v>370</v>
      </c>
      <c r="L785" s="1299"/>
      <c r="M785" s="1299" t="s">
        <v>371</v>
      </c>
      <c r="N785" s="1299"/>
      <c r="O785" s="77"/>
      <c r="P785" s="77"/>
      <c r="Q785" s="78"/>
      <c r="Z785" s="79"/>
      <c r="AA785" s="80"/>
      <c r="AB785" s="34"/>
      <c r="AC785" s="34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</row>
    <row r="786" spans="1:41" ht="17.25" thickTop="1" thickBot="1">
      <c r="A786" s="34"/>
      <c r="B786" s="34"/>
      <c r="C786" s="1299" t="s">
        <v>372</v>
      </c>
      <c r="D786" s="1299"/>
      <c r="E786" s="1297"/>
      <c r="F786" s="1297"/>
      <c r="G786" s="1297"/>
      <c r="H786" s="1297"/>
      <c r="I786" s="1297" t="s">
        <v>35</v>
      </c>
      <c r="J786" s="1297"/>
      <c r="K786" s="1297"/>
      <c r="L786" s="1297"/>
      <c r="M786" s="1297"/>
      <c r="N786" s="1297"/>
      <c r="O786" s="77"/>
      <c r="P786" s="77"/>
      <c r="Q786" s="78"/>
      <c r="Z786" s="79"/>
      <c r="AA786" s="80"/>
      <c r="AB786" s="34"/>
      <c r="AC786" s="34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</row>
    <row r="787" spans="1:41" ht="17.25" thickTop="1" thickBot="1">
      <c r="A787" s="34"/>
      <c r="B787" s="34"/>
      <c r="C787" s="1299" t="s">
        <v>373</v>
      </c>
      <c r="D787" s="1299"/>
      <c r="E787" s="1297"/>
      <c r="F787" s="1297"/>
      <c r="G787" s="1332" t="s">
        <v>39</v>
      </c>
      <c r="H787" s="1332"/>
      <c r="I787" s="1297" t="s">
        <v>13</v>
      </c>
      <c r="J787" s="1297"/>
      <c r="K787" s="1297"/>
      <c r="L787" s="1297"/>
      <c r="M787" s="1297"/>
      <c r="N787" s="1297"/>
      <c r="O787" s="77"/>
      <c r="P787" s="77"/>
      <c r="Q787" s="78"/>
      <c r="Z787" s="79"/>
      <c r="AA787" s="80"/>
      <c r="AB787" s="34"/>
      <c r="AC787" s="34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</row>
    <row r="788" spans="1:41" ht="17.25" thickTop="1" thickBot="1">
      <c r="A788" s="34"/>
      <c r="B788" s="34"/>
      <c r="C788" s="1299" t="s">
        <v>374</v>
      </c>
      <c r="D788" s="1299"/>
      <c r="E788" s="1297"/>
      <c r="F788" s="1297"/>
      <c r="G788" s="1297" t="s">
        <v>928</v>
      </c>
      <c r="H788" s="1297"/>
      <c r="I788" s="1297" t="s">
        <v>13</v>
      </c>
      <c r="J788" s="1297"/>
      <c r="K788" s="1297"/>
      <c r="L788" s="1297"/>
      <c r="M788" s="1297"/>
      <c r="N788" s="1297"/>
      <c r="O788" s="77"/>
      <c r="P788" s="77"/>
      <c r="Q788" s="78"/>
      <c r="Z788" s="79"/>
      <c r="AA788" s="80"/>
      <c r="AB788" s="34"/>
      <c r="AC788" s="34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</row>
    <row r="789" spans="1:41" ht="17.25" thickTop="1" thickBot="1">
      <c r="A789" s="34"/>
      <c r="B789" s="34"/>
      <c r="C789" s="1299" t="s">
        <v>375</v>
      </c>
      <c r="D789" s="1299"/>
      <c r="E789" s="1297"/>
      <c r="F789" s="1297"/>
      <c r="G789" s="1297"/>
      <c r="H789" s="1297"/>
      <c r="I789" s="1297" t="s">
        <v>928</v>
      </c>
      <c r="J789" s="1297"/>
      <c r="K789" s="1297"/>
      <c r="L789" s="1297"/>
      <c r="M789" s="1297"/>
      <c r="N789" s="1297"/>
      <c r="O789" s="77"/>
      <c r="P789" s="77"/>
      <c r="Q789" s="78"/>
      <c r="Z789" s="79"/>
      <c r="AA789" s="80"/>
      <c r="AB789" s="34"/>
      <c r="AC789" s="34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</row>
    <row r="790" spans="1:41" ht="17.25" thickTop="1" thickBot="1">
      <c r="A790" s="34"/>
      <c r="B790" s="34"/>
      <c r="C790" s="101"/>
      <c r="D790" s="101"/>
      <c r="E790" s="33"/>
      <c r="F790" s="33"/>
      <c r="G790" s="33"/>
      <c r="H790" s="33"/>
      <c r="I790" s="33"/>
      <c r="J790" s="33"/>
      <c r="K790" s="34"/>
      <c r="L790" s="34"/>
      <c r="M790" s="33"/>
      <c r="N790" s="33"/>
      <c r="O790" s="77"/>
      <c r="P790" s="77"/>
      <c r="Q790" s="78"/>
      <c r="Z790" s="79"/>
      <c r="AA790" s="80"/>
      <c r="AB790" s="34"/>
      <c r="AC790" s="34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</row>
    <row r="791" spans="1:41" ht="17.25" thickTop="1" thickBot="1">
      <c r="A791" s="34"/>
      <c r="B791" s="34"/>
      <c r="C791" s="1299" t="s">
        <v>921</v>
      </c>
      <c r="D791" s="1299"/>
      <c r="E791" s="1296" t="s">
        <v>928</v>
      </c>
      <c r="F791" s="1296"/>
      <c r="G791" s="1297" t="s">
        <v>13</v>
      </c>
      <c r="H791" s="1297"/>
      <c r="I791" s="1297"/>
      <c r="J791" s="1297"/>
      <c r="K791" s="1297" t="s">
        <v>13</v>
      </c>
      <c r="L791" s="1297"/>
      <c r="M791" s="1297" t="s">
        <v>35</v>
      </c>
      <c r="N791" s="1297"/>
      <c r="O791" s="77"/>
      <c r="P791" s="77"/>
      <c r="Q791" s="78"/>
      <c r="Z791" s="79"/>
      <c r="AA791" s="80"/>
      <c r="AB791" s="34"/>
      <c r="AC791" s="34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</row>
    <row r="792" spans="1:41" ht="17.25" thickTop="1" thickBot="1">
      <c r="A792" s="34"/>
      <c r="B792" s="34"/>
      <c r="C792" s="1299" t="s">
        <v>922</v>
      </c>
      <c r="D792" s="1299"/>
      <c r="E792" s="1296" t="s">
        <v>39</v>
      </c>
      <c r="F792" s="1296"/>
      <c r="G792" s="1297" t="s">
        <v>35</v>
      </c>
      <c r="H792" s="1297"/>
      <c r="I792" s="1297"/>
      <c r="J792" s="1297"/>
      <c r="K792" s="1297" t="s">
        <v>35</v>
      </c>
      <c r="L792" s="1297"/>
      <c r="M792" s="1297" t="s">
        <v>928</v>
      </c>
      <c r="N792" s="1297"/>
      <c r="O792" s="77"/>
      <c r="P792" s="77"/>
      <c r="Q792" s="78"/>
      <c r="Z792" s="79"/>
      <c r="AA792" s="80"/>
      <c r="AB792" s="34"/>
      <c r="AC792" s="34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</row>
    <row r="793" spans="1:41" ht="17.25" thickTop="1" thickBot="1">
      <c r="A793" s="34"/>
      <c r="B793" s="34"/>
      <c r="C793" s="1299" t="s">
        <v>923</v>
      </c>
      <c r="D793" s="1299"/>
      <c r="E793" s="1296" t="s">
        <v>39</v>
      </c>
      <c r="F793" s="1296"/>
      <c r="G793" s="1297"/>
      <c r="H793" s="1297"/>
      <c r="I793" s="1297"/>
      <c r="J793" s="1297"/>
      <c r="K793" s="1297" t="s">
        <v>8</v>
      </c>
      <c r="L793" s="1297"/>
      <c r="M793" s="1297" t="s">
        <v>39</v>
      </c>
      <c r="N793" s="1297"/>
      <c r="O793" s="77"/>
      <c r="P793" s="77"/>
      <c r="Q793" s="78"/>
      <c r="Z793" s="79"/>
      <c r="AA793" s="80"/>
      <c r="AB793" s="34"/>
      <c r="AC793" s="34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</row>
    <row r="794" spans="1:41" ht="17.25" thickTop="1" thickBot="1">
      <c r="A794" s="34"/>
      <c r="B794" s="34"/>
      <c r="C794" s="1299" t="s">
        <v>924</v>
      </c>
      <c r="D794" s="1299"/>
      <c r="E794" s="1297" t="s">
        <v>380</v>
      </c>
      <c r="F794" s="1297"/>
      <c r="G794" s="1297" t="s">
        <v>8</v>
      </c>
      <c r="H794" s="1297"/>
      <c r="I794" s="1297"/>
      <c r="J794" s="1297"/>
      <c r="K794" s="1297"/>
      <c r="L794" s="1297"/>
      <c r="M794" s="1297" t="s">
        <v>380</v>
      </c>
      <c r="N794" s="1297"/>
      <c r="O794" s="77"/>
      <c r="P794" s="77"/>
      <c r="Q794" s="78"/>
      <c r="Z794" s="79"/>
      <c r="AA794" s="80"/>
      <c r="AB794" s="34"/>
      <c r="AC794" s="34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</row>
    <row r="795" spans="1:41" ht="17.25" thickTop="1" thickBot="1">
      <c r="A795" s="34"/>
      <c r="B795" s="34"/>
      <c r="C795" s="33"/>
      <c r="D795" s="33"/>
      <c r="E795" s="33"/>
      <c r="F795" s="33"/>
      <c r="G795" s="33"/>
      <c r="H795" s="33"/>
      <c r="I795" s="33"/>
      <c r="J795" s="33"/>
      <c r="K795" s="34"/>
      <c r="L795" s="34"/>
      <c r="M795" s="33"/>
      <c r="N795" s="33"/>
      <c r="O795" s="77"/>
      <c r="P795" s="77"/>
      <c r="Q795" s="78"/>
      <c r="Z795" s="79"/>
      <c r="AA795" s="80"/>
      <c r="AB795" s="34"/>
      <c r="AC795" s="34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</row>
    <row r="796" spans="1:41" ht="19.5" thickTop="1" thickBot="1">
      <c r="A796" s="1321" t="s">
        <v>467</v>
      </c>
      <c r="B796" s="1322"/>
      <c r="C796" s="1323" t="s">
        <v>380</v>
      </c>
      <c r="D796" s="1323"/>
      <c r="E796" s="1323" t="s">
        <v>380</v>
      </c>
      <c r="F796" s="1323"/>
      <c r="G796" s="250"/>
      <c r="H796" s="250" t="s">
        <v>468</v>
      </c>
      <c r="I796" s="1295" t="s">
        <v>402</v>
      </c>
      <c r="J796" s="1295"/>
      <c r="K796" s="1295"/>
      <c r="L796" s="102" t="s">
        <v>403</v>
      </c>
      <c r="M796" s="1331">
        <f ca="1">TODAY()</f>
        <v>45944</v>
      </c>
      <c r="N796" s="1331"/>
      <c r="O796" s="77"/>
      <c r="P796" s="77"/>
      <c r="Q796" s="78"/>
      <c r="Z796" s="79"/>
      <c r="AA796" s="80"/>
      <c r="AB796" s="34"/>
      <c r="AC796" s="34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</row>
    <row r="797" spans="1:41" ht="19.5" thickTop="1" thickBot="1">
      <c r="A797" s="1321" t="s">
        <v>469</v>
      </c>
      <c r="B797" s="1322"/>
      <c r="C797" s="1323" t="s">
        <v>380</v>
      </c>
      <c r="D797" s="1323"/>
      <c r="E797" s="1323" t="s">
        <v>380</v>
      </c>
      <c r="F797" s="1323"/>
      <c r="G797" s="250"/>
      <c r="H797" s="250"/>
      <c r="I797" s="250"/>
      <c r="J797" s="250"/>
      <c r="K797" s="102"/>
      <c r="L797" s="102"/>
      <c r="M797" s="33"/>
      <c r="N797" s="33"/>
      <c r="O797" s="77"/>
      <c r="P797" s="77"/>
      <c r="Q797" s="78"/>
      <c r="Z797" s="79"/>
      <c r="AA797" s="80"/>
      <c r="AB797" s="34"/>
      <c r="AC797" s="34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</row>
    <row r="798" spans="1:41" ht="19.5" thickTop="1" thickBot="1">
      <c r="A798" s="1321" t="s">
        <v>470</v>
      </c>
      <c r="B798" s="1322"/>
      <c r="C798" s="1323" t="s">
        <v>380</v>
      </c>
      <c r="D798" s="1323"/>
      <c r="E798" s="1323" t="s">
        <v>380</v>
      </c>
      <c r="F798" s="1323"/>
      <c r="G798" s="250"/>
      <c r="H798" s="250"/>
      <c r="I798" s="250"/>
      <c r="J798" s="250" t="s">
        <v>471</v>
      </c>
      <c r="K798" s="102"/>
      <c r="L798" s="102"/>
      <c r="M798" s="33"/>
      <c r="N798" s="33"/>
      <c r="O798" s="77"/>
      <c r="P798" s="77"/>
      <c r="Q798" s="78"/>
      <c r="Z798" s="79"/>
      <c r="AA798" s="80"/>
      <c r="AB798" s="34"/>
      <c r="AC798" s="34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</row>
    <row r="799" spans="1:41" ht="24" thickTop="1">
      <c r="A799" s="34"/>
      <c r="B799" s="34"/>
      <c r="C799" s="33"/>
      <c r="D799" s="33"/>
      <c r="E799" s="33"/>
      <c r="F799" s="33"/>
      <c r="G799" s="33"/>
      <c r="H799" s="103" t="s">
        <v>406</v>
      </c>
      <c r="I799" s="33"/>
      <c r="J799" s="34"/>
      <c r="K799" s="34"/>
      <c r="L799" s="33"/>
      <c r="M799" s="33"/>
      <c r="N799" s="104"/>
      <c r="O799" s="77"/>
      <c r="P799" s="77"/>
      <c r="Q799" s="78"/>
      <c r="Z799" s="79"/>
      <c r="AA799" s="80"/>
      <c r="AB799" s="34"/>
      <c r="AC799" s="34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</row>
    <row r="800" spans="1:41" ht="18">
      <c r="A800" s="1295" t="s">
        <v>78</v>
      </c>
      <c r="B800" s="1295"/>
      <c r="C800" s="1295"/>
      <c r="D800" s="1295"/>
      <c r="E800" s="1295"/>
      <c r="F800" s="1295"/>
      <c r="G800" s="1295"/>
      <c r="H800" s="1295"/>
      <c r="I800" s="1295"/>
      <c r="J800" s="1295"/>
      <c r="K800" s="1295"/>
      <c r="L800" s="1295"/>
      <c r="M800" s="1295"/>
      <c r="N800" s="1295"/>
      <c r="O800" s="77"/>
      <c r="P800" s="77"/>
      <c r="Q800" s="78"/>
      <c r="Z800" s="79"/>
      <c r="AA800" s="80"/>
      <c r="AB800" s="34"/>
      <c r="AC800" s="34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</row>
    <row r="801" spans="1:41" ht="18">
      <c r="A801" s="1295" t="s">
        <v>79</v>
      </c>
      <c r="B801" s="1295"/>
      <c r="C801" s="1295"/>
      <c r="D801" s="1295"/>
      <c r="E801" s="1295"/>
      <c r="F801" s="1295"/>
      <c r="G801" s="1295"/>
      <c r="H801" s="1295"/>
      <c r="I801" s="1295"/>
      <c r="J801" s="1295"/>
      <c r="K801" s="1295"/>
      <c r="L801" s="1295"/>
      <c r="M801" s="1295"/>
      <c r="N801" s="1295"/>
      <c r="O801" s="77"/>
      <c r="P801" s="77"/>
      <c r="Q801" s="78"/>
      <c r="Z801" s="79"/>
      <c r="AA801" s="80"/>
      <c r="AB801" s="34"/>
      <c r="AC801" s="34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</row>
    <row r="802" spans="1:41" ht="18">
      <c r="A802" s="168" t="s">
        <v>220</v>
      </c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33"/>
      <c r="N802" s="33"/>
      <c r="O802" s="77"/>
      <c r="P802" s="77"/>
      <c r="Q802" s="78"/>
      <c r="Z802" s="79"/>
      <c r="AA802" s="80"/>
      <c r="AB802" s="34"/>
      <c r="AC802" s="34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</row>
    <row r="803" spans="1:41" ht="18">
      <c r="A803" s="168" t="s">
        <v>444</v>
      </c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33"/>
      <c r="N803" s="33"/>
      <c r="O803" s="77"/>
      <c r="P803" s="77"/>
      <c r="Q803" s="78"/>
      <c r="Z803" s="79"/>
      <c r="AA803" s="80"/>
      <c r="AB803" s="34"/>
      <c r="AC803" s="34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</row>
    <row r="804" spans="1:41" ht="18.75" thickBot="1">
      <c r="A804" s="250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33"/>
      <c r="N804" s="33"/>
      <c r="O804" s="77"/>
      <c r="P804" s="77"/>
      <c r="Q804" s="78"/>
      <c r="Z804" s="79"/>
      <c r="AA804" s="80"/>
      <c r="AB804" s="34"/>
      <c r="AC804" s="34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</row>
    <row r="805" spans="1:41" ht="24" thickBot="1">
      <c r="A805" s="250"/>
      <c r="B805" s="250"/>
      <c r="C805" s="1333" t="s">
        <v>446</v>
      </c>
      <c r="D805" s="1334"/>
      <c r="E805" s="1334"/>
      <c r="F805" s="1334"/>
      <c r="G805" s="1334"/>
      <c r="H805" s="1334"/>
      <c r="I805" s="1334"/>
      <c r="J805" s="1334"/>
      <c r="K805" s="1334"/>
      <c r="L805" s="1335"/>
      <c r="M805" s="33"/>
      <c r="N805" s="33"/>
      <c r="O805" s="77"/>
      <c r="P805" s="77"/>
      <c r="Q805" s="78"/>
      <c r="Z805" s="79"/>
      <c r="AA805" s="80"/>
      <c r="AB805" s="34"/>
      <c r="AC805" s="34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</row>
    <row r="806" spans="1:41" ht="24.75" thickTop="1" thickBot="1">
      <c r="A806" s="250"/>
      <c r="B806" s="250"/>
      <c r="C806" s="249"/>
      <c r="D806" s="249"/>
      <c r="E806" s="249"/>
      <c r="F806" s="249"/>
      <c r="G806" s="249"/>
      <c r="H806" s="249"/>
      <c r="I806" s="249"/>
      <c r="J806" s="249"/>
      <c r="K806" s="249"/>
      <c r="L806" s="249"/>
      <c r="M806" s="33"/>
      <c r="N806" s="33"/>
      <c r="O806" s="77"/>
      <c r="P806" s="77"/>
      <c r="Q806" s="78"/>
      <c r="T806" s="1297" t="s">
        <v>328</v>
      </c>
      <c r="U806" s="1297"/>
      <c r="V806" s="1297" t="s">
        <v>813</v>
      </c>
      <c r="W806" s="1297"/>
      <c r="X806" s="1297"/>
      <c r="Y806" s="1297"/>
      <c r="Z806" s="1297" t="s">
        <v>327</v>
      </c>
      <c r="AA806" s="1297"/>
      <c r="AB806" s="34"/>
      <c r="AC806" s="34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</row>
    <row r="807" spans="1:41" ht="24.75" thickTop="1" thickBot="1">
      <c r="A807" s="1295" t="s">
        <v>448</v>
      </c>
      <c r="B807" s="1295"/>
      <c r="C807" s="1295"/>
      <c r="D807" s="1294" t="s">
        <v>944</v>
      </c>
      <c r="E807" s="1294"/>
      <c r="F807" s="1294"/>
      <c r="G807" s="1294"/>
      <c r="H807" s="1294"/>
      <c r="I807" s="249"/>
      <c r="J807" s="249"/>
      <c r="K807" s="249" t="s">
        <v>449</v>
      </c>
      <c r="L807" s="249"/>
      <c r="M807" s="1295" t="s">
        <v>290</v>
      </c>
      <c r="N807" s="1295"/>
      <c r="O807" s="1292" t="str">
        <f>D807</f>
        <v>مرابطين خيرة</v>
      </c>
      <c r="P807" s="1292"/>
      <c r="Q807" s="78">
        <v>26</v>
      </c>
      <c r="T807" s="1297" t="s">
        <v>820</v>
      </c>
      <c r="U807" s="1297"/>
      <c r="V807" s="1297" t="s">
        <v>819</v>
      </c>
      <c r="W807" s="1297"/>
      <c r="X807" s="1297"/>
      <c r="Y807" s="1297"/>
      <c r="Z807" s="1297" t="s">
        <v>326</v>
      </c>
      <c r="AA807" s="1297"/>
      <c r="AB807" s="34"/>
      <c r="AC807" s="34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</row>
    <row r="808" spans="1:41" ht="24.75" thickTop="1" thickBot="1">
      <c r="A808" s="1340" t="s">
        <v>450</v>
      </c>
      <c r="B808" s="1340"/>
      <c r="C808" s="1340"/>
      <c r="D808" s="1340">
        <v>0</v>
      </c>
      <c r="E808" s="1340"/>
      <c r="F808" s="1340"/>
      <c r="G808" s="1340"/>
      <c r="H808" s="87"/>
      <c r="I808" s="1340" t="s">
        <v>452</v>
      </c>
      <c r="J808" s="1340"/>
      <c r="K808" s="1340"/>
      <c r="L808" s="1341" t="s">
        <v>39</v>
      </c>
      <c r="M808" s="1341"/>
      <c r="N808" s="1341"/>
      <c r="O808" s="77"/>
      <c r="P808" s="77"/>
      <c r="Q808" s="78"/>
      <c r="T808" s="1297" t="s">
        <v>823</v>
      </c>
      <c r="U808" s="1297"/>
      <c r="V808" s="1297" t="s">
        <v>822</v>
      </c>
      <c r="W808" s="1297"/>
      <c r="X808" s="1297"/>
      <c r="Y808" s="1297"/>
      <c r="Z808" s="1297" t="s">
        <v>493</v>
      </c>
      <c r="AA808" s="1297"/>
      <c r="AB808" s="34"/>
      <c r="AC808" s="34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</row>
    <row r="809" spans="1:41" ht="17.25" thickTop="1" thickBot="1">
      <c r="A809" s="1318" t="s">
        <v>453</v>
      </c>
      <c r="B809" s="1319"/>
      <c r="C809" s="88" t="s">
        <v>1</v>
      </c>
      <c r="D809" s="89" t="s">
        <v>265</v>
      </c>
      <c r="E809" s="89" t="s">
        <v>268</v>
      </c>
      <c r="F809" s="89" t="s">
        <v>39</v>
      </c>
      <c r="G809" s="89" t="s">
        <v>380</v>
      </c>
      <c r="H809" s="89" t="s">
        <v>380</v>
      </c>
      <c r="I809" s="89" t="s">
        <v>380</v>
      </c>
      <c r="J809" s="89" t="s">
        <v>380</v>
      </c>
      <c r="K809" s="89" t="s">
        <v>380</v>
      </c>
      <c r="L809" s="89" t="s">
        <v>380</v>
      </c>
      <c r="M809" s="89" t="s">
        <v>380</v>
      </c>
      <c r="N809" s="90" t="s">
        <v>380</v>
      </c>
      <c r="T809" s="1297" t="s">
        <v>824</v>
      </c>
      <c r="U809" s="1297"/>
      <c r="V809" s="1297" t="s">
        <v>821</v>
      </c>
      <c r="W809" s="1297"/>
      <c r="X809" s="1297"/>
      <c r="Y809" s="1297"/>
      <c r="Z809" s="1297" t="s">
        <v>824</v>
      </c>
      <c r="AA809" s="1297"/>
      <c r="AB809" s="34"/>
      <c r="AC809" s="34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</row>
    <row r="810" spans="1:41" ht="24" thickBot="1">
      <c r="A810" s="1329" t="s">
        <v>454</v>
      </c>
      <c r="B810" s="1330"/>
      <c r="C810" s="91">
        <v>3</v>
      </c>
      <c r="D810" s="210">
        <v>4</v>
      </c>
      <c r="E810" s="210">
        <v>4</v>
      </c>
      <c r="F810" s="210">
        <v>5</v>
      </c>
      <c r="G810" s="210" t="s">
        <v>380</v>
      </c>
      <c r="H810" s="210" t="s">
        <v>380</v>
      </c>
      <c r="I810" s="210" t="s">
        <v>380</v>
      </c>
      <c r="J810" s="210" t="s">
        <v>380</v>
      </c>
      <c r="K810" s="210" t="s">
        <v>380</v>
      </c>
      <c r="L810" s="210" t="s">
        <v>380</v>
      </c>
      <c r="M810" s="210" t="s">
        <v>380</v>
      </c>
      <c r="N810" s="92" t="s">
        <v>380</v>
      </c>
      <c r="O810" s="152"/>
      <c r="R810" s="78"/>
      <c r="Z810" s="79"/>
      <c r="AA810" s="80"/>
      <c r="AB810" s="34"/>
      <c r="AC810" s="34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</row>
    <row r="811" spans="1:41" ht="24" thickBot="1">
      <c r="A811" s="1329" t="s">
        <v>455</v>
      </c>
      <c r="B811" s="1330"/>
      <c r="C811" s="91"/>
      <c r="D811" s="210"/>
      <c r="E811" s="210"/>
      <c r="F811" s="210"/>
      <c r="G811" s="210" t="s">
        <v>380</v>
      </c>
      <c r="H811" s="210" t="s">
        <v>380</v>
      </c>
      <c r="I811" s="210" t="s">
        <v>380</v>
      </c>
      <c r="J811" s="210" t="s">
        <v>380</v>
      </c>
      <c r="K811" s="210" t="s">
        <v>380</v>
      </c>
      <c r="L811" s="210" t="s">
        <v>380</v>
      </c>
      <c r="M811" s="210" t="s">
        <v>380</v>
      </c>
      <c r="N811" s="92" t="s">
        <v>380</v>
      </c>
      <c r="O811" s="152"/>
      <c r="R811" s="78"/>
      <c r="Z811" s="79"/>
      <c r="AA811" s="80"/>
      <c r="AB811" s="34"/>
      <c r="AC811" s="34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</row>
    <row r="812" spans="1:41" ht="24" thickBot="1">
      <c r="A812" s="1327" t="s">
        <v>456</v>
      </c>
      <c r="B812" s="1328"/>
      <c r="C812" s="93"/>
      <c r="D812" s="94"/>
      <c r="E812" s="94"/>
      <c r="F812" s="94"/>
      <c r="G812" s="94" t="s">
        <v>380</v>
      </c>
      <c r="H812" s="94" t="s">
        <v>380</v>
      </c>
      <c r="I812" s="94" t="s">
        <v>380</v>
      </c>
      <c r="J812" s="94" t="s">
        <v>380</v>
      </c>
      <c r="K812" s="94" t="s">
        <v>380</v>
      </c>
      <c r="L812" s="94" t="s">
        <v>380</v>
      </c>
      <c r="M812" s="94" t="s">
        <v>380</v>
      </c>
      <c r="N812" s="95" t="s">
        <v>380</v>
      </c>
      <c r="O812" s="152"/>
      <c r="Z812" s="79"/>
      <c r="AA812" s="80"/>
      <c r="AB812" s="34"/>
      <c r="AC812" s="34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</row>
    <row r="813" spans="1:41" ht="21" thickTop="1">
      <c r="A813" s="96"/>
      <c r="B813" s="96"/>
      <c r="C813" s="96"/>
      <c r="D813" s="96"/>
      <c r="E813" s="1326" t="s">
        <v>457</v>
      </c>
      <c r="F813" s="1310"/>
      <c r="G813" s="97">
        <v>18</v>
      </c>
      <c r="H813" s="1310" t="s">
        <v>458</v>
      </c>
      <c r="I813" s="1311"/>
      <c r="J813" s="1310" t="s">
        <v>459</v>
      </c>
      <c r="K813" s="1311"/>
      <c r="L813" s="96"/>
      <c r="M813" s="96"/>
      <c r="N813" s="96"/>
      <c r="O813" s="77"/>
      <c r="P813" s="77"/>
      <c r="Q813" s="78"/>
      <c r="Z813" s="79"/>
      <c r="AA813" s="80"/>
      <c r="AB813" s="34"/>
      <c r="AC813" s="34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</row>
    <row r="814" spans="1:41" ht="23.25">
      <c r="A814" s="96"/>
      <c r="B814" s="96"/>
      <c r="C814" s="96"/>
      <c r="D814" s="96"/>
      <c r="E814" s="1307" t="s">
        <v>460</v>
      </c>
      <c r="F814" s="1308"/>
      <c r="G814" s="98">
        <v>15</v>
      </c>
      <c r="H814" s="1312">
        <v>0</v>
      </c>
      <c r="I814" s="1312"/>
      <c r="J814" s="1312">
        <v>0</v>
      </c>
      <c r="K814" s="1313"/>
      <c r="L814" s="96"/>
      <c r="M814" s="96"/>
      <c r="N814" s="96"/>
      <c r="O814" s="77"/>
      <c r="P814" s="77"/>
      <c r="Q814" s="78">
        <f>G814+H814+H816+J814</f>
        <v>15</v>
      </c>
      <c r="Z814" s="79"/>
      <c r="AA814" s="80"/>
      <c r="AB814" s="34"/>
      <c r="AC814" s="34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</row>
    <row r="815" spans="1:41" ht="20.25">
      <c r="A815" s="96"/>
      <c r="B815" s="96"/>
      <c r="C815" s="96"/>
      <c r="D815" s="96"/>
      <c r="E815" s="1307" t="s">
        <v>461</v>
      </c>
      <c r="F815" s="1308"/>
      <c r="G815" s="99"/>
      <c r="H815" s="1308" t="s">
        <v>462</v>
      </c>
      <c r="I815" s="1308"/>
      <c r="J815" s="1308" t="s">
        <v>463</v>
      </c>
      <c r="K815" s="1309"/>
      <c r="L815" s="96"/>
      <c r="M815" s="96"/>
      <c r="N815" s="96"/>
      <c r="O815" s="77"/>
      <c r="P815" s="77"/>
      <c r="Q815" s="78"/>
      <c r="Z815" s="79"/>
      <c r="AA815" s="80"/>
      <c r="AB815" s="34"/>
      <c r="AC815" s="34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</row>
    <row r="816" spans="1:41" ht="24" thickBot="1">
      <c r="A816" s="96"/>
      <c r="B816" s="96"/>
      <c r="C816" s="96"/>
      <c r="D816" s="96"/>
      <c r="E816" s="1303" t="s">
        <v>464</v>
      </c>
      <c r="F816" s="1304"/>
      <c r="G816" s="99">
        <v>0</v>
      </c>
      <c r="H816" s="1305"/>
      <c r="I816" s="1305"/>
      <c r="J816" s="1305">
        <v>0</v>
      </c>
      <c r="K816" s="1306"/>
      <c r="L816" s="96"/>
      <c r="M816" s="96"/>
      <c r="N816" s="96"/>
      <c r="O816" s="77"/>
      <c r="P816" s="77"/>
      <c r="Q816" s="78"/>
      <c r="Z816" s="79"/>
      <c r="AA816" s="80"/>
      <c r="AB816" s="34"/>
      <c r="AC816" s="34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</row>
    <row r="817" spans="1:41" ht="17.25" thickTop="1" thickBot="1">
      <c r="A817" s="34"/>
      <c r="B817" s="34"/>
      <c r="C817" s="1299" t="s">
        <v>465</v>
      </c>
      <c r="D817" s="1299"/>
      <c r="E817" s="1299" t="s">
        <v>360</v>
      </c>
      <c r="F817" s="1299"/>
      <c r="G817" s="1302" t="s">
        <v>368</v>
      </c>
      <c r="H817" s="1302"/>
      <c r="I817" s="1302" t="s">
        <v>369</v>
      </c>
      <c r="J817" s="1302"/>
      <c r="K817" s="1302" t="s">
        <v>370</v>
      </c>
      <c r="L817" s="1299"/>
      <c r="M817" s="1299" t="s">
        <v>371</v>
      </c>
      <c r="N817" s="1299"/>
      <c r="O817" s="77"/>
      <c r="P817" s="77"/>
      <c r="Q817" s="78"/>
      <c r="Z817" s="79"/>
      <c r="AA817" s="80"/>
      <c r="AB817" s="34"/>
      <c r="AC817" s="34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</row>
    <row r="818" spans="1:41" ht="17.25" thickTop="1" thickBot="1">
      <c r="A818" s="34"/>
      <c r="B818" s="34"/>
      <c r="C818" s="1299" t="s">
        <v>372</v>
      </c>
      <c r="D818" s="1299"/>
      <c r="E818" s="1297"/>
      <c r="F818" s="1297"/>
      <c r="G818" s="1297" t="s">
        <v>39</v>
      </c>
      <c r="H818" s="1297"/>
      <c r="I818" s="1297"/>
      <c r="J818" s="1297"/>
      <c r="K818" s="1297"/>
      <c r="L818" s="1297"/>
      <c r="M818" s="1297"/>
      <c r="N818" s="1297"/>
      <c r="O818" s="77"/>
      <c r="P818" s="77"/>
      <c r="Q818" s="78"/>
      <c r="Z818" s="79"/>
      <c r="AA818" s="80"/>
      <c r="AB818" s="34"/>
      <c r="AC818" s="34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</row>
    <row r="819" spans="1:41" ht="17.25" thickTop="1" thickBot="1">
      <c r="A819" s="34"/>
      <c r="B819" s="34"/>
      <c r="C819" s="1299" t="s">
        <v>373</v>
      </c>
      <c r="D819" s="1299"/>
      <c r="E819" s="1297"/>
      <c r="F819" s="1297"/>
      <c r="G819" s="1297"/>
      <c r="H819" s="1297"/>
      <c r="I819" s="1297"/>
      <c r="J819" s="1297"/>
      <c r="K819" s="1297" t="s">
        <v>39</v>
      </c>
      <c r="L819" s="1297"/>
      <c r="M819" s="1297"/>
      <c r="N819" s="1297"/>
      <c r="O819" s="77"/>
      <c r="P819" s="77"/>
      <c r="Q819" s="78"/>
      <c r="Z819" s="79"/>
      <c r="AA819" s="80"/>
      <c r="AB819" s="34"/>
      <c r="AC819" s="34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</row>
    <row r="820" spans="1:41" ht="17.25" thickTop="1" thickBot="1">
      <c r="A820" s="34"/>
      <c r="B820" s="34"/>
      <c r="C820" s="1299" t="s">
        <v>374</v>
      </c>
      <c r="D820" s="1299"/>
      <c r="E820" s="1297" t="s">
        <v>39</v>
      </c>
      <c r="F820" s="1297"/>
      <c r="G820" s="1298" t="s">
        <v>268</v>
      </c>
      <c r="H820" s="1298"/>
      <c r="I820" s="1316"/>
      <c r="J820" s="1297"/>
      <c r="K820" s="1297" t="s">
        <v>265</v>
      </c>
      <c r="L820" s="1297"/>
      <c r="M820" s="1297"/>
      <c r="N820" s="1297"/>
      <c r="O820" s="77"/>
      <c r="P820" s="77"/>
      <c r="Q820" s="78"/>
      <c r="Z820" s="79"/>
      <c r="AA820" s="80"/>
      <c r="AB820" s="34"/>
      <c r="AC820" s="34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</row>
    <row r="821" spans="1:41" ht="17.25" thickTop="1" thickBot="1">
      <c r="A821" s="34"/>
      <c r="B821" s="34"/>
      <c r="C821" s="1299" t="s">
        <v>375</v>
      </c>
      <c r="D821" s="1344"/>
      <c r="E821" s="1297" t="s">
        <v>39</v>
      </c>
      <c r="F821" s="1297"/>
      <c r="G821" s="1298" t="s">
        <v>268</v>
      </c>
      <c r="H821" s="1298"/>
      <c r="I821" s="1316"/>
      <c r="J821" s="1297"/>
      <c r="K821" s="1315" t="s">
        <v>265</v>
      </c>
      <c r="L821" s="1316"/>
      <c r="M821" s="1297"/>
      <c r="N821" s="1297"/>
      <c r="O821" s="77"/>
      <c r="P821" s="77"/>
      <c r="Q821" s="78"/>
      <c r="Z821" s="79"/>
      <c r="AA821" s="80"/>
      <c r="AB821" s="34"/>
      <c r="AC821" s="34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</row>
    <row r="822" spans="1:41" ht="17.25" thickTop="1" thickBot="1">
      <c r="A822" s="34"/>
      <c r="B822" s="34"/>
      <c r="C822" s="101"/>
      <c r="D822" s="101"/>
      <c r="E822" s="33"/>
      <c r="F822" s="33"/>
      <c r="G822" s="33"/>
      <c r="H822" s="33"/>
      <c r="I822" s="33"/>
      <c r="J822" s="33"/>
      <c r="K822" s="34"/>
      <c r="L822" s="34"/>
      <c r="M822" s="33"/>
      <c r="N822" s="33"/>
      <c r="O822" s="77"/>
      <c r="P822" s="77"/>
      <c r="Q822" s="78"/>
      <c r="Z822" s="79"/>
      <c r="AA822" s="80"/>
      <c r="AB822" s="34"/>
      <c r="AC822" s="34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</row>
    <row r="823" spans="1:41" ht="17.25" thickTop="1" thickBot="1">
      <c r="A823" s="34"/>
      <c r="B823" s="34"/>
      <c r="C823" s="1299" t="s">
        <v>921</v>
      </c>
      <c r="D823" s="1299"/>
      <c r="E823" s="1297" t="s">
        <v>1</v>
      </c>
      <c r="F823" s="1297"/>
      <c r="G823" s="1297"/>
      <c r="H823" s="1297"/>
      <c r="I823" s="1298"/>
      <c r="J823" s="1298"/>
      <c r="K823" s="1297" t="s">
        <v>268</v>
      </c>
      <c r="L823" s="1297"/>
      <c r="M823" s="1297" t="s">
        <v>39</v>
      </c>
      <c r="N823" s="1297"/>
      <c r="O823" s="77"/>
      <c r="P823" s="77"/>
      <c r="Q823" s="78"/>
      <c r="Z823" s="79"/>
      <c r="AA823" s="80"/>
      <c r="AB823" s="34"/>
      <c r="AC823" s="34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</row>
    <row r="824" spans="1:41" ht="17.25" thickTop="1" thickBot="1">
      <c r="A824" s="34"/>
      <c r="B824" s="34"/>
      <c r="C824" s="1299" t="s">
        <v>922</v>
      </c>
      <c r="D824" s="1299"/>
      <c r="E824" s="1298" t="s">
        <v>268</v>
      </c>
      <c r="F824" s="1298"/>
      <c r="G824" s="1297"/>
      <c r="H824" s="1297"/>
      <c r="I824" s="1300"/>
      <c r="J824" s="1300"/>
      <c r="K824" s="1297" t="s">
        <v>1</v>
      </c>
      <c r="L824" s="1297"/>
      <c r="M824" s="1297" t="s">
        <v>265</v>
      </c>
      <c r="N824" s="1297"/>
      <c r="O824" s="77"/>
      <c r="P824" s="77"/>
      <c r="Q824" s="78"/>
      <c r="Z824" s="79"/>
      <c r="AA824" s="80"/>
      <c r="AB824" s="34"/>
      <c r="AC824" s="34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</row>
    <row r="825" spans="1:41" ht="17.25" thickTop="1" thickBot="1">
      <c r="A825" s="34"/>
      <c r="B825" s="34"/>
      <c r="C825" s="1299" t="s">
        <v>923</v>
      </c>
      <c r="D825" s="1299"/>
      <c r="E825" s="1297" t="s">
        <v>265</v>
      </c>
      <c r="F825" s="1297"/>
      <c r="G825" s="1297"/>
      <c r="H825" s="1297"/>
      <c r="I825" s="1297"/>
      <c r="J825" s="1297"/>
      <c r="K825" s="1297"/>
      <c r="L825" s="1297"/>
      <c r="M825" s="1297" t="s">
        <v>1</v>
      </c>
      <c r="N825" s="1297"/>
      <c r="O825" s="77"/>
      <c r="P825" s="77"/>
      <c r="Q825" s="78"/>
      <c r="Z825" s="79"/>
      <c r="AA825" s="80"/>
      <c r="AB825" s="34"/>
      <c r="AC825" s="34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</row>
    <row r="826" spans="1:41" ht="17.25" thickTop="1" thickBot="1">
      <c r="A826" s="34"/>
      <c r="B826" s="34"/>
      <c r="C826" s="1299" t="s">
        <v>924</v>
      </c>
      <c r="D826" s="1299"/>
      <c r="E826" s="1297"/>
      <c r="F826" s="1297"/>
      <c r="G826" s="1297" t="s">
        <v>380</v>
      </c>
      <c r="H826" s="1297"/>
      <c r="I826" s="1297" t="s">
        <v>380</v>
      </c>
      <c r="J826" s="1297"/>
      <c r="K826" s="1297" t="s">
        <v>380</v>
      </c>
      <c r="L826" s="1297"/>
      <c r="M826" s="1297" t="s">
        <v>380</v>
      </c>
      <c r="N826" s="1297"/>
      <c r="O826" s="77"/>
      <c r="P826" s="77"/>
      <c r="Q826" s="78"/>
      <c r="Z826" s="79"/>
      <c r="AA826" s="80"/>
      <c r="AB826" s="34"/>
      <c r="AC826" s="34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</row>
    <row r="827" spans="1:41" ht="17.25" thickTop="1" thickBot="1">
      <c r="A827" s="34"/>
      <c r="B827" s="34"/>
      <c r="C827" s="33"/>
      <c r="D827" s="33"/>
      <c r="E827" s="33"/>
      <c r="F827" s="33"/>
      <c r="G827" s="33"/>
      <c r="H827" s="33"/>
      <c r="I827" s="33"/>
      <c r="J827" s="33"/>
      <c r="K827" s="34"/>
      <c r="L827" s="34"/>
      <c r="M827" s="33"/>
      <c r="N827" s="33"/>
      <c r="O827" s="77"/>
      <c r="P827" s="77"/>
      <c r="Q827" s="78"/>
      <c r="Z827" s="79"/>
      <c r="AA827" s="80"/>
      <c r="AB827" s="34"/>
      <c r="AC827" s="34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</row>
    <row r="828" spans="1:41" ht="19.5" thickTop="1" thickBot="1">
      <c r="A828" s="1321" t="s">
        <v>467</v>
      </c>
      <c r="B828" s="1322"/>
      <c r="C828" s="1323" t="s">
        <v>380</v>
      </c>
      <c r="D828" s="1323"/>
      <c r="E828" s="1323" t="s">
        <v>380</v>
      </c>
      <c r="F828" s="1323"/>
      <c r="G828" s="250"/>
      <c r="H828" s="250" t="s">
        <v>468</v>
      </c>
      <c r="I828" s="1295" t="s">
        <v>402</v>
      </c>
      <c r="J828" s="1295"/>
      <c r="K828" s="1295"/>
      <c r="L828" s="102" t="s">
        <v>403</v>
      </c>
      <c r="M828" s="1331">
        <v>43710</v>
      </c>
      <c r="N828" s="1331"/>
      <c r="O828" s="77"/>
      <c r="P828" s="77"/>
      <c r="Q828" s="78"/>
      <c r="Z828" s="79"/>
      <c r="AA828" s="80"/>
      <c r="AB828" s="34"/>
      <c r="AC828" s="34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</row>
    <row r="829" spans="1:41" ht="19.5" thickTop="1" thickBot="1">
      <c r="A829" s="1321" t="s">
        <v>469</v>
      </c>
      <c r="B829" s="1322"/>
      <c r="C829" s="1323" t="s">
        <v>380</v>
      </c>
      <c r="D829" s="1323"/>
      <c r="E829" s="1323" t="s">
        <v>380</v>
      </c>
      <c r="F829" s="1323"/>
      <c r="G829" s="250"/>
      <c r="H829" s="250"/>
      <c r="I829" s="250"/>
      <c r="J829" s="250"/>
      <c r="K829" s="102"/>
      <c r="L829" s="102"/>
      <c r="M829" s="33"/>
      <c r="N829" s="33"/>
      <c r="O829" s="77"/>
      <c r="P829" s="77"/>
      <c r="Q829" s="78"/>
      <c r="Z829" s="79"/>
      <c r="AA829" s="80"/>
      <c r="AB829" s="34"/>
      <c r="AC829" s="34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</row>
    <row r="830" spans="1:41" ht="19.5" thickTop="1" thickBot="1">
      <c r="A830" s="1321" t="s">
        <v>470</v>
      </c>
      <c r="B830" s="1322"/>
      <c r="C830" s="1323" t="s">
        <v>380</v>
      </c>
      <c r="D830" s="1323"/>
      <c r="E830" s="1323" t="s">
        <v>380</v>
      </c>
      <c r="F830" s="1323"/>
      <c r="G830" s="250"/>
      <c r="H830" s="250"/>
      <c r="I830" s="250"/>
      <c r="J830" s="250" t="s">
        <v>471</v>
      </c>
      <c r="K830" s="102"/>
      <c r="L830" s="102"/>
      <c r="M830" s="33"/>
      <c r="N830" s="33"/>
      <c r="O830" s="77"/>
      <c r="P830" s="77"/>
      <c r="Q830" s="78"/>
      <c r="Z830" s="79"/>
      <c r="AA830" s="80"/>
      <c r="AB830" s="34"/>
      <c r="AC830" s="34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</row>
    <row r="831" spans="1:41" ht="24" thickTop="1">
      <c r="A831" s="34"/>
      <c r="B831" s="34"/>
      <c r="C831" s="33"/>
      <c r="D831" s="33"/>
      <c r="E831" s="33"/>
      <c r="F831" s="33"/>
      <c r="G831" s="33"/>
      <c r="H831" s="103" t="s">
        <v>406</v>
      </c>
      <c r="I831" s="33"/>
      <c r="J831" s="34"/>
      <c r="K831" s="34"/>
      <c r="L831" s="33"/>
      <c r="M831" s="33"/>
      <c r="N831" s="104"/>
      <c r="O831" s="77"/>
      <c r="P831" s="77"/>
      <c r="Q831" s="78"/>
      <c r="Z831" s="79"/>
      <c r="AA831" s="80"/>
      <c r="AB831" s="34"/>
      <c r="AC831" s="34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</row>
    <row r="832" spans="1:41" ht="18">
      <c r="A832" s="1295" t="s">
        <v>78</v>
      </c>
      <c r="B832" s="1295"/>
      <c r="C832" s="1295"/>
      <c r="D832" s="1295"/>
      <c r="E832" s="1295"/>
      <c r="F832" s="1295"/>
      <c r="G832" s="1295"/>
      <c r="H832" s="1295"/>
      <c r="I832" s="1295"/>
      <c r="J832" s="1295"/>
      <c r="K832" s="1295"/>
      <c r="L832" s="1295"/>
      <c r="M832" s="1295"/>
      <c r="N832" s="1295"/>
      <c r="O832" s="77"/>
      <c r="P832" s="77"/>
      <c r="Q832" s="78"/>
      <c r="Z832" s="79"/>
      <c r="AA832" s="80"/>
      <c r="AB832" s="34"/>
      <c r="AC832" s="34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</row>
    <row r="833" spans="1:41" ht="18">
      <c r="A833" s="1295" t="s">
        <v>79</v>
      </c>
      <c r="B833" s="1295"/>
      <c r="C833" s="1295"/>
      <c r="D833" s="1295"/>
      <c r="E833" s="1295"/>
      <c r="F833" s="1295"/>
      <c r="G833" s="1295"/>
      <c r="H833" s="1295"/>
      <c r="I833" s="1295"/>
      <c r="J833" s="1295"/>
      <c r="K833" s="1295"/>
      <c r="L833" s="1295"/>
      <c r="M833" s="1295"/>
      <c r="N833" s="1295"/>
      <c r="O833" s="77"/>
      <c r="P833" s="77"/>
      <c r="Q833" s="78"/>
      <c r="Z833" s="79"/>
      <c r="AA833" s="80"/>
      <c r="AB833" s="34"/>
      <c r="AC833" s="34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</row>
    <row r="834" spans="1:41" ht="18">
      <c r="A834" s="168" t="s">
        <v>220</v>
      </c>
      <c r="B834" s="288"/>
      <c r="C834" s="288"/>
      <c r="D834" s="288"/>
      <c r="E834" s="288"/>
      <c r="F834" s="288"/>
      <c r="G834" s="288"/>
      <c r="H834" s="288"/>
      <c r="I834" s="288"/>
      <c r="J834" s="288"/>
      <c r="K834" s="288"/>
      <c r="L834" s="288"/>
      <c r="M834" s="33"/>
      <c r="N834" s="33"/>
      <c r="O834" s="77"/>
      <c r="P834" s="77"/>
      <c r="Q834" s="78"/>
      <c r="Z834" s="79"/>
      <c r="AA834" s="80"/>
      <c r="AB834" s="34"/>
      <c r="AC834" s="34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</row>
    <row r="835" spans="1:41" ht="18">
      <c r="A835" s="168" t="s">
        <v>444</v>
      </c>
      <c r="B835" s="288"/>
      <c r="C835" s="288"/>
      <c r="D835" s="288"/>
      <c r="E835" s="288"/>
      <c r="F835" s="288"/>
      <c r="G835" s="288"/>
      <c r="H835" s="288"/>
      <c r="I835" s="288"/>
      <c r="J835" s="288"/>
      <c r="K835" s="288"/>
      <c r="L835" s="288"/>
      <c r="M835" s="33"/>
      <c r="N835" s="33"/>
      <c r="O835" s="77"/>
      <c r="P835" s="77"/>
      <c r="Q835" s="78"/>
      <c r="Z835" s="79"/>
      <c r="AA835" s="80"/>
      <c r="AB835" s="34"/>
      <c r="AC835" s="34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</row>
    <row r="836" spans="1:41" ht="18.75" thickBot="1">
      <c r="A836" s="288"/>
      <c r="B836" s="288"/>
      <c r="C836" s="288"/>
      <c r="D836" s="288"/>
      <c r="E836" s="288"/>
      <c r="F836" s="288"/>
      <c r="G836" s="288"/>
      <c r="H836" s="288"/>
      <c r="I836" s="288"/>
      <c r="J836" s="288"/>
      <c r="K836" s="288"/>
      <c r="L836" s="288"/>
      <c r="M836" s="33"/>
      <c r="N836" s="33"/>
      <c r="O836" s="77"/>
      <c r="P836" s="77"/>
      <c r="Q836" s="78"/>
      <c r="Z836" s="79"/>
      <c r="AA836" s="80"/>
      <c r="AB836" s="34"/>
      <c r="AC836" s="34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</row>
    <row r="837" spans="1:41" ht="24" thickBot="1">
      <c r="A837" s="288"/>
      <c r="B837" s="288"/>
      <c r="C837" s="1333" t="s">
        <v>446</v>
      </c>
      <c r="D837" s="1334"/>
      <c r="E837" s="1334"/>
      <c r="F837" s="1334"/>
      <c r="G837" s="1334"/>
      <c r="H837" s="1334"/>
      <c r="I837" s="1334"/>
      <c r="J837" s="1334"/>
      <c r="K837" s="1334"/>
      <c r="L837" s="1335"/>
      <c r="M837" s="33"/>
      <c r="N837" s="33"/>
      <c r="O837" s="77"/>
      <c r="P837" s="77"/>
      <c r="Q837" s="78"/>
      <c r="Z837" s="79"/>
      <c r="AA837" s="80"/>
      <c r="AB837" s="34"/>
      <c r="AC837" s="34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</row>
    <row r="838" spans="1:41" ht="23.25">
      <c r="A838" s="288"/>
      <c r="B838" s="288"/>
      <c r="C838" s="289"/>
      <c r="D838" s="289"/>
      <c r="E838" s="289"/>
      <c r="F838" s="289"/>
      <c r="G838" s="289"/>
      <c r="H838" s="289"/>
      <c r="I838" s="289"/>
      <c r="J838" s="289"/>
      <c r="K838" s="289"/>
      <c r="L838" s="289"/>
      <c r="M838" s="33"/>
      <c r="N838" s="33"/>
      <c r="O838" s="77"/>
      <c r="P838" s="77"/>
      <c r="Q838" s="78"/>
      <c r="Z838" s="79"/>
      <c r="AA838" s="80"/>
      <c r="AB838" s="34"/>
      <c r="AC838" s="34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</row>
    <row r="839" spans="1:41" ht="23.25">
      <c r="A839" s="1295" t="s">
        <v>448</v>
      </c>
      <c r="B839" s="1295"/>
      <c r="C839" s="1295"/>
      <c r="D839" s="1294" t="s">
        <v>1218</v>
      </c>
      <c r="E839" s="1294"/>
      <c r="F839" s="1294"/>
      <c r="G839" s="1294"/>
      <c r="H839" s="1294"/>
      <c r="I839" s="289"/>
      <c r="J839" s="289"/>
      <c r="K839" s="289" t="s">
        <v>449</v>
      </c>
      <c r="L839" s="289"/>
      <c r="M839" s="1295" t="s">
        <v>290</v>
      </c>
      <c r="N839" s="1295"/>
      <c r="O839" s="1292" t="str">
        <f>D839</f>
        <v>بونية كلثوم</v>
      </c>
      <c r="P839" s="1292"/>
      <c r="Q839" s="78"/>
      <c r="Z839" s="79"/>
      <c r="AA839" s="80"/>
      <c r="AB839" s="34"/>
      <c r="AC839" s="34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</row>
    <row r="840" spans="1:41" ht="24" thickBot="1">
      <c r="A840" s="1340" t="s">
        <v>450</v>
      </c>
      <c r="B840" s="1340"/>
      <c r="C840" s="1340"/>
      <c r="D840" s="1340" t="s">
        <v>451</v>
      </c>
      <c r="E840" s="1340"/>
      <c r="F840" s="1340"/>
      <c r="G840" s="1340"/>
      <c r="H840" s="87"/>
      <c r="I840" s="1340" t="s">
        <v>452</v>
      </c>
      <c r="J840" s="1340"/>
      <c r="K840" s="1340"/>
      <c r="L840" s="1341"/>
      <c r="M840" s="1341"/>
      <c r="N840" s="1341"/>
      <c r="O840" s="77"/>
      <c r="P840" s="77"/>
      <c r="Q840" s="78"/>
      <c r="Z840" s="79"/>
      <c r="AA840" s="80"/>
      <c r="AB840" s="34"/>
      <c r="AC840" s="34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</row>
    <row r="841" spans="1:41" ht="17.25" thickTop="1" thickBot="1">
      <c r="A841" s="1318" t="s">
        <v>453</v>
      </c>
      <c r="B841" s="1319"/>
      <c r="C841" s="88" t="s">
        <v>6</v>
      </c>
      <c r="D841" s="89" t="s">
        <v>2</v>
      </c>
      <c r="E841" s="89" t="s">
        <v>828</v>
      </c>
      <c r="F841" s="89" t="s">
        <v>10</v>
      </c>
      <c r="G841" s="89" t="s">
        <v>380</v>
      </c>
      <c r="H841" s="89" t="s">
        <v>380</v>
      </c>
      <c r="I841" s="89" t="s">
        <v>380</v>
      </c>
      <c r="J841" s="89" t="s">
        <v>380</v>
      </c>
      <c r="K841" s="89" t="s">
        <v>380</v>
      </c>
      <c r="L841" s="89" t="s">
        <v>380</v>
      </c>
      <c r="M841" s="89" t="s">
        <v>380</v>
      </c>
      <c r="N841" s="90" t="s">
        <v>380</v>
      </c>
      <c r="O841" s="77"/>
      <c r="P841" s="77"/>
      <c r="Q841" s="78"/>
      <c r="Z841" s="79"/>
      <c r="AA841" s="80"/>
      <c r="AB841" s="34"/>
      <c r="AC841" s="34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</row>
    <row r="842" spans="1:41" ht="16.5" thickBot="1">
      <c r="A842" s="1329" t="s">
        <v>454</v>
      </c>
      <c r="B842" s="1330"/>
      <c r="C842" s="91">
        <v>3</v>
      </c>
      <c r="D842" s="210">
        <v>3</v>
      </c>
      <c r="E842" s="210">
        <v>5</v>
      </c>
      <c r="F842" s="210">
        <v>3</v>
      </c>
      <c r="G842" s="210" t="s">
        <v>380</v>
      </c>
      <c r="H842" s="210" t="s">
        <v>380</v>
      </c>
      <c r="I842" s="210" t="s">
        <v>380</v>
      </c>
      <c r="J842" s="210" t="s">
        <v>380</v>
      </c>
      <c r="K842" s="210" t="s">
        <v>380</v>
      </c>
      <c r="L842" s="210" t="s">
        <v>380</v>
      </c>
      <c r="M842" s="210" t="s">
        <v>380</v>
      </c>
      <c r="N842" s="92" t="s">
        <v>380</v>
      </c>
      <c r="O842" s="77"/>
      <c r="P842" s="77"/>
      <c r="Q842" s="78"/>
      <c r="Z842" s="79"/>
      <c r="AA842" s="80"/>
      <c r="AB842" s="34"/>
      <c r="AC842" s="34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</row>
    <row r="843" spans="1:41" ht="16.5" thickBot="1">
      <c r="A843" s="1329" t="s">
        <v>455</v>
      </c>
      <c r="B843" s="1330"/>
      <c r="C843" s="91"/>
      <c r="D843" s="210"/>
      <c r="E843" s="210"/>
      <c r="F843" s="210"/>
      <c r="G843" s="210" t="s">
        <v>380</v>
      </c>
      <c r="H843" s="210" t="s">
        <v>380</v>
      </c>
      <c r="I843" s="210" t="s">
        <v>380</v>
      </c>
      <c r="J843" s="210" t="s">
        <v>380</v>
      </c>
      <c r="K843" s="210" t="s">
        <v>380</v>
      </c>
      <c r="L843" s="210" t="s">
        <v>380</v>
      </c>
      <c r="M843" s="210" t="s">
        <v>380</v>
      </c>
      <c r="N843" s="92" t="s">
        <v>380</v>
      </c>
      <c r="O843" s="77"/>
      <c r="P843" s="77"/>
      <c r="Q843" s="78"/>
      <c r="Z843" s="79"/>
      <c r="AA843" s="80"/>
      <c r="AB843" s="34"/>
      <c r="AC843" s="34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</row>
    <row r="844" spans="1:41" ht="16.5" thickBot="1">
      <c r="A844" s="1327" t="s">
        <v>456</v>
      </c>
      <c r="B844" s="1328"/>
      <c r="C844" s="93"/>
      <c r="D844" s="94"/>
      <c r="E844" s="94"/>
      <c r="F844" s="94"/>
      <c r="G844" s="94" t="s">
        <v>380</v>
      </c>
      <c r="H844" s="94" t="s">
        <v>380</v>
      </c>
      <c r="I844" s="94" t="s">
        <v>380</v>
      </c>
      <c r="J844" s="94" t="s">
        <v>380</v>
      </c>
      <c r="K844" s="94" t="s">
        <v>380</v>
      </c>
      <c r="L844" s="94" t="s">
        <v>380</v>
      </c>
      <c r="M844" s="94" t="s">
        <v>380</v>
      </c>
      <c r="N844" s="95" t="s">
        <v>380</v>
      </c>
      <c r="O844" s="77"/>
      <c r="P844" s="77"/>
      <c r="Q844" s="78"/>
      <c r="Z844" s="79"/>
      <c r="AA844" s="80"/>
      <c r="AB844" s="34"/>
      <c r="AC844" s="34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</row>
    <row r="845" spans="1:41" ht="21" thickTop="1">
      <c r="A845" s="96"/>
      <c r="B845" s="96"/>
      <c r="C845" s="96"/>
      <c r="D845" s="96"/>
      <c r="E845" s="1326" t="s">
        <v>457</v>
      </c>
      <c r="F845" s="1310"/>
      <c r="G845" s="97">
        <v>18</v>
      </c>
      <c r="H845" s="1310" t="s">
        <v>458</v>
      </c>
      <c r="I845" s="1311"/>
      <c r="J845" s="1310" t="s">
        <v>459</v>
      </c>
      <c r="K845" s="1311"/>
      <c r="L845" s="96"/>
      <c r="M845" s="96"/>
      <c r="N845" s="96"/>
      <c r="O845" s="77"/>
      <c r="P845" s="77"/>
      <c r="Q845" s="78"/>
      <c r="Z845" s="79"/>
      <c r="AA845" s="80"/>
      <c r="AB845" s="34"/>
      <c r="AC845" s="34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</row>
    <row r="846" spans="1:41" ht="23.25">
      <c r="A846" s="96"/>
      <c r="B846" s="96"/>
      <c r="C846" s="96"/>
      <c r="D846" s="96"/>
      <c r="E846" s="1307" t="s">
        <v>460</v>
      </c>
      <c r="F846" s="1308"/>
      <c r="G846" s="98">
        <v>16</v>
      </c>
      <c r="H846" s="1312">
        <v>0</v>
      </c>
      <c r="I846" s="1312"/>
      <c r="J846" s="1312">
        <v>0</v>
      </c>
      <c r="K846" s="1313"/>
      <c r="L846" s="96"/>
      <c r="M846" s="96"/>
      <c r="N846" s="96"/>
      <c r="O846" s="77"/>
      <c r="P846" s="77"/>
      <c r="Q846" s="78"/>
      <c r="Z846" s="79"/>
      <c r="AA846" s="80"/>
      <c r="AB846" s="34"/>
      <c r="AC846" s="34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</row>
    <row r="847" spans="1:41" ht="20.25">
      <c r="A847" s="96"/>
      <c r="B847" s="96"/>
      <c r="C847" s="96"/>
      <c r="D847" s="96"/>
      <c r="E847" s="1307" t="s">
        <v>461</v>
      </c>
      <c r="F847" s="1308"/>
      <c r="G847" s="99"/>
      <c r="H847" s="1308" t="s">
        <v>462</v>
      </c>
      <c r="I847" s="1308"/>
      <c r="J847" s="1308" t="s">
        <v>463</v>
      </c>
      <c r="K847" s="1309"/>
      <c r="L847" s="96"/>
      <c r="M847" s="96"/>
      <c r="N847" s="96"/>
      <c r="O847" s="77"/>
      <c r="P847" s="77"/>
      <c r="Q847" s="78"/>
      <c r="Z847" s="79"/>
      <c r="AA847" s="80"/>
      <c r="AB847" s="34"/>
      <c r="AC847" s="34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</row>
    <row r="848" spans="1:41" ht="24" thickBot="1">
      <c r="A848" s="96"/>
      <c r="B848" s="96"/>
      <c r="C848" s="96"/>
      <c r="D848" s="96"/>
      <c r="E848" s="1303" t="s">
        <v>464</v>
      </c>
      <c r="F848" s="1304"/>
      <c r="G848" s="99">
        <v>0</v>
      </c>
      <c r="H848" s="1305"/>
      <c r="I848" s="1305"/>
      <c r="J848" s="1305">
        <v>0</v>
      </c>
      <c r="K848" s="1306"/>
      <c r="L848" s="96"/>
      <c r="M848" s="96"/>
      <c r="N848" s="96"/>
      <c r="O848" s="77"/>
      <c r="P848" s="77"/>
      <c r="Q848" s="78"/>
      <c r="Z848" s="79"/>
      <c r="AA848" s="80"/>
      <c r="AB848" s="34"/>
      <c r="AC848" s="34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</row>
    <row r="849" spans="1:41" ht="17.25" thickTop="1" thickBot="1">
      <c r="A849" s="34"/>
      <c r="B849" s="34"/>
      <c r="C849" s="1299" t="s">
        <v>465</v>
      </c>
      <c r="D849" s="1299"/>
      <c r="E849" s="1299" t="s">
        <v>360</v>
      </c>
      <c r="F849" s="1299"/>
      <c r="G849" s="1302" t="s">
        <v>368</v>
      </c>
      <c r="H849" s="1302"/>
      <c r="I849" s="1302" t="s">
        <v>369</v>
      </c>
      <c r="J849" s="1302"/>
      <c r="K849" s="1302" t="s">
        <v>370</v>
      </c>
      <c r="L849" s="1299"/>
      <c r="M849" s="1299" t="s">
        <v>371</v>
      </c>
      <c r="N849" s="1299"/>
      <c r="O849" s="77"/>
      <c r="P849" s="77"/>
      <c r="Q849" s="78"/>
      <c r="Z849" s="79"/>
      <c r="AA849" s="80"/>
      <c r="AB849" s="34"/>
      <c r="AC849" s="34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</row>
    <row r="850" spans="1:41" ht="17.25" thickTop="1" thickBot="1">
      <c r="A850" s="34"/>
      <c r="B850" s="34"/>
      <c r="C850" s="1299" t="s">
        <v>372</v>
      </c>
      <c r="D850" s="1299"/>
      <c r="E850" s="1315" t="s">
        <v>10</v>
      </c>
      <c r="F850" s="1316"/>
      <c r="G850" s="1315"/>
      <c r="H850" s="1316"/>
      <c r="I850" s="1315"/>
      <c r="J850" s="1316"/>
      <c r="K850" s="1315"/>
      <c r="L850" s="1316"/>
      <c r="M850" s="1315"/>
      <c r="N850" s="1316"/>
      <c r="O850" s="77"/>
      <c r="P850" s="77"/>
      <c r="Q850" s="78"/>
      <c r="Z850" s="79"/>
      <c r="AA850" s="80"/>
      <c r="AB850" s="34"/>
      <c r="AC850" s="34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</row>
    <row r="851" spans="1:41" ht="17.25" thickTop="1" thickBot="1">
      <c r="A851" s="34"/>
      <c r="B851" s="34"/>
      <c r="C851" s="1299" t="s">
        <v>373</v>
      </c>
      <c r="D851" s="1299"/>
      <c r="E851" s="1297"/>
      <c r="F851" s="1297"/>
      <c r="G851" s="1315" t="s">
        <v>828</v>
      </c>
      <c r="H851" s="1316"/>
      <c r="I851" s="1315"/>
      <c r="J851" s="1316"/>
      <c r="K851" s="1315"/>
      <c r="L851" s="1316"/>
      <c r="M851" s="1315"/>
      <c r="N851" s="1316"/>
      <c r="O851" s="77"/>
      <c r="P851" s="77"/>
      <c r="Q851" s="78"/>
      <c r="Z851" s="79"/>
      <c r="AA851" s="80"/>
      <c r="AB851" s="34"/>
      <c r="AC851" s="34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</row>
    <row r="852" spans="1:41" ht="17.25" thickTop="1" thickBot="1">
      <c r="A852" s="34"/>
      <c r="B852" s="34"/>
      <c r="C852" s="1299" t="s">
        <v>374</v>
      </c>
      <c r="D852" s="1299"/>
      <c r="E852" s="1315" t="s">
        <v>828</v>
      </c>
      <c r="F852" s="1316"/>
      <c r="G852" s="1315" t="s">
        <v>2</v>
      </c>
      <c r="H852" s="1316"/>
      <c r="I852" s="1315"/>
      <c r="J852" s="1316"/>
      <c r="K852" s="1315" t="s">
        <v>828</v>
      </c>
      <c r="L852" s="1316"/>
      <c r="M852" s="1315"/>
      <c r="N852" s="1316"/>
      <c r="O852" s="77"/>
      <c r="P852" s="77"/>
      <c r="Q852" s="78"/>
      <c r="Z852" s="79"/>
      <c r="AA852" s="80"/>
      <c r="AB852" s="34"/>
      <c r="AC852" s="34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</row>
    <row r="853" spans="1:41" ht="17.25" thickTop="1" thickBot="1">
      <c r="A853" s="34"/>
      <c r="B853" s="34"/>
      <c r="C853" s="1299" t="s">
        <v>375</v>
      </c>
      <c r="D853" s="1299"/>
      <c r="E853" s="1315" t="s">
        <v>2</v>
      </c>
      <c r="F853" s="1316"/>
      <c r="G853" s="1315" t="s">
        <v>6</v>
      </c>
      <c r="H853" s="1316"/>
      <c r="I853" s="1315"/>
      <c r="J853" s="1316"/>
      <c r="K853" s="1315" t="s">
        <v>828</v>
      </c>
      <c r="L853" s="1316"/>
      <c r="M853" s="1315"/>
      <c r="N853" s="1316"/>
      <c r="O853" s="77"/>
      <c r="P853" s="77"/>
      <c r="Q853" s="78"/>
      <c r="Z853" s="79"/>
      <c r="AA853" s="80"/>
      <c r="AB853" s="34"/>
      <c r="AC853" s="34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</row>
    <row r="854" spans="1:41" ht="17.25" thickTop="1" thickBot="1">
      <c r="A854" s="34"/>
      <c r="B854" s="34"/>
      <c r="C854" s="101"/>
      <c r="D854" s="101"/>
      <c r="E854" s="33"/>
      <c r="F854" s="33"/>
      <c r="G854" s="33"/>
      <c r="H854" s="33"/>
      <c r="I854" s="33"/>
      <c r="J854" s="33"/>
      <c r="K854" s="34"/>
      <c r="L854" s="34"/>
      <c r="M854" s="33"/>
      <c r="N854" s="33"/>
      <c r="O854" s="77"/>
      <c r="P854" s="77"/>
      <c r="Q854" s="78"/>
      <c r="Z854" s="79"/>
      <c r="AA854" s="80"/>
      <c r="AB854" s="34"/>
      <c r="AC854" s="34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</row>
    <row r="855" spans="1:41" ht="17.25" thickTop="1" thickBot="1">
      <c r="A855" s="34"/>
      <c r="B855" s="34"/>
      <c r="C855" s="1299" t="s">
        <v>921</v>
      </c>
      <c r="D855" s="1299"/>
      <c r="E855" s="1315"/>
      <c r="F855" s="1316"/>
      <c r="G855" s="1315"/>
      <c r="H855" s="1316"/>
      <c r="I855" s="1315"/>
      <c r="J855" s="1316"/>
      <c r="K855" s="1315" t="s">
        <v>6</v>
      </c>
      <c r="L855" s="1316"/>
      <c r="M855" s="1315" t="s">
        <v>6</v>
      </c>
      <c r="N855" s="1316"/>
      <c r="O855" s="77"/>
      <c r="P855" s="77"/>
      <c r="Q855" s="78"/>
      <c r="Z855" s="79"/>
      <c r="AA855" s="80"/>
      <c r="AB855" s="34"/>
      <c r="AC855" s="34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</row>
    <row r="856" spans="1:41" ht="17.25" thickTop="1" thickBot="1">
      <c r="A856" s="34"/>
      <c r="B856" s="34"/>
      <c r="C856" s="1299" t="s">
        <v>922</v>
      </c>
      <c r="D856" s="1299"/>
      <c r="E856" s="1315"/>
      <c r="F856" s="1316"/>
      <c r="G856" s="1338"/>
      <c r="H856" s="1339"/>
      <c r="I856" s="1315"/>
      <c r="J856" s="1316"/>
      <c r="K856" s="1315" t="s">
        <v>10</v>
      </c>
      <c r="L856" s="1316"/>
      <c r="M856" s="1315" t="s">
        <v>10</v>
      </c>
      <c r="N856" s="1316"/>
      <c r="O856" s="77"/>
      <c r="P856" s="77"/>
      <c r="Q856" s="78"/>
      <c r="Z856" s="79"/>
      <c r="AA856" s="80"/>
      <c r="AB856" s="34"/>
      <c r="AC856" s="34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</row>
    <row r="857" spans="1:41" ht="17.25" thickTop="1" thickBot="1">
      <c r="A857" s="34"/>
      <c r="B857" s="34"/>
      <c r="C857" s="1299" t="s">
        <v>923</v>
      </c>
      <c r="D857" s="1299"/>
      <c r="E857" s="1315"/>
      <c r="F857" s="1316"/>
      <c r="G857" s="1315"/>
      <c r="H857" s="1316"/>
      <c r="I857" s="1315"/>
      <c r="J857" s="1316"/>
      <c r="K857" s="1315" t="s">
        <v>2</v>
      </c>
      <c r="L857" s="1316"/>
      <c r="M857" s="1315" t="s">
        <v>828</v>
      </c>
      <c r="N857" s="1316"/>
      <c r="O857" s="77"/>
      <c r="P857" s="77"/>
      <c r="Q857" s="78"/>
      <c r="Z857" s="79"/>
      <c r="AA857" s="80"/>
      <c r="AB857" s="34"/>
      <c r="AC857" s="34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</row>
    <row r="858" spans="1:41" ht="17.25" thickTop="1" thickBot="1">
      <c r="A858" s="34"/>
      <c r="B858" s="34"/>
      <c r="C858" s="1299" t="s">
        <v>924</v>
      </c>
      <c r="D858" s="1299"/>
      <c r="E858" s="1315"/>
      <c r="F858" s="1316"/>
      <c r="G858" s="1315"/>
      <c r="H858" s="1316"/>
      <c r="I858" s="1315"/>
      <c r="J858" s="1316"/>
      <c r="K858" s="1315"/>
      <c r="L858" s="1316"/>
      <c r="M858" s="1315"/>
      <c r="N858" s="1316"/>
      <c r="O858" s="77"/>
      <c r="P858" s="77"/>
      <c r="Q858" s="78"/>
      <c r="Z858" s="79"/>
      <c r="AA858" s="80"/>
      <c r="AB858" s="34"/>
      <c r="AC858" s="34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</row>
    <row r="859" spans="1:41" ht="17.25" thickTop="1" thickBot="1">
      <c r="A859" s="34"/>
      <c r="B859" s="34"/>
      <c r="C859" s="33"/>
      <c r="D859" s="33"/>
      <c r="E859" s="33"/>
      <c r="F859" s="33"/>
      <c r="G859" s="33"/>
      <c r="H859" s="33"/>
      <c r="I859" s="33"/>
      <c r="J859" s="33"/>
      <c r="K859" s="34"/>
      <c r="L859" s="34"/>
      <c r="M859" s="33"/>
      <c r="N859" s="33"/>
      <c r="O859" s="77"/>
      <c r="P859" s="77"/>
      <c r="Q859" s="78"/>
      <c r="Z859" s="79"/>
      <c r="AA859" s="80"/>
      <c r="AB859" s="34"/>
      <c r="AC859" s="34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</row>
    <row r="860" spans="1:41" ht="19.5" thickTop="1" thickBot="1">
      <c r="A860" s="1321" t="s">
        <v>467</v>
      </c>
      <c r="B860" s="1322"/>
      <c r="C860" s="1323" t="s">
        <v>380</v>
      </c>
      <c r="D860" s="1323"/>
      <c r="E860" s="1323" t="s">
        <v>380</v>
      </c>
      <c r="F860" s="1323"/>
      <c r="G860" s="288"/>
      <c r="H860" s="288" t="s">
        <v>468</v>
      </c>
      <c r="I860" s="1295" t="s">
        <v>402</v>
      </c>
      <c r="J860" s="1295"/>
      <c r="K860" s="1295"/>
      <c r="L860" s="102" t="s">
        <v>403</v>
      </c>
      <c r="M860" s="1331">
        <f ca="1">TODAY()</f>
        <v>45944</v>
      </c>
      <c r="N860" s="1331"/>
      <c r="O860" s="77"/>
      <c r="P860" s="77"/>
      <c r="Q860" s="78"/>
      <c r="Z860" s="79"/>
      <c r="AA860" s="80"/>
      <c r="AB860" s="34"/>
      <c r="AC860" s="34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</row>
    <row r="861" spans="1:41" ht="19.5" thickTop="1" thickBot="1">
      <c r="A861" s="1321" t="s">
        <v>469</v>
      </c>
      <c r="B861" s="1322"/>
      <c r="C861" s="1323" t="s">
        <v>380</v>
      </c>
      <c r="D861" s="1323"/>
      <c r="E861" s="1323" t="s">
        <v>380</v>
      </c>
      <c r="F861" s="1323"/>
      <c r="G861" s="288"/>
      <c r="H861" s="288"/>
      <c r="I861" s="288"/>
      <c r="J861" s="288"/>
      <c r="K861" s="102"/>
      <c r="L861" s="102"/>
      <c r="M861" s="33"/>
      <c r="N861" s="33"/>
      <c r="O861" s="77"/>
      <c r="P861" s="77"/>
      <c r="Q861" s="78"/>
      <c r="Z861" s="79"/>
      <c r="AA861" s="80"/>
      <c r="AB861" s="34"/>
      <c r="AC861" s="34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</row>
    <row r="862" spans="1:41" ht="19.5" thickTop="1" thickBot="1">
      <c r="A862" s="1321" t="s">
        <v>470</v>
      </c>
      <c r="B862" s="1322"/>
      <c r="C862" s="1323" t="s">
        <v>380</v>
      </c>
      <c r="D862" s="1323"/>
      <c r="E862" s="1323" t="s">
        <v>380</v>
      </c>
      <c r="F862" s="1323"/>
      <c r="G862" s="288"/>
      <c r="H862" s="288"/>
      <c r="I862" s="288"/>
      <c r="J862" s="288" t="s">
        <v>471</v>
      </c>
      <c r="K862" s="102"/>
      <c r="L862" s="102"/>
      <c r="M862" s="33"/>
      <c r="N862" s="33"/>
      <c r="O862" s="77"/>
      <c r="P862" s="77"/>
      <c r="Q862" s="78"/>
      <c r="Z862" s="79"/>
      <c r="AA862" s="80"/>
      <c r="AB862" s="34"/>
      <c r="AC862" s="34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</row>
    <row r="863" spans="1:41" ht="24" thickTop="1">
      <c r="A863" s="34"/>
      <c r="B863" s="34"/>
      <c r="C863" s="33"/>
      <c r="D863" s="33"/>
      <c r="E863" s="33"/>
      <c r="F863" s="33"/>
      <c r="G863" s="33"/>
      <c r="H863" s="103" t="s">
        <v>406</v>
      </c>
      <c r="I863" s="33"/>
      <c r="J863" s="34"/>
      <c r="K863" s="34"/>
      <c r="L863" s="33"/>
      <c r="M863" s="33"/>
      <c r="N863" s="104"/>
      <c r="O863" s="77"/>
      <c r="P863" s="77"/>
      <c r="Q863" s="78"/>
      <c r="Z863" s="79"/>
      <c r="AA863" s="80"/>
      <c r="AB863" s="34"/>
      <c r="AC863" s="34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</row>
    <row r="864" spans="1:41" ht="18">
      <c r="A864" s="1295" t="s">
        <v>78</v>
      </c>
      <c r="B864" s="1295"/>
      <c r="C864" s="1295"/>
      <c r="D864" s="1295"/>
      <c r="E864" s="1295"/>
      <c r="F864" s="1295"/>
      <c r="G864" s="1295"/>
      <c r="H864" s="1295"/>
      <c r="I864" s="1295"/>
      <c r="J864" s="1295"/>
      <c r="K864" s="1295"/>
      <c r="L864" s="1295"/>
      <c r="M864" s="1295"/>
      <c r="N864" s="1295"/>
      <c r="O864" s="77"/>
      <c r="P864" s="77"/>
      <c r="Q864" s="78"/>
      <c r="Z864" s="79"/>
      <c r="AA864" s="80"/>
      <c r="AB864" s="34"/>
      <c r="AC864" s="34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</row>
    <row r="865" spans="1:41" ht="18">
      <c r="A865" s="1295" t="s">
        <v>79</v>
      </c>
      <c r="B865" s="1295"/>
      <c r="C865" s="1295"/>
      <c r="D865" s="1295"/>
      <c r="E865" s="1295"/>
      <c r="F865" s="1295"/>
      <c r="G865" s="1295"/>
      <c r="H865" s="1295"/>
      <c r="I865" s="1295"/>
      <c r="J865" s="1295"/>
      <c r="K865" s="1295"/>
      <c r="L865" s="1295"/>
      <c r="M865" s="1295"/>
      <c r="N865" s="1295"/>
      <c r="O865" s="77"/>
      <c r="P865" s="77"/>
      <c r="Q865" s="78"/>
      <c r="Z865" s="79"/>
      <c r="AA865" s="80"/>
      <c r="AB865" s="34"/>
      <c r="AC865" s="34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</row>
    <row r="866" spans="1:41" ht="18">
      <c r="A866" s="168" t="s">
        <v>220</v>
      </c>
      <c r="B866" s="288"/>
      <c r="C866" s="288"/>
      <c r="D866" s="288"/>
      <c r="E866" s="288"/>
      <c r="F866" s="288"/>
      <c r="G866" s="288"/>
      <c r="H866" s="288"/>
      <c r="I866" s="288"/>
      <c r="J866" s="288"/>
      <c r="K866" s="288"/>
      <c r="L866" s="288"/>
      <c r="M866" s="33"/>
      <c r="N866" s="33"/>
      <c r="O866" s="77"/>
      <c r="P866" s="77"/>
      <c r="Q866" s="78"/>
      <c r="Z866" s="79"/>
      <c r="AA866" s="80"/>
      <c r="AB866" s="34"/>
      <c r="AC866" s="34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</row>
    <row r="867" spans="1:41" ht="18">
      <c r="A867" s="168" t="s">
        <v>444</v>
      </c>
      <c r="B867" s="288"/>
      <c r="C867" s="288"/>
      <c r="D867" s="288"/>
      <c r="E867" s="288"/>
      <c r="F867" s="288"/>
      <c r="G867" s="288"/>
      <c r="H867" s="288"/>
      <c r="I867" s="288"/>
      <c r="J867" s="288"/>
      <c r="K867" s="288"/>
      <c r="L867" s="288"/>
      <c r="M867" s="33"/>
      <c r="N867" s="33"/>
      <c r="O867" s="77"/>
      <c r="P867" s="77"/>
      <c r="Q867" s="78"/>
      <c r="Z867" s="79"/>
      <c r="AA867" s="80"/>
      <c r="AB867" s="34"/>
      <c r="AC867" s="34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</row>
    <row r="868" spans="1:41" ht="18.75" thickBot="1">
      <c r="A868" s="288"/>
      <c r="B868" s="288"/>
      <c r="C868" s="288"/>
      <c r="D868" s="288"/>
      <c r="E868" s="288"/>
      <c r="F868" s="288"/>
      <c r="G868" s="288"/>
      <c r="H868" s="288"/>
      <c r="I868" s="288"/>
      <c r="J868" s="288"/>
      <c r="K868" s="288"/>
      <c r="L868" s="288"/>
      <c r="M868" s="33"/>
      <c r="N868" s="33"/>
      <c r="O868" s="77"/>
      <c r="P868" s="77"/>
      <c r="Q868" s="78"/>
      <c r="Z868" s="79"/>
      <c r="AA868" s="80"/>
      <c r="AB868" s="34"/>
      <c r="AC868" s="34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</row>
    <row r="869" spans="1:41" ht="24" thickBot="1">
      <c r="A869" s="288"/>
      <c r="B869" s="288"/>
      <c r="C869" s="1333" t="s">
        <v>446</v>
      </c>
      <c r="D869" s="1334"/>
      <c r="E869" s="1334"/>
      <c r="F869" s="1334"/>
      <c r="G869" s="1334"/>
      <c r="H869" s="1334"/>
      <c r="I869" s="1334"/>
      <c r="J869" s="1334"/>
      <c r="K869" s="1334"/>
      <c r="L869" s="1335"/>
      <c r="M869" s="33"/>
      <c r="N869" s="33"/>
      <c r="O869" s="77"/>
      <c r="P869" s="77"/>
      <c r="Q869" s="78"/>
      <c r="Z869" s="79"/>
      <c r="AA869" s="80"/>
      <c r="AB869" s="34"/>
      <c r="AC869" s="34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</row>
    <row r="870" spans="1:41" ht="23.25">
      <c r="A870" s="288"/>
      <c r="B870" s="288"/>
      <c r="C870" s="289"/>
      <c r="D870" s="289"/>
      <c r="E870" s="289"/>
      <c r="F870" s="289"/>
      <c r="G870" s="289"/>
      <c r="H870" s="289"/>
      <c r="I870" s="289"/>
      <c r="J870" s="289"/>
      <c r="K870" s="289"/>
      <c r="L870" s="289"/>
      <c r="M870" s="33"/>
      <c r="N870" s="33"/>
      <c r="O870" s="77"/>
      <c r="P870" s="77"/>
      <c r="Q870" s="78"/>
      <c r="Z870" s="79"/>
      <c r="AA870" s="80"/>
      <c r="AB870" s="34"/>
      <c r="AC870" s="34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</row>
    <row r="871" spans="1:41" ht="23.25">
      <c r="A871" s="1295" t="s">
        <v>448</v>
      </c>
      <c r="B871" s="1295"/>
      <c r="C871" s="1295"/>
      <c r="D871" s="1294" t="s">
        <v>1246</v>
      </c>
      <c r="E871" s="1294"/>
      <c r="F871" s="1294"/>
      <c r="G871" s="1294"/>
      <c r="H871" s="1294"/>
      <c r="I871" s="289"/>
      <c r="J871" s="289"/>
      <c r="K871" s="289" t="s">
        <v>449</v>
      </c>
      <c r="L871" s="289"/>
      <c r="M871" s="1295" t="s">
        <v>290</v>
      </c>
      <c r="N871" s="1295"/>
      <c r="O871" s="1292" t="str">
        <f>D871</f>
        <v>أوهيبة يمينة</v>
      </c>
      <c r="P871" s="1292"/>
      <c r="Q871" s="78"/>
      <c r="Z871" s="79"/>
      <c r="AA871" s="80"/>
      <c r="AB871" s="34"/>
      <c r="AC871" s="34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</row>
    <row r="872" spans="1:41" ht="24" thickBot="1">
      <c r="A872" s="1340" t="s">
        <v>450</v>
      </c>
      <c r="B872" s="1340"/>
      <c r="C872" s="1340"/>
      <c r="D872" s="1340" t="s">
        <v>451</v>
      </c>
      <c r="E872" s="1340"/>
      <c r="F872" s="1340"/>
      <c r="G872" s="1340"/>
      <c r="H872" s="87"/>
      <c r="I872" s="1340" t="s">
        <v>452</v>
      </c>
      <c r="J872" s="1340"/>
      <c r="K872" s="1340"/>
      <c r="L872" s="1341"/>
      <c r="M872" s="1341"/>
      <c r="N872" s="1341"/>
      <c r="O872" s="77"/>
      <c r="P872" s="77"/>
      <c r="Q872" s="78"/>
      <c r="Z872" s="79"/>
      <c r="AA872" s="80"/>
      <c r="AB872" s="34"/>
      <c r="AC872" s="34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</row>
    <row r="873" spans="1:41" ht="17.25" thickTop="1" thickBot="1">
      <c r="A873" s="1318" t="s">
        <v>453</v>
      </c>
      <c r="B873" s="1319"/>
      <c r="C873" s="88" t="s">
        <v>6</v>
      </c>
      <c r="D873" s="89" t="s">
        <v>2</v>
      </c>
      <c r="E873" s="89" t="s">
        <v>828</v>
      </c>
      <c r="F873" s="89" t="s">
        <v>10</v>
      </c>
      <c r="G873" s="89" t="s">
        <v>380</v>
      </c>
      <c r="H873" s="89" t="s">
        <v>380</v>
      </c>
      <c r="I873" s="89" t="s">
        <v>380</v>
      </c>
      <c r="J873" s="89" t="s">
        <v>380</v>
      </c>
      <c r="K873" s="89" t="s">
        <v>380</v>
      </c>
      <c r="L873" s="89" t="s">
        <v>380</v>
      </c>
      <c r="M873" s="89" t="s">
        <v>380</v>
      </c>
      <c r="N873" s="90" t="s">
        <v>380</v>
      </c>
      <c r="O873" s="77"/>
      <c r="P873" s="77"/>
      <c r="Q873" s="78"/>
      <c r="Z873" s="79"/>
      <c r="AA873" s="80"/>
      <c r="AB873" s="34"/>
      <c r="AC873" s="34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</row>
    <row r="874" spans="1:41" ht="16.5" thickBot="1">
      <c r="A874" s="1329" t="s">
        <v>454</v>
      </c>
      <c r="B874" s="1330"/>
      <c r="C874" s="91">
        <v>3</v>
      </c>
      <c r="D874" s="210">
        <v>3</v>
      </c>
      <c r="E874" s="210">
        <v>5</v>
      </c>
      <c r="F874" s="210">
        <v>3</v>
      </c>
      <c r="G874" s="210" t="s">
        <v>380</v>
      </c>
      <c r="H874" s="210" t="s">
        <v>380</v>
      </c>
      <c r="I874" s="210" t="s">
        <v>380</v>
      </c>
      <c r="J874" s="210" t="s">
        <v>380</v>
      </c>
      <c r="K874" s="210" t="s">
        <v>380</v>
      </c>
      <c r="L874" s="210" t="s">
        <v>380</v>
      </c>
      <c r="M874" s="210" t="s">
        <v>380</v>
      </c>
      <c r="N874" s="92" t="s">
        <v>380</v>
      </c>
      <c r="O874" s="77"/>
      <c r="P874" s="77"/>
      <c r="Q874" s="78"/>
      <c r="Z874" s="79"/>
      <c r="AA874" s="80"/>
      <c r="AB874" s="34"/>
      <c r="AC874" s="34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</row>
    <row r="875" spans="1:41" ht="16.5" thickBot="1">
      <c r="A875" s="1329" t="s">
        <v>455</v>
      </c>
      <c r="B875" s="1330"/>
      <c r="C875" s="91"/>
      <c r="D875" s="210"/>
      <c r="E875" s="210"/>
      <c r="F875" s="210"/>
      <c r="G875" s="210" t="s">
        <v>380</v>
      </c>
      <c r="H875" s="210" t="s">
        <v>380</v>
      </c>
      <c r="I875" s="210" t="s">
        <v>380</v>
      </c>
      <c r="J875" s="210" t="s">
        <v>380</v>
      </c>
      <c r="K875" s="210" t="s">
        <v>380</v>
      </c>
      <c r="L875" s="210" t="s">
        <v>380</v>
      </c>
      <c r="M875" s="210" t="s">
        <v>380</v>
      </c>
      <c r="N875" s="92" t="s">
        <v>380</v>
      </c>
      <c r="O875" s="77"/>
      <c r="P875" s="77"/>
      <c r="Q875" s="78"/>
      <c r="Z875" s="79"/>
      <c r="AA875" s="80"/>
      <c r="AB875" s="34"/>
      <c r="AC875" s="34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</row>
    <row r="876" spans="1:41" ht="16.5" thickBot="1">
      <c r="A876" s="1327" t="s">
        <v>456</v>
      </c>
      <c r="B876" s="1328"/>
      <c r="C876" s="93"/>
      <c r="D876" s="94"/>
      <c r="E876" s="94"/>
      <c r="F876" s="94"/>
      <c r="G876" s="94" t="s">
        <v>380</v>
      </c>
      <c r="H876" s="94" t="s">
        <v>380</v>
      </c>
      <c r="I876" s="94" t="s">
        <v>380</v>
      </c>
      <c r="J876" s="94" t="s">
        <v>380</v>
      </c>
      <c r="K876" s="94" t="s">
        <v>380</v>
      </c>
      <c r="L876" s="94" t="s">
        <v>380</v>
      </c>
      <c r="M876" s="94" t="s">
        <v>380</v>
      </c>
      <c r="N876" s="95" t="s">
        <v>380</v>
      </c>
      <c r="O876" s="77"/>
      <c r="P876" s="77"/>
      <c r="Q876" s="78"/>
      <c r="Z876" s="79"/>
      <c r="AA876" s="80"/>
      <c r="AB876" s="34"/>
      <c r="AC876" s="34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</row>
    <row r="877" spans="1:41" ht="21" thickTop="1">
      <c r="A877" s="96"/>
      <c r="B877" s="96"/>
      <c r="C877" s="96"/>
      <c r="D877" s="96"/>
      <c r="E877" s="1326" t="s">
        <v>457</v>
      </c>
      <c r="F877" s="1310"/>
      <c r="G877" s="97">
        <v>18</v>
      </c>
      <c r="H877" s="1310" t="s">
        <v>458</v>
      </c>
      <c r="I877" s="1311"/>
      <c r="J877" s="1310" t="s">
        <v>459</v>
      </c>
      <c r="K877" s="1311"/>
      <c r="L877" s="96"/>
      <c r="M877" s="96"/>
      <c r="N877" s="96"/>
      <c r="O877" s="77"/>
      <c r="P877" s="77"/>
      <c r="Q877" s="78"/>
      <c r="Z877" s="79"/>
      <c r="AA877" s="80"/>
      <c r="AB877" s="34"/>
      <c r="AC877" s="34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</row>
    <row r="878" spans="1:41" ht="23.25">
      <c r="A878" s="96"/>
      <c r="B878" s="96"/>
      <c r="C878" s="96"/>
      <c r="D878" s="96"/>
      <c r="E878" s="1307" t="s">
        <v>460</v>
      </c>
      <c r="F878" s="1308"/>
      <c r="G878" s="98">
        <v>16</v>
      </c>
      <c r="H878" s="1312">
        <v>0</v>
      </c>
      <c r="I878" s="1312"/>
      <c r="J878" s="1312">
        <v>0</v>
      </c>
      <c r="K878" s="1313"/>
      <c r="L878" s="96"/>
      <c r="M878" s="96"/>
      <c r="N878" s="96"/>
      <c r="O878" s="77"/>
      <c r="P878" s="77"/>
      <c r="Q878" s="78"/>
      <c r="Z878" s="79"/>
      <c r="AA878" s="80"/>
      <c r="AB878" s="34"/>
      <c r="AC878" s="34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</row>
    <row r="879" spans="1:41" ht="20.25">
      <c r="A879" s="96"/>
      <c r="B879" s="96"/>
      <c r="C879" s="96"/>
      <c r="D879" s="96"/>
      <c r="E879" s="1307" t="s">
        <v>461</v>
      </c>
      <c r="F879" s="1308"/>
      <c r="G879" s="99"/>
      <c r="H879" s="1308" t="s">
        <v>462</v>
      </c>
      <c r="I879" s="1308"/>
      <c r="J879" s="1308" t="s">
        <v>463</v>
      </c>
      <c r="K879" s="1309"/>
      <c r="L879" s="96"/>
      <c r="M879" s="96"/>
      <c r="N879" s="96"/>
      <c r="O879" s="77"/>
      <c r="P879" s="77"/>
      <c r="Q879" s="78"/>
      <c r="Z879" s="79"/>
      <c r="AA879" s="80"/>
      <c r="AB879" s="34"/>
      <c r="AC879" s="34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</row>
    <row r="880" spans="1:41" ht="24" thickBot="1">
      <c r="A880" s="96"/>
      <c r="B880" s="96"/>
      <c r="C880" s="96"/>
      <c r="D880" s="96"/>
      <c r="E880" s="1303" t="s">
        <v>464</v>
      </c>
      <c r="F880" s="1304"/>
      <c r="G880" s="99">
        <v>0</v>
      </c>
      <c r="H880" s="1305"/>
      <c r="I880" s="1305"/>
      <c r="J880" s="1305">
        <v>0</v>
      </c>
      <c r="K880" s="1306"/>
      <c r="L880" s="96"/>
      <c r="M880" s="96"/>
      <c r="N880" s="96"/>
      <c r="O880" s="77"/>
      <c r="P880" s="77"/>
      <c r="Q880" s="78"/>
      <c r="Z880" s="79"/>
      <c r="AA880" s="80"/>
      <c r="AB880" s="34"/>
      <c r="AC880" s="34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</row>
    <row r="881" spans="1:41" ht="17.25" thickTop="1" thickBot="1">
      <c r="A881" s="34"/>
      <c r="B881" s="34"/>
      <c r="C881" s="1299" t="s">
        <v>465</v>
      </c>
      <c r="D881" s="1299"/>
      <c r="E881" s="1299" t="s">
        <v>360</v>
      </c>
      <c r="F881" s="1299"/>
      <c r="G881" s="1302" t="s">
        <v>368</v>
      </c>
      <c r="H881" s="1302"/>
      <c r="I881" s="1302" t="s">
        <v>369</v>
      </c>
      <c r="J881" s="1302"/>
      <c r="K881" s="1302" t="s">
        <v>370</v>
      </c>
      <c r="L881" s="1299"/>
      <c r="M881" s="1299" t="s">
        <v>371</v>
      </c>
      <c r="N881" s="1299"/>
      <c r="O881" s="77"/>
      <c r="P881" s="77"/>
      <c r="Q881" s="78"/>
      <c r="Z881" s="79"/>
      <c r="AA881" s="80"/>
      <c r="AB881" s="34"/>
      <c r="AC881" s="34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</row>
    <row r="882" spans="1:41" ht="17.25" thickTop="1" thickBot="1">
      <c r="A882" s="34"/>
      <c r="B882" s="34"/>
      <c r="C882" s="1299" t="s">
        <v>372</v>
      </c>
      <c r="D882" s="1299"/>
      <c r="E882" s="1315" t="s">
        <v>10</v>
      </c>
      <c r="F882" s="1316"/>
      <c r="G882" s="1315"/>
      <c r="H882" s="1316"/>
      <c r="I882" s="1315"/>
      <c r="J882" s="1316"/>
      <c r="K882" s="1315"/>
      <c r="L882" s="1316"/>
      <c r="M882" s="1315"/>
      <c r="N882" s="1316"/>
      <c r="O882" s="77"/>
      <c r="P882" s="77"/>
      <c r="Q882" s="78"/>
      <c r="Z882" s="79"/>
      <c r="AA882" s="80"/>
      <c r="AB882" s="34"/>
      <c r="AC882" s="34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</row>
    <row r="883" spans="1:41" ht="17.25" thickTop="1" thickBot="1">
      <c r="A883" s="34"/>
      <c r="B883" s="34"/>
      <c r="C883" s="1299" t="s">
        <v>373</v>
      </c>
      <c r="D883" s="1299"/>
      <c r="E883" s="1297"/>
      <c r="F883" s="1297"/>
      <c r="G883" s="1315" t="s">
        <v>828</v>
      </c>
      <c r="H883" s="1316"/>
      <c r="I883" s="1315"/>
      <c r="J883" s="1316"/>
      <c r="K883" s="1315"/>
      <c r="L883" s="1316"/>
      <c r="M883" s="1315"/>
      <c r="N883" s="1316"/>
      <c r="O883" s="77"/>
      <c r="P883" s="77"/>
      <c r="Q883" s="78"/>
      <c r="Z883" s="79"/>
      <c r="AA883" s="80"/>
      <c r="AB883" s="34"/>
      <c r="AC883" s="34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</row>
    <row r="884" spans="1:41" ht="17.25" thickTop="1" thickBot="1">
      <c r="A884" s="34"/>
      <c r="B884" s="34"/>
      <c r="C884" s="1299" t="s">
        <v>374</v>
      </c>
      <c r="D884" s="1299"/>
      <c r="E884" s="1315" t="s">
        <v>828</v>
      </c>
      <c r="F884" s="1316"/>
      <c r="G884" s="1315" t="s">
        <v>2</v>
      </c>
      <c r="H884" s="1316"/>
      <c r="I884" s="1315"/>
      <c r="J884" s="1316"/>
      <c r="K884" s="1315" t="s">
        <v>828</v>
      </c>
      <c r="L884" s="1316"/>
      <c r="M884" s="1315"/>
      <c r="N884" s="1316"/>
      <c r="O884" s="77"/>
      <c r="P884" s="77"/>
      <c r="Q884" s="78"/>
      <c r="Z884" s="79"/>
      <c r="AA884" s="80"/>
      <c r="AB884" s="34"/>
      <c r="AC884" s="34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</row>
    <row r="885" spans="1:41" ht="17.25" thickTop="1" thickBot="1">
      <c r="A885" s="34"/>
      <c r="B885" s="34"/>
      <c r="C885" s="1299" t="s">
        <v>375</v>
      </c>
      <c r="D885" s="1299"/>
      <c r="E885" s="1315" t="s">
        <v>2</v>
      </c>
      <c r="F885" s="1316"/>
      <c r="G885" s="1315" t="s">
        <v>6</v>
      </c>
      <c r="H885" s="1316"/>
      <c r="I885" s="1315"/>
      <c r="J885" s="1316"/>
      <c r="K885" s="1315" t="s">
        <v>828</v>
      </c>
      <c r="L885" s="1316"/>
      <c r="M885" s="1315"/>
      <c r="N885" s="1316"/>
      <c r="O885" s="77"/>
      <c r="P885" s="77"/>
      <c r="Q885" s="78"/>
      <c r="Z885" s="79"/>
      <c r="AA885" s="80"/>
      <c r="AB885" s="34"/>
      <c r="AC885" s="34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</row>
    <row r="886" spans="1:41" ht="17.25" thickTop="1" thickBot="1">
      <c r="A886" s="34"/>
      <c r="B886" s="34"/>
      <c r="C886" s="101"/>
      <c r="D886" s="101"/>
      <c r="E886" s="33"/>
      <c r="F886" s="33"/>
      <c r="G886" s="33"/>
      <c r="H886" s="33"/>
      <c r="I886" s="33"/>
      <c r="J886" s="33"/>
      <c r="K886" s="34"/>
      <c r="L886" s="34"/>
      <c r="M886" s="33"/>
      <c r="N886" s="33"/>
      <c r="O886" s="77"/>
      <c r="P886" s="77"/>
      <c r="Q886" s="78"/>
      <c r="Z886" s="79"/>
      <c r="AA886" s="80"/>
      <c r="AB886" s="34"/>
      <c r="AC886" s="34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</row>
    <row r="887" spans="1:41" ht="17.25" thickTop="1" thickBot="1">
      <c r="A887" s="34"/>
      <c r="B887" s="34"/>
      <c r="C887" s="1299" t="s">
        <v>921</v>
      </c>
      <c r="D887" s="1299"/>
      <c r="E887" s="1315"/>
      <c r="F887" s="1316"/>
      <c r="G887" s="1315"/>
      <c r="H887" s="1316"/>
      <c r="I887" s="1315"/>
      <c r="J887" s="1316"/>
      <c r="K887" s="1315" t="s">
        <v>6</v>
      </c>
      <c r="L887" s="1316"/>
      <c r="M887" s="1315" t="s">
        <v>6</v>
      </c>
      <c r="N887" s="1316"/>
      <c r="O887" s="77"/>
      <c r="P887" s="77"/>
      <c r="Q887" s="78"/>
      <c r="Z887" s="79"/>
      <c r="AA887" s="80"/>
      <c r="AB887" s="34"/>
      <c r="AC887" s="34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</row>
    <row r="888" spans="1:41" ht="17.25" thickTop="1" thickBot="1">
      <c r="A888" s="34"/>
      <c r="B888" s="34"/>
      <c r="C888" s="1299" t="s">
        <v>922</v>
      </c>
      <c r="D888" s="1299"/>
      <c r="E888" s="1315"/>
      <c r="F888" s="1316"/>
      <c r="G888" s="1338"/>
      <c r="H888" s="1339"/>
      <c r="I888" s="1315"/>
      <c r="J888" s="1316"/>
      <c r="K888" s="1315" t="s">
        <v>10</v>
      </c>
      <c r="L888" s="1316"/>
      <c r="M888" s="1315" t="s">
        <v>10</v>
      </c>
      <c r="N888" s="1316"/>
      <c r="O888" s="77"/>
      <c r="P888" s="77"/>
      <c r="Q888" s="78"/>
      <c r="Z888" s="79"/>
      <c r="AA888" s="80"/>
      <c r="AB888" s="34"/>
      <c r="AC888" s="34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</row>
    <row r="889" spans="1:41" ht="17.25" thickTop="1" thickBot="1">
      <c r="A889" s="34"/>
      <c r="B889" s="34"/>
      <c r="C889" s="1299" t="s">
        <v>923</v>
      </c>
      <c r="D889" s="1299"/>
      <c r="E889" s="1315"/>
      <c r="F889" s="1316"/>
      <c r="G889" s="1315"/>
      <c r="H889" s="1316"/>
      <c r="I889" s="1315"/>
      <c r="J889" s="1316"/>
      <c r="K889" s="1315" t="s">
        <v>2</v>
      </c>
      <c r="L889" s="1316"/>
      <c r="M889" s="1315" t="s">
        <v>828</v>
      </c>
      <c r="N889" s="1316"/>
      <c r="O889" s="77"/>
      <c r="P889" s="77"/>
      <c r="Q889" s="78"/>
      <c r="Z889" s="79"/>
      <c r="AA889" s="80"/>
      <c r="AB889" s="34"/>
      <c r="AC889" s="34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</row>
    <row r="890" spans="1:41" ht="17.25" thickTop="1" thickBot="1">
      <c r="A890" s="34"/>
      <c r="B890" s="34"/>
      <c r="C890" s="1299" t="s">
        <v>924</v>
      </c>
      <c r="D890" s="1299"/>
      <c r="E890" s="1315"/>
      <c r="F890" s="1316"/>
      <c r="G890" s="1315"/>
      <c r="H890" s="1316"/>
      <c r="I890" s="1315"/>
      <c r="J890" s="1316"/>
      <c r="K890" s="1315"/>
      <c r="L890" s="1316"/>
      <c r="M890" s="1315"/>
      <c r="N890" s="1316"/>
      <c r="O890" s="77"/>
      <c r="P890" s="77"/>
      <c r="Q890" s="78"/>
      <c r="Z890" s="79"/>
      <c r="AA890" s="80"/>
      <c r="AB890" s="34"/>
      <c r="AC890" s="34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</row>
    <row r="891" spans="1:41" ht="17.25" thickTop="1" thickBot="1">
      <c r="A891" s="34"/>
      <c r="B891" s="34"/>
      <c r="C891" s="33"/>
      <c r="D891" s="33"/>
      <c r="E891" s="33"/>
      <c r="F891" s="33"/>
      <c r="G891" s="33"/>
      <c r="H891" s="33"/>
      <c r="I891" s="33"/>
      <c r="J891" s="33"/>
      <c r="K891" s="34"/>
      <c r="L891" s="34"/>
      <c r="M891" s="33"/>
      <c r="N891" s="33"/>
      <c r="O891" s="77"/>
      <c r="P891" s="77"/>
      <c r="Q891" s="78"/>
      <c r="Z891" s="79"/>
      <c r="AA891" s="80"/>
      <c r="AB891" s="34"/>
      <c r="AC891" s="34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</row>
    <row r="892" spans="1:41" ht="19.5" thickTop="1" thickBot="1">
      <c r="A892" s="1321" t="s">
        <v>467</v>
      </c>
      <c r="B892" s="1322"/>
      <c r="C892" s="1323" t="s">
        <v>380</v>
      </c>
      <c r="D892" s="1323"/>
      <c r="E892" s="1323" t="s">
        <v>380</v>
      </c>
      <c r="F892" s="1323"/>
      <c r="G892" s="288"/>
      <c r="H892" s="288" t="s">
        <v>468</v>
      </c>
      <c r="I892" s="1295" t="s">
        <v>402</v>
      </c>
      <c r="J892" s="1295"/>
      <c r="K892" s="1295"/>
      <c r="L892" s="102" t="s">
        <v>403</v>
      </c>
      <c r="M892" s="1331">
        <f ca="1">TODAY()</f>
        <v>45944</v>
      </c>
      <c r="N892" s="1331"/>
      <c r="O892" s="77"/>
      <c r="P892" s="77"/>
      <c r="Q892" s="78"/>
      <c r="Z892" s="79"/>
      <c r="AA892" s="80"/>
      <c r="AB892" s="34"/>
      <c r="AC892" s="34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</row>
    <row r="893" spans="1:41" ht="19.5" thickTop="1" thickBot="1">
      <c r="A893" s="1321" t="s">
        <v>469</v>
      </c>
      <c r="B893" s="1322"/>
      <c r="C893" s="1323" t="s">
        <v>380</v>
      </c>
      <c r="D893" s="1323"/>
      <c r="E893" s="1323" t="s">
        <v>380</v>
      </c>
      <c r="F893" s="1323"/>
      <c r="G893" s="288"/>
      <c r="H893" s="288"/>
      <c r="I893" s="288"/>
      <c r="J893" s="288"/>
      <c r="K893" s="102"/>
      <c r="L893" s="102"/>
      <c r="M893" s="33"/>
      <c r="N893" s="33"/>
      <c r="O893" s="77"/>
      <c r="P893" s="77"/>
      <c r="Q893" s="78"/>
      <c r="Z893" s="79"/>
      <c r="AA893" s="80"/>
      <c r="AB893" s="34"/>
      <c r="AC893" s="34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</row>
    <row r="894" spans="1:41" ht="19.5" thickTop="1" thickBot="1">
      <c r="A894" s="1321" t="s">
        <v>470</v>
      </c>
      <c r="B894" s="1322"/>
      <c r="C894" s="1323" t="s">
        <v>380</v>
      </c>
      <c r="D894" s="1323"/>
      <c r="E894" s="1323" t="s">
        <v>380</v>
      </c>
      <c r="F894" s="1323"/>
      <c r="G894" s="288"/>
      <c r="H894" s="288"/>
      <c r="I894" s="288"/>
      <c r="J894" s="288" t="s">
        <v>471</v>
      </c>
      <c r="K894" s="102"/>
      <c r="L894" s="102"/>
      <c r="M894" s="33"/>
      <c r="N894" s="33"/>
      <c r="O894" s="77"/>
      <c r="P894" s="77"/>
      <c r="Q894" s="78"/>
      <c r="Z894" s="79"/>
      <c r="AA894" s="80"/>
      <c r="AB894" s="34"/>
      <c r="AC894" s="34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</row>
    <row r="895" spans="1:41" ht="24" thickTop="1">
      <c r="A895" s="34"/>
      <c r="B895" s="34"/>
      <c r="C895" s="33"/>
      <c r="D895" s="33"/>
      <c r="E895" s="33"/>
      <c r="F895" s="33"/>
      <c r="G895" s="33"/>
      <c r="H895" s="103" t="s">
        <v>406</v>
      </c>
      <c r="I895" s="33"/>
      <c r="J895" s="34"/>
      <c r="K895" s="34"/>
      <c r="L895" s="33"/>
      <c r="M895" s="33"/>
      <c r="N895" s="104"/>
      <c r="O895" s="77"/>
      <c r="P895" s="77"/>
      <c r="Q895" s="78"/>
      <c r="Z895" s="79"/>
      <c r="AA895" s="80"/>
      <c r="AB895" s="34"/>
      <c r="AC895" s="34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</row>
    <row r="896" spans="1:41" ht="18">
      <c r="A896" s="1295" t="s">
        <v>78</v>
      </c>
      <c r="B896" s="1295"/>
      <c r="C896" s="1295"/>
      <c r="D896" s="1295"/>
      <c r="E896" s="1295"/>
      <c r="F896" s="1295"/>
      <c r="G896" s="1295"/>
      <c r="H896" s="1295"/>
      <c r="I896" s="1295"/>
      <c r="J896" s="1295"/>
      <c r="K896" s="1295"/>
      <c r="L896" s="1295"/>
      <c r="M896" s="1295"/>
      <c r="N896" s="1295"/>
      <c r="O896" s="77"/>
      <c r="P896" s="77"/>
      <c r="Q896" s="78"/>
      <c r="Z896" s="79"/>
      <c r="AA896" s="80"/>
      <c r="AB896" s="34"/>
      <c r="AC896" s="34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</row>
    <row r="897" spans="1:41" ht="18">
      <c r="A897" s="1295" t="s">
        <v>79</v>
      </c>
      <c r="B897" s="1295"/>
      <c r="C897" s="1295"/>
      <c r="D897" s="1295"/>
      <c r="E897" s="1295"/>
      <c r="F897" s="1295"/>
      <c r="G897" s="1295"/>
      <c r="H897" s="1295"/>
      <c r="I897" s="1295"/>
      <c r="J897" s="1295"/>
      <c r="K897" s="1295"/>
      <c r="L897" s="1295"/>
      <c r="M897" s="1295"/>
      <c r="N897" s="1295"/>
      <c r="O897" s="77"/>
      <c r="P897" s="77"/>
      <c r="Q897" s="78"/>
      <c r="Z897" s="79"/>
      <c r="AA897" s="80"/>
      <c r="AB897" s="34"/>
      <c r="AC897" s="34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</row>
    <row r="898" spans="1:41" ht="18">
      <c r="A898" s="168" t="s">
        <v>220</v>
      </c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33"/>
      <c r="N898" s="33"/>
      <c r="O898" s="77"/>
      <c r="P898" s="77"/>
      <c r="Q898" s="78"/>
      <c r="Z898" s="79"/>
      <c r="AA898" s="80"/>
      <c r="AB898" s="34"/>
      <c r="AC898" s="34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</row>
    <row r="899" spans="1:41" ht="18">
      <c r="A899" s="168" t="s">
        <v>444</v>
      </c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33"/>
      <c r="N899" s="33"/>
      <c r="O899" s="77"/>
      <c r="P899" s="77"/>
      <c r="Q899" s="78"/>
      <c r="Z899" s="79"/>
      <c r="AA899" s="80"/>
      <c r="AB899" s="34"/>
      <c r="AC899" s="34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</row>
    <row r="900" spans="1:41" ht="18.75" thickBot="1">
      <c r="A900" s="250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33"/>
      <c r="N900" s="33"/>
      <c r="O900" s="77"/>
      <c r="P900" s="77"/>
      <c r="Q900" s="78"/>
      <c r="Z900" s="79"/>
      <c r="AA900" s="80"/>
      <c r="AB900" s="34"/>
      <c r="AC900" s="34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</row>
    <row r="901" spans="1:41" ht="24" thickBot="1">
      <c r="A901" s="250"/>
      <c r="B901" s="250"/>
      <c r="C901" s="1333" t="s">
        <v>446</v>
      </c>
      <c r="D901" s="1334"/>
      <c r="E901" s="1334"/>
      <c r="F901" s="1334"/>
      <c r="G901" s="1334"/>
      <c r="H901" s="1334"/>
      <c r="I901" s="1334"/>
      <c r="J901" s="1334"/>
      <c r="K901" s="1334"/>
      <c r="L901" s="1335"/>
      <c r="M901" s="33"/>
      <c r="N901" s="33"/>
      <c r="O901" s="77"/>
      <c r="P901" s="77"/>
      <c r="Q901" s="78"/>
      <c r="Z901" s="79"/>
      <c r="AA901" s="80"/>
      <c r="AB901" s="34"/>
      <c r="AC901" s="34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</row>
    <row r="902" spans="1:41" ht="23.25">
      <c r="A902" s="250"/>
      <c r="B902" s="250"/>
      <c r="C902" s="249"/>
      <c r="D902" s="249"/>
      <c r="E902" s="249"/>
      <c r="F902" s="249"/>
      <c r="G902" s="249"/>
      <c r="H902" s="249"/>
      <c r="I902" s="249"/>
      <c r="J902" s="249"/>
      <c r="K902" s="249"/>
      <c r="L902" s="249"/>
      <c r="M902" s="33"/>
      <c r="N902" s="33"/>
      <c r="O902" s="77"/>
      <c r="P902" s="77"/>
      <c r="Q902" s="78"/>
      <c r="Z902" s="79"/>
      <c r="AA902" s="80"/>
      <c r="AB902" s="34"/>
      <c r="AC902" s="34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</row>
    <row r="903" spans="1:41" ht="23.25">
      <c r="A903" s="1295" t="s">
        <v>448</v>
      </c>
      <c r="B903" s="1295"/>
      <c r="C903" s="1295"/>
      <c r="D903" s="1294" t="s">
        <v>291</v>
      </c>
      <c r="E903" s="1294"/>
      <c r="F903" s="1294"/>
      <c r="G903" s="1294"/>
      <c r="H903" s="1294"/>
      <c r="I903" s="249"/>
      <c r="J903" s="249"/>
      <c r="K903" s="249" t="s">
        <v>449</v>
      </c>
      <c r="L903" s="249"/>
      <c r="M903" s="1295" t="s">
        <v>290</v>
      </c>
      <c r="N903" s="1295"/>
      <c r="O903" s="1292" t="str">
        <f>D903</f>
        <v>بدراني الحاج</v>
      </c>
      <c r="P903" s="1292"/>
      <c r="Q903" s="78">
        <v>27</v>
      </c>
      <c r="Z903" s="79"/>
      <c r="AA903" s="80"/>
      <c r="AB903" s="34"/>
      <c r="AC903" s="34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</row>
    <row r="904" spans="1:41" ht="24" thickBot="1">
      <c r="A904" s="1340" t="s">
        <v>450</v>
      </c>
      <c r="B904" s="1340"/>
      <c r="C904" s="1340"/>
      <c r="D904" s="1340" t="s">
        <v>451</v>
      </c>
      <c r="E904" s="1340"/>
      <c r="F904" s="1340"/>
      <c r="G904" s="1340"/>
      <c r="H904" s="87"/>
      <c r="I904" s="1340" t="s">
        <v>452</v>
      </c>
      <c r="J904" s="1340"/>
      <c r="K904" s="1340"/>
      <c r="L904" s="1341"/>
      <c r="M904" s="1341"/>
      <c r="N904" s="1341"/>
      <c r="O904" s="77"/>
      <c r="P904" s="77"/>
      <c r="Q904" s="78"/>
      <c r="Z904" s="79"/>
      <c r="AA904" s="80"/>
      <c r="AB904" s="34"/>
      <c r="AC904" s="34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</row>
    <row r="905" spans="1:41" ht="17.25" thickTop="1" thickBot="1">
      <c r="A905" s="1318" t="s">
        <v>453</v>
      </c>
      <c r="B905" s="1319"/>
      <c r="C905" s="88" t="s">
        <v>6</v>
      </c>
      <c r="D905" s="89" t="s">
        <v>2</v>
      </c>
      <c r="E905" s="89" t="s">
        <v>828</v>
      </c>
      <c r="F905" s="89" t="s">
        <v>10</v>
      </c>
      <c r="G905" s="89" t="s">
        <v>380</v>
      </c>
      <c r="H905" s="89" t="s">
        <v>380</v>
      </c>
      <c r="I905" s="89" t="s">
        <v>380</v>
      </c>
      <c r="J905" s="89" t="s">
        <v>380</v>
      </c>
      <c r="K905" s="89" t="s">
        <v>380</v>
      </c>
      <c r="L905" s="89" t="s">
        <v>380</v>
      </c>
      <c r="M905" s="89" t="s">
        <v>380</v>
      </c>
      <c r="N905" s="90" t="s">
        <v>380</v>
      </c>
      <c r="Z905" s="79"/>
      <c r="AA905" s="80"/>
      <c r="AB905" s="34"/>
      <c r="AC905" s="34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</row>
    <row r="906" spans="1:41" ht="24" thickBot="1">
      <c r="A906" s="1329" t="s">
        <v>454</v>
      </c>
      <c r="B906" s="1330"/>
      <c r="C906" s="91">
        <v>3</v>
      </c>
      <c r="D906" s="210">
        <v>3</v>
      </c>
      <c r="E906" s="210">
        <v>5</v>
      </c>
      <c r="F906" s="210">
        <v>3</v>
      </c>
      <c r="G906" s="210" t="s">
        <v>380</v>
      </c>
      <c r="H906" s="210" t="s">
        <v>380</v>
      </c>
      <c r="I906" s="210" t="s">
        <v>380</v>
      </c>
      <c r="J906" s="210" t="s">
        <v>380</v>
      </c>
      <c r="K906" s="210" t="s">
        <v>380</v>
      </c>
      <c r="L906" s="210" t="s">
        <v>380</v>
      </c>
      <c r="M906" s="210" t="s">
        <v>380</v>
      </c>
      <c r="N906" s="92" t="s">
        <v>380</v>
      </c>
      <c r="O906" s="152"/>
      <c r="R906" s="78"/>
      <c r="Z906" s="79"/>
      <c r="AA906" s="80"/>
      <c r="AB906" s="34"/>
      <c r="AC906" s="34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</row>
    <row r="907" spans="1:41" ht="24" thickBot="1">
      <c r="A907" s="1329" t="s">
        <v>455</v>
      </c>
      <c r="B907" s="1330"/>
      <c r="C907" s="91"/>
      <c r="D907" s="210"/>
      <c r="E907" s="210"/>
      <c r="F907" s="210"/>
      <c r="G907" s="210" t="s">
        <v>380</v>
      </c>
      <c r="H907" s="210" t="s">
        <v>380</v>
      </c>
      <c r="I907" s="210" t="s">
        <v>380</v>
      </c>
      <c r="J907" s="210" t="s">
        <v>380</v>
      </c>
      <c r="K907" s="210" t="s">
        <v>380</v>
      </c>
      <c r="L907" s="210" t="s">
        <v>380</v>
      </c>
      <c r="M907" s="210" t="s">
        <v>380</v>
      </c>
      <c r="N907" s="92" t="s">
        <v>380</v>
      </c>
      <c r="O907" s="152"/>
      <c r="R907" s="78"/>
      <c r="Z907" s="79"/>
      <c r="AA907" s="80"/>
      <c r="AB907" s="34"/>
      <c r="AC907" s="34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</row>
    <row r="908" spans="1:41" ht="24" thickBot="1">
      <c r="A908" s="1327" t="s">
        <v>456</v>
      </c>
      <c r="B908" s="1328"/>
      <c r="C908" s="93"/>
      <c r="D908" s="94"/>
      <c r="E908" s="94"/>
      <c r="F908" s="94"/>
      <c r="G908" s="94" t="s">
        <v>380</v>
      </c>
      <c r="H908" s="94" t="s">
        <v>380</v>
      </c>
      <c r="I908" s="94" t="s">
        <v>380</v>
      </c>
      <c r="J908" s="94" t="s">
        <v>380</v>
      </c>
      <c r="K908" s="94" t="s">
        <v>380</v>
      </c>
      <c r="L908" s="94" t="s">
        <v>380</v>
      </c>
      <c r="M908" s="94" t="s">
        <v>380</v>
      </c>
      <c r="N908" s="95" t="s">
        <v>380</v>
      </c>
      <c r="O908" s="152"/>
      <c r="Z908" s="79"/>
      <c r="AA908" s="80"/>
      <c r="AB908" s="34"/>
      <c r="AC908" s="34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</row>
    <row r="909" spans="1:41" ht="21" thickTop="1">
      <c r="A909" s="96"/>
      <c r="B909" s="96"/>
      <c r="C909" s="96"/>
      <c r="D909" s="96"/>
      <c r="E909" s="1326" t="s">
        <v>457</v>
      </c>
      <c r="F909" s="1310"/>
      <c r="G909" s="97">
        <v>18</v>
      </c>
      <c r="H909" s="1310" t="s">
        <v>458</v>
      </c>
      <c r="I909" s="1311"/>
      <c r="J909" s="1310" t="s">
        <v>459</v>
      </c>
      <c r="K909" s="1311"/>
      <c r="L909" s="96"/>
      <c r="M909" s="96"/>
      <c r="N909" s="96"/>
      <c r="O909" s="77"/>
      <c r="P909" s="77"/>
      <c r="Q909" s="78"/>
      <c r="Z909" s="79"/>
      <c r="AA909" s="80"/>
      <c r="AB909" s="34"/>
      <c r="AC909" s="34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</row>
    <row r="910" spans="1:41" ht="23.25">
      <c r="A910" s="96"/>
      <c r="B910" s="96"/>
      <c r="C910" s="96"/>
      <c r="D910" s="96"/>
      <c r="E910" s="1307" t="s">
        <v>460</v>
      </c>
      <c r="F910" s="1308"/>
      <c r="G910" s="98">
        <v>16</v>
      </c>
      <c r="H910" s="1312">
        <v>0</v>
      </c>
      <c r="I910" s="1312"/>
      <c r="J910" s="1312">
        <v>0</v>
      </c>
      <c r="K910" s="1313"/>
      <c r="L910" s="96"/>
      <c r="M910" s="96"/>
      <c r="N910" s="96"/>
      <c r="O910" s="77"/>
      <c r="P910" s="77"/>
      <c r="Q910" s="78">
        <f>G910+H910+H912+J910</f>
        <v>16</v>
      </c>
      <c r="Z910" s="79"/>
      <c r="AA910" s="80"/>
      <c r="AB910" s="34"/>
      <c r="AC910" s="34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</row>
    <row r="911" spans="1:41" ht="20.25">
      <c r="A911" s="96"/>
      <c r="B911" s="96"/>
      <c r="C911" s="96"/>
      <c r="D911" s="96"/>
      <c r="E911" s="1307" t="s">
        <v>461</v>
      </c>
      <c r="F911" s="1308"/>
      <c r="G911" s="99"/>
      <c r="H911" s="1308" t="s">
        <v>462</v>
      </c>
      <c r="I911" s="1308"/>
      <c r="J911" s="1308" t="s">
        <v>463</v>
      </c>
      <c r="K911" s="1309"/>
      <c r="L911" s="96"/>
      <c r="M911" s="96"/>
      <c r="N911" s="96"/>
      <c r="O911" s="77"/>
      <c r="P911" s="77"/>
      <c r="Q911" s="78"/>
      <c r="Z911" s="79"/>
      <c r="AA911" s="80"/>
      <c r="AB911" s="34"/>
      <c r="AC911" s="34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</row>
    <row r="912" spans="1:41" ht="24" thickBot="1">
      <c r="A912" s="96"/>
      <c r="B912" s="96"/>
      <c r="C912" s="96"/>
      <c r="D912" s="96"/>
      <c r="E912" s="1303" t="s">
        <v>464</v>
      </c>
      <c r="F912" s="1304"/>
      <c r="G912" s="99">
        <v>0</v>
      </c>
      <c r="H912" s="1305"/>
      <c r="I912" s="1305"/>
      <c r="J912" s="1305">
        <v>0</v>
      </c>
      <c r="K912" s="1306"/>
      <c r="L912" s="96"/>
      <c r="M912" s="96"/>
      <c r="N912" s="96"/>
      <c r="O912" s="77"/>
      <c r="P912" s="77"/>
      <c r="Q912" s="78"/>
      <c r="Z912" s="79"/>
      <c r="AA912" s="80"/>
      <c r="AB912" s="34"/>
      <c r="AC912" s="34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</row>
    <row r="913" spans="1:41" ht="17.25" thickTop="1" thickBot="1">
      <c r="A913" s="34"/>
      <c r="B913" s="34"/>
      <c r="C913" s="1299" t="s">
        <v>465</v>
      </c>
      <c r="D913" s="1299"/>
      <c r="E913" s="1299" t="s">
        <v>360</v>
      </c>
      <c r="F913" s="1299"/>
      <c r="G913" s="1302" t="s">
        <v>368</v>
      </c>
      <c r="H913" s="1302"/>
      <c r="I913" s="1302" t="s">
        <v>369</v>
      </c>
      <c r="J913" s="1302"/>
      <c r="K913" s="1302" t="s">
        <v>370</v>
      </c>
      <c r="L913" s="1299"/>
      <c r="M913" s="1299" t="s">
        <v>371</v>
      </c>
      <c r="N913" s="1299"/>
      <c r="O913" s="77"/>
      <c r="P913" s="77"/>
      <c r="Q913" s="78"/>
      <c r="Z913" s="79"/>
      <c r="AA913" s="80"/>
      <c r="AB913" s="34"/>
      <c r="AC913" s="34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</row>
    <row r="914" spans="1:41" ht="17.25" thickTop="1" thickBot="1">
      <c r="A914" s="34"/>
      <c r="B914" s="34"/>
      <c r="C914" s="1299" t="s">
        <v>372</v>
      </c>
      <c r="D914" s="1299"/>
      <c r="E914" s="1315" t="s">
        <v>10</v>
      </c>
      <c r="F914" s="1316"/>
      <c r="G914" s="1315"/>
      <c r="H914" s="1316"/>
      <c r="I914" s="1315"/>
      <c r="J914" s="1316"/>
      <c r="K914" s="1315"/>
      <c r="L914" s="1316"/>
      <c r="M914" s="1315"/>
      <c r="N914" s="1316"/>
      <c r="O914" s="77"/>
      <c r="P914" s="77"/>
      <c r="Q914" s="78"/>
      <c r="Z914" s="79"/>
      <c r="AA914" s="80"/>
      <c r="AB914" s="34"/>
      <c r="AC914" s="34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</row>
    <row r="915" spans="1:41" ht="17.25" thickTop="1" thickBot="1">
      <c r="A915" s="34"/>
      <c r="B915" s="34"/>
      <c r="C915" s="1299" t="s">
        <v>373</v>
      </c>
      <c r="D915" s="1299"/>
      <c r="E915" s="1297"/>
      <c r="F915" s="1297"/>
      <c r="G915" s="1315" t="s">
        <v>828</v>
      </c>
      <c r="H915" s="1316"/>
      <c r="I915" s="1315"/>
      <c r="J915" s="1316"/>
      <c r="K915" s="1315"/>
      <c r="L915" s="1316"/>
      <c r="M915" s="1315"/>
      <c r="N915" s="1316"/>
      <c r="O915" s="77"/>
      <c r="P915" s="77"/>
      <c r="Q915" s="78"/>
      <c r="Z915" s="79"/>
      <c r="AA915" s="80"/>
      <c r="AB915" s="34"/>
      <c r="AC915" s="34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</row>
    <row r="916" spans="1:41" ht="17.25" thickTop="1" thickBot="1">
      <c r="A916" s="34"/>
      <c r="B916" s="34"/>
      <c r="C916" s="1299" t="s">
        <v>374</v>
      </c>
      <c r="D916" s="1299"/>
      <c r="E916" s="1315" t="s">
        <v>828</v>
      </c>
      <c r="F916" s="1316"/>
      <c r="G916" s="1315" t="s">
        <v>2</v>
      </c>
      <c r="H916" s="1316"/>
      <c r="I916" s="1315"/>
      <c r="J916" s="1316"/>
      <c r="K916" s="1315" t="s">
        <v>828</v>
      </c>
      <c r="L916" s="1316"/>
      <c r="M916" s="1315"/>
      <c r="N916" s="1316"/>
      <c r="O916" s="77"/>
      <c r="P916" s="77"/>
      <c r="Q916" s="78"/>
      <c r="Z916" s="79"/>
      <c r="AA916" s="80"/>
      <c r="AB916" s="34"/>
      <c r="AC916" s="34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</row>
    <row r="917" spans="1:41" ht="17.25" thickTop="1" thickBot="1">
      <c r="A917" s="34"/>
      <c r="B917" s="34"/>
      <c r="C917" s="1299" t="s">
        <v>375</v>
      </c>
      <c r="D917" s="1299"/>
      <c r="E917" s="1315" t="s">
        <v>2</v>
      </c>
      <c r="F917" s="1316"/>
      <c r="G917" s="1315" t="s">
        <v>6</v>
      </c>
      <c r="H917" s="1316"/>
      <c r="I917" s="1315"/>
      <c r="J917" s="1316"/>
      <c r="K917" s="1315" t="s">
        <v>828</v>
      </c>
      <c r="L917" s="1316"/>
      <c r="M917" s="1315"/>
      <c r="N917" s="1316"/>
      <c r="O917" s="77"/>
      <c r="P917" s="77"/>
      <c r="Q917" s="78"/>
      <c r="Z917" s="79"/>
      <c r="AA917" s="80"/>
      <c r="AB917" s="34"/>
      <c r="AC917" s="34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</row>
    <row r="918" spans="1:41" ht="17.25" thickTop="1" thickBot="1">
      <c r="A918" s="34"/>
      <c r="B918" s="34"/>
      <c r="C918" s="101"/>
      <c r="D918" s="101"/>
      <c r="E918" s="33"/>
      <c r="F918" s="33"/>
      <c r="G918" s="33"/>
      <c r="H918" s="33"/>
      <c r="I918" s="33"/>
      <c r="J918" s="33"/>
      <c r="K918" s="34"/>
      <c r="L918" s="34"/>
      <c r="M918" s="33"/>
      <c r="N918" s="33"/>
      <c r="O918" s="77"/>
      <c r="P918" s="77"/>
      <c r="Q918" s="78"/>
      <c r="Z918" s="79"/>
      <c r="AA918" s="80"/>
      <c r="AB918" s="34"/>
      <c r="AC918" s="34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</row>
    <row r="919" spans="1:41" ht="17.25" thickTop="1" thickBot="1">
      <c r="A919" s="34"/>
      <c r="B919" s="34"/>
      <c r="C919" s="1299" t="s">
        <v>921</v>
      </c>
      <c r="D919" s="1299"/>
      <c r="E919" s="1315"/>
      <c r="F919" s="1316"/>
      <c r="G919" s="1315"/>
      <c r="H919" s="1316"/>
      <c r="I919" s="1315"/>
      <c r="J919" s="1316"/>
      <c r="K919" s="1315" t="s">
        <v>6</v>
      </c>
      <c r="L919" s="1316"/>
      <c r="M919" s="1315" t="s">
        <v>6</v>
      </c>
      <c r="N919" s="1316"/>
      <c r="O919" s="77"/>
      <c r="P919" s="77"/>
      <c r="Q919" s="78"/>
      <c r="Z919" s="79"/>
      <c r="AA919" s="80"/>
      <c r="AB919" s="34"/>
      <c r="AC919" s="34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</row>
    <row r="920" spans="1:41" ht="17.25" thickTop="1" thickBot="1">
      <c r="A920" s="34"/>
      <c r="B920" s="34"/>
      <c r="C920" s="1299" t="s">
        <v>922</v>
      </c>
      <c r="D920" s="1299"/>
      <c r="E920" s="1315"/>
      <c r="F920" s="1316"/>
      <c r="G920" s="1338"/>
      <c r="H920" s="1339"/>
      <c r="I920" s="1315"/>
      <c r="J920" s="1316"/>
      <c r="K920" s="1315" t="s">
        <v>10</v>
      </c>
      <c r="L920" s="1316"/>
      <c r="M920" s="1315" t="s">
        <v>10</v>
      </c>
      <c r="N920" s="1316"/>
      <c r="O920" s="77"/>
      <c r="P920" s="77"/>
      <c r="Q920" s="78"/>
      <c r="Z920" s="79"/>
      <c r="AA920" s="80"/>
      <c r="AB920" s="34"/>
      <c r="AC920" s="34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</row>
    <row r="921" spans="1:41" ht="17.25" thickTop="1" thickBot="1">
      <c r="A921" s="34"/>
      <c r="B921" s="34"/>
      <c r="C921" s="1299" t="s">
        <v>923</v>
      </c>
      <c r="D921" s="1299"/>
      <c r="E921" s="1315"/>
      <c r="F921" s="1316"/>
      <c r="G921" s="1315"/>
      <c r="H921" s="1316"/>
      <c r="I921" s="1315"/>
      <c r="J921" s="1316"/>
      <c r="K921" s="1315" t="s">
        <v>2</v>
      </c>
      <c r="L921" s="1316"/>
      <c r="M921" s="1315" t="s">
        <v>828</v>
      </c>
      <c r="N921" s="1316"/>
      <c r="O921" s="77"/>
      <c r="P921" s="77"/>
      <c r="Q921" s="78"/>
      <c r="Z921" s="79"/>
      <c r="AA921" s="80"/>
      <c r="AB921" s="34"/>
      <c r="AC921" s="34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</row>
    <row r="922" spans="1:41" ht="17.25" thickTop="1" thickBot="1">
      <c r="A922" s="34"/>
      <c r="B922" s="34"/>
      <c r="C922" s="1299" t="s">
        <v>924</v>
      </c>
      <c r="D922" s="1299"/>
      <c r="E922" s="1315"/>
      <c r="F922" s="1316"/>
      <c r="G922" s="1315"/>
      <c r="H922" s="1316"/>
      <c r="I922" s="1315"/>
      <c r="J922" s="1316"/>
      <c r="K922" s="1315"/>
      <c r="L922" s="1316"/>
      <c r="M922" s="1315"/>
      <c r="N922" s="1316"/>
      <c r="O922" s="77"/>
      <c r="P922" s="77"/>
      <c r="Q922" s="78"/>
      <c r="Z922" s="79"/>
      <c r="AA922" s="80"/>
      <c r="AB922" s="34"/>
      <c r="AC922" s="34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</row>
    <row r="923" spans="1:41" ht="17.25" thickTop="1" thickBot="1">
      <c r="A923" s="34"/>
      <c r="B923" s="34"/>
      <c r="C923" s="33"/>
      <c r="D923" s="33"/>
      <c r="E923" s="33"/>
      <c r="F923" s="33"/>
      <c r="G923" s="33"/>
      <c r="H923" s="33"/>
      <c r="I923" s="33"/>
      <c r="J923" s="33"/>
      <c r="K923" s="34"/>
      <c r="L923" s="34"/>
      <c r="M923" s="33"/>
      <c r="N923" s="33"/>
      <c r="O923" s="77"/>
      <c r="P923" s="77"/>
      <c r="Q923" s="78"/>
      <c r="Z923" s="79"/>
      <c r="AA923" s="80"/>
      <c r="AB923" s="34"/>
      <c r="AC923" s="34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</row>
    <row r="924" spans="1:41" ht="19.5" thickTop="1" thickBot="1">
      <c r="A924" s="1321" t="s">
        <v>467</v>
      </c>
      <c r="B924" s="1322"/>
      <c r="C924" s="1323" t="s">
        <v>380</v>
      </c>
      <c r="D924" s="1323"/>
      <c r="E924" s="1323" t="s">
        <v>380</v>
      </c>
      <c r="F924" s="1323"/>
      <c r="G924" s="250"/>
      <c r="H924" s="250" t="s">
        <v>468</v>
      </c>
      <c r="I924" s="1295" t="s">
        <v>402</v>
      </c>
      <c r="J924" s="1295"/>
      <c r="K924" s="1295"/>
      <c r="L924" s="102" t="s">
        <v>403</v>
      </c>
      <c r="M924" s="1331">
        <f ca="1">TODAY()</f>
        <v>45944</v>
      </c>
      <c r="N924" s="1331"/>
      <c r="O924" s="77"/>
      <c r="P924" s="77"/>
      <c r="Q924" s="78"/>
      <c r="Z924" s="79"/>
      <c r="AA924" s="80"/>
      <c r="AB924" s="34"/>
      <c r="AC924" s="34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</row>
    <row r="925" spans="1:41" ht="19.5" thickTop="1" thickBot="1">
      <c r="A925" s="1321" t="s">
        <v>469</v>
      </c>
      <c r="B925" s="1322"/>
      <c r="C925" s="1323" t="s">
        <v>380</v>
      </c>
      <c r="D925" s="1323"/>
      <c r="E925" s="1323" t="s">
        <v>380</v>
      </c>
      <c r="F925" s="1323"/>
      <c r="G925" s="250"/>
      <c r="H925" s="250"/>
      <c r="I925" s="250"/>
      <c r="J925" s="250"/>
      <c r="K925" s="102"/>
      <c r="L925" s="102"/>
      <c r="M925" s="33"/>
      <c r="N925" s="33"/>
      <c r="O925" s="77"/>
      <c r="P925" s="77"/>
      <c r="Q925" s="78"/>
      <c r="Z925" s="79"/>
      <c r="AA925" s="80"/>
      <c r="AB925" s="34"/>
      <c r="AC925" s="34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</row>
    <row r="926" spans="1:41" ht="19.5" thickTop="1" thickBot="1">
      <c r="A926" s="1321" t="s">
        <v>470</v>
      </c>
      <c r="B926" s="1322"/>
      <c r="C926" s="1323" t="s">
        <v>380</v>
      </c>
      <c r="D926" s="1323"/>
      <c r="E926" s="1323" t="s">
        <v>380</v>
      </c>
      <c r="F926" s="1323"/>
      <c r="G926" s="250"/>
      <c r="H926" s="250"/>
      <c r="I926" s="250"/>
      <c r="J926" s="250" t="s">
        <v>471</v>
      </c>
      <c r="K926" s="102"/>
      <c r="L926" s="102"/>
      <c r="M926" s="33"/>
      <c r="N926" s="33"/>
      <c r="O926" s="77"/>
      <c r="P926" s="77"/>
      <c r="Q926" s="78"/>
      <c r="Z926" s="79"/>
      <c r="AA926" s="80"/>
      <c r="AB926" s="34"/>
      <c r="AC926" s="34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</row>
    <row r="927" spans="1:41" ht="24" thickTop="1">
      <c r="A927" s="34"/>
      <c r="B927" s="34"/>
      <c r="C927" s="33"/>
      <c r="D927" s="33"/>
      <c r="E927" s="33"/>
      <c r="F927" s="33"/>
      <c r="G927" s="33"/>
      <c r="H927" s="103" t="s">
        <v>406</v>
      </c>
      <c r="I927" s="33"/>
      <c r="J927" s="34"/>
      <c r="K927" s="34"/>
      <c r="L927" s="33"/>
      <c r="M927" s="33"/>
      <c r="N927" s="104"/>
      <c r="O927" s="77"/>
      <c r="P927" s="77"/>
      <c r="Q927" s="78"/>
      <c r="Z927" s="79"/>
      <c r="AA927" s="80"/>
      <c r="AB927" s="34"/>
      <c r="AC927" s="34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</row>
    <row r="928" spans="1:41" ht="18">
      <c r="A928" s="1295" t="s">
        <v>78</v>
      </c>
      <c r="B928" s="1295"/>
      <c r="C928" s="1295"/>
      <c r="D928" s="1295"/>
      <c r="E928" s="1295"/>
      <c r="F928" s="1295"/>
      <c r="G928" s="1295"/>
      <c r="H928" s="1295"/>
      <c r="I928" s="1295"/>
      <c r="J928" s="1295"/>
      <c r="K928" s="1295"/>
      <c r="L928" s="1295"/>
      <c r="M928" s="1295"/>
      <c r="N928" s="1295"/>
      <c r="O928" s="77"/>
      <c r="P928" s="77"/>
      <c r="Q928" s="78"/>
      <c r="Z928" s="79"/>
      <c r="AA928" s="80"/>
      <c r="AB928" s="34"/>
      <c r="AC928" s="34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</row>
    <row r="929" spans="1:41" ht="18">
      <c r="A929" s="1295" t="s">
        <v>79</v>
      </c>
      <c r="B929" s="1295"/>
      <c r="C929" s="1295"/>
      <c r="D929" s="1295"/>
      <c r="E929" s="1295"/>
      <c r="F929" s="1295"/>
      <c r="G929" s="1295"/>
      <c r="H929" s="1295"/>
      <c r="I929" s="1295"/>
      <c r="J929" s="1295"/>
      <c r="K929" s="1295"/>
      <c r="L929" s="1295"/>
      <c r="M929" s="1295"/>
      <c r="N929" s="1295"/>
      <c r="O929" s="77"/>
      <c r="P929" s="77"/>
      <c r="Q929" s="78"/>
      <c r="Z929" s="79"/>
      <c r="AA929" s="80"/>
      <c r="AB929" s="34"/>
      <c r="AC929" s="34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</row>
    <row r="930" spans="1:41" ht="18">
      <c r="A930" s="168" t="s">
        <v>220</v>
      </c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33"/>
      <c r="N930" s="33"/>
      <c r="O930" s="77"/>
      <c r="P930" s="77"/>
      <c r="Q930" s="78"/>
      <c r="Z930" s="79"/>
      <c r="AA930" s="80"/>
      <c r="AB930" s="34"/>
      <c r="AC930" s="34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</row>
    <row r="931" spans="1:41" ht="18">
      <c r="A931" s="168" t="s">
        <v>444</v>
      </c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33"/>
      <c r="N931" s="33"/>
      <c r="O931" s="77"/>
      <c r="P931" s="77"/>
      <c r="Q931" s="78"/>
      <c r="Z931" s="79"/>
      <c r="AA931" s="80"/>
      <c r="AB931" s="34"/>
      <c r="AC931" s="34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</row>
    <row r="932" spans="1:41" ht="18.75" thickBot="1">
      <c r="A932" s="250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33"/>
      <c r="N932" s="33"/>
      <c r="O932" s="77"/>
      <c r="P932" s="77"/>
      <c r="Q932" s="78"/>
      <c r="Z932" s="79"/>
      <c r="AA932" s="80"/>
      <c r="AB932" s="34"/>
      <c r="AC932" s="34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</row>
    <row r="933" spans="1:41" ht="24" thickBot="1">
      <c r="A933" s="250"/>
      <c r="B933" s="250"/>
      <c r="C933" s="1333" t="s">
        <v>446</v>
      </c>
      <c r="D933" s="1334"/>
      <c r="E933" s="1334"/>
      <c r="F933" s="1334"/>
      <c r="G933" s="1334"/>
      <c r="H933" s="1334"/>
      <c r="I933" s="1334"/>
      <c r="J933" s="1334"/>
      <c r="K933" s="1334"/>
      <c r="L933" s="1335"/>
      <c r="M933" s="33"/>
      <c r="N933" s="33"/>
      <c r="O933" s="77"/>
      <c r="P933" s="77"/>
      <c r="Q933" s="78"/>
      <c r="Z933" s="79"/>
      <c r="AA933" s="80"/>
      <c r="AB933" s="34"/>
      <c r="AC933" s="34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</row>
    <row r="934" spans="1:41" ht="23.25">
      <c r="A934" s="250"/>
      <c r="B934" s="250"/>
      <c r="C934" s="249"/>
      <c r="D934" s="249"/>
      <c r="E934" s="249"/>
      <c r="F934" s="249"/>
      <c r="G934" s="249"/>
      <c r="H934" s="249"/>
      <c r="I934" s="249"/>
      <c r="J934" s="249"/>
      <c r="K934" s="249"/>
      <c r="L934" s="249"/>
      <c r="M934" s="33"/>
      <c r="N934" s="33"/>
      <c r="O934" s="77"/>
      <c r="P934" s="77"/>
      <c r="Q934" s="78"/>
      <c r="Z934" s="79"/>
      <c r="AA934" s="80"/>
      <c r="AB934" s="34"/>
      <c r="AC934" s="34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</row>
    <row r="935" spans="1:41" ht="23.25">
      <c r="A935" s="1295" t="s">
        <v>448</v>
      </c>
      <c r="B935" s="1295"/>
      <c r="C935" s="1295"/>
      <c r="D935" s="1294" t="s">
        <v>816</v>
      </c>
      <c r="E935" s="1294"/>
      <c r="F935" s="1294"/>
      <c r="G935" s="1294"/>
      <c r="H935" s="1294"/>
      <c r="I935" s="249"/>
      <c r="J935" s="249"/>
      <c r="K935" s="249" t="s">
        <v>449</v>
      </c>
      <c r="L935" s="249"/>
      <c r="M935" s="1295" t="s">
        <v>290</v>
      </c>
      <c r="N935" s="1295"/>
      <c r="O935" s="1292" t="str">
        <f>D935</f>
        <v>بن ترات امال</v>
      </c>
      <c r="P935" s="1292"/>
      <c r="Q935" s="78">
        <v>28</v>
      </c>
      <c r="Z935" s="79"/>
      <c r="AA935" s="80"/>
      <c r="AB935" s="34"/>
      <c r="AC935" s="34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</row>
    <row r="936" spans="1:41" ht="24" thickBot="1">
      <c r="A936" s="1340" t="s">
        <v>450</v>
      </c>
      <c r="B936" s="1340"/>
      <c r="C936" s="1340"/>
      <c r="D936" s="1340">
        <v>0</v>
      </c>
      <c r="E936" s="1340"/>
      <c r="F936" s="1340"/>
      <c r="G936" s="1340"/>
      <c r="H936" s="87"/>
      <c r="I936" s="1340" t="s">
        <v>452</v>
      </c>
      <c r="J936" s="1340"/>
      <c r="K936" s="1340"/>
      <c r="L936" s="1341" t="s">
        <v>639</v>
      </c>
      <c r="M936" s="1341"/>
      <c r="N936" s="1341"/>
      <c r="O936" s="77"/>
      <c r="P936" s="77"/>
      <c r="Q936" s="78"/>
      <c r="Z936" s="79"/>
      <c r="AA936" s="80"/>
      <c r="AB936" s="34"/>
      <c r="AC936" s="34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</row>
    <row r="937" spans="1:41" ht="17.25" thickTop="1" thickBot="1">
      <c r="A937" s="1318" t="s">
        <v>453</v>
      </c>
      <c r="B937" s="1319"/>
      <c r="C937" s="88" t="s">
        <v>3</v>
      </c>
      <c r="D937" s="89" t="s">
        <v>493</v>
      </c>
      <c r="E937" s="89" t="s">
        <v>639</v>
      </c>
      <c r="F937" s="89" t="s">
        <v>638</v>
      </c>
      <c r="G937" s="89"/>
      <c r="H937" s="89" t="s">
        <v>380</v>
      </c>
      <c r="I937" s="89" t="s">
        <v>380</v>
      </c>
      <c r="J937" s="89" t="s">
        <v>380</v>
      </c>
      <c r="K937" s="89" t="s">
        <v>380</v>
      </c>
      <c r="L937" s="89" t="s">
        <v>380</v>
      </c>
      <c r="M937" s="89" t="s">
        <v>380</v>
      </c>
      <c r="N937" s="90" t="s">
        <v>380</v>
      </c>
      <c r="Z937" s="79"/>
      <c r="AA937" s="80"/>
      <c r="AB937" s="34"/>
      <c r="AC937" s="34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</row>
    <row r="938" spans="1:41" ht="24" thickBot="1">
      <c r="A938" s="1329" t="s">
        <v>454</v>
      </c>
      <c r="B938" s="1330"/>
      <c r="C938" s="91">
        <v>3</v>
      </c>
      <c r="D938" s="210">
        <v>3</v>
      </c>
      <c r="E938" s="210">
        <v>4</v>
      </c>
      <c r="F938" s="210">
        <v>5</v>
      </c>
      <c r="G938" s="210"/>
      <c r="H938" s="210" t="s">
        <v>380</v>
      </c>
      <c r="I938" s="210" t="s">
        <v>380</v>
      </c>
      <c r="J938" s="210" t="s">
        <v>380</v>
      </c>
      <c r="K938" s="210" t="s">
        <v>380</v>
      </c>
      <c r="L938" s="210" t="s">
        <v>380</v>
      </c>
      <c r="M938" s="210" t="s">
        <v>380</v>
      </c>
      <c r="N938" s="92" t="s">
        <v>380</v>
      </c>
      <c r="O938" s="152"/>
      <c r="R938" s="78"/>
      <c r="Z938" s="79"/>
      <c r="AA938" s="80"/>
      <c r="AB938" s="34"/>
      <c r="AC938" s="34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</row>
    <row r="939" spans="1:41" ht="24" thickBot="1">
      <c r="A939" s="1329" t="s">
        <v>455</v>
      </c>
      <c r="B939" s="1330"/>
      <c r="C939" s="91"/>
      <c r="D939" s="210"/>
      <c r="E939" s="210"/>
      <c r="F939" s="210"/>
      <c r="G939" s="210"/>
      <c r="H939" s="210" t="s">
        <v>380</v>
      </c>
      <c r="I939" s="210" t="s">
        <v>380</v>
      </c>
      <c r="J939" s="210" t="s">
        <v>380</v>
      </c>
      <c r="K939" s="210" t="s">
        <v>380</v>
      </c>
      <c r="L939" s="210" t="s">
        <v>380</v>
      </c>
      <c r="M939" s="210" t="s">
        <v>380</v>
      </c>
      <c r="N939" s="92" t="s">
        <v>380</v>
      </c>
      <c r="O939" s="152"/>
      <c r="R939" s="78"/>
      <c r="Z939" s="79"/>
      <c r="AA939" s="80"/>
      <c r="AB939" s="34"/>
      <c r="AC939" s="34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</row>
    <row r="940" spans="1:41" ht="24" thickBot="1">
      <c r="A940" s="1327" t="s">
        <v>456</v>
      </c>
      <c r="B940" s="1328"/>
      <c r="C940" s="93"/>
      <c r="D940" s="94"/>
      <c r="E940" s="94"/>
      <c r="F940" s="94"/>
      <c r="G940" s="94"/>
      <c r="H940" s="94" t="s">
        <v>380</v>
      </c>
      <c r="I940" s="94" t="s">
        <v>380</v>
      </c>
      <c r="J940" s="94" t="s">
        <v>380</v>
      </c>
      <c r="K940" s="94" t="s">
        <v>380</v>
      </c>
      <c r="L940" s="94" t="s">
        <v>380</v>
      </c>
      <c r="M940" s="94" t="s">
        <v>380</v>
      </c>
      <c r="N940" s="95" t="s">
        <v>380</v>
      </c>
      <c r="O940" s="152"/>
      <c r="Z940" s="79"/>
      <c r="AA940" s="80"/>
      <c r="AB940" s="34"/>
      <c r="AC940" s="34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</row>
    <row r="941" spans="1:41" ht="21" thickTop="1">
      <c r="A941" s="96"/>
      <c r="B941" s="96"/>
      <c r="C941" s="96"/>
      <c r="D941" s="96"/>
      <c r="E941" s="1326" t="s">
        <v>457</v>
      </c>
      <c r="F941" s="1310"/>
      <c r="G941" s="97">
        <v>18</v>
      </c>
      <c r="H941" s="1310" t="s">
        <v>458</v>
      </c>
      <c r="I941" s="1311"/>
      <c r="J941" s="1310" t="s">
        <v>459</v>
      </c>
      <c r="K941" s="1311"/>
      <c r="L941" s="96"/>
      <c r="M941" s="96"/>
      <c r="N941" s="96"/>
      <c r="O941" s="77"/>
      <c r="P941" s="77"/>
      <c r="Q941" s="78"/>
      <c r="Z941" s="79"/>
      <c r="AA941" s="80"/>
      <c r="AB941" s="34"/>
      <c r="AC941" s="34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</row>
    <row r="942" spans="1:41" ht="23.25">
      <c r="A942" s="96"/>
      <c r="B942" s="96"/>
      <c r="C942" s="96"/>
      <c r="D942" s="96"/>
      <c r="E942" s="1307" t="s">
        <v>460</v>
      </c>
      <c r="F942" s="1308"/>
      <c r="G942" s="98">
        <v>14</v>
      </c>
      <c r="H942" s="1312">
        <v>0</v>
      </c>
      <c r="I942" s="1312"/>
      <c r="J942" s="1312">
        <v>0</v>
      </c>
      <c r="K942" s="1313"/>
      <c r="L942" s="96"/>
      <c r="M942" s="96"/>
      <c r="N942" s="96"/>
      <c r="O942" s="77"/>
      <c r="P942" s="77"/>
      <c r="Q942" s="78">
        <f>SUM(G942+H942+H944+J942)</f>
        <v>14</v>
      </c>
      <c r="Z942" s="79"/>
      <c r="AA942" s="80"/>
      <c r="AB942" s="34"/>
      <c r="AC942" s="34"/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</row>
    <row r="943" spans="1:41" ht="20.25">
      <c r="A943" s="96"/>
      <c r="B943" s="96"/>
      <c r="C943" s="96"/>
      <c r="D943" s="96"/>
      <c r="E943" s="1307" t="s">
        <v>461</v>
      </c>
      <c r="F943" s="1308"/>
      <c r="G943" s="99"/>
      <c r="H943" s="1308" t="s">
        <v>462</v>
      </c>
      <c r="I943" s="1308"/>
      <c r="J943" s="1308" t="s">
        <v>463</v>
      </c>
      <c r="K943" s="1309"/>
      <c r="L943" s="96"/>
      <c r="M943" s="96"/>
      <c r="N943" s="96"/>
      <c r="O943" s="77"/>
      <c r="P943" s="77"/>
      <c r="Q943" s="78"/>
      <c r="Z943" s="79"/>
      <c r="AA943" s="80"/>
      <c r="AB943" s="34"/>
      <c r="AC943" s="34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</row>
    <row r="944" spans="1:41" ht="24" thickBot="1">
      <c r="A944" s="96"/>
      <c r="B944" s="96"/>
      <c r="C944" s="96"/>
      <c r="D944" s="96"/>
      <c r="E944" s="1303" t="s">
        <v>464</v>
      </c>
      <c r="F944" s="1304"/>
      <c r="G944" s="99">
        <v>0</v>
      </c>
      <c r="H944" s="1305">
        <v>0</v>
      </c>
      <c r="I944" s="1305"/>
      <c r="J944" s="1305">
        <v>0</v>
      </c>
      <c r="K944" s="1306"/>
      <c r="L944" s="96"/>
      <c r="M944" s="96"/>
      <c r="N944" s="96"/>
      <c r="O944" s="77"/>
      <c r="P944" s="77"/>
      <c r="Q944" s="78"/>
      <c r="Z944" s="79"/>
      <c r="AA944" s="80"/>
      <c r="AB944" s="34"/>
      <c r="AC944" s="34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</row>
    <row r="945" spans="1:41" ht="17.25" thickTop="1" thickBot="1">
      <c r="A945" s="34"/>
      <c r="B945" s="34"/>
      <c r="C945" s="1299" t="s">
        <v>465</v>
      </c>
      <c r="D945" s="1299"/>
      <c r="E945" s="1299" t="s">
        <v>360</v>
      </c>
      <c r="F945" s="1299"/>
      <c r="G945" s="1302" t="s">
        <v>368</v>
      </c>
      <c r="H945" s="1302"/>
      <c r="I945" s="1302" t="s">
        <v>369</v>
      </c>
      <c r="J945" s="1302"/>
      <c r="K945" s="1302" t="s">
        <v>370</v>
      </c>
      <c r="L945" s="1299"/>
      <c r="M945" s="1299" t="s">
        <v>371</v>
      </c>
      <c r="N945" s="1299"/>
      <c r="O945" s="77"/>
      <c r="P945" s="77"/>
      <c r="Q945" s="78"/>
      <c r="Z945" s="79"/>
      <c r="AA945" s="80"/>
      <c r="AB945" s="34"/>
      <c r="AC945" s="34"/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</row>
    <row r="946" spans="1:41" ht="17.25" thickTop="1" thickBot="1">
      <c r="A946" s="34"/>
      <c r="B946" s="34"/>
      <c r="C946" s="1299" t="s">
        <v>372</v>
      </c>
      <c r="D946" s="1299"/>
      <c r="E946" s="1297" t="s">
        <v>3</v>
      </c>
      <c r="F946" s="1297"/>
      <c r="G946" s="1297" t="s">
        <v>639</v>
      </c>
      <c r="H946" s="1297"/>
      <c r="I946" s="1297"/>
      <c r="J946" s="1297"/>
      <c r="K946" s="1297" t="s">
        <v>638</v>
      </c>
      <c r="L946" s="1297"/>
      <c r="M946" s="1297" t="s">
        <v>638</v>
      </c>
      <c r="N946" s="1297"/>
      <c r="O946" s="77"/>
      <c r="P946" s="77"/>
      <c r="Q946" s="78"/>
      <c r="Z946" s="79"/>
      <c r="AA946" s="80"/>
      <c r="AB946" s="34"/>
      <c r="AC946" s="34"/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</row>
    <row r="947" spans="1:41" ht="17.25" thickTop="1" thickBot="1">
      <c r="A947" s="34"/>
      <c r="B947" s="34"/>
      <c r="C947" s="1299" t="s">
        <v>373</v>
      </c>
      <c r="D947" s="1299"/>
      <c r="E947" s="1297" t="s">
        <v>639</v>
      </c>
      <c r="F947" s="1297"/>
      <c r="G947" s="1297" t="s">
        <v>639</v>
      </c>
      <c r="H947" s="1297"/>
      <c r="I947" s="1297"/>
      <c r="J947" s="1297"/>
      <c r="K947" s="1297" t="s">
        <v>639</v>
      </c>
      <c r="L947" s="1297"/>
      <c r="M947" s="1297" t="s">
        <v>493</v>
      </c>
      <c r="N947" s="1297"/>
      <c r="O947" s="77"/>
      <c r="P947" s="77"/>
      <c r="Q947" s="78"/>
      <c r="Z947" s="79"/>
      <c r="AA947" s="80"/>
      <c r="AB947" s="34"/>
      <c r="AC947" s="34"/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</row>
    <row r="948" spans="1:41" ht="17.25" thickTop="1" thickBot="1">
      <c r="A948" s="34"/>
      <c r="B948" s="34"/>
      <c r="C948" s="1299" t="s">
        <v>374</v>
      </c>
      <c r="D948" s="1299"/>
      <c r="E948" s="1297" t="s">
        <v>638</v>
      </c>
      <c r="F948" s="1297"/>
      <c r="G948" s="1297" t="s">
        <v>638</v>
      </c>
      <c r="H948" s="1297"/>
      <c r="I948" s="1297"/>
      <c r="J948" s="1297"/>
      <c r="K948" s="1317" t="s">
        <v>493</v>
      </c>
      <c r="L948" s="1317"/>
      <c r="M948" s="1297" t="s">
        <v>3</v>
      </c>
      <c r="N948" s="1297"/>
      <c r="O948" s="77"/>
      <c r="P948" s="77"/>
      <c r="Q948" s="78"/>
      <c r="Z948" s="79"/>
      <c r="AA948" s="80"/>
      <c r="AB948" s="34"/>
      <c r="AC948" s="34"/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</row>
    <row r="949" spans="1:41" ht="17.25" thickTop="1" thickBot="1">
      <c r="A949" s="34"/>
      <c r="B949" s="34"/>
      <c r="C949" s="1299" t="s">
        <v>375</v>
      </c>
      <c r="D949" s="1299"/>
      <c r="E949" s="1297" t="s">
        <v>638</v>
      </c>
      <c r="F949" s="1297"/>
      <c r="G949" s="1297"/>
      <c r="H949" s="1297"/>
      <c r="I949" s="1297"/>
      <c r="J949" s="1297"/>
      <c r="K949" s="1297"/>
      <c r="L949" s="1297"/>
      <c r="M949" s="1297" t="s">
        <v>639</v>
      </c>
      <c r="N949" s="1297"/>
      <c r="O949" s="77"/>
      <c r="P949" s="77"/>
      <c r="Q949" s="78"/>
      <c r="Z949" s="79"/>
      <c r="AA949" s="80"/>
      <c r="AB949" s="34"/>
      <c r="AC949" s="34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</row>
    <row r="950" spans="1:41" ht="17.25" thickTop="1" thickBot="1">
      <c r="A950" s="34"/>
      <c r="B950" s="34"/>
      <c r="C950" s="101"/>
      <c r="D950" s="101"/>
      <c r="E950" s="33"/>
      <c r="F950" s="33"/>
      <c r="G950" s="33"/>
      <c r="H950" s="33"/>
      <c r="I950" s="33"/>
      <c r="J950" s="33"/>
      <c r="K950" s="34"/>
      <c r="L950" s="34"/>
      <c r="M950" s="33"/>
      <c r="N950" s="33"/>
      <c r="O950" s="77"/>
      <c r="P950" s="77"/>
      <c r="Q950" s="78"/>
      <c r="Z950" s="79"/>
      <c r="AA950" s="80"/>
      <c r="AB950" s="34"/>
      <c r="AC950" s="34"/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</row>
    <row r="951" spans="1:41" ht="17.25" thickTop="1" thickBot="1">
      <c r="A951" s="34"/>
      <c r="B951" s="34"/>
      <c r="C951" s="1299" t="s">
        <v>921</v>
      </c>
      <c r="D951" s="1299"/>
      <c r="E951" s="1317"/>
      <c r="F951" s="1317"/>
      <c r="G951" s="1297" t="s">
        <v>493</v>
      </c>
      <c r="H951" s="1297"/>
      <c r="I951" s="1317"/>
      <c r="J951" s="1317"/>
      <c r="K951" s="1297"/>
      <c r="L951" s="1297"/>
      <c r="M951" s="1297"/>
      <c r="N951" s="1297"/>
      <c r="O951" s="77"/>
      <c r="P951" s="77"/>
      <c r="Q951" s="78"/>
      <c r="Z951" s="79"/>
      <c r="AA951" s="80"/>
      <c r="AB951" s="34"/>
      <c r="AC951" s="34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</row>
    <row r="952" spans="1:41" ht="17.25" thickTop="1" thickBot="1">
      <c r="A952" s="34"/>
      <c r="B952" s="34"/>
      <c r="C952" s="1299" t="s">
        <v>922</v>
      </c>
      <c r="D952" s="1299"/>
      <c r="E952" s="1317"/>
      <c r="F952" s="1317"/>
      <c r="G952" s="1297"/>
      <c r="H952" s="1297"/>
      <c r="I952" s="1317"/>
      <c r="J952" s="1317"/>
      <c r="K952" s="1300"/>
      <c r="L952" s="1300"/>
      <c r="M952" s="1300"/>
      <c r="N952" s="1300"/>
      <c r="O952" s="77"/>
      <c r="P952" s="77"/>
      <c r="Q952" s="78"/>
      <c r="Z952" s="79"/>
      <c r="AA952" s="80"/>
      <c r="AB952" s="34"/>
      <c r="AC952" s="34"/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</row>
    <row r="953" spans="1:41" ht="17.25" thickTop="1" thickBot="1">
      <c r="A953" s="34"/>
      <c r="B953" s="34"/>
      <c r="C953" s="1299" t="s">
        <v>923</v>
      </c>
      <c r="D953" s="1299"/>
      <c r="E953" s="1297"/>
      <c r="F953" s="1297"/>
      <c r="G953" s="1297" t="s">
        <v>3</v>
      </c>
      <c r="H953" s="1297"/>
      <c r="I953" s="1297"/>
      <c r="J953" s="1297"/>
      <c r="K953" s="1297"/>
      <c r="L953" s="1297"/>
      <c r="M953" s="1297"/>
      <c r="N953" s="1297"/>
      <c r="O953" s="77"/>
      <c r="P953" s="77"/>
      <c r="Q953" s="78"/>
      <c r="Z953" s="79"/>
      <c r="AA953" s="80"/>
      <c r="AB953" s="34"/>
      <c r="AC953" s="34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</row>
    <row r="954" spans="1:41" ht="17.25" thickTop="1" thickBot="1">
      <c r="A954" s="34"/>
      <c r="B954" s="34"/>
      <c r="C954" s="1299" t="s">
        <v>924</v>
      </c>
      <c r="D954" s="1299"/>
      <c r="E954" s="1297" t="s">
        <v>380</v>
      </c>
      <c r="F954" s="1297"/>
      <c r="G954" s="1297" t="s">
        <v>380</v>
      </c>
      <c r="H954" s="1297"/>
      <c r="I954" s="1297" t="s">
        <v>380</v>
      </c>
      <c r="J954" s="1297"/>
      <c r="K954" s="1297" t="s">
        <v>380</v>
      </c>
      <c r="L954" s="1297"/>
      <c r="M954" s="1297" t="s">
        <v>380</v>
      </c>
      <c r="N954" s="1297"/>
      <c r="O954" s="77"/>
      <c r="P954" s="77"/>
      <c r="Q954" s="78"/>
      <c r="Z954" s="79"/>
      <c r="AA954" s="80"/>
      <c r="AB954" s="34"/>
      <c r="AC954" s="34"/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</row>
    <row r="955" spans="1:41" ht="17.25" thickTop="1" thickBot="1">
      <c r="A955" s="34"/>
      <c r="B955" s="34"/>
      <c r="C955" s="33"/>
      <c r="D955" s="33"/>
      <c r="E955" s="33"/>
      <c r="F955" s="33"/>
      <c r="G955" s="33"/>
      <c r="H955" s="33"/>
      <c r="I955" s="33"/>
      <c r="J955" s="33"/>
      <c r="K955" s="34"/>
      <c r="L955" s="34"/>
      <c r="M955" s="33"/>
      <c r="N955" s="33"/>
      <c r="O955" s="77"/>
      <c r="P955" s="77"/>
      <c r="Q955" s="78"/>
      <c r="Z955" s="79"/>
      <c r="AA955" s="80"/>
      <c r="AB955" s="34"/>
      <c r="AC955" s="34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</row>
    <row r="956" spans="1:41" ht="19.5" thickTop="1" thickBot="1">
      <c r="A956" s="1321" t="s">
        <v>467</v>
      </c>
      <c r="B956" s="1322"/>
      <c r="C956" s="1323" t="s">
        <v>380</v>
      </c>
      <c r="D956" s="1323"/>
      <c r="E956" s="1323" t="s">
        <v>380</v>
      </c>
      <c r="F956" s="1323"/>
      <c r="G956" s="250"/>
      <c r="H956" s="250" t="s">
        <v>468</v>
      </c>
      <c r="I956" s="1295" t="s">
        <v>402</v>
      </c>
      <c r="J956" s="1295"/>
      <c r="K956" s="1295"/>
      <c r="L956" s="102" t="s">
        <v>403</v>
      </c>
      <c r="M956" s="1331">
        <f ca="1">TODAY()</f>
        <v>45944</v>
      </c>
      <c r="N956" s="1331"/>
      <c r="O956" s="77"/>
      <c r="P956" s="77"/>
      <c r="Q956" s="78"/>
      <c r="Z956" s="79"/>
      <c r="AA956" s="80"/>
      <c r="AB956" s="34"/>
      <c r="AC956" s="34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</row>
    <row r="957" spans="1:41" ht="19.5" thickTop="1" thickBot="1">
      <c r="A957" s="1321" t="s">
        <v>469</v>
      </c>
      <c r="B957" s="1322"/>
      <c r="C957" s="1323" t="s">
        <v>380</v>
      </c>
      <c r="D957" s="1323"/>
      <c r="E957" s="1323" t="s">
        <v>380</v>
      </c>
      <c r="F957" s="1323"/>
      <c r="G957" s="250"/>
      <c r="H957" s="250"/>
      <c r="I957" s="250"/>
      <c r="J957" s="250"/>
      <c r="K957" s="102"/>
      <c r="L957" s="102"/>
      <c r="M957" s="33"/>
      <c r="N957" s="33"/>
      <c r="O957" s="77"/>
      <c r="P957" s="77"/>
      <c r="Q957" s="78"/>
      <c r="Z957" s="79"/>
      <c r="AA957" s="80"/>
      <c r="AB957" s="34"/>
      <c r="AC957" s="34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</row>
    <row r="958" spans="1:41" ht="19.5" thickTop="1" thickBot="1">
      <c r="A958" s="1321" t="s">
        <v>470</v>
      </c>
      <c r="B958" s="1322"/>
      <c r="C958" s="1323" t="s">
        <v>380</v>
      </c>
      <c r="D958" s="1323"/>
      <c r="E958" s="1323" t="s">
        <v>380</v>
      </c>
      <c r="F958" s="1323"/>
      <c r="G958" s="250"/>
      <c r="H958" s="250"/>
      <c r="I958" s="250"/>
      <c r="J958" s="250" t="s">
        <v>471</v>
      </c>
      <c r="K958" s="102"/>
      <c r="L958" s="102"/>
      <c r="M958" s="33"/>
      <c r="N958" s="33"/>
      <c r="O958" s="77"/>
      <c r="P958" s="77"/>
      <c r="Q958" s="78"/>
      <c r="Z958" s="79"/>
      <c r="AA958" s="80"/>
      <c r="AB958" s="34"/>
      <c r="AC958" s="34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</row>
    <row r="959" spans="1:41" ht="24" thickTop="1">
      <c r="A959" s="34"/>
      <c r="B959" s="34"/>
      <c r="C959" s="33"/>
      <c r="D959" s="33"/>
      <c r="E959" s="33"/>
      <c r="F959" s="33"/>
      <c r="G959" s="33"/>
      <c r="H959" s="103" t="s">
        <v>406</v>
      </c>
      <c r="I959" s="33"/>
      <c r="J959" s="34"/>
      <c r="K959" s="34"/>
      <c r="L959" s="33"/>
      <c r="M959" s="33"/>
      <c r="N959" s="104"/>
      <c r="O959" s="77"/>
      <c r="P959" s="77"/>
      <c r="Q959" s="78"/>
      <c r="Z959" s="79"/>
      <c r="AA959" s="80"/>
      <c r="AB959" s="34"/>
      <c r="AC959" s="34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</row>
    <row r="960" spans="1:41" ht="18">
      <c r="A960" s="1295" t="s">
        <v>78</v>
      </c>
      <c r="B960" s="1295"/>
      <c r="C960" s="1295"/>
      <c r="D960" s="1295"/>
      <c r="E960" s="1295"/>
      <c r="F960" s="1295"/>
      <c r="G960" s="1295"/>
      <c r="H960" s="1295"/>
      <c r="I960" s="1295"/>
      <c r="J960" s="1295"/>
      <c r="K960" s="1295"/>
      <c r="L960" s="1295"/>
      <c r="M960" s="1295"/>
      <c r="N960" s="1295"/>
      <c r="O960" s="77"/>
      <c r="P960" s="77"/>
      <c r="Q960" s="78"/>
      <c r="Z960" s="79"/>
      <c r="AA960" s="80"/>
      <c r="AB960" s="34"/>
      <c r="AC960" s="34"/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</row>
    <row r="961" spans="1:41" ht="18">
      <c r="A961" s="1295" t="s">
        <v>79</v>
      </c>
      <c r="B961" s="1295"/>
      <c r="C961" s="1295"/>
      <c r="D961" s="1295"/>
      <c r="E961" s="1295"/>
      <c r="F961" s="1295"/>
      <c r="G961" s="1295"/>
      <c r="H961" s="1295"/>
      <c r="I961" s="1295"/>
      <c r="J961" s="1295"/>
      <c r="K961" s="1295"/>
      <c r="L961" s="1295"/>
      <c r="M961" s="1295"/>
      <c r="N961" s="1295"/>
      <c r="O961" s="77"/>
      <c r="P961" s="77"/>
      <c r="Q961" s="78"/>
      <c r="Z961" s="79"/>
      <c r="AA961" s="80"/>
      <c r="AB961" s="34"/>
      <c r="AC961" s="34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</row>
    <row r="962" spans="1:41" ht="18">
      <c r="A962" s="168" t="s">
        <v>220</v>
      </c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33"/>
      <c r="N962" s="33"/>
      <c r="O962" s="77"/>
      <c r="P962" s="77"/>
      <c r="Q962" s="78"/>
      <c r="Z962" s="79"/>
      <c r="AA962" s="80"/>
      <c r="AB962" s="34"/>
      <c r="AC962" s="34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</row>
    <row r="963" spans="1:41" ht="18">
      <c r="A963" s="168" t="s">
        <v>444</v>
      </c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33"/>
      <c r="N963" s="33"/>
      <c r="O963" s="77"/>
      <c r="P963" s="77"/>
      <c r="Q963" s="78"/>
      <c r="Z963" s="79"/>
      <c r="AA963" s="80"/>
      <c r="AB963" s="34"/>
      <c r="AC963" s="34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</row>
    <row r="964" spans="1:41" ht="18.75" thickBot="1">
      <c r="A964" s="250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33"/>
      <c r="N964" s="33"/>
      <c r="O964" s="77"/>
      <c r="P964" s="77"/>
      <c r="Q964" s="78"/>
      <c r="Z964" s="79"/>
      <c r="AA964" s="80"/>
      <c r="AB964" s="34"/>
      <c r="AC964" s="34"/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</row>
    <row r="965" spans="1:41" ht="24" thickBot="1">
      <c r="A965" s="250"/>
      <c r="B965" s="250"/>
      <c r="C965" s="1333" t="s">
        <v>446</v>
      </c>
      <c r="D965" s="1334"/>
      <c r="E965" s="1334"/>
      <c r="F965" s="1334"/>
      <c r="G965" s="1334"/>
      <c r="H965" s="1334"/>
      <c r="I965" s="1334"/>
      <c r="J965" s="1334"/>
      <c r="K965" s="1334"/>
      <c r="L965" s="1335"/>
      <c r="M965" s="33"/>
      <c r="N965" s="33"/>
      <c r="O965" s="77"/>
      <c r="P965" s="77"/>
      <c r="Q965" s="78"/>
      <c r="Z965" s="79"/>
      <c r="AA965" s="80"/>
      <c r="AB965" s="34"/>
      <c r="AC965" s="34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</row>
    <row r="966" spans="1:41" ht="23.25">
      <c r="A966" s="250"/>
      <c r="B966" s="250"/>
      <c r="C966" s="249"/>
      <c r="D966" s="249"/>
      <c r="E966" s="249"/>
      <c r="F966" s="249"/>
      <c r="G966" s="249"/>
      <c r="H966" s="249"/>
      <c r="I966" s="249"/>
      <c r="J966" s="249"/>
      <c r="K966" s="249"/>
      <c r="L966" s="249"/>
      <c r="M966" s="33"/>
      <c r="N966" s="33"/>
      <c r="O966" s="77"/>
      <c r="P966" s="77"/>
      <c r="Q966" s="78"/>
      <c r="Z966" s="79"/>
      <c r="AA966" s="80"/>
      <c r="AB966" s="34"/>
      <c r="AC966" s="34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</row>
    <row r="967" spans="1:41" ht="23.25">
      <c r="A967" s="1295" t="s">
        <v>448</v>
      </c>
      <c r="B967" s="1295"/>
      <c r="C967" s="1295"/>
      <c r="D967" s="1294" t="s">
        <v>292</v>
      </c>
      <c r="E967" s="1294"/>
      <c r="F967" s="1294"/>
      <c r="G967" s="1294"/>
      <c r="H967" s="1294"/>
      <c r="I967" s="249"/>
      <c r="J967" s="249"/>
      <c r="K967" s="249" t="s">
        <v>449</v>
      </c>
      <c r="L967" s="249"/>
      <c r="M967" s="1295" t="s">
        <v>290</v>
      </c>
      <c r="N967" s="1295"/>
      <c r="O967" s="1292" t="str">
        <f>D967</f>
        <v>عصام فاطمة</v>
      </c>
      <c r="P967" s="1292"/>
      <c r="Q967" s="78">
        <v>29</v>
      </c>
      <c r="Z967" s="79"/>
      <c r="AA967" s="80"/>
      <c r="AB967" s="34"/>
      <c r="AC967" s="34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</row>
    <row r="968" spans="1:41" ht="24" thickBot="1">
      <c r="A968" s="1340" t="s">
        <v>450</v>
      </c>
      <c r="B968" s="1340"/>
      <c r="C968" s="1340"/>
      <c r="D968" s="1340"/>
      <c r="E968" s="1340"/>
      <c r="F968" s="1340"/>
      <c r="G968" s="1340"/>
      <c r="H968" s="87"/>
      <c r="I968" s="1340" t="s">
        <v>452</v>
      </c>
      <c r="J968" s="1340"/>
      <c r="K968" s="1340"/>
      <c r="L968" s="1341" t="s">
        <v>11</v>
      </c>
      <c r="M968" s="1341"/>
      <c r="N968" s="1341"/>
      <c r="O968" s="77"/>
      <c r="P968" s="77"/>
      <c r="Q968" s="78"/>
      <c r="Z968" s="79"/>
      <c r="AA968" s="80"/>
      <c r="AB968" s="34"/>
      <c r="AC968" s="34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</row>
    <row r="969" spans="1:41" ht="17.25" thickTop="1" thickBot="1">
      <c r="A969" s="1318" t="s">
        <v>453</v>
      </c>
      <c r="B969" s="1319"/>
      <c r="C969" s="88" t="s">
        <v>500</v>
      </c>
      <c r="D969" s="89" t="s">
        <v>0</v>
      </c>
      <c r="E969" s="89" t="s">
        <v>807</v>
      </c>
      <c r="F969" s="89" t="s">
        <v>11</v>
      </c>
      <c r="G969" s="89" t="s">
        <v>8</v>
      </c>
      <c r="H969" s="89" t="s">
        <v>380</v>
      </c>
      <c r="I969" s="89" t="s">
        <v>380</v>
      </c>
      <c r="J969" s="89" t="s">
        <v>380</v>
      </c>
      <c r="K969" s="89" t="s">
        <v>380</v>
      </c>
      <c r="L969" s="89" t="s">
        <v>380</v>
      </c>
      <c r="M969" s="89" t="s">
        <v>380</v>
      </c>
      <c r="N969" s="90" t="s">
        <v>380</v>
      </c>
      <c r="Z969" s="79"/>
      <c r="AA969" s="80"/>
      <c r="AB969" s="34"/>
      <c r="AC969" s="34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</row>
    <row r="970" spans="1:41" ht="24" thickBot="1">
      <c r="A970" s="1329" t="s">
        <v>454</v>
      </c>
      <c r="B970" s="1330"/>
      <c r="C970" s="91">
        <v>3</v>
      </c>
      <c r="D970" s="210">
        <v>3</v>
      </c>
      <c r="E970" s="210">
        <v>3</v>
      </c>
      <c r="F970" s="210">
        <v>3</v>
      </c>
      <c r="G970" s="210">
        <v>3</v>
      </c>
      <c r="H970" s="210" t="s">
        <v>380</v>
      </c>
      <c r="I970" s="210" t="s">
        <v>380</v>
      </c>
      <c r="J970" s="210" t="s">
        <v>380</v>
      </c>
      <c r="K970" s="210" t="s">
        <v>380</v>
      </c>
      <c r="L970" s="210" t="s">
        <v>380</v>
      </c>
      <c r="M970" s="210" t="s">
        <v>380</v>
      </c>
      <c r="N970" s="92" t="s">
        <v>380</v>
      </c>
      <c r="O970" s="152"/>
      <c r="R970" s="78"/>
      <c r="Z970" s="79"/>
      <c r="AA970" s="80"/>
      <c r="AB970" s="34"/>
      <c r="AC970" s="34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</row>
    <row r="971" spans="1:41" ht="24" thickBot="1">
      <c r="A971" s="1329" t="s">
        <v>455</v>
      </c>
      <c r="B971" s="1330"/>
      <c r="C971" s="91"/>
      <c r="D971" s="210"/>
      <c r="E971" s="210"/>
      <c r="F971" s="210"/>
      <c r="G971" s="210"/>
      <c r="H971" s="210" t="s">
        <v>380</v>
      </c>
      <c r="I971" s="210" t="s">
        <v>380</v>
      </c>
      <c r="J971" s="210" t="s">
        <v>380</v>
      </c>
      <c r="K971" s="210" t="s">
        <v>380</v>
      </c>
      <c r="L971" s="210" t="s">
        <v>380</v>
      </c>
      <c r="M971" s="210" t="s">
        <v>380</v>
      </c>
      <c r="N971" s="92" t="s">
        <v>380</v>
      </c>
      <c r="O971" s="152"/>
      <c r="R971" s="78"/>
      <c r="Z971" s="79"/>
      <c r="AA971" s="80"/>
      <c r="AB971" s="34"/>
      <c r="AC971" s="34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</row>
    <row r="972" spans="1:41" ht="24" thickBot="1">
      <c r="A972" s="1327" t="s">
        <v>456</v>
      </c>
      <c r="B972" s="1328"/>
      <c r="C972" s="93"/>
      <c r="D972" s="94"/>
      <c r="E972" s="94"/>
      <c r="F972" s="94"/>
      <c r="G972" s="94"/>
      <c r="H972" s="94" t="s">
        <v>380</v>
      </c>
      <c r="I972" s="94" t="s">
        <v>380</v>
      </c>
      <c r="J972" s="94" t="s">
        <v>380</v>
      </c>
      <c r="K972" s="94" t="s">
        <v>380</v>
      </c>
      <c r="L972" s="94" t="s">
        <v>380</v>
      </c>
      <c r="M972" s="94" t="s">
        <v>380</v>
      </c>
      <c r="N972" s="95" t="s">
        <v>380</v>
      </c>
      <c r="O972" s="152"/>
      <c r="Z972" s="79"/>
      <c r="AA972" s="80"/>
      <c r="AB972" s="34"/>
      <c r="AC972" s="34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</row>
    <row r="973" spans="1:41" ht="21" thickTop="1">
      <c r="A973" s="96"/>
      <c r="B973" s="96"/>
      <c r="C973" s="96"/>
      <c r="D973" s="96"/>
      <c r="E973" s="1326" t="s">
        <v>457</v>
      </c>
      <c r="F973" s="1310"/>
      <c r="G973" s="97">
        <v>18</v>
      </c>
      <c r="H973" s="1310" t="s">
        <v>458</v>
      </c>
      <c r="I973" s="1311"/>
      <c r="J973" s="1310" t="s">
        <v>459</v>
      </c>
      <c r="K973" s="1311"/>
      <c r="L973" s="96"/>
      <c r="M973" s="96"/>
      <c r="N973" s="96"/>
      <c r="O973" s="77"/>
      <c r="P973" s="77"/>
      <c r="Q973" s="78"/>
      <c r="Z973" s="79"/>
      <c r="AA973" s="80"/>
      <c r="AB973" s="34"/>
      <c r="AC973" s="34"/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</row>
    <row r="974" spans="1:41" ht="23.25">
      <c r="A974" s="96"/>
      <c r="B974" s="96"/>
      <c r="C974" s="96"/>
      <c r="D974" s="96"/>
      <c r="E974" s="1307" t="s">
        <v>460</v>
      </c>
      <c r="F974" s="1308"/>
      <c r="G974" s="98">
        <v>15</v>
      </c>
      <c r="H974" s="1312">
        <v>0</v>
      </c>
      <c r="I974" s="1312"/>
      <c r="J974" s="1312">
        <v>0</v>
      </c>
      <c r="K974" s="1313"/>
      <c r="L974" s="96"/>
      <c r="M974" s="96"/>
      <c r="N974" s="96"/>
      <c r="O974" s="77"/>
      <c r="P974" s="77"/>
      <c r="Q974" s="78">
        <f>G974+H974+H976+J974</f>
        <v>15</v>
      </c>
      <c r="Z974" s="79"/>
      <c r="AA974" s="80"/>
      <c r="AB974" s="34"/>
      <c r="AC974" s="34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</row>
    <row r="975" spans="1:41" ht="20.25">
      <c r="A975" s="96"/>
      <c r="B975" s="96"/>
      <c r="C975" s="96"/>
      <c r="D975" s="96"/>
      <c r="E975" s="1307" t="s">
        <v>461</v>
      </c>
      <c r="F975" s="1308"/>
      <c r="G975" s="99"/>
      <c r="H975" s="1308" t="s">
        <v>462</v>
      </c>
      <c r="I975" s="1308"/>
      <c r="J975" s="1308" t="s">
        <v>463</v>
      </c>
      <c r="K975" s="1309"/>
      <c r="L975" s="96"/>
      <c r="M975" s="96"/>
      <c r="N975" s="96"/>
      <c r="O975" s="77"/>
      <c r="P975" s="77"/>
      <c r="Q975" s="78"/>
      <c r="Z975" s="79"/>
      <c r="AA975" s="80"/>
      <c r="AB975" s="34"/>
      <c r="AC975" s="34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</row>
    <row r="976" spans="1:41" ht="24" thickBot="1">
      <c r="A976" s="96"/>
      <c r="B976" s="96"/>
      <c r="C976" s="96"/>
      <c r="D976" s="96"/>
      <c r="E976" s="1303" t="s">
        <v>464</v>
      </c>
      <c r="F976" s="1304"/>
      <c r="G976" s="99">
        <v>0</v>
      </c>
      <c r="H976" s="1305"/>
      <c r="I976" s="1305"/>
      <c r="J976" s="1305">
        <v>0</v>
      </c>
      <c r="K976" s="1306"/>
      <c r="L976" s="96"/>
      <c r="M976" s="96"/>
      <c r="N976" s="96"/>
      <c r="O976" s="77"/>
      <c r="P976" s="77"/>
      <c r="Q976" s="78"/>
      <c r="Z976" s="79"/>
      <c r="AA976" s="80"/>
      <c r="AB976" s="34"/>
      <c r="AC976" s="34"/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</row>
    <row r="977" spans="1:41" ht="17.25" thickTop="1" thickBot="1">
      <c r="A977" s="34"/>
      <c r="B977" s="34"/>
      <c r="C977" s="1299" t="s">
        <v>465</v>
      </c>
      <c r="D977" s="1299"/>
      <c r="E977" s="1299" t="s">
        <v>360</v>
      </c>
      <c r="F977" s="1299"/>
      <c r="G977" s="1302" t="s">
        <v>368</v>
      </c>
      <c r="H977" s="1302"/>
      <c r="I977" s="1302" t="s">
        <v>369</v>
      </c>
      <c r="J977" s="1302"/>
      <c r="K977" s="1302" t="s">
        <v>370</v>
      </c>
      <c r="L977" s="1299"/>
      <c r="M977" s="1299" t="s">
        <v>371</v>
      </c>
      <c r="N977" s="1299"/>
      <c r="O977" s="77"/>
      <c r="P977" s="77"/>
      <c r="Q977" s="78"/>
      <c r="Z977" s="79"/>
      <c r="AA977" s="80"/>
      <c r="AB977" s="34"/>
      <c r="AC977" s="34"/>
      <c r="AD977" s="33"/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</row>
    <row r="978" spans="1:41" ht="17.25" thickTop="1" thickBot="1">
      <c r="A978" s="34"/>
      <c r="B978" s="34"/>
      <c r="C978" s="1299" t="s">
        <v>372</v>
      </c>
      <c r="D978" s="1299"/>
      <c r="E978" s="1297"/>
      <c r="F978" s="1297"/>
      <c r="G978" s="1296" t="s">
        <v>8</v>
      </c>
      <c r="H978" s="1296"/>
      <c r="I978" s="1297"/>
      <c r="J978" s="1297"/>
      <c r="K978" s="1297" t="s">
        <v>8</v>
      </c>
      <c r="L978" s="1297"/>
      <c r="M978" s="1297"/>
      <c r="N978" s="1297"/>
      <c r="O978" s="77"/>
      <c r="P978" s="77"/>
      <c r="Z978" s="79"/>
      <c r="AA978" s="80"/>
      <c r="AB978" s="34"/>
      <c r="AC978" s="34"/>
      <c r="AD978" s="33"/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</row>
    <row r="979" spans="1:41" ht="17.25" thickTop="1" thickBot="1">
      <c r="A979" s="34"/>
      <c r="B979" s="34"/>
      <c r="C979" s="1299" t="s">
        <v>373</v>
      </c>
      <c r="D979" s="1299"/>
      <c r="E979" s="1297"/>
      <c r="F979" s="1297"/>
      <c r="G979" s="1296" t="s">
        <v>11</v>
      </c>
      <c r="H979" s="1296"/>
      <c r="I979" s="1297"/>
      <c r="J979" s="1297"/>
      <c r="K979" s="1297" t="s">
        <v>807</v>
      </c>
      <c r="L979" s="1297"/>
      <c r="M979" s="1297"/>
      <c r="N979" s="1297"/>
      <c r="O979" s="77"/>
      <c r="P979" s="77"/>
      <c r="Z979" s="79"/>
      <c r="AA979" s="80"/>
      <c r="AB979" s="34"/>
      <c r="AC979" s="34"/>
      <c r="AD979" s="33"/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</row>
    <row r="980" spans="1:41" ht="17.25" thickTop="1" thickBot="1">
      <c r="A980" s="34"/>
      <c r="B980" s="34"/>
      <c r="C980" s="1299" t="s">
        <v>374</v>
      </c>
      <c r="D980" s="1299"/>
      <c r="E980" s="1317"/>
      <c r="F980" s="1317"/>
      <c r="G980" s="1297"/>
      <c r="H980" s="1297"/>
      <c r="I980" s="1297"/>
      <c r="J980" s="1297"/>
      <c r="K980" s="1297"/>
      <c r="L980" s="1297"/>
      <c r="M980" s="1297"/>
      <c r="N980" s="1297"/>
      <c r="O980" s="77"/>
      <c r="P980" s="77"/>
      <c r="Z980" s="79"/>
      <c r="AA980" s="80"/>
      <c r="AB980" s="34"/>
      <c r="AC980" s="34"/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</row>
    <row r="981" spans="1:41" ht="17.25" thickTop="1" thickBot="1">
      <c r="A981" s="34"/>
      <c r="B981" s="34"/>
      <c r="C981" s="1299" t="s">
        <v>375</v>
      </c>
      <c r="D981" s="1299"/>
      <c r="E981" s="1297"/>
      <c r="F981" s="1297"/>
      <c r="G981" s="1297"/>
      <c r="H981" s="1297"/>
      <c r="I981" s="1297"/>
      <c r="J981" s="1297"/>
      <c r="K981" s="1297"/>
      <c r="L981" s="1297"/>
      <c r="M981" s="1317"/>
      <c r="N981" s="1317"/>
      <c r="O981" s="77"/>
      <c r="P981" s="77"/>
      <c r="Z981" s="79"/>
      <c r="AA981" s="80"/>
      <c r="AB981" s="34"/>
      <c r="AC981" s="34"/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</row>
    <row r="982" spans="1:41" ht="17.25" thickTop="1" thickBot="1">
      <c r="A982" s="34"/>
      <c r="B982" s="34"/>
      <c r="C982" s="101"/>
      <c r="D982" s="101"/>
      <c r="E982" s="33"/>
      <c r="F982" s="33"/>
      <c r="G982" s="251"/>
      <c r="H982" s="251"/>
      <c r="I982" s="33"/>
      <c r="J982" s="33"/>
      <c r="K982" s="34"/>
      <c r="L982" s="34"/>
      <c r="M982" s="33"/>
      <c r="N982" s="33"/>
      <c r="O982" s="77"/>
      <c r="P982" s="77"/>
      <c r="Z982" s="79"/>
      <c r="AA982" s="80"/>
      <c r="AB982" s="34"/>
      <c r="AC982" s="34"/>
      <c r="AD982" s="33"/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</row>
    <row r="983" spans="1:41" ht="17.25" thickTop="1" thickBot="1">
      <c r="A983" s="34"/>
      <c r="B983" s="34"/>
      <c r="C983" s="1299" t="s">
        <v>921</v>
      </c>
      <c r="D983" s="1299"/>
      <c r="E983" s="1296" t="s">
        <v>807</v>
      </c>
      <c r="F983" s="1296"/>
      <c r="G983" s="1296" t="s">
        <v>500</v>
      </c>
      <c r="H983" s="1296"/>
      <c r="I983" s="1296"/>
      <c r="J983" s="1296"/>
      <c r="K983" s="1296"/>
      <c r="L983" s="1296"/>
      <c r="M983" s="1296" t="s">
        <v>11</v>
      </c>
      <c r="N983" s="1296"/>
      <c r="O983" s="77"/>
      <c r="P983" s="77"/>
      <c r="Z983" s="79"/>
      <c r="AA983" s="80"/>
      <c r="AB983" s="34"/>
      <c r="AC983" s="34"/>
      <c r="AD983" s="33"/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</row>
    <row r="984" spans="1:41" ht="17.25" thickTop="1" thickBot="1">
      <c r="A984" s="34"/>
      <c r="B984" s="34"/>
      <c r="C984" s="1299" t="s">
        <v>922</v>
      </c>
      <c r="D984" s="1299"/>
      <c r="E984" s="1296" t="s">
        <v>8</v>
      </c>
      <c r="F984" s="1296"/>
      <c r="G984" s="1297"/>
      <c r="H984" s="1297"/>
      <c r="I984" s="1336"/>
      <c r="J984" s="1337"/>
      <c r="K984" s="1296" t="s">
        <v>11</v>
      </c>
      <c r="L984" s="1296"/>
      <c r="M984" s="1296" t="s">
        <v>807</v>
      </c>
      <c r="N984" s="1296"/>
      <c r="O984" s="77"/>
      <c r="P984" s="77"/>
      <c r="Z984" s="79"/>
      <c r="AA984" s="80"/>
      <c r="AB984" s="34"/>
      <c r="AC984" s="34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</row>
    <row r="985" spans="1:41" ht="17.25" thickTop="1" thickBot="1">
      <c r="A985" s="34"/>
      <c r="B985" s="34"/>
      <c r="C985" s="1299" t="s">
        <v>923</v>
      </c>
      <c r="D985" s="1299"/>
      <c r="E985" s="1296" t="s">
        <v>0</v>
      </c>
      <c r="F985" s="1296"/>
      <c r="G985" s="1296" t="s">
        <v>0</v>
      </c>
      <c r="H985" s="1296"/>
      <c r="I985" s="1296"/>
      <c r="J985" s="1296"/>
      <c r="K985" s="1296" t="s">
        <v>0</v>
      </c>
      <c r="L985" s="1296"/>
      <c r="M985" s="1296"/>
      <c r="N985" s="1296"/>
      <c r="O985" s="77"/>
      <c r="P985" s="77"/>
      <c r="Z985" s="79"/>
      <c r="AA985" s="80"/>
      <c r="AB985" s="34"/>
      <c r="AC985" s="34"/>
      <c r="AD985" s="33"/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</row>
    <row r="986" spans="1:41" ht="17.25" thickTop="1" thickBot="1">
      <c r="A986" s="34"/>
      <c r="B986" s="34"/>
      <c r="C986" s="1299" t="s">
        <v>924</v>
      </c>
      <c r="D986" s="1299"/>
      <c r="E986" s="1296" t="s">
        <v>500</v>
      </c>
      <c r="F986" s="1296"/>
      <c r="G986" s="1297"/>
      <c r="H986" s="1297"/>
      <c r="I986" s="1296"/>
      <c r="J986" s="1296"/>
      <c r="K986" s="1296" t="s">
        <v>500</v>
      </c>
      <c r="L986" s="1296"/>
      <c r="M986" s="1296"/>
      <c r="N986" s="1296"/>
      <c r="O986" s="77"/>
      <c r="P986" s="77"/>
      <c r="Z986" s="79"/>
      <c r="AA986" s="80"/>
      <c r="AB986" s="34"/>
      <c r="AC986" s="34"/>
      <c r="AD986" s="33"/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</row>
    <row r="987" spans="1:41" ht="17.25" thickTop="1" thickBot="1">
      <c r="A987" s="34"/>
      <c r="B987" s="34"/>
      <c r="C987" s="33"/>
      <c r="D987" s="33"/>
      <c r="E987" s="33"/>
      <c r="F987" s="33"/>
      <c r="G987" s="33"/>
      <c r="H987" s="33"/>
      <c r="I987" s="33"/>
      <c r="J987" s="33"/>
      <c r="K987" s="34"/>
      <c r="L987" s="34"/>
      <c r="M987" s="33"/>
      <c r="N987" s="33"/>
      <c r="O987" s="77"/>
      <c r="P987" s="77"/>
      <c r="Z987" s="79"/>
      <c r="AA987" s="80"/>
      <c r="AB987" s="34"/>
      <c r="AC987" s="34"/>
      <c r="AD987" s="33"/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</row>
    <row r="988" spans="1:41" ht="19.5" thickTop="1" thickBot="1">
      <c r="A988" s="1321" t="s">
        <v>467</v>
      </c>
      <c r="B988" s="1322"/>
      <c r="C988" s="1323" t="s">
        <v>380</v>
      </c>
      <c r="D988" s="1323"/>
      <c r="E988" s="1323" t="s">
        <v>380</v>
      </c>
      <c r="F988" s="1323"/>
      <c r="G988" s="250"/>
      <c r="H988" s="250" t="s">
        <v>468</v>
      </c>
      <c r="I988" s="1295" t="s">
        <v>402</v>
      </c>
      <c r="J988" s="1295"/>
      <c r="K988" s="1295"/>
      <c r="L988" s="102" t="s">
        <v>403</v>
      </c>
      <c r="M988" s="1331">
        <f ca="1">TODAY()</f>
        <v>45944</v>
      </c>
      <c r="N988" s="1331"/>
      <c r="O988" s="77"/>
      <c r="P988" s="77"/>
      <c r="Q988" s="78"/>
      <c r="Z988" s="79"/>
      <c r="AA988" s="80"/>
      <c r="AB988" s="34"/>
      <c r="AC988" s="34"/>
      <c r="AD988" s="33"/>
      <c r="AE988" s="33"/>
      <c r="AF988" s="33"/>
      <c r="AG988" s="33"/>
      <c r="AH988" s="33"/>
      <c r="AI988" s="33"/>
      <c r="AJ988" s="33"/>
      <c r="AK988" s="33"/>
      <c r="AL988" s="33"/>
      <c r="AM988" s="33"/>
      <c r="AN988" s="33"/>
      <c r="AO988" s="33"/>
    </row>
    <row r="989" spans="1:41" ht="19.5" thickTop="1" thickBot="1">
      <c r="A989" s="1321" t="s">
        <v>469</v>
      </c>
      <c r="B989" s="1322"/>
      <c r="C989" s="1323" t="s">
        <v>380</v>
      </c>
      <c r="D989" s="1323"/>
      <c r="E989" s="1323" t="s">
        <v>380</v>
      </c>
      <c r="F989" s="1323"/>
      <c r="G989" s="250"/>
      <c r="H989" s="250"/>
      <c r="I989" s="250"/>
      <c r="J989" s="250"/>
      <c r="K989" s="102"/>
      <c r="L989" s="102"/>
      <c r="M989" s="33"/>
      <c r="N989" s="33"/>
      <c r="O989" s="77"/>
      <c r="P989" s="77"/>
      <c r="Q989" s="78"/>
      <c r="Z989" s="79"/>
      <c r="AA989" s="80"/>
      <c r="AB989" s="34"/>
      <c r="AC989" s="34"/>
      <c r="AD989" s="33"/>
      <c r="AE989" s="33"/>
      <c r="AF989" s="33"/>
      <c r="AG989" s="33"/>
      <c r="AH989" s="33"/>
      <c r="AI989" s="33"/>
      <c r="AJ989" s="33"/>
      <c r="AK989" s="33"/>
      <c r="AL989" s="33"/>
      <c r="AM989" s="33"/>
      <c r="AN989" s="33"/>
      <c r="AO989" s="33"/>
    </row>
    <row r="990" spans="1:41" ht="19.5" thickTop="1" thickBot="1">
      <c r="A990" s="1321" t="s">
        <v>470</v>
      </c>
      <c r="B990" s="1322"/>
      <c r="C990" s="1323" t="s">
        <v>380</v>
      </c>
      <c r="D990" s="1323"/>
      <c r="E990" s="1323" t="s">
        <v>380</v>
      </c>
      <c r="F990" s="1323"/>
      <c r="G990" s="250"/>
      <c r="H990" s="250"/>
      <c r="I990" s="250"/>
      <c r="J990" s="250" t="s">
        <v>471</v>
      </c>
      <c r="K990" s="102"/>
      <c r="L990" s="102"/>
      <c r="M990" s="33"/>
      <c r="N990" s="33"/>
      <c r="O990" s="77"/>
      <c r="P990" s="77"/>
      <c r="Q990" s="78"/>
      <c r="Z990" s="79"/>
      <c r="AA990" s="80"/>
      <c r="AB990" s="34"/>
      <c r="AC990" s="34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</row>
    <row r="991" spans="1:41" ht="24" thickTop="1">
      <c r="A991" s="34"/>
      <c r="B991" s="34"/>
      <c r="C991" s="33"/>
      <c r="D991" s="33"/>
      <c r="E991" s="33"/>
      <c r="F991" s="33"/>
      <c r="G991" s="33"/>
      <c r="H991" s="103" t="s">
        <v>406</v>
      </c>
      <c r="I991" s="33"/>
      <c r="J991" s="34"/>
      <c r="K991" s="34"/>
      <c r="L991" s="33"/>
      <c r="M991" s="33"/>
      <c r="N991" s="104"/>
      <c r="O991" s="77"/>
      <c r="P991" s="77"/>
      <c r="Q991" s="78"/>
      <c r="Z991" s="79"/>
      <c r="AA991" s="80"/>
      <c r="AB991" s="34"/>
      <c r="AC991" s="34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</row>
    <row r="992" spans="1:41" ht="18">
      <c r="A992" s="1295" t="s">
        <v>78</v>
      </c>
      <c r="B992" s="1295"/>
      <c r="C992" s="1295"/>
      <c r="D992" s="1295"/>
      <c r="E992" s="1295"/>
      <c r="F992" s="1295"/>
      <c r="G992" s="1295"/>
      <c r="H992" s="1295"/>
      <c r="I992" s="1295"/>
      <c r="J992" s="1295"/>
      <c r="K992" s="1295"/>
      <c r="L992" s="1295"/>
      <c r="M992" s="1295"/>
      <c r="N992" s="1295"/>
      <c r="O992" s="77"/>
      <c r="P992" s="77"/>
      <c r="Q992" s="78"/>
      <c r="Z992" s="79"/>
      <c r="AA992" s="80"/>
      <c r="AB992" s="34"/>
      <c r="AC992" s="34"/>
      <c r="AD992" s="33"/>
      <c r="AE992" s="33"/>
      <c r="AF992" s="33"/>
      <c r="AG992" s="33"/>
      <c r="AH992" s="33"/>
      <c r="AI992" s="33"/>
      <c r="AJ992" s="33"/>
      <c r="AK992" s="33"/>
      <c r="AL992" s="33"/>
      <c r="AM992" s="33"/>
      <c r="AN992" s="33"/>
      <c r="AO992" s="33"/>
    </row>
    <row r="993" spans="1:41" ht="18">
      <c r="A993" s="1295" t="s">
        <v>79</v>
      </c>
      <c r="B993" s="1295"/>
      <c r="C993" s="1295"/>
      <c r="D993" s="1295"/>
      <c r="E993" s="1295"/>
      <c r="F993" s="1295"/>
      <c r="G993" s="1295"/>
      <c r="H993" s="1295"/>
      <c r="I993" s="1295"/>
      <c r="J993" s="1295"/>
      <c r="K993" s="1295"/>
      <c r="L993" s="1295"/>
      <c r="M993" s="1295"/>
      <c r="N993" s="1295"/>
      <c r="O993" s="77"/>
      <c r="P993" s="77"/>
      <c r="Q993" s="78"/>
      <c r="Z993" s="79"/>
      <c r="AA993" s="80"/>
      <c r="AB993" s="34"/>
      <c r="AC993" s="34"/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</row>
    <row r="994" spans="1:41" ht="18">
      <c r="A994" s="168" t="s">
        <v>220</v>
      </c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33"/>
      <c r="N994" s="33"/>
      <c r="O994" s="77"/>
      <c r="P994" s="77"/>
      <c r="Q994" s="78"/>
      <c r="Z994" s="79"/>
      <c r="AA994" s="80"/>
      <c r="AB994" s="34"/>
      <c r="AC994" s="34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</row>
    <row r="995" spans="1:41" ht="18">
      <c r="A995" s="168" t="s">
        <v>444</v>
      </c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33"/>
      <c r="N995" s="33"/>
      <c r="O995" s="77"/>
      <c r="P995" s="77"/>
      <c r="Q995" s="78"/>
      <c r="Z995" s="79"/>
      <c r="AA995" s="80"/>
      <c r="AB995" s="34"/>
      <c r="AC995" s="34"/>
      <c r="AD995" s="33"/>
      <c r="AE995" s="33"/>
      <c r="AF995" s="33"/>
      <c r="AG995" s="33"/>
      <c r="AH995" s="33"/>
      <c r="AI995" s="33"/>
      <c r="AJ995" s="33"/>
      <c r="AK995" s="33"/>
      <c r="AL995" s="33"/>
      <c r="AM995" s="33"/>
      <c r="AN995" s="33"/>
      <c r="AO995" s="33"/>
    </row>
    <row r="996" spans="1:41" ht="18.75" thickBot="1">
      <c r="A996" s="250"/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33"/>
      <c r="N996" s="33"/>
      <c r="O996" s="77"/>
      <c r="P996" s="77"/>
      <c r="Q996" s="78"/>
      <c r="Z996" s="79"/>
      <c r="AA996" s="80"/>
      <c r="AB996" s="34"/>
      <c r="AC996" s="34"/>
      <c r="AD996" s="33"/>
      <c r="AE996" s="33"/>
      <c r="AF996" s="33"/>
      <c r="AG996" s="33"/>
      <c r="AH996" s="33"/>
      <c r="AI996" s="33"/>
      <c r="AJ996" s="33"/>
      <c r="AK996" s="33"/>
      <c r="AL996" s="33"/>
      <c r="AM996" s="33"/>
      <c r="AN996" s="33"/>
      <c r="AO996" s="33"/>
    </row>
    <row r="997" spans="1:41" ht="24" thickBot="1">
      <c r="A997" s="250"/>
      <c r="B997" s="250"/>
      <c r="C997" s="1333" t="s">
        <v>446</v>
      </c>
      <c r="D997" s="1334"/>
      <c r="E997" s="1334"/>
      <c r="F997" s="1334"/>
      <c r="G997" s="1334"/>
      <c r="H997" s="1334"/>
      <c r="I997" s="1334"/>
      <c r="J997" s="1334"/>
      <c r="K997" s="1334"/>
      <c r="L997" s="1335"/>
      <c r="M997" s="33"/>
      <c r="N997" s="33"/>
      <c r="O997" s="77"/>
      <c r="P997" s="77"/>
      <c r="Q997" s="78"/>
      <c r="Z997" s="79"/>
      <c r="AA997" s="80"/>
      <c r="AB997" s="34"/>
      <c r="AC997" s="34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</row>
    <row r="998" spans="1:41" ht="23.25">
      <c r="A998" s="250"/>
      <c r="B998" s="250"/>
      <c r="C998" s="249"/>
      <c r="D998" s="249"/>
      <c r="E998" s="249"/>
      <c r="F998" s="249"/>
      <c r="G998" s="249"/>
      <c r="H998" s="249"/>
      <c r="I998" s="249"/>
      <c r="J998" s="249"/>
      <c r="K998" s="249"/>
      <c r="L998" s="249"/>
      <c r="M998" s="33"/>
      <c r="N998" s="33"/>
      <c r="O998" s="77"/>
      <c r="P998" s="77"/>
      <c r="Q998" s="78"/>
      <c r="Z998" s="79"/>
      <c r="AA998" s="80"/>
      <c r="AB998" s="34"/>
      <c r="AC998" s="34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</row>
    <row r="999" spans="1:41" ht="23.25">
      <c r="A999" s="1295" t="s">
        <v>448</v>
      </c>
      <c r="B999" s="1295"/>
      <c r="C999" s="1295"/>
      <c r="D999" s="1294" t="s">
        <v>929</v>
      </c>
      <c r="E999" s="1294"/>
      <c r="F999" s="1294"/>
      <c r="G999" s="1294"/>
      <c r="H999" s="1294"/>
      <c r="I999" s="249"/>
      <c r="J999" s="249"/>
      <c r="K999" s="249" t="s">
        <v>449</v>
      </c>
      <c r="L999" s="249"/>
      <c r="M999" s="1295" t="s">
        <v>290</v>
      </c>
      <c r="N999" s="1295"/>
      <c r="O999" s="1292" t="str">
        <f>D999</f>
        <v>تيفوري بديعة</v>
      </c>
      <c r="P999" s="1292"/>
      <c r="Q999" s="78">
        <v>30</v>
      </c>
      <c r="Z999" s="79"/>
      <c r="AA999" s="80"/>
      <c r="AB999" s="34"/>
      <c r="AC999" s="34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</row>
    <row r="1000" spans="1:41" ht="24" thickBot="1">
      <c r="A1000" s="1340" t="s">
        <v>450</v>
      </c>
      <c r="B1000" s="1340"/>
      <c r="C1000" s="1340"/>
      <c r="D1000" s="1340" t="s">
        <v>451</v>
      </c>
      <c r="E1000" s="1340"/>
      <c r="F1000" s="1340"/>
      <c r="G1000" s="1340"/>
      <c r="H1000" s="87"/>
      <c r="I1000" s="1340" t="s">
        <v>452</v>
      </c>
      <c r="J1000" s="1340"/>
      <c r="K1000" s="1340"/>
      <c r="L1000" s="1341" t="s">
        <v>380</v>
      </c>
      <c r="M1000" s="1341"/>
      <c r="N1000" s="1341"/>
      <c r="O1000" s="77"/>
      <c r="P1000" s="77"/>
      <c r="Q1000" s="78"/>
      <c r="Z1000" s="79"/>
      <c r="AA1000" s="80"/>
      <c r="AB1000" s="34"/>
      <c r="AC1000" s="34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</row>
    <row r="1001" spans="1:41" ht="17.25" thickTop="1" thickBot="1">
      <c r="A1001" s="1318" t="s">
        <v>453</v>
      </c>
      <c r="B1001" s="1319"/>
      <c r="C1001" s="88" t="s">
        <v>265</v>
      </c>
      <c r="D1001" s="89" t="s">
        <v>9</v>
      </c>
      <c r="E1001" s="89" t="s">
        <v>810</v>
      </c>
      <c r="F1001" s="210" t="s">
        <v>493</v>
      </c>
      <c r="G1001" s="89"/>
      <c r="H1001" s="89" t="s">
        <v>380</v>
      </c>
      <c r="I1001" s="89" t="s">
        <v>380</v>
      </c>
      <c r="J1001" s="89" t="s">
        <v>380</v>
      </c>
      <c r="K1001" s="89" t="s">
        <v>380</v>
      </c>
      <c r="L1001" s="89" t="s">
        <v>380</v>
      </c>
      <c r="M1001" s="89" t="s">
        <v>380</v>
      </c>
      <c r="N1001" s="90" t="s">
        <v>380</v>
      </c>
      <c r="Z1001" s="79"/>
      <c r="AA1001" s="80"/>
      <c r="AB1001" s="34"/>
      <c r="AC1001" s="34"/>
      <c r="AD1001" s="33"/>
      <c r="AE1001" s="33"/>
      <c r="AF1001" s="33"/>
      <c r="AG1001" s="33"/>
      <c r="AH1001" s="33"/>
      <c r="AI1001" s="33"/>
      <c r="AJ1001" s="33"/>
      <c r="AK1001" s="33"/>
      <c r="AL1001" s="33"/>
      <c r="AM1001" s="33"/>
      <c r="AN1001" s="33"/>
      <c r="AO1001" s="33"/>
    </row>
    <row r="1002" spans="1:41" ht="24" thickBot="1">
      <c r="A1002" s="1329" t="s">
        <v>454</v>
      </c>
      <c r="B1002" s="1330"/>
      <c r="C1002" s="91">
        <v>4</v>
      </c>
      <c r="D1002" s="210">
        <v>4</v>
      </c>
      <c r="E1002" s="210">
        <v>3</v>
      </c>
      <c r="F1002" s="210">
        <v>3</v>
      </c>
      <c r="G1002" s="210"/>
      <c r="H1002" s="210" t="s">
        <v>380</v>
      </c>
      <c r="I1002" s="210" t="s">
        <v>380</v>
      </c>
      <c r="J1002" s="210" t="s">
        <v>380</v>
      </c>
      <c r="K1002" s="210" t="s">
        <v>380</v>
      </c>
      <c r="L1002" s="210" t="s">
        <v>380</v>
      </c>
      <c r="M1002" s="210" t="s">
        <v>380</v>
      </c>
      <c r="N1002" s="92" t="s">
        <v>380</v>
      </c>
      <c r="O1002" s="152"/>
      <c r="R1002" s="78"/>
      <c r="Z1002" s="79"/>
      <c r="AA1002" s="80"/>
      <c r="AB1002" s="34"/>
      <c r="AC1002" s="34"/>
      <c r="AD1002" s="33"/>
      <c r="AE1002" s="33"/>
      <c r="AF1002" s="33"/>
      <c r="AG1002" s="33"/>
      <c r="AH1002" s="33"/>
      <c r="AI1002" s="33"/>
      <c r="AJ1002" s="33"/>
      <c r="AK1002" s="33"/>
      <c r="AL1002" s="33"/>
      <c r="AM1002" s="33"/>
      <c r="AN1002" s="33"/>
      <c r="AO1002" s="33"/>
    </row>
    <row r="1003" spans="1:41" ht="24" thickBot="1">
      <c r="A1003" s="1329" t="s">
        <v>455</v>
      </c>
      <c r="B1003" s="1330"/>
      <c r="C1003" s="91"/>
      <c r="D1003" s="210"/>
      <c r="E1003" s="210"/>
      <c r="F1003" s="210"/>
      <c r="G1003" s="210"/>
      <c r="H1003" s="210" t="s">
        <v>380</v>
      </c>
      <c r="I1003" s="210" t="s">
        <v>380</v>
      </c>
      <c r="J1003" s="210" t="s">
        <v>380</v>
      </c>
      <c r="K1003" s="210" t="s">
        <v>380</v>
      </c>
      <c r="L1003" s="210" t="s">
        <v>380</v>
      </c>
      <c r="M1003" s="210" t="s">
        <v>380</v>
      </c>
      <c r="N1003" s="92" t="s">
        <v>380</v>
      </c>
      <c r="O1003" s="152"/>
      <c r="R1003" s="78"/>
      <c r="Z1003" s="79"/>
      <c r="AA1003" s="80"/>
      <c r="AB1003" s="34"/>
      <c r="AC1003" s="34"/>
      <c r="AD1003" s="33"/>
      <c r="AE1003" s="33"/>
      <c r="AF1003" s="33"/>
      <c r="AG1003" s="33"/>
      <c r="AH1003" s="33"/>
      <c r="AI1003" s="33"/>
      <c r="AJ1003" s="33"/>
      <c r="AK1003" s="33"/>
      <c r="AL1003" s="33"/>
      <c r="AM1003" s="33"/>
      <c r="AN1003" s="33"/>
      <c r="AO1003" s="33"/>
    </row>
    <row r="1004" spans="1:41" ht="24" thickBot="1">
      <c r="A1004" s="1327" t="s">
        <v>456</v>
      </c>
      <c r="B1004" s="1328"/>
      <c r="C1004" s="93"/>
      <c r="D1004" s="94"/>
      <c r="E1004" s="94"/>
      <c r="F1004" s="94"/>
      <c r="G1004" s="94"/>
      <c r="H1004" s="94" t="s">
        <v>380</v>
      </c>
      <c r="I1004" s="94" t="s">
        <v>380</v>
      </c>
      <c r="J1004" s="94" t="s">
        <v>380</v>
      </c>
      <c r="K1004" s="94" t="s">
        <v>380</v>
      </c>
      <c r="L1004" s="94" t="s">
        <v>380</v>
      </c>
      <c r="M1004" s="94" t="s">
        <v>380</v>
      </c>
      <c r="N1004" s="95" t="s">
        <v>380</v>
      </c>
      <c r="O1004" s="152"/>
      <c r="Z1004" s="79"/>
      <c r="AA1004" s="80"/>
      <c r="AB1004" s="34"/>
      <c r="AC1004" s="34"/>
      <c r="AD1004" s="33"/>
      <c r="AE1004" s="33"/>
      <c r="AF1004" s="33"/>
      <c r="AG1004" s="33"/>
      <c r="AH1004" s="33"/>
      <c r="AI1004" s="33"/>
      <c r="AJ1004" s="33"/>
      <c r="AK1004" s="33"/>
      <c r="AL1004" s="33"/>
      <c r="AM1004" s="33"/>
      <c r="AN1004" s="33"/>
      <c r="AO1004" s="33"/>
    </row>
    <row r="1005" spans="1:41" ht="21" thickTop="1">
      <c r="A1005" s="96"/>
      <c r="B1005" s="96"/>
      <c r="C1005" s="96"/>
      <c r="D1005" s="96"/>
      <c r="E1005" s="1326" t="s">
        <v>457</v>
      </c>
      <c r="F1005" s="1310"/>
      <c r="G1005" s="97">
        <v>18</v>
      </c>
      <c r="H1005" s="1310" t="s">
        <v>458</v>
      </c>
      <c r="I1005" s="1311"/>
      <c r="J1005" s="1310" t="s">
        <v>459</v>
      </c>
      <c r="K1005" s="1311"/>
      <c r="L1005" s="96"/>
      <c r="M1005" s="96"/>
      <c r="N1005" s="96"/>
      <c r="O1005" s="77"/>
      <c r="P1005" s="77"/>
      <c r="Q1005" s="78"/>
      <c r="Z1005" s="79"/>
      <c r="AA1005" s="80"/>
      <c r="AB1005" s="34"/>
      <c r="AC1005" s="34"/>
      <c r="AD1005" s="33"/>
      <c r="AE1005" s="33"/>
      <c r="AF1005" s="33"/>
      <c r="AG1005" s="33"/>
      <c r="AH1005" s="33"/>
      <c r="AI1005" s="33"/>
      <c r="AJ1005" s="33"/>
      <c r="AK1005" s="33"/>
      <c r="AL1005" s="33"/>
      <c r="AM1005" s="33"/>
      <c r="AN1005" s="33"/>
      <c r="AO1005" s="33"/>
    </row>
    <row r="1006" spans="1:41" ht="23.25">
      <c r="A1006" s="96"/>
      <c r="B1006" s="96"/>
      <c r="C1006" s="96"/>
      <c r="D1006" s="96"/>
      <c r="E1006" s="1307" t="s">
        <v>460</v>
      </c>
      <c r="F1006" s="1308"/>
      <c r="G1006" s="98">
        <v>13</v>
      </c>
      <c r="H1006" s="1312">
        <v>0</v>
      </c>
      <c r="I1006" s="1312"/>
      <c r="J1006" s="1312">
        <v>0</v>
      </c>
      <c r="K1006" s="1313"/>
      <c r="L1006" s="96"/>
      <c r="M1006" s="96"/>
      <c r="N1006" s="96"/>
      <c r="O1006" s="77"/>
      <c r="P1006" s="77"/>
      <c r="Q1006" s="78">
        <f>G1006+H1006+H1008+J1006</f>
        <v>13</v>
      </c>
      <c r="Z1006" s="79"/>
      <c r="AA1006" s="80"/>
      <c r="AB1006" s="34"/>
      <c r="AC1006" s="34"/>
      <c r="AD1006" s="33"/>
      <c r="AE1006" s="33"/>
      <c r="AF1006" s="33"/>
      <c r="AG1006" s="33"/>
      <c r="AH1006" s="33"/>
      <c r="AI1006" s="33"/>
      <c r="AJ1006" s="33"/>
      <c r="AK1006" s="33"/>
      <c r="AL1006" s="33"/>
      <c r="AM1006" s="33"/>
      <c r="AN1006" s="33"/>
      <c r="AO1006" s="33"/>
    </row>
    <row r="1007" spans="1:41" ht="20.25">
      <c r="A1007" s="96"/>
      <c r="B1007" s="96"/>
      <c r="C1007" s="96"/>
      <c r="D1007" s="96"/>
      <c r="E1007" s="1307" t="s">
        <v>461</v>
      </c>
      <c r="F1007" s="1308"/>
      <c r="G1007" s="99"/>
      <c r="H1007" s="1308" t="s">
        <v>462</v>
      </c>
      <c r="I1007" s="1308"/>
      <c r="J1007" s="1308" t="s">
        <v>463</v>
      </c>
      <c r="K1007" s="1309"/>
      <c r="L1007" s="96"/>
      <c r="M1007" s="96"/>
      <c r="N1007" s="96"/>
      <c r="O1007" s="77"/>
      <c r="P1007" s="77"/>
      <c r="Q1007" s="78"/>
      <c r="Z1007" s="79"/>
      <c r="AA1007" s="80"/>
      <c r="AB1007" s="34"/>
      <c r="AC1007" s="34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</row>
    <row r="1008" spans="1:41" ht="24" thickBot="1">
      <c r="A1008" s="96"/>
      <c r="B1008" s="96"/>
      <c r="C1008" s="96"/>
      <c r="D1008" s="96"/>
      <c r="E1008" s="1303" t="s">
        <v>464</v>
      </c>
      <c r="F1008" s="1304"/>
      <c r="G1008" s="99">
        <v>0</v>
      </c>
      <c r="H1008" s="1305"/>
      <c r="I1008" s="1305"/>
      <c r="J1008" s="1305">
        <v>0</v>
      </c>
      <c r="K1008" s="1306"/>
      <c r="L1008" s="96"/>
      <c r="M1008" s="96"/>
      <c r="N1008" s="96"/>
      <c r="O1008" s="77"/>
      <c r="P1008" s="77"/>
      <c r="Q1008" s="78"/>
      <c r="Z1008" s="79"/>
      <c r="AA1008" s="80"/>
      <c r="AB1008" s="34"/>
      <c r="AC1008" s="34"/>
      <c r="AD1008" s="33"/>
      <c r="AE1008" s="33"/>
      <c r="AF1008" s="33"/>
      <c r="AG1008" s="33"/>
      <c r="AH1008" s="33"/>
      <c r="AI1008" s="33"/>
      <c r="AJ1008" s="33"/>
      <c r="AK1008" s="33"/>
      <c r="AL1008" s="33"/>
      <c r="AM1008" s="33"/>
      <c r="AN1008" s="33"/>
      <c r="AO1008" s="33"/>
    </row>
    <row r="1009" spans="1:41" ht="17.25" thickTop="1" thickBot="1">
      <c r="A1009" s="34"/>
      <c r="B1009" s="34"/>
      <c r="C1009" s="1299" t="s">
        <v>465</v>
      </c>
      <c r="D1009" s="1299"/>
      <c r="E1009" s="1299" t="s">
        <v>360</v>
      </c>
      <c r="F1009" s="1299"/>
      <c r="G1009" s="1302" t="s">
        <v>368</v>
      </c>
      <c r="H1009" s="1302"/>
      <c r="I1009" s="1302" t="s">
        <v>369</v>
      </c>
      <c r="J1009" s="1302"/>
      <c r="K1009" s="1302" t="s">
        <v>370</v>
      </c>
      <c r="L1009" s="1299"/>
      <c r="M1009" s="1299" t="s">
        <v>371</v>
      </c>
      <c r="N1009" s="1299"/>
      <c r="O1009" s="77"/>
      <c r="P1009" s="77"/>
      <c r="Q1009" s="78"/>
      <c r="Z1009" s="79"/>
      <c r="AA1009" s="80"/>
      <c r="AB1009" s="34"/>
      <c r="AC1009" s="34"/>
      <c r="AD1009" s="33"/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</row>
    <row r="1010" spans="1:41" ht="17.25" thickTop="1" thickBot="1">
      <c r="A1010" s="34"/>
      <c r="B1010" s="34"/>
      <c r="C1010" s="1299" t="s">
        <v>372</v>
      </c>
      <c r="D1010" s="1299"/>
      <c r="E1010" s="1297"/>
      <c r="F1010" s="1297"/>
      <c r="G1010" s="1297" t="s">
        <v>9</v>
      </c>
      <c r="H1010" s="1297"/>
      <c r="I1010" s="1297"/>
      <c r="J1010" s="1297"/>
      <c r="K1010" s="1297"/>
      <c r="L1010" s="1297"/>
      <c r="M1010" s="1297"/>
      <c r="N1010" s="1297"/>
      <c r="O1010" s="77"/>
      <c r="P1010" s="77"/>
      <c r="Q1010" s="78"/>
      <c r="Z1010" s="79"/>
      <c r="AA1010" s="80"/>
      <c r="AB1010" s="34"/>
      <c r="AC1010" s="34"/>
      <c r="AD1010" s="33"/>
      <c r="AE1010" s="33"/>
      <c r="AF1010" s="33"/>
      <c r="AG1010" s="33"/>
      <c r="AH1010" s="33"/>
      <c r="AI1010" s="33"/>
      <c r="AJ1010" s="33"/>
      <c r="AK1010" s="33"/>
      <c r="AL1010" s="33"/>
      <c r="AM1010" s="33"/>
      <c r="AN1010" s="33"/>
      <c r="AO1010" s="33"/>
    </row>
    <row r="1011" spans="1:41" ht="17.25" thickTop="1" thickBot="1">
      <c r="A1011" s="34"/>
      <c r="B1011" s="34"/>
      <c r="C1011" s="1299" t="s">
        <v>373</v>
      </c>
      <c r="D1011" s="1299"/>
      <c r="E1011" s="1297"/>
      <c r="F1011" s="1297"/>
      <c r="G1011" s="1315" t="s">
        <v>9</v>
      </c>
      <c r="H1011" s="1316"/>
      <c r="I1011" s="1297"/>
      <c r="J1011" s="1297"/>
      <c r="K1011" s="1300"/>
      <c r="L1011" s="1300"/>
      <c r="M1011" s="1297"/>
      <c r="N1011" s="1297"/>
      <c r="O1011" s="77"/>
      <c r="P1011" s="77"/>
      <c r="Z1011" s="79"/>
      <c r="AA1011" s="80"/>
      <c r="AB1011" s="34"/>
      <c r="AC1011" s="34"/>
      <c r="AD1011" s="33"/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</row>
    <row r="1012" spans="1:41" ht="17.25" thickTop="1" thickBot="1">
      <c r="A1012" s="34"/>
      <c r="B1012" s="34"/>
      <c r="C1012" s="1299" t="s">
        <v>374</v>
      </c>
      <c r="D1012" s="1299"/>
      <c r="E1012" s="1297" t="s">
        <v>493</v>
      </c>
      <c r="F1012" s="1297"/>
      <c r="G1012" s="1297" t="s">
        <v>810</v>
      </c>
      <c r="H1012" s="1297"/>
      <c r="I1012" s="1297"/>
      <c r="J1012" s="1297"/>
      <c r="K1012" s="1297"/>
      <c r="L1012" s="1297"/>
      <c r="M1012" s="1297"/>
      <c r="N1012" s="1297"/>
      <c r="O1012" s="77"/>
      <c r="P1012" s="77"/>
      <c r="Z1012" s="79"/>
      <c r="AA1012" s="80"/>
      <c r="AB1012" s="34"/>
      <c r="AC1012" s="34"/>
      <c r="AD1012" s="33"/>
      <c r="AE1012" s="33"/>
      <c r="AF1012" s="33"/>
      <c r="AG1012" s="33"/>
      <c r="AH1012" s="33"/>
      <c r="AI1012" s="33"/>
      <c r="AJ1012" s="33"/>
      <c r="AK1012" s="33"/>
      <c r="AL1012" s="33"/>
      <c r="AM1012" s="33"/>
      <c r="AN1012" s="33"/>
      <c r="AO1012" s="33"/>
    </row>
    <row r="1013" spans="1:41" ht="17.25" thickTop="1" thickBot="1">
      <c r="A1013" s="34"/>
      <c r="B1013" s="34"/>
      <c r="C1013" s="1299" t="s">
        <v>375</v>
      </c>
      <c r="D1013" s="1299"/>
      <c r="E1013" s="1297" t="s">
        <v>265</v>
      </c>
      <c r="F1013" s="1297"/>
      <c r="G1013" s="1297"/>
      <c r="H1013" s="1297"/>
      <c r="I1013" s="1297"/>
      <c r="J1013" s="1297"/>
      <c r="K1013" s="1297"/>
      <c r="L1013" s="1297"/>
      <c r="M1013" s="1297"/>
      <c r="N1013" s="1297"/>
      <c r="O1013" s="77"/>
      <c r="P1013" s="77"/>
      <c r="Z1013" s="79"/>
      <c r="AA1013" s="80"/>
      <c r="AB1013" s="34"/>
      <c r="AC1013" s="34"/>
      <c r="AD1013" s="33"/>
      <c r="AE1013" s="33"/>
      <c r="AF1013" s="33"/>
      <c r="AG1013" s="33"/>
      <c r="AH1013" s="33"/>
      <c r="AI1013" s="33"/>
      <c r="AJ1013" s="33"/>
      <c r="AK1013" s="33"/>
      <c r="AL1013" s="33"/>
      <c r="AM1013" s="33"/>
      <c r="AN1013" s="33"/>
      <c r="AO1013" s="33"/>
    </row>
    <row r="1014" spans="1:41" ht="17.25" thickTop="1" thickBot="1">
      <c r="A1014" s="34"/>
      <c r="B1014" s="34"/>
      <c r="C1014" s="101"/>
      <c r="D1014" s="101"/>
      <c r="E1014" s="33"/>
      <c r="F1014" s="33"/>
      <c r="G1014" s="33"/>
      <c r="H1014" s="33"/>
      <c r="I1014" s="33"/>
      <c r="J1014" s="33"/>
      <c r="K1014" s="34"/>
      <c r="L1014" s="34"/>
      <c r="M1014" s="33"/>
      <c r="N1014" s="33"/>
      <c r="O1014" s="77"/>
      <c r="P1014" s="77"/>
      <c r="Z1014" s="79"/>
      <c r="AA1014" s="80"/>
      <c r="AB1014" s="34"/>
      <c r="AC1014" s="34"/>
      <c r="AD1014" s="33"/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</row>
    <row r="1015" spans="1:41" ht="17.25" thickTop="1" thickBot="1">
      <c r="A1015" s="34"/>
      <c r="B1015" s="34"/>
      <c r="C1015" s="1299" t="s">
        <v>921</v>
      </c>
      <c r="D1015" s="1299"/>
      <c r="E1015" s="1297" t="s">
        <v>9</v>
      </c>
      <c r="F1015" s="1297"/>
      <c r="G1015" s="1297" t="s">
        <v>265</v>
      </c>
      <c r="H1015" s="1297"/>
      <c r="I1015" s="1315"/>
      <c r="J1015" s="1316"/>
      <c r="K1015" s="1297" t="s">
        <v>265</v>
      </c>
      <c r="L1015" s="1297"/>
      <c r="M1015" s="1315" t="s">
        <v>265</v>
      </c>
      <c r="N1015" s="1316"/>
      <c r="O1015" s="77"/>
      <c r="P1015" s="77"/>
      <c r="Z1015" s="79"/>
      <c r="AA1015" s="80"/>
      <c r="AB1015" s="34"/>
      <c r="AC1015" s="34"/>
      <c r="AD1015" s="33"/>
      <c r="AE1015" s="33"/>
      <c r="AF1015" s="33"/>
      <c r="AG1015" s="33"/>
      <c r="AH1015" s="33"/>
      <c r="AI1015" s="33"/>
      <c r="AJ1015" s="33"/>
      <c r="AK1015" s="33"/>
      <c r="AL1015" s="33"/>
      <c r="AM1015" s="33"/>
      <c r="AN1015" s="33"/>
      <c r="AO1015" s="33"/>
    </row>
    <row r="1016" spans="1:41" ht="17.25" thickTop="1" thickBot="1">
      <c r="A1016" s="34"/>
      <c r="B1016" s="34"/>
      <c r="C1016" s="1299" t="s">
        <v>922</v>
      </c>
      <c r="D1016" s="1299"/>
      <c r="E1016" s="1297" t="s">
        <v>810</v>
      </c>
      <c r="F1016" s="1297"/>
      <c r="G1016" s="1297" t="s">
        <v>493</v>
      </c>
      <c r="H1016" s="1297"/>
      <c r="I1016" s="1297"/>
      <c r="J1016" s="1297"/>
      <c r="K1016" s="1297"/>
      <c r="L1016" s="1297"/>
      <c r="M1016" s="1297" t="s">
        <v>9</v>
      </c>
      <c r="N1016" s="1297"/>
      <c r="O1016" s="77"/>
      <c r="P1016" s="77"/>
      <c r="Z1016" s="79"/>
      <c r="AA1016" s="80"/>
      <c r="AB1016" s="34"/>
      <c r="AC1016" s="34"/>
      <c r="AD1016" s="33"/>
      <c r="AE1016" s="33"/>
      <c r="AF1016" s="33"/>
      <c r="AG1016" s="33"/>
      <c r="AH1016" s="33"/>
      <c r="AI1016" s="33"/>
      <c r="AJ1016" s="33"/>
      <c r="AK1016" s="33"/>
      <c r="AL1016" s="33"/>
      <c r="AM1016" s="33"/>
      <c r="AN1016" s="33"/>
      <c r="AO1016" s="33"/>
    </row>
    <row r="1017" spans="1:41" ht="17.25" thickTop="1" thickBot="1">
      <c r="A1017" s="34"/>
      <c r="B1017" s="34"/>
      <c r="C1017" s="1299" t="s">
        <v>923</v>
      </c>
      <c r="D1017" s="1299"/>
      <c r="E1017" s="1297"/>
      <c r="F1017" s="1297"/>
      <c r="G1017" s="1297"/>
      <c r="H1017" s="1297"/>
      <c r="I1017" s="1297"/>
      <c r="J1017" s="1297"/>
      <c r="K1017" s="1297" t="s">
        <v>493</v>
      </c>
      <c r="L1017" s="1297"/>
      <c r="M1017" s="1297" t="s">
        <v>810</v>
      </c>
      <c r="N1017" s="1297"/>
      <c r="O1017" s="77"/>
      <c r="P1017" s="77"/>
      <c r="Z1017" s="79"/>
      <c r="AA1017" s="80"/>
      <c r="AB1017" s="34"/>
      <c r="AC1017" s="34"/>
      <c r="AD1017" s="33"/>
      <c r="AE1017" s="33"/>
      <c r="AF1017" s="33"/>
      <c r="AG1017" s="33"/>
      <c r="AH1017" s="33"/>
      <c r="AI1017" s="33"/>
      <c r="AJ1017" s="33"/>
      <c r="AK1017" s="33"/>
      <c r="AL1017" s="33"/>
      <c r="AM1017" s="33"/>
      <c r="AN1017" s="33"/>
      <c r="AO1017" s="33"/>
    </row>
    <row r="1018" spans="1:41" ht="17.25" thickTop="1" thickBot="1">
      <c r="A1018" s="34"/>
      <c r="B1018" s="34"/>
      <c r="C1018" s="1299" t="s">
        <v>924</v>
      </c>
      <c r="D1018" s="1299"/>
      <c r="E1018" s="1297" t="s">
        <v>380</v>
      </c>
      <c r="F1018" s="1297"/>
      <c r="G1018" s="1297" t="s">
        <v>380</v>
      </c>
      <c r="H1018" s="1297"/>
      <c r="I1018" s="1297" t="s">
        <v>380</v>
      </c>
      <c r="J1018" s="1297"/>
      <c r="K1018" s="1297" t="s">
        <v>380</v>
      </c>
      <c r="L1018" s="1297"/>
      <c r="M1018" s="1297" t="s">
        <v>380</v>
      </c>
      <c r="N1018" s="1297"/>
      <c r="O1018" s="77"/>
      <c r="P1018" s="77"/>
      <c r="Z1018" s="79"/>
      <c r="AA1018" s="80"/>
      <c r="AB1018" s="34"/>
      <c r="AC1018" s="34"/>
      <c r="AD1018" s="33"/>
      <c r="AE1018" s="33"/>
      <c r="AF1018" s="33"/>
      <c r="AG1018" s="33"/>
      <c r="AH1018" s="33"/>
      <c r="AI1018" s="33"/>
      <c r="AJ1018" s="33"/>
      <c r="AK1018" s="33"/>
      <c r="AL1018" s="33"/>
      <c r="AM1018" s="33"/>
      <c r="AN1018" s="33"/>
      <c r="AO1018" s="33"/>
    </row>
    <row r="1019" spans="1:41" ht="17.25" thickTop="1" thickBot="1">
      <c r="A1019" s="34"/>
      <c r="B1019" s="34"/>
      <c r="C1019" s="33"/>
      <c r="D1019" s="33"/>
      <c r="E1019" s="33"/>
      <c r="F1019" s="33"/>
      <c r="G1019" s="33"/>
      <c r="H1019" s="33"/>
      <c r="I1019" s="33"/>
      <c r="J1019" s="33"/>
      <c r="K1019" s="34"/>
      <c r="L1019" s="34"/>
      <c r="M1019" s="33"/>
      <c r="N1019" s="33"/>
      <c r="O1019" s="77"/>
      <c r="P1019" s="77"/>
      <c r="Z1019" s="79"/>
      <c r="AA1019" s="80"/>
      <c r="AB1019" s="34"/>
      <c r="AC1019" s="34"/>
      <c r="AD1019" s="33"/>
      <c r="AE1019" s="33"/>
      <c r="AF1019" s="33"/>
      <c r="AG1019" s="33"/>
      <c r="AH1019" s="33"/>
      <c r="AI1019" s="33"/>
      <c r="AJ1019" s="33"/>
      <c r="AK1019" s="33"/>
      <c r="AL1019" s="33"/>
      <c r="AM1019" s="33"/>
      <c r="AN1019" s="33"/>
      <c r="AO1019" s="33"/>
    </row>
    <row r="1020" spans="1:41" ht="19.5" thickTop="1" thickBot="1">
      <c r="A1020" s="1321" t="s">
        <v>467</v>
      </c>
      <c r="B1020" s="1322"/>
      <c r="C1020" s="1323" t="s">
        <v>380</v>
      </c>
      <c r="D1020" s="1323"/>
      <c r="E1020" s="1323" t="s">
        <v>380</v>
      </c>
      <c r="F1020" s="1323"/>
      <c r="G1020" s="250"/>
      <c r="H1020" s="250" t="s">
        <v>468</v>
      </c>
      <c r="I1020" s="1295" t="s">
        <v>402</v>
      </c>
      <c r="J1020" s="1295"/>
      <c r="K1020" s="1295"/>
      <c r="L1020" s="102" t="s">
        <v>403</v>
      </c>
      <c r="M1020" s="1331">
        <f ca="1">TODAY()</f>
        <v>45944</v>
      </c>
      <c r="N1020" s="1331"/>
      <c r="O1020" s="77"/>
      <c r="P1020" s="77"/>
      <c r="Q1020" s="78"/>
      <c r="Z1020" s="79"/>
      <c r="AA1020" s="80"/>
      <c r="AB1020" s="34"/>
      <c r="AC1020" s="34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</row>
    <row r="1021" spans="1:41" ht="19.5" thickTop="1" thickBot="1">
      <c r="A1021" s="1321" t="s">
        <v>469</v>
      </c>
      <c r="B1021" s="1322"/>
      <c r="C1021" s="1323" t="s">
        <v>380</v>
      </c>
      <c r="D1021" s="1323"/>
      <c r="E1021" s="1323" t="s">
        <v>380</v>
      </c>
      <c r="F1021" s="1323"/>
      <c r="G1021" s="250"/>
      <c r="H1021" s="250"/>
      <c r="I1021" s="250"/>
      <c r="J1021" s="250"/>
      <c r="K1021" s="102"/>
      <c r="L1021" s="102"/>
      <c r="M1021" s="33"/>
      <c r="N1021" s="33"/>
      <c r="O1021" s="77"/>
      <c r="P1021" s="77"/>
      <c r="Q1021" s="78"/>
      <c r="Z1021" s="79"/>
      <c r="AA1021" s="80"/>
      <c r="AB1021" s="34"/>
      <c r="AC1021" s="34"/>
      <c r="AD1021" s="33"/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</row>
    <row r="1022" spans="1:41" ht="19.5" thickTop="1" thickBot="1">
      <c r="A1022" s="1321" t="s">
        <v>470</v>
      </c>
      <c r="B1022" s="1322"/>
      <c r="C1022" s="1323" t="s">
        <v>380</v>
      </c>
      <c r="D1022" s="1323"/>
      <c r="E1022" s="1323" t="s">
        <v>380</v>
      </c>
      <c r="F1022" s="1323"/>
      <c r="G1022" s="250"/>
      <c r="H1022" s="250"/>
      <c r="I1022" s="250"/>
      <c r="J1022" s="250" t="s">
        <v>471</v>
      </c>
      <c r="K1022" s="102"/>
      <c r="L1022" s="102"/>
      <c r="M1022" s="33"/>
      <c r="N1022" s="33"/>
      <c r="O1022" s="77"/>
      <c r="P1022" s="77"/>
      <c r="Q1022" s="78"/>
      <c r="Z1022" s="79"/>
      <c r="AA1022" s="80"/>
      <c r="AB1022" s="34"/>
      <c r="AC1022" s="34"/>
      <c r="AD1022" s="33"/>
      <c r="AE1022" s="33"/>
      <c r="AF1022" s="33"/>
      <c r="AG1022" s="33"/>
      <c r="AH1022" s="33"/>
      <c r="AI1022" s="33"/>
      <c r="AJ1022" s="33"/>
      <c r="AK1022" s="33"/>
      <c r="AL1022" s="33"/>
      <c r="AM1022" s="33"/>
      <c r="AN1022" s="33"/>
      <c r="AO1022" s="33"/>
    </row>
    <row r="1023" spans="1:41" ht="24" thickTop="1">
      <c r="A1023" s="34"/>
      <c r="B1023" s="34"/>
      <c r="C1023" s="33"/>
      <c r="D1023" s="33"/>
      <c r="E1023" s="33"/>
      <c r="F1023" s="33"/>
      <c r="G1023" s="33"/>
      <c r="H1023" s="103" t="s">
        <v>406</v>
      </c>
      <c r="I1023" s="33"/>
      <c r="J1023" s="34"/>
      <c r="K1023" s="34"/>
      <c r="L1023" s="33"/>
      <c r="M1023" s="33"/>
      <c r="N1023" s="104"/>
      <c r="O1023" s="77"/>
      <c r="P1023" s="77"/>
      <c r="Q1023" s="78"/>
      <c r="Z1023" s="79"/>
      <c r="AA1023" s="80"/>
      <c r="AB1023" s="34"/>
      <c r="AC1023" s="34"/>
      <c r="AD1023" s="33"/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</row>
    <row r="1024" spans="1:41" ht="18">
      <c r="A1024" s="1295" t="s">
        <v>78</v>
      </c>
      <c r="B1024" s="1295"/>
      <c r="C1024" s="1295"/>
      <c r="D1024" s="1295"/>
      <c r="E1024" s="1295"/>
      <c r="F1024" s="1295"/>
      <c r="G1024" s="1295"/>
      <c r="H1024" s="1295"/>
      <c r="I1024" s="1295"/>
      <c r="J1024" s="1295"/>
      <c r="K1024" s="1295"/>
      <c r="L1024" s="1295"/>
      <c r="M1024" s="1295"/>
      <c r="N1024" s="1295"/>
      <c r="O1024" s="77"/>
      <c r="P1024" s="77"/>
      <c r="Q1024" s="78"/>
      <c r="Z1024" s="79"/>
      <c r="AA1024" s="80"/>
      <c r="AB1024" s="34"/>
      <c r="AC1024" s="34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</row>
    <row r="1025" spans="1:41" ht="18">
      <c r="A1025" s="1295" t="s">
        <v>79</v>
      </c>
      <c r="B1025" s="1295"/>
      <c r="C1025" s="1295"/>
      <c r="D1025" s="1295"/>
      <c r="E1025" s="1295"/>
      <c r="F1025" s="1295"/>
      <c r="G1025" s="1295"/>
      <c r="H1025" s="1295"/>
      <c r="I1025" s="1295"/>
      <c r="J1025" s="1295"/>
      <c r="K1025" s="1295"/>
      <c r="L1025" s="1295"/>
      <c r="M1025" s="1295"/>
      <c r="N1025" s="1295"/>
      <c r="O1025" s="77"/>
      <c r="P1025" s="77"/>
      <c r="Q1025" s="78"/>
      <c r="Z1025" s="79"/>
      <c r="AA1025" s="80"/>
      <c r="AB1025" s="34"/>
      <c r="AC1025" s="34"/>
      <c r="AD1025" s="33"/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</row>
    <row r="1026" spans="1:41" ht="18">
      <c r="A1026" s="168" t="s">
        <v>220</v>
      </c>
      <c r="B1026" s="250"/>
      <c r="C1026" s="250"/>
      <c r="D1026" s="250"/>
      <c r="E1026" s="250"/>
      <c r="F1026" s="250"/>
      <c r="G1026" s="250"/>
      <c r="H1026" s="250"/>
      <c r="I1026" s="250"/>
      <c r="J1026" s="250"/>
      <c r="K1026" s="250"/>
      <c r="L1026" s="250"/>
      <c r="M1026" s="33"/>
      <c r="N1026" s="33"/>
      <c r="O1026" s="77"/>
      <c r="P1026" s="77"/>
      <c r="Q1026" s="78"/>
      <c r="Z1026" s="79"/>
      <c r="AA1026" s="80"/>
      <c r="AB1026" s="34"/>
      <c r="AC1026" s="34"/>
      <c r="AD1026" s="33"/>
      <c r="AE1026" s="33"/>
      <c r="AF1026" s="33"/>
      <c r="AG1026" s="33"/>
      <c r="AH1026" s="33"/>
      <c r="AI1026" s="33"/>
      <c r="AJ1026" s="33"/>
      <c r="AK1026" s="33"/>
      <c r="AL1026" s="33"/>
      <c r="AM1026" s="33"/>
      <c r="AN1026" s="33"/>
      <c r="AO1026" s="33"/>
    </row>
    <row r="1027" spans="1:41" ht="18">
      <c r="A1027" s="168" t="s">
        <v>444</v>
      </c>
      <c r="B1027" s="250"/>
      <c r="C1027" s="250"/>
      <c r="D1027" s="250"/>
      <c r="E1027" s="250"/>
      <c r="F1027" s="250"/>
      <c r="G1027" s="250"/>
      <c r="H1027" s="250"/>
      <c r="I1027" s="250"/>
      <c r="J1027" s="250"/>
      <c r="K1027" s="250"/>
      <c r="L1027" s="250"/>
      <c r="M1027" s="33"/>
      <c r="N1027" s="33"/>
      <c r="O1027" s="77"/>
      <c r="P1027" s="77"/>
      <c r="Q1027" s="78"/>
      <c r="Z1027" s="79"/>
      <c r="AA1027" s="80"/>
      <c r="AB1027" s="34"/>
      <c r="AC1027" s="34"/>
      <c r="AD1027" s="33"/>
      <c r="AE1027" s="33"/>
      <c r="AF1027" s="33"/>
      <c r="AG1027" s="33"/>
      <c r="AH1027" s="33"/>
      <c r="AI1027" s="33"/>
      <c r="AJ1027" s="33"/>
      <c r="AK1027" s="33"/>
      <c r="AL1027" s="33"/>
      <c r="AM1027" s="33"/>
      <c r="AN1027" s="33"/>
      <c r="AO1027" s="33"/>
    </row>
    <row r="1028" spans="1:41" ht="18.75" thickBot="1">
      <c r="A1028" s="250"/>
      <c r="B1028" s="250"/>
      <c r="C1028" s="250"/>
      <c r="D1028" s="250"/>
      <c r="E1028" s="250"/>
      <c r="F1028" s="250"/>
      <c r="G1028" s="250"/>
      <c r="H1028" s="250"/>
      <c r="I1028" s="250"/>
      <c r="J1028" s="250"/>
      <c r="K1028" s="250"/>
      <c r="L1028" s="250"/>
      <c r="M1028" s="33"/>
      <c r="N1028" s="33"/>
      <c r="O1028" s="77"/>
      <c r="P1028" s="77"/>
      <c r="Q1028" s="78"/>
      <c r="Z1028" s="79"/>
      <c r="AA1028" s="80"/>
      <c r="AB1028" s="34"/>
      <c r="AC1028" s="34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</row>
    <row r="1029" spans="1:41" ht="24" thickBot="1">
      <c r="A1029" s="250"/>
      <c r="B1029" s="250"/>
      <c r="C1029" s="1333" t="s">
        <v>446</v>
      </c>
      <c r="D1029" s="1334"/>
      <c r="E1029" s="1334"/>
      <c r="F1029" s="1334"/>
      <c r="G1029" s="1334"/>
      <c r="H1029" s="1334"/>
      <c r="I1029" s="1334"/>
      <c r="J1029" s="1334"/>
      <c r="K1029" s="1334"/>
      <c r="L1029" s="1335"/>
      <c r="M1029" s="33"/>
      <c r="N1029" s="33"/>
      <c r="O1029" s="77"/>
      <c r="P1029" s="77"/>
      <c r="Q1029" s="78"/>
      <c r="Z1029" s="79"/>
      <c r="AA1029" s="80"/>
      <c r="AB1029" s="34"/>
      <c r="AC1029" s="34"/>
      <c r="AD1029" s="33"/>
      <c r="AE1029" s="33"/>
      <c r="AF1029" s="33"/>
      <c r="AG1029" s="33"/>
      <c r="AH1029" s="33"/>
      <c r="AI1029" s="33"/>
      <c r="AJ1029" s="33"/>
      <c r="AK1029" s="33"/>
      <c r="AL1029" s="33"/>
      <c r="AM1029" s="33"/>
      <c r="AN1029" s="33"/>
      <c r="AO1029" s="33"/>
    </row>
    <row r="1030" spans="1:41" ht="23.25">
      <c r="A1030" s="250"/>
      <c r="B1030" s="250"/>
      <c r="C1030" s="249"/>
      <c r="D1030" s="249"/>
      <c r="E1030" s="249"/>
      <c r="F1030" s="249"/>
      <c r="G1030" s="249"/>
      <c r="H1030" s="249"/>
      <c r="I1030" s="249"/>
      <c r="J1030" s="249"/>
      <c r="K1030" s="249"/>
      <c r="L1030" s="249"/>
      <c r="M1030" s="33"/>
      <c r="N1030" s="33"/>
      <c r="O1030" s="77"/>
      <c r="P1030" s="77"/>
      <c r="Q1030" s="78"/>
      <c r="Z1030" s="79"/>
      <c r="AA1030" s="80"/>
      <c r="AB1030" s="34"/>
      <c r="AC1030" s="34"/>
      <c r="AD1030" s="33"/>
      <c r="AE1030" s="33"/>
      <c r="AF1030" s="33"/>
      <c r="AG1030" s="33"/>
      <c r="AH1030" s="33"/>
      <c r="AI1030" s="33"/>
      <c r="AJ1030" s="33"/>
      <c r="AK1030" s="33"/>
      <c r="AL1030" s="33"/>
      <c r="AM1030" s="33"/>
      <c r="AN1030" s="33"/>
      <c r="AO1030" s="33"/>
    </row>
    <row r="1031" spans="1:41" ht="23.25">
      <c r="A1031" s="1295" t="s">
        <v>448</v>
      </c>
      <c r="B1031" s="1295"/>
      <c r="C1031" s="1295"/>
      <c r="F1031" s="290" t="s">
        <v>1231</v>
      </c>
      <c r="G1031" s="290"/>
      <c r="H1031" s="290"/>
      <c r="I1031" s="290"/>
      <c r="J1031" s="290"/>
      <c r="K1031" s="249" t="s">
        <v>449</v>
      </c>
      <c r="L1031" s="249"/>
      <c r="M1031" s="1295" t="s">
        <v>290</v>
      </c>
      <c r="N1031" s="1295"/>
      <c r="O1031" s="1292" t="str">
        <f>F1031</f>
        <v>حاجي نصيرة</v>
      </c>
      <c r="P1031" s="1292"/>
      <c r="Q1031" s="78">
        <v>31</v>
      </c>
      <c r="Z1031" s="79"/>
      <c r="AA1031" s="80"/>
      <c r="AB1031" s="34"/>
      <c r="AC1031" s="34"/>
      <c r="AD1031" s="33"/>
      <c r="AE1031" s="33"/>
      <c r="AF1031" s="33"/>
      <c r="AG1031" s="33"/>
      <c r="AH1031" s="33"/>
      <c r="AI1031" s="33"/>
      <c r="AJ1031" s="33"/>
      <c r="AK1031" s="33"/>
      <c r="AL1031" s="33"/>
      <c r="AM1031" s="33"/>
      <c r="AN1031" s="33"/>
      <c r="AO1031" s="33"/>
    </row>
    <row r="1032" spans="1:41" ht="24" thickBot="1">
      <c r="A1032" s="1340" t="s">
        <v>450</v>
      </c>
      <c r="B1032" s="1340"/>
      <c r="C1032" s="1340"/>
      <c r="D1032" s="1340">
        <v>0</v>
      </c>
      <c r="E1032" s="1340"/>
      <c r="F1032" s="1340"/>
      <c r="G1032" s="1340"/>
      <c r="H1032" s="87"/>
      <c r="I1032" s="1340" t="s">
        <v>452</v>
      </c>
      <c r="J1032" s="1340"/>
      <c r="K1032" s="1340"/>
      <c r="L1032" s="1341"/>
      <c r="M1032" s="1341"/>
      <c r="N1032" s="1341"/>
      <c r="O1032" s="77"/>
      <c r="P1032" s="77"/>
      <c r="Q1032" s="78"/>
      <c r="Z1032" s="79"/>
      <c r="AA1032" s="80"/>
      <c r="AB1032" s="34"/>
      <c r="AC1032" s="34"/>
      <c r="AD1032" s="33"/>
      <c r="AE1032" s="33"/>
      <c r="AF1032" s="33"/>
      <c r="AG1032" s="33"/>
      <c r="AH1032" s="33"/>
      <c r="AI1032" s="33"/>
      <c r="AJ1032" s="33"/>
      <c r="AK1032" s="33"/>
      <c r="AL1032" s="33"/>
      <c r="AM1032" s="33"/>
      <c r="AN1032" s="33"/>
      <c r="AO1032" s="33"/>
    </row>
    <row r="1033" spans="1:41" ht="17.25" thickTop="1" thickBot="1">
      <c r="A1033" s="1318" t="s">
        <v>453</v>
      </c>
      <c r="B1033" s="1319"/>
      <c r="C1033" s="88" t="s">
        <v>500</v>
      </c>
      <c r="D1033" s="88" t="s">
        <v>0</v>
      </c>
      <c r="E1033" s="88" t="s">
        <v>1</v>
      </c>
      <c r="F1033" s="89" t="s">
        <v>807</v>
      </c>
      <c r="G1033" s="89" t="s">
        <v>10</v>
      </c>
      <c r="H1033" s="89" t="s">
        <v>380</v>
      </c>
      <c r="I1033" s="89" t="s">
        <v>380</v>
      </c>
      <c r="J1033" s="89" t="s">
        <v>380</v>
      </c>
      <c r="K1033" s="89" t="s">
        <v>380</v>
      </c>
      <c r="L1033" s="89" t="s">
        <v>380</v>
      </c>
      <c r="M1033" s="89" t="s">
        <v>380</v>
      </c>
      <c r="N1033" s="90" t="s">
        <v>380</v>
      </c>
      <c r="Z1033" s="79"/>
      <c r="AA1033" s="80"/>
      <c r="AB1033" s="34"/>
      <c r="AC1033" s="34"/>
      <c r="AD1033" s="33"/>
      <c r="AE1033" s="33"/>
      <c r="AF1033" s="33"/>
      <c r="AG1033" s="33"/>
      <c r="AH1033" s="33"/>
      <c r="AI1033" s="33"/>
      <c r="AJ1033" s="33"/>
      <c r="AK1033" s="33"/>
      <c r="AL1033" s="33"/>
      <c r="AM1033" s="33"/>
      <c r="AN1033" s="33"/>
      <c r="AO1033" s="33"/>
    </row>
    <row r="1034" spans="1:41" ht="24" thickBot="1">
      <c r="A1034" s="1329" t="s">
        <v>454</v>
      </c>
      <c r="B1034" s="1330"/>
      <c r="C1034" s="91">
        <v>3</v>
      </c>
      <c r="D1034" s="210">
        <v>3</v>
      </c>
      <c r="E1034" s="91">
        <v>3</v>
      </c>
      <c r="F1034" s="210">
        <v>3</v>
      </c>
      <c r="G1034" s="91">
        <v>3</v>
      </c>
      <c r="H1034" s="210" t="s">
        <v>380</v>
      </c>
      <c r="I1034" s="210" t="s">
        <v>380</v>
      </c>
      <c r="J1034" s="210" t="s">
        <v>380</v>
      </c>
      <c r="K1034" s="210" t="s">
        <v>380</v>
      </c>
      <c r="L1034" s="210" t="s">
        <v>380</v>
      </c>
      <c r="M1034" s="210" t="s">
        <v>380</v>
      </c>
      <c r="N1034" s="92" t="s">
        <v>380</v>
      </c>
      <c r="O1034" s="152"/>
      <c r="R1034" s="78"/>
      <c r="Z1034" s="79"/>
      <c r="AA1034" s="80"/>
      <c r="AB1034" s="34"/>
      <c r="AC1034" s="34"/>
      <c r="AD1034" s="33"/>
      <c r="AE1034" s="33"/>
      <c r="AF1034" s="33"/>
      <c r="AG1034" s="33"/>
      <c r="AH1034" s="33"/>
      <c r="AI1034" s="33"/>
      <c r="AJ1034" s="33"/>
      <c r="AK1034" s="33"/>
      <c r="AL1034" s="33"/>
      <c r="AM1034" s="33"/>
      <c r="AN1034" s="33"/>
      <c r="AO1034" s="33"/>
    </row>
    <row r="1035" spans="1:41" ht="24" thickBot="1">
      <c r="A1035" s="1329" t="s">
        <v>455</v>
      </c>
      <c r="B1035" s="1330"/>
      <c r="C1035" s="91"/>
      <c r="D1035" s="210"/>
      <c r="E1035" s="210"/>
      <c r="F1035" s="210"/>
      <c r="G1035" s="210" t="s">
        <v>380</v>
      </c>
      <c r="H1035" s="210" t="s">
        <v>380</v>
      </c>
      <c r="I1035" s="210" t="s">
        <v>380</v>
      </c>
      <c r="J1035" s="210" t="s">
        <v>380</v>
      </c>
      <c r="K1035" s="210" t="s">
        <v>380</v>
      </c>
      <c r="L1035" s="210" t="s">
        <v>380</v>
      </c>
      <c r="M1035" s="210" t="s">
        <v>380</v>
      </c>
      <c r="N1035" s="92" t="s">
        <v>380</v>
      </c>
      <c r="O1035" s="152"/>
      <c r="R1035" s="78"/>
      <c r="Z1035" s="79"/>
      <c r="AA1035" s="80"/>
      <c r="AB1035" s="34"/>
      <c r="AC1035" s="34"/>
      <c r="AD1035" s="33"/>
      <c r="AE1035" s="33"/>
      <c r="AF1035" s="33"/>
      <c r="AG1035" s="33"/>
      <c r="AH1035" s="33"/>
      <c r="AI1035" s="33"/>
      <c r="AJ1035" s="33"/>
      <c r="AK1035" s="33"/>
      <c r="AL1035" s="33"/>
      <c r="AM1035" s="33"/>
      <c r="AN1035" s="33"/>
      <c r="AO1035" s="33"/>
    </row>
    <row r="1036" spans="1:41" ht="24" thickBot="1">
      <c r="A1036" s="1327" t="s">
        <v>456</v>
      </c>
      <c r="B1036" s="1328"/>
      <c r="C1036" s="93"/>
      <c r="D1036" s="94"/>
      <c r="E1036" s="94"/>
      <c r="F1036" s="94"/>
      <c r="G1036" s="94" t="s">
        <v>380</v>
      </c>
      <c r="H1036" s="94" t="s">
        <v>380</v>
      </c>
      <c r="I1036" s="94" t="s">
        <v>380</v>
      </c>
      <c r="J1036" s="94" t="s">
        <v>380</v>
      </c>
      <c r="K1036" s="94" t="s">
        <v>380</v>
      </c>
      <c r="L1036" s="94" t="s">
        <v>380</v>
      </c>
      <c r="M1036" s="94" t="s">
        <v>380</v>
      </c>
      <c r="N1036" s="95" t="s">
        <v>380</v>
      </c>
      <c r="O1036" s="152"/>
      <c r="Z1036" s="79"/>
      <c r="AA1036" s="80"/>
      <c r="AB1036" s="34"/>
      <c r="AC1036" s="34"/>
      <c r="AD1036" s="33"/>
      <c r="AE1036" s="33"/>
      <c r="AF1036" s="33"/>
      <c r="AG1036" s="33"/>
      <c r="AH1036" s="33"/>
      <c r="AI1036" s="33"/>
      <c r="AJ1036" s="33"/>
      <c r="AK1036" s="33"/>
      <c r="AL1036" s="33"/>
      <c r="AM1036" s="33"/>
      <c r="AN1036" s="33"/>
      <c r="AO1036" s="33"/>
    </row>
    <row r="1037" spans="1:41" ht="21" thickTop="1">
      <c r="A1037" s="96"/>
      <c r="B1037" s="96"/>
      <c r="C1037" s="96"/>
      <c r="D1037" s="96"/>
      <c r="E1037" s="1326" t="s">
        <v>457</v>
      </c>
      <c r="F1037" s="1310"/>
      <c r="G1037" s="97">
        <v>18</v>
      </c>
      <c r="H1037" s="1310" t="s">
        <v>458</v>
      </c>
      <c r="I1037" s="1311"/>
      <c r="J1037" s="1310" t="s">
        <v>459</v>
      </c>
      <c r="K1037" s="1311"/>
      <c r="L1037" s="96"/>
      <c r="M1037" s="96"/>
      <c r="N1037" s="96"/>
      <c r="O1037" s="77"/>
      <c r="P1037" s="77"/>
      <c r="Q1037" s="78"/>
      <c r="Z1037" s="79"/>
      <c r="AA1037" s="80"/>
      <c r="AB1037" s="34"/>
      <c r="AC1037" s="34"/>
      <c r="AD1037" s="33"/>
      <c r="AE1037" s="33"/>
      <c r="AF1037" s="33"/>
      <c r="AG1037" s="33"/>
      <c r="AH1037" s="33"/>
      <c r="AI1037" s="33"/>
      <c r="AJ1037" s="33"/>
      <c r="AK1037" s="33"/>
      <c r="AL1037" s="33"/>
      <c r="AM1037" s="33"/>
      <c r="AN1037" s="33"/>
      <c r="AO1037" s="33"/>
    </row>
    <row r="1038" spans="1:41" ht="23.25">
      <c r="A1038" s="96"/>
      <c r="B1038" s="96"/>
      <c r="C1038" s="96"/>
      <c r="D1038" s="96"/>
      <c r="E1038" s="1307" t="s">
        <v>460</v>
      </c>
      <c r="F1038" s="1308"/>
      <c r="G1038" s="98">
        <v>14</v>
      </c>
      <c r="H1038" s="1312">
        <v>0</v>
      </c>
      <c r="I1038" s="1312"/>
      <c r="J1038" s="1312">
        <v>0</v>
      </c>
      <c r="K1038" s="1313"/>
      <c r="L1038" s="96"/>
      <c r="M1038" s="96"/>
      <c r="N1038" s="96"/>
      <c r="O1038" s="77"/>
      <c r="P1038" s="77"/>
      <c r="Q1038" s="78">
        <f>G1038+H1038+H1040+J1038</f>
        <v>14</v>
      </c>
      <c r="Z1038" s="79"/>
      <c r="AA1038" s="80"/>
      <c r="AB1038" s="34"/>
      <c r="AC1038" s="34"/>
      <c r="AD1038" s="33"/>
      <c r="AE1038" s="33"/>
      <c r="AF1038" s="33"/>
      <c r="AG1038" s="33"/>
      <c r="AH1038" s="33"/>
      <c r="AI1038" s="33"/>
      <c r="AJ1038" s="33"/>
      <c r="AK1038" s="33"/>
      <c r="AL1038" s="33"/>
      <c r="AM1038" s="33"/>
      <c r="AN1038" s="33"/>
      <c r="AO1038" s="33"/>
    </row>
    <row r="1039" spans="1:41" ht="20.25">
      <c r="A1039" s="96"/>
      <c r="B1039" s="96"/>
      <c r="C1039" s="96"/>
      <c r="D1039" s="96"/>
      <c r="E1039" s="1307" t="s">
        <v>461</v>
      </c>
      <c r="F1039" s="1308"/>
      <c r="G1039" s="99"/>
      <c r="H1039" s="1308" t="s">
        <v>462</v>
      </c>
      <c r="I1039" s="1308"/>
      <c r="J1039" s="1308" t="s">
        <v>463</v>
      </c>
      <c r="K1039" s="1309"/>
      <c r="L1039" s="96"/>
      <c r="M1039" s="96"/>
      <c r="N1039" s="96"/>
      <c r="O1039" s="77"/>
      <c r="P1039" s="77"/>
      <c r="Q1039" s="78"/>
      <c r="Z1039" s="79"/>
      <c r="AA1039" s="80"/>
      <c r="AB1039" s="34"/>
      <c r="AC1039" s="34"/>
      <c r="AD1039" s="33"/>
      <c r="AE1039" s="33"/>
      <c r="AF1039" s="33"/>
      <c r="AG1039" s="33"/>
      <c r="AH1039" s="33"/>
      <c r="AI1039" s="33"/>
      <c r="AJ1039" s="33"/>
      <c r="AK1039" s="33"/>
      <c r="AL1039" s="33"/>
      <c r="AM1039" s="33"/>
      <c r="AN1039" s="33"/>
      <c r="AO1039" s="33"/>
    </row>
    <row r="1040" spans="1:41" ht="24" thickBot="1">
      <c r="A1040" s="96"/>
      <c r="B1040" s="96"/>
      <c r="C1040" s="96"/>
      <c r="D1040" s="96"/>
      <c r="E1040" s="1303" t="s">
        <v>464</v>
      </c>
      <c r="F1040" s="1304"/>
      <c r="G1040" s="99">
        <v>0</v>
      </c>
      <c r="H1040" s="1305"/>
      <c r="I1040" s="1305"/>
      <c r="J1040" s="1305">
        <v>0</v>
      </c>
      <c r="K1040" s="1306"/>
      <c r="L1040" s="96"/>
      <c r="M1040" s="96"/>
      <c r="N1040" s="96"/>
      <c r="O1040" s="77"/>
      <c r="P1040" s="77"/>
      <c r="Q1040" s="78"/>
      <c r="Z1040" s="79"/>
      <c r="AA1040" s="80"/>
      <c r="AB1040" s="34"/>
      <c r="AC1040" s="34"/>
      <c r="AD1040" s="33"/>
      <c r="AE1040" s="33"/>
      <c r="AF1040" s="33"/>
      <c r="AG1040" s="33"/>
      <c r="AH1040" s="33"/>
      <c r="AI1040" s="33"/>
      <c r="AJ1040" s="33"/>
      <c r="AK1040" s="33"/>
      <c r="AL1040" s="33"/>
      <c r="AM1040" s="33"/>
      <c r="AN1040" s="33"/>
      <c r="AO1040" s="33"/>
    </row>
    <row r="1041" spans="1:41" ht="17.25" thickTop="1" thickBot="1">
      <c r="A1041" s="34"/>
      <c r="B1041" s="34"/>
      <c r="C1041" s="1299" t="s">
        <v>465</v>
      </c>
      <c r="D1041" s="1299"/>
      <c r="E1041" s="1299" t="s">
        <v>360</v>
      </c>
      <c r="F1041" s="1299"/>
      <c r="G1041" s="1302" t="s">
        <v>368</v>
      </c>
      <c r="H1041" s="1302"/>
      <c r="I1041" s="1302" t="s">
        <v>369</v>
      </c>
      <c r="J1041" s="1302"/>
      <c r="K1041" s="1302" t="s">
        <v>370</v>
      </c>
      <c r="L1041" s="1299"/>
      <c r="M1041" s="1299" t="s">
        <v>371</v>
      </c>
      <c r="N1041" s="1299"/>
      <c r="O1041" s="77"/>
      <c r="P1041" s="77"/>
      <c r="Q1041" s="78"/>
      <c r="Z1041" s="79"/>
      <c r="AA1041" s="80"/>
      <c r="AB1041" s="34"/>
      <c r="AC1041" s="34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</row>
    <row r="1042" spans="1:41" ht="17.25" thickTop="1" thickBot="1">
      <c r="A1042" s="34"/>
      <c r="B1042" s="34"/>
      <c r="C1042" s="1299" t="s">
        <v>372</v>
      </c>
      <c r="D1042" s="1299"/>
      <c r="E1042" s="1297"/>
      <c r="F1042" s="1297"/>
      <c r="G1042" s="1297"/>
      <c r="H1042" s="1297"/>
      <c r="I1042" s="1297"/>
      <c r="J1042" s="1297"/>
      <c r="K1042" s="1297" t="s">
        <v>0</v>
      </c>
      <c r="L1042" s="1297"/>
      <c r="M1042" s="1297"/>
      <c r="N1042" s="1297"/>
      <c r="O1042" s="77"/>
      <c r="P1042" s="77"/>
      <c r="Q1042" s="78"/>
      <c r="Z1042" s="79"/>
      <c r="AA1042" s="80"/>
      <c r="AB1042" s="34"/>
      <c r="AC1042" s="34"/>
      <c r="AD1042" s="33"/>
      <c r="AE1042" s="33"/>
      <c r="AF1042" s="33"/>
      <c r="AG1042" s="33"/>
      <c r="AH1042" s="33"/>
      <c r="AI1042" s="33"/>
      <c r="AJ1042" s="33"/>
      <c r="AK1042" s="33"/>
      <c r="AL1042" s="33"/>
      <c r="AM1042" s="33"/>
      <c r="AN1042" s="33"/>
      <c r="AO1042" s="33"/>
    </row>
    <row r="1043" spans="1:41" ht="17.25" thickTop="1" thickBot="1">
      <c r="A1043" s="34"/>
      <c r="B1043" s="34"/>
      <c r="C1043" s="1299" t="s">
        <v>373</v>
      </c>
      <c r="D1043" s="1299"/>
      <c r="E1043" s="1297"/>
      <c r="F1043" s="1297"/>
      <c r="G1043" s="1297"/>
      <c r="H1043" s="1297"/>
      <c r="I1043" s="1297"/>
      <c r="J1043" s="1297"/>
      <c r="K1043" s="1297"/>
      <c r="L1043" s="1297"/>
      <c r="M1043" s="1297"/>
      <c r="N1043" s="1297"/>
      <c r="O1043" s="77"/>
      <c r="P1043" s="77"/>
      <c r="Q1043" s="78"/>
      <c r="Z1043" s="79"/>
      <c r="AA1043" s="80"/>
      <c r="AB1043" s="34"/>
      <c r="AC1043" s="34"/>
      <c r="AD1043" s="33"/>
      <c r="AE1043" s="33"/>
      <c r="AF1043" s="33"/>
      <c r="AG1043" s="33"/>
      <c r="AH1043" s="33"/>
      <c r="AI1043" s="33"/>
      <c r="AJ1043" s="33"/>
      <c r="AK1043" s="33"/>
      <c r="AL1043" s="33"/>
      <c r="AM1043" s="33"/>
      <c r="AN1043" s="33"/>
      <c r="AO1043" s="33"/>
    </row>
    <row r="1044" spans="1:41" ht="17.25" thickTop="1" thickBot="1">
      <c r="A1044" s="34"/>
      <c r="B1044" s="34"/>
      <c r="C1044" s="1299" t="s">
        <v>374</v>
      </c>
      <c r="D1044" s="1299"/>
      <c r="E1044" s="1297"/>
      <c r="F1044" s="1297"/>
      <c r="G1044" s="1297" t="s">
        <v>500</v>
      </c>
      <c r="H1044" s="1297"/>
      <c r="I1044" s="1297"/>
      <c r="J1044" s="1297"/>
      <c r="K1044" s="1297" t="s">
        <v>10</v>
      </c>
      <c r="L1044" s="1297"/>
      <c r="M1044" s="1297"/>
      <c r="N1044" s="1297"/>
      <c r="O1044" s="77"/>
      <c r="P1044" s="77"/>
      <c r="Q1044" s="78"/>
      <c r="Z1044" s="79"/>
      <c r="AA1044" s="80"/>
      <c r="AB1044" s="34"/>
      <c r="AC1044" s="34"/>
      <c r="AD1044" s="33"/>
      <c r="AE1044" s="33"/>
      <c r="AF1044" s="33"/>
      <c r="AG1044" s="33"/>
      <c r="AH1044" s="33"/>
      <c r="AI1044" s="33"/>
      <c r="AJ1044" s="33"/>
      <c r="AK1044" s="33"/>
      <c r="AL1044" s="33"/>
      <c r="AM1044" s="33"/>
      <c r="AN1044" s="33"/>
      <c r="AO1044" s="33"/>
    </row>
    <row r="1045" spans="1:41" ht="17.25" thickTop="1" thickBot="1">
      <c r="A1045" s="34"/>
      <c r="B1045" s="34"/>
      <c r="C1045" s="1299" t="s">
        <v>375</v>
      </c>
      <c r="D1045" s="1299"/>
      <c r="E1045" s="1297"/>
      <c r="F1045" s="1297"/>
      <c r="G1045" s="1297" t="s">
        <v>0</v>
      </c>
      <c r="H1045" s="1297"/>
      <c r="I1045" s="1297"/>
      <c r="J1045" s="1297"/>
      <c r="K1045" s="1297" t="s">
        <v>807</v>
      </c>
      <c r="L1045" s="1297"/>
      <c r="M1045" s="1297"/>
      <c r="N1045" s="1297"/>
      <c r="O1045" s="77"/>
      <c r="P1045" s="77"/>
      <c r="Q1045" s="78"/>
      <c r="Z1045" s="79"/>
      <c r="AA1045" s="80"/>
      <c r="AB1045" s="34"/>
      <c r="AC1045" s="34"/>
      <c r="AD1045" s="33"/>
      <c r="AE1045" s="33"/>
      <c r="AF1045" s="33"/>
      <c r="AG1045" s="33"/>
      <c r="AH1045" s="33"/>
      <c r="AI1045" s="33"/>
      <c r="AJ1045" s="33"/>
      <c r="AK1045" s="33"/>
      <c r="AL1045" s="33"/>
      <c r="AM1045" s="33"/>
      <c r="AN1045" s="33"/>
      <c r="AO1045" s="33"/>
    </row>
    <row r="1046" spans="1:41" ht="17.25" thickTop="1" thickBot="1">
      <c r="A1046" s="34"/>
      <c r="B1046" s="34"/>
      <c r="C1046" s="101"/>
      <c r="D1046" s="101"/>
      <c r="E1046" s="33"/>
      <c r="F1046" s="33"/>
      <c r="G1046" s="33"/>
      <c r="H1046" s="33"/>
      <c r="I1046" s="33"/>
      <c r="J1046" s="33"/>
      <c r="K1046" s="34"/>
      <c r="L1046" s="34"/>
      <c r="M1046" s="33"/>
      <c r="N1046" s="33"/>
      <c r="O1046" s="77"/>
      <c r="P1046" s="77"/>
      <c r="Q1046" s="78"/>
      <c r="Z1046" s="79"/>
      <c r="AA1046" s="80"/>
      <c r="AB1046" s="34"/>
      <c r="AC1046" s="34"/>
      <c r="AD1046" s="33"/>
      <c r="AE1046" s="33"/>
      <c r="AF1046" s="33"/>
      <c r="AG1046" s="33"/>
      <c r="AH1046" s="33"/>
      <c r="AI1046" s="33"/>
      <c r="AJ1046" s="33"/>
      <c r="AK1046" s="33"/>
      <c r="AL1046" s="33"/>
      <c r="AM1046" s="33"/>
      <c r="AN1046" s="33"/>
      <c r="AO1046" s="33"/>
    </row>
    <row r="1047" spans="1:41" ht="17.25" thickTop="1" thickBot="1">
      <c r="A1047" s="34"/>
      <c r="B1047" s="34"/>
      <c r="C1047" s="1299" t="s">
        <v>921</v>
      </c>
      <c r="D1047" s="1299"/>
      <c r="E1047" s="1297" t="s">
        <v>500</v>
      </c>
      <c r="F1047" s="1297"/>
      <c r="G1047" s="1297" t="s">
        <v>807</v>
      </c>
      <c r="H1047" s="1297"/>
      <c r="I1047" s="1297"/>
      <c r="J1047" s="1297"/>
      <c r="K1047" s="1297" t="s">
        <v>1</v>
      </c>
      <c r="L1047" s="1297"/>
      <c r="M1047" s="1297" t="s">
        <v>10</v>
      </c>
      <c r="N1047" s="1297"/>
      <c r="O1047" s="77"/>
      <c r="P1047" s="77"/>
      <c r="Q1047" s="78"/>
      <c r="Z1047" s="79"/>
      <c r="AA1047" s="80"/>
      <c r="AB1047" s="34"/>
      <c r="AC1047" s="34"/>
      <c r="AD1047" s="33"/>
      <c r="AE1047" s="33"/>
      <c r="AF1047" s="33"/>
      <c r="AG1047" s="33"/>
      <c r="AH1047" s="33"/>
      <c r="AI1047" s="33"/>
      <c r="AJ1047" s="33"/>
      <c r="AK1047" s="33"/>
      <c r="AL1047" s="33"/>
      <c r="AM1047" s="33"/>
      <c r="AN1047" s="33"/>
      <c r="AO1047" s="33"/>
    </row>
    <row r="1048" spans="1:41" ht="17.25" thickTop="1" thickBot="1">
      <c r="A1048" s="34"/>
      <c r="B1048" s="34"/>
      <c r="C1048" s="1299" t="s">
        <v>922</v>
      </c>
      <c r="D1048" s="1299"/>
      <c r="E1048" s="1297" t="s">
        <v>0</v>
      </c>
      <c r="F1048" s="1297"/>
      <c r="G1048" s="1297" t="s">
        <v>10</v>
      </c>
      <c r="H1048" s="1297"/>
      <c r="I1048" s="1297"/>
      <c r="J1048" s="1297"/>
      <c r="K1048" s="1297" t="s">
        <v>500</v>
      </c>
      <c r="L1048" s="1297"/>
      <c r="M1048" s="1297" t="s">
        <v>1</v>
      </c>
      <c r="N1048" s="1297"/>
      <c r="O1048" s="77"/>
      <c r="P1048" s="77"/>
      <c r="Q1048" s="78"/>
      <c r="Z1048" s="79"/>
      <c r="AA1048" s="80"/>
      <c r="AB1048" s="34"/>
      <c r="AC1048" s="34"/>
      <c r="AD1048" s="33"/>
      <c r="AE1048" s="33"/>
      <c r="AF1048" s="33"/>
      <c r="AG1048" s="33"/>
      <c r="AH1048" s="33"/>
      <c r="AI1048" s="33"/>
      <c r="AJ1048" s="33"/>
      <c r="AK1048" s="33"/>
      <c r="AL1048" s="33"/>
      <c r="AM1048" s="33"/>
      <c r="AN1048" s="33"/>
      <c r="AO1048" s="33"/>
    </row>
    <row r="1049" spans="1:41" ht="17.25" thickTop="1" thickBot="1">
      <c r="A1049" s="34"/>
      <c r="B1049" s="34"/>
      <c r="C1049" s="1299" t="s">
        <v>923</v>
      </c>
      <c r="D1049" s="1299"/>
      <c r="E1049" s="1297" t="s">
        <v>807</v>
      </c>
      <c r="F1049" s="1297"/>
      <c r="G1049" s="1297" t="s">
        <v>1</v>
      </c>
      <c r="H1049" s="1297"/>
      <c r="I1049" s="1297"/>
      <c r="J1049" s="1297"/>
      <c r="K1049" s="1297"/>
      <c r="L1049" s="1297"/>
      <c r="M1049" s="1297"/>
      <c r="N1049" s="1297"/>
      <c r="O1049" s="77"/>
      <c r="P1049" s="77"/>
      <c r="Q1049" s="78"/>
      <c r="Z1049" s="79"/>
      <c r="AA1049" s="80"/>
      <c r="AB1049" s="34"/>
      <c r="AC1049" s="34"/>
      <c r="AD1049" s="33"/>
      <c r="AE1049" s="33"/>
      <c r="AF1049" s="33"/>
      <c r="AG1049" s="33"/>
      <c r="AH1049" s="33"/>
      <c r="AI1049" s="33"/>
      <c r="AJ1049" s="33"/>
      <c r="AK1049" s="33"/>
      <c r="AL1049" s="33"/>
      <c r="AM1049" s="33"/>
      <c r="AN1049" s="33"/>
      <c r="AO1049" s="33"/>
    </row>
    <row r="1050" spans="1:41" ht="17.25" thickTop="1" thickBot="1">
      <c r="A1050" s="34"/>
      <c r="B1050" s="34"/>
      <c r="C1050" s="1299" t="s">
        <v>924</v>
      </c>
      <c r="D1050" s="1299"/>
      <c r="E1050" s="1297" t="s">
        <v>380</v>
      </c>
      <c r="F1050" s="1297"/>
      <c r="G1050" s="1297" t="s">
        <v>380</v>
      </c>
      <c r="H1050" s="1297"/>
      <c r="I1050" s="1297" t="s">
        <v>380</v>
      </c>
      <c r="J1050" s="1297"/>
      <c r="K1050" s="1297" t="s">
        <v>380</v>
      </c>
      <c r="L1050" s="1297"/>
      <c r="M1050" s="1297" t="s">
        <v>380</v>
      </c>
      <c r="N1050" s="1297"/>
      <c r="O1050" s="77"/>
      <c r="P1050" s="77"/>
      <c r="Q1050" s="78"/>
      <c r="Z1050" s="79"/>
      <c r="AA1050" s="80"/>
      <c r="AB1050" s="34"/>
      <c r="AC1050" s="34"/>
      <c r="AD1050" s="33"/>
      <c r="AE1050" s="33"/>
      <c r="AF1050" s="33"/>
      <c r="AG1050" s="33"/>
      <c r="AH1050" s="33"/>
      <c r="AI1050" s="33"/>
      <c r="AJ1050" s="33"/>
      <c r="AK1050" s="33"/>
      <c r="AL1050" s="33"/>
      <c r="AM1050" s="33"/>
      <c r="AN1050" s="33"/>
      <c r="AO1050" s="33"/>
    </row>
    <row r="1051" spans="1:41" ht="17.25" thickTop="1" thickBot="1">
      <c r="A1051" s="34"/>
      <c r="B1051" s="34"/>
      <c r="C1051" s="33"/>
      <c r="D1051" s="33"/>
      <c r="E1051" s="33"/>
      <c r="F1051" s="33"/>
      <c r="G1051" s="33"/>
      <c r="H1051" s="33"/>
      <c r="I1051" s="33"/>
      <c r="J1051" s="33"/>
      <c r="K1051" s="34"/>
      <c r="L1051" s="34"/>
      <c r="M1051" s="33"/>
      <c r="N1051" s="33"/>
      <c r="O1051" s="77"/>
      <c r="P1051" s="77"/>
      <c r="Q1051" s="78"/>
      <c r="Z1051" s="79"/>
      <c r="AA1051" s="80"/>
      <c r="AB1051" s="34"/>
      <c r="AC1051" s="34"/>
      <c r="AD1051" s="33"/>
      <c r="AE1051" s="33"/>
      <c r="AF1051" s="33"/>
      <c r="AG1051" s="33"/>
      <c r="AH1051" s="33"/>
      <c r="AI1051" s="33"/>
      <c r="AJ1051" s="33"/>
      <c r="AK1051" s="33"/>
      <c r="AL1051" s="33"/>
      <c r="AM1051" s="33"/>
      <c r="AN1051" s="33"/>
      <c r="AO1051" s="33"/>
    </row>
    <row r="1052" spans="1:41" ht="19.5" thickTop="1" thickBot="1">
      <c r="A1052" s="1321" t="s">
        <v>467</v>
      </c>
      <c r="B1052" s="1322"/>
      <c r="C1052" s="1323" t="s">
        <v>380</v>
      </c>
      <c r="D1052" s="1323"/>
      <c r="E1052" s="1323" t="s">
        <v>380</v>
      </c>
      <c r="F1052" s="1323"/>
      <c r="G1052" s="250"/>
      <c r="H1052" s="250" t="s">
        <v>468</v>
      </c>
      <c r="I1052" s="1295" t="s">
        <v>402</v>
      </c>
      <c r="J1052" s="1295"/>
      <c r="K1052" s="1295"/>
      <c r="L1052" s="102" t="s">
        <v>403</v>
      </c>
      <c r="M1052" s="1331">
        <f ca="1">TODAY()</f>
        <v>45944</v>
      </c>
      <c r="N1052" s="1331"/>
      <c r="O1052" s="77"/>
      <c r="P1052" s="77"/>
      <c r="Q1052" s="78"/>
      <c r="Z1052" s="79"/>
      <c r="AA1052" s="80"/>
      <c r="AB1052" s="34"/>
      <c r="AC1052" s="34"/>
      <c r="AD1052" s="33"/>
      <c r="AE1052" s="33"/>
      <c r="AF1052" s="33"/>
      <c r="AG1052" s="33"/>
      <c r="AH1052" s="33"/>
      <c r="AI1052" s="33"/>
      <c r="AJ1052" s="33"/>
      <c r="AK1052" s="33"/>
      <c r="AL1052" s="33"/>
      <c r="AM1052" s="33"/>
      <c r="AN1052" s="33"/>
      <c r="AO1052" s="33"/>
    </row>
    <row r="1053" spans="1:41" ht="19.5" thickTop="1" thickBot="1">
      <c r="A1053" s="1321" t="s">
        <v>469</v>
      </c>
      <c r="B1053" s="1322"/>
      <c r="C1053" s="1323" t="s">
        <v>380</v>
      </c>
      <c r="D1053" s="1323"/>
      <c r="E1053" s="1323" t="s">
        <v>380</v>
      </c>
      <c r="F1053" s="1323"/>
      <c r="G1053" s="250"/>
      <c r="H1053" s="250"/>
      <c r="I1053" s="250"/>
      <c r="J1053" s="250"/>
      <c r="K1053" s="102"/>
      <c r="L1053" s="102"/>
      <c r="M1053" s="33"/>
      <c r="N1053" s="33"/>
      <c r="O1053" s="77"/>
      <c r="P1053" s="77"/>
      <c r="Q1053" s="78"/>
      <c r="Z1053" s="79"/>
      <c r="AA1053" s="80"/>
      <c r="AB1053" s="34"/>
      <c r="AC1053" s="34"/>
      <c r="AD1053" s="33"/>
      <c r="AE1053" s="33"/>
      <c r="AF1053" s="33"/>
      <c r="AG1053" s="33"/>
      <c r="AH1053" s="33"/>
      <c r="AI1053" s="33"/>
      <c r="AJ1053" s="33"/>
      <c r="AK1053" s="33"/>
      <c r="AL1053" s="33"/>
      <c r="AM1053" s="33"/>
      <c r="AN1053" s="33"/>
      <c r="AO1053" s="33"/>
    </row>
    <row r="1054" spans="1:41" ht="19.5" thickTop="1" thickBot="1">
      <c r="A1054" s="1321" t="s">
        <v>470</v>
      </c>
      <c r="B1054" s="1322"/>
      <c r="C1054" s="1323" t="s">
        <v>380</v>
      </c>
      <c r="D1054" s="1323"/>
      <c r="E1054" s="1323" t="s">
        <v>380</v>
      </c>
      <c r="F1054" s="1323"/>
      <c r="G1054" s="250"/>
      <c r="H1054" s="250"/>
      <c r="I1054" s="250"/>
      <c r="J1054" s="250" t="s">
        <v>471</v>
      </c>
      <c r="K1054" s="102"/>
      <c r="L1054" s="102"/>
      <c r="M1054" s="33"/>
      <c r="N1054" s="33"/>
      <c r="O1054" s="77"/>
      <c r="P1054" s="77"/>
      <c r="Q1054" s="78"/>
      <c r="Z1054" s="79"/>
      <c r="AA1054" s="80"/>
      <c r="AB1054" s="34"/>
      <c r="AC1054" s="34"/>
      <c r="AD1054" s="33"/>
      <c r="AE1054" s="33"/>
      <c r="AF1054" s="33"/>
      <c r="AG1054" s="33"/>
      <c r="AH1054" s="33"/>
      <c r="AI1054" s="33"/>
      <c r="AJ1054" s="33"/>
      <c r="AK1054" s="33"/>
      <c r="AL1054" s="33"/>
      <c r="AM1054" s="33"/>
      <c r="AN1054" s="33"/>
      <c r="AO1054" s="33"/>
    </row>
    <row r="1055" spans="1:41" ht="24" thickTop="1">
      <c r="A1055" s="34"/>
      <c r="B1055" s="34"/>
      <c r="C1055" s="33"/>
      <c r="D1055" s="33"/>
      <c r="E1055" s="33"/>
      <c r="F1055" s="33"/>
      <c r="G1055" s="33"/>
      <c r="H1055" s="103" t="s">
        <v>406</v>
      </c>
      <c r="I1055" s="33"/>
      <c r="J1055" s="34"/>
      <c r="K1055" s="34"/>
      <c r="L1055" s="33"/>
      <c r="M1055" s="33"/>
      <c r="N1055" s="104"/>
      <c r="O1055" s="77"/>
      <c r="P1055" s="77"/>
      <c r="Q1055" s="78"/>
      <c r="Z1055" s="79"/>
      <c r="AA1055" s="80"/>
      <c r="AB1055" s="34"/>
      <c r="AC1055" s="34"/>
      <c r="AD1055" s="33"/>
      <c r="AE1055" s="33"/>
      <c r="AF1055" s="33"/>
      <c r="AG1055" s="33"/>
      <c r="AH1055" s="33"/>
      <c r="AI1055" s="33"/>
      <c r="AJ1055" s="33"/>
      <c r="AK1055" s="33"/>
      <c r="AL1055" s="33"/>
      <c r="AM1055" s="33"/>
      <c r="AN1055" s="33"/>
      <c r="AO1055" s="33"/>
    </row>
    <row r="1056" spans="1:41" ht="18">
      <c r="A1056" s="1295" t="s">
        <v>78</v>
      </c>
      <c r="B1056" s="1295"/>
      <c r="C1056" s="1295"/>
      <c r="D1056" s="1295"/>
      <c r="E1056" s="1295"/>
      <c r="F1056" s="1295"/>
      <c r="G1056" s="1295"/>
      <c r="H1056" s="1295"/>
      <c r="I1056" s="1295"/>
      <c r="J1056" s="1295"/>
      <c r="K1056" s="1295"/>
      <c r="L1056" s="1295"/>
      <c r="M1056" s="1295"/>
      <c r="N1056" s="1295"/>
      <c r="O1056" s="77"/>
      <c r="P1056" s="77"/>
      <c r="Q1056" s="78"/>
      <c r="Z1056" s="79"/>
      <c r="AA1056" s="80"/>
      <c r="AB1056" s="34"/>
      <c r="AC1056" s="34"/>
      <c r="AD1056" s="33"/>
      <c r="AE1056" s="33"/>
      <c r="AF1056" s="33"/>
      <c r="AG1056" s="33"/>
      <c r="AH1056" s="33"/>
      <c r="AI1056" s="33"/>
      <c r="AJ1056" s="33"/>
      <c r="AK1056" s="33"/>
      <c r="AL1056" s="33"/>
      <c r="AM1056" s="33"/>
      <c r="AN1056" s="33"/>
      <c r="AO1056" s="33"/>
    </row>
    <row r="1057" spans="1:41" ht="18">
      <c r="A1057" s="1295" t="s">
        <v>79</v>
      </c>
      <c r="B1057" s="1295"/>
      <c r="C1057" s="1295"/>
      <c r="D1057" s="1295"/>
      <c r="E1057" s="1295"/>
      <c r="F1057" s="1295"/>
      <c r="G1057" s="1295"/>
      <c r="H1057" s="1295"/>
      <c r="I1057" s="1295"/>
      <c r="J1057" s="1295"/>
      <c r="K1057" s="1295"/>
      <c r="L1057" s="1295"/>
      <c r="M1057" s="1295"/>
      <c r="N1057" s="1295"/>
      <c r="O1057" s="77"/>
      <c r="P1057" s="77"/>
      <c r="Q1057" s="78"/>
      <c r="Z1057" s="79"/>
      <c r="AA1057" s="80"/>
      <c r="AB1057" s="34"/>
      <c r="AC1057" s="34"/>
      <c r="AD1057" s="33"/>
      <c r="AE1057" s="33"/>
      <c r="AF1057" s="33"/>
      <c r="AG1057" s="33"/>
      <c r="AH1057" s="33"/>
      <c r="AI1057" s="33"/>
      <c r="AJ1057" s="33"/>
      <c r="AK1057" s="33"/>
      <c r="AL1057" s="33"/>
      <c r="AM1057" s="33"/>
      <c r="AN1057" s="33"/>
      <c r="AO1057" s="33"/>
    </row>
    <row r="1058" spans="1:41" ht="18">
      <c r="A1058" s="168" t="s">
        <v>220</v>
      </c>
      <c r="B1058" s="250"/>
      <c r="C1058" s="250"/>
      <c r="D1058" s="250"/>
      <c r="E1058" s="250"/>
      <c r="F1058" s="250"/>
      <c r="G1058" s="250"/>
      <c r="H1058" s="250"/>
      <c r="I1058" s="250"/>
      <c r="J1058" s="250"/>
      <c r="K1058" s="250"/>
      <c r="L1058" s="250"/>
      <c r="M1058" s="33"/>
      <c r="N1058" s="33"/>
      <c r="O1058" s="77"/>
      <c r="P1058" s="77"/>
      <c r="Q1058" s="78"/>
      <c r="Z1058" s="79"/>
      <c r="AA1058" s="80"/>
      <c r="AB1058" s="34"/>
      <c r="AC1058" s="34"/>
      <c r="AD1058" s="33"/>
      <c r="AE1058" s="33"/>
      <c r="AF1058" s="33"/>
      <c r="AG1058" s="33"/>
      <c r="AH1058" s="33"/>
      <c r="AI1058" s="33"/>
      <c r="AJ1058" s="33"/>
      <c r="AK1058" s="33"/>
      <c r="AL1058" s="33"/>
      <c r="AM1058" s="33"/>
      <c r="AN1058" s="33"/>
      <c r="AO1058" s="33"/>
    </row>
    <row r="1059" spans="1:41" ht="18">
      <c r="A1059" s="168" t="s">
        <v>444</v>
      </c>
      <c r="B1059" s="250"/>
      <c r="C1059" s="250"/>
      <c r="D1059" s="250"/>
      <c r="E1059" s="250"/>
      <c r="F1059" s="250"/>
      <c r="G1059" s="250"/>
      <c r="H1059" s="250"/>
      <c r="I1059" s="250"/>
      <c r="J1059" s="250"/>
      <c r="K1059" s="250"/>
      <c r="L1059" s="250"/>
      <c r="M1059" s="33"/>
      <c r="N1059" s="33"/>
      <c r="O1059" s="77"/>
      <c r="P1059" s="77"/>
      <c r="Q1059" s="78"/>
      <c r="Z1059" s="79"/>
      <c r="AA1059" s="80"/>
      <c r="AB1059" s="34"/>
      <c r="AC1059" s="34"/>
      <c r="AD1059" s="33"/>
      <c r="AE1059" s="33"/>
      <c r="AF1059" s="33"/>
      <c r="AG1059" s="33"/>
      <c r="AH1059" s="33"/>
      <c r="AI1059" s="33"/>
      <c r="AJ1059" s="33"/>
      <c r="AK1059" s="33"/>
      <c r="AL1059" s="33"/>
      <c r="AM1059" s="33"/>
      <c r="AN1059" s="33"/>
      <c r="AO1059" s="33"/>
    </row>
    <row r="1060" spans="1:41" ht="18.75" thickBot="1">
      <c r="A1060" s="250"/>
      <c r="B1060" s="250"/>
      <c r="C1060" s="250"/>
      <c r="D1060" s="250"/>
      <c r="E1060" s="250"/>
      <c r="F1060" s="250"/>
      <c r="G1060" s="250"/>
      <c r="H1060" s="250"/>
      <c r="I1060" s="250"/>
      <c r="J1060" s="250"/>
      <c r="K1060" s="250"/>
      <c r="L1060" s="250"/>
      <c r="M1060" s="33"/>
      <c r="N1060" s="33"/>
      <c r="O1060" s="77"/>
      <c r="P1060" s="77"/>
      <c r="Q1060" s="78"/>
      <c r="Z1060" s="79"/>
      <c r="AA1060" s="80"/>
      <c r="AB1060" s="34"/>
      <c r="AC1060" s="34"/>
      <c r="AD1060" s="33"/>
      <c r="AE1060" s="33"/>
      <c r="AF1060" s="33"/>
      <c r="AG1060" s="33"/>
      <c r="AH1060" s="33"/>
      <c r="AI1060" s="33"/>
      <c r="AJ1060" s="33"/>
      <c r="AK1060" s="33"/>
      <c r="AL1060" s="33"/>
      <c r="AM1060" s="33"/>
      <c r="AN1060" s="33"/>
      <c r="AO1060" s="33"/>
    </row>
    <row r="1061" spans="1:41" ht="24" thickBot="1">
      <c r="A1061" s="250"/>
      <c r="B1061" s="250"/>
      <c r="C1061" s="1333" t="s">
        <v>446</v>
      </c>
      <c r="D1061" s="1334"/>
      <c r="E1061" s="1334"/>
      <c r="F1061" s="1334"/>
      <c r="G1061" s="1334"/>
      <c r="H1061" s="1334"/>
      <c r="I1061" s="1334"/>
      <c r="J1061" s="1334"/>
      <c r="K1061" s="1334"/>
      <c r="L1061" s="1335"/>
      <c r="M1061" s="33"/>
      <c r="N1061" s="33"/>
      <c r="O1061" s="77"/>
      <c r="P1061" s="77"/>
      <c r="Q1061" s="78"/>
      <c r="Z1061" s="79"/>
      <c r="AA1061" s="80"/>
      <c r="AB1061" s="34"/>
      <c r="AC1061" s="34"/>
      <c r="AD1061" s="33"/>
      <c r="AE1061" s="33"/>
      <c r="AF1061" s="33"/>
      <c r="AG1061" s="33"/>
      <c r="AH1061" s="33"/>
      <c r="AI1061" s="33"/>
      <c r="AJ1061" s="33"/>
      <c r="AK1061" s="33"/>
      <c r="AL1061" s="33"/>
      <c r="AM1061" s="33"/>
      <c r="AN1061" s="33"/>
      <c r="AO1061" s="33"/>
    </row>
    <row r="1062" spans="1:41" ht="23.25">
      <c r="A1062" s="250"/>
      <c r="B1062" s="250"/>
      <c r="C1062" s="249"/>
      <c r="D1062" s="249"/>
      <c r="E1062" s="249"/>
      <c r="F1062" s="249"/>
      <c r="G1062" s="249"/>
      <c r="H1062" s="249"/>
      <c r="I1062" s="249"/>
      <c r="J1062" s="249"/>
      <c r="K1062" s="249"/>
      <c r="L1062" s="249"/>
      <c r="M1062" s="33"/>
      <c r="N1062" s="33"/>
      <c r="O1062" s="77"/>
      <c r="P1062" s="77"/>
      <c r="Q1062" s="78"/>
      <c r="Z1062" s="79"/>
      <c r="AA1062" s="80"/>
      <c r="AB1062" s="34"/>
      <c r="AC1062" s="34"/>
      <c r="AD1062" s="33"/>
      <c r="AE1062" s="33"/>
      <c r="AF1062" s="33"/>
      <c r="AG1062" s="33"/>
      <c r="AH1062" s="33"/>
      <c r="AI1062" s="33"/>
      <c r="AJ1062" s="33"/>
      <c r="AK1062" s="33"/>
      <c r="AL1062" s="33"/>
      <c r="AM1062" s="33"/>
      <c r="AN1062" s="33"/>
      <c r="AO1062" s="33"/>
    </row>
    <row r="1063" spans="1:41" ht="23.25">
      <c r="A1063" s="1295" t="s">
        <v>448</v>
      </c>
      <c r="B1063" s="1295"/>
      <c r="C1063" s="1295"/>
      <c r="E1063" s="1294" t="s">
        <v>296</v>
      </c>
      <c r="F1063" s="1294"/>
      <c r="G1063" s="1294"/>
      <c r="H1063" s="1294"/>
      <c r="I1063" s="1294"/>
      <c r="J1063" s="249"/>
      <c r="K1063" s="249" t="s">
        <v>449</v>
      </c>
      <c r="L1063" s="249"/>
      <c r="M1063" s="1295" t="s">
        <v>386</v>
      </c>
      <c r="N1063" s="1295"/>
      <c r="O1063" s="1292" t="str">
        <f>E1063</f>
        <v>العرباوي مليكة</v>
      </c>
      <c r="P1063" s="1292"/>
      <c r="Q1063" s="78">
        <v>32</v>
      </c>
      <c r="Z1063" s="79"/>
      <c r="AA1063" s="80"/>
      <c r="AB1063" s="34"/>
      <c r="AC1063" s="34"/>
      <c r="AD1063" s="33"/>
      <c r="AE1063" s="33"/>
      <c r="AF1063" s="33"/>
      <c r="AG1063" s="33"/>
      <c r="AH1063" s="33"/>
      <c r="AI1063" s="33"/>
      <c r="AJ1063" s="33"/>
      <c r="AK1063" s="33"/>
      <c r="AL1063" s="33"/>
      <c r="AM1063" s="33"/>
      <c r="AN1063" s="33"/>
      <c r="AO1063" s="33"/>
    </row>
    <row r="1064" spans="1:41" ht="24" thickBot="1">
      <c r="A1064" s="1340" t="s">
        <v>450</v>
      </c>
      <c r="B1064" s="1340"/>
      <c r="C1064" s="1340"/>
      <c r="D1064" s="1340">
        <v>0</v>
      </c>
      <c r="E1064" s="1340"/>
      <c r="F1064" s="1340"/>
      <c r="G1064" s="1340"/>
      <c r="H1064" s="87"/>
      <c r="I1064" s="1340" t="s">
        <v>452</v>
      </c>
      <c r="J1064" s="1340"/>
      <c r="K1064" s="1340"/>
      <c r="L1064" s="1341"/>
      <c r="M1064" s="1341"/>
      <c r="N1064" s="1341"/>
      <c r="O1064" s="77"/>
      <c r="P1064" s="77"/>
      <c r="Q1064" s="78"/>
      <c r="Z1064" s="79"/>
      <c r="AA1064" s="80"/>
      <c r="AB1064" s="34"/>
      <c r="AC1064" s="34"/>
      <c r="AD1064" s="33"/>
      <c r="AE1064" s="33"/>
      <c r="AF1064" s="33"/>
      <c r="AG1064" s="33"/>
      <c r="AH1064" s="33"/>
      <c r="AI1064" s="33"/>
      <c r="AJ1064" s="33"/>
      <c r="AK1064" s="33"/>
      <c r="AL1064" s="33"/>
      <c r="AM1064" s="33"/>
      <c r="AN1064" s="33"/>
      <c r="AO1064" s="33"/>
    </row>
    <row r="1065" spans="1:41" ht="17.25" thickTop="1" thickBot="1">
      <c r="A1065" s="1318" t="s">
        <v>453</v>
      </c>
      <c r="B1065" s="1319"/>
      <c r="C1065" s="89" t="s">
        <v>2</v>
      </c>
      <c r="D1065" s="89" t="s">
        <v>828</v>
      </c>
      <c r="E1065" s="89" t="s">
        <v>11</v>
      </c>
      <c r="F1065" s="89" t="s">
        <v>264</v>
      </c>
      <c r="G1065" s="89"/>
      <c r="H1065" s="89" t="s">
        <v>380</v>
      </c>
      <c r="I1065" s="89" t="s">
        <v>380</v>
      </c>
      <c r="J1065" s="89" t="s">
        <v>380</v>
      </c>
      <c r="K1065" s="89" t="s">
        <v>380</v>
      </c>
      <c r="L1065" s="89" t="s">
        <v>380</v>
      </c>
      <c r="M1065" s="89" t="s">
        <v>380</v>
      </c>
      <c r="N1065" s="90" t="s">
        <v>380</v>
      </c>
      <c r="Z1065" s="79"/>
      <c r="AA1065" s="80"/>
      <c r="AB1065" s="34"/>
      <c r="AC1065" s="34"/>
      <c r="AD1065" s="33"/>
      <c r="AE1065" s="33"/>
      <c r="AF1065" s="33"/>
      <c r="AG1065" s="33"/>
      <c r="AH1065" s="33"/>
      <c r="AI1065" s="33"/>
      <c r="AJ1065" s="33"/>
      <c r="AK1065" s="33"/>
      <c r="AL1065" s="33"/>
      <c r="AM1065" s="33"/>
      <c r="AN1065" s="33"/>
      <c r="AO1065" s="33"/>
    </row>
    <row r="1066" spans="1:41" ht="24" thickBot="1">
      <c r="A1066" s="1329" t="s">
        <v>454</v>
      </c>
      <c r="B1066" s="1330"/>
      <c r="C1066" s="91">
        <v>3</v>
      </c>
      <c r="D1066" s="210">
        <v>5</v>
      </c>
      <c r="E1066" s="210">
        <v>3</v>
      </c>
      <c r="F1066" s="210">
        <v>4</v>
      </c>
      <c r="G1066" s="210"/>
      <c r="H1066" s="210" t="s">
        <v>380</v>
      </c>
      <c r="I1066" s="210" t="s">
        <v>380</v>
      </c>
      <c r="J1066" s="210" t="s">
        <v>380</v>
      </c>
      <c r="K1066" s="210" t="s">
        <v>380</v>
      </c>
      <c r="L1066" s="210" t="s">
        <v>380</v>
      </c>
      <c r="M1066" s="210" t="s">
        <v>380</v>
      </c>
      <c r="N1066" s="92" t="s">
        <v>380</v>
      </c>
      <c r="O1066" s="152"/>
      <c r="R1066" s="78"/>
      <c r="Z1066" s="79"/>
      <c r="AA1066" s="80"/>
      <c r="AB1066" s="34"/>
      <c r="AC1066" s="34"/>
      <c r="AD1066" s="33"/>
      <c r="AE1066" s="33"/>
      <c r="AF1066" s="33"/>
      <c r="AG1066" s="33"/>
      <c r="AH1066" s="33"/>
      <c r="AI1066" s="33"/>
      <c r="AJ1066" s="33"/>
      <c r="AK1066" s="33"/>
      <c r="AL1066" s="33"/>
      <c r="AM1066" s="33"/>
      <c r="AN1066" s="33"/>
      <c r="AO1066" s="33"/>
    </row>
    <row r="1067" spans="1:41" ht="24" thickBot="1">
      <c r="A1067" s="1329" t="s">
        <v>455</v>
      </c>
      <c r="B1067" s="1330"/>
      <c r="C1067" s="91"/>
      <c r="D1067" s="210"/>
      <c r="E1067" s="210"/>
      <c r="F1067" s="210"/>
      <c r="G1067" s="210"/>
      <c r="H1067" s="210" t="s">
        <v>380</v>
      </c>
      <c r="I1067" s="210" t="s">
        <v>380</v>
      </c>
      <c r="J1067" s="210" t="s">
        <v>380</v>
      </c>
      <c r="K1067" s="210" t="s">
        <v>380</v>
      </c>
      <c r="L1067" s="210" t="s">
        <v>380</v>
      </c>
      <c r="M1067" s="210" t="s">
        <v>380</v>
      </c>
      <c r="N1067" s="92" t="s">
        <v>380</v>
      </c>
      <c r="O1067" s="152"/>
      <c r="R1067" s="78"/>
      <c r="Z1067" s="79"/>
      <c r="AA1067" s="80"/>
      <c r="AB1067" s="34"/>
      <c r="AC1067" s="34"/>
      <c r="AD1067" s="33"/>
      <c r="AE1067" s="33"/>
      <c r="AF1067" s="33"/>
      <c r="AG1067" s="33"/>
      <c r="AH1067" s="33"/>
      <c r="AI1067" s="33"/>
      <c r="AJ1067" s="33"/>
      <c r="AK1067" s="33"/>
      <c r="AL1067" s="33"/>
      <c r="AM1067" s="33"/>
      <c r="AN1067" s="33"/>
      <c r="AO1067" s="33"/>
    </row>
    <row r="1068" spans="1:41" ht="24" thickBot="1">
      <c r="A1068" s="1327" t="s">
        <v>456</v>
      </c>
      <c r="B1068" s="1328"/>
      <c r="C1068" s="93"/>
      <c r="D1068" s="94"/>
      <c r="E1068" s="94"/>
      <c r="F1068" s="94"/>
      <c r="G1068" s="94"/>
      <c r="H1068" s="94" t="s">
        <v>380</v>
      </c>
      <c r="I1068" s="94" t="s">
        <v>380</v>
      </c>
      <c r="J1068" s="94" t="s">
        <v>380</v>
      </c>
      <c r="K1068" s="94" t="s">
        <v>380</v>
      </c>
      <c r="L1068" s="94" t="s">
        <v>380</v>
      </c>
      <c r="M1068" s="94" t="s">
        <v>380</v>
      </c>
      <c r="N1068" s="95" t="s">
        <v>380</v>
      </c>
      <c r="O1068" s="152"/>
      <c r="Z1068" s="79"/>
      <c r="AA1068" s="80"/>
      <c r="AB1068" s="34"/>
      <c r="AC1068" s="34"/>
      <c r="AD1068" s="33"/>
      <c r="AE1068" s="33"/>
      <c r="AF1068" s="33"/>
      <c r="AG1068" s="33"/>
      <c r="AH1068" s="33"/>
      <c r="AI1068" s="33"/>
      <c r="AJ1068" s="33"/>
      <c r="AK1068" s="33"/>
      <c r="AL1068" s="33"/>
      <c r="AM1068" s="33"/>
      <c r="AN1068" s="33"/>
      <c r="AO1068" s="33"/>
    </row>
    <row r="1069" spans="1:41" ht="21" thickTop="1">
      <c r="A1069" s="96"/>
      <c r="B1069" s="96"/>
      <c r="C1069" s="96"/>
      <c r="D1069" s="96"/>
      <c r="E1069" s="1326" t="s">
        <v>457</v>
      </c>
      <c r="F1069" s="1310"/>
      <c r="G1069" s="97">
        <v>18</v>
      </c>
      <c r="H1069" s="1310" t="s">
        <v>458</v>
      </c>
      <c r="I1069" s="1311"/>
      <c r="J1069" s="1310" t="s">
        <v>459</v>
      </c>
      <c r="K1069" s="1311"/>
      <c r="L1069" s="96"/>
      <c r="M1069" s="96"/>
      <c r="N1069" s="96"/>
      <c r="O1069" s="77"/>
      <c r="P1069" s="77"/>
      <c r="Q1069" s="78"/>
      <c r="Z1069" s="79"/>
      <c r="AA1069" s="80"/>
      <c r="AB1069" s="34"/>
      <c r="AC1069" s="34"/>
      <c r="AD1069" s="33"/>
      <c r="AE1069" s="33"/>
      <c r="AF1069" s="33"/>
      <c r="AG1069" s="33"/>
      <c r="AH1069" s="33"/>
      <c r="AI1069" s="33"/>
      <c r="AJ1069" s="33"/>
      <c r="AK1069" s="33"/>
      <c r="AL1069" s="33"/>
      <c r="AM1069" s="33"/>
      <c r="AN1069" s="33"/>
      <c r="AO1069" s="33"/>
    </row>
    <row r="1070" spans="1:41" ht="23.25">
      <c r="A1070" s="96"/>
      <c r="B1070" s="96"/>
      <c r="C1070" s="96"/>
      <c r="D1070" s="96"/>
      <c r="E1070" s="1307" t="s">
        <v>460</v>
      </c>
      <c r="F1070" s="1308"/>
      <c r="G1070" s="98">
        <v>15</v>
      </c>
      <c r="H1070" s="1312">
        <v>0</v>
      </c>
      <c r="I1070" s="1312"/>
      <c r="J1070" s="1312">
        <v>0</v>
      </c>
      <c r="K1070" s="1313"/>
      <c r="L1070" s="96"/>
      <c r="M1070" s="96"/>
      <c r="N1070" s="96"/>
      <c r="O1070" s="77"/>
      <c r="P1070" s="77"/>
      <c r="Q1070" s="78">
        <f>G1070+H1070+H1072+J1070</f>
        <v>15</v>
      </c>
      <c r="Z1070" s="79"/>
      <c r="AA1070" s="80"/>
      <c r="AB1070" s="34"/>
      <c r="AC1070" s="34"/>
      <c r="AD1070" s="33"/>
      <c r="AE1070" s="33"/>
      <c r="AF1070" s="33"/>
      <c r="AG1070" s="33"/>
      <c r="AH1070" s="33"/>
      <c r="AI1070" s="33"/>
      <c r="AJ1070" s="33"/>
      <c r="AK1070" s="33"/>
      <c r="AL1070" s="33"/>
      <c r="AM1070" s="33"/>
      <c r="AN1070" s="33"/>
      <c r="AO1070" s="33"/>
    </row>
    <row r="1071" spans="1:41" ht="20.25">
      <c r="A1071" s="96"/>
      <c r="B1071" s="96"/>
      <c r="C1071" s="96"/>
      <c r="D1071" s="96"/>
      <c r="E1071" s="1307" t="s">
        <v>461</v>
      </c>
      <c r="F1071" s="1308"/>
      <c r="G1071" s="99"/>
      <c r="H1071" s="1308" t="s">
        <v>462</v>
      </c>
      <c r="I1071" s="1308"/>
      <c r="J1071" s="1308" t="s">
        <v>463</v>
      </c>
      <c r="K1071" s="1309"/>
      <c r="L1071" s="96"/>
      <c r="M1071" s="96"/>
      <c r="N1071" s="96"/>
      <c r="O1071" s="77"/>
      <c r="P1071" s="77"/>
      <c r="Q1071" s="78"/>
      <c r="Z1071" s="79"/>
      <c r="AA1071" s="80"/>
      <c r="AB1071" s="34"/>
      <c r="AC1071" s="34"/>
      <c r="AD1071" s="33"/>
      <c r="AE1071" s="33"/>
      <c r="AF1071" s="33"/>
      <c r="AG1071" s="33"/>
      <c r="AH1071" s="33"/>
      <c r="AI1071" s="33"/>
      <c r="AJ1071" s="33"/>
      <c r="AK1071" s="33"/>
      <c r="AL1071" s="33"/>
      <c r="AM1071" s="33"/>
      <c r="AN1071" s="33"/>
      <c r="AO1071" s="33"/>
    </row>
    <row r="1072" spans="1:41" ht="24" thickBot="1">
      <c r="A1072" s="96"/>
      <c r="B1072" s="96"/>
      <c r="C1072" s="96"/>
      <c r="D1072" s="96"/>
      <c r="E1072" s="1303" t="s">
        <v>464</v>
      </c>
      <c r="F1072" s="1304"/>
      <c r="G1072" s="99">
        <v>0</v>
      </c>
      <c r="H1072" s="1305"/>
      <c r="I1072" s="1305"/>
      <c r="J1072" s="1305">
        <v>0</v>
      </c>
      <c r="K1072" s="1306"/>
      <c r="L1072" s="96"/>
      <c r="M1072" s="96"/>
      <c r="N1072" s="96"/>
      <c r="O1072" s="77"/>
      <c r="P1072" s="77"/>
      <c r="Q1072" s="78"/>
      <c r="Z1072" s="79"/>
      <c r="AA1072" s="80"/>
      <c r="AB1072" s="34"/>
      <c r="AC1072" s="34"/>
      <c r="AD1072" s="33"/>
      <c r="AE1072" s="33"/>
      <c r="AF1072" s="33"/>
      <c r="AG1072" s="33"/>
      <c r="AH1072" s="33"/>
      <c r="AI1072" s="33"/>
      <c r="AJ1072" s="33"/>
      <c r="AK1072" s="33"/>
      <c r="AL1072" s="33"/>
      <c r="AM1072" s="33"/>
      <c r="AN1072" s="33"/>
      <c r="AO1072" s="33"/>
    </row>
    <row r="1073" spans="1:41" ht="17.25" thickTop="1" thickBot="1">
      <c r="A1073" s="34"/>
      <c r="B1073" s="34"/>
      <c r="C1073" s="1299" t="s">
        <v>465</v>
      </c>
      <c r="D1073" s="1299"/>
      <c r="E1073" s="1299" t="s">
        <v>360</v>
      </c>
      <c r="F1073" s="1299"/>
      <c r="G1073" s="1302" t="s">
        <v>368</v>
      </c>
      <c r="H1073" s="1302"/>
      <c r="I1073" s="1302" t="s">
        <v>369</v>
      </c>
      <c r="J1073" s="1302"/>
      <c r="K1073" s="1302" t="s">
        <v>370</v>
      </c>
      <c r="L1073" s="1299"/>
      <c r="M1073" s="1299" t="s">
        <v>371</v>
      </c>
      <c r="N1073" s="1299"/>
      <c r="O1073" s="77"/>
      <c r="P1073" s="77"/>
      <c r="Q1073" s="78"/>
      <c r="Z1073" s="79"/>
      <c r="AA1073" s="80"/>
      <c r="AB1073" s="34"/>
      <c r="AC1073" s="34"/>
      <c r="AD1073" s="33"/>
      <c r="AE1073" s="33"/>
      <c r="AF1073" s="33"/>
      <c r="AG1073" s="33"/>
      <c r="AH1073" s="33"/>
      <c r="AI1073" s="33"/>
      <c r="AJ1073" s="33"/>
      <c r="AK1073" s="33"/>
      <c r="AL1073" s="33"/>
      <c r="AM1073" s="33"/>
      <c r="AN1073" s="33"/>
      <c r="AO1073" s="33"/>
    </row>
    <row r="1074" spans="1:41" ht="17.25" thickTop="1" thickBot="1">
      <c r="A1074" s="34"/>
      <c r="B1074" s="34"/>
      <c r="C1074" s="1299" t="s">
        <v>372</v>
      </c>
      <c r="D1074" s="1299"/>
      <c r="E1074" s="1297"/>
      <c r="F1074" s="1297"/>
      <c r="G1074" s="1297"/>
      <c r="H1074" s="1297"/>
      <c r="I1074" s="1297"/>
      <c r="J1074" s="1297"/>
      <c r="K1074" s="1297"/>
      <c r="L1074" s="1297"/>
      <c r="M1074" s="1297"/>
      <c r="N1074" s="1297"/>
      <c r="O1074" s="77"/>
      <c r="P1074" s="77"/>
      <c r="Q1074" s="78"/>
      <c r="Z1074" s="79"/>
      <c r="AA1074" s="80"/>
      <c r="AB1074" s="34"/>
      <c r="AC1074" s="34"/>
      <c r="AD1074" s="33"/>
      <c r="AE1074" s="33"/>
      <c r="AF1074" s="33"/>
      <c r="AG1074" s="33"/>
      <c r="AH1074" s="33"/>
      <c r="AI1074" s="33"/>
      <c r="AJ1074" s="33"/>
      <c r="AK1074" s="33"/>
      <c r="AL1074" s="33"/>
      <c r="AM1074" s="33"/>
      <c r="AN1074" s="33"/>
      <c r="AO1074" s="33"/>
    </row>
    <row r="1075" spans="1:41" ht="17.25" thickTop="1" thickBot="1">
      <c r="A1075" s="34"/>
      <c r="B1075" s="34"/>
      <c r="C1075" s="1299" t="s">
        <v>373</v>
      </c>
      <c r="D1075" s="1299"/>
      <c r="E1075" s="1297" t="s">
        <v>264</v>
      </c>
      <c r="F1075" s="1297"/>
      <c r="G1075" s="1297" t="s">
        <v>2</v>
      </c>
      <c r="H1075" s="1297"/>
      <c r="I1075" s="1296"/>
      <c r="J1075" s="1296"/>
      <c r="K1075" s="1297"/>
      <c r="L1075" s="1297"/>
      <c r="M1075" s="1297" t="s">
        <v>11</v>
      </c>
      <c r="N1075" s="1297"/>
      <c r="O1075" s="77"/>
      <c r="P1075" s="77"/>
      <c r="Q1075" s="78"/>
      <c r="Z1075" s="79"/>
      <c r="AA1075" s="80"/>
      <c r="AB1075" s="34"/>
      <c r="AC1075" s="34"/>
      <c r="AD1075" s="33"/>
      <c r="AE1075" s="33"/>
      <c r="AF1075" s="33"/>
      <c r="AG1075" s="33"/>
      <c r="AH1075" s="33"/>
      <c r="AI1075" s="33"/>
      <c r="AJ1075" s="33"/>
      <c r="AK1075" s="33"/>
      <c r="AL1075" s="33"/>
      <c r="AM1075" s="33"/>
      <c r="AN1075" s="33"/>
      <c r="AO1075" s="33"/>
    </row>
    <row r="1076" spans="1:41" ht="17.25" thickTop="1" thickBot="1">
      <c r="A1076" s="34"/>
      <c r="B1076" s="34"/>
      <c r="C1076" s="1299" t="s">
        <v>374</v>
      </c>
      <c r="D1076" s="1299"/>
      <c r="E1076" s="1297" t="s">
        <v>2</v>
      </c>
      <c r="F1076" s="1297"/>
      <c r="G1076" s="1297" t="s">
        <v>828</v>
      </c>
      <c r="H1076" s="1297"/>
      <c r="I1076" s="1297"/>
      <c r="J1076" s="1297"/>
      <c r="K1076" s="1297"/>
      <c r="L1076" s="1297"/>
      <c r="M1076" s="1297" t="s">
        <v>264</v>
      </c>
      <c r="N1076" s="1297"/>
      <c r="O1076" s="77"/>
      <c r="P1076" s="77"/>
      <c r="Q1076" s="78"/>
      <c r="Z1076" s="79"/>
      <c r="AA1076" s="80"/>
      <c r="AB1076" s="34"/>
      <c r="AC1076" s="34"/>
      <c r="AD1076" s="33"/>
      <c r="AE1076" s="33"/>
      <c r="AF1076" s="33"/>
      <c r="AG1076" s="33"/>
      <c r="AH1076" s="33"/>
      <c r="AI1076" s="33"/>
      <c r="AJ1076" s="33"/>
      <c r="AK1076" s="33"/>
      <c r="AL1076" s="33"/>
      <c r="AM1076" s="33"/>
      <c r="AN1076" s="33"/>
      <c r="AO1076" s="33"/>
    </row>
    <row r="1077" spans="1:41" ht="17.25" thickTop="1" thickBot="1">
      <c r="A1077" s="34"/>
      <c r="B1077" s="34"/>
      <c r="C1077" s="1299" t="s">
        <v>375</v>
      </c>
      <c r="D1077" s="1299"/>
      <c r="E1077" s="1297"/>
      <c r="F1077" s="1297"/>
      <c r="G1077" s="1297" t="s">
        <v>828</v>
      </c>
      <c r="H1077" s="1297"/>
      <c r="I1077" s="1297"/>
      <c r="J1077" s="1297"/>
      <c r="K1077" s="1297"/>
      <c r="L1077" s="1297"/>
      <c r="M1077" s="1297" t="s">
        <v>828</v>
      </c>
      <c r="N1077" s="1297"/>
      <c r="O1077" s="77"/>
      <c r="P1077" s="77"/>
      <c r="Q1077" s="78"/>
      <c r="Z1077" s="79"/>
      <c r="AA1077" s="80"/>
      <c r="AB1077" s="34"/>
      <c r="AC1077" s="34"/>
      <c r="AD1077" s="33"/>
      <c r="AE1077" s="33"/>
      <c r="AF1077" s="33"/>
      <c r="AG1077" s="33"/>
      <c r="AH1077" s="33"/>
      <c r="AI1077" s="33"/>
      <c r="AJ1077" s="33"/>
      <c r="AK1077" s="33"/>
      <c r="AL1077" s="33"/>
      <c r="AM1077" s="33"/>
      <c r="AN1077" s="33"/>
      <c r="AO1077" s="33"/>
    </row>
    <row r="1078" spans="1:41" ht="17.25" thickTop="1" thickBot="1">
      <c r="A1078" s="34"/>
      <c r="B1078" s="34"/>
      <c r="C1078" s="101"/>
      <c r="D1078" s="101"/>
      <c r="E1078" s="33"/>
      <c r="F1078" s="33"/>
      <c r="G1078" s="33"/>
      <c r="H1078" s="33"/>
      <c r="I1078" s="33"/>
      <c r="J1078" s="33"/>
      <c r="K1078" s="34"/>
      <c r="L1078" s="34"/>
      <c r="M1078" s="33"/>
      <c r="N1078" s="33"/>
      <c r="O1078" s="77"/>
      <c r="P1078" s="77"/>
      <c r="Q1078" s="78"/>
      <c r="Z1078" s="79"/>
      <c r="AA1078" s="80"/>
      <c r="AB1078" s="34"/>
      <c r="AC1078" s="34"/>
      <c r="AD1078" s="33"/>
      <c r="AE1078" s="33"/>
      <c r="AF1078" s="33"/>
      <c r="AG1078" s="33"/>
      <c r="AH1078" s="33"/>
      <c r="AI1078" s="33"/>
      <c r="AJ1078" s="33"/>
      <c r="AK1078" s="33"/>
      <c r="AL1078" s="33"/>
      <c r="AM1078" s="33"/>
      <c r="AN1078" s="33"/>
      <c r="AO1078" s="33"/>
    </row>
    <row r="1079" spans="1:41" ht="17.25" thickTop="1" thickBot="1">
      <c r="A1079" s="34"/>
      <c r="B1079" s="34"/>
      <c r="C1079" s="1299" t="s">
        <v>921</v>
      </c>
      <c r="D1079" s="1299"/>
      <c r="E1079" s="1297" t="s">
        <v>828</v>
      </c>
      <c r="F1079" s="1297"/>
      <c r="G1079" s="1297" t="s">
        <v>264</v>
      </c>
      <c r="H1079" s="1297"/>
      <c r="I1079" s="1297"/>
      <c r="J1079" s="1297"/>
      <c r="K1079" s="1297" t="s">
        <v>11</v>
      </c>
      <c r="L1079" s="1297"/>
      <c r="M1079" s="1297"/>
      <c r="N1079" s="1297"/>
      <c r="O1079" s="77"/>
      <c r="P1079" s="77"/>
      <c r="Q1079" s="78"/>
      <c r="Z1079" s="79"/>
      <c r="AA1079" s="80"/>
      <c r="AB1079" s="34"/>
      <c r="AC1079" s="34"/>
      <c r="AD1079" s="33"/>
      <c r="AE1079" s="33"/>
      <c r="AF1079" s="33"/>
      <c r="AG1079" s="33"/>
      <c r="AH1079" s="33"/>
      <c r="AI1079" s="33"/>
      <c r="AJ1079" s="33"/>
      <c r="AK1079" s="33"/>
      <c r="AL1079" s="33"/>
      <c r="AM1079" s="33"/>
      <c r="AN1079" s="33"/>
      <c r="AO1079" s="33"/>
    </row>
    <row r="1080" spans="1:41" ht="17.25" thickTop="1" thickBot="1">
      <c r="A1080" s="34"/>
      <c r="B1080" s="34"/>
      <c r="C1080" s="1299" t="s">
        <v>922</v>
      </c>
      <c r="D1080" s="1299"/>
      <c r="E1080" s="1300" t="s">
        <v>828</v>
      </c>
      <c r="F1080" s="1300"/>
      <c r="G1080" s="1297"/>
      <c r="H1080" s="1297"/>
      <c r="I1080" s="1297"/>
      <c r="J1080" s="1297"/>
      <c r="K1080" s="1297" t="s">
        <v>2</v>
      </c>
      <c r="L1080" s="1297"/>
      <c r="M1080" s="1297"/>
      <c r="N1080" s="1297"/>
      <c r="O1080" s="77"/>
      <c r="P1080" s="77"/>
      <c r="Q1080" s="78"/>
      <c r="Z1080" s="79"/>
      <c r="AA1080" s="80"/>
      <c r="AB1080" s="34"/>
      <c r="AC1080" s="34"/>
      <c r="AD1080" s="33"/>
      <c r="AE1080" s="33"/>
      <c r="AF1080" s="33"/>
      <c r="AG1080" s="33"/>
      <c r="AH1080" s="33"/>
      <c r="AI1080" s="33"/>
      <c r="AJ1080" s="33"/>
      <c r="AK1080" s="33"/>
      <c r="AL1080" s="33"/>
      <c r="AM1080" s="33"/>
      <c r="AN1080" s="33"/>
      <c r="AO1080" s="33"/>
    </row>
    <row r="1081" spans="1:41" ht="17.25" thickTop="1" thickBot="1">
      <c r="A1081" s="34"/>
      <c r="B1081" s="34"/>
      <c r="C1081" s="1299" t="s">
        <v>923</v>
      </c>
      <c r="D1081" s="1299"/>
      <c r="E1081" s="1297"/>
      <c r="F1081" s="1297"/>
      <c r="G1081" s="1297" t="s">
        <v>11</v>
      </c>
      <c r="H1081" s="1297"/>
      <c r="I1081" s="1297"/>
      <c r="J1081" s="1297"/>
      <c r="K1081" s="1297" t="s">
        <v>264</v>
      </c>
      <c r="L1081" s="1297"/>
      <c r="M1081" s="1297"/>
      <c r="N1081" s="1297"/>
      <c r="O1081" s="77"/>
      <c r="P1081" s="77"/>
      <c r="Q1081" s="78"/>
      <c r="Z1081" s="79"/>
      <c r="AA1081" s="80"/>
      <c r="AB1081" s="34"/>
      <c r="AC1081" s="34"/>
      <c r="AD1081" s="33"/>
      <c r="AE1081" s="33"/>
      <c r="AF1081" s="33"/>
      <c r="AG1081" s="33"/>
      <c r="AH1081" s="33"/>
      <c r="AI1081" s="33"/>
      <c r="AJ1081" s="33"/>
      <c r="AK1081" s="33"/>
      <c r="AL1081" s="33"/>
      <c r="AM1081" s="33"/>
      <c r="AN1081" s="33"/>
      <c r="AO1081" s="33"/>
    </row>
    <row r="1082" spans="1:41" ht="17.25" thickTop="1" thickBot="1">
      <c r="A1082" s="34"/>
      <c r="B1082" s="34"/>
      <c r="C1082" s="1299" t="s">
        <v>924</v>
      </c>
      <c r="D1082" s="1299"/>
      <c r="E1082" s="1297"/>
      <c r="F1082" s="1297"/>
      <c r="G1082" s="1297"/>
      <c r="H1082" s="1297"/>
      <c r="I1082" s="1297"/>
      <c r="J1082" s="1297"/>
      <c r="K1082" s="1297"/>
      <c r="L1082" s="1297"/>
      <c r="M1082" s="1297"/>
      <c r="N1082" s="1297"/>
      <c r="O1082" s="77"/>
      <c r="P1082" s="77"/>
      <c r="Q1082" s="78"/>
      <c r="Z1082" s="79"/>
      <c r="AA1082" s="80"/>
      <c r="AB1082" s="34"/>
      <c r="AC1082" s="34"/>
      <c r="AD1082" s="33"/>
      <c r="AE1082" s="33"/>
      <c r="AF1082" s="33"/>
      <c r="AG1082" s="33"/>
      <c r="AH1082" s="33"/>
      <c r="AI1082" s="33"/>
      <c r="AJ1082" s="33"/>
      <c r="AK1082" s="33"/>
      <c r="AL1082" s="33"/>
      <c r="AM1082" s="33"/>
      <c r="AN1082" s="33"/>
      <c r="AO1082" s="33"/>
    </row>
    <row r="1083" spans="1:41" ht="17.25" thickTop="1" thickBot="1">
      <c r="A1083" s="34"/>
      <c r="B1083" s="34"/>
      <c r="C1083" s="33"/>
      <c r="D1083" s="33"/>
      <c r="E1083" s="33"/>
      <c r="F1083" s="33"/>
      <c r="G1083" s="33"/>
      <c r="H1083" s="33"/>
      <c r="I1083" s="33"/>
      <c r="J1083" s="33"/>
      <c r="K1083" s="34"/>
      <c r="L1083" s="34"/>
      <c r="M1083" s="33"/>
      <c r="N1083" s="33"/>
      <c r="O1083" s="77"/>
      <c r="P1083" s="77"/>
      <c r="Q1083" s="78"/>
      <c r="Z1083" s="79"/>
      <c r="AA1083" s="80"/>
      <c r="AB1083" s="34"/>
      <c r="AC1083" s="34"/>
      <c r="AD1083" s="33"/>
      <c r="AE1083" s="33"/>
      <c r="AF1083" s="33"/>
      <c r="AG1083" s="33"/>
      <c r="AH1083" s="33"/>
      <c r="AI1083" s="33"/>
      <c r="AJ1083" s="33"/>
      <c r="AK1083" s="33"/>
      <c r="AL1083" s="33"/>
      <c r="AM1083" s="33"/>
      <c r="AN1083" s="33"/>
      <c r="AO1083" s="33"/>
    </row>
    <row r="1084" spans="1:41" ht="19.5" thickTop="1" thickBot="1">
      <c r="A1084" s="1321" t="s">
        <v>467</v>
      </c>
      <c r="B1084" s="1322"/>
      <c r="C1084" s="1323" t="s">
        <v>380</v>
      </c>
      <c r="D1084" s="1323"/>
      <c r="E1084" s="1323" t="s">
        <v>380</v>
      </c>
      <c r="F1084" s="1323"/>
      <c r="G1084" s="250"/>
      <c r="H1084" s="250" t="s">
        <v>468</v>
      </c>
      <c r="I1084" s="1295" t="s">
        <v>402</v>
      </c>
      <c r="J1084" s="1295"/>
      <c r="K1084" s="1295"/>
      <c r="L1084" s="102" t="s">
        <v>403</v>
      </c>
      <c r="M1084" s="1331">
        <v>43710</v>
      </c>
      <c r="N1084" s="1331"/>
      <c r="O1084" s="77"/>
      <c r="P1084" s="77"/>
      <c r="Q1084" s="78"/>
      <c r="Z1084" s="79"/>
      <c r="AA1084" s="80"/>
      <c r="AB1084" s="34"/>
      <c r="AC1084" s="34"/>
      <c r="AD1084" s="33"/>
      <c r="AE1084" s="33"/>
      <c r="AF1084" s="33"/>
      <c r="AG1084" s="33"/>
      <c r="AH1084" s="33"/>
      <c r="AI1084" s="33"/>
      <c r="AJ1084" s="33"/>
      <c r="AK1084" s="33"/>
      <c r="AL1084" s="33"/>
      <c r="AM1084" s="33"/>
      <c r="AN1084" s="33"/>
      <c r="AO1084" s="33"/>
    </row>
    <row r="1085" spans="1:41" ht="19.5" thickTop="1" thickBot="1">
      <c r="A1085" s="1321" t="s">
        <v>469</v>
      </c>
      <c r="B1085" s="1322"/>
      <c r="C1085" s="1323" t="s">
        <v>380</v>
      </c>
      <c r="D1085" s="1323"/>
      <c r="E1085" s="1323" t="s">
        <v>380</v>
      </c>
      <c r="F1085" s="1323"/>
      <c r="G1085" s="250"/>
      <c r="H1085" s="250"/>
      <c r="I1085" s="250"/>
      <c r="J1085" s="250"/>
      <c r="K1085" s="102"/>
      <c r="L1085" s="102"/>
      <c r="M1085" s="33"/>
      <c r="N1085" s="33"/>
      <c r="O1085" s="77"/>
      <c r="P1085" s="77"/>
      <c r="Q1085" s="78"/>
      <c r="Z1085" s="79"/>
      <c r="AA1085" s="80"/>
      <c r="AB1085" s="34"/>
      <c r="AC1085" s="34"/>
      <c r="AD1085" s="33"/>
      <c r="AE1085" s="33"/>
      <c r="AF1085" s="33"/>
      <c r="AG1085" s="33"/>
      <c r="AH1085" s="33"/>
      <c r="AI1085" s="33"/>
      <c r="AJ1085" s="33"/>
      <c r="AK1085" s="33"/>
      <c r="AL1085" s="33"/>
      <c r="AM1085" s="33"/>
      <c r="AN1085" s="33"/>
      <c r="AO1085" s="33"/>
    </row>
    <row r="1086" spans="1:41" ht="19.5" thickTop="1" thickBot="1">
      <c r="A1086" s="1321" t="s">
        <v>470</v>
      </c>
      <c r="B1086" s="1322"/>
      <c r="C1086" s="1323" t="s">
        <v>380</v>
      </c>
      <c r="D1086" s="1323"/>
      <c r="E1086" s="1323" t="s">
        <v>380</v>
      </c>
      <c r="F1086" s="1323"/>
      <c r="G1086" s="250"/>
      <c r="H1086" s="250"/>
      <c r="I1086" s="250"/>
      <c r="J1086" s="250" t="s">
        <v>471</v>
      </c>
      <c r="K1086" s="102"/>
      <c r="L1086" s="102"/>
      <c r="M1086" s="33"/>
      <c r="N1086" s="33"/>
      <c r="O1086" s="77"/>
      <c r="P1086" s="77"/>
      <c r="Q1086" s="78"/>
      <c r="Z1086" s="79"/>
      <c r="AA1086" s="80"/>
      <c r="AB1086" s="34"/>
      <c r="AC1086" s="34"/>
      <c r="AD1086" s="33"/>
      <c r="AE1086" s="33"/>
      <c r="AF1086" s="33"/>
      <c r="AG1086" s="33"/>
      <c r="AH1086" s="33"/>
      <c r="AI1086" s="33"/>
      <c r="AJ1086" s="33"/>
      <c r="AK1086" s="33"/>
      <c r="AL1086" s="33"/>
      <c r="AM1086" s="33"/>
      <c r="AN1086" s="33"/>
      <c r="AO1086" s="33"/>
    </row>
    <row r="1087" spans="1:41" ht="24" thickTop="1">
      <c r="A1087" s="34"/>
      <c r="B1087" s="34"/>
      <c r="C1087" s="33"/>
      <c r="D1087" s="33"/>
      <c r="E1087" s="33"/>
      <c r="F1087" s="33"/>
      <c r="G1087" s="33"/>
      <c r="H1087" s="103" t="s">
        <v>406</v>
      </c>
      <c r="I1087" s="33"/>
      <c r="J1087" s="34"/>
      <c r="K1087" s="34"/>
      <c r="L1087" s="33"/>
      <c r="M1087" s="33"/>
      <c r="N1087" s="104"/>
      <c r="O1087" s="77"/>
      <c r="P1087" s="77"/>
      <c r="Q1087" s="78"/>
      <c r="Z1087" s="79"/>
      <c r="AA1087" s="80"/>
      <c r="AB1087" s="34"/>
      <c r="AC1087" s="34"/>
      <c r="AD1087" s="33"/>
      <c r="AE1087" s="33"/>
      <c r="AF1087" s="33"/>
      <c r="AG1087" s="33"/>
      <c r="AH1087" s="33"/>
      <c r="AI1087" s="33"/>
      <c r="AJ1087" s="33"/>
      <c r="AK1087" s="33"/>
      <c r="AL1087" s="33"/>
      <c r="AM1087" s="33"/>
      <c r="AN1087" s="33"/>
      <c r="AO1087" s="33"/>
    </row>
    <row r="1088" spans="1:41" ht="18">
      <c r="A1088" s="1295" t="s">
        <v>78</v>
      </c>
      <c r="B1088" s="1295"/>
      <c r="C1088" s="1295"/>
      <c r="D1088" s="1295"/>
      <c r="E1088" s="1295"/>
      <c r="F1088" s="1295"/>
      <c r="G1088" s="1295"/>
      <c r="H1088" s="1295"/>
      <c r="I1088" s="1295"/>
      <c r="J1088" s="1295"/>
      <c r="K1088" s="1295"/>
      <c r="L1088" s="1295"/>
      <c r="M1088" s="1295"/>
      <c r="N1088" s="1295"/>
      <c r="O1088" s="77"/>
      <c r="P1088" s="77"/>
      <c r="Q1088" s="78"/>
      <c r="Z1088" s="79"/>
      <c r="AA1088" s="80"/>
      <c r="AB1088" s="34"/>
      <c r="AC1088" s="34"/>
      <c r="AD1088" s="33"/>
      <c r="AE1088" s="33"/>
      <c r="AF1088" s="33"/>
      <c r="AG1088" s="33"/>
      <c r="AH1088" s="33"/>
      <c r="AI1088" s="33"/>
      <c r="AJ1088" s="33"/>
      <c r="AK1088" s="33"/>
      <c r="AL1088" s="33"/>
      <c r="AM1088" s="33"/>
      <c r="AN1088" s="33"/>
      <c r="AO1088" s="33"/>
    </row>
    <row r="1089" spans="1:41" ht="18">
      <c r="A1089" s="1295" t="s">
        <v>79</v>
      </c>
      <c r="B1089" s="1295"/>
      <c r="C1089" s="1295"/>
      <c r="D1089" s="1295"/>
      <c r="E1089" s="1295"/>
      <c r="F1089" s="1295"/>
      <c r="G1089" s="1295"/>
      <c r="H1089" s="1295"/>
      <c r="I1089" s="1295"/>
      <c r="J1089" s="1295"/>
      <c r="K1089" s="1295"/>
      <c r="L1089" s="1295"/>
      <c r="M1089" s="1295"/>
      <c r="N1089" s="1295"/>
      <c r="O1089" s="77"/>
      <c r="P1089" s="77"/>
      <c r="Q1089" s="78"/>
      <c r="Z1089" s="79"/>
      <c r="AA1089" s="80"/>
      <c r="AB1089" s="34"/>
      <c r="AC1089" s="34"/>
      <c r="AD1089" s="33"/>
      <c r="AE1089" s="33"/>
      <c r="AF1089" s="33"/>
      <c r="AG1089" s="33"/>
      <c r="AH1089" s="33"/>
      <c r="AI1089" s="33"/>
      <c r="AJ1089" s="33"/>
      <c r="AK1089" s="33"/>
      <c r="AL1089" s="33"/>
      <c r="AM1089" s="33"/>
      <c r="AN1089" s="33"/>
      <c r="AO1089" s="33"/>
    </row>
    <row r="1090" spans="1:41" ht="18">
      <c r="A1090" s="168" t="s">
        <v>220</v>
      </c>
      <c r="B1090" s="250"/>
      <c r="C1090" s="250"/>
      <c r="D1090" s="250"/>
      <c r="E1090" s="250"/>
      <c r="F1090" s="250"/>
      <c r="G1090" s="250"/>
      <c r="H1090" s="250"/>
      <c r="I1090" s="250"/>
      <c r="J1090" s="250"/>
      <c r="K1090" s="250"/>
      <c r="L1090" s="250"/>
      <c r="M1090" s="33"/>
      <c r="N1090" s="33"/>
      <c r="O1090" s="77"/>
      <c r="P1090" s="77"/>
      <c r="Q1090" s="78"/>
      <c r="Z1090" s="79"/>
      <c r="AA1090" s="80"/>
      <c r="AB1090" s="34"/>
      <c r="AC1090" s="34"/>
      <c r="AD1090" s="33"/>
      <c r="AE1090" s="33"/>
      <c r="AF1090" s="33"/>
      <c r="AG1090" s="33"/>
      <c r="AH1090" s="33"/>
      <c r="AI1090" s="33"/>
      <c r="AJ1090" s="33"/>
      <c r="AK1090" s="33"/>
      <c r="AL1090" s="33"/>
      <c r="AM1090" s="33"/>
      <c r="AN1090" s="33"/>
      <c r="AO1090" s="33"/>
    </row>
    <row r="1091" spans="1:41" ht="18">
      <c r="A1091" s="168" t="s">
        <v>444</v>
      </c>
      <c r="B1091" s="250"/>
      <c r="C1091" s="250"/>
      <c r="D1091" s="250"/>
      <c r="E1091" s="250"/>
      <c r="F1091" s="250"/>
      <c r="G1091" s="250"/>
      <c r="H1091" s="250"/>
      <c r="I1091" s="250"/>
      <c r="J1091" s="250"/>
      <c r="K1091" s="250"/>
      <c r="L1091" s="250"/>
      <c r="M1091" s="33"/>
      <c r="N1091" s="33"/>
      <c r="O1091" s="77"/>
      <c r="P1091" s="77"/>
      <c r="Q1091" s="78"/>
      <c r="Z1091" s="79"/>
      <c r="AA1091" s="80"/>
      <c r="AB1091" s="34"/>
      <c r="AC1091" s="34"/>
      <c r="AD1091" s="33"/>
      <c r="AE1091" s="33"/>
      <c r="AF1091" s="33"/>
      <c r="AG1091" s="33"/>
      <c r="AH1091" s="33"/>
      <c r="AI1091" s="33"/>
      <c r="AJ1091" s="33"/>
      <c r="AK1091" s="33"/>
      <c r="AL1091" s="33"/>
      <c r="AM1091" s="33"/>
      <c r="AN1091" s="33"/>
      <c r="AO1091" s="33"/>
    </row>
    <row r="1092" spans="1:41" ht="18.75" thickBot="1">
      <c r="A1092" s="250"/>
      <c r="B1092" s="250"/>
      <c r="C1092" s="250"/>
      <c r="D1092" s="250"/>
      <c r="E1092" s="250"/>
      <c r="F1092" s="250"/>
      <c r="G1092" s="250"/>
      <c r="H1092" s="250"/>
      <c r="I1092" s="250"/>
      <c r="J1092" s="250"/>
      <c r="K1092" s="250"/>
      <c r="L1092" s="250"/>
      <c r="M1092" s="33"/>
      <c r="N1092" s="33"/>
      <c r="O1092" s="77"/>
      <c r="P1092" s="77"/>
      <c r="Q1092" s="78"/>
      <c r="Z1092" s="79"/>
      <c r="AA1092" s="80"/>
      <c r="AB1092" s="34"/>
      <c r="AC1092" s="34"/>
      <c r="AD1092" s="33"/>
      <c r="AE1092" s="33"/>
      <c r="AF1092" s="33"/>
      <c r="AG1092" s="33"/>
      <c r="AH1092" s="33"/>
      <c r="AI1092" s="33"/>
      <c r="AJ1092" s="33"/>
      <c r="AK1092" s="33"/>
      <c r="AL1092" s="33"/>
      <c r="AM1092" s="33"/>
      <c r="AN1092" s="33"/>
      <c r="AO1092" s="33"/>
    </row>
    <row r="1093" spans="1:41" ht="24" thickBot="1">
      <c r="A1093" s="250"/>
      <c r="B1093" s="250"/>
      <c r="C1093" s="1333" t="s">
        <v>446</v>
      </c>
      <c r="D1093" s="1334"/>
      <c r="E1093" s="1334"/>
      <c r="F1093" s="1334"/>
      <c r="G1093" s="1334"/>
      <c r="H1093" s="1334"/>
      <c r="I1093" s="1334"/>
      <c r="J1093" s="1334"/>
      <c r="K1093" s="1334"/>
      <c r="L1093" s="1335"/>
      <c r="M1093" s="33"/>
      <c r="N1093" s="33"/>
      <c r="O1093" s="77"/>
      <c r="P1093" s="77"/>
      <c r="Q1093" s="78"/>
      <c r="Z1093" s="79"/>
      <c r="AA1093" s="80"/>
      <c r="AB1093" s="34"/>
      <c r="AC1093" s="34"/>
      <c r="AD1093" s="33"/>
      <c r="AE1093" s="33"/>
      <c r="AF1093" s="33"/>
      <c r="AG1093" s="33"/>
      <c r="AH1093" s="33"/>
      <c r="AI1093" s="33"/>
      <c r="AJ1093" s="33"/>
      <c r="AK1093" s="33"/>
      <c r="AL1093" s="33"/>
      <c r="AM1093" s="33"/>
      <c r="AN1093" s="33"/>
      <c r="AO1093" s="33"/>
    </row>
    <row r="1094" spans="1:41" ht="23.25">
      <c r="A1094" s="250"/>
      <c r="B1094" s="250"/>
      <c r="C1094" s="249"/>
      <c r="D1094" s="249"/>
      <c r="E1094" s="249"/>
      <c r="F1094" s="249"/>
      <c r="G1094" s="249"/>
      <c r="H1094" s="249"/>
      <c r="I1094" s="249"/>
      <c r="J1094" s="249"/>
      <c r="K1094" s="249"/>
      <c r="L1094" s="249"/>
      <c r="M1094" s="33"/>
      <c r="N1094" s="33"/>
      <c r="O1094" s="77"/>
      <c r="P1094" s="77"/>
      <c r="Q1094" s="78"/>
      <c r="Z1094" s="79"/>
      <c r="AA1094" s="80"/>
      <c r="AB1094" s="34"/>
      <c r="AC1094" s="34"/>
      <c r="AD1094" s="33"/>
      <c r="AE1094" s="33"/>
      <c r="AF1094" s="33"/>
      <c r="AG1094" s="33"/>
      <c r="AH1094" s="33"/>
      <c r="AI1094" s="33"/>
      <c r="AJ1094" s="33"/>
      <c r="AK1094" s="33"/>
      <c r="AL1094" s="33"/>
      <c r="AM1094" s="33"/>
      <c r="AN1094" s="33"/>
      <c r="AO1094" s="33"/>
    </row>
    <row r="1095" spans="1:41" ht="23.25">
      <c r="A1095" s="1295" t="s">
        <v>448</v>
      </c>
      <c r="B1095" s="1295"/>
      <c r="C1095" s="1295"/>
      <c r="D1095" s="1294" t="s">
        <v>640</v>
      </c>
      <c r="E1095" s="1294"/>
      <c r="F1095" s="1294"/>
      <c r="G1095" s="1294"/>
      <c r="H1095" s="1294"/>
      <c r="I1095" s="249"/>
      <c r="J1095" s="249"/>
      <c r="K1095" s="249" t="s">
        <v>449</v>
      </c>
      <c r="L1095" s="249"/>
      <c r="M1095" s="1295" t="s">
        <v>386</v>
      </c>
      <c r="N1095" s="1295"/>
      <c r="O1095" s="1292" t="str">
        <f>D1095</f>
        <v>بار بن عمر حسيبة</v>
      </c>
      <c r="P1095" s="1292"/>
      <c r="Q1095" s="78">
        <v>33</v>
      </c>
      <c r="Z1095" s="79"/>
      <c r="AA1095" s="80"/>
      <c r="AB1095" s="34"/>
      <c r="AC1095" s="34"/>
      <c r="AD1095" s="33"/>
      <c r="AE1095" s="33"/>
      <c r="AF1095" s="33"/>
      <c r="AG1095" s="33"/>
      <c r="AH1095" s="33"/>
      <c r="AI1095" s="33"/>
      <c r="AJ1095" s="33"/>
      <c r="AK1095" s="33"/>
      <c r="AL1095" s="33"/>
      <c r="AM1095" s="33"/>
      <c r="AN1095" s="33"/>
      <c r="AO1095" s="33"/>
    </row>
    <row r="1096" spans="1:41" ht="24" thickBot="1">
      <c r="A1096" s="1340" t="s">
        <v>450</v>
      </c>
      <c r="B1096" s="1340"/>
      <c r="C1096" s="1340"/>
      <c r="D1096" s="1340">
        <v>0</v>
      </c>
      <c r="E1096" s="1340"/>
      <c r="F1096" s="1340"/>
      <c r="G1096" s="1340"/>
      <c r="H1096" s="87"/>
      <c r="I1096" s="1340" t="s">
        <v>452</v>
      </c>
      <c r="J1096" s="1340"/>
      <c r="K1096" s="1340"/>
      <c r="L1096" s="1341" t="s">
        <v>35</v>
      </c>
      <c r="M1096" s="1341"/>
      <c r="N1096" s="1341"/>
      <c r="O1096" s="77"/>
      <c r="P1096" s="77"/>
      <c r="Q1096" s="78"/>
      <c r="Z1096" s="79"/>
      <c r="AA1096" s="80"/>
      <c r="AB1096" s="34"/>
      <c r="AC1096" s="34"/>
      <c r="AD1096" s="33"/>
      <c r="AE1096" s="33"/>
      <c r="AF1096" s="33"/>
      <c r="AG1096" s="33"/>
      <c r="AH1096" s="33"/>
      <c r="AI1096" s="33"/>
      <c r="AJ1096" s="33"/>
      <c r="AK1096" s="33"/>
      <c r="AL1096" s="33"/>
      <c r="AM1096" s="33"/>
      <c r="AN1096" s="33"/>
      <c r="AO1096" s="33"/>
    </row>
    <row r="1097" spans="1:41" ht="17.25" thickTop="1" thickBot="1">
      <c r="A1097" s="1318" t="s">
        <v>453</v>
      </c>
      <c r="B1097" s="1319"/>
      <c r="C1097" s="88" t="s">
        <v>6</v>
      </c>
      <c r="D1097" s="89" t="s">
        <v>639</v>
      </c>
      <c r="E1097" s="89" t="s">
        <v>8</v>
      </c>
      <c r="F1097" s="89" t="s">
        <v>35</v>
      </c>
      <c r="G1097" s="89"/>
      <c r="H1097" s="89" t="s">
        <v>380</v>
      </c>
      <c r="I1097" s="89" t="s">
        <v>380</v>
      </c>
      <c r="J1097" s="89" t="s">
        <v>380</v>
      </c>
      <c r="K1097" s="89" t="s">
        <v>380</v>
      </c>
      <c r="L1097" s="89" t="s">
        <v>380</v>
      </c>
      <c r="M1097" s="89" t="s">
        <v>380</v>
      </c>
      <c r="N1097" s="90" t="s">
        <v>380</v>
      </c>
      <c r="Z1097" s="79"/>
      <c r="AA1097" s="80"/>
      <c r="AB1097" s="34"/>
      <c r="AC1097" s="34"/>
      <c r="AD1097" s="33"/>
      <c r="AE1097" s="33"/>
      <c r="AF1097" s="33"/>
      <c r="AG1097" s="33"/>
      <c r="AH1097" s="33"/>
      <c r="AI1097" s="33"/>
      <c r="AJ1097" s="33"/>
      <c r="AK1097" s="33"/>
      <c r="AL1097" s="33"/>
      <c r="AM1097" s="33"/>
      <c r="AN1097" s="33"/>
      <c r="AO1097" s="33"/>
    </row>
    <row r="1098" spans="1:41" ht="24" thickBot="1">
      <c r="A1098" s="1329" t="s">
        <v>454</v>
      </c>
      <c r="B1098" s="1330"/>
      <c r="C1098" s="91">
        <v>3</v>
      </c>
      <c r="D1098" s="210">
        <v>4</v>
      </c>
      <c r="E1098" s="210">
        <v>3</v>
      </c>
      <c r="F1098" s="210">
        <v>4</v>
      </c>
      <c r="G1098" s="210"/>
      <c r="H1098" s="210" t="s">
        <v>380</v>
      </c>
      <c r="I1098" s="210" t="s">
        <v>380</v>
      </c>
      <c r="J1098" s="210" t="s">
        <v>380</v>
      </c>
      <c r="K1098" s="210" t="s">
        <v>380</v>
      </c>
      <c r="L1098" s="210" t="s">
        <v>380</v>
      </c>
      <c r="M1098" s="210" t="s">
        <v>380</v>
      </c>
      <c r="N1098" s="92" t="s">
        <v>380</v>
      </c>
      <c r="O1098" s="152"/>
      <c r="R1098" s="78"/>
      <c r="Z1098" s="79"/>
      <c r="AA1098" s="80"/>
      <c r="AB1098" s="34"/>
      <c r="AC1098" s="34"/>
      <c r="AD1098" s="33"/>
      <c r="AE1098" s="33"/>
      <c r="AF1098" s="33"/>
      <c r="AG1098" s="33"/>
      <c r="AH1098" s="33"/>
      <c r="AI1098" s="33"/>
      <c r="AJ1098" s="33"/>
      <c r="AK1098" s="33"/>
      <c r="AL1098" s="33"/>
      <c r="AM1098" s="33"/>
      <c r="AN1098" s="33"/>
      <c r="AO1098" s="33"/>
    </row>
    <row r="1099" spans="1:41" ht="24" thickBot="1">
      <c r="A1099" s="1329" t="s">
        <v>455</v>
      </c>
      <c r="B1099" s="1330"/>
      <c r="C1099" s="91"/>
      <c r="D1099" s="210"/>
      <c r="E1099" s="210"/>
      <c r="F1099" s="210"/>
      <c r="G1099" s="210"/>
      <c r="H1099" s="210" t="s">
        <v>380</v>
      </c>
      <c r="I1099" s="210" t="s">
        <v>380</v>
      </c>
      <c r="J1099" s="210" t="s">
        <v>380</v>
      </c>
      <c r="K1099" s="210" t="s">
        <v>380</v>
      </c>
      <c r="L1099" s="210" t="s">
        <v>380</v>
      </c>
      <c r="M1099" s="210" t="s">
        <v>380</v>
      </c>
      <c r="N1099" s="92" t="s">
        <v>380</v>
      </c>
      <c r="O1099" s="152"/>
      <c r="R1099" s="78"/>
      <c r="Z1099" s="79"/>
      <c r="AA1099" s="80"/>
      <c r="AB1099" s="34"/>
      <c r="AC1099" s="34"/>
      <c r="AD1099" s="33"/>
      <c r="AE1099" s="33"/>
      <c r="AF1099" s="33"/>
      <c r="AG1099" s="33"/>
      <c r="AH1099" s="33"/>
      <c r="AI1099" s="33"/>
      <c r="AJ1099" s="33"/>
      <c r="AK1099" s="33"/>
      <c r="AL1099" s="33"/>
      <c r="AM1099" s="33"/>
      <c r="AN1099" s="33"/>
      <c r="AO1099" s="33"/>
    </row>
    <row r="1100" spans="1:41" ht="24" thickBot="1">
      <c r="A1100" s="1327" t="s">
        <v>456</v>
      </c>
      <c r="B1100" s="1328"/>
      <c r="C1100" s="93"/>
      <c r="D1100" s="94"/>
      <c r="E1100" s="94"/>
      <c r="F1100" s="94"/>
      <c r="G1100" s="94"/>
      <c r="H1100" s="94" t="s">
        <v>380</v>
      </c>
      <c r="I1100" s="94" t="s">
        <v>380</v>
      </c>
      <c r="J1100" s="94" t="s">
        <v>380</v>
      </c>
      <c r="K1100" s="94" t="s">
        <v>380</v>
      </c>
      <c r="L1100" s="94" t="s">
        <v>380</v>
      </c>
      <c r="M1100" s="94" t="s">
        <v>380</v>
      </c>
      <c r="N1100" s="95" t="s">
        <v>380</v>
      </c>
      <c r="O1100" s="152"/>
      <c r="Z1100" s="79"/>
      <c r="AA1100" s="80"/>
      <c r="AB1100" s="34"/>
      <c r="AC1100" s="34"/>
      <c r="AD1100" s="33"/>
      <c r="AE1100" s="33"/>
      <c r="AF1100" s="33"/>
      <c r="AG1100" s="33"/>
      <c r="AH1100" s="33"/>
      <c r="AI1100" s="33"/>
      <c r="AJ1100" s="33"/>
      <c r="AK1100" s="33"/>
      <c r="AL1100" s="33"/>
      <c r="AM1100" s="33"/>
      <c r="AN1100" s="33"/>
      <c r="AO1100" s="33"/>
    </row>
    <row r="1101" spans="1:41" ht="21" thickTop="1">
      <c r="A1101" s="96"/>
      <c r="B1101" s="96"/>
      <c r="C1101" s="96"/>
      <c r="D1101" s="96"/>
      <c r="E1101" s="1326" t="s">
        <v>457</v>
      </c>
      <c r="F1101" s="1310"/>
      <c r="G1101" s="97">
        <v>18</v>
      </c>
      <c r="H1101" s="1310" t="s">
        <v>458</v>
      </c>
      <c r="I1101" s="1311"/>
      <c r="J1101" s="1310" t="s">
        <v>459</v>
      </c>
      <c r="K1101" s="1311"/>
      <c r="L1101" s="96"/>
      <c r="M1101" s="96"/>
      <c r="N1101" s="96"/>
      <c r="O1101" s="77"/>
      <c r="P1101" s="77"/>
      <c r="Q1101" s="78"/>
      <c r="Z1101" s="79"/>
      <c r="AA1101" s="80"/>
      <c r="AB1101" s="34"/>
      <c r="AC1101" s="34"/>
      <c r="AD1101" s="33"/>
      <c r="AE1101" s="33"/>
      <c r="AF1101" s="33"/>
      <c r="AG1101" s="33"/>
      <c r="AH1101" s="33"/>
      <c r="AI1101" s="33"/>
      <c r="AJ1101" s="33"/>
      <c r="AK1101" s="33"/>
      <c r="AL1101" s="33"/>
      <c r="AM1101" s="33"/>
      <c r="AN1101" s="33"/>
      <c r="AO1101" s="33"/>
    </row>
    <row r="1102" spans="1:41" ht="23.25">
      <c r="A1102" s="96"/>
      <c r="B1102" s="96"/>
      <c r="C1102" s="96"/>
      <c r="D1102" s="96"/>
      <c r="E1102" s="1307" t="s">
        <v>460</v>
      </c>
      <c r="F1102" s="1308"/>
      <c r="G1102" s="98">
        <v>16</v>
      </c>
      <c r="H1102" s="1312">
        <v>0</v>
      </c>
      <c r="I1102" s="1312"/>
      <c r="J1102" s="1312">
        <v>0</v>
      </c>
      <c r="K1102" s="1313"/>
      <c r="L1102" s="96"/>
      <c r="M1102" s="96"/>
      <c r="N1102" s="96"/>
      <c r="O1102" s="77"/>
      <c r="P1102" s="77"/>
      <c r="Q1102" s="78">
        <f>G1102+H1102+H1104+J1102</f>
        <v>16</v>
      </c>
      <c r="Z1102" s="79"/>
      <c r="AA1102" s="80"/>
      <c r="AB1102" s="34"/>
      <c r="AC1102" s="34"/>
      <c r="AD1102" s="33"/>
      <c r="AE1102" s="33"/>
      <c r="AF1102" s="33"/>
      <c r="AG1102" s="33"/>
      <c r="AH1102" s="33"/>
      <c r="AI1102" s="33"/>
      <c r="AJ1102" s="33"/>
      <c r="AK1102" s="33"/>
      <c r="AL1102" s="33"/>
      <c r="AM1102" s="33"/>
      <c r="AN1102" s="33"/>
      <c r="AO1102" s="33"/>
    </row>
    <row r="1103" spans="1:41" ht="20.25">
      <c r="A1103" s="96"/>
      <c r="B1103" s="96"/>
      <c r="C1103" s="96"/>
      <c r="D1103" s="96"/>
      <c r="E1103" s="1307" t="s">
        <v>461</v>
      </c>
      <c r="F1103" s="1308"/>
      <c r="G1103" s="99"/>
      <c r="H1103" s="1308" t="s">
        <v>462</v>
      </c>
      <c r="I1103" s="1308"/>
      <c r="J1103" s="1308" t="s">
        <v>463</v>
      </c>
      <c r="K1103" s="1309"/>
      <c r="L1103" s="96"/>
      <c r="M1103" s="96"/>
      <c r="N1103" s="96"/>
      <c r="O1103" s="77"/>
      <c r="P1103" s="77"/>
      <c r="Q1103" s="78"/>
      <c r="Z1103" s="79"/>
      <c r="AA1103" s="80"/>
      <c r="AB1103" s="34"/>
      <c r="AC1103" s="34"/>
      <c r="AD1103" s="33"/>
      <c r="AE1103" s="33"/>
      <c r="AF1103" s="33"/>
      <c r="AG1103" s="33"/>
      <c r="AH1103" s="33"/>
      <c r="AI1103" s="33"/>
      <c r="AJ1103" s="33"/>
      <c r="AK1103" s="33"/>
      <c r="AL1103" s="33"/>
      <c r="AM1103" s="33"/>
      <c r="AN1103" s="33"/>
      <c r="AO1103" s="33"/>
    </row>
    <row r="1104" spans="1:41" ht="24" thickBot="1">
      <c r="A1104" s="96"/>
      <c r="B1104" s="96"/>
      <c r="C1104" s="96"/>
      <c r="D1104" s="96"/>
      <c r="E1104" s="1303" t="s">
        <v>464</v>
      </c>
      <c r="F1104" s="1304"/>
      <c r="G1104" s="99">
        <v>0</v>
      </c>
      <c r="H1104" s="1305">
        <v>0</v>
      </c>
      <c r="I1104" s="1305"/>
      <c r="J1104" s="1305">
        <v>0</v>
      </c>
      <c r="K1104" s="1306"/>
      <c r="L1104" s="96"/>
      <c r="M1104" s="96"/>
      <c r="N1104" s="96"/>
      <c r="O1104" s="77"/>
      <c r="P1104" s="77"/>
      <c r="Q1104" s="78"/>
      <c r="Z1104" s="79"/>
      <c r="AA1104" s="80"/>
      <c r="AB1104" s="34"/>
      <c r="AC1104" s="34"/>
      <c r="AD1104" s="33"/>
      <c r="AE1104" s="33"/>
      <c r="AF1104" s="33"/>
      <c r="AG1104" s="33"/>
      <c r="AH1104" s="33"/>
      <c r="AI1104" s="33"/>
      <c r="AJ1104" s="33"/>
      <c r="AK1104" s="33"/>
      <c r="AL1104" s="33"/>
      <c r="AM1104" s="33"/>
      <c r="AN1104" s="33"/>
      <c r="AO1104" s="33"/>
    </row>
    <row r="1105" spans="1:41" ht="17.25" thickTop="1" thickBot="1">
      <c r="A1105" s="34"/>
      <c r="B1105" s="34"/>
      <c r="C1105" s="1299" t="s">
        <v>465</v>
      </c>
      <c r="D1105" s="1299"/>
      <c r="E1105" s="1299" t="s">
        <v>360</v>
      </c>
      <c r="F1105" s="1299"/>
      <c r="G1105" s="1302" t="s">
        <v>368</v>
      </c>
      <c r="H1105" s="1302"/>
      <c r="I1105" s="1302" t="s">
        <v>369</v>
      </c>
      <c r="J1105" s="1302"/>
      <c r="K1105" s="1302" t="s">
        <v>370</v>
      </c>
      <c r="L1105" s="1299"/>
      <c r="M1105" s="1299" t="s">
        <v>371</v>
      </c>
      <c r="N1105" s="1299"/>
      <c r="O1105" s="77"/>
      <c r="P1105" s="77"/>
      <c r="Q1105" s="78"/>
      <c r="Z1105" s="79"/>
      <c r="AA1105" s="80"/>
      <c r="AB1105" s="34"/>
      <c r="AC1105" s="34"/>
      <c r="AD1105" s="33"/>
      <c r="AE1105" s="33"/>
      <c r="AF1105" s="33"/>
      <c r="AG1105" s="33"/>
      <c r="AH1105" s="33"/>
      <c r="AI1105" s="33"/>
      <c r="AJ1105" s="33"/>
      <c r="AK1105" s="33"/>
      <c r="AL1105" s="33"/>
      <c r="AM1105" s="33"/>
      <c r="AN1105" s="33"/>
      <c r="AO1105" s="33"/>
    </row>
    <row r="1106" spans="1:41" ht="17.25" thickTop="1" thickBot="1">
      <c r="A1106" s="34"/>
      <c r="B1106" s="34"/>
      <c r="C1106" s="1299" t="s">
        <v>372</v>
      </c>
      <c r="D1106" s="1299"/>
      <c r="E1106" s="1297"/>
      <c r="F1106" s="1297"/>
      <c r="G1106" s="1297" t="s">
        <v>35</v>
      </c>
      <c r="H1106" s="1297"/>
      <c r="I1106" s="1297"/>
      <c r="J1106" s="1297"/>
      <c r="K1106" s="1297"/>
      <c r="L1106" s="1297"/>
      <c r="M1106" s="1297"/>
      <c r="N1106" s="1297"/>
      <c r="O1106" s="77"/>
      <c r="P1106" s="77"/>
      <c r="Q1106" s="78"/>
      <c r="Z1106" s="79"/>
      <c r="AA1106" s="80"/>
      <c r="AB1106" s="34"/>
      <c r="AC1106" s="34"/>
      <c r="AD1106" s="33"/>
      <c r="AE1106" s="33"/>
      <c r="AF1106" s="33"/>
      <c r="AG1106" s="33"/>
      <c r="AH1106" s="33"/>
      <c r="AI1106" s="33"/>
      <c r="AJ1106" s="33"/>
      <c r="AK1106" s="33"/>
      <c r="AL1106" s="33"/>
      <c r="AM1106" s="33"/>
      <c r="AN1106" s="33"/>
      <c r="AO1106" s="33"/>
    </row>
    <row r="1107" spans="1:41" ht="17.25" thickTop="1" thickBot="1">
      <c r="A1107" s="34"/>
      <c r="B1107" s="34"/>
      <c r="C1107" s="1299" t="s">
        <v>373</v>
      </c>
      <c r="D1107" s="1299"/>
      <c r="E1107" s="1297"/>
      <c r="F1107" s="1297"/>
      <c r="G1107" s="1297" t="s">
        <v>35</v>
      </c>
      <c r="H1107" s="1297"/>
      <c r="I1107" s="1297"/>
      <c r="J1107" s="1297"/>
      <c r="K1107" s="1297" t="s">
        <v>8</v>
      </c>
      <c r="L1107" s="1297"/>
      <c r="M1107" s="1297" t="s">
        <v>639</v>
      </c>
      <c r="N1107" s="1297"/>
      <c r="O1107" s="77"/>
      <c r="P1107" s="77"/>
      <c r="Q1107" s="78"/>
      <c r="Z1107" s="79"/>
      <c r="AA1107" s="80"/>
      <c r="AB1107" s="34"/>
      <c r="AC1107" s="34"/>
      <c r="AD1107" s="33"/>
      <c r="AE1107" s="33"/>
      <c r="AF1107" s="33"/>
      <c r="AG1107" s="33"/>
      <c r="AH1107" s="33"/>
      <c r="AI1107" s="33"/>
      <c r="AJ1107" s="33"/>
      <c r="AK1107" s="33"/>
      <c r="AL1107" s="33"/>
      <c r="AM1107" s="33"/>
      <c r="AN1107" s="33"/>
      <c r="AO1107" s="33"/>
    </row>
    <row r="1108" spans="1:41" ht="17.25" thickTop="1" thickBot="1">
      <c r="A1108" s="34"/>
      <c r="B1108" s="34"/>
      <c r="C1108" s="1299" t="s">
        <v>374</v>
      </c>
      <c r="D1108" s="1299"/>
      <c r="E1108" s="1297"/>
      <c r="F1108" s="1297"/>
      <c r="G1108" s="1297" t="s">
        <v>6</v>
      </c>
      <c r="H1108" s="1297"/>
      <c r="I1108" s="1297"/>
      <c r="J1108" s="1297"/>
      <c r="K1108" s="1297"/>
      <c r="L1108" s="1297"/>
      <c r="M1108" s="1297" t="s">
        <v>639</v>
      </c>
      <c r="N1108" s="1297"/>
      <c r="O1108" s="77"/>
      <c r="P1108" s="77"/>
      <c r="Q1108" s="78"/>
      <c r="Z1108" s="79"/>
      <c r="AA1108" s="80"/>
      <c r="AB1108" s="34"/>
      <c r="AC1108" s="34"/>
      <c r="AD1108" s="33"/>
      <c r="AE1108" s="33"/>
      <c r="AF1108" s="33"/>
      <c r="AG1108" s="33"/>
      <c r="AH1108" s="33"/>
      <c r="AI1108" s="33"/>
      <c r="AJ1108" s="33"/>
      <c r="AK1108" s="33"/>
      <c r="AL1108" s="33"/>
      <c r="AM1108" s="33"/>
      <c r="AN1108" s="33"/>
      <c r="AO1108" s="33"/>
    </row>
    <row r="1109" spans="1:41" ht="17.25" thickTop="1" thickBot="1">
      <c r="A1109" s="34"/>
      <c r="B1109" s="34"/>
      <c r="C1109" s="1299" t="s">
        <v>375</v>
      </c>
      <c r="D1109" s="1299"/>
      <c r="E1109" s="1297"/>
      <c r="F1109" s="1297"/>
      <c r="G1109" s="1297"/>
      <c r="H1109" s="1297"/>
      <c r="I1109" s="1297"/>
      <c r="J1109" s="1297"/>
      <c r="K1109" s="1297" t="s">
        <v>35</v>
      </c>
      <c r="L1109" s="1297"/>
      <c r="M1109" s="1297"/>
      <c r="N1109" s="1297"/>
      <c r="O1109" s="77"/>
      <c r="P1109" s="77"/>
      <c r="Q1109" s="78"/>
      <c r="Z1109" s="79"/>
      <c r="AA1109" s="80"/>
      <c r="AB1109" s="34"/>
      <c r="AC1109" s="34"/>
      <c r="AD1109" s="33"/>
      <c r="AE1109" s="33"/>
      <c r="AF1109" s="33"/>
      <c r="AG1109" s="33"/>
      <c r="AH1109" s="33"/>
      <c r="AI1109" s="33"/>
      <c r="AJ1109" s="33"/>
      <c r="AK1109" s="33"/>
      <c r="AL1109" s="33"/>
      <c r="AM1109" s="33"/>
      <c r="AN1109" s="33"/>
      <c r="AO1109" s="33"/>
    </row>
    <row r="1110" spans="1:41" ht="17.25" thickTop="1" thickBot="1">
      <c r="A1110" s="34"/>
      <c r="B1110" s="34"/>
      <c r="C1110" s="101"/>
      <c r="D1110" s="101"/>
      <c r="E1110" s="33"/>
      <c r="F1110" s="33"/>
      <c r="G1110" s="33"/>
      <c r="H1110" s="33"/>
      <c r="I1110" s="33"/>
      <c r="J1110" s="33"/>
      <c r="K1110" s="34"/>
      <c r="L1110" s="34"/>
      <c r="M1110" s="33"/>
      <c r="N1110" s="33"/>
      <c r="O1110" s="77"/>
      <c r="P1110" s="77"/>
      <c r="Q1110" s="78"/>
      <c r="Z1110" s="79"/>
      <c r="AA1110" s="80"/>
      <c r="AB1110" s="34"/>
      <c r="AC1110" s="34"/>
      <c r="AD1110" s="33"/>
      <c r="AE1110" s="33"/>
      <c r="AF1110" s="33"/>
      <c r="AG1110" s="33"/>
      <c r="AH1110" s="33"/>
      <c r="AI1110" s="33"/>
      <c r="AJ1110" s="33"/>
      <c r="AK1110" s="33"/>
      <c r="AL1110" s="33"/>
      <c r="AM1110" s="33"/>
      <c r="AN1110" s="33"/>
      <c r="AO1110" s="33"/>
    </row>
    <row r="1111" spans="1:41" ht="17.25" thickTop="1" thickBot="1">
      <c r="A1111" s="34"/>
      <c r="B1111" s="34"/>
      <c r="C1111" s="1299" t="s">
        <v>921</v>
      </c>
      <c r="D1111" s="1299"/>
      <c r="E1111" s="1297" t="s">
        <v>8</v>
      </c>
      <c r="F1111" s="1297"/>
      <c r="G1111" s="1297"/>
      <c r="H1111" s="1297"/>
      <c r="I1111" s="1297"/>
      <c r="J1111" s="1297"/>
      <c r="K1111" s="1297"/>
      <c r="L1111" s="1297"/>
      <c r="M1111" s="1297"/>
      <c r="N1111" s="1297"/>
      <c r="O1111" s="77"/>
      <c r="P1111" s="77"/>
      <c r="Q1111" s="78"/>
      <c r="Z1111" s="79"/>
      <c r="AA1111" s="80"/>
      <c r="AB1111" s="34"/>
      <c r="AC1111" s="34"/>
      <c r="AD1111" s="33"/>
      <c r="AE1111" s="33"/>
      <c r="AF1111" s="33"/>
      <c r="AG1111" s="33"/>
      <c r="AH1111" s="33"/>
      <c r="AI1111" s="33"/>
      <c r="AJ1111" s="33"/>
      <c r="AK1111" s="33"/>
      <c r="AL1111" s="33"/>
      <c r="AM1111" s="33"/>
      <c r="AN1111" s="33"/>
      <c r="AO1111" s="33"/>
    </row>
    <row r="1112" spans="1:41" ht="17.25" thickTop="1" thickBot="1">
      <c r="A1112" s="34"/>
      <c r="B1112" s="34"/>
      <c r="C1112" s="1299" t="s">
        <v>922</v>
      </c>
      <c r="D1112" s="1299"/>
      <c r="E1112" s="1297" t="s">
        <v>6</v>
      </c>
      <c r="F1112" s="1297"/>
      <c r="G1112" s="1297" t="s">
        <v>639</v>
      </c>
      <c r="H1112" s="1297"/>
      <c r="I1112" s="1297"/>
      <c r="J1112" s="1297"/>
      <c r="K1112" s="1297" t="s">
        <v>639</v>
      </c>
      <c r="L1112" s="1297"/>
      <c r="M1112" s="1297"/>
      <c r="N1112" s="1297"/>
      <c r="O1112" s="77"/>
      <c r="P1112" s="77"/>
      <c r="Q1112" s="78"/>
      <c r="Z1112" s="79"/>
      <c r="AA1112" s="80"/>
      <c r="AB1112" s="34"/>
      <c r="AC1112" s="34"/>
      <c r="AD1112" s="33"/>
      <c r="AE1112" s="33"/>
      <c r="AF1112" s="33"/>
      <c r="AG1112" s="33"/>
      <c r="AH1112" s="33"/>
      <c r="AI1112" s="33"/>
      <c r="AJ1112" s="33"/>
      <c r="AK1112" s="33"/>
      <c r="AL1112" s="33"/>
      <c r="AM1112" s="33"/>
      <c r="AN1112" s="33"/>
      <c r="AO1112" s="33"/>
    </row>
    <row r="1113" spans="1:41" ht="17.25" thickTop="1" thickBot="1">
      <c r="A1113" s="34"/>
      <c r="B1113" s="34"/>
      <c r="C1113" s="1299" t="s">
        <v>923</v>
      </c>
      <c r="D1113" s="1299"/>
      <c r="E1113" s="1297" t="s">
        <v>35</v>
      </c>
      <c r="F1113" s="1297"/>
      <c r="G1113" s="1297" t="s">
        <v>8</v>
      </c>
      <c r="H1113" s="1297"/>
      <c r="I1113" s="1297"/>
      <c r="J1113" s="1297"/>
      <c r="K1113" s="1297" t="s">
        <v>6</v>
      </c>
      <c r="L1113" s="1297"/>
      <c r="M1113" s="1315"/>
      <c r="N1113" s="1316"/>
      <c r="O1113" s="77"/>
      <c r="P1113" s="77"/>
      <c r="Q1113" s="78"/>
      <c r="Z1113" s="79"/>
      <c r="AA1113" s="80"/>
      <c r="AB1113" s="34"/>
      <c r="AC1113" s="34"/>
      <c r="AD1113" s="33"/>
      <c r="AE1113" s="33"/>
      <c r="AF1113" s="33"/>
      <c r="AG1113" s="33"/>
      <c r="AH1113" s="33"/>
      <c r="AI1113" s="33"/>
      <c r="AJ1113" s="33"/>
      <c r="AK1113" s="33"/>
      <c r="AL1113" s="33"/>
      <c r="AM1113" s="33"/>
      <c r="AN1113" s="33"/>
      <c r="AO1113" s="33"/>
    </row>
    <row r="1114" spans="1:41" ht="17.25" thickTop="1" thickBot="1">
      <c r="A1114" s="34"/>
      <c r="B1114" s="34"/>
      <c r="C1114" s="1299" t="s">
        <v>924</v>
      </c>
      <c r="D1114" s="1299"/>
      <c r="E1114" s="1297" t="s">
        <v>380</v>
      </c>
      <c r="F1114" s="1297"/>
      <c r="G1114" s="1297" t="s">
        <v>380</v>
      </c>
      <c r="H1114" s="1297"/>
      <c r="I1114" s="1297" t="s">
        <v>380</v>
      </c>
      <c r="J1114" s="1297"/>
      <c r="K1114" s="1297" t="s">
        <v>380</v>
      </c>
      <c r="L1114" s="1297"/>
      <c r="M1114" s="1297" t="s">
        <v>380</v>
      </c>
      <c r="N1114" s="1297"/>
      <c r="O1114" s="77"/>
      <c r="P1114" s="77"/>
      <c r="Q1114" s="78"/>
      <c r="Z1114" s="79"/>
      <c r="AA1114" s="80"/>
      <c r="AB1114" s="34"/>
      <c r="AC1114" s="34"/>
      <c r="AD1114" s="33"/>
      <c r="AE1114" s="33"/>
      <c r="AF1114" s="33"/>
      <c r="AG1114" s="33"/>
      <c r="AH1114" s="33"/>
      <c r="AI1114" s="33"/>
      <c r="AJ1114" s="33"/>
      <c r="AK1114" s="33"/>
      <c r="AL1114" s="33"/>
      <c r="AM1114" s="33"/>
      <c r="AN1114" s="33"/>
      <c r="AO1114" s="33"/>
    </row>
    <row r="1115" spans="1:41" ht="17.25" thickTop="1" thickBot="1">
      <c r="A1115" s="34"/>
      <c r="B1115" s="34"/>
      <c r="C1115" s="33"/>
      <c r="D1115" s="33"/>
      <c r="E1115" s="33"/>
      <c r="F1115" s="33"/>
      <c r="G1115" s="33"/>
      <c r="H1115" s="33"/>
      <c r="I1115" s="33"/>
      <c r="J1115" s="33"/>
      <c r="K1115" s="34"/>
      <c r="L1115" s="34"/>
      <c r="M1115" s="33"/>
      <c r="N1115" s="33"/>
      <c r="O1115" s="77"/>
      <c r="P1115" s="77"/>
      <c r="Q1115" s="78"/>
      <c r="Z1115" s="79"/>
      <c r="AA1115" s="80"/>
      <c r="AB1115" s="34"/>
      <c r="AC1115" s="34"/>
      <c r="AD1115" s="33"/>
      <c r="AE1115" s="33"/>
      <c r="AF1115" s="33"/>
      <c r="AG1115" s="33"/>
      <c r="AH1115" s="33"/>
      <c r="AI1115" s="33"/>
      <c r="AJ1115" s="33"/>
      <c r="AK1115" s="33"/>
      <c r="AL1115" s="33"/>
      <c r="AM1115" s="33"/>
      <c r="AN1115" s="33"/>
      <c r="AO1115" s="33"/>
    </row>
    <row r="1116" spans="1:41" ht="19.5" thickTop="1" thickBot="1">
      <c r="A1116" s="1321" t="s">
        <v>467</v>
      </c>
      <c r="B1116" s="1322"/>
      <c r="C1116" s="1323" t="s">
        <v>380</v>
      </c>
      <c r="D1116" s="1323"/>
      <c r="E1116" s="1323" t="s">
        <v>380</v>
      </c>
      <c r="F1116" s="1323"/>
      <c r="G1116" s="250"/>
      <c r="H1116" s="250" t="s">
        <v>468</v>
      </c>
      <c r="I1116" s="1295" t="s">
        <v>402</v>
      </c>
      <c r="J1116" s="1295"/>
      <c r="K1116" s="1295"/>
      <c r="L1116" s="102" t="s">
        <v>403</v>
      </c>
      <c r="M1116" s="1331">
        <f ca="1">TODAY()</f>
        <v>45944</v>
      </c>
      <c r="N1116" s="1331"/>
      <c r="O1116" s="77"/>
      <c r="P1116" s="77"/>
      <c r="Q1116" s="78"/>
      <c r="Z1116" s="79"/>
      <c r="AA1116" s="80"/>
      <c r="AB1116" s="34"/>
      <c r="AC1116" s="34"/>
      <c r="AD1116" s="33"/>
      <c r="AE1116" s="33"/>
      <c r="AF1116" s="33"/>
      <c r="AG1116" s="33"/>
      <c r="AH1116" s="33"/>
      <c r="AI1116" s="33"/>
      <c r="AJ1116" s="33"/>
      <c r="AK1116" s="33"/>
      <c r="AL1116" s="33"/>
      <c r="AM1116" s="33"/>
      <c r="AN1116" s="33"/>
      <c r="AO1116" s="33"/>
    </row>
    <row r="1117" spans="1:41" ht="19.5" thickTop="1" thickBot="1">
      <c r="A1117" s="1321" t="s">
        <v>469</v>
      </c>
      <c r="B1117" s="1322"/>
      <c r="C1117" s="1323" t="s">
        <v>380</v>
      </c>
      <c r="D1117" s="1323"/>
      <c r="E1117" s="1323" t="s">
        <v>380</v>
      </c>
      <c r="F1117" s="1323"/>
      <c r="G1117" s="250"/>
      <c r="H1117" s="250"/>
      <c r="I1117" s="250"/>
      <c r="J1117" s="250"/>
      <c r="K1117" s="102"/>
      <c r="L1117" s="102"/>
      <c r="M1117" s="33"/>
      <c r="N1117" s="33"/>
      <c r="O1117" s="77"/>
      <c r="P1117" s="77"/>
      <c r="Q1117" s="78"/>
      <c r="Z1117" s="79"/>
      <c r="AA1117" s="80"/>
      <c r="AB1117" s="34"/>
      <c r="AC1117" s="34"/>
      <c r="AD1117" s="33"/>
      <c r="AE1117" s="33"/>
      <c r="AF1117" s="33"/>
      <c r="AG1117" s="33"/>
      <c r="AH1117" s="33"/>
      <c r="AI1117" s="33"/>
      <c r="AJ1117" s="33"/>
      <c r="AK1117" s="33"/>
      <c r="AL1117" s="33"/>
      <c r="AM1117" s="33"/>
      <c r="AN1117" s="33"/>
      <c r="AO1117" s="33"/>
    </row>
    <row r="1118" spans="1:41" ht="19.5" thickTop="1" thickBot="1">
      <c r="A1118" s="1321" t="s">
        <v>470</v>
      </c>
      <c r="B1118" s="1322"/>
      <c r="C1118" s="1323" t="s">
        <v>380</v>
      </c>
      <c r="D1118" s="1323"/>
      <c r="E1118" s="1323" t="s">
        <v>380</v>
      </c>
      <c r="F1118" s="1323"/>
      <c r="G1118" s="250"/>
      <c r="H1118" s="250"/>
      <c r="I1118" s="250"/>
      <c r="J1118" s="250" t="s">
        <v>471</v>
      </c>
      <c r="K1118" s="102"/>
      <c r="L1118" s="102"/>
      <c r="M1118" s="33"/>
      <c r="N1118" s="33"/>
      <c r="O1118" s="77"/>
      <c r="P1118" s="77"/>
      <c r="Q1118" s="78"/>
      <c r="Z1118" s="79"/>
      <c r="AA1118" s="80"/>
      <c r="AB1118" s="34"/>
      <c r="AC1118" s="34"/>
      <c r="AD1118" s="33"/>
      <c r="AE1118" s="33"/>
      <c r="AF1118" s="33"/>
      <c r="AG1118" s="33"/>
      <c r="AH1118" s="33"/>
      <c r="AI1118" s="33"/>
      <c r="AJ1118" s="33"/>
      <c r="AK1118" s="33"/>
      <c r="AL1118" s="33"/>
      <c r="AM1118" s="33"/>
      <c r="AN1118" s="33"/>
      <c r="AO1118" s="33"/>
    </row>
    <row r="1119" spans="1:41" ht="24" thickTop="1">
      <c r="A1119" s="34"/>
      <c r="B1119" s="34"/>
      <c r="C1119" s="33"/>
      <c r="D1119" s="33"/>
      <c r="E1119" s="33"/>
      <c r="F1119" s="33"/>
      <c r="G1119" s="33"/>
      <c r="H1119" s="103" t="s">
        <v>406</v>
      </c>
      <c r="I1119" s="33"/>
      <c r="J1119" s="34"/>
      <c r="K1119" s="34"/>
      <c r="L1119" s="33"/>
      <c r="M1119" s="33"/>
      <c r="N1119" s="104"/>
      <c r="O1119" s="77"/>
      <c r="P1119" s="77"/>
      <c r="Q1119" s="78"/>
      <c r="Z1119" s="79"/>
      <c r="AA1119" s="80"/>
      <c r="AB1119" s="34"/>
      <c r="AC1119" s="34"/>
      <c r="AD1119" s="33"/>
      <c r="AE1119" s="33"/>
      <c r="AF1119" s="33"/>
      <c r="AG1119" s="33"/>
      <c r="AH1119" s="33"/>
      <c r="AI1119" s="33"/>
      <c r="AJ1119" s="33"/>
      <c r="AK1119" s="33"/>
      <c r="AL1119" s="33"/>
      <c r="AM1119" s="33"/>
      <c r="AN1119" s="33"/>
      <c r="AO1119" s="33"/>
    </row>
    <row r="1120" spans="1:41" ht="18">
      <c r="A1120" s="1295" t="s">
        <v>78</v>
      </c>
      <c r="B1120" s="1295"/>
      <c r="C1120" s="1295"/>
      <c r="D1120" s="1295"/>
      <c r="E1120" s="1295"/>
      <c r="F1120" s="1295"/>
      <c r="G1120" s="1295"/>
      <c r="H1120" s="1295"/>
      <c r="I1120" s="1295"/>
      <c r="J1120" s="1295"/>
      <c r="K1120" s="1295"/>
      <c r="L1120" s="1295"/>
      <c r="M1120" s="1295"/>
      <c r="N1120" s="1295"/>
      <c r="O1120" s="77"/>
      <c r="P1120" s="77"/>
      <c r="Q1120" s="78"/>
      <c r="Z1120" s="79"/>
      <c r="AA1120" s="80"/>
      <c r="AB1120" s="34"/>
      <c r="AC1120" s="34"/>
      <c r="AD1120" s="33"/>
      <c r="AE1120" s="33"/>
      <c r="AF1120" s="33"/>
      <c r="AG1120" s="33"/>
      <c r="AH1120" s="33"/>
      <c r="AI1120" s="33"/>
      <c r="AJ1120" s="33"/>
      <c r="AK1120" s="33"/>
      <c r="AL1120" s="33"/>
      <c r="AM1120" s="33"/>
      <c r="AN1120" s="33"/>
      <c r="AO1120" s="33"/>
    </row>
    <row r="1121" spans="1:41" ht="18">
      <c r="A1121" s="1295" t="s">
        <v>79</v>
      </c>
      <c r="B1121" s="1295"/>
      <c r="C1121" s="1295"/>
      <c r="D1121" s="1295"/>
      <c r="E1121" s="1295"/>
      <c r="F1121" s="1295"/>
      <c r="G1121" s="1295"/>
      <c r="H1121" s="1295"/>
      <c r="I1121" s="1295"/>
      <c r="J1121" s="1295"/>
      <c r="K1121" s="1295"/>
      <c r="L1121" s="1295"/>
      <c r="M1121" s="1295"/>
      <c r="N1121" s="1295"/>
      <c r="O1121" s="77"/>
      <c r="P1121" s="77"/>
      <c r="Q1121" s="78"/>
      <c r="Z1121" s="79"/>
      <c r="AA1121" s="80"/>
      <c r="AB1121" s="34"/>
      <c r="AC1121" s="34"/>
      <c r="AD1121" s="33"/>
      <c r="AE1121" s="33"/>
      <c r="AF1121" s="33"/>
      <c r="AG1121" s="33"/>
      <c r="AH1121" s="33"/>
      <c r="AI1121" s="33"/>
      <c r="AJ1121" s="33"/>
      <c r="AK1121" s="33"/>
      <c r="AL1121" s="33"/>
      <c r="AM1121" s="33"/>
      <c r="AN1121" s="33"/>
      <c r="AO1121" s="33"/>
    </row>
    <row r="1122" spans="1:41" ht="18">
      <c r="A1122" s="168" t="s">
        <v>220</v>
      </c>
      <c r="B1122" s="250"/>
      <c r="C1122" s="250"/>
      <c r="D1122" s="250"/>
      <c r="E1122" s="250"/>
      <c r="F1122" s="250"/>
      <c r="G1122" s="250"/>
      <c r="H1122" s="250"/>
      <c r="I1122" s="250"/>
      <c r="J1122" s="250"/>
      <c r="K1122" s="250"/>
      <c r="L1122" s="250"/>
      <c r="M1122" s="33"/>
      <c r="N1122" s="33"/>
      <c r="O1122" s="77"/>
      <c r="P1122" s="77"/>
      <c r="Q1122" s="78"/>
      <c r="Z1122" s="79"/>
      <c r="AA1122" s="80"/>
      <c r="AB1122" s="34"/>
      <c r="AC1122" s="34"/>
      <c r="AD1122" s="33"/>
      <c r="AE1122" s="33"/>
      <c r="AF1122" s="33"/>
      <c r="AG1122" s="33"/>
      <c r="AH1122" s="33"/>
      <c r="AI1122" s="33"/>
      <c r="AJ1122" s="33"/>
      <c r="AK1122" s="33"/>
      <c r="AL1122" s="33"/>
      <c r="AM1122" s="33"/>
      <c r="AN1122" s="33"/>
      <c r="AO1122" s="33"/>
    </row>
    <row r="1123" spans="1:41" ht="18">
      <c r="A1123" s="168" t="s">
        <v>444</v>
      </c>
      <c r="B1123" s="250"/>
      <c r="C1123" s="250"/>
      <c r="D1123" s="250"/>
      <c r="E1123" s="250"/>
      <c r="F1123" s="250"/>
      <c r="G1123" s="250"/>
      <c r="H1123" s="250"/>
      <c r="I1123" s="250"/>
      <c r="J1123" s="250"/>
      <c r="K1123" s="250"/>
      <c r="L1123" s="250"/>
      <c r="M1123" s="33"/>
      <c r="N1123" s="33"/>
      <c r="O1123" s="77"/>
      <c r="P1123" s="77"/>
      <c r="Q1123" s="78"/>
      <c r="Z1123" s="79"/>
      <c r="AA1123" s="80"/>
      <c r="AB1123" s="34"/>
      <c r="AC1123" s="34"/>
      <c r="AD1123" s="33"/>
      <c r="AE1123" s="33"/>
      <c r="AF1123" s="33"/>
      <c r="AG1123" s="33"/>
      <c r="AH1123" s="33"/>
      <c r="AI1123" s="33"/>
      <c r="AJ1123" s="33"/>
      <c r="AK1123" s="33"/>
      <c r="AL1123" s="33"/>
      <c r="AM1123" s="33"/>
      <c r="AN1123" s="33"/>
      <c r="AO1123" s="33"/>
    </row>
    <row r="1124" spans="1:41" ht="18.75" thickBot="1">
      <c r="A1124" s="250"/>
      <c r="B1124" s="250"/>
      <c r="C1124" s="250"/>
      <c r="D1124" s="250"/>
      <c r="E1124" s="250"/>
      <c r="F1124" s="250"/>
      <c r="G1124" s="250"/>
      <c r="H1124" s="250"/>
      <c r="I1124" s="250"/>
      <c r="J1124" s="250"/>
      <c r="K1124" s="250"/>
      <c r="L1124" s="250"/>
      <c r="M1124" s="33"/>
      <c r="N1124" s="33"/>
      <c r="O1124" s="77"/>
      <c r="P1124" s="77"/>
      <c r="Q1124" s="78"/>
      <c r="Z1124" s="79"/>
      <c r="AA1124" s="80"/>
      <c r="AB1124" s="34"/>
      <c r="AC1124" s="34"/>
      <c r="AD1124" s="33"/>
      <c r="AE1124" s="33"/>
      <c r="AF1124" s="33"/>
      <c r="AG1124" s="33"/>
      <c r="AH1124" s="33"/>
      <c r="AI1124" s="33"/>
      <c r="AJ1124" s="33"/>
      <c r="AK1124" s="33"/>
      <c r="AL1124" s="33"/>
      <c r="AM1124" s="33"/>
      <c r="AN1124" s="33"/>
      <c r="AO1124" s="33"/>
    </row>
    <row r="1125" spans="1:41" ht="24" thickBot="1">
      <c r="A1125" s="250"/>
      <c r="B1125" s="250"/>
      <c r="C1125" s="1333" t="s">
        <v>446</v>
      </c>
      <c r="D1125" s="1334"/>
      <c r="E1125" s="1334"/>
      <c r="F1125" s="1334"/>
      <c r="G1125" s="1334"/>
      <c r="H1125" s="1334"/>
      <c r="I1125" s="1334"/>
      <c r="J1125" s="1334"/>
      <c r="K1125" s="1334"/>
      <c r="L1125" s="1335"/>
      <c r="M1125" s="33"/>
      <c r="N1125" s="33"/>
      <c r="O1125" s="77"/>
      <c r="P1125" s="77"/>
      <c r="Q1125" s="78"/>
      <c r="Z1125" s="79"/>
      <c r="AA1125" s="80"/>
      <c r="AB1125" s="34"/>
      <c r="AC1125" s="34"/>
      <c r="AD1125" s="33"/>
      <c r="AE1125" s="33"/>
      <c r="AF1125" s="33"/>
      <c r="AG1125" s="33"/>
      <c r="AH1125" s="33"/>
      <c r="AI1125" s="33"/>
      <c r="AJ1125" s="33"/>
      <c r="AK1125" s="33"/>
      <c r="AL1125" s="33"/>
      <c r="AM1125" s="33"/>
      <c r="AN1125" s="33"/>
      <c r="AO1125" s="33"/>
    </row>
    <row r="1126" spans="1:41" ht="23.25">
      <c r="A1126" s="250"/>
      <c r="B1126" s="250"/>
      <c r="C1126" s="249"/>
      <c r="D1126" s="249"/>
      <c r="E1126" s="249"/>
      <c r="F1126" s="249"/>
      <c r="G1126" s="249"/>
      <c r="H1126" s="249"/>
      <c r="I1126" s="249"/>
      <c r="J1126" s="249"/>
      <c r="K1126" s="249"/>
      <c r="L1126" s="249"/>
      <c r="M1126" s="33"/>
      <c r="N1126" s="33"/>
      <c r="O1126" s="77"/>
      <c r="P1126" s="77"/>
      <c r="Q1126" s="78"/>
      <c r="Z1126" s="79"/>
      <c r="AA1126" s="80"/>
      <c r="AB1126" s="34"/>
      <c r="AC1126" s="34"/>
      <c r="AD1126" s="33"/>
      <c r="AE1126" s="33"/>
      <c r="AF1126" s="33"/>
      <c r="AG1126" s="33"/>
      <c r="AH1126" s="33"/>
      <c r="AI1126" s="33"/>
      <c r="AJ1126" s="33"/>
      <c r="AK1126" s="33"/>
      <c r="AL1126" s="33"/>
      <c r="AM1126" s="33"/>
      <c r="AN1126" s="33"/>
      <c r="AO1126" s="33"/>
    </row>
    <row r="1127" spans="1:41" ht="23.25">
      <c r="A1127" s="1295" t="s">
        <v>448</v>
      </c>
      <c r="B1127" s="1295"/>
      <c r="C1127" s="1295"/>
      <c r="E1127" s="1294" t="s">
        <v>297</v>
      </c>
      <c r="F1127" s="1294"/>
      <c r="G1127" s="1294"/>
      <c r="H1127" s="1294"/>
      <c r="I1127" s="1294"/>
      <c r="J1127" s="249"/>
      <c r="K1127" s="249" t="s">
        <v>449</v>
      </c>
      <c r="L1127" s="249"/>
      <c r="M1127" s="1295" t="s">
        <v>386</v>
      </c>
      <c r="N1127" s="1295"/>
      <c r="O1127" s="1292" t="str">
        <f>E1127</f>
        <v>لوافي عائشة</v>
      </c>
      <c r="P1127" s="1292"/>
      <c r="Q1127" s="78">
        <v>34</v>
      </c>
      <c r="Z1127" s="79"/>
      <c r="AA1127" s="80"/>
      <c r="AB1127" s="34"/>
      <c r="AC1127" s="34"/>
      <c r="AD1127" s="33"/>
      <c r="AE1127" s="33"/>
      <c r="AF1127" s="33"/>
      <c r="AG1127" s="33"/>
      <c r="AH1127" s="33"/>
      <c r="AI1127" s="33"/>
      <c r="AJ1127" s="33"/>
      <c r="AK1127" s="33"/>
      <c r="AL1127" s="33"/>
      <c r="AM1127" s="33"/>
      <c r="AN1127" s="33"/>
      <c r="AO1127" s="33"/>
    </row>
    <row r="1128" spans="1:41" ht="24" thickBot="1">
      <c r="A1128" s="1340" t="s">
        <v>450</v>
      </c>
      <c r="B1128" s="1340"/>
      <c r="C1128" s="1340"/>
      <c r="D1128" s="1340">
        <v>0</v>
      </c>
      <c r="E1128" s="1340"/>
      <c r="F1128" s="1340"/>
      <c r="G1128" s="1340"/>
      <c r="H1128" s="87"/>
      <c r="I1128" s="1340" t="s">
        <v>452</v>
      </c>
      <c r="J1128" s="1340"/>
      <c r="K1128" s="1340"/>
      <c r="L1128" s="1341" t="s">
        <v>485</v>
      </c>
      <c r="M1128" s="1341"/>
      <c r="N1128" s="1341"/>
      <c r="O1128" s="77"/>
      <c r="P1128" s="77"/>
      <c r="Q1128" s="78"/>
      <c r="Z1128" s="79"/>
      <c r="AA1128" s="80"/>
      <c r="AB1128" s="34"/>
      <c r="AC1128" s="34"/>
      <c r="AD1128" s="33"/>
      <c r="AE1128" s="33"/>
      <c r="AF1128" s="33"/>
      <c r="AG1128" s="33"/>
      <c r="AH1128" s="33"/>
      <c r="AI1128" s="33"/>
      <c r="AJ1128" s="33"/>
      <c r="AK1128" s="33"/>
      <c r="AL1128" s="33"/>
      <c r="AM1128" s="33"/>
      <c r="AN1128" s="33"/>
      <c r="AO1128" s="33"/>
    </row>
    <row r="1129" spans="1:41" ht="17.25" thickTop="1" thickBot="1">
      <c r="A1129" s="1318" t="s">
        <v>453</v>
      </c>
      <c r="B1129" s="1319"/>
      <c r="C1129" s="88" t="s">
        <v>268</v>
      </c>
      <c r="D1129" s="89" t="s">
        <v>4</v>
      </c>
      <c r="E1129" s="89" t="s">
        <v>380</v>
      </c>
      <c r="F1129" s="89" t="s">
        <v>380</v>
      </c>
      <c r="G1129" s="89" t="s">
        <v>380</v>
      </c>
      <c r="H1129" s="89" t="s">
        <v>380</v>
      </c>
      <c r="I1129" s="89" t="s">
        <v>380</v>
      </c>
      <c r="J1129" s="89" t="s">
        <v>380</v>
      </c>
      <c r="K1129" s="89" t="s">
        <v>380</v>
      </c>
      <c r="L1129" s="89" t="s">
        <v>380</v>
      </c>
      <c r="M1129" s="89" t="s">
        <v>380</v>
      </c>
      <c r="N1129" s="90" t="s">
        <v>380</v>
      </c>
      <c r="Z1129" s="79"/>
      <c r="AA1129" s="80"/>
      <c r="AB1129" s="34"/>
      <c r="AC1129" s="34"/>
      <c r="AD1129" s="33"/>
      <c r="AE1129" s="33"/>
      <c r="AF1129" s="33"/>
      <c r="AG1129" s="33"/>
      <c r="AH1129" s="33"/>
      <c r="AI1129" s="33"/>
      <c r="AJ1129" s="33"/>
      <c r="AK1129" s="33"/>
      <c r="AL1129" s="33"/>
      <c r="AM1129" s="33"/>
      <c r="AN1129" s="33"/>
      <c r="AO1129" s="33"/>
    </row>
    <row r="1130" spans="1:41" ht="24" thickBot="1">
      <c r="A1130" s="1329" t="s">
        <v>454</v>
      </c>
      <c r="B1130" s="1330"/>
      <c r="C1130" s="91" t="s">
        <v>486</v>
      </c>
      <c r="D1130" s="210" t="s">
        <v>486</v>
      </c>
      <c r="E1130" s="210" t="s">
        <v>380</v>
      </c>
      <c r="F1130" s="210" t="s">
        <v>380</v>
      </c>
      <c r="G1130" s="210" t="s">
        <v>380</v>
      </c>
      <c r="H1130" s="210" t="s">
        <v>380</v>
      </c>
      <c r="I1130" s="210" t="s">
        <v>380</v>
      </c>
      <c r="J1130" s="210" t="s">
        <v>380</v>
      </c>
      <c r="K1130" s="210" t="s">
        <v>380</v>
      </c>
      <c r="L1130" s="210" t="s">
        <v>380</v>
      </c>
      <c r="M1130" s="210" t="s">
        <v>380</v>
      </c>
      <c r="N1130" s="92" t="s">
        <v>380</v>
      </c>
      <c r="O1130" s="152"/>
      <c r="R1130" s="78"/>
      <c r="Z1130" s="79"/>
      <c r="AA1130" s="80"/>
      <c r="AB1130" s="34"/>
      <c r="AC1130" s="34"/>
      <c r="AD1130" s="33"/>
      <c r="AE1130" s="33"/>
      <c r="AF1130" s="33"/>
      <c r="AG1130" s="33"/>
      <c r="AH1130" s="33"/>
      <c r="AI1130" s="33"/>
      <c r="AJ1130" s="33"/>
      <c r="AK1130" s="33"/>
      <c r="AL1130" s="33"/>
      <c r="AM1130" s="33"/>
      <c r="AN1130" s="33"/>
      <c r="AO1130" s="33"/>
    </row>
    <row r="1131" spans="1:41" ht="24" thickBot="1">
      <c r="A1131" s="1329" t="s">
        <v>455</v>
      </c>
      <c r="B1131" s="1330"/>
      <c r="C1131" s="91"/>
      <c r="D1131" s="210"/>
      <c r="E1131" s="210" t="s">
        <v>380</v>
      </c>
      <c r="F1131" s="210" t="s">
        <v>380</v>
      </c>
      <c r="G1131" s="210" t="s">
        <v>380</v>
      </c>
      <c r="H1131" s="210" t="s">
        <v>380</v>
      </c>
      <c r="I1131" s="210" t="s">
        <v>380</v>
      </c>
      <c r="J1131" s="210" t="s">
        <v>380</v>
      </c>
      <c r="K1131" s="210" t="s">
        <v>380</v>
      </c>
      <c r="L1131" s="210" t="s">
        <v>380</v>
      </c>
      <c r="M1131" s="210" t="s">
        <v>380</v>
      </c>
      <c r="N1131" s="92" t="s">
        <v>380</v>
      </c>
      <c r="O1131" s="152"/>
      <c r="R1131" s="78"/>
      <c r="Z1131" s="79"/>
      <c r="AA1131" s="80"/>
      <c r="AB1131" s="34"/>
      <c r="AC1131" s="34"/>
      <c r="AD1131" s="33"/>
      <c r="AE1131" s="33"/>
      <c r="AF1131" s="33"/>
      <c r="AG1131" s="33"/>
      <c r="AH1131" s="33"/>
      <c r="AI1131" s="33"/>
      <c r="AJ1131" s="33"/>
      <c r="AK1131" s="33"/>
      <c r="AL1131" s="33"/>
      <c r="AM1131" s="33"/>
      <c r="AN1131" s="33"/>
      <c r="AO1131" s="33"/>
    </row>
    <row r="1132" spans="1:41" ht="24" thickBot="1">
      <c r="A1132" s="1327" t="s">
        <v>456</v>
      </c>
      <c r="B1132" s="1328"/>
      <c r="C1132" s="93"/>
      <c r="D1132" s="94"/>
      <c r="E1132" s="94" t="s">
        <v>380</v>
      </c>
      <c r="F1132" s="94" t="s">
        <v>380</v>
      </c>
      <c r="G1132" s="94" t="s">
        <v>380</v>
      </c>
      <c r="H1132" s="94" t="s">
        <v>380</v>
      </c>
      <c r="I1132" s="94" t="s">
        <v>380</v>
      </c>
      <c r="J1132" s="94" t="s">
        <v>380</v>
      </c>
      <c r="K1132" s="94" t="s">
        <v>380</v>
      </c>
      <c r="L1132" s="94" t="s">
        <v>380</v>
      </c>
      <c r="M1132" s="94" t="s">
        <v>380</v>
      </c>
      <c r="N1132" s="95" t="s">
        <v>380</v>
      </c>
      <c r="O1132" s="152"/>
      <c r="Z1132" s="79"/>
      <c r="AA1132" s="80"/>
      <c r="AB1132" s="34"/>
      <c r="AC1132" s="34"/>
      <c r="AD1132" s="33"/>
      <c r="AE1132" s="33"/>
      <c r="AF1132" s="33"/>
      <c r="AG1132" s="33"/>
      <c r="AH1132" s="33"/>
      <c r="AI1132" s="33"/>
      <c r="AJ1132" s="33"/>
      <c r="AK1132" s="33"/>
      <c r="AL1132" s="33"/>
      <c r="AM1132" s="33"/>
      <c r="AN1132" s="33"/>
      <c r="AO1132" s="33"/>
    </row>
    <row r="1133" spans="1:41" ht="21" thickTop="1">
      <c r="A1133" s="96"/>
      <c r="B1133" s="96"/>
      <c r="C1133" s="96"/>
      <c r="D1133" s="96"/>
      <c r="E1133" s="1326" t="s">
        <v>457</v>
      </c>
      <c r="F1133" s="1310"/>
      <c r="G1133" s="97">
        <v>18</v>
      </c>
      <c r="H1133" s="1310" t="s">
        <v>458</v>
      </c>
      <c r="I1133" s="1311"/>
      <c r="J1133" s="1310" t="s">
        <v>459</v>
      </c>
      <c r="K1133" s="1311"/>
      <c r="L1133" s="96"/>
      <c r="M1133" s="96"/>
      <c r="N1133" s="96"/>
      <c r="O1133" s="77"/>
      <c r="P1133" s="77"/>
      <c r="Q1133" s="78"/>
      <c r="Z1133" s="79"/>
      <c r="AA1133" s="80"/>
      <c r="AB1133" s="34"/>
      <c r="AC1133" s="34"/>
      <c r="AD1133" s="33"/>
      <c r="AE1133" s="33"/>
      <c r="AF1133" s="33"/>
      <c r="AG1133" s="33"/>
      <c r="AH1133" s="33"/>
      <c r="AI1133" s="33"/>
      <c r="AJ1133" s="33"/>
      <c r="AK1133" s="33"/>
      <c r="AL1133" s="33"/>
      <c r="AM1133" s="33"/>
      <c r="AN1133" s="33"/>
      <c r="AO1133" s="33"/>
    </row>
    <row r="1134" spans="1:41" ht="23.25">
      <c r="A1134" s="96"/>
      <c r="B1134" s="96"/>
      <c r="C1134" s="96"/>
      <c r="D1134" s="96"/>
      <c r="E1134" s="1307" t="s">
        <v>460</v>
      </c>
      <c r="F1134" s="1308"/>
      <c r="G1134" s="98">
        <v>10</v>
      </c>
      <c r="H1134" s="1312">
        <v>0</v>
      </c>
      <c r="I1134" s="1312"/>
      <c r="J1134" s="1312">
        <v>0</v>
      </c>
      <c r="K1134" s="1313"/>
      <c r="L1134" s="96"/>
      <c r="M1134" s="96"/>
      <c r="N1134" s="96"/>
      <c r="O1134" s="77"/>
      <c r="P1134" s="77"/>
      <c r="Q1134" s="78">
        <f>G1134+H1134+H1136+J1134</f>
        <v>10</v>
      </c>
      <c r="Z1134" s="79"/>
      <c r="AA1134" s="80"/>
      <c r="AB1134" s="34"/>
      <c r="AC1134" s="34"/>
      <c r="AD1134" s="33"/>
      <c r="AE1134" s="33"/>
      <c r="AF1134" s="33"/>
      <c r="AG1134" s="33"/>
      <c r="AH1134" s="33"/>
      <c r="AI1134" s="33"/>
      <c r="AJ1134" s="33"/>
      <c r="AK1134" s="33"/>
      <c r="AL1134" s="33"/>
      <c r="AM1134" s="33"/>
      <c r="AN1134" s="33"/>
      <c r="AO1134" s="33"/>
    </row>
    <row r="1135" spans="1:41" ht="20.25">
      <c r="A1135" s="96"/>
      <c r="B1135" s="96"/>
      <c r="C1135" s="96"/>
      <c r="D1135" s="96"/>
      <c r="E1135" s="1307" t="s">
        <v>461</v>
      </c>
      <c r="F1135" s="1308"/>
      <c r="G1135" s="99">
        <v>7</v>
      </c>
      <c r="H1135" s="1308" t="s">
        <v>462</v>
      </c>
      <c r="I1135" s="1308"/>
      <c r="J1135" s="1308" t="s">
        <v>463</v>
      </c>
      <c r="K1135" s="1309"/>
      <c r="L1135" s="96"/>
      <c r="M1135" s="96"/>
      <c r="N1135" s="96"/>
      <c r="O1135" s="77"/>
      <c r="P1135" s="77"/>
      <c r="Q1135" s="78"/>
      <c r="Z1135" s="79"/>
      <c r="AA1135" s="80"/>
      <c r="AB1135" s="34"/>
      <c r="AC1135" s="34"/>
      <c r="AD1135" s="33"/>
      <c r="AE1135" s="33"/>
      <c r="AF1135" s="33"/>
      <c r="AG1135" s="33"/>
      <c r="AH1135" s="33"/>
      <c r="AI1135" s="33"/>
      <c r="AJ1135" s="33"/>
      <c r="AK1135" s="33"/>
      <c r="AL1135" s="33"/>
      <c r="AM1135" s="33"/>
      <c r="AN1135" s="33"/>
      <c r="AO1135" s="33"/>
    </row>
    <row r="1136" spans="1:41" ht="24" thickBot="1">
      <c r="A1136" s="96"/>
      <c r="B1136" s="96"/>
      <c r="C1136" s="96"/>
      <c r="D1136" s="96"/>
      <c r="E1136" s="1303" t="s">
        <v>464</v>
      </c>
      <c r="F1136" s="1304"/>
      <c r="G1136" s="99">
        <v>0</v>
      </c>
      <c r="H1136" s="1305"/>
      <c r="I1136" s="1305"/>
      <c r="J1136" s="1305"/>
      <c r="K1136" s="1306"/>
      <c r="L1136" s="96"/>
      <c r="M1136" s="96"/>
      <c r="N1136" s="96"/>
      <c r="O1136" s="77"/>
      <c r="P1136" s="77"/>
      <c r="Q1136" s="78"/>
      <c r="Z1136" s="79"/>
      <c r="AA1136" s="80"/>
      <c r="AB1136" s="34"/>
      <c r="AC1136" s="34"/>
      <c r="AD1136" s="33"/>
      <c r="AE1136" s="33"/>
      <c r="AF1136" s="33"/>
      <c r="AG1136" s="33"/>
      <c r="AH1136" s="33"/>
      <c r="AI1136" s="33"/>
      <c r="AJ1136" s="33"/>
      <c r="AK1136" s="33"/>
      <c r="AL1136" s="33"/>
      <c r="AM1136" s="33"/>
      <c r="AN1136" s="33"/>
      <c r="AO1136" s="33"/>
    </row>
    <row r="1137" spans="1:41" ht="17.25" thickTop="1" thickBot="1">
      <c r="A1137" s="34"/>
      <c r="B1137" s="34"/>
      <c r="C1137" s="1299" t="s">
        <v>465</v>
      </c>
      <c r="D1137" s="1299"/>
      <c r="E1137" s="1299" t="s">
        <v>360</v>
      </c>
      <c r="F1137" s="1299"/>
      <c r="G1137" s="1302" t="s">
        <v>368</v>
      </c>
      <c r="H1137" s="1302"/>
      <c r="I1137" s="1302" t="s">
        <v>369</v>
      </c>
      <c r="J1137" s="1302"/>
      <c r="K1137" s="1302" t="s">
        <v>370</v>
      </c>
      <c r="L1137" s="1299"/>
      <c r="M1137" s="1299" t="s">
        <v>371</v>
      </c>
      <c r="N1137" s="1299"/>
      <c r="O1137" s="77"/>
      <c r="P1137" s="77"/>
      <c r="Q1137" s="78"/>
      <c r="Z1137" s="79"/>
      <c r="AA1137" s="80"/>
      <c r="AB1137" s="34"/>
      <c r="AC1137" s="34"/>
      <c r="AD1137" s="33"/>
      <c r="AE1137" s="33"/>
      <c r="AF1137" s="33"/>
      <c r="AG1137" s="33"/>
      <c r="AH1137" s="33"/>
      <c r="AI1137" s="33"/>
      <c r="AJ1137" s="33"/>
      <c r="AK1137" s="33"/>
      <c r="AL1137" s="33"/>
      <c r="AM1137" s="33"/>
      <c r="AN1137" s="33"/>
      <c r="AO1137" s="33"/>
    </row>
    <row r="1138" spans="1:41" ht="17.25" thickTop="1" thickBot="1">
      <c r="A1138" s="34"/>
      <c r="B1138" s="34"/>
      <c r="C1138" s="1299" t="s">
        <v>372</v>
      </c>
      <c r="D1138" s="1299"/>
      <c r="E1138" s="1315" t="s">
        <v>4</v>
      </c>
      <c r="F1138" s="1316"/>
      <c r="G1138" s="1296"/>
      <c r="H1138" s="1296"/>
      <c r="I1138" s="1296"/>
      <c r="J1138" s="1296"/>
      <c r="K1138" s="1336" t="s">
        <v>268</v>
      </c>
      <c r="L1138" s="1337"/>
      <c r="M1138" s="1336" t="s">
        <v>4</v>
      </c>
      <c r="N1138" s="1337"/>
      <c r="O1138" s="77"/>
      <c r="P1138" s="77"/>
      <c r="Q1138" s="78"/>
      <c r="Z1138" s="79"/>
      <c r="AA1138" s="80"/>
      <c r="AB1138" s="34"/>
      <c r="AC1138" s="34"/>
      <c r="AD1138" s="33"/>
      <c r="AE1138" s="33"/>
      <c r="AF1138" s="33"/>
      <c r="AG1138" s="33"/>
      <c r="AH1138" s="33"/>
      <c r="AI1138" s="33"/>
      <c r="AJ1138" s="33"/>
      <c r="AK1138" s="33"/>
      <c r="AL1138" s="33"/>
      <c r="AM1138" s="33"/>
      <c r="AN1138" s="33"/>
      <c r="AO1138" s="33"/>
    </row>
    <row r="1139" spans="1:41" ht="17.25" thickTop="1" thickBot="1">
      <c r="A1139" s="34"/>
      <c r="B1139" s="34"/>
      <c r="C1139" s="1299" t="s">
        <v>373</v>
      </c>
      <c r="D1139" s="1299"/>
      <c r="E1139" s="1315" t="s">
        <v>4</v>
      </c>
      <c r="F1139" s="1316"/>
      <c r="G1139" s="1296"/>
      <c r="H1139" s="1296"/>
      <c r="I1139" s="1296"/>
      <c r="J1139" s="1296"/>
      <c r="K1139" s="1336" t="s">
        <v>268</v>
      </c>
      <c r="L1139" s="1337"/>
      <c r="M1139" s="1336" t="s">
        <v>4</v>
      </c>
      <c r="N1139" s="1337"/>
      <c r="O1139" s="77"/>
      <c r="P1139" s="77"/>
      <c r="Q1139" s="78"/>
      <c r="Z1139" s="79"/>
      <c r="AA1139" s="80"/>
      <c r="AB1139" s="34"/>
      <c r="AC1139" s="34"/>
      <c r="AD1139" s="33"/>
      <c r="AE1139" s="33"/>
      <c r="AF1139" s="33"/>
      <c r="AG1139" s="33"/>
      <c r="AH1139" s="33"/>
      <c r="AI1139" s="33"/>
      <c r="AJ1139" s="33"/>
      <c r="AK1139" s="33"/>
      <c r="AL1139" s="33"/>
      <c r="AM1139" s="33"/>
      <c r="AN1139" s="33"/>
      <c r="AO1139" s="33"/>
    </row>
    <row r="1140" spans="1:41" ht="17.25" thickTop="1" thickBot="1">
      <c r="A1140" s="34"/>
      <c r="B1140" s="34"/>
      <c r="C1140" s="1299" t="s">
        <v>374</v>
      </c>
      <c r="D1140" s="1299"/>
      <c r="E1140" s="1296"/>
      <c r="F1140" s="1296"/>
      <c r="G1140" s="1296"/>
      <c r="H1140" s="1296"/>
      <c r="I1140" s="1296"/>
      <c r="J1140" s="1296"/>
      <c r="K1140" s="1296"/>
      <c r="L1140" s="1296"/>
      <c r="M1140" s="1296" t="s">
        <v>268</v>
      </c>
      <c r="N1140" s="1296"/>
      <c r="O1140" s="77"/>
      <c r="P1140" s="77"/>
      <c r="Q1140" s="78"/>
      <c r="Z1140" s="79"/>
      <c r="AA1140" s="80"/>
      <c r="AB1140" s="34"/>
      <c r="AC1140" s="34"/>
      <c r="AD1140" s="33"/>
      <c r="AE1140" s="33"/>
      <c r="AF1140" s="33"/>
      <c r="AG1140" s="33"/>
      <c r="AH1140" s="33"/>
      <c r="AI1140" s="33"/>
      <c r="AJ1140" s="33"/>
      <c r="AK1140" s="33"/>
      <c r="AL1140" s="33"/>
      <c r="AM1140" s="33"/>
      <c r="AN1140" s="33"/>
      <c r="AO1140" s="33"/>
    </row>
    <row r="1141" spans="1:41" ht="17.25" thickTop="1" thickBot="1">
      <c r="A1141" s="34"/>
      <c r="B1141" s="34"/>
      <c r="C1141" s="1299" t="s">
        <v>375</v>
      </c>
      <c r="D1141" s="1299"/>
      <c r="E1141" s="1296" t="s">
        <v>268</v>
      </c>
      <c r="F1141" s="1296"/>
      <c r="G1141" s="1296"/>
      <c r="H1141" s="1296"/>
      <c r="I1141" s="1296"/>
      <c r="J1141" s="1296"/>
      <c r="K1141" s="1296"/>
      <c r="L1141" s="1296"/>
      <c r="M1141" s="1296"/>
      <c r="N1141" s="1296"/>
      <c r="O1141" s="77"/>
      <c r="P1141" s="77"/>
      <c r="Q1141" s="78"/>
      <c r="Z1141" s="79"/>
      <c r="AA1141" s="80"/>
      <c r="AB1141" s="34"/>
      <c r="AC1141" s="34"/>
      <c r="AD1141" s="33"/>
      <c r="AE1141" s="33"/>
      <c r="AF1141" s="33"/>
      <c r="AG1141" s="33"/>
      <c r="AH1141" s="33"/>
      <c r="AI1141" s="33"/>
      <c r="AJ1141" s="33"/>
      <c r="AK1141" s="33"/>
      <c r="AL1141" s="33"/>
      <c r="AM1141" s="33"/>
      <c r="AN1141" s="33"/>
      <c r="AO1141" s="33"/>
    </row>
    <row r="1142" spans="1:41" ht="17.25" thickTop="1" thickBot="1">
      <c r="A1142" s="34"/>
      <c r="B1142" s="34"/>
      <c r="C1142" s="101"/>
      <c r="D1142" s="101"/>
      <c r="E1142" s="251"/>
      <c r="F1142" s="251"/>
      <c r="G1142" s="251"/>
      <c r="H1142" s="251"/>
      <c r="I1142" s="251"/>
      <c r="J1142" s="251"/>
      <c r="K1142" s="252"/>
      <c r="L1142" s="252"/>
      <c r="M1142" s="251"/>
      <c r="N1142" s="251"/>
      <c r="O1142" s="77"/>
      <c r="P1142" s="77"/>
      <c r="Q1142" s="78"/>
      <c r="Z1142" s="79"/>
      <c r="AA1142" s="80"/>
      <c r="AB1142" s="34"/>
      <c r="AC1142" s="34"/>
      <c r="AD1142" s="33"/>
      <c r="AE1142" s="33"/>
      <c r="AF1142" s="33"/>
      <c r="AG1142" s="33"/>
      <c r="AH1142" s="33"/>
      <c r="AI1142" s="33"/>
      <c r="AJ1142" s="33"/>
      <c r="AK1142" s="33"/>
      <c r="AL1142" s="33"/>
      <c r="AM1142" s="33"/>
      <c r="AN1142" s="33"/>
      <c r="AO1142" s="33"/>
    </row>
    <row r="1143" spans="1:41" ht="17.25" thickTop="1" thickBot="1">
      <c r="A1143" s="34"/>
      <c r="B1143" s="34"/>
      <c r="C1143" s="1299" t="s">
        <v>921</v>
      </c>
      <c r="D1143" s="1299"/>
      <c r="E1143" s="1296"/>
      <c r="F1143" s="1296"/>
      <c r="G1143" s="1296"/>
      <c r="H1143" s="1296"/>
      <c r="I1143" s="1296" t="s">
        <v>380</v>
      </c>
      <c r="J1143" s="1296"/>
      <c r="K1143" s="1296"/>
      <c r="L1143" s="1296"/>
      <c r="M1143" s="1296"/>
      <c r="N1143" s="1296"/>
      <c r="O1143" s="77"/>
      <c r="P1143" s="77"/>
      <c r="Q1143" s="78"/>
      <c r="Z1143" s="79"/>
      <c r="AA1143" s="80"/>
      <c r="AB1143" s="34"/>
      <c r="AC1143" s="34"/>
      <c r="AD1143" s="33"/>
      <c r="AE1143" s="33"/>
      <c r="AF1143" s="33"/>
      <c r="AG1143" s="33"/>
      <c r="AH1143" s="33"/>
      <c r="AI1143" s="33"/>
      <c r="AJ1143" s="33"/>
      <c r="AK1143" s="33"/>
      <c r="AL1143" s="33"/>
      <c r="AM1143" s="33"/>
      <c r="AN1143" s="33"/>
      <c r="AO1143" s="33"/>
    </row>
    <row r="1144" spans="1:41" ht="17.25" thickTop="1" thickBot="1">
      <c r="A1144" s="34"/>
      <c r="B1144" s="34"/>
      <c r="C1144" s="1299" t="s">
        <v>922</v>
      </c>
      <c r="D1144" s="1299"/>
      <c r="E1144" s="1296"/>
      <c r="F1144" s="1296"/>
      <c r="G1144" s="1296" t="s">
        <v>4</v>
      </c>
      <c r="H1144" s="1296"/>
      <c r="I1144" s="1296" t="s">
        <v>380</v>
      </c>
      <c r="J1144" s="1296"/>
      <c r="K1144" s="1296"/>
      <c r="L1144" s="1296"/>
      <c r="M1144" s="1296"/>
      <c r="N1144" s="1296"/>
      <c r="O1144" s="77"/>
      <c r="P1144" s="77"/>
      <c r="Q1144" s="78"/>
      <c r="Z1144" s="79"/>
      <c r="AA1144" s="80"/>
      <c r="AB1144" s="34"/>
      <c r="AC1144" s="34"/>
      <c r="AD1144" s="33"/>
      <c r="AE1144" s="33"/>
      <c r="AF1144" s="33"/>
      <c r="AG1144" s="33"/>
      <c r="AH1144" s="33"/>
      <c r="AI1144" s="33"/>
      <c r="AJ1144" s="33"/>
      <c r="AK1144" s="33"/>
      <c r="AL1144" s="33"/>
      <c r="AM1144" s="33"/>
      <c r="AN1144" s="33"/>
      <c r="AO1144" s="33"/>
    </row>
    <row r="1145" spans="1:41" ht="17.25" thickTop="1" thickBot="1">
      <c r="A1145" s="34"/>
      <c r="B1145" s="34"/>
      <c r="C1145" s="1299" t="s">
        <v>923</v>
      </c>
      <c r="D1145" s="1299"/>
      <c r="E1145" s="1296"/>
      <c r="F1145" s="1296"/>
      <c r="G1145" s="1336" t="s">
        <v>268</v>
      </c>
      <c r="H1145" s="1337"/>
      <c r="I1145" s="1296" t="s">
        <v>380</v>
      </c>
      <c r="J1145" s="1296"/>
      <c r="K1145" s="1296"/>
      <c r="L1145" s="1296"/>
      <c r="M1145" s="1296"/>
      <c r="N1145" s="1296"/>
      <c r="O1145" s="77"/>
      <c r="P1145" s="77"/>
      <c r="Q1145" s="78"/>
      <c r="Z1145" s="79"/>
      <c r="AA1145" s="80"/>
      <c r="AB1145" s="34"/>
      <c r="AC1145" s="34"/>
      <c r="AD1145" s="33"/>
      <c r="AE1145" s="33"/>
      <c r="AF1145" s="33"/>
      <c r="AG1145" s="33"/>
      <c r="AH1145" s="33"/>
      <c r="AI1145" s="33"/>
      <c r="AJ1145" s="33"/>
      <c r="AK1145" s="33"/>
      <c r="AL1145" s="33"/>
      <c r="AM1145" s="33"/>
      <c r="AN1145" s="33"/>
      <c r="AO1145" s="33"/>
    </row>
    <row r="1146" spans="1:41" ht="17.25" thickTop="1" thickBot="1">
      <c r="A1146" s="34"/>
      <c r="B1146" s="34"/>
      <c r="C1146" s="1299" t="s">
        <v>924</v>
      </c>
      <c r="D1146" s="1299"/>
      <c r="E1146" s="1296" t="s">
        <v>380</v>
      </c>
      <c r="F1146" s="1296"/>
      <c r="G1146" s="1336" t="s">
        <v>268</v>
      </c>
      <c r="H1146" s="1337"/>
      <c r="I1146" s="1296" t="s">
        <v>380</v>
      </c>
      <c r="J1146" s="1296"/>
      <c r="K1146" s="1296" t="s">
        <v>380</v>
      </c>
      <c r="L1146" s="1296"/>
      <c r="M1146" s="1296" t="s">
        <v>380</v>
      </c>
      <c r="N1146" s="1296"/>
      <c r="O1146" s="77"/>
      <c r="P1146" s="77"/>
      <c r="Q1146" s="78"/>
      <c r="Z1146" s="79"/>
      <c r="AA1146" s="80"/>
      <c r="AB1146" s="34"/>
      <c r="AC1146" s="34"/>
      <c r="AD1146" s="33"/>
      <c r="AE1146" s="33"/>
      <c r="AF1146" s="33"/>
      <c r="AG1146" s="33"/>
      <c r="AH1146" s="33"/>
      <c r="AI1146" s="33"/>
      <c r="AJ1146" s="33"/>
      <c r="AK1146" s="33"/>
      <c r="AL1146" s="33"/>
      <c r="AM1146" s="33"/>
      <c r="AN1146" s="33"/>
      <c r="AO1146" s="33"/>
    </row>
    <row r="1147" spans="1:41" ht="17.25" thickTop="1" thickBot="1">
      <c r="A1147" s="34"/>
      <c r="B1147" s="34"/>
      <c r="C1147" s="33"/>
      <c r="D1147" s="33"/>
      <c r="E1147" s="33"/>
      <c r="F1147" s="33"/>
      <c r="G1147" s="33"/>
      <c r="H1147" s="33"/>
      <c r="I1147" s="33"/>
      <c r="J1147" s="33"/>
      <c r="K1147" s="34"/>
      <c r="L1147" s="34"/>
      <c r="M1147" s="33"/>
      <c r="N1147" s="33"/>
      <c r="O1147" s="77"/>
      <c r="P1147" s="77"/>
      <c r="Q1147" s="78"/>
      <c r="Z1147" s="79"/>
      <c r="AA1147" s="80"/>
      <c r="AB1147" s="34"/>
      <c r="AC1147" s="34"/>
      <c r="AD1147" s="33"/>
      <c r="AE1147" s="33"/>
      <c r="AF1147" s="33"/>
      <c r="AG1147" s="33"/>
      <c r="AH1147" s="33"/>
      <c r="AI1147" s="33"/>
      <c r="AJ1147" s="33"/>
      <c r="AK1147" s="33"/>
      <c r="AL1147" s="33"/>
      <c r="AM1147" s="33"/>
      <c r="AN1147" s="33"/>
      <c r="AO1147" s="33"/>
    </row>
    <row r="1148" spans="1:41" ht="19.5" thickTop="1" thickBot="1">
      <c r="A1148" s="1321" t="s">
        <v>467</v>
      </c>
      <c r="B1148" s="1322"/>
      <c r="C1148" s="1323" t="s">
        <v>380</v>
      </c>
      <c r="D1148" s="1323"/>
      <c r="E1148" s="1323" t="s">
        <v>380</v>
      </c>
      <c r="F1148" s="1323"/>
      <c r="G1148" s="250"/>
      <c r="H1148" s="250" t="s">
        <v>468</v>
      </c>
      <c r="I1148" s="1295" t="s">
        <v>402</v>
      </c>
      <c r="J1148" s="1295"/>
      <c r="K1148" s="1295"/>
      <c r="L1148" s="102" t="s">
        <v>403</v>
      </c>
      <c r="M1148" s="1331">
        <f ca="1">TODAY()</f>
        <v>45944</v>
      </c>
      <c r="N1148" s="1331"/>
      <c r="O1148" s="77"/>
      <c r="P1148" s="77"/>
      <c r="Q1148" s="78"/>
      <c r="Z1148" s="79"/>
      <c r="AA1148" s="80"/>
      <c r="AB1148" s="34"/>
      <c r="AC1148" s="34"/>
      <c r="AD1148" s="33"/>
      <c r="AE1148" s="33"/>
      <c r="AF1148" s="33"/>
      <c r="AG1148" s="33"/>
      <c r="AH1148" s="33"/>
      <c r="AI1148" s="33"/>
      <c r="AJ1148" s="33"/>
      <c r="AK1148" s="33"/>
      <c r="AL1148" s="33"/>
      <c r="AM1148" s="33"/>
      <c r="AN1148" s="33"/>
      <c r="AO1148" s="33"/>
    </row>
    <row r="1149" spans="1:41" ht="19.5" thickTop="1" thickBot="1">
      <c r="A1149" s="1321" t="s">
        <v>469</v>
      </c>
      <c r="B1149" s="1322"/>
      <c r="C1149" s="1323" t="s">
        <v>380</v>
      </c>
      <c r="D1149" s="1323"/>
      <c r="E1149" s="1323" t="s">
        <v>380</v>
      </c>
      <c r="F1149" s="1323"/>
      <c r="G1149" s="250"/>
      <c r="H1149" s="250"/>
      <c r="I1149" s="250"/>
      <c r="J1149" s="250"/>
      <c r="K1149" s="102"/>
      <c r="L1149" s="102"/>
      <c r="M1149" s="33"/>
      <c r="N1149" s="33"/>
      <c r="O1149" s="77"/>
      <c r="P1149" s="77"/>
      <c r="Q1149" s="78"/>
      <c r="Z1149" s="79"/>
      <c r="AA1149" s="80"/>
      <c r="AB1149" s="34"/>
      <c r="AC1149" s="34"/>
      <c r="AD1149" s="33"/>
      <c r="AE1149" s="33"/>
      <c r="AF1149" s="33"/>
      <c r="AG1149" s="33"/>
      <c r="AH1149" s="33"/>
      <c r="AI1149" s="33"/>
      <c r="AJ1149" s="33"/>
      <c r="AK1149" s="33"/>
      <c r="AL1149" s="33"/>
      <c r="AM1149" s="33"/>
      <c r="AN1149" s="33"/>
      <c r="AO1149" s="33"/>
    </row>
    <row r="1150" spans="1:41" ht="19.5" thickTop="1" thickBot="1">
      <c r="A1150" s="1321" t="s">
        <v>470</v>
      </c>
      <c r="B1150" s="1322"/>
      <c r="C1150" s="1323" t="s">
        <v>380</v>
      </c>
      <c r="D1150" s="1323"/>
      <c r="E1150" s="1323" t="s">
        <v>380</v>
      </c>
      <c r="F1150" s="1323"/>
      <c r="G1150" s="250"/>
      <c r="H1150" s="250"/>
      <c r="I1150" s="250"/>
      <c r="J1150" s="250" t="s">
        <v>471</v>
      </c>
      <c r="K1150" s="102"/>
      <c r="L1150" s="102"/>
      <c r="M1150" s="33"/>
      <c r="N1150" s="33"/>
      <c r="O1150" s="77"/>
      <c r="P1150" s="77"/>
      <c r="Q1150" s="78"/>
      <c r="Z1150" s="79"/>
      <c r="AA1150" s="80"/>
      <c r="AB1150" s="34"/>
      <c r="AC1150" s="34"/>
      <c r="AD1150" s="33"/>
      <c r="AE1150" s="33"/>
      <c r="AF1150" s="33"/>
      <c r="AG1150" s="33"/>
      <c r="AH1150" s="33"/>
      <c r="AI1150" s="33"/>
      <c r="AJ1150" s="33"/>
      <c r="AK1150" s="33"/>
      <c r="AL1150" s="33"/>
      <c r="AM1150" s="33"/>
      <c r="AN1150" s="33"/>
      <c r="AO1150" s="33"/>
    </row>
    <row r="1151" spans="1:41" ht="24" thickTop="1">
      <c r="A1151" s="34"/>
      <c r="B1151" s="34"/>
      <c r="C1151" s="33"/>
      <c r="D1151" s="33"/>
      <c r="E1151" s="33"/>
      <c r="F1151" s="33"/>
      <c r="G1151" s="33"/>
      <c r="H1151" s="103" t="s">
        <v>406</v>
      </c>
      <c r="I1151" s="33"/>
      <c r="J1151" s="34"/>
      <c r="K1151" s="34"/>
      <c r="L1151" s="33"/>
      <c r="M1151" s="33"/>
      <c r="N1151" s="104"/>
      <c r="O1151" s="77"/>
      <c r="P1151" s="77"/>
      <c r="Q1151" s="78"/>
      <c r="Z1151" s="79"/>
      <c r="AA1151" s="80"/>
      <c r="AB1151" s="34"/>
      <c r="AC1151" s="34"/>
      <c r="AD1151" s="33"/>
      <c r="AE1151" s="33"/>
      <c r="AF1151" s="33"/>
      <c r="AG1151" s="33"/>
      <c r="AH1151" s="33"/>
      <c r="AI1151" s="33"/>
      <c r="AJ1151" s="33"/>
      <c r="AK1151" s="33"/>
      <c r="AL1151" s="33"/>
      <c r="AM1151" s="33"/>
      <c r="AN1151" s="33"/>
      <c r="AO1151" s="33"/>
    </row>
    <row r="1152" spans="1:41" ht="18">
      <c r="A1152" s="1295" t="s">
        <v>78</v>
      </c>
      <c r="B1152" s="1295"/>
      <c r="C1152" s="1295"/>
      <c r="D1152" s="1295"/>
      <c r="E1152" s="1295"/>
      <c r="F1152" s="1295"/>
      <c r="G1152" s="1295"/>
      <c r="H1152" s="1295"/>
      <c r="I1152" s="1295"/>
      <c r="J1152" s="1295"/>
      <c r="K1152" s="1295"/>
      <c r="L1152" s="1295"/>
      <c r="M1152" s="1295"/>
      <c r="N1152" s="1295"/>
      <c r="O1152" s="77"/>
      <c r="P1152" s="77"/>
      <c r="Q1152" s="78"/>
      <c r="Z1152" s="79"/>
      <c r="AA1152" s="80"/>
      <c r="AB1152" s="34"/>
      <c r="AC1152" s="34"/>
      <c r="AD1152" s="33"/>
      <c r="AE1152" s="33"/>
      <c r="AF1152" s="33"/>
      <c r="AG1152" s="33"/>
      <c r="AH1152" s="33"/>
      <c r="AI1152" s="33"/>
      <c r="AJ1152" s="33"/>
      <c r="AK1152" s="33"/>
      <c r="AL1152" s="33"/>
      <c r="AM1152" s="33"/>
      <c r="AN1152" s="33"/>
      <c r="AO1152" s="33"/>
    </row>
    <row r="1153" spans="1:41" ht="18">
      <c r="A1153" s="1295" t="s">
        <v>79</v>
      </c>
      <c r="B1153" s="1295"/>
      <c r="C1153" s="1295"/>
      <c r="D1153" s="1295"/>
      <c r="E1153" s="1295"/>
      <c r="F1153" s="1295"/>
      <c r="G1153" s="1295"/>
      <c r="H1153" s="1295"/>
      <c r="I1153" s="1295"/>
      <c r="J1153" s="1295"/>
      <c r="K1153" s="1295"/>
      <c r="L1153" s="1295"/>
      <c r="M1153" s="1295"/>
      <c r="N1153" s="1295"/>
      <c r="O1153" s="77"/>
      <c r="P1153" s="77"/>
      <c r="Q1153" s="78"/>
      <c r="Z1153" s="79"/>
      <c r="AA1153" s="80"/>
      <c r="AB1153" s="34"/>
      <c r="AC1153" s="34"/>
      <c r="AD1153" s="33"/>
      <c r="AE1153" s="33"/>
      <c r="AF1153" s="33"/>
      <c r="AG1153" s="33"/>
      <c r="AH1153" s="33"/>
      <c r="AI1153" s="33"/>
      <c r="AJ1153" s="33"/>
      <c r="AK1153" s="33"/>
      <c r="AL1153" s="33"/>
      <c r="AM1153" s="33"/>
      <c r="AN1153" s="33"/>
      <c r="AO1153" s="33"/>
    </row>
    <row r="1154" spans="1:41" ht="18">
      <c r="A1154" s="168" t="s">
        <v>220</v>
      </c>
      <c r="B1154" s="250"/>
      <c r="C1154" s="250"/>
      <c r="D1154" s="250"/>
      <c r="E1154" s="250"/>
      <c r="F1154" s="250"/>
      <c r="G1154" s="250"/>
      <c r="H1154" s="250"/>
      <c r="I1154" s="250"/>
      <c r="J1154" s="250"/>
      <c r="K1154" s="250"/>
      <c r="L1154" s="250"/>
      <c r="M1154" s="33"/>
      <c r="N1154" s="33"/>
      <c r="O1154" s="77"/>
      <c r="P1154" s="77"/>
      <c r="Q1154" s="78"/>
      <c r="Z1154" s="79"/>
      <c r="AA1154" s="80"/>
      <c r="AB1154" s="34"/>
      <c r="AC1154" s="34"/>
      <c r="AD1154" s="33"/>
      <c r="AE1154" s="33"/>
      <c r="AF1154" s="33"/>
      <c r="AG1154" s="33"/>
      <c r="AH1154" s="33"/>
      <c r="AI1154" s="33"/>
      <c r="AJ1154" s="33"/>
      <c r="AK1154" s="33"/>
      <c r="AL1154" s="33"/>
      <c r="AM1154" s="33"/>
      <c r="AN1154" s="33"/>
      <c r="AO1154" s="33"/>
    </row>
    <row r="1155" spans="1:41" ht="18">
      <c r="A1155" s="168" t="s">
        <v>444</v>
      </c>
      <c r="B1155" s="250"/>
      <c r="C1155" s="250"/>
      <c r="D1155" s="250"/>
      <c r="E1155" s="250"/>
      <c r="F1155" s="250"/>
      <c r="G1155" s="250"/>
      <c r="H1155" s="250"/>
      <c r="I1155" s="250"/>
      <c r="J1155" s="250"/>
      <c r="K1155" s="250"/>
      <c r="L1155" s="250"/>
      <c r="M1155" s="33"/>
      <c r="N1155" s="33"/>
      <c r="O1155" s="77"/>
      <c r="P1155" s="77"/>
      <c r="Q1155" s="78"/>
      <c r="Z1155" s="79"/>
      <c r="AA1155" s="80"/>
      <c r="AB1155" s="34"/>
      <c r="AC1155" s="34"/>
      <c r="AD1155" s="33"/>
      <c r="AE1155" s="33"/>
      <c r="AF1155" s="33"/>
      <c r="AG1155" s="33"/>
      <c r="AH1155" s="33"/>
      <c r="AI1155" s="33"/>
      <c r="AJ1155" s="33"/>
      <c r="AK1155" s="33"/>
      <c r="AL1155" s="33"/>
      <c r="AM1155" s="33"/>
      <c r="AN1155" s="33"/>
      <c r="AO1155" s="33"/>
    </row>
    <row r="1156" spans="1:41" ht="18.75" thickBot="1">
      <c r="A1156" s="250"/>
      <c r="B1156" s="250"/>
      <c r="C1156" s="250"/>
      <c r="D1156" s="250"/>
      <c r="E1156" s="250"/>
      <c r="F1156" s="250"/>
      <c r="G1156" s="250"/>
      <c r="H1156" s="250"/>
      <c r="I1156" s="250"/>
      <c r="J1156" s="250"/>
      <c r="K1156" s="250"/>
      <c r="L1156" s="250"/>
      <c r="M1156" s="33"/>
      <c r="N1156" s="33"/>
      <c r="O1156" s="77"/>
      <c r="P1156" s="77"/>
      <c r="Q1156" s="78"/>
      <c r="Z1156" s="79"/>
      <c r="AA1156" s="80"/>
      <c r="AB1156" s="34"/>
      <c r="AC1156" s="34"/>
      <c r="AD1156" s="33"/>
      <c r="AE1156" s="33"/>
      <c r="AF1156" s="33"/>
      <c r="AG1156" s="33"/>
      <c r="AH1156" s="33"/>
      <c r="AI1156" s="33"/>
      <c r="AJ1156" s="33"/>
      <c r="AK1156" s="33"/>
      <c r="AL1156" s="33"/>
      <c r="AM1156" s="33"/>
      <c r="AN1156" s="33"/>
      <c r="AO1156" s="33"/>
    </row>
    <row r="1157" spans="1:41" ht="24" thickBot="1">
      <c r="A1157" s="250"/>
      <c r="B1157" s="250"/>
      <c r="C1157" s="1333" t="s">
        <v>446</v>
      </c>
      <c r="D1157" s="1334"/>
      <c r="E1157" s="1334"/>
      <c r="F1157" s="1334"/>
      <c r="G1157" s="1334"/>
      <c r="H1157" s="1334"/>
      <c r="I1157" s="1334"/>
      <c r="J1157" s="1334"/>
      <c r="K1157" s="1334"/>
      <c r="L1157" s="1335"/>
      <c r="M1157" s="33"/>
      <c r="N1157" s="33"/>
      <c r="O1157" s="77"/>
      <c r="P1157" s="77"/>
      <c r="Q1157" s="78"/>
      <c r="Z1157" s="79"/>
      <c r="AA1157" s="80"/>
      <c r="AB1157" s="34"/>
      <c r="AC1157" s="34"/>
      <c r="AD1157" s="33"/>
      <c r="AE1157" s="33"/>
      <c r="AF1157" s="33"/>
      <c r="AG1157" s="33"/>
      <c r="AH1157" s="33"/>
      <c r="AI1157" s="33"/>
      <c r="AJ1157" s="33"/>
      <c r="AK1157" s="33"/>
      <c r="AL1157" s="33"/>
      <c r="AM1157" s="33"/>
      <c r="AN1157" s="33"/>
      <c r="AO1157" s="33"/>
    </row>
    <row r="1158" spans="1:41" ht="23.25">
      <c r="A1158" s="250"/>
      <c r="B1158" s="250"/>
      <c r="C1158" s="249"/>
      <c r="D1158" s="249"/>
      <c r="E1158" s="249"/>
      <c r="F1158" s="249"/>
      <c r="G1158" s="249"/>
      <c r="H1158" s="249"/>
      <c r="I1158" s="249"/>
      <c r="J1158" s="249"/>
      <c r="K1158" s="249"/>
      <c r="L1158" s="249"/>
      <c r="M1158" s="33"/>
      <c r="N1158" s="33"/>
      <c r="O1158" s="77"/>
      <c r="P1158" s="77"/>
      <c r="Q1158" s="78"/>
      <c r="Z1158" s="79"/>
      <c r="AA1158" s="80"/>
      <c r="AB1158" s="34"/>
      <c r="AC1158" s="34"/>
      <c r="AD1158" s="33"/>
      <c r="AE1158" s="33"/>
      <c r="AF1158" s="33"/>
      <c r="AG1158" s="33"/>
      <c r="AH1158" s="33"/>
      <c r="AI1158" s="33"/>
      <c r="AJ1158" s="33"/>
      <c r="AK1158" s="33"/>
      <c r="AL1158" s="33"/>
      <c r="AM1158" s="33"/>
      <c r="AN1158" s="33"/>
      <c r="AO1158" s="33"/>
    </row>
    <row r="1159" spans="1:41" ht="23.25">
      <c r="A1159" s="1295" t="s">
        <v>448</v>
      </c>
      <c r="B1159" s="1295"/>
      <c r="C1159" s="1295"/>
      <c r="E1159" s="1294" t="s">
        <v>1232</v>
      </c>
      <c r="F1159" s="1294"/>
      <c r="G1159" s="1294"/>
      <c r="H1159" s="1294"/>
      <c r="I1159" s="1294"/>
      <c r="J1159" s="249"/>
      <c r="K1159" s="249" t="s">
        <v>449</v>
      </c>
      <c r="L1159" s="249"/>
      <c r="M1159" s="1295" t="s">
        <v>386</v>
      </c>
      <c r="N1159" s="1295"/>
      <c r="O1159" s="1292" t="str">
        <f>E1159</f>
        <v>ساكت عبدالقادر</v>
      </c>
      <c r="P1159" s="1292"/>
      <c r="Q1159" s="78">
        <v>35</v>
      </c>
      <c r="Z1159" s="79"/>
      <c r="AA1159" s="80"/>
      <c r="AB1159" s="34"/>
      <c r="AC1159" s="34"/>
      <c r="AD1159" s="33"/>
      <c r="AE1159" s="33"/>
      <c r="AF1159" s="33"/>
      <c r="AG1159" s="33"/>
      <c r="AH1159" s="33"/>
      <c r="AI1159" s="33"/>
      <c r="AJ1159" s="33"/>
      <c r="AK1159" s="33"/>
      <c r="AL1159" s="33"/>
      <c r="AM1159" s="33"/>
      <c r="AN1159" s="33"/>
      <c r="AO1159" s="33"/>
    </row>
    <row r="1160" spans="1:41" ht="24" thickBot="1">
      <c r="A1160" s="1355" t="s">
        <v>450</v>
      </c>
      <c r="B1160" s="1355"/>
      <c r="C1160" s="1355"/>
      <c r="D1160" s="1355">
        <v>0</v>
      </c>
      <c r="E1160" s="1355"/>
      <c r="F1160" s="1355"/>
      <c r="G1160" s="1355"/>
      <c r="H1160" s="87"/>
      <c r="I1160" s="1355" t="s">
        <v>452</v>
      </c>
      <c r="J1160" s="1355"/>
      <c r="K1160" s="1355"/>
      <c r="L1160" s="1355" t="s">
        <v>930</v>
      </c>
      <c r="M1160" s="1355"/>
      <c r="N1160" s="1355"/>
      <c r="O1160" s="77"/>
      <c r="P1160" s="77"/>
      <c r="Q1160" s="78"/>
      <c r="Z1160" s="79"/>
      <c r="AA1160" s="80"/>
      <c r="AB1160" s="34"/>
      <c r="AC1160" s="34"/>
      <c r="AD1160" s="33"/>
      <c r="AE1160" s="33"/>
      <c r="AF1160" s="33"/>
      <c r="AG1160" s="33"/>
      <c r="AH1160" s="33"/>
      <c r="AI1160" s="33"/>
      <c r="AJ1160" s="33"/>
      <c r="AK1160" s="33"/>
      <c r="AL1160" s="33"/>
      <c r="AM1160" s="33"/>
      <c r="AN1160" s="33"/>
      <c r="AO1160" s="33"/>
    </row>
    <row r="1161" spans="1:41" ht="17.25" thickTop="1" thickBot="1">
      <c r="A1161" s="1373" t="s">
        <v>453</v>
      </c>
      <c r="B1161" s="1374"/>
      <c r="C1161" s="208" t="s">
        <v>487</v>
      </c>
      <c r="D1161" s="209" t="s">
        <v>488</v>
      </c>
      <c r="E1161" s="209" t="s">
        <v>931</v>
      </c>
      <c r="F1161" s="209" t="s">
        <v>932</v>
      </c>
      <c r="G1161" s="209" t="s">
        <v>933</v>
      </c>
      <c r="H1161" s="89"/>
      <c r="I1161" s="89" t="s">
        <v>380</v>
      </c>
      <c r="J1161" s="89" t="s">
        <v>380</v>
      </c>
      <c r="K1161" s="89" t="s">
        <v>380</v>
      </c>
      <c r="L1161" s="89" t="s">
        <v>380</v>
      </c>
      <c r="M1161" s="89" t="s">
        <v>380</v>
      </c>
      <c r="N1161" s="90" t="s">
        <v>380</v>
      </c>
      <c r="Z1161" s="79"/>
      <c r="AA1161" s="80"/>
      <c r="AB1161" s="34"/>
      <c r="AC1161" s="34"/>
      <c r="AD1161" s="33"/>
      <c r="AE1161" s="33"/>
      <c r="AF1161" s="33"/>
      <c r="AG1161" s="33"/>
      <c r="AH1161" s="33"/>
      <c r="AI1161" s="33"/>
      <c r="AJ1161" s="33"/>
      <c r="AK1161" s="33"/>
      <c r="AL1161" s="33"/>
      <c r="AM1161" s="33"/>
      <c r="AN1161" s="33"/>
      <c r="AO1161" s="33"/>
    </row>
    <row r="1162" spans="1:41" ht="24" thickBot="1">
      <c r="A1162" s="1365" t="s">
        <v>454</v>
      </c>
      <c r="B1162" s="1366"/>
      <c r="C1162" s="91">
        <v>6</v>
      </c>
      <c r="D1162" s="210">
        <v>3</v>
      </c>
      <c r="E1162" s="210">
        <v>3</v>
      </c>
      <c r="F1162" s="210">
        <v>2</v>
      </c>
      <c r="G1162" s="210">
        <v>3</v>
      </c>
      <c r="H1162" s="210"/>
      <c r="I1162" s="210" t="s">
        <v>380</v>
      </c>
      <c r="J1162" s="210" t="s">
        <v>380</v>
      </c>
      <c r="K1162" s="210" t="s">
        <v>380</v>
      </c>
      <c r="L1162" s="210" t="s">
        <v>380</v>
      </c>
      <c r="M1162" s="210" t="s">
        <v>380</v>
      </c>
      <c r="N1162" s="92" t="s">
        <v>380</v>
      </c>
      <c r="O1162" s="152"/>
      <c r="R1162" s="78"/>
      <c r="Z1162" s="79"/>
      <c r="AA1162" s="80"/>
      <c r="AB1162" s="34"/>
      <c r="AC1162" s="34"/>
      <c r="AD1162" s="33"/>
      <c r="AE1162" s="33"/>
      <c r="AF1162" s="33"/>
      <c r="AG1162" s="33"/>
      <c r="AH1162" s="33"/>
      <c r="AI1162" s="33"/>
      <c r="AJ1162" s="33"/>
      <c r="AK1162" s="33"/>
      <c r="AL1162" s="33"/>
      <c r="AM1162" s="33"/>
      <c r="AN1162" s="33"/>
      <c r="AO1162" s="33"/>
    </row>
    <row r="1163" spans="1:41" ht="24" thickBot="1">
      <c r="A1163" s="1365" t="s">
        <v>455</v>
      </c>
      <c r="B1163" s="1366"/>
      <c r="C1163" s="91"/>
      <c r="D1163" s="210"/>
      <c r="E1163" s="210"/>
      <c r="F1163" s="210"/>
      <c r="G1163" s="210"/>
      <c r="H1163" s="210"/>
      <c r="I1163" s="210" t="s">
        <v>380</v>
      </c>
      <c r="J1163" s="210" t="s">
        <v>380</v>
      </c>
      <c r="K1163" s="210" t="s">
        <v>380</v>
      </c>
      <c r="L1163" s="210" t="s">
        <v>380</v>
      </c>
      <c r="M1163" s="210" t="s">
        <v>380</v>
      </c>
      <c r="N1163" s="92" t="s">
        <v>380</v>
      </c>
      <c r="O1163" s="152"/>
      <c r="R1163" s="78"/>
      <c r="Z1163" s="79"/>
      <c r="AA1163" s="80"/>
      <c r="AB1163" s="34"/>
      <c r="AC1163" s="34"/>
      <c r="AD1163" s="33"/>
      <c r="AE1163" s="33"/>
      <c r="AF1163" s="33"/>
      <c r="AG1163" s="33"/>
      <c r="AH1163" s="33"/>
      <c r="AI1163" s="33"/>
      <c r="AJ1163" s="33"/>
      <c r="AK1163" s="33"/>
      <c r="AL1163" s="33"/>
      <c r="AM1163" s="33"/>
      <c r="AN1163" s="33"/>
      <c r="AO1163" s="33"/>
    </row>
    <row r="1164" spans="1:41" ht="24" thickBot="1">
      <c r="A1164" s="1367" t="s">
        <v>456</v>
      </c>
      <c r="B1164" s="1368"/>
      <c r="C1164" s="93"/>
      <c r="D1164" s="94"/>
      <c r="E1164" s="94"/>
      <c r="F1164" s="94"/>
      <c r="G1164" s="94"/>
      <c r="H1164" s="94"/>
      <c r="I1164" s="94" t="s">
        <v>380</v>
      </c>
      <c r="J1164" s="94" t="s">
        <v>380</v>
      </c>
      <c r="K1164" s="94" t="s">
        <v>380</v>
      </c>
      <c r="L1164" s="94" t="s">
        <v>380</v>
      </c>
      <c r="M1164" s="94" t="s">
        <v>380</v>
      </c>
      <c r="N1164" s="95" t="s">
        <v>380</v>
      </c>
      <c r="O1164" s="152"/>
      <c r="Z1164" s="79"/>
      <c r="AA1164" s="80"/>
      <c r="AB1164" s="34"/>
      <c r="AC1164" s="34"/>
      <c r="AD1164" s="33"/>
      <c r="AE1164" s="33"/>
      <c r="AF1164" s="33"/>
      <c r="AG1164" s="33"/>
      <c r="AH1164" s="33"/>
      <c r="AI1164" s="33"/>
      <c r="AJ1164" s="33"/>
      <c r="AK1164" s="33"/>
      <c r="AL1164" s="33"/>
      <c r="AM1164" s="33"/>
      <c r="AN1164" s="33"/>
      <c r="AO1164" s="33"/>
    </row>
    <row r="1165" spans="1:41" ht="21" thickTop="1">
      <c r="A1165" s="96"/>
      <c r="B1165" s="96"/>
      <c r="C1165" s="96"/>
      <c r="D1165" s="96"/>
      <c r="E1165" s="1369" t="s">
        <v>457</v>
      </c>
      <c r="F1165" s="1376"/>
      <c r="G1165" s="97">
        <v>18</v>
      </c>
      <c r="H1165" s="1375" t="s">
        <v>458</v>
      </c>
      <c r="I1165" s="1370"/>
      <c r="J1165" s="1369" t="s">
        <v>459</v>
      </c>
      <c r="K1165" s="1370"/>
      <c r="L1165" s="96"/>
      <c r="M1165" s="96"/>
      <c r="N1165" s="96"/>
      <c r="O1165" s="77"/>
      <c r="P1165" s="77"/>
      <c r="Q1165" s="78"/>
      <c r="Z1165" s="79"/>
      <c r="AA1165" s="80"/>
      <c r="AB1165" s="34"/>
      <c r="AC1165" s="34"/>
      <c r="AD1165" s="33"/>
      <c r="AE1165" s="33"/>
      <c r="AF1165" s="33"/>
      <c r="AG1165" s="33"/>
      <c r="AH1165" s="33"/>
      <c r="AI1165" s="33"/>
      <c r="AJ1165" s="33"/>
      <c r="AK1165" s="33"/>
      <c r="AL1165" s="33"/>
      <c r="AM1165" s="33"/>
      <c r="AN1165" s="33"/>
      <c r="AO1165" s="33"/>
    </row>
    <row r="1166" spans="1:41" ht="23.25">
      <c r="A1166" s="96"/>
      <c r="B1166" s="96"/>
      <c r="C1166" s="96"/>
      <c r="D1166" s="96"/>
      <c r="E1166" s="1348" t="s">
        <v>460</v>
      </c>
      <c r="F1166" s="1349"/>
      <c r="G1166" s="98"/>
      <c r="H1166" s="1350">
        <v>0</v>
      </c>
      <c r="I1166" s="1351"/>
      <c r="J1166" s="1350">
        <v>0</v>
      </c>
      <c r="K1166" s="1352"/>
      <c r="L1166" s="96"/>
      <c r="M1166" s="96"/>
      <c r="N1166" s="96"/>
      <c r="O1166" s="77"/>
      <c r="P1166" s="77"/>
      <c r="Q1166" s="78">
        <f>G1166+H1166+H1168+J1166</f>
        <v>0</v>
      </c>
      <c r="Z1166" s="79"/>
      <c r="AA1166" s="80"/>
      <c r="AB1166" s="34"/>
      <c r="AC1166" s="34"/>
      <c r="AD1166" s="33"/>
      <c r="AE1166" s="33"/>
      <c r="AF1166" s="33"/>
      <c r="AG1166" s="33"/>
      <c r="AH1166" s="33"/>
      <c r="AI1166" s="33"/>
      <c r="AJ1166" s="33"/>
      <c r="AK1166" s="33"/>
      <c r="AL1166" s="33"/>
      <c r="AM1166" s="33"/>
      <c r="AN1166" s="33"/>
      <c r="AO1166" s="33"/>
    </row>
    <row r="1167" spans="1:41" ht="20.25">
      <c r="A1167" s="96"/>
      <c r="B1167" s="96"/>
      <c r="C1167" s="96"/>
      <c r="D1167" s="96"/>
      <c r="E1167" s="1348" t="s">
        <v>461</v>
      </c>
      <c r="F1167" s="1349"/>
      <c r="G1167" s="99"/>
      <c r="H1167" s="1356" t="s">
        <v>462</v>
      </c>
      <c r="I1167" s="1349"/>
      <c r="J1167" s="1356" t="s">
        <v>463</v>
      </c>
      <c r="K1167" s="1357"/>
      <c r="L1167" s="96"/>
      <c r="M1167" s="96"/>
      <c r="N1167" s="96"/>
      <c r="O1167" s="77"/>
      <c r="P1167" s="77"/>
      <c r="Q1167" s="78"/>
      <c r="Z1167" s="79"/>
      <c r="AA1167" s="80"/>
      <c r="AB1167" s="34"/>
      <c r="AC1167" s="34"/>
      <c r="AD1167" s="33"/>
      <c r="AE1167" s="33"/>
      <c r="AF1167" s="33"/>
      <c r="AG1167" s="33"/>
      <c r="AH1167" s="33"/>
      <c r="AI1167" s="33"/>
      <c r="AJ1167" s="33"/>
      <c r="AK1167" s="33"/>
      <c r="AL1167" s="33"/>
      <c r="AM1167" s="33"/>
      <c r="AN1167" s="33"/>
      <c r="AO1167" s="33"/>
    </row>
    <row r="1168" spans="1:41" ht="24" thickBot="1">
      <c r="A1168" s="96"/>
      <c r="B1168" s="96"/>
      <c r="C1168" s="96"/>
      <c r="D1168" s="96"/>
      <c r="E1168" s="1358" t="s">
        <v>464</v>
      </c>
      <c r="F1168" s="1359"/>
      <c r="G1168" s="99"/>
      <c r="H1168" s="1360"/>
      <c r="I1168" s="1361"/>
      <c r="J1168" s="1360">
        <v>0</v>
      </c>
      <c r="K1168" s="1362"/>
      <c r="L1168" s="96"/>
      <c r="M1168" s="96"/>
      <c r="N1168" s="96"/>
      <c r="O1168" s="77"/>
      <c r="P1168" s="77"/>
      <c r="Q1168" s="78"/>
      <c r="Z1168" s="79"/>
      <c r="AA1168" s="80"/>
      <c r="AB1168" s="34"/>
      <c r="AC1168" s="34"/>
      <c r="AD1168" s="33"/>
      <c r="AE1168" s="33"/>
      <c r="AF1168" s="33"/>
      <c r="AG1168" s="33"/>
      <c r="AH1168" s="33"/>
      <c r="AI1168" s="33"/>
      <c r="AJ1168" s="33"/>
      <c r="AK1168" s="33"/>
      <c r="AL1168" s="33"/>
      <c r="AM1168" s="33"/>
      <c r="AN1168" s="33"/>
      <c r="AO1168" s="33"/>
    </row>
    <row r="1169" spans="1:41" ht="17.25" thickTop="1" thickBot="1">
      <c r="A1169" s="34"/>
      <c r="B1169" s="34"/>
      <c r="C1169" s="1344" t="s">
        <v>465</v>
      </c>
      <c r="D1169" s="1345"/>
      <c r="E1169" s="1344" t="s">
        <v>360</v>
      </c>
      <c r="F1169" s="1345"/>
      <c r="G1169" s="1346" t="s">
        <v>368</v>
      </c>
      <c r="H1169" s="1347"/>
      <c r="I1169" s="1344" t="s">
        <v>369</v>
      </c>
      <c r="J1169" s="1345"/>
      <c r="K1169" s="1344" t="s">
        <v>370</v>
      </c>
      <c r="L1169" s="1345"/>
      <c r="M1169" s="1344" t="s">
        <v>371</v>
      </c>
      <c r="N1169" s="1345"/>
      <c r="O1169" s="77"/>
      <c r="P1169" s="77"/>
      <c r="Q1169" s="78"/>
      <c r="Z1169" s="79"/>
      <c r="AA1169" s="80"/>
      <c r="AB1169" s="34"/>
      <c r="AC1169" s="34"/>
      <c r="AD1169" s="33"/>
      <c r="AE1169" s="33"/>
      <c r="AF1169" s="33"/>
      <c r="AG1169" s="33"/>
      <c r="AH1169" s="33"/>
      <c r="AI1169" s="33"/>
      <c r="AJ1169" s="33"/>
      <c r="AK1169" s="33"/>
      <c r="AL1169" s="33"/>
      <c r="AM1169" s="33"/>
      <c r="AN1169" s="33"/>
      <c r="AO1169" s="33"/>
    </row>
    <row r="1170" spans="1:41" ht="17.25" thickTop="1" thickBot="1">
      <c r="A1170" s="34"/>
      <c r="B1170" s="34"/>
      <c r="C1170" s="1344" t="s">
        <v>372</v>
      </c>
      <c r="D1170" s="1345"/>
      <c r="E1170" s="1296" t="s">
        <v>930</v>
      </c>
      <c r="F1170" s="1296"/>
      <c r="G1170" s="1296" t="s">
        <v>11</v>
      </c>
      <c r="H1170" s="1296"/>
      <c r="I1170" s="1296" t="s">
        <v>930</v>
      </c>
      <c r="J1170" s="1296"/>
      <c r="K1170" s="1296" t="s">
        <v>930</v>
      </c>
      <c r="L1170" s="1296"/>
      <c r="M1170" s="1336" t="s">
        <v>380</v>
      </c>
      <c r="N1170" s="1337"/>
      <c r="O1170" s="77"/>
      <c r="P1170" s="77"/>
      <c r="Q1170" s="78"/>
      <c r="Z1170" s="79"/>
      <c r="AA1170" s="80"/>
      <c r="AB1170" s="34"/>
      <c r="AC1170" s="34"/>
      <c r="AD1170" s="33"/>
      <c r="AE1170" s="33"/>
      <c r="AF1170" s="33"/>
      <c r="AG1170" s="33"/>
      <c r="AH1170" s="33"/>
      <c r="AI1170" s="33"/>
      <c r="AJ1170" s="33"/>
      <c r="AK1170" s="33"/>
      <c r="AL1170" s="33"/>
      <c r="AM1170" s="33"/>
      <c r="AN1170" s="33"/>
      <c r="AO1170" s="33"/>
    </row>
    <row r="1171" spans="1:41" ht="17.25" thickTop="1" thickBot="1">
      <c r="A1171" s="34"/>
      <c r="B1171" s="34"/>
      <c r="C1171" s="1344" t="s">
        <v>373</v>
      </c>
      <c r="D1171" s="1345"/>
      <c r="E1171" s="1296" t="s">
        <v>930</v>
      </c>
      <c r="F1171" s="1296"/>
      <c r="G1171" s="1336"/>
      <c r="H1171" s="1337"/>
      <c r="I1171" s="1296" t="s">
        <v>930</v>
      </c>
      <c r="J1171" s="1296"/>
      <c r="K1171" s="1336" t="s">
        <v>947</v>
      </c>
      <c r="L1171" s="1337"/>
      <c r="M1171" s="1336" t="s">
        <v>380</v>
      </c>
      <c r="N1171" s="1337"/>
      <c r="O1171" s="77"/>
      <c r="P1171" s="77"/>
      <c r="Q1171" s="78"/>
      <c r="Z1171" s="79"/>
      <c r="AA1171" s="80"/>
      <c r="AB1171" s="34"/>
      <c r="AC1171" s="34"/>
      <c r="AD1171" s="33"/>
      <c r="AE1171" s="33"/>
      <c r="AF1171" s="33"/>
      <c r="AG1171" s="33"/>
      <c r="AH1171" s="33"/>
      <c r="AI1171" s="33"/>
      <c r="AJ1171" s="33"/>
      <c r="AK1171" s="33"/>
      <c r="AL1171" s="33"/>
      <c r="AM1171" s="33"/>
      <c r="AN1171" s="33"/>
      <c r="AO1171" s="33"/>
    </row>
    <row r="1172" spans="1:41" ht="17.25" thickTop="1" thickBot="1">
      <c r="A1172" s="34"/>
      <c r="B1172" s="34"/>
      <c r="C1172" s="1344" t="s">
        <v>374</v>
      </c>
      <c r="D1172" s="1345"/>
      <c r="E1172" s="1336"/>
      <c r="F1172" s="1337"/>
      <c r="G1172" s="1296" t="s">
        <v>930</v>
      </c>
      <c r="H1172" s="1296"/>
      <c r="I1172" s="1336" t="s">
        <v>947</v>
      </c>
      <c r="J1172" s="1337"/>
      <c r="K1172" s="1296"/>
      <c r="L1172" s="1296"/>
      <c r="M1172" s="1336" t="s">
        <v>380</v>
      </c>
      <c r="N1172" s="1337"/>
      <c r="O1172" s="77"/>
      <c r="P1172" s="77"/>
      <c r="Q1172" s="78"/>
      <c r="Z1172" s="79"/>
      <c r="AA1172" s="80"/>
      <c r="AB1172" s="34"/>
      <c r="AC1172" s="34"/>
      <c r="AD1172" s="33"/>
      <c r="AE1172" s="33"/>
      <c r="AF1172" s="33"/>
      <c r="AG1172" s="33"/>
      <c r="AH1172" s="33"/>
      <c r="AI1172" s="33"/>
      <c r="AJ1172" s="33"/>
      <c r="AK1172" s="33"/>
      <c r="AL1172" s="33"/>
      <c r="AM1172" s="33"/>
      <c r="AN1172" s="33"/>
      <c r="AO1172" s="33"/>
    </row>
    <row r="1173" spans="1:41" ht="17.25" thickTop="1" thickBot="1">
      <c r="A1173" s="34"/>
      <c r="B1173" s="34"/>
      <c r="C1173" s="1344" t="s">
        <v>375</v>
      </c>
      <c r="D1173" s="1345"/>
      <c r="E1173" s="1336"/>
      <c r="F1173" s="1337"/>
      <c r="G1173" s="1296" t="s">
        <v>930</v>
      </c>
      <c r="H1173" s="1296"/>
      <c r="I1173" s="1336"/>
      <c r="J1173" s="1337"/>
      <c r="K1173" s="1336"/>
      <c r="L1173" s="1337"/>
      <c r="M1173" s="1336" t="s">
        <v>380</v>
      </c>
      <c r="N1173" s="1337"/>
      <c r="O1173" s="77"/>
      <c r="P1173" s="77"/>
      <c r="Q1173" s="78"/>
      <c r="Z1173" s="79"/>
      <c r="AA1173" s="80"/>
      <c r="AB1173" s="34"/>
      <c r="AC1173" s="34"/>
      <c r="AD1173" s="33"/>
      <c r="AE1173" s="33"/>
      <c r="AF1173" s="33"/>
      <c r="AG1173" s="33"/>
      <c r="AH1173" s="33"/>
      <c r="AI1173" s="33"/>
      <c r="AJ1173" s="33"/>
      <c r="AK1173" s="33"/>
      <c r="AL1173" s="33"/>
      <c r="AM1173" s="33"/>
      <c r="AN1173" s="33"/>
      <c r="AO1173" s="33"/>
    </row>
    <row r="1174" spans="1:41" ht="17.25" thickTop="1" thickBot="1">
      <c r="A1174" s="34"/>
      <c r="B1174" s="34"/>
      <c r="C1174" s="101"/>
      <c r="D1174" s="101"/>
      <c r="E1174" s="251"/>
      <c r="F1174" s="251"/>
      <c r="G1174" s="251"/>
      <c r="H1174" s="251"/>
      <c r="I1174" s="251"/>
      <c r="J1174" s="251"/>
      <c r="K1174" s="252"/>
      <c r="L1174" s="252"/>
      <c r="M1174" s="251"/>
      <c r="N1174" s="251"/>
      <c r="O1174" s="77"/>
      <c r="P1174" s="77"/>
      <c r="Q1174" s="78"/>
      <c r="Z1174" s="79"/>
      <c r="AA1174" s="80"/>
      <c r="AB1174" s="34"/>
      <c r="AC1174" s="34"/>
      <c r="AD1174" s="33"/>
      <c r="AE1174" s="33"/>
      <c r="AF1174" s="33"/>
      <c r="AG1174" s="33"/>
      <c r="AH1174" s="33"/>
      <c r="AI1174" s="33"/>
      <c r="AJ1174" s="33"/>
      <c r="AK1174" s="33"/>
      <c r="AL1174" s="33"/>
      <c r="AM1174" s="33"/>
      <c r="AN1174" s="33"/>
      <c r="AO1174" s="33"/>
    </row>
    <row r="1175" spans="1:41" ht="17.25" thickTop="1" thickBot="1">
      <c r="A1175" s="34"/>
      <c r="B1175" s="34"/>
      <c r="C1175" s="1299" t="s">
        <v>921</v>
      </c>
      <c r="D1175" s="1299"/>
      <c r="E1175" s="1336"/>
      <c r="F1175" s="1337"/>
      <c r="G1175" s="1336"/>
      <c r="H1175" s="1337"/>
      <c r="I1175" s="1336"/>
      <c r="J1175" s="1337"/>
      <c r="K1175" s="1336" t="s">
        <v>947</v>
      </c>
      <c r="L1175" s="1337"/>
      <c r="M1175" s="1336" t="s">
        <v>947</v>
      </c>
      <c r="N1175" s="1337"/>
      <c r="O1175" s="77"/>
      <c r="P1175" s="77"/>
      <c r="Q1175" s="78"/>
      <c r="Z1175" s="79"/>
      <c r="AA1175" s="80"/>
      <c r="AB1175" s="34"/>
      <c r="AC1175" s="34"/>
      <c r="AD1175" s="33"/>
      <c r="AE1175" s="33"/>
      <c r="AF1175" s="33"/>
      <c r="AG1175" s="33"/>
      <c r="AH1175" s="33"/>
      <c r="AI1175" s="33"/>
      <c r="AJ1175" s="33"/>
      <c r="AK1175" s="33"/>
      <c r="AL1175" s="33"/>
      <c r="AM1175" s="33"/>
      <c r="AN1175" s="33"/>
      <c r="AO1175" s="33"/>
    </row>
    <row r="1176" spans="1:41" ht="17.25" thickTop="1" thickBot="1">
      <c r="A1176" s="34"/>
      <c r="B1176" s="34"/>
      <c r="C1176" s="1299" t="s">
        <v>922</v>
      </c>
      <c r="D1176" s="1299"/>
      <c r="E1176" s="1336"/>
      <c r="F1176" s="1337"/>
      <c r="G1176" s="1296" t="s">
        <v>930</v>
      </c>
      <c r="H1176" s="1296"/>
      <c r="I1176" s="1336"/>
      <c r="J1176" s="1337"/>
      <c r="K1176" s="1296" t="s">
        <v>930</v>
      </c>
      <c r="L1176" s="1296"/>
      <c r="M1176" s="1296" t="s">
        <v>11</v>
      </c>
      <c r="N1176" s="1296"/>
      <c r="O1176" s="77"/>
      <c r="P1176" s="77"/>
      <c r="Q1176" s="78"/>
      <c r="Z1176" s="79"/>
      <c r="AA1176" s="80"/>
      <c r="AB1176" s="34"/>
      <c r="AC1176" s="34"/>
      <c r="AD1176" s="33"/>
      <c r="AE1176" s="33"/>
      <c r="AF1176" s="33"/>
      <c r="AG1176" s="33"/>
      <c r="AH1176" s="33"/>
      <c r="AI1176" s="33"/>
      <c r="AJ1176" s="33"/>
      <c r="AK1176" s="33"/>
      <c r="AL1176" s="33"/>
      <c r="AM1176" s="33"/>
      <c r="AN1176" s="33"/>
      <c r="AO1176" s="33"/>
    </row>
    <row r="1177" spans="1:41" ht="17.25" thickTop="1" thickBot="1">
      <c r="A1177" s="34"/>
      <c r="B1177" s="34"/>
      <c r="C1177" s="1299" t="s">
        <v>923</v>
      </c>
      <c r="D1177" s="1299"/>
      <c r="E1177" s="1336"/>
      <c r="F1177" s="1337"/>
      <c r="G1177" s="1336" t="s">
        <v>947</v>
      </c>
      <c r="H1177" s="1337"/>
      <c r="I1177" s="1336"/>
      <c r="J1177" s="1337"/>
      <c r="K1177" s="1336"/>
      <c r="L1177" s="1337"/>
      <c r="M1177" s="1296" t="s">
        <v>11</v>
      </c>
      <c r="N1177" s="1296"/>
      <c r="O1177" s="77"/>
      <c r="P1177" s="77"/>
      <c r="Q1177" s="78"/>
      <c r="Z1177" s="79"/>
      <c r="AA1177" s="80"/>
      <c r="AB1177" s="34"/>
      <c r="AC1177" s="34"/>
      <c r="AD1177" s="33"/>
      <c r="AE1177" s="33"/>
      <c r="AF1177" s="33"/>
      <c r="AG1177" s="33"/>
      <c r="AH1177" s="33"/>
      <c r="AI1177" s="33"/>
      <c r="AJ1177" s="33"/>
      <c r="AK1177" s="33"/>
      <c r="AL1177" s="33"/>
      <c r="AM1177" s="33"/>
      <c r="AN1177" s="33"/>
      <c r="AO1177" s="33"/>
    </row>
    <row r="1178" spans="1:41" ht="17.25" thickTop="1" thickBot="1">
      <c r="A1178" s="34"/>
      <c r="B1178" s="34"/>
      <c r="C1178" s="1299" t="s">
        <v>924</v>
      </c>
      <c r="D1178" s="1299"/>
      <c r="E1178" s="1315" t="s">
        <v>380</v>
      </c>
      <c r="F1178" s="1316"/>
      <c r="G1178" s="1315"/>
      <c r="H1178" s="1316"/>
      <c r="I1178" s="1315" t="s">
        <v>380</v>
      </c>
      <c r="J1178" s="1316"/>
      <c r="K1178" s="1315"/>
      <c r="L1178" s="1316"/>
      <c r="M1178" s="1315" t="s">
        <v>380</v>
      </c>
      <c r="N1178" s="1316"/>
      <c r="O1178" s="77"/>
      <c r="P1178" s="77"/>
      <c r="Q1178" s="78"/>
      <c r="Z1178" s="79"/>
      <c r="AA1178" s="80"/>
      <c r="AB1178" s="34"/>
      <c r="AC1178" s="34"/>
      <c r="AD1178" s="33"/>
      <c r="AE1178" s="33"/>
      <c r="AF1178" s="33"/>
      <c r="AG1178" s="33"/>
      <c r="AH1178" s="33"/>
      <c r="AI1178" s="33"/>
      <c r="AJ1178" s="33"/>
      <c r="AK1178" s="33"/>
      <c r="AL1178" s="33"/>
      <c r="AM1178" s="33"/>
      <c r="AN1178" s="33"/>
      <c r="AO1178" s="33"/>
    </row>
    <row r="1179" spans="1:41" ht="17.25" thickTop="1" thickBot="1">
      <c r="A1179" s="34"/>
      <c r="B1179" s="34"/>
      <c r="C1179" s="33"/>
      <c r="D1179" s="33"/>
      <c r="E1179" s="33"/>
      <c r="F1179" s="33"/>
      <c r="G1179" s="33"/>
      <c r="H1179" s="33"/>
      <c r="I1179" s="33"/>
      <c r="J1179" s="33"/>
      <c r="K1179" s="34"/>
      <c r="L1179" s="34"/>
      <c r="M1179" s="33"/>
      <c r="N1179" s="33"/>
      <c r="O1179" s="77"/>
      <c r="P1179" s="77"/>
      <c r="Q1179" s="78"/>
      <c r="Z1179" s="79"/>
      <c r="AA1179" s="80"/>
      <c r="AB1179" s="34"/>
      <c r="AC1179" s="34"/>
      <c r="AD1179" s="33"/>
      <c r="AE1179" s="33"/>
      <c r="AF1179" s="33"/>
      <c r="AG1179" s="33"/>
      <c r="AH1179" s="33"/>
      <c r="AI1179" s="33"/>
      <c r="AJ1179" s="33"/>
      <c r="AK1179" s="33"/>
      <c r="AL1179" s="33"/>
      <c r="AM1179" s="33"/>
      <c r="AN1179" s="33"/>
      <c r="AO1179" s="33"/>
    </row>
    <row r="1180" spans="1:41" ht="19.5" thickTop="1" thickBot="1">
      <c r="A1180" s="1321" t="s">
        <v>467</v>
      </c>
      <c r="B1180" s="1322"/>
      <c r="C1180" s="1342" t="s">
        <v>380</v>
      </c>
      <c r="D1180" s="1343"/>
      <c r="E1180" s="1342" t="s">
        <v>380</v>
      </c>
      <c r="F1180" s="1343"/>
      <c r="G1180" s="250"/>
      <c r="H1180" s="250" t="s">
        <v>468</v>
      </c>
      <c r="I1180" s="1295" t="s">
        <v>402</v>
      </c>
      <c r="J1180" s="1295"/>
      <c r="K1180" s="1295"/>
      <c r="L1180" s="102" t="s">
        <v>403</v>
      </c>
      <c r="M1180" s="1331">
        <f ca="1">TODAY()</f>
        <v>45944</v>
      </c>
      <c r="N1180" s="1331"/>
      <c r="O1180" s="77"/>
      <c r="P1180" s="77"/>
      <c r="Q1180" s="78"/>
      <c r="Z1180" s="79"/>
      <c r="AA1180" s="80"/>
      <c r="AB1180" s="34"/>
      <c r="AC1180" s="34"/>
      <c r="AD1180" s="33"/>
      <c r="AE1180" s="33"/>
      <c r="AF1180" s="33"/>
      <c r="AG1180" s="33"/>
      <c r="AH1180" s="33"/>
      <c r="AI1180" s="33"/>
      <c r="AJ1180" s="33"/>
      <c r="AK1180" s="33"/>
      <c r="AL1180" s="33"/>
      <c r="AM1180" s="33"/>
      <c r="AN1180" s="33"/>
      <c r="AO1180" s="33"/>
    </row>
    <row r="1181" spans="1:41" ht="19.5" thickTop="1" thickBot="1">
      <c r="A1181" s="1321" t="s">
        <v>469</v>
      </c>
      <c r="B1181" s="1322"/>
      <c r="C1181" s="1342" t="s">
        <v>380</v>
      </c>
      <c r="D1181" s="1343"/>
      <c r="E1181" s="1342" t="s">
        <v>380</v>
      </c>
      <c r="F1181" s="1343"/>
      <c r="G1181" s="250"/>
      <c r="H1181" s="250"/>
      <c r="I1181" s="250"/>
      <c r="J1181" s="250"/>
      <c r="K1181" s="102"/>
      <c r="L1181" s="102"/>
      <c r="M1181" s="33"/>
      <c r="N1181" s="33"/>
      <c r="O1181" s="77"/>
      <c r="P1181" s="77"/>
      <c r="Q1181" s="78"/>
      <c r="Z1181" s="79"/>
      <c r="AA1181" s="80"/>
      <c r="AB1181" s="34"/>
      <c r="AC1181" s="34"/>
      <c r="AD1181" s="33"/>
      <c r="AE1181" s="33"/>
      <c r="AF1181" s="33"/>
      <c r="AG1181" s="33"/>
      <c r="AH1181" s="33"/>
      <c r="AI1181" s="33"/>
      <c r="AJ1181" s="33"/>
      <c r="AK1181" s="33"/>
      <c r="AL1181" s="33"/>
      <c r="AM1181" s="33"/>
      <c r="AN1181" s="33"/>
      <c r="AO1181" s="33"/>
    </row>
    <row r="1182" spans="1:41" ht="19.5" thickTop="1" thickBot="1">
      <c r="A1182" s="1321" t="s">
        <v>470</v>
      </c>
      <c r="B1182" s="1322"/>
      <c r="C1182" s="1342" t="s">
        <v>380</v>
      </c>
      <c r="D1182" s="1343"/>
      <c r="E1182" s="1342" t="s">
        <v>380</v>
      </c>
      <c r="F1182" s="1343"/>
      <c r="G1182" s="250"/>
      <c r="H1182" s="250"/>
      <c r="I1182" s="250"/>
      <c r="J1182" s="250" t="s">
        <v>471</v>
      </c>
      <c r="K1182" s="102"/>
      <c r="L1182" s="102"/>
      <c r="M1182" s="33"/>
      <c r="N1182" s="33"/>
      <c r="O1182" s="77"/>
      <c r="P1182" s="77"/>
      <c r="Q1182" s="78"/>
      <c r="Z1182" s="79"/>
      <c r="AA1182" s="80"/>
      <c r="AB1182" s="34"/>
      <c r="AC1182" s="34"/>
      <c r="AD1182" s="33"/>
      <c r="AE1182" s="33"/>
      <c r="AF1182" s="33"/>
      <c r="AG1182" s="33"/>
      <c r="AH1182" s="33"/>
      <c r="AI1182" s="33"/>
      <c r="AJ1182" s="33"/>
      <c r="AK1182" s="33"/>
      <c r="AL1182" s="33"/>
      <c r="AM1182" s="33"/>
      <c r="AN1182" s="33"/>
      <c r="AO1182" s="33"/>
    </row>
    <row r="1183" spans="1:41" ht="24" thickTop="1">
      <c r="A1183" s="34"/>
      <c r="B1183" s="34"/>
      <c r="C1183" s="33"/>
      <c r="D1183" s="33"/>
      <c r="E1183" s="33"/>
      <c r="F1183" s="33"/>
      <c r="G1183" s="33"/>
      <c r="H1183" s="103" t="s">
        <v>406</v>
      </c>
      <c r="I1183" s="33"/>
      <c r="J1183" s="34"/>
      <c r="K1183" s="34"/>
      <c r="L1183" s="33"/>
      <c r="M1183" s="33"/>
      <c r="N1183" s="104"/>
      <c r="O1183" s="77"/>
      <c r="P1183" s="77"/>
      <c r="Q1183" s="78"/>
      <c r="Z1183" s="79"/>
      <c r="AA1183" s="80"/>
      <c r="AB1183" s="34"/>
      <c r="AC1183" s="34"/>
      <c r="AD1183" s="33"/>
      <c r="AE1183" s="33"/>
      <c r="AF1183" s="33"/>
      <c r="AG1183" s="33"/>
      <c r="AH1183" s="33"/>
      <c r="AI1183" s="33"/>
      <c r="AJ1183" s="33"/>
      <c r="AK1183" s="33"/>
      <c r="AL1183" s="33"/>
      <c r="AM1183" s="33"/>
      <c r="AN1183" s="33"/>
      <c r="AO1183" s="33"/>
    </row>
    <row r="1184" spans="1:41" ht="18">
      <c r="A1184" s="1295" t="s">
        <v>78</v>
      </c>
      <c r="B1184" s="1295"/>
      <c r="C1184" s="1295"/>
      <c r="D1184" s="1295"/>
      <c r="E1184" s="1295"/>
      <c r="F1184" s="1295"/>
      <c r="G1184" s="1295"/>
      <c r="H1184" s="1295"/>
      <c r="I1184" s="1295"/>
      <c r="J1184" s="1295"/>
      <c r="K1184" s="1295"/>
      <c r="L1184" s="1295"/>
      <c r="M1184" s="1295"/>
      <c r="N1184" s="1295"/>
      <c r="O1184" s="1295"/>
      <c r="P1184" s="1295"/>
      <c r="Q1184" s="1295"/>
      <c r="Z1184" s="79"/>
      <c r="AA1184" s="80"/>
      <c r="AB1184" s="34"/>
      <c r="AC1184" s="34"/>
      <c r="AD1184" s="33"/>
      <c r="AE1184" s="33"/>
      <c r="AF1184" s="33"/>
      <c r="AG1184" s="33"/>
      <c r="AH1184" s="33"/>
      <c r="AI1184" s="33"/>
      <c r="AJ1184" s="33"/>
      <c r="AK1184" s="33"/>
      <c r="AL1184" s="33"/>
      <c r="AM1184" s="33"/>
      <c r="AN1184" s="33"/>
      <c r="AO1184" s="33"/>
    </row>
    <row r="1185" spans="1:41" ht="18">
      <c r="A1185" s="1295" t="s">
        <v>79</v>
      </c>
      <c r="B1185" s="1295"/>
      <c r="C1185" s="1295"/>
      <c r="D1185" s="1295"/>
      <c r="E1185" s="1295"/>
      <c r="F1185" s="1295"/>
      <c r="G1185" s="1295"/>
      <c r="H1185" s="1295"/>
      <c r="I1185" s="1295"/>
      <c r="J1185" s="1295"/>
      <c r="K1185" s="1295"/>
      <c r="L1185" s="1295"/>
      <c r="M1185" s="1295"/>
      <c r="N1185" s="1295"/>
      <c r="O1185" s="1295"/>
      <c r="P1185" s="1295"/>
      <c r="Q1185" s="1295"/>
      <c r="Z1185" s="79"/>
      <c r="AA1185" s="80"/>
      <c r="AB1185" s="34"/>
      <c r="AC1185" s="34"/>
      <c r="AD1185" s="33"/>
      <c r="AE1185" s="33"/>
      <c r="AF1185" s="33"/>
      <c r="AG1185" s="33"/>
      <c r="AH1185" s="33"/>
      <c r="AI1185" s="33"/>
      <c r="AJ1185" s="33"/>
      <c r="AK1185" s="33"/>
      <c r="AL1185" s="33"/>
      <c r="AM1185" s="33"/>
      <c r="AN1185" s="33"/>
      <c r="AO1185" s="33"/>
    </row>
    <row r="1186" spans="1:41" ht="18">
      <c r="A1186" s="168" t="s">
        <v>220</v>
      </c>
      <c r="B1186" s="250"/>
      <c r="C1186" s="250"/>
      <c r="D1186" s="250"/>
      <c r="E1186" s="250"/>
      <c r="F1186" s="250"/>
      <c r="G1186" s="250"/>
      <c r="H1186" s="250"/>
      <c r="I1186" s="250"/>
      <c r="J1186" s="250"/>
      <c r="K1186" s="250"/>
      <c r="L1186" s="250"/>
      <c r="M1186" s="33"/>
      <c r="N1186" s="33"/>
      <c r="O1186" s="117"/>
      <c r="P1186" s="117"/>
      <c r="Q1186" s="151"/>
      <c r="Z1186" s="79"/>
      <c r="AA1186" s="80"/>
      <c r="AB1186" s="34"/>
      <c r="AC1186" s="34"/>
      <c r="AD1186" s="33"/>
      <c r="AE1186" s="33"/>
      <c r="AF1186" s="33"/>
      <c r="AG1186" s="33"/>
      <c r="AH1186" s="33"/>
      <c r="AI1186" s="33"/>
      <c r="AJ1186" s="33"/>
      <c r="AK1186" s="33"/>
      <c r="AL1186" s="33"/>
      <c r="AM1186" s="33"/>
      <c r="AN1186" s="33"/>
      <c r="AO1186" s="33"/>
    </row>
    <row r="1187" spans="1:41" ht="18">
      <c r="A1187" s="168" t="s">
        <v>444</v>
      </c>
      <c r="B1187" s="250"/>
      <c r="C1187" s="250"/>
      <c r="D1187" s="250"/>
      <c r="E1187" s="250"/>
      <c r="F1187" s="250"/>
      <c r="G1187" s="250"/>
      <c r="H1187" s="250"/>
      <c r="I1187" s="250"/>
      <c r="J1187" s="250"/>
      <c r="K1187" s="250"/>
      <c r="L1187" s="250"/>
      <c r="M1187" s="33"/>
      <c r="N1187" s="33"/>
      <c r="O1187" s="117"/>
      <c r="P1187" s="117"/>
      <c r="Q1187" s="151"/>
      <c r="Z1187" s="79"/>
      <c r="AA1187" s="80"/>
      <c r="AB1187" s="34"/>
      <c r="AC1187" s="34"/>
      <c r="AD1187" s="33"/>
      <c r="AE1187" s="33"/>
      <c r="AF1187" s="33"/>
      <c r="AG1187" s="33"/>
      <c r="AH1187" s="33"/>
      <c r="AI1187" s="33"/>
      <c r="AJ1187" s="33"/>
      <c r="AK1187" s="33"/>
      <c r="AL1187" s="33"/>
      <c r="AM1187" s="33"/>
      <c r="AN1187" s="33"/>
      <c r="AO1187" s="33"/>
    </row>
    <row r="1188" spans="1:41" ht="18.75" thickBot="1">
      <c r="A1188" s="250"/>
      <c r="B1188" s="250"/>
      <c r="C1188" s="250"/>
      <c r="D1188" s="250"/>
      <c r="E1188" s="250"/>
      <c r="F1188" s="250"/>
      <c r="G1188" s="250"/>
      <c r="H1188" s="250"/>
      <c r="I1188" s="250"/>
      <c r="J1188" s="250"/>
      <c r="K1188" s="250"/>
      <c r="L1188" s="250"/>
      <c r="M1188" s="33"/>
      <c r="N1188" s="33"/>
      <c r="O1188" s="117"/>
      <c r="P1188" s="117"/>
      <c r="Q1188" s="151"/>
      <c r="Z1188" s="79"/>
      <c r="AA1188" s="80"/>
      <c r="AB1188" s="34"/>
      <c r="AC1188" s="34"/>
      <c r="AD1188" s="33"/>
      <c r="AE1188" s="33"/>
      <c r="AF1188" s="33"/>
      <c r="AG1188" s="33"/>
      <c r="AH1188" s="33"/>
      <c r="AI1188" s="33"/>
      <c r="AJ1188" s="33"/>
      <c r="AK1188" s="33"/>
      <c r="AL1188" s="33"/>
      <c r="AM1188" s="33"/>
      <c r="AN1188" s="33"/>
      <c r="AO1188" s="33"/>
    </row>
    <row r="1189" spans="1:41" ht="24" thickBot="1">
      <c r="A1189" s="250"/>
      <c r="B1189" s="250"/>
      <c r="C1189" s="1333" t="s">
        <v>446</v>
      </c>
      <c r="D1189" s="1334"/>
      <c r="E1189" s="1334"/>
      <c r="F1189" s="1334"/>
      <c r="G1189" s="1334"/>
      <c r="H1189" s="1334"/>
      <c r="I1189" s="1334"/>
      <c r="J1189" s="1334"/>
      <c r="K1189" s="1334"/>
      <c r="L1189" s="1335"/>
      <c r="M1189" s="33"/>
      <c r="N1189" s="33"/>
      <c r="O1189" s="117"/>
      <c r="P1189" s="117"/>
      <c r="Q1189" s="151"/>
      <c r="Z1189" s="79"/>
      <c r="AA1189" s="80"/>
      <c r="AB1189" s="34"/>
      <c r="AC1189" s="34"/>
      <c r="AD1189" s="33"/>
      <c r="AE1189" s="33"/>
      <c r="AF1189" s="33"/>
      <c r="AG1189" s="33"/>
      <c r="AH1189" s="33"/>
      <c r="AI1189" s="33"/>
      <c r="AJ1189" s="33"/>
      <c r="AK1189" s="33"/>
      <c r="AL1189" s="33"/>
      <c r="AM1189" s="33"/>
      <c r="AN1189" s="33"/>
      <c r="AO1189" s="33"/>
    </row>
    <row r="1190" spans="1:41" ht="23.25">
      <c r="A1190" s="250"/>
      <c r="B1190" s="250"/>
      <c r="C1190" s="249"/>
      <c r="D1190" s="249"/>
      <c r="E1190" s="249"/>
      <c r="F1190" s="249"/>
      <c r="G1190" s="249"/>
      <c r="H1190" s="249"/>
      <c r="I1190" s="249"/>
      <c r="J1190" s="249"/>
      <c r="K1190" s="249"/>
      <c r="L1190" s="249"/>
      <c r="M1190" s="33"/>
      <c r="N1190" s="33"/>
      <c r="O1190" s="117"/>
      <c r="P1190" s="117"/>
      <c r="Q1190" s="151"/>
      <c r="Z1190" s="79"/>
      <c r="AA1190" s="80"/>
      <c r="AB1190" s="34"/>
      <c r="AC1190" s="34"/>
      <c r="AD1190" s="33"/>
      <c r="AE1190" s="33"/>
      <c r="AF1190" s="33"/>
      <c r="AG1190" s="33"/>
      <c r="AH1190" s="33"/>
      <c r="AI1190" s="33"/>
      <c r="AJ1190" s="33"/>
      <c r="AK1190" s="33"/>
      <c r="AL1190" s="33"/>
      <c r="AM1190" s="33"/>
      <c r="AN1190" s="33"/>
      <c r="AO1190" s="33"/>
    </row>
    <row r="1191" spans="1:41" ht="23.25">
      <c r="A1191" s="1295" t="s">
        <v>448</v>
      </c>
      <c r="B1191" s="1295"/>
      <c r="C1191" s="1295"/>
      <c r="D1191" s="1294" t="s">
        <v>1233</v>
      </c>
      <c r="E1191" s="1294"/>
      <c r="F1191" s="1294"/>
      <c r="G1191" s="1294"/>
      <c r="H1191" s="1294"/>
      <c r="I1191" s="249"/>
      <c r="J1191" s="249"/>
      <c r="K1191" s="249" t="s">
        <v>449</v>
      </c>
      <c r="L1191" s="249"/>
      <c r="M1191" s="1295" t="s">
        <v>492</v>
      </c>
      <c r="N1191" s="1295"/>
      <c r="O1191" s="1292" t="str">
        <f>D1191</f>
        <v>فناني قمر</v>
      </c>
      <c r="P1191" s="1292"/>
      <c r="Q1191" s="78">
        <v>36</v>
      </c>
      <c r="Z1191" s="79"/>
      <c r="AA1191" s="80"/>
      <c r="AB1191" s="34"/>
      <c r="AC1191" s="34"/>
      <c r="AD1191" s="33"/>
      <c r="AE1191" s="33"/>
      <c r="AF1191" s="33"/>
      <c r="AG1191" s="33"/>
      <c r="AH1191" s="33"/>
      <c r="AI1191" s="33"/>
      <c r="AJ1191" s="33"/>
      <c r="AK1191" s="33"/>
      <c r="AL1191" s="33"/>
      <c r="AM1191" s="33"/>
      <c r="AN1191" s="33"/>
      <c r="AO1191" s="33"/>
    </row>
    <row r="1192" spans="1:41" ht="24" thickBot="1">
      <c r="A1192" s="1340" t="s">
        <v>450</v>
      </c>
      <c r="B1192" s="1340"/>
      <c r="C1192" s="1340"/>
      <c r="D1192" s="1340" t="s">
        <v>380</v>
      </c>
      <c r="E1192" s="1340"/>
      <c r="F1192" s="1340"/>
      <c r="G1192" s="1340"/>
      <c r="H1192" s="87"/>
      <c r="I1192" s="1340" t="s">
        <v>452</v>
      </c>
      <c r="J1192" s="1340"/>
      <c r="K1192" s="1340"/>
      <c r="L1192" s="1341" t="s">
        <v>380</v>
      </c>
      <c r="M1192" s="1341"/>
      <c r="N1192" s="1341"/>
      <c r="O1192" s="77"/>
      <c r="P1192" s="77"/>
      <c r="Q1192" s="78"/>
      <c r="Z1192" s="79"/>
      <c r="AA1192" s="80"/>
      <c r="AB1192" s="34"/>
      <c r="AC1192" s="34"/>
      <c r="AD1192" s="33"/>
      <c r="AE1192" s="33"/>
      <c r="AF1192" s="33"/>
      <c r="AG1192" s="33"/>
      <c r="AH1192" s="33"/>
      <c r="AI1192" s="33"/>
      <c r="AJ1192" s="33"/>
      <c r="AK1192" s="33"/>
      <c r="AL1192" s="33"/>
      <c r="AM1192" s="33"/>
      <c r="AN1192" s="33"/>
      <c r="AO1192" s="33"/>
    </row>
    <row r="1193" spans="1:41" ht="17.25" thickTop="1" thickBot="1">
      <c r="A1193" s="1318" t="s">
        <v>453</v>
      </c>
      <c r="B1193" s="1319"/>
      <c r="C1193" s="257" t="s">
        <v>930</v>
      </c>
      <c r="D1193" s="257" t="s">
        <v>947</v>
      </c>
      <c r="E1193" s="122" t="s">
        <v>10</v>
      </c>
      <c r="F1193" s="122" t="s">
        <v>8</v>
      </c>
      <c r="G1193" s="122" t="s">
        <v>380</v>
      </c>
      <c r="H1193" s="122" t="s">
        <v>380</v>
      </c>
      <c r="I1193" s="122" t="s">
        <v>380</v>
      </c>
      <c r="J1193" s="122" t="s">
        <v>380</v>
      </c>
      <c r="K1193" s="122" t="s">
        <v>380</v>
      </c>
      <c r="L1193" s="122" t="s">
        <v>380</v>
      </c>
      <c r="M1193" s="122" t="s">
        <v>380</v>
      </c>
      <c r="N1193" s="123" t="s">
        <v>380</v>
      </c>
      <c r="Z1193" s="79"/>
      <c r="AA1193" s="80"/>
      <c r="AB1193" s="34"/>
      <c r="AC1193" s="34"/>
      <c r="AD1193" s="33"/>
      <c r="AE1193" s="33"/>
      <c r="AF1193" s="33"/>
      <c r="AG1193" s="33"/>
      <c r="AH1193" s="33"/>
      <c r="AI1193" s="33"/>
      <c r="AJ1193" s="33"/>
      <c r="AK1193" s="33"/>
      <c r="AL1193" s="33"/>
      <c r="AM1193" s="33"/>
      <c r="AN1193" s="33"/>
      <c r="AO1193" s="33"/>
    </row>
    <row r="1194" spans="1:41" ht="24" thickBot="1">
      <c r="A1194" s="1329" t="s">
        <v>454</v>
      </c>
      <c r="B1194" s="1330"/>
      <c r="C1194" s="91">
        <v>2</v>
      </c>
      <c r="D1194" s="210">
        <v>5</v>
      </c>
      <c r="E1194" s="210">
        <v>3</v>
      </c>
      <c r="F1194" s="210">
        <v>3</v>
      </c>
      <c r="G1194" s="210" t="s">
        <v>380</v>
      </c>
      <c r="H1194" s="210" t="s">
        <v>380</v>
      </c>
      <c r="I1194" s="210" t="s">
        <v>380</v>
      </c>
      <c r="J1194" s="210" t="s">
        <v>380</v>
      </c>
      <c r="K1194" s="210" t="s">
        <v>380</v>
      </c>
      <c r="L1194" s="210" t="s">
        <v>380</v>
      </c>
      <c r="M1194" s="210" t="s">
        <v>380</v>
      </c>
      <c r="N1194" s="92" t="s">
        <v>380</v>
      </c>
      <c r="O1194" s="152"/>
      <c r="R1194" s="78"/>
      <c r="Z1194" s="79"/>
      <c r="AA1194" s="80"/>
      <c r="AB1194" s="34"/>
      <c r="AC1194" s="34"/>
      <c r="AD1194" s="33"/>
      <c r="AE1194" s="33"/>
      <c r="AF1194" s="33"/>
      <c r="AG1194" s="33"/>
      <c r="AH1194" s="33"/>
      <c r="AI1194" s="33"/>
      <c r="AJ1194" s="33"/>
      <c r="AK1194" s="33"/>
      <c r="AL1194" s="33"/>
      <c r="AM1194" s="33"/>
      <c r="AN1194" s="33"/>
      <c r="AO1194" s="33"/>
    </row>
    <row r="1195" spans="1:41" ht="24" thickBot="1">
      <c r="A1195" s="1329" t="s">
        <v>455</v>
      </c>
      <c r="B1195" s="1330"/>
      <c r="C1195" s="91"/>
      <c r="D1195" s="210"/>
      <c r="E1195" s="210"/>
      <c r="F1195" s="210" t="s">
        <v>380</v>
      </c>
      <c r="G1195" s="210" t="s">
        <v>380</v>
      </c>
      <c r="H1195" s="210" t="s">
        <v>380</v>
      </c>
      <c r="I1195" s="210" t="s">
        <v>380</v>
      </c>
      <c r="J1195" s="210" t="s">
        <v>380</v>
      </c>
      <c r="K1195" s="210" t="s">
        <v>380</v>
      </c>
      <c r="L1195" s="210" t="s">
        <v>380</v>
      </c>
      <c r="M1195" s="210" t="s">
        <v>380</v>
      </c>
      <c r="N1195" s="92" t="s">
        <v>380</v>
      </c>
      <c r="O1195" s="152"/>
      <c r="R1195" s="78"/>
      <c r="Z1195" s="79"/>
      <c r="AA1195" s="80"/>
      <c r="AB1195" s="34"/>
      <c r="AC1195" s="34"/>
      <c r="AD1195" s="33"/>
      <c r="AE1195" s="33"/>
      <c r="AF1195" s="33"/>
      <c r="AG1195" s="33"/>
      <c r="AH1195" s="33"/>
      <c r="AI1195" s="33"/>
      <c r="AJ1195" s="33"/>
      <c r="AK1195" s="33"/>
      <c r="AL1195" s="33"/>
      <c r="AM1195" s="33"/>
      <c r="AN1195" s="33"/>
      <c r="AO1195" s="33"/>
    </row>
    <row r="1196" spans="1:41" ht="24" thickBot="1">
      <c r="A1196" s="1327" t="s">
        <v>456</v>
      </c>
      <c r="B1196" s="1328"/>
      <c r="C1196" s="93"/>
      <c r="D1196" s="94"/>
      <c r="E1196" s="94"/>
      <c r="F1196" s="94" t="s">
        <v>380</v>
      </c>
      <c r="G1196" s="94" t="s">
        <v>380</v>
      </c>
      <c r="H1196" s="94" t="s">
        <v>380</v>
      </c>
      <c r="I1196" s="94" t="s">
        <v>380</v>
      </c>
      <c r="J1196" s="94" t="s">
        <v>380</v>
      </c>
      <c r="K1196" s="94" t="s">
        <v>380</v>
      </c>
      <c r="L1196" s="94" t="s">
        <v>380</v>
      </c>
      <c r="M1196" s="94" t="s">
        <v>380</v>
      </c>
      <c r="N1196" s="95" t="s">
        <v>380</v>
      </c>
      <c r="O1196" s="152"/>
      <c r="Z1196" s="79"/>
      <c r="AA1196" s="80"/>
      <c r="AB1196" s="34"/>
      <c r="AC1196" s="34"/>
      <c r="AD1196" s="33"/>
      <c r="AE1196" s="33"/>
      <c r="AF1196" s="33"/>
      <c r="AG1196" s="33"/>
      <c r="AH1196" s="33"/>
      <c r="AI1196" s="33"/>
      <c r="AJ1196" s="33"/>
      <c r="AK1196" s="33"/>
      <c r="AL1196" s="33"/>
      <c r="AM1196" s="33"/>
      <c r="AN1196" s="33"/>
      <c r="AO1196" s="33"/>
    </row>
    <row r="1197" spans="1:41" ht="21" thickTop="1">
      <c r="A1197" s="96"/>
      <c r="B1197" s="96"/>
      <c r="C1197" s="96"/>
      <c r="D1197" s="96"/>
      <c r="E1197" s="1326" t="s">
        <v>457</v>
      </c>
      <c r="F1197" s="1310"/>
      <c r="G1197" s="97">
        <v>18</v>
      </c>
      <c r="H1197" s="1310" t="s">
        <v>458</v>
      </c>
      <c r="I1197" s="1311"/>
      <c r="J1197" s="1310" t="s">
        <v>459</v>
      </c>
      <c r="K1197" s="1311"/>
      <c r="L1197" s="96"/>
      <c r="M1197" s="96"/>
      <c r="N1197" s="96"/>
      <c r="O1197" s="118"/>
      <c r="P1197" s="118"/>
      <c r="Q1197" s="96"/>
      <c r="Z1197" s="79"/>
      <c r="AA1197" s="80"/>
      <c r="AB1197" s="34"/>
      <c r="AC1197" s="34"/>
      <c r="AD1197" s="33"/>
      <c r="AE1197" s="33"/>
      <c r="AF1197" s="33"/>
      <c r="AG1197" s="33"/>
      <c r="AH1197" s="33"/>
      <c r="AI1197" s="33"/>
      <c r="AJ1197" s="33"/>
      <c r="AK1197" s="33"/>
      <c r="AL1197" s="33"/>
      <c r="AM1197" s="33"/>
      <c r="AN1197" s="33"/>
      <c r="AO1197" s="33"/>
    </row>
    <row r="1198" spans="1:41" ht="23.25">
      <c r="A1198" s="96"/>
      <c r="B1198" s="96"/>
      <c r="C1198" s="96"/>
      <c r="D1198" s="96"/>
      <c r="E1198" s="1307" t="s">
        <v>460</v>
      </c>
      <c r="F1198" s="1308"/>
      <c r="G1198" s="98">
        <v>7</v>
      </c>
      <c r="H1198" s="1312">
        <v>0</v>
      </c>
      <c r="I1198" s="1312"/>
      <c r="J1198" s="1312">
        <v>0</v>
      </c>
      <c r="K1198" s="1313"/>
      <c r="L1198" s="96"/>
      <c r="M1198" s="96"/>
      <c r="N1198" s="96"/>
      <c r="O1198" s="118"/>
      <c r="P1198" s="118"/>
      <c r="Q1198" s="78">
        <f>G1198+H1198+H1200+J1198</f>
        <v>7</v>
      </c>
      <c r="Z1198" s="79"/>
      <c r="AA1198" s="80"/>
      <c r="AB1198" s="34"/>
      <c r="AC1198" s="34"/>
      <c r="AD1198" s="33"/>
      <c r="AE1198" s="33"/>
      <c r="AF1198" s="33"/>
      <c r="AG1198" s="33"/>
      <c r="AH1198" s="33"/>
      <c r="AI1198" s="33"/>
      <c r="AJ1198" s="33"/>
      <c r="AK1198" s="33"/>
      <c r="AL1198" s="33"/>
      <c r="AM1198" s="33"/>
      <c r="AN1198" s="33"/>
      <c r="AO1198" s="33"/>
    </row>
    <row r="1199" spans="1:41" ht="20.25">
      <c r="A1199" s="96"/>
      <c r="B1199" s="96"/>
      <c r="C1199" s="96"/>
      <c r="D1199" s="96"/>
      <c r="E1199" s="1307" t="s">
        <v>461</v>
      </c>
      <c r="F1199" s="1308"/>
      <c r="G1199" s="99">
        <v>11</v>
      </c>
      <c r="H1199" s="1308" t="s">
        <v>462</v>
      </c>
      <c r="I1199" s="1308"/>
      <c r="J1199" s="1308" t="s">
        <v>463</v>
      </c>
      <c r="K1199" s="1309"/>
      <c r="L1199" s="96"/>
      <c r="M1199" s="96"/>
      <c r="N1199" s="96"/>
      <c r="O1199" s="118"/>
      <c r="P1199" s="118"/>
      <c r="Q1199" s="96"/>
      <c r="Z1199" s="79"/>
      <c r="AA1199" s="80"/>
      <c r="AB1199" s="34"/>
      <c r="AC1199" s="34"/>
      <c r="AD1199" s="33"/>
      <c r="AE1199" s="33"/>
      <c r="AF1199" s="33"/>
      <c r="AG1199" s="33"/>
      <c r="AH1199" s="33"/>
      <c r="AI1199" s="33"/>
      <c r="AJ1199" s="33"/>
      <c r="AK1199" s="33"/>
      <c r="AL1199" s="33"/>
      <c r="AM1199" s="33"/>
      <c r="AN1199" s="33"/>
      <c r="AO1199" s="33"/>
    </row>
    <row r="1200" spans="1:41" ht="24" thickBot="1">
      <c r="A1200" s="96"/>
      <c r="B1200" s="96"/>
      <c r="C1200" s="96"/>
      <c r="D1200" s="96"/>
      <c r="E1200" s="1303" t="s">
        <v>464</v>
      </c>
      <c r="F1200" s="1304"/>
      <c r="G1200" s="99">
        <v>0</v>
      </c>
      <c r="H1200" s="1305">
        <v>0</v>
      </c>
      <c r="I1200" s="1305"/>
      <c r="J1200" s="1305">
        <v>0</v>
      </c>
      <c r="K1200" s="1306"/>
      <c r="L1200" s="96"/>
      <c r="M1200" s="96"/>
      <c r="N1200" s="96"/>
      <c r="O1200" s="118"/>
      <c r="P1200" s="118"/>
      <c r="Q1200" s="96"/>
      <c r="Z1200" s="79"/>
      <c r="AA1200" s="80"/>
      <c r="AB1200" s="34"/>
      <c r="AC1200" s="34"/>
      <c r="AD1200" s="33"/>
      <c r="AE1200" s="33"/>
      <c r="AF1200" s="33"/>
      <c r="AG1200" s="33"/>
      <c r="AH1200" s="33"/>
      <c r="AI1200" s="33"/>
      <c r="AJ1200" s="33"/>
      <c r="AK1200" s="33"/>
      <c r="AL1200" s="33"/>
      <c r="AM1200" s="33"/>
      <c r="AN1200" s="33"/>
      <c r="AO1200" s="33"/>
    </row>
    <row r="1201" spans="1:41" ht="17.25" thickTop="1" thickBot="1">
      <c r="A1201" s="34"/>
      <c r="B1201" s="34"/>
      <c r="C1201" s="1299" t="s">
        <v>465</v>
      </c>
      <c r="D1201" s="1299"/>
      <c r="E1201" s="1299" t="s">
        <v>360</v>
      </c>
      <c r="F1201" s="1299"/>
      <c r="G1201" s="1302" t="s">
        <v>368</v>
      </c>
      <c r="H1201" s="1302"/>
      <c r="I1201" s="1302" t="s">
        <v>369</v>
      </c>
      <c r="J1201" s="1302"/>
      <c r="K1201" s="1302" t="s">
        <v>370</v>
      </c>
      <c r="L1201" s="1299"/>
      <c r="M1201" s="1299" t="s">
        <v>371</v>
      </c>
      <c r="N1201" s="1299"/>
      <c r="O1201" s="119"/>
      <c r="P1201" s="118"/>
      <c r="Q1201" s="96"/>
      <c r="Z1201" s="79"/>
      <c r="AA1201" s="80"/>
      <c r="AB1201" s="34"/>
      <c r="AC1201" s="34"/>
      <c r="AD1201" s="33"/>
      <c r="AE1201" s="33"/>
      <c r="AF1201" s="33"/>
      <c r="AG1201" s="33"/>
      <c r="AH1201" s="33"/>
      <c r="AI1201" s="33"/>
      <c r="AJ1201" s="33"/>
      <c r="AK1201" s="33"/>
      <c r="AL1201" s="33"/>
      <c r="AM1201" s="33"/>
      <c r="AN1201" s="33"/>
      <c r="AO1201" s="33"/>
    </row>
    <row r="1202" spans="1:41" ht="17.25" thickTop="1" thickBot="1">
      <c r="A1202" s="34"/>
      <c r="B1202" s="34"/>
      <c r="C1202" s="1299" t="s">
        <v>372</v>
      </c>
      <c r="D1202" s="1299"/>
      <c r="E1202" s="1336" t="s">
        <v>947</v>
      </c>
      <c r="F1202" s="1337"/>
      <c r="G1202" s="1336" t="s">
        <v>947</v>
      </c>
      <c r="H1202" s="1337"/>
      <c r="I1202" s="1336" t="s">
        <v>947</v>
      </c>
      <c r="J1202" s="1337"/>
      <c r="K1202" s="1297"/>
      <c r="L1202" s="1297"/>
      <c r="M1202" s="1297"/>
      <c r="N1202" s="1297"/>
      <c r="O1202" s="119"/>
      <c r="P1202" s="118"/>
      <c r="Q1202" s="96"/>
      <c r="Z1202" s="79"/>
      <c r="AA1202" s="80"/>
      <c r="AB1202" s="34"/>
      <c r="AC1202" s="34"/>
      <c r="AD1202" s="33"/>
      <c r="AE1202" s="33"/>
      <c r="AF1202" s="33"/>
      <c r="AG1202" s="33"/>
      <c r="AH1202" s="33"/>
      <c r="AI1202" s="33"/>
      <c r="AJ1202" s="33"/>
      <c r="AK1202" s="33"/>
      <c r="AL1202" s="33"/>
      <c r="AM1202" s="33"/>
      <c r="AN1202" s="33"/>
      <c r="AO1202" s="33"/>
    </row>
    <row r="1203" spans="1:41" ht="17.25" thickTop="1" thickBot="1">
      <c r="A1203" s="34"/>
      <c r="B1203" s="34"/>
      <c r="C1203" s="1299" t="s">
        <v>373</v>
      </c>
      <c r="D1203" s="1299"/>
      <c r="E1203" s="1336" t="s">
        <v>489</v>
      </c>
      <c r="F1203" s="1337"/>
      <c r="G1203" s="1336" t="s">
        <v>947</v>
      </c>
      <c r="H1203" s="1337"/>
      <c r="I1203" s="1296"/>
      <c r="J1203" s="1296"/>
      <c r="K1203" s="1297"/>
      <c r="L1203" s="1297"/>
      <c r="M1203" s="1297"/>
      <c r="N1203" s="1297"/>
      <c r="O1203" s="119"/>
      <c r="P1203" s="118"/>
      <c r="Q1203" s="96"/>
      <c r="Z1203" s="79"/>
      <c r="AA1203" s="80"/>
      <c r="AB1203" s="34"/>
      <c r="AC1203" s="34"/>
      <c r="AD1203" s="33"/>
      <c r="AE1203" s="33"/>
      <c r="AF1203" s="33"/>
      <c r="AG1203" s="33"/>
      <c r="AH1203" s="33"/>
      <c r="AI1203" s="33"/>
      <c r="AJ1203" s="33"/>
      <c r="AK1203" s="33"/>
      <c r="AL1203" s="33"/>
      <c r="AM1203" s="33"/>
      <c r="AN1203" s="33"/>
      <c r="AO1203" s="33"/>
    </row>
    <row r="1204" spans="1:41" ht="17.25" thickTop="1" thickBot="1">
      <c r="A1204" s="34"/>
      <c r="B1204" s="34"/>
      <c r="C1204" s="1299" t="s">
        <v>374</v>
      </c>
      <c r="D1204" s="1299"/>
      <c r="E1204" s="1296" t="s">
        <v>930</v>
      </c>
      <c r="F1204" s="1296"/>
      <c r="G1204" s="1336"/>
      <c r="H1204" s="1337"/>
      <c r="I1204" s="1296" t="s">
        <v>930</v>
      </c>
      <c r="J1204" s="1296"/>
      <c r="K1204" s="1297"/>
      <c r="L1204" s="1297"/>
      <c r="M1204" s="1297"/>
      <c r="N1204" s="1297"/>
      <c r="O1204" s="119"/>
      <c r="P1204" s="118"/>
      <c r="Q1204" s="96"/>
      <c r="Z1204" s="79"/>
      <c r="AA1204" s="80"/>
      <c r="AB1204" s="34"/>
      <c r="AC1204" s="34"/>
      <c r="AD1204" s="33"/>
      <c r="AE1204" s="33"/>
      <c r="AF1204" s="33"/>
      <c r="AG1204" s="33"/>
      <c r="AH1204" s="33"/>
      <c r="AI1204" s="33"/>
      <c r="AJ1204" s="33"/>
      <c r="AK1204" s="33"/>
      <c r="AL1204" s="33"/>
      <c r="AM1204" s="33"/>
      <c r="AN1204" s="33"/>
      <c r="AO1204" s="33"/>
    </row>
    <row r="1205" spans="1:41" ht="17.25" thickTop="1" thickBot="1">
      <c r="A1205" s="34"/>
      <c r="B1205" s="34"/>
      <c r="C1205" s="1299" t="s">
        <v>375</v>
      </c>
      <c r="D1205" s="1299"/>
      <c r="E1205" s="1296"/>
      <c r="F1205" s="1296"/>
      <c r="G1205" s="1296"/>
      <c r="H1205" s="1296"/>
      <c r="I1205" s="1296" t="s">
        <v>10</v>
      </c>
      <c r="J1205" s="1296"/>
      <c r="K1205" s="1297"/>
      <c r="L1205" s="1297"/>
      <c r="M1205" s="1297"/>
      <c r="N1205" s="1297"/>
      <c r="O1205" s="119"/>
      <c r="P1205" s="118"/>
      <c r="Q1205" s="96"/>
      <c r="Z1205" s="79"/>
      <c r="AA1205" s="80"/>
      <c r="AB1205" s="34"/>
      <c r="AC1205" s="34"/>
      <c r="AD1205" s="33"/>
      <c r="AE1205" s="33"/>
      <c r="AF1205" s="33"/>
      <c r="AG1205" s="33"/>
      <c r="AH1205" s="33"/>
      <c r="AI1205" s="33"/>
      <c r="AJ1205" s="33"/>
      <c r="AK1205" s="33"/>
      <c r="AL1205" s="33"/>
      <c r="AM1205" s="33"/>
      <c r="AN1205" s="33"/>
      <c r="AO1205" s="33"/>
    </row>
    <row r="1206" spans="1:41" ht="17.25" thickTop="1" thickBot="1">
      <c r="A1206" s="34"/>
      <c r="B1206" s="34"/>
      <c r="C1206" s="101"/>
      <c r="D1206" s="101"/>
      <c r="E1206" s="251"/>
      <c r="F1206" s="251"/>
      <c r="G1206" s="251"/>
      <c r="H1206" s="251"/>
      <c r="I1206" s="33"/>
      <c r="J1206" s="33"/>
      <c r="K1206" s="34"/>
      <c r="L1206" s="34"/>
      <c r="M1206" s="33"/>
      <c r="N1206" s="33"/>
      <c r="O1206" s="119"/>
      <c r="P1206" s="118"/>
      <c r="Q1206" s="96"/>
      <c r="Z1206" s="79"/>
      <c r="AA1206" s="80"/>
      <c r="AB1206" s="34"/>
      <c r="AC1206" s="34"/>
      <c r="AD1206" s="33"/>
      <c r="AE1206" s="33"/>
      <c r="AF1206" s="33"/>
      <c r="AG1206" s="33"/>
      <c r="AH1206" s="33"/>
      <c r="AI1206" s="33"/>
      <c r="AJ1206" s="33"/>
      <c r="AK1206" s="33"/>
      <c r="AL1206" s="33"/>
      <c r="AM1206" s="33"/>
      <c r="AN1206" s="33"/>
      <c r="AO1206" s="33"/>
    </row>
    <row r="1207" spans="1:41" ht="17.25" thickTop="1" thickBot="1">
      <c r="A1207" s="34"/>
      <c r="B1207" s="34"/>
      <c r="C1207" s="1299" t="s">
        <v>921</v>
      </c>
      <c r="D1207" s="1299"/>
      <c r="E1207" s="1296" t="s">
        <v>10</v>
      </c>
      <c r="F1207" s="1296"/>
      <c r="G1207" s="1296" t="s">
        <v>8</v>
      </c>
      <c r="H1207" s="1296"/>
      <c r="I1207" s="1297"/>
      <c r="J1207" s="1297"/>
      <c r="K1207" s="1297"/>
      <c r="L1207" s="1297"/>
      <c r="M1207" s="1297"/>
      <c r="N1207" s="1297"/>
      <c r="O1207" s="119"/>
      <c r="P1207" s="118"/>
      <c r="Q1207" s="96"/>
      <c r="Z1207" s="79"/>
      <c r="AA1207" s="80"/>
      <c r="AB1207" s="34"/>
      <c r="AC1207" s="34"/>
      <c r="AD1207" s="33"/>
      <c r="AE1207" s="33"/>
      <c r="AF1207" s="33"/>
      <c r="AG1207" s="33"/>
      <c r="AH1207" s="33"/>
      <c r="AI1207" s="33"/>
      <c r="AJ1207" s="33"/>
      <c r="AK1207" s="33"/>
      <c r="AL1207" s="33"/>
      <c r="AM1207" s="33"/>
      <c r="AN1207" s="33"/>
      <c r="AO1207" s="33"/>
    </row>
    <row r="1208" spans="1:41" ht="17.25" thickTop="1" thickBot="1">
      <c r="A1208" s="34"/>
      <c r="B1208" s="34"/>
      <c r="C1208" s="1299" t="s">
        <v>922</v>
      </c>
      <c r="D1208" s="1299"/>
      <c r="E1208" s="1296" t="s">
        <v>10</v>
      </c>
      <c r="F1208" s="1296"/>
      <c r="G1208" s="1296" t="s">
        <v>8</v>
      </c>
      <c r="H1208" s="1296"/>
      <c r="I1208" s="1297" t="s">
        <v>380</v>
      </c>
      <c r="J1208" s="1297"/>
      <c r="K1208" s="1297"/>
      <c r="L1208" s="1297"/>
      <c r="M1208" s="1297"/>
      <c r="N1208" s="1297"/>
      <c r="O1208" s="119"/>
      <c r="P1208" s="118"/>
      <c r="Q1208" s="96"/>
      <c r="Z1208" s="79"/>
      <c r="AA1208" s="80"/>
      <c r="AB1208" s="34"/>
      <c r="AC1208" s="34"/>
      <c r="AD1208" s="33"/>
      <c r="AE1208" s="33"/>
      <c r="AF1208" s="33"/>
      <c r="AG1208" s="33"/>
      <c r="AH1208" s="33"/>
      <c r="AI1208" s="33"/>
      <c r="AJ1208" s="33"/>
      <c r="AK1208" s="33"/>
      <c r="AL1208" s="33"/>
      <c r="AM1208" s="33"/>
      <c r="AN1208" s="33"/>
      <c r="AO1208" s="33"/>
    </row>
    <row r="1209" spans="1:41" ht="17.25" thickTop="1" thickBot="1">
      <c r="A1209" s="34"/>
      <c r="B1209" s="34"/>
      <c r="C1209" s="1299" t="s">
        <v>923</v>
      </c>
      <c r="D1209" s="1299"/>
      <c r="E1209" s="1296" t="s">
        <v>8</v>
      </c>
      <c r="F1209" s="1296"/>
      <c r="G1209" s="1297"/>
      <c r="H1209" s="1297"/>
      <c r="I1209" s="1297" t="s">
        <v>380</v>
      </c>
      <c r="J1209" s="1297"/>
      <c r="K1209" s="1297"/>
      <c r="L1209" s="1297"/>
      <c r="M1209" s="1297"/>
      <c r="N1209" s="1297"/>
      <c r="O1209" s="119"/>
      <c r="P1209" s="118"/>
      <c r="Q1209" s="96"/>
      <c r="Z1209" s="79"/>
      <c r="AA1209" s="80"/>
      <c r="AB1209" s="34"/>
      <c r="AC1209" s="34"/>
      <c r="AD1209" s="33"/>
      <c r="AE1209" s="33"/>
      <c r="AF1209" s="33"/>
      <c r="AG1209" s="33"/>
      <c r="AH1209" s="33"/>
      <c r="AI1209" s="33"/>
      <c r="AJ1209" s="33"/>
      <c r="AK1209" s="33"/>
      <c r="AL1209" s="33"/>
      <c r="AM1209" s="33"/>
      <c r="AN1209" s="33"/>
      <c r="AO1209" s="33"/>
    </row>
    <row r="1210" spans="1:41" ht="17.25" thickTop="1" thickBot="1">
      <c r="A1210" s="34"/>
      <c r="B1210" s="34"/>
      <c r="C1210" s="1299" t="s">
        <v>924</v>
      </c>
      <c r="D1210" s="1299"/>
      <c r="E1210" s="1297" t="s">
        <v>380</v>
      </c>
      <c r="F1210" s="1297"/>
      <c r="G1210" s="1297" t="s">
        <v>380</v>
      </c>
      <c r="H1210" s="1297"/>
      <c r="I1210" s="1297" t="s">
        <v>380</v>
      </c>
      <c r="J1210" s="1297"/>
      <c r="K1210" s="1297" t="s">
        <v>380</v>
      </c>
      <c r="L1210" s="1297"/>
      <c r="M1210" s="1297" t="s">
        <v>380</v>
      </c>
      <c r="N1210" s="1297"/>
      <c r="O1210" s="119"/>
      <c r="P1210" s="118"/>
      <c r="Q1210" s="96"/>
      <c r="Z1210" s="79"/>
      <c r="AA1210" s="80"/>
      <c r="AB1210" s="34"/>
      <c r="AC1210" s="34"/>
      <c r="AD1210" s="33"/>
      <c r="AE1210" s="33"/>
      <c r="AF1210" s="33"/>
      <c r="AG1210" s="33"/>
      <c r="AH1210" s="33"/>
      <c r="AI1210" s="33"/>
      <c r="AJ1210" s="33"/>
      <c r="AK1210" s="33"/>
      <c r="AL1210" s="33"/>
      <c r="AM1210" s="33"/>
      <c r="AN1210" s="33"/>
      <c r="AO1210" s="33"/>
    </row>
    <row r="1211" spans="1:41" ht="17.25" thickTop="1" thickBot="1">
      <c r="A1211" s="34"/>
      <c r="B1211" s="34"/>
      <c r="C1211" s="33"/>
      <c r="D1211" s="33"/>
      <c r="E1211" s="33"/>
      <c r="F1211" s="33"/>
      <c r="G1211" s="33"/>
      <c r="H1211" s="33"/>
      <c r="I1211" s="33"/>
      <c r="J1211" s="33"/>
      <c r="K1211" s="34"/>
      <c r="L1211" s="34"/>
      <c r="M1211" s="33"/>
      <c r="N1211" s="33"/>
      <c r="O1211" s="119"/>
      <c r="P1211" s="118"/>
      <c r="Q1211" s="96"/>
      <c r="Z1211" s="79"/>
      <c r="AA1211" s="80"/>
      <c r="AB1211" s="34"/>
      <c r="AC1211" s="34"/>
      <c r="AD1211" s="33"/>
      <c r="AE1211" s="33"/>
      <c r="AF1211" s="33"/>
      <c r="AG1211" s="33"/>
      <c r="AH1211" s="33"/>
      <c r="AI1211" s="33"/>
      <c r="AJ1211" s="33"/>
      <c r="AK1211" s="33"/>
      <c r="AL1211" s="33"/>
      <c r="AM1211" s="33"/>
      <c r="AN1211" s="33"/>
      <c r="AO1211" s="33"/>
    </row>
    <row r="1212" spans="1:41" ht="19.5" thickTop="1" thickBot="1">
      <c r="A1212" s="1321" t="s">
        <v>467</v>
      </c>
      <c r="B1212" s="1322"/>
      <c r="C1212" s="1323" t="s">
        <v>380</v>
      </c>
      <c r="D1212" s="1323"/>
      <c r="E1212" s="1323" t="s">
        <v>380</v>
      </c>
      <c r="F1212" s="1323"/>
      <c r="G1212" s="250"/>
      <c r="H1212" s="250" t="s">
        <v>468</v>
      </c>
      <c r="I1212" s="1295" t="s">
        <v>402</v>
      </c>
      <c r="J1212" s="1295"/>
      <c r="K1212" s="1295"/>
      <c r="L1212" s="102" t="s">
        <v>403</v>
      </c>
      <c r="M1212" s="1331">
        <f ca="1">TODAY()</f>
        <v>45944</v>
      </c>
      <c r="N1212" s="1331"/>
      <c r="O1212" s="119"/>
      <c r="P1212" s="118"/>
      <c r="Q1212" s="96"/>
      <c r="Z1212" s="79"/>
      <c r="AA1212" s="80"/>
      <c r="AB1212" s="34"/>
      <c r="AC1212" s="34"/>
      <c r="AD1212" s="33"/>
      <c r="AE1212" s="33"/>
      <c r="AF1212" s="33"/>
      <c r="AG1212" s="33"/>
      <c r="AH1212" s="33"/>
      <c r="AI1212" s="33"/>
      <c r="AJ1212" s="33"/>
      <c r="AK1212" s="33"/>
      <c r="AL1212" s="33"/>
      <c r="AM1212" s="33"/>
      <c r="AN1212" s="33"/>
      <c r="AO1212" s="33"/>
    </row>
    <row r="1213" spans="1:41" ht="19.5" thickTop="1" thickBot="1">
      <c r="A1213" s="1321" t="s">
        <v>469</v>
      </c>
      <c r="B1213" s="1322"/>
      <c r="C1213" s="1323" t="s">
        <v>380</v>
      </c>
      <c r="D1213" s="1323"/>
      <c r="E1213" s="1323" t="s">
        <v>380</v>
      </c>
      <c r="F1213" s="1323"/>
      <c r="G1213" s="250"/>
      <c r="H1213" s="250"/>
      <c r="I1213" s="250"/>
      <c r="J1213" s="250"/>
      <c r="K1213" s="102"/>
      <c r="L1213" s="102"/>
      <c r="M1213" s="33"/>
      <c r="N1213" s="33"/>
      <c r="O1213" s="119"/>
      <c r="P1213" s="118"/>
      <c r="Q1213" s="96"/>
      <c r="Z1213" s="79"/>
      <c r="AA1213" s="80"/>
      <c r="AB1213" s="34"/>
      <c r="AC1213" s="34"/>
      <c r="AD1213" s="33"/>
      <c r="AE1213" s="33"/>
      <c r="AF1213" s="33"/>
      <c r="AG1213" s="33"/>
      <c r="AH1213" s="33"/>
      <c r="AI1213" s="33"/>
      <c r="AJ1213" s="33"/>
      <c r="AK1213" s="33"/>
      <c r="AL1213" s="33"/>
      <c r="AM1213" s="33"/>
      <c r="AN1213" s="33"/>
      <c r="AO1213" s="33"/>
    </row>
    <row r="1214" spans="1:41" ht="19.5" thickTop="1" thickBot="1">
      <c r="A1214" s="1321" t="s">
        <v>470</v>
      </c>
      <c r="B1214" s="1322"/>
      <c r="C1214" s="1323" t="s">
        <v>380</v>
      </c>
      <c r="D1214" s="1323"/>
      <c r="E1214" s="1323" t="s">
        <v>380</v>
      </c>
      <c r="F1214" s="1323"/>
      <c r="G1214" s="250"/>
      <c r="H1214" s="250"/>
      <c r="I1214" s="250"/>
      <c r="J1214" s="250" t="s">
        <v>471</v>
      </c>
      <c r="K1214" s="102"/>
      <c r="L1214" s="102"/>
      <c r="M1214" s="33"/>
      <c r="N1214" s="33"/>
      <c r="O1214" s="119"/>
      <c r="P1214" s="118"/>
      <c r="Q1214" s="96"/>
      <c r="Z1214" s="79"/>
      <c r="AA1214" s="80"/>
      <c r="AB1214" s="34"/>
      <c r="AC1214" s="34"/>
      <c r="AD1214" s="33"/>
      <c r="AE1214" s="33"/>
      <c r="AF1214" s="33"/>
      <c r="AG1214" s="33"/>
      <c r="AH1214" s="33"/>
      <c r="AI1214" s="33"/>
      <c r="AJ1214" s="33"/>
      <c r="AK1214" s="33"/>
      <c r="AL1214" s="33"/>
      <c r="AM1214" s="33"/>
      <c r="AN1214" s="33"/>
      <c r="AO1214" s="33"/>
    </row>
    <row r="1215" spans="1:41" ht="24" thickTop="1">
      <c r="A1215" s="34"/>
      <c r="B1215" s="34"/>
      <c r="C1215" s="33"/>
      <c r="D1215" s="33"/>
      <c r="E1215" s="33"/>
      <c r="F1215" s="33"/>
      <c r="G1215" s="33"/>
      <c r="H1215" s="103" t="s">
        <v>406</v>
      </c>
      <c r="I1215" s="33"/>
      <c r="J1215" s="34"/>
      <c r="K1215" s="34"/>
      <c r="L1215" s="33"/>
      <c r="M1215" s="33"/>
      <c r="N1215" s="104"/>
      <c r="O1215" s="119"/>
      <c r="P1215" s="120"/>
      <c r="Q1215" s="33"/>
      <c r="Z1215" s="79"/>
      <c r="AA1215" s="80"/>
      <c r="AB1215" s="34"/>
      <c r="AC1215" s="34"/>
      <c r="AD1215" s="33"/>
      <c r="AE1215" s="33"/>
      <c r="AF1215" s="33"/>
      <c r="AG1215" s="33"/>
      <c r="AH1215" s="33"/>
      <c r="AI1215" s="33"/>
      <c r="AJ1215" s="33"/>
      <c r="AK1215" s="33"/>
      <c r="AL1215" s="33"/>
      <c r="AM1215" s="33"/>
      <c r="AN1215" s="33"/>
      <c r="AO1215" s="33"/>
    </row>
    <row r="1216" spans="1:41" ht="18">
      <c r="A1216" s="1295" t="s">
        <v>78</v>
      </c>
      <c r="B1216" s="1295"/>
      <c r="C1216" s="1295"/>
      <c r="D1216" s="1295"/>
      <c r="E1216" s="1295"/>
      <c r="F1216" s="1295"/>
      <c r="G1216" s="1295"/>
      <c r="H1216" s="1295"/>
      <c r="I1216" s="1295"/>
      <c r="J1216" s="1295"/>
      <c r="K1216" s="1295"/>
      <c r="L1216" s="1295"/>
      <c r="M1216" s="1295"/>
      <c r="N1216" s="1295"/>
      <c r="O1216" s="119"/>
      <c r="P1216" s="120"/>
      <c r="Q1216" s="33"/>
      <c r="Z1216" s="79"/>
      <c r="AA1216" s="80"/>
      <c r="AB1216" s="34"/>
      <c r="AC1216" s="34"/>
      <c r="AD1216" s="33"/>
      <c r="AE1216" s="33"/>
      <c r="AF1216" s="33"/>
      <c r="AG1216" s="33"/>
      <c r="AH1216" s="33"/>
      <c r="AI1216" s="33"/>
      <c r="AJ1216" s="33"/>
      <c r="AK1216" s="33"/>
      <c r="AL1216" s="33"/>
      <c r="AM1216" s="33"/>
      <c r="AN1216" s="33"/>
      <c r="AO1216" s="33"/>
    </row>
    <row r="1217" spans="1:41" ht="18">
      <c r="A1217" s="1295" t="s">
        <v>79</v>
      </c>
      <c r="B1217" s="1295"/>
      <c r="C1217" s="1295"/>
      <c r="D1217" s="1295"/>
      <c r="E1217" s="1295"/>
      <c r="F1217" s="1295"/>
      <c r="G1217" s="1295"/>
      <c r="H1217" s="1295"/>
      <c r="I1217" s="1295"/>
      <c r="J1217" s="1295"/>
      <c r="K1217" s="1295"/>
      <c r="L1217" s="1295"/>
      <c r="M1217" s="1295"/>
      <c r="N1217" s="1295"/>
      <c r="O1217" s="119"/>
      <c r="P1217" s="120"/>
      <c r="Q1217" s="33"/>
      <c r="Z1217" s="79"/>
      <c r="AA1217" s="80"/>
      <c r="AB1217" s="34"/>
      <c r="AC1217" s="34"/>
      <c r="AD1217" s="33"/>
      <c r="AE1217" s="33"/>
      <c r="AF1217" s="33"/>
      <c r="AG1217" s="33"/>
      <c r="AH1217" s="33"/>
      <c r="AI1217" s="33"/>
      <c r="AJ1217" s="33"/>
      <c r="AK1217" s="33"/>
      <c r="AL1217" s="33"/>
      <c r="AM1217" s="33"/>
      <c r="AN1217" s="33"/>
      <c r="AO1217" s="33"/>
    </row>
    <row r="1218" spans="1:41" ht="18">
      <c r="A1218" s="168" t="s">
        <v>220</v>
      </c>
      <c r="B1218" s="250"/>
      <c r="C1218" s="250"/>
      <c r="D1218" s="250"/>
      <c r="E1218" s="250"/>
      <c r="F1218" s="250"/>
      <c r="G1218" s="250"/>
      <c r="H1218" s="250"/>
      <c r="I1218" s="250"/>
      <c r="J1218" s="250"/>
      <c r="K1218" s="250"/>
      <c r="L1218" s="250"/>
      <c r="M1218" s="33"/>
      <c r="N1218" s="33"/>
      <c r="O1218" s="119"/>
      <c r="P1218" s="120"/>
      <c r="Q1218" s="33"/>
      <c r="Z1218" s="79"/>
      <c r="AA1218" s="80"/>
      <c r="AB1218" s="34"/>
      <c r="AC1218" s="34"/>
      <c r="AD1218" s="33"/>
      <c r="AE1218" s="33"/>
      <c r="AF1218" s="33"/>
      <c r="AG1218" s="33"/>
      <c r="AH1218" s="33"/>
      <c r="AI1218" s="33"/>
      <c r="AJ1218" s="33"/>
      <c r="AK1218" s="33"/>
      <c r="AL1218" s="33"/>
      <c r="AM1218" s="33"/>
      <c r="AN1218" s="33"/>
      <c r="AO1218" s="33"/>
    </row>
    <row r="1219" spans="1:41" ht="18">
      <c r="A1219" s="168" t="s">
        <v>444</v>
      </c>
      <c r="B1219" s="250"/>
      <c r="C1219" s="250"/>
      <c r="D1219" s="250"/>
      <c r="E1219" s="250"/>
      <c r="F1219" s="250"/>
      <c r="G1219" s="250"/>
      <c r="H1219" s="250"/>
      <c r="I1219" s="250"/>
      <c r="J1219" s="250"/>
      <c r="K1219" s="250"/>
      <c r="L1219" s="250"/>
      <c r="M1219" s="33"/>
      <c r="N1219" s="33"/>
      <c r="O1219" s="119"/>
      <c r="P1219" s="120"/>
      <c r="Q1219" s="33"/>
      <c r="Z1219" s="79"/>
      <c r="AA1219" s="80"/>
      <c r="AB1219" s="34"/>
      <c r="AC1219" s="34"/>
      <c r="AD1219" s="33"/>
      <c r="AE1219" s="33"/>
      <c r="AF1219" s="33"/>
      <c r="AG1219" s="33"/>
      <c r="AH1219" s="33"/>
      <c r="AI1219" s="33"/>
      <c r="AJ1219" s="33"/>
      <c r="AK1219" s="33"/>
      <c r="AL1219" s="33"/>
      <c r="AM1219" s="33"/>
      <c r="AN1219" s="33"/>
      <c r="AO1219" s="33"/>
    </row>
    <row r="1220" spans="1:41" ht="18.75" thickBot="1">
      <c r="A1220" s="250"/>
      <c r="B1220" s="250"/>
      <c r="C1220" s="250"/>
      <c r="D1220" s="250"/>
      <c r="E1220" s="250"/>
      <c r="F1220" s="250"/>
      <c r="G1220" s="250"/>
      <c r="H1220" s="250"/>
      <c r="I1220" s="250"/>
      <c r="J1220" s="250"/>
      <c r="K1220" s="250"/>
      <c r="L1220" s="250"/>
      <c r="M1220" s="33"/>
      <c r="N1220" s="33"/>
      <c r="O1220" s="119"/>
      <c r="P1220" s="120"/>
      <c r="Q1220" s="33"/>
      <c r="Z1220" s="79"/>
      <c r="AA1220" s="80"/>
      <c r="AB1220" s="34"/>
      <c r="AC1220" s="34"/>
      <c r="AD1220" s="33"/>
      <c r="AE1220" s="33"/>
      <c r="AF1220" s="33"/>
      <c r="AG1220" s="33"/>
      <c r="AH1220" s="33"/>
      <c r="AI1220" s="33"/>
      <c r="AJ1220" s="33"/>
      <c r="AK1220" s="33"/>
      <c r="AL1220" s="33"/>
      <c r="AM1220" s="33"/>
      <c r="AN1220" s="33"/>
      <c r="AO1220" s="33"/>
    </row>
    <row r="1221" spans="1:41" ht="24" thickBot="1">
      <c r="A1221" s="250"/>
      <c r="B1221" s="250"/>
      <c r="C1221" s="1333" t="s">
        <v>446</v>
      </c>
      <c r="D1221" s="1334"/>
      <c r="E1221" s="1334"/>
      <c r="F1221" s="1334"/>
      <c r="G1221" s="1334"/>
      <c r="H1221" s="1334"/>
      <c r="I1221" s="1334"/>
      <c r="J1221" s="1334"/>
      <c r="K1221" s="1334"/>
      <c r="L1221" s="1335"/>
      <c r="M1221" s="33"/>
      <c r="N1221" s="33"/>
      <c r="O1221" s="119"/>
      <c r="P1221" s="120"/>
      <c r="Q1221" s="33"/>
      <c r="Z1221" s="79"/>
      <c r="AA1221" s="80"/>
      <c r="AB1221" s="34"/>
      <c r="AC1221" s="34"/>
      <c r="AD1221" s="33"/>
      <c r="AE1221" s="33"/>
      <c r="AF1221" s="33"/>
      <c r="AG1221" s="33"/>
      <c r="AH1221" s="33"/>
      <c r="AI1221" s="33"/>
      <c r="AJ1221" s="33"/>
      <c r="AK1221" s="33"/>
      <c r="AL1221" s="33"/>
      <c r="AM1221" s="33"/>
      <c r="AN1221" s="33"/>
      <c r="AO1221" s="33"/>
    </row>
    <row r="1222" spans="1:41" ht="23.25">
      <c r="A1222" s="250"/>
      <c r="B1222" s="250"/>
      <c r="C1222" s="249"/>
      <c r="D1222" s="249"/>
      <c r="E1222" s="249"/>
      <c r="F1222" s="249"/>
      <c r="G1222" s="249"/>
      <c r="H1222" s="249"/>
      <c r="I1222" s="249"/>
      <c r="J1222" s="249"/>
      <c r="K1222" s="249"/>
      <c r="L1222" s="249"/>
      <c r="M1222" s="33"/>
      <c r="N1222" s="33"/>
      <c r="O1222" s="119"/>
      <c r="P1222" s="120"/>
      <c r="Q1222" s="33"/>
      <c r="Z1222" s="79"/>
      <c r="AA1222" s="80"/>
      <c r="AB1222" s="34"/>
      <c r="AC1222" s="34"/>
      <c r="AD1222" s="33"/>
      <c r="AE1222" s="33"/>
      <c r="AF1222" s="33"/>
      <c r="AG1222" s="33"/>
      <c r="AH1222" s="33"/>
      <c r="AI1222" s="33"/>
      <c r="AJ1222" s="33"/>
      <c r="AK1222" s="33"/>
      <c r="AL1222" s="33"/>
      <c r="AM1222" s="33"/>
      <c r="AN1222" s="33"/>
      <c r="AO1222" s="33"/>
    </row>
    <row r="1223" spans="1:41" ht="23.25">
      <c r="A1223" s="1295" t="s">
        <v>448</v>
      </c>
      <c r="B1223" s="1295"/>
      <c r="C1223" s="1295"/>
      <c r="D1223" s="1294" t="s">
        <v>491</v>
      </c>
      <c r="E1223" s="1294"/>
      <c r="F1223" s="1294"/>
      <c r="G1223" s="1294"/>
      <c r="H1223" s="1294"/>
      <c r="I1223" s="249"/>
      <c r="J1223" s="249"/>
      <c r="K1223" s="249" t="s">
        <v>449</v>
      </c>
      <c r="L1223" s="249"/>
      <c r="M1223" s="1295" t="s">
        <v>492</v>
      </c>
      <c r="N1223" s="1295"/>
      <c r="O1223" s="119"/>
      <c r="P1223" s="120"/>
      <c r="Q1223" s="1292" t="str">
        <f>D1223</f>
        <v>عسيلة إكرام</v>
      </c>
      <c r="R1223" s="1292"/>
      <c r="S1223">
        <v>37</v>
      </c>
      <c r="Z1223" s="79"/>
      <c r="AA1223" s="80"/>
      <c r="AB1223" s="34"/>
      <c r="AC1223" s="34"/>
      <c r="AD1223" s="33"/>
      <c r="AE1223" s="33"/>
      <c r="AF1223" s="33"/>
      <c r="AG1223" s="33"/>
      <c r="AH1223" s="33"/>
      <c r="AI1223" s="33"/>
      <c r="AJ1223" s="33"/>
      <c r="AK1223" s="33"/>
      <c r="AL1223" s="33"/>
      <c r="AM1223" s="33"/>
      <c r="AN1223" s="33"/>
      <c r="AO1223" s="33"/>
    </row>
    <row r="1224" spans="1:41" ht="24" thickBot="1">
      <c r="A1224" s="1340" t="s">
        <v>450</v>
      </c>
      <c r="B1224" s="1340"/>
      <c r="C1224" s="1340"/>
      <c r="D1224" s="1340">
        <v>0</v>
      </c>
      <c r="E1224" s="1340"/>
      <c r="F1224" s="1340"/>
      <c r="G1224" s="1340"/>
      <c r="H1224" s="87"/>
      <c r="I1224" s="1340" t="s">
        <v>452</v>
      </c>
      <c r="J1224" s="1340"/>
      <c r="K1224" s="1340"/>
      <c r="L1224" s="1341"/>
      <c r="M1224" s="1341"/>
      <c r="N1224" s="1341"/>
      <c r="O1224" s="119"/>
      <c r="P1224" s="120"/>
      <c r="Z1224" s="79"/>
      <c r="AA1224" s="80"/>
      <c r="AB1224" s="34"/>
      <c r="AC1224" s="34"/>
      <c r="AD1224" s="33"/>
      <c r="AE1224" s="33"/>
      <c r="AF1224" s="33"/>
      <c r="AG1224" s="33"/>
      <c r="AH1224" s="33"/>
      <c r="AI1224" s="33"/>
      <c r="AJ1224" s="33"/>
      <c r="AK1224" s="33"/>
      <c r="AL1224" s="33"/>
      <c r="AM1224" s="33"/>
      <c r="AN1224" s="33"/>
      <c r="AO1224" s="33"/>
    </row>
    <row r="1225" spans="1:41" ht="17.25" thickTop="1" thickBot="1">
      <c r="A1225" s="1318" t="s">
        <v>453</v>
      </c>
      <c r="B1225" s="1319"/>
      <c r="C1225" s="121"/>
      <c r="D1225" s="121"/>
      <c r="E1225" s="121"/>
      <c r="F1225" s="122"/>
      <c r="G1225" s="122"/>
      <c r="H1225" s="122"/>
      <c r="I1225" s="122" t="s">
        <v>380</v>
      </c>
      <c r="J1225" s="122" t="s">
        <v>380</v>
      </c>
      <c r="K1225" s="122" t="s">
        <v>380</v>
      </c>
      <c r="L1225" s="122" t="s">
        <v>380</v>
      </c>
      <c r="M1225" s="122" t="s">
        <v>380</v>
      </c>
      <c r="N1225" s="123" t="s">
        <v>380</v>
      </c>
      <c r="O1225" s="119"/>
      <c r="P1225" s="120"/>
      <c r="Q1225" s="33"/>
      <c r="Z1225" s="79"/>
      <c r="AA1225" s="80"/>
      <c r="AB1225" s="34"/>
      <c r="AC1225" s="34"/>
      <c r="AD1225" s="33"/>
      <c r="AE1225" s="33"/>
      <c r="AF1225" s="33"/>
      <c r="AG1225" s="33"/>
      <c r="AH1225" s="33"/>
      <c r="AI1225" s="33"/>
      <c r="AJ1225" s="33"/>
      <c r="AK1225" s="33"/>
      <c r="AL1225" s="33"/>
      <c r="AM1225" s="33"/>
      <c r="AN1225" s="33"/>
      <c r="AO1225" s="33"/>
    </row>
    <row r="1226" spans="1:41" ht="16.5" thickBot="1">
      <c r="A1226" s="1329" t="s">
        <v>454</v>
      </c>
      <c r="B1226" s="1330"/>
      <c r="C1226" s="91"/>
      <c r="D1226" s="210"/>
      <c r="E1226" s="210"/>
      <c r="F1226" s="210"/>
      <c r="G1226" s="210"/>
      <c r="H1226" s="210" t="s">
        <v>380</v>
      </c>
      <c r="I1226" s="210" t="s">
        <v>380</v>
      </c>
      <c r="J1226" s="210" t="s">
        <v>380</v>
      </c>
      <c r="K1226" s="210" t="s">
        <v>380</v>
      </c>
      <c r="L1226" s="210" t="s">
        <v>380</v>
      </c>
      <c r="M1226" s="210" t="s">
        <v>380</v>
      </c>
      <c r="N1226" s="92" t="s">
        <v>380</v>
      </c>
      <c r="O1226" s="119"/>
      <c r="P1226" s="120"/>
      <c r="Q1226" s="33"/>
      <c r="Z1226" s="79"/>
      <c r="AA1226" s="80"/>
      <c r="AB1226" s="34"/>
      <c r="AC1226" s="34"/>
      <c r="AD1226" s="33"/>
      <c r="AE1226" s="33"/>
      <c r="AF1226" s="33"/>
      <c r="AG1226" s="33"/>
      <c r="AH1226" s="33"/>
      <c r="AI1226" s="33"/>
      <c r="AJ1226" s="33"/>
      <c r="AK1226" s="33"/>
      <c r="AL1226" s="33"/>
      <c r="AM1226" s="33"/>
      <c r="AN1226" s="33"/>
      <c r="AO1226" s="33"/>
    </row>
    <row r="1227" spans="1:41" ht="16.5" thickBot="1">
      <c r="A1227" s="1329" t="s">
        <v>455</v>
      </c>
      <c r="B1227" s="1330"/>
      <c r="C1227" s="91"/>
      <c r="D1227" s="210"/>
      <c r="E1227" s="210"/>
      <c r="F1227" s="210"/>
      <c r="G1227" s="210"/>
      <c r="H1227" s="210" t="s">
        <v>380</v>
      </c>
      <c r="I1227" s="210" t="s">
        <v>380</v>
      </c>
      <c r="J1227" s="210" t="s">
        <v>380</v>
      </c>
      <c r="K1227" s="210" t="s">
        <v>380</v>
      </c>
      <c r="L1227" s="210" t="s">
        <v>380</v>
      </c>
      <c r="M1227" s="210" t="s">
        <v>380</v>
      </c>
      <c r="N1227" s="92" t="s">
        <v>380</v>
      </c>
      <c r="O1227" s="119"/>
      <c r="P1227" s="120"/>
      <c r="Q1227" s="33"/>
      <c r="Z1227" s="79"/>
      <c r="AA1227" s="80"/>
      <c r="AB1227" s="34"/>
      <c r="AC1227" s="34"/>
      <c r="AD1227" s="33"/>
      <c r="AE1227" s="33"/>
      <c r="AF1227" s="33"/>
      <c r="AG1227" s="33"/>
      <c r="AH1227" s="33"/>
      <c r="AI1227" s="33"/>
      <c r="AJ1227" s="33"/>
      <c r="AK1227" s="33"/>
      <c r="AL1227" s="33"/>
      <c r="AM1227" s="33"/>
      <c r="AN1227" s="33"/>
      <c r="AO1227" s="33"/>
    </row>
    <row r="1228" spans="1:41" ht="16.5" thickBot="1">
      <c r="A1228" s="1327" t="s">
        <v>456</v>
      </c>
      <c r="B1228" s="1328"/>
      <c r="C1228" s="93"/>
      <c r="D1228" s="94"/>
      <c r="E1228" s="94"/>
      <c r="F1228" s="94"/>
      <c r="G1228" s="94"/>
      <c r="H1228" s="94" t="s">
        <v>380</v>
      </c>
      <c r="I1228" s="94" t="s">
        <v>380</v>
      </c>
      <c r="J1228" s="94" t="s">
        <v>380</v>
      </c>
      <c r="K1228" s="94" t="s">
        <v>380</v>
      </c>
      <c r="L1228" s="94" t="s">
        <v>380</v>
      </c>
      <c r="M1228" s="94" t="s">
        <v>380</v>
      </c>
      <c r="N1228" s="95" t="s">
        <v>380</v>
      </c>
      <c r="O1228" s="119"/>
      <c r="P1228" s="120"/>
      <c r="Q1228" s="33"/>
      <c r="Z1228" s="79"/>
      <c r="AA1228" s="80"/>
      <c r="AB1228" s="34"/>
      <c r="AC1228" s="34"/>
      <c r="AD1228" s="33"/>
      <c r="AE1228" s="33"/>
      <c r="AF1228" s="33"/>
      <c r="AG1228" s="33"/>
      <c r="AH1228" s="33"/>
      <c r="AI1228" s="33"/>
      <c r="AJ1228" s="33"/>
      <c r="AK1228" s="33"/>
      <c r="AL1228" s="33"/>
      <c r="AM1228" s="33"/>
      <c r="AN1228" s="33"/>
      <c r="AO1228" s="33"/>
    </row>
    <row r="1229" spans="1:41" ht="21" thickTop="1">
      <c r="A1229" s="96"/>
      <c r="B1229" s="96"/>
      <c r="C1229" s="96"/>
      <c r="D1229" s="96"/>
      <c r="E1229" s="1326" t="s">
        <v>457</v>
      </c>
      <c r="F1229" s="1310"/>
      <c r="G1229" s="97">
        <v>18</v>
      </c>
      <c r="H1229" s="1310" t="s">
        <v>458</v>
      </c>
      <c r="I1229" s="1311"/>
      <c r="J1229" s="1310" t="s">
        <v>459</v>
      </c>
      <c r="K1229" s="1311"/>
      <c r="L1229" s="96"/>
      <c r="M1229" s="96"/>
      <c r="N1229" s="96"/>
      <c r="O1229" s="119"/>
      <c r="P1229" s="120"/>
      <c r="Q1229" s="33"/>
      <c r="Z1229" s="79"/>
      <c r="AA1229" s="80"/>
      <c r="AB1229" s="34"/>
      <c r="AC1229" s="34"/>
      <c r="AD1229" s="33"/>
      <c r="AE1229" s="33"/>
      <c r="AF1229" s="33"/>
      <c r="AG1229" s="33"/>
      <c r="AH1229" s="33"/>
      <c r="AI1229" s="33"/>
      <c r="AJ1229" s="33"/>
      <c r="AK1229" s="33"/>
      <c r="AL1229" s="33"/>
      <c r="AM1229" s="33"/>
      <c r="AN1229" s="33"/>
      <c r="AO1229" s="33"/>
    </row>
    <row r="1230" spans="1:41" ht="23.25">
      <c r="A1230" s="96"/>
      <c r="B1230" s="96"/>
      <c r="C1230" s="96"/>
      <c r="D1230" s="96"/>
      <c r="E1230" s="1307" t="s">
        <v>460</v>
      </c>
      <c r="F1230" s="1308"/>
      <c r="G1230" s="98"/>
      <c r="H1230" s="1312">
        <v>0</v>
      </c>
      <c r="I1230" s="1312"/>
      <c r="J1230" s="1312">
        <v>0</v>
      </c>
      <c r="K1230" s="1313"/>
      <c r="L1230" s="96"/>
      <c r="M1230" s="96"/>
      <c r="N1230" s="96"/>
      <c r="O1230" s="119"/>
      <c r="P1230" s="120"/>
      <c r="Q1230" s="33"/>
      <c r="Z1230" s="79"/>
      <c r="AA1230" s="80"/>
      <c r="AB1230" s="34"/>
      <c r="AC1230" s="34"/>
      <c r="AD1230" s="33"/>
      <c r="AE1230" s="33"/>
      <c r="AF1230" s="33"/>
      <c r="AG1230" s="33"/>
      <c r="AH1230" s="33"/>
      <c r="AI1230" s="33"/>
      <c r="AJ1230" s="33"/>
      <c r="AK1230" s="33"/>
      <c r="AL1230" s="33"/>
      <c r="AM1230" s="33"/>
      <c r="AN1230" s="33"/>
      <c r="AO1230" s="33"/>
    </row>
    <row r="1231" spans="1:41" ht="20.25">
      <c r="A1231" s="96"/>
      <c r="B1231" s="96"/>
      <c r="C1231" s="96"/>
      <c r="D1231" s="96"/>
      <c r="E1231" s="1307" t="s">
        <v>461</v>
      </c>
      <c r="F1231" s="1308"/>
      <c r="G1231" s="99"/>
      <c r="H1231" s="1308" t="s">
        <v>462</v>
      </c>
      <c r="I1231" s="1308"/>
      <c r="J1231" s="1308" t="s">
        <v>463</v>
      </c>
      <c r="K1231" s="1309"/>
      <c r="L1231" s="96"/>
      <c r="M1231" s="96"/>
      <c r="N1231" s="96"/>
      <c r="O1231" s="119"/>
      <c r="P1231" s="120"/>
      <c r="Q1231" s="33"/>
      <c r="Z1231" s="79"/>
      <c r="AA1231" s="80"/>
      <c r="AB1231" s="34"/>
      <c r="AC1231" s="34"/>
      <c r="AD1231" s="33"/>
      <c r="AE1231" s="33"/>
      <c r="AF1231" s="33"/>
      <c r="AG1231" s="33"/>
      <c r="AH1231" s="33"/>
      <c r="AI1231" s="33"/>
      <c r="AJ1231" s="33"/>
      <c r="AK1231" s="33"/>
      <c r="AL1231" s="33"/>
      <c r="AM1231" s="33"/>
      <c r="AN1231" s="33"/>
      <c r="AO1231" s="33"/>
    </row>
    <row r="1232" spans="1:41" ht="24" thickBot="1">
      <c r="A1232" s="96"/>
      <c r="B1232" s="96"/>
      <c r="C1232" s="96"/>
      <c r="D1232" s="96"/>
      <c r="E1232" s="1303" t="s">
        <v>464</v>
      </c>
      <c r="F1232" s="1304"/>
      <c r="G1232" s="99">
        <v>0</v>
      </c>
      <c r="H1232" s="1305">
        <v>0</v>
      </c>
      <c r="I1232" s="1305"/>
      <c r="J1232" s="1305">
        <v>0</v>
      </c>
      <c r="K1232" s="1306"/>
      <c r="L1232" s="96"/>
      <c r="M1232" s="96"/>
      <c r="N1232" s="96"/>
      <c r="O1232" s="119"/>
      <c r="P1232" s="120"/>
      <c r="Q1232" s="33"/>
      <c r="Z1232" s="79"/>
      <c r="AA1232" s="80"/>
      <c r="AB1232" s="34"/>
      <c r="AC1232" s="34"/>
      <c r="AD1232" s="33"/>
      <c r="AE1232" s="33"/>
      <c r="AF1232" s="33"/>
      <c r="AG1232" s="33"/>
      <c r="AH1232" s="33"/>
      <c r="AI1232" s="33"/>
      <c r="AJ1232" s="33"/>
      <c r="AK1232" s="33"/>
      <c r="AL1232" s="33"/>
      <c r="AM1232" s="33"/>
      <c r="AN1232" s="33"/>
      <c r="AO1232" s="33"/>
    </row>
    <row r="1233" spans="1:41" ht="17.25" thickTop="1" thickBot="1">
      <c r="A1233" s="34"/>
      <c r="B1233" s="34"/>
      <c r="C1233" s="1299" t="s">
        <v>465</v>
      </c>
      <c r="D1233" s="1299"/>
      <c r="E1233" s="1371" t="s">
        <v>360</v>
      </c>
      <c r="F1233" s="1371"/>
      <c r="G1233" s="1302" t="s">
        <v>368</v>
      </c>
      <c r="H1233" s="1302"/>
      <c r="I1233" s="1302" t="s">
        <v>369</v>
      </c>
      <c r="J1233" s="1302"/>
      <c r="K1233" s="1302" t="s">
        <v>370</v>
      </c>
      <c r="L1233" s="1299"/>
      <c r="M1233" s="1299" t="s">
        <v>371</v>
      </c>
      <c r="N1233" s="1299"/>
      <c r="O1233" s="119"/>
      <c r="P1233" s="120"/>
      <c r="Q1233" s="33"/>
      <c r="Z1233" s="79"/>
      <c r="AA1233" s="80"/>
      <c r="AB1233" s="34"/>
      <c r="AC1233" s="34"/>
      <c r="AD1233" s="33"/>
      <c r="AE1233" s="33"/>
      <c r="AF1233" s="33"/>
      <c r="AG1233" s="33"/>
      <c r="AH1233" s="33"/>
      <c r="AI1233" s="33"/>
      <c r="AJ1233" s="33"/>
      <c r="AK1233" s="33"/>
      <c r="AL1233" s="33"/>
      <c r="AM1233" s="33"/>
      <c r="AN1233" s="33"/>
      <c r="AO1233" s="33"/>
    </row>
    <row r="1234" spans="1:41" ht="17.25" thickTop="1" thickBot="1">
      <c r="A1234" s="34"/>
      <c r="B1234" s="34"/>
      <c r="C1234" s="1299" t="s">
        <v>372</v>
      </c>
      <c r="D1234" s="1344"/>
      <c r="E1234" s="1408"/>
      <c r="F1234" s="1409"/>
      <c r="G1234" s="1316"/>
      <c r="H1234" s="1297"/>
      <c r="I1234" s="1296" t="s">
        <v>380</v>
      </c>
      <c r="J1234" s="1296"/>
      <c r="K1234" s="1296" t="s">
        <v>39</v>
      </c>
      <c r="L1234" s="1296"/>
      <c r="M1234" s="1296" t="s">
        <v>39</v>
      </c>
      <c r="N1234" s="1296"/>
      <c r="O1234" s="119"/>
      <c r="P1234" s="120"/>
      <c r="Q1234" s="33"/>
      <c r="Z1234" s="79"/>
      <c r="AA1234" s="80"/>
      <c r="AB1234" s="34"/>
      <c r="AC1234" s="34"/>
      <c r="AD1234" s="33"/>
      <c r="AE1234" s="33"/>
      <c r="AF1234" s="33"/>
      <c r="AG1234" s="33"/>
      <c r="AH1234" s="33"/>
      <c r="AI1234" s="33"/>
      <c r="AJ1234" s="33"/>
      <c r="AK1234" s="33"/>
      <c r="AL1234" s="33"/>
      <c r="AM1234" s="33"/>
      <c r="AN1234" s="33"/>
      <c r="AO1234" s="33"/>
    </row>
    <row r="1235" spans="1:41" ht="17.25" thickTop="1" thickBot="1">
      <c r="A1235" s="34"/>
      <c r="B1235" s="34"/>
      <c r="C1235" s="1299" t="s">
        <v>373</v>
      </c>
      <c r="D1235" s="1344"/>
      <c r="E1235" s="1372"/>
      <c r="F1235" s="1372"/>
      <c r="G1235" s="1296"/>
      <c r="H1235" s="1296"/>
      <c r="I1235" s="1296"/>
      <c r="J1235" s="1296"/>
      <c r="K1235" s="1336" t="s">
        <v>35</v>
      </c>
      <c r="L1235" s="1337"/>
      <c r="M1235" s="1296" t="s">
        <v>39</v>
      </c>
      <c r="N1235" s="1296"/>
      <c r="O1235" s="119"/>
      <c r="P1235" s="120"/>
      <c r="Q1235" s="33"/>
      <c r="Z1235" s="79"/>
      <c r="AA1235" s="80"/>
      <c r="AB1235" s="34"/>
      <c r="AC1235" s="34"/>
      <c r="AD1235" s="33"/>
      <c r="AE1235" s="33"/>
      <c r="AF1235" s="33"/>
      <c r="AG1235" s="33"/>
      <c r="AH1235" s="33"/>
      <c r="AI1235" s="33"/>
      <c r="AJ1235" s="33"/>
      <c r="AK1235" s="33"/>
      <c r="AL1235" s="33"/>
      <c r="AM1235" s="33"/>
      <c r="AN1235" s="33"/>
      <c r="AO1235" s="33"/>
    </row>
    <row r="1236" spans="1:41" ht="17.25" thickTop="1" thickBot="1">
      <c r="A1236" s="34"/>
      <c r="B1236" s="34"/>
      <c r="C1236" s="1299" t="s">
        <v>374</v>
      </c>
      <c r="D1236" s="1299"/>
      <c r="E1236" s="1372"/>
      <c r="F1236" s="1372"/>
      <c r="G1236" s="1296" t="s">
        <v>380</v>
      </c>
      <c r="H1236" s="1296"/>
      <c r="I1236" s="1296"/>
      <c r="J1236" s="1296"/>
      <c r="K1236" s="1336" t="s">
        <v>35</v>
      </c>
      <c r="L1236" s="1337"/>
      <c r="M1236" s="1410"/>
      <c r="N1236" s="1410"/>
      <c r="O1236" s="119"/>
      <c r="P1236" s="120"/>
      <c r="Q1236" s="33"/>
      <c r="Z1236" s="79"/>
      <c r="AA1236" s="80"/>
      <c r="AB1236" s="34"/>
      <c r="AC1236" s="34"/>
      <c r="AD1236" s="33"/>
      <c r="AE1236" s="33"/>
      <c r="AF1236" s="33"/>
      <c r="AG1236" s="33"/>
      <c r="AH1236" s="33"/>
      <c r="AI1236" s="33"/>
      <c r="AJ1236" s="33"/>
      <c r="AK1236" s="33"/>
      <c r="AL1236" s="33"/>
      <c r="AM1236" s="33"/>
      <c r="AN1236" s="33"/>
      <c r="AO1236" s="33"/>
    </row>
    <row r="1237" spans="1:41" ht="19.5" thickTop="1" thickBot="1">
      <c r="A1237" s="34"/>
      <c r="B1237" s="34"/>
      <c r="C1237" s="1299" t="s">
        <v>375</v>
      </c>
      <c r="D1237" s="1299"/>
      <c r="E1237" s="1296"/>
      <c r="F1237" s="1296"/>
      <c r="G1237" s="1296" t="s">
        <v>380</v>
      </c>
      <c r="H1237" s="1296"/>
      <c r="I1237" s="1296" t="s">
        <v>380</v>
      </c>
      <c r="J1237" s="1296"/>
      <c r="K1237" s="1323" t="s">
        <v>8</v>
      </c>
      <c r="L1237" s="1323"/>
      <c r="M1237" s="1342" t="s">
        <v>10</v>
      </c>
      <c r="N1237" s="1343"/>
      <c r="O1237" s="119"/>
      <c r="P1237" s="120"/>
      <c r="Q1237" s="33"/>
      <c r="Z1237" s="79"/>
      <c r="AA1237" s="80"/>
      <c r="AB1237" s="34"/>
      <c r="AC1237" s="34"/>
      <c r="AD1237" s="33"/>
      <c r="AE1237" s="33"/>
      <c r="AF1237" s="33"/>
      <c r="AG1237" s="33"/>
      <c r="AH1237" s="33"/>
      <c r="AI1237" s="33"/>
      <c r="AJ1237" s="33"/>
      <c r="AK1237" s="33"/>
      <c r="AL1237" s="33"/>
      <c r="AM1237" s="33"/>
      <c r="AN1237" s="33"/>
      <c r="AO1237" s="33"/>
    </row>
    <row r="1238" spans="1:41" ht="17.25" thickTop="1" thickBot="1">
      <c r="A1238" s="34"/>
      <c r="B1238" s="34"/>
      <c r="C1238" s="101"/>
      <c r="D1238" s="101"/>
      <c r="E1238" s="251"/>
      <c r="F1238" s="251"/>
      <c r="G1238" s="251"/>
      <c r="H1238" s="251"/>
      <c r="I1238" s="251"/>
      <c r="J1238" s="251"/>
      <c r="K1238" s="252"/>
      <c r="L1238" s="252"/>
      <c r="M1238" s="251"/>
      <c r="N1238" s="251"/>
      <c r="O1238" s="119"/>
      <c r="P1238" s="120"/>
      <c r="Q1238" s="33"/>
      <c r="Z1238" s="79"/>
      <c r="AA1238" s="80"/>
      <c r="AB1238" s="34"/>
      <c r="AC1238" s="34"/>
      <c r="AD1238" s="33"/>
      <c r="AE1238" s="33"/>
      <c r="AF1238" s="33"/>
      <c r="AG1238" s="33"/>
      <c r="AH1238" s="33"/>
      <c r="AI1238" s="33"/>
      <c r="AJ1238" s="33"/>
      <c r="AK1238" s="33"/>
      <c r="AL1238" s="33"/>
      <c r="AM1238" s="33"/>
      <c r="AN1238" s="33"/>
      <c r="AO1238" s="33"/>
    </row>
    <row r="1239" spans="1:41" ht="19.5" thickTop="1" thickBot="1">
      <c r="A1239" s="34"/>
      <c r="B1239" s="34"/>
      <c r="C1239" s="1299" t="s">
        <v>921</v>
      </c>
      <c r="D1239" s="1299"/>
      <c r="E1239" s="1342" t="s">
        <v>10</v>
      </c>
      <c r="F1239" s="1343"/>
      <c r="G1239" s="1323" t="s">
        <v>8</v>
      </c>
      <c r="H1239" s="1323"/>
      <c r="I1239" s="1296"/>
      <c r="J1239" s="1296"/>
      <c r="K1239" s="1296"/>
      <c r="L1239" s="1296"/>
      <c r="M1239" s="1296"/>
      <c r="N1239" s="1296"/>
      <c r="O1239" s="119"/>
      <c r="P1239" s="120"/>
      <c r="Q1239" s="33"/>
      <c r="Z1239" s="79"/>
      <c r="AA1239" s="80"/>
      <c r="AB1239" s="34"/>
      <c r="AC1239" s="34"/>
      <c r="AD1239" s="33"/>
      <c r="AE1239" s="33"/>
      <c r="AF1239" s="33"/>
      <c r="AG1239" s="33"/>
      <c r="AH1239" s="33"/>
      <c r="AI1239" s="33"/>
      <c r="AJ1239" s="33"/>
      <c r="AK1239" s="33"/>
      <c r="AL1239" s="33"/>
      <c r="AM1239" s="33"/>
      <c r="AN1239" s="33"/>
      <c r="AO1239" s="33"/>
    </row>
    <row r="1240" spans="1:41" ht="19.5" thickTop="1" thickBot="1">
      <c r="A1240" s="34"/>
      <c r="B1240" s="34"/>
      <c r="C1240" s="1299" t="s">
        <v>922</v>
      </c>
      <c r="D1240" s="1299"/>
      <c r="E1240" s="1342" t="s">
        <v>10</v>
      </c>
      <c r="F1240" s="1343"/>
      <c r="G1240" s="1323" t="s">
        <v>8</v>
      </c>
      <c r="H1240" s="1323"/>
      <c r="I1240" s="1296"/>
      <c r="J1240" s="1296"/>
      <c r="K1240" s="1296"/>
      <c r="L1240" s="1296"/>
      <c r="M1240" s="1323" t="s">
        <v>11</v>
      </c>
      <c r="N1240" s="1323"/>
      <c r="O1240" s="119"/>
      <c r="P1240" s="120"/>
      <c r="Q1240" s="33"/>
      <c r="Z1240" s="79"/>
      <c r="AA1240" s="80"/>
      <c r="AB1240" s="34"/>
      <c r="AC1240" s="34"/>
      <c r="AD1240" s="33"/>
      <c r="AE1240" s="33"/>
      <c r="AF1240" s="33"/>
      <c r="AG1240" s="33"/>
      <c r="AH1240" s="33"/>
      <c r="AI1240" s="33"/>
      <c r="AJ1240" s="33"/>
      <c r="AK1240" s="33"/>
      <c r="AL1240" s="33"/>
      <c r="AM1240" s="33"/>
      <c r="AN1240" s="33"/>
      <c r="AO1240" s="33"/>
    </row>
    <row r="1241" spans="1:41" ht="19.5" thickTop="1" thickBot="1">
      <c r="A1241" s="34"/>
      <c r="B1241" s="34"/>
      <c r="C1241" s="1299" t="s">
        <v>923</v>
      </c>
      <c r="D1241" s="1299"/>
      <c r="E1241" s="1323" t="s">
        <v>8</v>
      </c>
      <c r="F1241" s="1323"/>
      <c r="G1241" s="1296" t="s">
        <v>35</v>
      </c>
      <c r="H1241" s="1296"/>
      <c r="I1241" s="1296"/>
      <c r="J1241" s="1296"/>
      <c r="K1241" s="1296"/>
      <c r="L1241" s="1296"/>
      <c r="M1241" s="1323" t="s">
        <v>11</v>
      </c>
      <c r="N1241" s="1323"/>
      <c r="O1241" s="119"/>
      <c r="P1241" s="120"/>
      <c r="Q1241" s="33"/>
      <c r="Z1241" s="79"/>
      <c r="AA1241" s="80"/>
      <c r="AB1241" s="34"/>
      <c r="AC1241" s="34"/>
      <c r="AD1241" s="33"/>
      <c r="AE1241" s="33"/>
      <c r="AF1241" s="33"/>
      <c r="AG1241" s="33"/>
      <c r="AH1241" s="33"/>
      <c r="AI1241" s="33"/>
      <c r="AJ1241" s="33"/>
      <c r="AK1241" s="33"/>
      <c r="AL1241" s="33"/>
      <c r="AM1241" s="33"/>
      <c r="AN1241" s="33"/>
      <c r="AO1241" s="33"/>
    </row>
    <row r="1242" spans="1:41" ht="19.5" thickTop="1" thickBot="1">
      <c r="A1242" s="34"/>
      <c r="B1242" s="34"/>
      <c r="C1242" s="1299" t="s">
        <v>924</v>
      </c>
      <c r="D1242" s="1299"/>
      <c r="E1242" s="1297" t="s">
        <v>380</v>
      </c>
      <c r="F1242" s="1297"/>
      <c r="G1242" s="1297"/>
      <c r="H1242" s="1297"/>
      <c r="I1242" s="1297" t="s">
        <v>380</v>
      </c>
      <c r="J1242" s="1297"/>
      <c r="K1242" s="1297" t="s">
        <v>380</v>
      </c>
      <c r="L1242" s="1297"/>
      <c r="M1242" s="1323"/>
      <c r="N1242" s="1323"/>
      <c r="O1242" s="119"/>
      <c r="P1242" s="120"/>
      <c r="Q1242" s="33"/>
      <c r="Z1242" s="79"/>
      <c r="AA1242" s="80"/>
      <c r="AB1242" s="34"/>
      <c r="AC1242" s="34"/>
      <c r="AD1242" s="33"/>
      <c r="AE1242" s="33"/>
      <c r="AF1242" s="33"/>
      <c r="AG1242" s="33"/>
      <c r="AH1242" s="33"/>
      <c r="AI1242" s="33"/>
      <c r="AJ1242" s="33"/>
      <c r="AK1242" s="33"/>
      <c r="AL1242" s="33"/>
      <c r="AM1242" s="33"/>
      <c r="AN1242" s="33"/>
      <c r="AO1242" s="33"/>
    </row>
    <row r="1243" spans="1:41" ht="17.25" thickTop="1" thickBot="1">
      <c r="A1243" s="34"/>
      <c r="B1243" s="34"/>
      <c r="C1243" s="33"/>
      <c r="D1243" s="33"/>
      <c r="E1243" s="33"/>
      <c r="F1243" s="33"/>
      <c r="G1243" s="33"/>
      <c r="H1243" s="33"/>
      <c r="I1243" s="33"/>
      <c r="J1243" s="33"/>
      <c r="K1243" s="34"/>
      <c r="L1243" s="34"/>
      <c r="M1243" s="33"/>
      <c r="N1243" s="33"/>
      <c r="O1243" s="119"/>
      <c r="P1243" s="120"/>
      <c r="Q1243" s="33"/>
      <c r="Z1243" s="79"/>
      <c r="AA1243" s="80"/>
      <c r="AB1243" s="34"/>
      <c r="AC1243" s="34"/>
      <c r="AD1243" s="33"/>
      <c r="AE1243" s="33"/>
      <c r="AF1243" s="33"/>
      <c r="AG1243" s="33"/>
      <c r="AH1243" s="33"/>
      <c r="AI1243" s="33"/>
      <c r="AJ1243" s="33"/>
      <c r="AK1243" s="33"/>
      <c r="AL1243" s="33"/>
      <c r="AM1243" s="33"/>
      <c r="AN1243" s="33"/>
      <c r="AO1243" s="33"/>
    </row>
    <row r="1244" spans="1:41" ht="19.5" thickTop="1" thickBot="1">
      <c r="A1244" s="1321" t="s">
        <v>467</v>
      </c>
      <c r="B1244" s="1322"/>
      <c r="C1244" s="1323" t="s">
        <v>10</v>
      </c>
      <c r="D1244" s="1323"/>
      <c r="E1244" s="1323" t="s">
        <v>380</v>
      </c>
      <c r="F1244" s="1323"/>
      <c r="G1244" s="250"/>
      <c r="H1244" s="250" t="s">
        <v>468</v>
      </c>
      <c r="I1244" s="1295" t="s">
        <v>402</v>
      </c>
      <c r="J1244" s="1295"/>
      <c r="K1244" s="1295"/>
      <c r="L1244" s="102" t="s">
        <v>403</v>
      </c>
      <c r="M1244" s="1331">
        <f ca="1">TODAY()</f>
        <v>45944</v>
      </c>
      <c r="N1244" s="1331"/>
      <c r="O1244" s="119"/>
      <c r="P1244" s="120"/>
      <c r="Q1244" s="33"/>
      <c r="Z1244" s="79"/>
      <c r="AA1244" s="80"/>
      <c r="AB1244" s="34"/>
      <c r="AC1244" s="34"/>
      <c r="AD1244" s="33"/>
      <c r="AE1244" s="33"/>
      <c r="AF1244" s="33"/>
      <c r="AG1244" s="33"/>
      <c r="AH1244" s="33"/>
      <c r="AI1244" s="33"/>
      <c r="AJ1244" s="33"/>
      <c r="AK1244" s="33"/>
      <c r="AL1244" s="33"/>
      <c r="AM1244" s="33"/>
      <c r="AN1244" s="33"/>
      <c r="AO1244" s="33"/>
    </row>
    <row r="1245" spans="1:41" ht="19.5" thickTop="1" thickBot="1">
      <c r="A1245" s="1321" t="s">
        <v>469</v>
      </c>
      <c r="B1245" s="1322"/>
      <c r="C1245" s="1323" t="s">
        <v>11</v>
      </c>
      <c r="D1245" s="1323"/>
      <c r="E1245" s="1323" t="s">
        <v>380</v>
      </c>
      <c r="F1245" s="1323"/>
      <c r="G1245" s="250"/>
      <c r="H1245" s="250"/>
      <c r="I1245" s="250"/>
      <c r="J1245" s="250"/>
      <c r="K1245" s="102"/>
      <c r="L1245" s="102"/>
      <c r="M1245" s="33"/>
      <c r="N1245" s="33"/>
      <c r="O1245" s="119"/>
      <c r="P1245" s="120"/>
      <c r="Q1245" s="33"/>
      <c r="Z1245" s="79"/>
      <c r="AA1245" s="80"/>
      <c r="AB1245" s="34"/>
      <c r="AC1245" s="34"/>
      <c r="AD1245" s="33"/>
      <c r="AE1245" s="33"/>
      <c r="AF1245" s="33"/>
      <c r="AG1245" s="33"/>
      <c r="AH1245" s="33"/>
      <c r="AI1245" s="33"/>
      <c r="AJ1245" s="33"/>
      <c r="AK1245" s="33"/>
      <c r="AL1245" s="33"/>
      <c r="AM1245" s="33"/>
      <c r="AN1245" s="33"/>
      <c r="AO1245" s="33"/>
    </row>
    <row r="1246" spans="1:41" ht="19.5" thickTop="1" thickBot="1">
      <c r="A1246" s="1321" t="s">
        <v>470</v>
      </c>
      <c r="B1246" s="1322"/>
      <c r="C1246" s="1323" t="s">
        <v>8</v>
      </c>
      <c r="D1246" s="1323"/>
      <c r="E1246" s="1323" t="s">
        <v>380</v>
      </c>
      <c r="F1246" s="1323"/>
      <c r="G1246" s="250"/>
      <c r="H1246" s="250"/>
      <c r="I1246" s="250"/>
      <c r="J1246" s="250" t="s">
        <v>471</v>
      </c>
      <c r="K1246" s="102"/>
      <c r="L1246" s="102"/>
      <c r="M1246" s="33"/>
      <c r="N1246" s="33"/>
      <c r="O1246" s="119"/>
      <c r="P1246" s="120"/>
      <c r="Q1246" s="33"/>
      <c r="Z1246" s="79"/>
      <c r="AA1246" s="80"/>
      <c r="AB1246" s="34"/>
      <c r="AC1246" s="34"/>
      <c r="AD1246" s="33"/>
      <c r="AE1246" s="33"/>
      <c r="AF1246" s="33"/>
      <c r="AG1246" s="33"/>
      <c r="AH1246" s="33"/>
      <c r="AI1246" s="33"/>
      <c r="AJ1246" s="33"/>
      <c r="AK1246" s="33"/>
      <c r="AL1246" s="33"/>
      <c r="AM1246" s="33"/>
      <c r="AN1246" s="33"/>
      <c r="AO1246" s="33"/>
    </row>
    <row r="1247" spans="1:41" ht="24" thickTop="1">
      <c r="A1247" s="34"/>
      <c r="B1247" s="34"/>
      <c r="C1247" s="33"/>
      <c r="D1247" s="33"/>
      <c r="E1247" s="33"/>
      <c r="F1247" s="33"/>
      <c r="G1247" s="33"/>
      <c r="H1247" s="103" t="s">
        <v>406</v>
      </c>
      <c r="I1247" s="33"/>
      <c r="J1247" s="34"/>
      <c r="K1247" s="34"/>
      <c r="L1247" s="33"/>
      <c r="M1247" s="33"/>
      <c r="N1247" s="104"/>
      <c r="O1247" s="119"/>
      <c r="P1247" s="120"/>
      <c r="Q1247" s="33"/>
      <c r="Z1247" s="79"/>
      <c r="AA1247" s="80"/>
      <c r="AB1247" s="34"/>
      <c r="AC1247" s="34"/>
      <c r="AD1247" s="33"/>
      <c r="AE1247" s="33"/>
      <c r="AF1247" s="33"/>
      <c r="AG1247" s="33"/>
      <c r="AH1247" s="33"/>
      <c r="AI1247" s="33"/>
      <c r="AJ1247" s="33"/>
      <c r="AK1247" s="33"/>
      <c r="AL1247" s="33"/>
      <c r="AM1247" s="33"/>
      <c r="AN1247" s="33"/>
      <c r="AO1247" s="33"/>
    </row>
    <row r="1248" spans="1:41" ht="18">
      <c r="A1248" s="1295" t="s">
        <v>78</v>
      </c>
      <c r="B1248" s="1295"/>
      <c r="C1248" s="1295"/>
      <c r="D1248" s="1295"/>
      <c r="E1248" s="1295"/>
      <c r="F1248" s="1295"/>
      <c r="G1248" s="1295"/>
      <c r="H1248" s="1295"/>
      <c r="I1248" s="1295"/>
      <c r="J1248" s="1295"/>
      <c r="K1248" s="1295"/>
      <c r="L1248" s="1295"/>
      <c r="M1248" s="1295"/>
      <c r="N1248" s="1295"/>
      <c r="O1248" s="77"/>
      <c r="P1248" s="77"/>
      <c r="Q1248" s="78"/>
      <c r="Z1248" s="79"/>
      <c r="AA1248" s="80"/>
      <c r="AB1248" s="34"/>
      <c r="AC1248" s="34"/>
      <c r="AD1248" s="33"/>
      <c r="AE1248" s="33"/>
      <c r="AF1248" s="33"/>
      <c r="AG1248" s="33"/>
      <c r="AH1248" s="33"/>
      <c r="AI1248" s="33"/>
      <c r="AJ1248" s="33"/>
      <c r="AK1248" s="33"/>
      <c r="AL1248" s="33"/>
      <c r="AM1248" s="33"/>
      <c r="AN1248" s="33"/>
      <c r="AO1248" s="33"/>
    </row>
    <row r="1249" spans="1:41" ht="18">
      <c r="A1249" s="1295" t="s">
        <v>79</v>
      </c>
      <c r="B1249" s="1295"/>
      <c r="C1249" s="1295"/>
      <c r="D1249" s="1295"/>
      <c r="E1249" s="1295"/>
      <c r="F1249" s="1295"/>
      <c r="G1249" s="1295"/>
      <c r="H1249" s="1295"/>
      <c r="I1249" s="1295"/>
      <c r="J1249" s="1295"/>
      <c r="K1249" s="1295"/>
      <c r="L1249" s="1295"/>
      <c r="M1249" s="1295"/>
      <c r="N1249" s="1295"/>
      <c r="O1249" s="77"/>
      <c r="P1249" s="77"/>
      <c r="Q1249" s="78"/>
      <c r="Z1249" s="79"/>
      <c r="AA1249" s="80"/>
      <c r="AB1249" s="34"/>
      <c r="AC1249" s="34"/>
      <c r="AD1249" s="33"/>
      <c r="AE1249" s="33"/>
      <c r="AF1249" s="33"/>
      <c r="AG1249" s="33"/>
      <c r="AH1249" s="33"/>
      <c r="AI1249" s="33"/>
      <c r="AJ1249" s="33"/>
      <c r="AK1249" s="33"/>
      <c r="AL1249" s="33"/>
      <c r="AM1249" s="33"/>
      <c r="AN1249" s="33"/>
      <c r="AO1249" s="33"/>
    </row>
    <row r="1250" spans="1:41" ht="18">
      <c r="A1250" s="168" t="s">
        <v>220</v>
      </c>
      <c r="B1250" s="250"/>
      <c r="C1250" s="250"/>
      <c r="D1250" s="250"/>
      <c r="E1250" s="250"/>
      <c r="F1250" s="250"/>
      <c r="G1250" s="250"/>
      <c r="H1250" s="250"/>
      <c r="I1250" s="250"/>
      <c r="J1250" s="250"/>
      <c r="K1250" s="250"/>
      <c r="L1250" s="250"/>
      <c r="M1250" s="33"/>
      <c r="N1250" s="33"/>
      <c r="O1250" s="77"/>
      <c r="P1250" s="77"/>
      <c r="Q1250" s="78"/>
      <c r="Z1250" s="79"/>
      <c r="AA1250" s="80"/>
      <c r="AB1250" s="34"/>
      <c r="AC1250" s="34"/>
      <c r="AD1250" s="33"/>
      <c r="AE1250" s="33"/>
      <c r="AF1250" s="33"/>
      <c r="AG1250" s="33"/>
      <c r="AH1250" s="33"/>
      <c r="AI1250" s="33"/>
      <c r="AJ1250" s="33"/>
      <c r="AK1250" s="33"/>
      <c r="AL1250" s="33"/>
      <c r="AM1250" s="33"/>
      <c r="AN1250" s="33"/>
      <c r="AO1250" s="33"/>
    </row>
    <row r="1251" spans="1:41" ht="18">
      <c r="A1251" s="168" t="s">
        <v>444</v>
      </c>
      <c r="B1251" s="250"/>
      <c r="C1251" s="250"/>
      <c r="D1251" s="250"/>
      <c r="E1251" s="250"/>
      <c r="F1251" s="250"/>
      <c r="G1251" s="250"/>
      <c r="H1251" s="250"/>
      <c r="I1251" s="250"/>
      <c r="J1251" s="250"/>
      <c r="K1251" s="250"/>
      <c r="L1251" s="250"/>
      <c r="M1251" s="33"/>
      <c r="N1251" s="33"/>
      <c r="O1251" s="77"/>
      <c r="P1251" s="77"/>
      <c r="Q1251" s="78"/>
      <c r="Z1251" s="79"/>
      <c r="AA1251" s="80"/>
      <c r="AB1251" s="34"/>
      <c r="AC1251" s="34"/>
      <c r="AD1251" s="33"/>
      <c r="AE1251" s="33"/>
      <c r="AF1251" s="33"/>
      <c r="AG1251" s="33"/>
      <c r="AH1251" s="33"/>
      <c r="AI1251" s="33"/>
      <c r="AJ1251" s="33"/>
      <c r="AK1251" s="33"/>
      <c r="AL1251" s="33"/>
      <c r="AM1251" s="33"/>
      <c r="AN1251" s="33"/>
      <c r="AO1251" s="33"/>
    </row>
    <row r="1252" spans="1:41" ht="18.75" thickBot="1">
      <c r="A1252" s="250"/>
      <c r="B1252" s="250"/>
      <c r="C1252" s="250"/>
      <c r="D1252" s="250"/>
      <c r="E1252" s="250"/>
      <c r="F1252" s="250"/>
      <c r="G1252" s="250"/>
      <c r="H1252" s="250"/>
      <c r="I1252" s="250"/>
      <c r="J1252" s="250"/>
      <c r="K1252" s="250"/>
      <c r="L1252" s="250"/>
      <c r="M1252" s="33"/>
      <c r="N1252" s="33"/>
      <c r="O1252" s="77"/>
      <c r="P1252" s="77"/>
      <c r="Q1252" s="78"/>
      <c r="Z1252" s="79"/>
      <c r="AA1252" s="80"/>
      <c r="AB1252" s="34"/>
      <c r="AC1252" s="34"/>
      <c r="AD1252" s="33"/>
      <c r="AE1252" s="33"/>
      <c r="AF1252" s="33"/>
      <c r="AG1252" s="33"/>
      <c r="AH1252" s="33"/>
      <c r="AI1252" s="33"/>
      <c r="AJ1252" s="33"/>
      <c r="AK1252" s="33"/>
      <c r="AL1252" s="33"/>
      <c r="AM1252" s="33"/>
      <c r="AN1252" s="33"/>
      <c r="AO1252" s="33"/>
    </row>
    <row r="1253" spans="1:41" ht="24" thickBot="1">
      <c r="A1253" s="250"/>
      <c r="B1253" s="250"/>
      <c r="C1253" s="1333" t="s">
        <v>446</v>
      </c>
      <c r="D1253" s="1334"/>
      <c r="E1253" s="1334"/>
      <c r="F1253" s="1334"/>
      <c r="G1253" s="1334"/>
      <c r="H1253" s="1334"/>
      <c r="I1253" s="1334"/>
      <c r="J1253" s="1334"/>
      <c r="K1253" s="1334"/>
      <c r="L1253" s="1335"/>
      <c r="M1253" s="33"/>
      <c r="N1253" s="33"/>
      <c r="O1253" s="77"/>
      <c r="P1253" s="77"/>
      <c r="Q1253" s="78"/>
      <c r="Z1253" s="79"/>
      <c r="AA1253" s="80"/>
      <c r="AB1253" s="34"/>
      <c r="AC1253" s="34"/>
      <c r="AD1253" s="33"/>
      <c r="AE1253" s="33"/>
      <c r="AF1253" s="33"/>
      <c r="AG1253" s="33"/>
      <c r="AH1253" s="33"/>
      <c r="AI1253" s="33"/>
      <c r="AJ1253" s="33"/>
      <c r="AK1253" s="33"/>
      <c r="AL1253" s="33"/>
      <c r="AM1253" s="33"/>
      <c r="AN1253" s="33"/>
      <c r="AO1253" s="33"/>
    </row>
    <row r="1254" spans="1:41" ht="23.25">
      <c r="A1254" s="250"/>
      <c r="B1254" s="250"/>
      <c r="C1254" s="249"/>
      <c r="D1254" s="249"/>
      <c r="E1254" s="249"/>
      <c r="F1254" s="249"/>
      <c r="G1254" s="249"/>
      <c r="H1254" s="249"/>
      <c r="I1254" s="249"/>
      <c r="J1254" s="249"/>
      <c r="K1254" s="249"/>
      <c r="L1254" s="249"/>
      <c r="M1254" s="33"/>
      <c r="N1254" s="33"/>
      <c r="O1254" s="77"/>
      <c r="P1254" s="77"/>
      <c r="Q1254" s="78"/>
      <c r="Z1254" s="79"/>
      <c r="AA1254" s="80"/>
      <c r="AB1254" s="34"/>
      <c r="AC1254" s="34"/>
      <c r="AD1254" s="33"/>
      <c r="AE1254" s="33"/>
      <c r="AF1254" s="33"/>
      <c r="AG1254" s="33"/>
      <c r="AH1254" s="33"/>
      <c r="AI1254" s="33"/>
      <c r="AJ1254" s="33"/>
      <c r="AK1254" s="33"/>
      <c r="AL1254" s="33"/>
      <c r="AM1254" s="33"/>
      <c r="AN1254" s="33"/>
      <c r="AO1254" s="33"/>
    </row>
    <row r="1255" spans="1:41" ht="23.25">
      <c r="A1255" s="1295" t="s">
        <v>448</v>
      </c>
      <c r="B1255" s="1295"/>
      <c r="C1255" s="1295"/>
      <c r="E1255" s="1294" t="s">
        <v>1235</v>
      </c>
      <c r="F1255" s="1294"/>
      <c r="G1255" s="1294"/>
      <c r="H1255" s="1294"/>
      <c r="I1255" s="1294"/>
      <c r="J1255" s="249"/>
      <c r="K1255" s="249" t="s">
        <v>449</v>
      </c>
      <c r="L1255" s="102" t="s">
        <v>945</v>
      </c>
      <c r="M1255" s="102"/>
      <c r="N1255" s="102"/>
      <c r="O1255" s="1292" t="str">
        <f>E1255</f>
        <v>يحياوي احمد</v>
      </c>
      <c r="P1255" s="1292"/>
      <c r="Q1255" s="78">
        <v>38</v>
      </c>
      <c r="Z1255" s="79"/>
      <c r="AA1255" s="80"/>
      <c r="AB1255" s="34"/>
      <c r="AC1255" s="34"/>
      <c r="AD1255" s="33"/>
      <c r="AE1255" s="33"/>
      <c r="AF1255" s="33"/>
      <c r="AG1255" s="33"/>
      <c r="AH1255" s="33"/>
      <c r="AI1255" s="33"/>
      <c r="AJ1255" s="33"/>
      <c r="AK1255" s="33"/>
      <c r="AL1255" s="33"/>
      <c r="AM1255" s="33"/>
      <c r="AN1255" s="33"/>
      <c r="AO1255" s="33"/>
    </row>
    <row r="1256" spans="1:41" ht="24" thickBot="1">
      <c r="A1256" s="1340" t="s">
        <v>450</v>
      </c>
      <c r="B1256" s="1340"/>
      <c r="C1256" s="1340"/>
      <c r="D1256" s="1340" t="s">
        <v>380</v>
      </c>
      <c r="E1256" s="1340"/>
      <c r="F1256" s="1340"/>
      <c r="G1256" s="1340"/>
      <c r="H1256" s="87"/>
      <c r="I1256" s="1340" t="s">
        <v>452</v>
      </c>
      <c r="J1256" s="1340"/>
      <c r="K1256" s="1340"/>
      <c r="L1256" s="1341" t="s">
        <v>934</v>
      </c>
      <c r="M1256" s="1341"/>
      <c r="N1256" s="1341"/>
      <c r="O1256" s="77"/>
      <c r="P1256" s="77"/>
      <c r="Q1256" s="78"/>
      <c r="Z1256" s="79"/>
      <c r="AA1256" s="80"/>
      <c r="AB1256" s="34"/>
      <c r="AC1256" s="34"/>
      <c r="AD1256" s="33"/>
      <c r="AE1256" s="33"/>
      <c r="AF1256" s="33"/>
      <c r="AG1256" s="33"/>
      <c r="AH1256" s="33"/>
      <c r="AI1256" s="33"/>
      <c r="AJ1256" s="33"/>
      <c r="AK1256" s="33"/>
      <c r="AL1256" s="33"/>
      <c r="AM1256" s="33"/>
      <c r="AN1256" s="33"/>
      <c r="AO1256" s="33"/>
    </row>
    <row r="1257" spans="1:41" ht="17.25" thickTop="1" thickBot="1">
      <c r="A1257" s="1318" t="s">
        <v>453</v>
      </c>
      <c r="B1257" s="1319"/>
      <c r="C1257" s="88" t="s">
        <v>500</v>
      </c>
      <c r="D1257" s="89" t="s">
        <v>6</v>
      </c>
      <c r="E1257" s="89" t="s">
        <v>10</v>
      </c>
      <c r="F1257" s="89" t="s">
        <v>11</v>
      </c>
      <c r="G1257" s="89" t="s">
        <v>8</v>
      </c>
      <c r="H1257" s="89"/>
      <c r="I1257" s="89"/>
      <c r="J1257" s="89" t="s">
        <v>380</v>
      </c>
      <c r="K1257" s="89" t="s">
        <v>380</v>
      </c>
      <c r="L1257" s="89" t="s">
        <v>380</v>
      </c>
      <c r="M1257" s="89" t="s">
        <v>380</v>
      </c>
      <c r="N1257" s="90" t="s">
        <v>380</v>
      </c>
      <c r="Q1257" s="78"/>
      <c r="Z1257" s="79"/>
      <c r="AA1257" s="80"/>
      <c r="AB1257" s="34"/>
      <c r="AC1257" s="34"/>
      <c r="AD1257" s="33"/>
      <c r="AE1257" s="33"/>
      <c r="AF1257" s="33"/>
      <c r="AG1257" s="33"/>
      <c r="AH1257" s="33"/>
      <c r="AI1257" s="33"/>
      <c r="AJ1257" s="33"/>
      <c r="AK1257" s="33"/>
      <c r="AL1257" s="33"/>
      <c r="AM1257" s="33"/>
      <c r="AN1257" s="33"/>
      <c r="AO1257" s="33"/>
    </row>
    <row r="1258" spans="1:41" ht="24" thickBot="1">
      <c r="A1258" s="1329" t="s">
        <v>454</v>
      </c>
      <c r="B1258" s="1330"/>
      <c r="C1258" s="91">
        <v>6</v>
      </c>
      <c r="D1258" s="210">
        <v>6</v>
      </c>
      <c r="E1258" s="210">
        <v>3</v>
      </c>
      <c r="F1258" s="210">
        <v>3</v>
      </c>
      <c r="G1258" s="210">
        <v>3</v>
      </c>
      <c r="H1258" s="210"/>
      <c r="I1258" s="210"/>
      <c r="J1258" s="210" t="s">
        <v>380</v>
      </c>
      <c r="K1258" s="210" t="s">
        <v>380</v>
      </c>
      <c r="L1258" s="210" t="s">
        <v>380</v>
      </c>
      <c r="M1258" s="210" t="s">
        <v>380</v>
      </c>
      <c r="N1258" s="92" t="s">
        <v>380</v>
      </c>
      <c r="O1258" s="152"/>
      <c r="Q1258" s="78"/>
      <c r="Z1258" s="79"/>
      <c r="AA1258" s="80"/>
      <c r="AB1258" s="34"/>
      <c r="AC1258" s="34"/>
      <c r="AD1258" s="33"/>
      <c r="AE1258" s="33"/>
      <c r="AF1258" s="33"/>
      <c r="AG1258" s="33"/>
      <c r="AH1258" s="33"/>
      <c r="AI1258" s="33"/>
      <c r="AJ1258" s="33"/>
      <c r="AK1258" s="33"/>
      <c r="AL1258" s="33"/>
      <c r="AM1258" s="33"/>
      <c r="AN1258" s="33"/>
      <c r="AO1258" s="33"/>
    </row>
    <row r="1259" spans="1:41" ht="24" thickBot="1">
      <c r="A1259" s="1329" t="s">
        <v>455</v>
      </c>
      <c r="B1259" s="1330"/>
      <c r="C1259" s="91"/>
      <c r="D1259" s="210"/>
      <c r="E1259" s="210"/>
      <c r="F1259" s="210"/>
      <c r="G1259" s="210"/>
      <c r="H1259" s="210"/>
      <c r="I1259" s="210"/>
      <c r="J1259" s="210" t="s">
        <v>380</v>
      </c>
      <c r="K1259" s="210" t="s">
        <v>380</v>
      </c>
      <c r="L1259" s="210" t="s">
        <v>380</v>
      </c>
      <c r="M1259" s="210" t="s">
        <v>380</v>
      </c>
      <c r="N1259" s="92" t="s">
        <v>380</v>
      </c>
      <c r="O1259" s="152"/>
      <c r="Q1259" s="78"/>
      <c r="Z1259" s="79"/>
      <c r="AA1259" s="80"/>
      <c r="AB1259" s="34"/>
      <c r="AC1259" s="34"/>
      <c r="AD1259" s="33"/>
      <c r="AE1259" s="33"/>
      <c r="AF1259" s="33"/>
      <c r="AG1259" s="33"/>
      <c r="AH1259" s="33"/>
      <c r="AI1259" s="33"/>
      <c r="AJ1259" s="33"/>
      <c r="AK1259" s="33"/>
      <c r="AL1259" s="33"/>
      <c r="AM1259" s="33"/>
      <c r="AN1259" s="33"/>
      <c r="AO1259" s="33"/>
    </row>
    <row r="1260" spans="1:41" ht="24" thickBot="1">
      <c r="A1260" s="1327" t="s">
        <v>456</v>
      </c>
      <c r="B1260" s="1328"/>
      <c r="C1260" s="93"/>
      <c r="D1260" s="94"/>
      <c r="E1260" s="94"/>
      <c r="F1260" s="94"/>
      <c r="G1260" s="94"/>
      <c r="H1260" s="94"/>
      <c r="I1260" s="94"/>
      <c r="J1260" s="94" t="s">
        <v>380</v>
      </c>
      <c r="K1260" s="94" t="s">
        <v>380</v>
      </c>
      <c r="L1260" s="94" t="s">
        <v>380</v>
      </c>
      <c r="M1260" s="94" t="s">
        <v>380</v>
      </c>
      <c r="N1260" s="95" t="s">
        <v>380</v>
      </c>
      <c r="O1260" s="152"/>
      <c r="Q1260" s="78"/>
      <c r="Z1260" s="79"/>
      <c r="AA1260" s="80"/>
      <c r="AB1260" s="34"/>
      <c r="AC1260" s="34"/>
      <c r="AD1260" s="33"/>
      <c r="AE1260" s="33"/>
      <c r="AF1260" s="33"/>
      <c r="AG1260" s="33"/>
      <c r="AH1260" s="33"/>
      <c r="AI1260" s="33"/>
      <c r="AJ1260" s="33"/>
      <c r="AK1260" s="33"/>
      <c r="AL1260" s="33"/>
      <c r="AM1260" s="33"/>
      <c r="AN1260" s="33"/>
      <c r="AO1260" s="33"/>
    </row>
    <row r="1261" spans="1:41" ht="21" thickTop="1">
      <c r="A1261" s="96"/>
      <c r="B1261" s="96"/>
      <c r="C1261" s="96"/>
      <c r="D1261" s="96"/>
      <c r="E1261" s="1326" t="s">
        <v>457</v>
      </c>
      <c r="F1261" s="1310"/>
      <c r="G1261" s="97">
        <v>18</v>
      </c>
      <c r="H1261" s="1310" t="s">
        <v>458</v>
      </c>
      <c r="I1261" s="1311"/>
      <c r="J1261" s="1310" t="s">
        <v>459</v>
      </c>
      <c r="K1261" s="1311"/>
      <c r="L1261" s="96"/>
      <c r="M1261" s="96"/>
      <c r="N1261" s="96"/>
      <c r="O1261" s="77"/>
      <c r="P1261" s="77"/>
      <c r="Q1261" s="78"/>
      <c r="Z1261" s="79"/>
      <c r="AA1261" s="80"/>
      <c r="AB1261" s="34"/>
      <c r="AC1261" s="34"/>
      <c r="AD1261" s="33"/>
      <c r="AE1261" s="33"/>
      <c r="AF1261" s="33"/>
      <c r="AG1261" s="33"/>
      <c r="AH1261" s="33"/>
      <c r="AI1261" s="33"/>
      <c r="AJ1261" s="33"/>
      <c r="AK1261" s="33"/>
      <c r="AL1261" s="33"/>
      <c r="AM1261" s="33"/>
      <c r="AN1261" s="33"/>
      <c r="AO1261" s="33"/>
    </row>
    <row r="1262" spans="1:41" ht="23.25">
      <c r="A1262" s="96"/>
      <c r="B1262" s="96"/>
      <c r="C1262" s="96"/>
      <c r="D1262" s="96"/>
      <c r="E1262" s="1307" t="s">
        <v>460</v>
      </c>
      <c r="F1262" s="1308"/>
      <c r="G1262" s="98">
        <v>0</v>
      </c>
      <c r="H1262" s="1312">
        <v>0</v>
      </c>
      <c r="I1262" s="1312"/>
      <c r="J1262" s="1312">
        <v>0</v>
      </c>
      <c r="K1262" s="1313"/>
      <c r="L1262" s="96"/>
      <c r="M1262" s="96"/>
      <c r="N1262" s="96"/>
      <c r="O1262" s="77"/>
      <c r="P1262" s="77"/>
      <c r="Q1262" s="78"/>
      <c r="Z1262" s="79"/>
      <c r="AA1262" s="80"/>
      <c r="AB1262" s="34"/>
      <c r="AC1262" s="34"/>
      <c r="AD1262" s="33"/>
      <c r="AE1262" s="33"/>
      <c r="AF1262" s="33"/>
      <c r="AG1262" s="33"/>
      <c r="AH1262" s="33"/>
      <c r="AI1262" s="33"/>
      <c r="AJ1262" s="33"/>
      <c r="AK1262" s="33"/>
      <c r="AL1262" s="33"/>
      <c r="AM1262" s="33"/>
      <c r="AN1262" s="33"/>
      <c r="AO1262" s="33"/>
    </row>
    <row r="1263" spans="1:41" ht="20.25">
      <c r="A1263" s="96"/>
      <c r="B1263" s="96"/>
      <c r="C1263" s="96"/>
      <c r="D1263" s="96"/>
      <c r="E1263" s="1307" t="s">
        <v>461</v>
      </c>
      <c r="F1263" s="1308"/>
      <c r="G1263" s="99"/>
      <c r="H1263" s="1308" t="s">
        <v>462</v>
      </c>
      <c r="I1263" s="1308"/>
      <c r="J1263" s="1308" t="s">
        <v>463</v>
      </c>
      <c r="K1263" s="1309"/>
      <c r="L1263" s="96"/>
      <c r="M1263" s="96"/>
      <c r="N1263" s="96"/>
      <c r="O1263" s="77"/>
      <c r="P1263" s="77"/>
      <c r="Q1263" s="78"/>
      <c r="Z1263" s="79"/>
      <c r="AA1263" s="80"/>
      <c r="AB1263" s="34"/>
      <c r="AC1263" s="34"/>
      <c r="AD1263" s="33"/>
      <c r="AE1263" s="33"/>
      <c r="AF1263" s="33"/>
      <c r="AG1263" s="33"/>
      <c r="AH1263" s="33"/>
      <c r="AI1263" s="33"/>
      <c r="AJ1263" s="33"/>
      <c r="AK1263" s="33"/>
      <c r="AL1263" s="33"/>
      <c r="AM1263" s="33"/>
      <c r="AN1263" s="33"/>
      <c r="AO1263" s="33"/>
    </row>
    <row r="1264" spans="1:41" ht="24" thickBot="1">
      <c r="A1264" s="96"/>
      <c r="B1264" s="96"/>
      <c r="C1264" s="96"/>
      <c r="D1264" s="96"/>
      <c r="E1264" s="1303" t="s">
        <v>464</v>
      </c>
      <c r="F1264" s="1304"/>
      <c r="G1264" s="99">
        <v>0</v>
      </c>
      <c r="H1264" s="1305">
        <v>0</v>
      </c>
      <c r="I1264" s="1305"/>
      <c r="J1264" s="1305">
        <v>0</v>
      </c>
      <c r="K1264" s="1306"/>
      <c r="L1264" s="96"/>
      <c r="M1264" s="96"/>
      <c r="N1264" s="96"/>
      <c r="O1264" s="77"/>
      <c r="P1264" s="77"/>
      <c r="Q1264" s="78"/>
      <c r="Z1264" s="79"/>
      <c r="AA1264" s="80"/>
      <c r="AB1264" s="34"/>
      <c r="AC1264" s="34"/>
      <c r="AD1264" s="33"/>
      <c r="AE1264" s="33"/>
      <c r="AF1264" s="33"/>
      <c r="AG1264" s="33"/>
      <c r="AH1264" s="33"/>
      <c r="AI1264" s="33"/>
      <c r="AJ1264" s="33"/>
      <c r="AK1264" s="33"/>
      <c r="AL1264" s="33"/>
      <c r="AM1264" s="33"/>
      <c r="AN1264" s="33"/>
      <c r="AO1264" s="33"/>
    </row>
    <row r="1265" spans="1:41" ht="17.25" thickTop="1" thickBot="1">
      <c r="A1265" s="34"/>
      <c r="B1265" s="34"/>
      <c r="C1265" s="1299" t="s">
        <v>465</v>
      </c>
      <c r="D1265" s="1299"/>
      <c r="E1265" s="1299" t="s">
        <v>360</v>
      </c>
      <c r="F1265" s="1299"/>
      <c r="G1265" s="1302" t="s">
        <v>368</v>
      </c>
      <c r="H1265" s="1302"/>
      <c r="I1265" s="1302" t="s">
        <v>369</v>
      </c>
      <c r="J1265" s="1302"/>
      <c r="K1265" s="1302" t="s">
        <v>370</v>
      </c>
      <c r="L1265" s="1299"/>
      <c r="M1265" s="1299" t="s">
        <v>371</v>
      </c>
      <c r="N1265" s="1299"/>
      <c r="O1265" s="77"/>
      <c r="P1265" s="77"/>
      <c r="Q1265" s="78"/>
      <c r="Z1265" s="79"/>
      <c r="AA1265" s="80"/>
      <c r="AB1265" s="34"/>
      <c r="AC1265" s="34"/>
      <c r="AD1265" s="33"/>
      <c r="AE1265" s="33"/>
      <c r="AF1265" s="33"/>
      <c r="AG1265" s="33"/>
      <c r="AH1265" s="33"/>
      <c r="AI1265" s="33"/>
      <c r="AJ1265" s="33"/>
      <c r="AK1265" s="33"/>
      <c r="AL1265" s="33"/>
      <c r="AM1265" s="33"/>
      <c r="AN1265" s="33"/>
      <c r="AO1265" s="33"/>
    </row>
    <row r="1266" spans="1:41" ht="17.25" thickTop="1" thickBot="1">
      <c r="A1266" s="34"/>
      <c r="B1266" s="34"/>
      <c r="C1266" s="1299" t="s">
        <v>372</v>
      </c>
      <c r="D1266" s="1299"/>
      <c r="E1266" s="1296" t="s">
        <v>500</v>
      </c>
      <c r="F1266" s="1296"/>
      <c r="G1266" s="1296" t="s">
        <v>6</v>
      </c>
      <c r="H1266" s="1296"/>
      <c r="I1266" s="1296"/>
      <c r="J1266" s="1296"/>
      <c r="K1266" s="1296" t="s">
        <v>500</v>
      </c>
      <c r="L1266" s="1296"/>
      <c r="M1266" s="1296" t="s">
        <v>6</v>
      </c>
      <c r="N1266" s="1296"/>
      <c r="O1266" s="77"/>
      <c r="P1266" s="77"/>
      <c r="Q1266" s="78"/>
      <c r="Z1266" s="79"/>
      <c r="AA1266" s="80"/>
      <c r="AB1266" s="34"/>
      <c r="AC1266" s="34"/>
      <c r="AD1266" s="33"/>
      <c r="AE1266" s="33"/>
      <c r="AF1266" s="33"/>
      <c r="AG1266" s="33"/>
      <c r="AH1266" s="33"/>
      <c r="AI1266" s="33"/>
      <c r="AJ1266" s="33"/>
      <c r="AK1266" s="33"/>
      <c r="AL1266" s="33"/>
      <c r="AM1266" s="33"/>
      <c r="AN1266" s="33"/>
      <c r="AO1266" s="33"/>
    </row>
    <row r="1267" spans="1:41" ht="17.25" thickTop="1" thickBot="1">
      <c r="A1267" s="34"/>
      <c r="B1267" s="34"/>
      <c r="C1267" s="1299" t="s">
        <v>373</v>
      </c>
      <c r="D1267" s="1299"/>
      <c r="E1267" s="1296" t="s">
        <v>500</v>
      </c>
      <c r="F1267" s="1296"/>
      <c r="G1267" s="1296" t="s">
        <v>6</v>
      </c>
      <c r="H1267" s="1296"/>
      <c r="I1267" s="1296"/>
      <c r="J1267" s="1296"/>
      <c r="K1267" s="1296" t="s">
        <v>500</v>
      </c>
      <c r="L1267" s="1296"/>
      <c r="M1267" s="1296" t="s">
        <v>6</v>
      </c>
      <c r="N1267" s="1296"/>
      <c r="O1267" s="77"/>
      <c r="P1267" s="77"/>
      <c r="Q1267" s="78"/>
      <c r="Z1267" s="79"/>
      <c r="AA1267" s="80"/>
      <c r="AB1267" s="34"/>
      <c r="AC1267" s="34"/>
      <c r="AD1267" s="33"/>
      <c r="AE1267" s="33"/>
      <c r="AF1267" s="33"/>
      <c r="AG1267" s="33"/>
      <c r="AH1267" s="33"/>
      <c r="AI1267" s="33"/>
      <c r="AJ1267" s="33"/>
      <c r="AK1267" s="33"/>
      <c r="AL1267" s="33"/>
      <c r="AM1267" s="33"/>
      <c r="AN1267" s="33"/>
      <c r="AO1267" s="33"/>
    </row>
    <row r="1268" spans="1:41" ht="17.25" thickTop="1" thickBot="1">
      <c r="A1268" s="34"/>
      <c r="B1268" s="34"/>
      <c r="C1268" s="1299" t="s">
        <v>374</v>
      </c>
      <c r="D1268" s="1299"/>
      <c r="E1268" s="1296" t="s">
        <v>6</v>
      </c>
      <c r="F1268" s="1296"/>
      <c r="G1268" s="1296"/>
      <c r="H1268" s="1296"/>
      <c r="I1268" s="1301"/>
      <c r="J1268" s="1301"/>
      <c r="K1268" s="1296"/>
      <c r="L1268" s="1296"/>
      <c r="M1268" s="1296" t="s">
        <v>500</v>
      </c>
      <c r="N1268" s="1296"/>
      <c r="O1268" s="77"/>
      <c r="P1268" s="77"/>
      <c r="Q1268" s="78"/>
      <c r="Z1268" s="79"/>
      <c r="AA1268" s="80"/>
      <c r="AB1268" s="34"/>
      <c r="AC1268" s="34"/>
      <c r="AD1268" s="33"/>
      <c r="AE1268" s="33"/>
      <c r="AF1268" s="33"/>
      <c r="AG1268" s="33"/>
      <c r="AH1268" s="33"/>
      <c r="AI1268" s="33"/>
      <c r="AJ1268" s="33"/>
      <c r="AK1268" s="33"/>
      <c r="AL1268" s="33"/>
      <c r="AM1268" s="33"/>
      <c r="AN1268" s="33"/>
      <c r="AO1268" s="33"/>
    </row>
    <row r="1269" spans="1:41" ht="17.25" thickTop="1" thickBot="1">
      <c r="A1269" s="34"/>
      <c r="B1269" s="34"/>
      <c r="C1269" s="1299" t="s">
        <v>375</v>
      </c>
      <c r="D1269" s="1299"/>
      <c r="E1269" s="1296" t="s">
        <v>6</v>
      </c>
      <c r="F1269" s="1296"/>
      <c r="G1269" s="1296"/>
      <c r="H1269" s="1296"/>
      <c r="I1269" s="1296"/>
      <c r="J1269" s="1296"/>
      <c r="K1269" s="1296" t="s">
        <v>10</v>
      </c>
      <c r="L1269" s="1296"/>
      <c r="M1269" s="1296" t="s">
        <v>500</v>
      </c>
      <c r="N1269" s="1296"/>
      <c r="O1269" s="77"/>
      <c r="P1269" s="77"/>
      <c r="Q1269" s="78"/>
      <c r="Z1269" s="79"/>
      <c r="AA1269" s="80"/>
      <c r="AB1269" s="34"/>
      <c r="AC1269" s="34"/>
      <c r="AD1269" s="33"/>
      <c r="AE1269" s="33"/>
      <c r="AF1269" s="33"/>
      <c r="AG1269" s="33"/>
      <c r="AH1269" s="33"/>
      <c r="AI1269" s="33"/>
      <c r="AJ1269" s="33"/>
      <c r="AK1269" s="33"/>
      <c r="AL1269" s="33"/>
      <c r="AM1269" s="33"/>
      <c r="AN1269" s="33"/>
      <c r="AO1269" s="33"/>
    </row>
    <row r="1270" spans="1:41" ht="17.25" thickTop="1" thickBot="1">
      <c r="A1270" s="34"/>
      <c r="B1270" s="34"/>
      <c r="C1270" s="101"/>
      <c r="D1270" s="101"/>
      <c r="E1270" s="251"/>
      <c r="F1270" s="251"/>
      <c r="G1270" s="251"/>
      <c r="H1270" s="251"/>
      <c r="I1270" s="251"/>
      <c r="J1270" s="251"/>
      <c r="K1270" s="252"/>
      <c r="L1270" s="252"/>
      <c r="M1270" s="251"/>
      <c r="N1270" s="251"/>
      <c r="O1270" s="77"/>
      <c r="P1270" s="77"/>
      <c r="Q1270" s="78"/>
      <c r="Z1270" s="79"/>
      <c r="AA1270" s="80"/>
      <c r="AB1270" s="34"/>
      <c r="AC1270" s="34"/>
      <c r="AD1270" s="33"/>
      <c r="AE1270" s="33"/>
      <c r="AF1270" s="33"/>
      <c r="AG1270" s="33"/>
      <c r="AH1270" s="33"/>
      <c r="AI1270" s="33"/>
      <c r="AJ1270" s="33"/>
      <c r="AK1270" s="33"/>
      <c r="AL1270" s="33"/>
      <c r="AM1270" s="33"/>
      <c r="AN1270" s="33"/>
      <c r="AO1270" s="33"/>
    </row>
    <row r="1271" spans="1:41" ht="17.25" thickTop="1" thickBot="1">
      <c r="A1271" s="34"/>
      <c r="B1271" s="34"/>
      <c r="C1271" s="1299" t="s">
        <v>921</v>
      </c>
      <c r="D1271" s="1299"/>
      <c r="E1271" s="1296" t="s">
        <v>10</v>
      </c>
      <c r="F1271" s="1296"/>
      <c r="G1271" s="1296" t="s">
        <v>8</v>
      </c>
      <c r="H1271" s="1296"/>
      <c r="I1271" s="1296"/>
      <c r="J1271" s="1296"/>
      <c r="K1271" s="1296"/>
      <c r="L1271" s="1296"/>
      <c r="M1271" s="1296"/>
      <c r="N1271" s="1296"/>
      <c r="O1271" s="77"/>
      <c r="P1271" s="77"/>
      <c r="Q1271" s="78"/>
      <c r="Z1271" s="79"/>
      <c r="AA1271" s="80"/>
      <c r="AB1271" s="34"/>
      <c r="AC1271" s="34"/>
      <c r="AD1271" s="33"/>
      <c r="AE1271" s="33"/>
      <c r="AF1271" s="33"/>
      <c r="AG1271" s="33"/>
      <c r="AH1271" s="33"/>
      <c r="AI1271" s="33"/>
      <c r="AJ1271" s="33"/>
      <c r="AK1271" s="33"/>
      <c r="AL1271" s="33"/>
      <c r="AM1271" s="33"/>
      <c r="AN1271" s="33"/>
      <c r="AO1271" s="33"/>
    </row>
    <row r="1272" spans="1:41" ht="17.25" thickTop="1" thickBot="1">
      <c r="A1272" s="34"/>
      <c r="B1272" s="34"/>
      <c r="C1272" s="1299" t="s">
        <v>922</v>
      </c>
      <c r="D1272" s="1299"/>
      <c r="E1272" s="1296" t="s">
        <v>10</v>
      </c>
      <c r="F1272" s="1296"/>
      <c r="G1272" s="1296" t="s">
        <v>8</v>
      </c>
      <c r="H1272" s="1296"/>
      <c r="I1272" s="1296"/>
      <c r="J1272" s="1296"/>
      <c r="K1272" s="1296"/>
      <c r="L1272" s="1296"/>
      <c r="M1272" s="1296" t="s">
        <v>11</v>
      </c>
      <c r="N1272" s="1296"/>
      <c r="O1272" s="77"/>
      <c r="P1272" s="77"/>
      <c r="Q1272" s="78"/>
      <c r="Z1272" s="79"/>
      <c r="AA1272" s="80"/>
      <c r="AB1272" s="34"/>
      <c r="AC1272" s="34"/>
      <c r="AD1272" s="33"/>
      <c r="AE1272" s="33"/>
      <c r="AF1272" s="33"/>
      <c r="AG1272" s="33"/>
      <c r="AH1272" s="33"/>
      <c r="AI1272" s="33"/>
      <c r="AJ1272" s="33"/>
      <c r="AK1272" s="33"/>
      <c r="AL1272" s="33"/>
      <c r="AM1272" s="33"/>
      <c r="AN1272" s="33"/>
      <c r="AO1272" s="33"/>
    </row>
    <row r="1273" spans="1:41" ht="17.25" thickTop="1" thickBot="1">
      <c r="A1273" s="34"/>
      <c r="B1273" s="34"/>
      <c r="C1273" s="1299" t="s">
        <v>923</v>
      </c>
      <c r="D1273" s="1299"/>
      <c r="E1273" s="1296"/>
      <c r="F1273" s="1296"/>
      <c r="G1273" s="1296"/>
      <c r="H1273" s="1296"/>
      <c r="I1273" s="1296"/>
      <c r="J1273" s="1296"/>
      <c r="K1273" s="1296"/>
      <c r="L1273" s="1296"/>
      <c r="M1273" s="1296" t="s">
        <v>11</v>
      </c>
      <c r="N1273" s="1296"/>
      <c r="O1273" s="77"/>
      <c r="P1273" s="77"/>
      <c r="Q1273" s="78"/>
      <c r="Z1273" s="79"/>
      <c r="AA1273" s="80"/>
      <c r="AB1273" s="34"/>
      <c r="AC1273" s="34"/>
      <c r="AD1273" s="33"/>
      <c r="AE1273" s="33"/>
      <c r="AF1273" s="33"/>
      <c r="AG1273" s="33"/>
      <c r="AH1273" s="33"/>
      <c r="AI1273" s="33"/>
      <c r="AJ1273" s="33"/>
      <c r="AK1273" s="33"/>
      <c r="AL1273" s="33"/>
      <c r="AM1273" s="33"/>
      <c r="AN1273" s="33"/>
      <c r="AO1273" s="33"/>
    </row>
    <row r="1274" spans="1:41" ht="17.25" thickTop="1" thickBot="1">
      <c r="A1274" s="34"/>
      <c r="B1274" s="34"/>
      <c r="C1274" s="1299" t="s">
        <v>924</v>
      </c>
      <c r="D1274" s="1299"/>
      <c r="E1274" s="1297"/>
      <c r="F1274" s="1297"/>
      <c r="G1274" s="1297"/>
      <c r="H1274" s="1297"/>
      <c r="I1274" s="1297"/>
      <c r="J1274" s="1297"/>
      <c r="K1274" s="1297"/>
      <c r="L1274" s="1297"/>
      <c r="M1274" s="1297"/>
      <c r="N1274" s="1297"/>
      <c r="O1274" s="77"/>
      <c r="P1274" s="77"/>
      <c r="Q1274" s="78"/>
      <c r="Z1274" s="79"/>
      <c r="AA1274" s="80"/>
      <c r="AB1274" s="34"/>
      <c r="AC1274" s="34"/>
      <c r="AD1274" s="33"/>
      <c r="AE1274" s="33"/>
      <c r="AF1274" s="33"/>
      <c r="AG1274" s="33"/>
      <c r="AH1274" s="33"/>
      <c r="AI1274" s="33"/>
      <c r="AJ1274" s="33"/>
      <c r="AK1274" s="33"/>
      <c r="AL1274" s="33"/>
      <c r="AM1274" s="33"/>
      <c r="AN1274" s="33"/>
      <c r="AO1274" s="33"/>
    </row>
    <row r="1275" spans="1:41" ht="17.25" thickTop="1" thickBot="1">
      <c r="A1275" s="34"/>
      <c r="B1275" s="34"/>
      <c r="C1275" s="33"/>
      <c r="D1275" s="33"/>
      <c r="E1275" s="33"/>
      <c r="F1275" s="33"/>
      <c r="G1275" s="33"/>
      <c r="H1275" s="33"/>
      <c r="I1275" s="33"/>
      <c r="J1275" s="33"/>
      <c r="K1275" s="34"/>
      <c r="L1275" s="34"/>
      <c r="M1275" s="33"/>
      <c r="N1275" s="33"/>
      <c r="O1275" s="77"/>
      <c r="P1275" s="77"/>
      <c r="Z1275" s="79"/>
      <c r="AA1275" s="80"/>
      <c r="AB1275" s="34"/>
      <c r="AC1275" s="34"/>
      <c r="AD1275" s="33"/>
      <c r="AE1275" s="33"/>
      <c r="AF1275" s="33"/>
      <c r="AG1275" s="33"/>
      <c r="AH1275" s="33"/>
      <c r="AI1275" s="33"/>
      <c r="AJ1275" s="33"/>
      <c r="AK1275" s="33"/>
      <c r="AL1275" s="33"/>
      <c r="AM1275" s="33"/>
      <c r="AN1275" s="33"/>
      <c r="AO1275" s="33"/>
    </row>
    <row r="1276" spans="1:41" ht="19.5" thickTop="1" thickBot="1">
      <c r="A1276" s="1321" t="s">
        <v>467</v>
      </c>
      <c r="B1276" s="1322"/>
      <c r="C1276" s="1323" t="s">
        <v>8</v>
      </c>
      <c r="D1276" s="1323"/>
      <c r="E1276" s="1323"/>
      <c r="F1276" s="1323"/>
      <c r="G1276" s="250"/>
      <c r="H1276" s="250" t="s">
        <v>468</v>
      </c>
      <c r="I1276" s="1295" t="s">
        <v>402</v>
      </c>
      <c r="J1276" s="1295"/>
      <c r="K1276" s="1295"/>
      <c r="L1276" s="102" t="s">
        <v>403</v>
      </c>
      <c r="M1276" s="1331">
        <v>43345</v>
      </c>
      <c r="N1276" s="1331"/>
      <c r="O1276" s="77"/>
      <c r="P1276" s="77"/>
      <c r="Q1276" s="78"/>
      <c r="Z1276" s="79"/>
      <c r="AA1276" s="80"/>
      <c r="AB1276" s="34"/>
      <c r="AC1276" s="34"/>
      <c r="AD1276" s="33"/>
      <c r="AE1276" s="33"/>
      <c r="AF1276" s="33"/>
      <c r="AG1276" s="33"/>
      <c r="AH1276" s="33"/>
      <c r="AI1276" s="33"/>
      <c r="AJ1276" s="33"/>
      <c r="AK1276" s="33"/>
      <c r="AL1276" s="33"/>
      <c r="AM1276" s="33"/>
      <c r="AN1276" s="33"/>
      <c r="AO1276" s="33"/>
    </row>
    <row r="1277" spans="1:41" ht="19.5" thickTop="1" thickBot="1">
      <c r="A1277" s="1321" t="s">
        <v>469</v>
      </c>
      <c r="B1277" s="1322"/>
      <c r="C1277" s="1323" t="s">
        <v>11</v>
      </c>
      <c r="D1277" s="1323"/>
      <c r="E1277" s="1323" t="s">
        <v>380</v>
      </c>
      <c r="F1277" s="1323"/>
      <c r="G1277" s="250"/>
      <c r="H1277" s="250"/>
      <c r="I1277" s="250"/>
      <c r="J1277" s="250"/>
      <c r="K1277" s="102"/>
      <c r="L1277" s="102"/>
      <c r="M1277" s="33"/>
      <c r="N1277" s="33"/>
      <c r="O1277" s="77"/>
      <c r="P1277" s="77"/>
      <c r="Q1277" s="78"/>
      <c r="Z1277" s="79"/>
      <c r="AA1277" s="80"/>
      <c r="AB1277" s="34"/>
      <c r="AC1277" s="34"/>
      <c r="AD1277" s="33"/>
      <c r="AE1277" s="33"/>
      <c r="AF1277" s="33"/>
      <c r="AG1277" s="33"/>
      <c r="AH1277" s="33"/>
      <c r="AI1277" s="33"/>
      <c r="AJ1277" s="33"/>
      <c r="AK1277" s="33"/>
      <c r="AL1277" s="33"/>
      <c r="AM1277" s="33"/>
      <c r="AN1277" s="33"/>
      <c r="AO1277" s="33"/>
    </row>
    <row r="1278" spans="1:41" ht="19.5" thickTop="1" thickBot="1">
      <c r="A1278" s="1321" t="s">
        <v>470</v>
      </c>
      <c r="B1278" s="1322"/>
      <c r="C1278" s="1323" t="s">
        <v>10</v>
      </c>
      <c r="D1278" s="1323"/>
      <c r="E1278" s="1323" t="s">
        <v>380</v>
      </c>
      <c r="F1278" s="1323"/>
      <c r="G1278" s="250"/>
      <c r="H1278" s="250"/>
      <c r="I1278" s="250"/>
      <c r="J1278" s="250" t="s">
        <v>471</v>
      </c>
      <c r="K1278" s="102"/>
      <c r="L1278" s="102"/>
      <c r="M1278" s="33"/>
      <c r="N1278" s="33"/>
      <c r="O1278" s="77"/>
      <c r="P1278" s="77"/>
      <c r="Q1278" s="78"/>
      <c r="Z1278" s="79"/>
      <c r="AA1278" s="80"/>
      <c r="AB1278" s="34"/>
      <c r="AC1278" s="34"/>
      <c r="AD1278" s="33"/>
      <c r="AE1278" s="33"/>
      <c r="AF1278" s="33"/>
      <c r="AG1278" s="33"/>
      <c r="AH1278" s="33"/>
      <c r="AI1278" s="33"/>
      <c r="AJ1278" s="33"/>
      <c r="AK1278" s="33"/>
      <c r="AL1278" s="33"/>
      <c r="AM1278" s="33"/>
      <c r="AN1278" s="33"/>
      <c r="AO1278" s="33"/>
    </row>
    <row r="1279" spans="1:41" ht="24" thickTop="1">
      <c r="A1279" s="34"/>
      <c r="B1279" s="34"/>
      <c r="C1279" s="33"/>
      <c r="D1279" s="33"/>
      <c r="E1279" s="33"/>
      <c r="F1279" s="33"/>
      <c r="G1279" s="33"/>
      <c r="H1279" s="103" t="s">
        <v>406</v>
      </c>
      <c r="I1279" s="33"/>
      <c r="J1279" s="34"/>
      <c r="K1279" s="34"/>
      <c r="L1279" s="33"/>
      <c r="M1279" s="33"/>
      <c r="N1279" s="104"/>
      <c r="O1279" s="77"/>
      <c r="P1279" s="77"/>
      <c r="Q1279" s="78"/>
      <c r="Z1279" s="79"/>
      <c r="AA1279" s="80"/>
      <c r="AB1279" s="34"/>
      <c r="AC1279" s="34"/>
      <c r="AD1279" s="33"/>
      <c r="AE1279" s="33"/>
      <c r="AF1279" s="33"/>
      <c r="AG1279" s="33"/>
      <c r="AH1279" s="33"/>
      <c r="AI1279" s="33"/>
      <c r="AJ1279" s="33"/>
      <c r="AK1279" s="33"/>
      <c r="AL1279" s="33"/>
      <c r="AM1279" s="33"/>
      <c r="AN1279" s="33"/>
      <c r="AO1279" s="33"/>
    </row>
    <row r="1280" spans="1:41" ht="18">
      <c r="A1280" s="1295" t="s">
        <v>78</v>
      </c>
      <c r="B1280" s="1295"/>
      <c r="C1280" s="1295"/>
      <c r="D1280" s="1295"/>
      <c r="E1280" s="1295"/>
      <c r="F1280" s="1295"/>
      <c r="G1280" s="1295"/>
      <c r="H1280" s="1295"/>
      <c r="I1280" s="1295"/>
      <c r="J1280" s="1295"/>
      <c r="K1280" s="1295"/>
      <c r="L1280" s="1295"/>
      <c r="M1280" s="1295"/>
      <c r="N1280" s="1295"/>
      <c r="O1280" s="77"/>
      <c r="P1280" s="77"/>
      <c r="Q1280" s="78"/>
      <c r="Z1280" s="79"/>
      <c r="AA1280" s="80"/>
      <c r="AB1280" s="34"/>
      <c r="AC1280" s="34"/>
      <c r="AD1280" s="33"/>
      <c r="AE1280" s="33"/>
      <c r="AF1280" s="33"/>
      <c r="AG1280" s="33"/>
      <c r="AH1280" s="33"/>
      <c r="AI1280" s="33"/>
      <c r="AJ1280" s="33"/>
      <c r="AK1280" s="33"/>
      <c r="AL1280" s="33"/>
      <c r="AM1280" s="33"/>
      <c r="AN1280" s="33"/>
      <c r="AO1280" s="33"/>
    </row>
    <row r="1281" spans="1:41" ht="18">
      <c r="A1281" s="1295" t="s">
        <v>79</v>
      </c>
      <c r="B1281" s="1295"/>
      <c r="C1281" s="1295"/>
      <c r="D1281" s="1295"/>
      <c r="E1281" s="1295"/>
      <c r="F1281" s="1295"/>
      <c r="G1281" s="1295"/>
      <c r="H1281" s="1295"/>
      <c r="I1281" s="1295"/>
      <c r="J1281" s="1295"/>
      <c r="K1281" s="1295"/>
      <c r="L1281" s="1295"/>
      <c r="M1281" s="1295"/>
      <c r="N1281" s="1295"/>
      <c r="O1281" s="77"/>
      <c r="P1281" s="77"/>
      <c r="Q1281" s="78"/>
      <c r="Z1281" s="79"/>
      <c r="AA1281" s="80"/>
      <c r="AB1281" s="34"/>
      <c r="AC1281" s="34"/>
      <c r="AD1281" s="33"/>
      <c r="AE1281" s="33"/>
      <c r="AF1281" s="33"/>
      <c r="AG1281" s="33"/>
      <c r="AH1281" s="33"/>
      <c r="AI1281" s="33"/>
      <c r="AJ1281" s="33"/>
      <c r="AK1281" s="33"/>
      <c r="AL1281" s="33"/>
      <c r="AM1281" s="33"/>
      <c r="AN1281" s="33"/>
      <c r="AO1281" s="33"/>
    </row>
    <row r="1282" spans="1:41" ht="18">
      <c r="A1282" s="168" t="s">
        <v>220</v>
      </c>
      <c r="B1282" s="250"/>
      <c r="C1282" s="250"/>
      <c r="D1282" s="250"/>
      <c r="E1282" s="250"/>
      <c r="F1282" s="250"/>
      <c r="G1282" s="250"/>
      <c r="H1282" s="250"/>
      <c r="I1282" s="250"/>
      <c r="J1282" s="250"/>
      <c r="K1282" s="250"/>
      <c r="L1282" s="250"/>
      <c r="M1282" s="33"/>
      <c r="N1282" s="33"/>
      <c r="O1282" s="77"/>
      <c r="P1282" s="77"/>
      <c r="Q1282" s="78"/>
      <c r="Z1282" s="79"/>
      <c r="AA1282" s="80"/>
      <c r="AB1282" s="34"/>
      <c r="AC1282" s="34"/>
      <c r="AD1282" s="33"/>
      <c r="AE1282" s="33"/>
      <c r="AF1282" s="33"/>
      <c r="AG1282" s="33"/>
      <c r="AH1282" s="33"/>
      <c r="AI1282" s="33"/>
      <c r="AJ1282" s="33"/>
      <c r="AK1282" s="33"/>
      <c r="AL1282" s="33"/>
      <c r="AM1282" s="33"/>
      <c r="AN1282" s="33"/>
      <c r="AO1282" s="33"/>
    </row>
    <row r="1283" spans="1:41" ht="18">
      <c r="A1283" s="168" t="s">
        <v>444</v>
      </c>
      <c r="B1283" s="250"/>
      <c r="C1283" s="250"/>
      <c r="D1283" s="250"/>
      <c r="E1283" s="250"/>
      <c r="F1283" s="250"/>
      <c r="G1283" s="250"/>
      <c r="H1283" s="250"/>
      <c r="I1283" s="250"/>
      <c r="J1283" s="250"/>
      <c r="K1283" s="250"/>
      <c r="L1283" s="250"/>
      <c r="M1283" s="33"/>
      <c r="N1283" s="33"/>
      <c r="O1283" s="77"/>
      <c r="P1283" s="77"/>
      <c r="Q1283" s="78"/>
      <c r="Z1283" s="79"/>
      <c r="AA1283" s="80"/>
      <c r="AB1283" s="34"/>
      <c r="AC1283" s="34"/>
      <c r="AD1283" s="33"/>
      <c r="AE1283" s="33"/>
      <c r="AF1283" s="33"/>
      <c r="AG1283" s="33"/>
      <c r="AH1283" s="33"/>
      <c r="AI1283" s="33"/>
      <c r="AJ1283" s="33"/>
      <c r="AK1283" s="33"/>
      <c r="AL1283" s="33"/>
      <c r="AM1283" s="33"/>
      <c r="AN1283" s="33"/>
      <c r="AO1283" s="33"/>
    </row>
    <row r="1284" spans="1:41" ht="18.75" thickBot="1">
      <c r="A1284" s="250"/>
      <c r="B1284" s="250"/>
      <c r="C1284" s="250"/>
      <c r="D1284" s="250"/>
      <c r="E1284" s="250"/>
      <c r="F1284" s="250"/>
      <c r="G1284" s="250"/>
      <c r="H1284" s="250"/>
      <c r="I1284" s="250"/>
      <c r="J1284" s="250"/>
      <c r="K1284" s="250"/>
      <c r="L1284" s="250"/>
      <c r="M1284" s="33"/>
      <c r="N1284" s="33"/>
      <c r="O1284" s="77"/>
      <c r="P1284" s="77"/>
      <c r="Q1284" s="78"/>
      <c r="Z1284" s="79"/>
      <c r="AA1284" s="80"/>
      <c r="AB1284" s="34"/>
      <c r="AC1284" s="34"/>
      <c r="AD1284" s="33"/>
      <c r="AE1284" s="33"/>
      <c r="AF1284" s="33"/>
      <c r="AG1284" s="33"/>
      <c r="AH1284" s="33"/>
      <c r="AI1284" s="33"/>
      <c r="AJ1284" s="33"/>
      <c r="AK1284" s="33"/>
      <c r="AL1284" s="33"/>
      <c r="AM1284" s="33"/>
      <c r="AN1284" s="33"/>
      <c r="AO1284" s="33"/>
    </row>
    <row r="1285" spans="1:41" ht="24" thickBot="1">
      <c r="A1285" s="250"/>
      <c r="B1285" s="250"/>
      <c r="C1285" s="1333" t="s">
        <v>446</v>
      </c>
      <c r="D1285" s="1334"/>
      <c r="E1285" s="1334"/>
      <c r="F1285" s="1334"/>
      <c r="G1285" s="1334"/>
      <c r="H1285" s="1334"/>
      <c r="I1285" s="1334"/>
      <c r="J1285" s="1334"/>
      <c r="K1285" s="1334"/>
      <c r="L1285" s="1335"/>
      <c r="M1285" s="33"/>
      <c r="N1285" s="33"/>
      <c r="O1285" s="77"/>
      <c r="P1285" s="77"/>
      <c r="Q1285" s="78"/>
      <c r="Z1285" s="79"/>
      <c r="AA1285" s="80"/>
      <c r="AB1285" s="34"/>
      <c r="AC1285" s="34"/>
      <c r="AD1285" s="33"/>
      <c r="AE1285" s="33"/>
      <c r="AF1285" s="33"/>
      <c r="AG1285" s="33"/>
      <c r="AH1285" s="33"/>
      <c r="AI1285" s="33"/>
      <c r="AJ1285" s="33"/>
      <c r="AK1285" s="33"/>
      <c r="AL1285" s="33"/>
      <c r="AM1285" s="33"/>
      <c r="AN1285" s="33"/>
      <c r="AO1285" s="33"/>
    </row>
    <row r="1286" spans="1:41" ht="23.25">
      <c r="A1286" s="250"/>
      <c r="B1286" s="250"/>
      <c r="C1286" s="249"/>
      <c r="D1286" s="249"/>
      <c r="E1286" s="249"/>
      <c r="F1286" s="249"/>
      <c r="G1286" s="249"/>
      <c r="H1286" s="249"/>
      <c r="I1286" s="249"/>
      <c r="J1286" s="249"/>
      <c r="K1286" s="249"/>
      <c r="L1286" s="249"/>
      <c r="M1286" s="33"/>
      <c r="N1286" s="33"/>
      <c r="O1286" s="77"/>
      <c r="P1286" s="77"/>
      <c r="Q1286" s="78"/>
      <c r="Z1286" s="79"/>
      <c r="AA1286" s="80"/>
      <c r="AB1286" s="34"/>
      <c r="AC1286" s="34"/>
      <c r="AD1286" s="33"/>
      <c r="AE1286" s="33"/>
      <c r="AF1286" s="33"/>
      <c r="AG1286" s="33"/>
      <c r="AH1286" s="33"/>
      <c r="AI1286" s="33"/>
      <c r="AJ1286" s="33"/>
      <c r="AK1286" s="33"/>
      <c r="AL1286" s="33"/>
      <c r="AM1286" s="33"/>
      <c r="AN1286" s="33"/>
      <c r="AO1286" s="33"/>
    </row>
    <row r="1287" spans="1:41" ht="23.25">
      <c r="A1287" s="1295" t="s">
        <v>448</v>
      </c>
      <c r="B1287" s="1295"/>
      <c r="C1287" s="1295"/>
      <c r="E1287" s="1294" t="s">
        <v>309</v>
      </c>
      <c r="F1287" s="1294"/>
      <c r="G1287" s="1294"/>
      <c r="H1287" s="1294"/>
      <c r="I1287" s="1294"/>
      <c r="J1287" s="249"/>
      <c r="K1287" s="249" t="s">
        <v>449</v>
      </c>
      <c r="L1287" s="249"/>
      <c r="M1287" s="1295" t="s">
        <v>945</v>
      </c>
      <c r="N1287" s="1295"/>
      <c r="O1287" s="1292" t="str">
        <f>E1287</f>
        <v>بوطالب محمد</v>
      </c>
      <c r="P1287" s="1292"/>
      <c r="Q1287" s="78">
        <v>39</v>
      </c>
      <c r="Z1287" s="79"/>
      <c r="AA1287" s="80"/>
      <c r="AB1287" s="34"/>
      <c r="AC1287" s="34"/>
      <c r="AD1287" s="33"/>
      <c r="AE1287" s="33"/>
      <c r="AF1287" s="33"/>
      <c r="AG1287" s="33"/>
      <c r="AH1287" s="33"/>
      <c r="AI1287" s="33"/>
      <c r="AJ1287" s="33"/>
      <c r="AK1287" s="33"/>
      <c r="AL1287" s="33"/>
      <c r="AM1287" s="33"/>
      <c r="AN1287" s="33"/>
      <c r="AO1287" s="33"/>
    </row>
    <row r="1288" spans="1:41" ht="24" thickBot="1">
      <c r="A1288" s="1355" t="s">
        <v>450</v>
      </c>
      <c r="B1288" s="1355"/>
      <c r="C1288" s="1355"/>
      <c r="D1288" s="1355">
        <v>0</v>
      </c>
      <c r="E1288" s="1355"/>
      <c r="F1288" s="1355"/>
      <c r="G1288" s="1355"/>
      <c r="H1288" s="87"/>
      <c r="I1288" s="1355" t="s">
        <v>452</v>
      </c>
      <c r="J1288" s="1355"/>
      <c r="K1288" s="1355"/>
      <c r="L1288" s="1355" t="s">
        <v>380</v>
      </c>
      <c r="M1288" s="1355"/>
      <c r="N1288" s="1355"/>
      <c r="O1288" s="1292">
        <f>D1288</f>
        <v>0</v>
      </c>
      <c r="P1288" s="1292"/>
      <c r="Q1288" s="78"/>
      <c r="Z1288" s="79"/>
      <c r="AA1288" s="80"/>
      <c r="AB1288" s="34"/>
      <c r="AC1288" s="34"/>
      <c r="AD1288" s="33"/>
      <c r="AE1288" s="33"/>
      <c r="AF1288" s="33"/>
      <c r="AG1288" s="33"/>
      <c r="AH1288" s="33"/>
      <c r="AI1288" s="33"/>
      <c r="AJ1288" s="33"/>
      <c r="AK1288" s="33"/>
      <c r="AL1288" s="33"/>
      <c r="AM1288" s="33"/>
      <c r="AN1288" s="33"/>
      <c r="AO1288" s="33"/>
    </row>
    <row r="1289" spans="1:41" ht="17.25" thickTop="1" thickBot="1">
      <c r="A1289" s="1373" t="s">
        <v>453</v>
      </c>
      <c r="B1289" s="1374"/>
      <c r="C1289" s="88" t="s">
        <v>500</v>
      </c>
      <c r="D1289" s="88" t="s">
        <v>1</v>
      </c>
      <c r="E1289" s="89" t="s">
        <v>813</v>
      </c>
      <c r="F1289" s="89" t="s">
        <v>265</v>
      </c>
      <c r="G1289" s="89" t="s">
        <v>6</v>
      </c>
      <c r="H1289" s="89" t="s">
        <v>2</v>
      </c>
      <c r="I1289" s="89" t="s">
        <v>493</v>
      </c>
      <c r="J1289" s="89" t="s">
        <v>814</v>
      </c>
      <c r="K1289" s="89" t="s">
        <v>8</v>
      </c>
      <c r="L1289" s="89"/>
      <c r="M1289" s="89" t="s">
        <v>380</v>
      </c>
      <c r="N1289" s="90" t="s">
        <v>380</v>
      </c>
      <c r="O1289" s="77"/>
      <c r="P1289" s="77"/>
      <c r="Q1289" s="78"/>
      <c r="Z1289" s="79"/>
      <c r="AA1289" s="80"/>
      <c r="AB1289" s="34"/>
      <c r="AC1289" s="34"/>
      <c r="AD1289" s="33"/>
      <c r="AE1289" s="33"/>
      <c r="AF1289" s="33"/>
      <c r="AG1289" s="33"/>
      <c r="AH1289" s="33"/>
      <c r="AI1289" s="33"/>
      <c r="AJ1289" s="33"/>
      <c r="AK1289" s="33"/>
      <c r="AL1289" s="33"/>
      <c r="AM1289" s="33"/>
      <c r="AN1289" s="33"/>
      <c r="AO1289" s="33"/>
    </row>
    <row r="1290" spans="1:41" ht="16.5" thickBot="1">
      <c r="A1290" s="1365" t="s">
        <v>454</v>
      </c>
      <c r="B1290" s="1366"/>
      <c r="C1290" s="91">
        <v>2</v>
      </c>
      <c r="D1290" s="210">
        <v>2</v>
      </c>
      <c r="E1290" s="210">
        <v>2</v>
      </c>
      <c r="F1290" s="210">
        <v>2</v>
      </c>
      <c r="G1290" s="210">
        <v>2</v>
      </c>
      <c r="H1290" s="210">
        <v>2</v>
      </c>
      <c r="I1290" s="210">
        <v>2</v>
      </c>
      <c r="J1290" s="210">
        <v>2</v>
      </c>
      <c r="K1290" s="210">
        <v>2</v>
      </c>
      <c r="L1290" s="210" t="s">
        <v>380</v>
      </c>
      <c r="M1290" s="210" t="s">
        <v>380</v>
      </c>
      <c r="N1290" s="92" t="s">
        <v>380</v>
      </c>
      <c r="Q1290" s="78"/>
      <c r="Z1290" s="79"/>
      <c r="AA1290" s="80"/>
      <c r="AB1290" s="34"/>
      <c r="AC1290" s="34"/>
      <c r="AD1290" s="33"/>
      <c r="AE1290" s="33"/>
      <c r="AF1290" s="33"/>
      <c r="AG1290" s="33"/>
      <c r="AH1290" s="33"/>
      <c r="AI1290" s="33"/>
      <c r="AJ1290" s="33"/>
      <c r="AK1290" s="33"/>
      <c r="AL1290" s="33"/>
      <c r="AM1290" s="33"/>
      <c r="AN1290" s="33"/>
      <c r="AO1290" s="33"/>
    </row>
    <row r="1291" spans="1:41" ht="24" thickBot="1">
      <c r="A1291" s="1365" t="s">
        <v>455</v>
      </c>
      <c r="B1291" s="1366"/>
      <c r="C1291" s="91"/>
      <c r="D1291" s="210"/>
      <c r="E1291" s="210"/>
      <c r="F1291" s="210"/>
      <c r="G1291" s="210"/>
      <c r="H1291" s="210"/>
      <c r="I1291" s="210"/>
      <c r="J1291" s="210"/>
      <c r="K1291" s="210"/>
      <c r="L1291" s="210" t="s">
        <v>380</v>
      </c>
      <c r="M1291" s="210" t="s">
        <v>380</v>
      </c>
      <c r="N1291" s="92" t="s">
        <v>380</v>
      </c>
      <c r="O1291" s="152"/>
      <c r="Q1291" s="78"/>
      <c r="Z1291" s="79"/>
      <c r="AA1291" s="80"/>
      <c r="AB1291" s="34"/>
      <c r="AC1291" s="34"/>
      <c r="AD1291" s="33"/>
      <c r="AE1291" s="33"/>
      <c r="AF1291" s="33"/>
      <c r="AG1291" s="33"/>
      <c r="AH1291" s="33"/>
      <c r="AI1291" s="33"/>
      <c r="AJ1291" s="33"/>
      <c r="AK1291" s="33"/>
      <c r="AL1291" s="33"/>
      <c r="AM1291" s="33"/>
      <c r="AN1291" s="33"/>
      <c r="AO1291" s="33"/>
    </row>
    <row r="1292" spans="1:41" ht="24" thickBot="1">
      <c r="A1292" s="1367" t="s">
        <v>456</v>
      </c>
      <c r="B1292" s="1368"/>
      <c r="C1292" s="93"/>
      <c r="D1292" s="94"/>
      <c r="E1292" s="94"/>
      <c r="F1292" s="94"/>
      <c r="G1292" s="94"/>
      <c r="H1292" s="94"/>
      <c r="I1292" s="94"/>
      <c r="J1292" s="94"/>
      <c r="K1292" s="94"/>
      <c r="L1292" s="94" t="s">
        <v>380</v>
      </c>
      <c r="M1292" s="94" t="s">
        <v>380</v>
      </c>
      <c r="N1292" s="95" t="s">
        <v>380</v>
      </c>
      <c r="O1292" s="152"/>
      <c r="Q1292" s="78"/>
      <c r="Z1292" s="79"/>
      <c r="AA1292" s="80"/>
      <c r="AB1292" s="34"/>
      <c r="AC1292" s="34"/>
      <c r="AD1292" s="33"/>
      <c r="AE1292" s="33"/>
      <c r="AF1292" s="33"/>
      <c r="AG1292" s="33"/>
      <c r="AH1292" s="33"/>
      <c r="AI1292" s="33"/>
      <c r="AJ1292" s="33"/>
      <c r="AK1292" s="33"/>
      <c r="AL1292" s="33"/>
      <c r="AM1292" s="33"/>
      <c r="AN1292" s="33"/>
      <c r="AO1292" s="33"/>
    </row>
    <row r="1293" spans="1:41" ht="24" thickTop="1">
      <c r="A1293" s="96"/>
      <c r="B1293" s="96"/>
      <c r="C1293" s="96"/>
      <c r="D1293" s="96"/>
      <c r="E1293" s="1369" t="s">
        <v>457</v>
      </c>
      <c r="F1293" s="1376"/>
      <c r="G1293" s="97">
        <v>18</v>
      </c>
      <c r="H1293" s="1375" t="s">
        <v>458</v>
      </c>
      <c r="I1293" s="1370"/>
      <c r="J1293" s="1369" t="s">
        <v>459</v>
      </c>
      <c r="K1293" s="1370"/>
      <c r="L1293" s="96"/>
      <c r="M1293" s="96"/>
      <c r="N1293" s="96"/>
      <c r="O1293" s="152"/>
      <c r="Q1293" s="78"/>
      <c r="Z1293" s="79"/>
      <c r="AA1293" s="80"/>
      <c r="AB1293" s="34"/>
      <c r="AC1293" s="34"/>
      <c r="AD1293" s="33"/>
      <c r="AE1293" s="33"/>
      <c r="AF1293" s="33"/>
      <c r="AG1293" s="33"/>
      <c r="AH1293" s="33"/>
      <c r="AI1293" s="33"/>
      <c r="AJ1293" s="33"/>
      <c r="AK1293" s="33"/>
      <c r="AL1293" s="33"/>
      <c r="AM1293" s="33"/>
      <c r="AN1293" s="33"/>
      <c r="AO1293" s="33"/>
    </row>
    <row r="1294" spans="1:41" ht="23.25">
      <c r="A1294" s="96"/>
      <c r="B1294" s="96"/>
      <c r="C1294" s="96"/>
      <c r="D1294" s="96"/>
      <c r="E1294" s="1348" t="s">
        <v>460</v>
      </c>
      <c r="F1294" s="1349"/>
      <c r="G1294" s="98">
        <v>16</v>
      </c>
      <c r="H1294" s="1350">
        <v>0</v>
      </c>
      <c r="I1294" s="1351"/>
      <c r="J1294" s="1350">
        <v>0</v>
      </c>
      <c r="K1294" s="1352"/>
      <c r="L1294" s="96"/>
      <c r="M1294" s="96"/>
      <c r="N1294" s="96"/>
      <c r="O1294" s="77"/>
      <c r="P1294" s="77"/>
      <c r="Q1294" s="78"/>
      <c r="Z1294" s="79"/>
      <c r="AA1294" s="80"/>
      <c r="AB1294" s="34"/>
      <c r="AC1294" s="34"/>
      <c r="AD1294" s="33"/>
      <c r="AE1294" s="33"/>
      <c r="AF1294" s="33"/>
      <c r="AG1294" s="33"/>
      <c r="AH1294" s="33"/>
      <c r="AI1294" s="33"/>
      <c r="AJ1294" s="33"/>
      <c r="AK1294" s="33"/>
      <c r="AL1294" s="33"/>
      <c r="AM1294" s="33"/>
      <c r="AN1294" s="33"/>
      <c r="AO1294" s="33"/>
    </row>
    <row r="1295" spans="1:41" ht="20.25">
      <c r="A1295" s="96"/>
      <c r="B1295" s="96"/>
      <c r="C1295" s="96"/>
      <c r="D1295" s="96"/>
      <c r="E1295" s="1348" t="s">
        <v>461</v>
      </c>
      <c r="F1295" s="1349"/>
      <c r="G1295" s="99">
        <v>0</v>
      </c>
      <c r="H1295" s="1356" t="s">
        <v>462</v>
      </c>
      <c r="I1295" s="1349"/>
      <c r="J1295" s="1356" t="s">
        <v>463</v>
      </c>
      <c r="K1295" s="1357"/>
      <c r="L1295" s="96"/>
      <c r="M1295" s="96"/>
      <c r="N1295" s="96"/>
      <c r="O1295" s="77"/>
      <c r="P1295" s="77"/>
      <c r="Q1295" s="78"/>
      <c r="Z1295" s="79"/>
      <c r="AA1295" s="80"/>
      <c r="AB1295" s="34"/>
      <c r="AC1295" s="34"/>
      <c r="AD1295" s="33"/>
      <c r="AE1295" s="33"/>
      <c r="AF1295" s="33"/>
      <c r="AG1295" s="33"/>
      <c r="AH1295" s="33"/>
      <c r="AI1295" s="33"/>
      <c r="AJ1295" s="33"/>
      <c r="AK1295" s="33"/>
      <c r="AL1295" s="33"/>
      <c r="AM1295" s="33"/>
      <c r="AN1295" s="33"/>
      <c r="AO1295" s="33"/>
    </row>
    <row r="1296" spans="1:41" ht="24" thickBot="1">
      <c r="A1296" s="96"/>
      <c r="B1296" s="96"/>
      <c r="C1296" s="96"/>
      <c r="D1296" s="96"/>
      <c r="E1296" s="1358" t="s">
        <v>464</v>
      </c>
      <c r="F1296" s="1359"/>
      <c r="G1296" s="99">
        <v>0</v>
      </c>
      <c r="H1296" s="1360">
        <v>0</v>
      </c>
      <c r="I1296" s="1361"/>
      <c r="J1296" s="1360">
        <v>0</v>
      </c>
      <c r="K1296" s="1362"/>
      <c r="L1296" s="96"/>
      <c r="M1296" s="96"/>
      <c r="N1296" s="96"/>
      <c r="O1296" s="77"/>
      <c r="P1296" s="77"/>
      <c r="Q1296" s="78"/>
      <c r="Z1296" s="79"/>
      <c r="AA1296" s="80"/>
      <c r="AB1296" s="34"/>
      <c r="AC1296" s="34"/>
      <c r="AD1296" s="33"/>
      <c r="AE1296" s="33"/>
      <c r="AF1296" s="33"/>
      <c r="AG1296" s="33"/>
      <c r="AH1296" s="33"/>
      <c r="AI1296" s="33"/>
      <c r="AJ1296" s="33"/>
      <c r="AK1296" s="33"/>
      <c r="AL1296" s="33"/>
      <c r="AM1296" s="33"/>
      <c r="AN1296" s="33"/>
      <c r="AO1296" s="33"/>
    </row>
    <row r="1297" spans="1:41" ht="17.25" thickTop="1" thickBot="1">
      <c r="A1297" s="34"/>
      <c r="B1297" s="34"/>
      <c r="C1297" s="1344" t="s">
        <v>465</v>
      </c>
      <c r="D1297" s="1345"/>
      <c r="E1297" s="1344" t="s">
        <v>360</v>
      </c>
      <c r="F1297" s="1345"/>
      <c r="G1297" s="1346" t="s">
        <v>368</v>
      </c>
      <c r="H1297" s="1347"/>
      <c r="I1297" s="1344" t="s">
        <v>369</v>
      </c>
      <c r="J1297" s="1345"/>
      <c r="K1297" s="1344" t="s">
        <v>370</v>
      </c>
      <c r="L1297" s="1345"/>
      <c r="M1297" s="1344" t="s">
        <v>371</v>
      </c>
      <c r="N1297" s="1345"/>
      <c r="O1297" s="77"/>
      <c r="P1297" s="77"/>
      <c r="Q1297" s="78"/>
      <c r="Z1297" s="79"/>
      <c r="AA1297" s="80"/>
      <c r="AB1297" s="34"/>
      <c r="AC1297" s="34"/>
      <c r="AD1297" s="33"/>
      <c r="AE1297" s="33"/>
      <c r="AF1297" s="33"/>
      <c r="AG1297" s="33"/>
      <c r="AH1297" s="33"/>
      <c r="AI1297" s="33"/>
      <c r="AJ1297" s="33"/>
      <c r="AK1297" s="33"/>
      <c r="AL1297" s="33"/>
      <c r="AM1297" s="33"/>
      <c r="AN1297" s="33"/>
      <c r="AO1297" s="33"/>
    </row>
    <row r="1298" spans="1:41" ht="17.25" thickTop="1" thickBot="1">
      <c r="A1298" s="34"/>
      <c r="B1298" s="34"/>
      <c r="C1298" s="1344" t="s">
        <v>372</v>
      </c>
      <c r="D1298" s="1345"/>
      <c r="E1298" s="1315" t="s">
        <v>380</v>
      </c>
      <c r="F1298" s="1316"/>
      <c r="G1298" s="1315" t="s">
        <v>380</v>
      </c>
      <c r="H1298" s="1316"/>
      <c r="I1298" s="1315" t="s">
        <v>380</v>
      </c>
      <c r="J1298" s="1316"/>
      <c r="K1298" s="1315" t="s">
        <v>380</v>
      </c>
      <c r="L1298" s="1316"/>
      <c r="M1298" s="1315" t="s">
        <v>380</v>
      </c>
      <c r="N1298" s="1316"/>
      <c r="O1298" s="77"/>
      <c r="P1298" s="77"/>
      <c r="Q1298" s="78"/>
      <c r="Z1298" s="79"/>
      <c r="AA1298" s="80"/>
      <c r="AB1298" s="34"/>
      <c r="AC1298" s="34"/>
      <c r="AD1298" s="33"/>
      <c r="AE1298" s="33"/>
      <c r="AF1298" s="33"/>
      <c r="AG1298" s="33"/>
      <c r="AH1298" s="33"/>
      <c r="AI1298" s="33"/>
      <c r="AJ1298" s="33"/>
      <c r="AK1298" s="33"/>
      <c r="AL1298" s="33"/>
      <c r="AM1298" s="33"/>
      <c r="AN1298" s="33"/>
      <c r="AO1298" s="33"/>
    </row>
    <row r="1299" spans="1:41" ht="17.25" thickTop="1" thickBot="1">
      <c r="A1299" s="34"/>
      <c r="B1299" s="34"/>
      <c r="C1299" s="1344" t="s">
        <v>373</v>
      </c>
      <c r="D1299" s="1345"/>
      <c r="E1299" s="1315" t="s">
        <v>380</v>
      </c>
      <c r="F1299" s="1316"/>
      <c r="G1299" s="1315" t="s">
        <v>380</v>
      </c>
      <c r="H1299" s="1316"/>
      <c r="I1299" s="2"/>
      <c r="J1299" s="2"/>
      <c r="K1299" s="1315"/>
      <c r="L1299" s="1316"/>
      <c r="M1299" s="1315" t="s">
        <v>380</v>
      </c>
      <c r="N1299" s="1316"/>
      <c r="O1299" s="77"/>
      <c r="P1299" s="77"/>
      <c r="Q1299" s="78"/>
      <c r="Z1299" s="79"/>
      <c r="AA1299" s="80"/>
      <c r="AB1299" s="34"/>
      <c r="AC1299" s="34"/>
      <c r="AD1299" s="33"/>
      <c r="AE1299" s="33"/>
      <c r="AF1299" s="33"/>
      <c r="AG1299" s="33"/>
      <c r="AH1299" s="33"/>
      <c r="AI1299" s="33"/>
      <c r="AJ1299" s="33"/>
      <c r="AK1299" s="33"/>
      <c r="AL1299" s="33"/>
      <c r="AM1299" s="33"/>
      <c r="AN1299" s="33"/>
      <c r="AO1299" s="33"/>
    </row>
    <row r="1300" spans="1:41" ht="17.25" thickTop="1" thickBot="1">
      <c r="A1300" s="34"/>
      <c r="B1300" s="34"/>
      <c r="C1300" s="1344" t="s">
        <v>374</v>
      </c>
      <c r="D1300" s="1345"/>
      <c r="E1300" s="1336"/>
      <c r="F1300" s="1337"/>
      <c r="G1300" s="1336" t="s">
        <v>265</v>
      </c>
      <c r="H1300" s="1337"/>
      <c r="I1300" s="1336"/>
      <c r="J1300" s="1337"/>
      <c r="K1300" s="1353" t="s">
        <v>813</v>
      </c>
      <c r="L1300" s="1354"/>
      <c r="M1300" s="1336" t="s">
        <v>493</v>
      </c>
      <c r="N1300" s="1337"/>
      <c r="O1300" s="77"/>
      <c r="P1300" s="77"/>
      <c r="Q1300" s="78"/>
      <c r="Z1300" s="79"/>
      <c r="AA1300" s="80"/>
      <c r="AB1300" s="34"/>
      <c r="AC1300" s="34"/>
      <c r="AD1300" s="33"/>
      <c r="AE1300" s="33"/>
      <c r="AF1300" s="33"/>
      <c r="AG1300" s="33"/>
      <c r="AH1300" s="33"/>
      <c r="AI1300" s="33"/>
      <c r="AJ1300" s="33"/>
      <c r="AK1300" s="33"/>
      <c r="AL1300" s="33"/>
      <c r="AM1300" s="33"/>
      <c r="AN1300" s="33"/>
      <c r="AO1300" s="33"/>
    </row>
    <row r="1301" spans="1:41" ht="17.25" thickTop="1" thickBot="1">
      <c r="A1301" s="34"/>
      <c r="B1301" s="34"/>
      <c r="C1301" s="1344" t="s">
        <v>375</v>
      </c>
      <c r="D1301" s="1345"/>
      <c r="E1301" s="1336"/>
      <c r="F1301" s="1337"/>
      <c r="G1301" s="1336" t="s">
        <v>265</v>
      </c>
      <c r="H1301" s="1337"/>
      <c r="I1301" s="1336"/>
      <c r="J1301" s="1337"/>
      <c r="K1301" s="1353" t="s">
        <v>813</v>
      </c>
      <c r="L1301" s="1354"/>
      <c r="M1301" s="1336" t="s">
        <v>493</v>
      </c>
      <c r="N1301" s="1337"/>
      <c r="O1301" s="77"/>
      <c r="P1301" s="77"/>
      <c r="Q1301" s="78"/>
      <c r="Z1301" s="79"/>
      <c r="AA1301" s="80"/>
      <c r="AB1301" s="34"/>
      <c r="AC1301" s="34"/>
      <c r="AD1301" s="33"/>
      <c r="AE1301" s="33"/>
      <c r="AF1301" s="33"/>
      <c r="AG1301" s="33"/>
      <c r="AH1301" s="33"/>
      <c r="AI1301" s="33"/>
      <c r="AJ1301" s="33"/>
      <c r="AK1301" s="33"/>
      <c r="AL1301" s="33"/>
      <c r="AM1301" s="33"/>
      <c r="AN1301" s="33"/>
      <c r="AO1301" s="33"/>
    </row>
    <row r="1302" spans="1:41" ht="17.25" thickTop="1" thickBot="1">
      <c r="A1302" s="34"/>
      <c r="B1302" s="34"/>
      <c r="C1302" s="101"/>
      <c r="D1302" s="101"/>
      <c r="E1302" s="251"/>
      <c r="F1302" s="251"/>
      <c r="G1302" s="251"/>
      <c r="H1302" s="251"/>
      <c r="I1302" s="251"/>
      <c r="J1302" s="251"/>
      <c r="K1302" s="252"/>
      <c r="L1302" s="252"/>
      <c r="M1302" s="251"/>
      <c r="N1302" s="251"/>
      <c r="O1302" s="77"/>
      <c r="P1302" s="77"/>
      <c r="Q1302" s="78"/>
      <c r="Z1302" s="79"/>
      <c r="AA1302" s="80"/>
      <c r="AB1302" s="34"/>
      <c r="AC1302" s="34"/>
      <c r="AD1302" s="33"/>
      <c r="AE1302" s="33"/>
      <c r="AF1302" s="33"/>
      <c r="AG1302" s="33"/>
      <c r="AH1302" s="33"/>
      <c r="AI1302" s="33"/>
      <c r="AJ1302" s="33"/>
      <c r="AK1302" s="33"/>
      <c r="AL1302" s="33"/>
      <c r="AM1302" s="33"/>
      <c r="AN1302" s="33"/>
      <c r="AO1302" s="33"/>
    </row>
    <row r="1303" spans="1:41" ht="17.25" thickTop="1" thickBot="1">
      <c r="A1303" s="34"/>
      <c r="B1303" s="34"/>
      <c r="C1303" s="1344" t="s">
        <v>921</v>
      </c>
      <c r="D1303" s="1345"/>
      <c r="E1303" s="1336"/>
      <c r="F1303" s="1337"/>
      <c r="G1303" s="1336"/>
      <c r="H1303" s="1337"/>
      <c r="I1303" s="1336"/>
      <c r="J1303" s="1337"/>
      <c r="K1303" s="1353" t="s">
        <v>814</v>
      </c>
      <c r="L1303" s="1354"/>
      <c r="M1303" s="1296"/>
      <c r="N1303" s="1296"/>
      <c r="O1303" s="77"/>
      <c r="P1303" s="77"/>
      <c r="Q1303" s="78"/>
      <c r="Z1303" s="79"/>
      <c r="AA1303" s="80"/>
      <c r="AB1303" s="34"/>
      <c r="AC1303" s="34"/>
      <c r="AD1303" s="33"/>
      <c r="AE1303" s="33"/>
      <c r="AF1303" s="33"/>
      <c r="AG1303" s="33"/>
      <c r="AH1303" s="33"/>
      <c r="AI1303" s="33"/>
      <c r="AJ1303" s="33"/>
      <c r="AK1303" s="33"/>
      <c r="AL1303" s="33"/>
      <c r="AM1303" s="33"/>
      <c r="AN1303" s="33"/>
      <c r="AO1303" s="33"/>
    </row>
    <row r="1304" spans="1:41" ht="17.25" thickTop="1" thickBot="1">
      <c r="A1304" s="34"/>
      <c r="B1304" s="34"/>
      <c r="C1304" s="1344" t="s">
        <v>922</v>
      </c>
      <c r="D1304" s="1345"/>
      <c r="E1304" s="1336"/>
      <c r="F1304" s="1337"/>
      <c r="G1304" s="1336"/>
      <c r="H1304" s="1337"/>
      <c r="I1304" s="1336"/>
      <c r="J1304" s="1337"/>
      <c r="K1304" s="1353" t="s">
        <v>814</v>
      </c>
      <c r="L1304" s="1354"/>
      <c r="M1304" s="1336" t="s">
        <v>8</v>
      </c>
      <c r="N1304" s="1337"/>
      <c r="O1304" s="77"/>
      <c r="P1304" s="77"/>
      <c r="Q1304" s="78"/>
      <c r="Z1304" s="79"/>
      <c r="AA1304" s="80"/>
      <c r="AB1304" s="34"/>
      <c r="AC1304" s="34"/>
      <c r="AD1304" s="33"/>
      <c r="AE1304" s="33"/>
      <c r="AF1304" s="33"/>
      <c r="AG1304" s="33"/>
      <c r="AH1304" s="33"/>
      <c r="AI1304" s="33"/>
      <c r="AJ1304" s="33"/>
      <c r="AK1304" s="33"/>
      <c r="AL1304" s="33"/>
      <c r="AM1304" s="33"/>
      <c r="AN1304" s="33"/>
      <c r="AO1304" s="33"/>
    </row>
    <row r="1305" spans="1:41" ht="17.25" thickTop="1" thickBot="1">
      <c r="A1305" s="34"/>
      <c r="B1305" s="34"/>
      <c r="C1305" s="1344" t="s">
        <v>923</v>
      </c>
      <c r="D1305" s="1345"/>
      <c r="E1305" s="1336" t="s">
        <v>809</v>
      </c>
      <c r="F1305" s="1337"/>
      <c r="G1305" s="1336" t="s">
        <v>818</v>
      </c>
      <c r="H1305" s="1337"/>
      <c r="I1305" s="1336"/>
      <c r="J1305" s="1337"/>
      <c r="K1305" s="1336" t="s">
        <v>1</v>
      </c>
      <c r="L1305" s="1337"/>
      <c r="M1305" s="1336" t="s">
        <v>8</v>
      </c>
      <c r="N1305" s="1337"/>
      <c r="O1305" s="77"/>
      <c r="P1305" s="77"/>
      <c r="Q1305" s="78"/>
      <c r="Z1305" s="79"/>
      <c r="AA1305" s="80"/>
      <c r="AB1305" s="34"/>
      <c r="AC1305" s="34"/>
      <c r="AD1305" s="33"/>
      <c r="AE1305" s="33"/>
      <c r="AF1305" s="33"/>
      <c r="AG1305" s="33"/>
      <c r="AH1305" s="33"/>
      <c r="AI1305" s="33"/>
      <c r="AJ1305" s="33"/>
      <c r="AK1305" s="33"/>
      <c r="AL1305" s="33"/>
      <c r="AM1305" s="33"/>
      <c r="AN1305" s="33"/>
      <c r="AO1305" s="33"/>
    </row>
    <row r="1306" spans="1:41" ht="17.25" thickTop="1" thickBot="1">
      <c r="A1306" s="34"/>
      <c r="B1306" s="34"/>
      <c r="C1306" s="1344" t="s">
        <v>924</v>
      </c>
      <c r="D1306" s="1345"/>
      <c r="E1306" s="1336" t="s">
        <v>809</v>
      </c>
      <c r="F1306" s="1337"/>
      <c r="G1306" s="1336" t="s">
        <v>818</v>
      </c>
      <c r="H1306" s="1337"/>
      <c r="I1306" s="1336" t="s">
        <v>380</v>
      </c>
      <c r="J1306" s="1337"/>
      <c r="K1306" s="1336" t="s">
        <v>1</v>
      </c>
      <c r="L1306" s="1337"/>
      <c r="M1306" s="1336" t="s">
        <v>380</v>
      </c>
      <c r="N1306" s="1337"/>
      <c r="O1306" s="77"/>
      <c r="P1306" s="77"/>
      <c r="Q1306" s="78"/>
      <c r="Z1306" s="79"/>
      <c r="AA1306" s="80"/>
      <c r="AB1306" s="34"/>
      <c r="AC1306" s="34"/>
      <c r="AD1306" s="33"/>
      <c r="AE1306" s="33"/>
      <c r="AF1306" s="33"/>
      <c r="AG1306" s="33"/>
      <c r="AH1306" s="33"/>
      <c r="AI1306" s="33"/>
      <c r="AJ1306" s="33"/>
      <c r="AK1306" s="33"/>
      <c r="AL1306" s="33"/>
      <c r="AM1306" s="33"/>
      <c r="AN1306" s="33"/>
      <c r="AO1306" s="33"/>
    </row>
    <row r="1307" spans="1:41" ht="17.25" thickTop="1" thickBot="1">
      <c r="A1307" s="34"/>
      <c r="B1307" s="34"/>
      <c r="C1307" s="33"/>
      <c r="D1307" s="33"/>
      <c r="E1307" s="33"/>
      <c r="F1307" s="33"/>
      <c r="G1307" s="33"/>
      <c r="H1307" s="33"/>
      <c r="I1307" s="33"/>
      <c r="J1307" s="33"/>
      <c r="K1307" s="34"/>
      <c r="L1307" s="34"/>
      <c r="M1307" s="33"/>
      <c r="N1307" s="33"/>
      <c r="O1307" s="77"/>
      <c r="P1307" s="77"/>
      <c r="Q1307" s="78"/>
      <c r="Z1307" s="79"/>
      <c r="AA1307" s="80"/>
      <c r="AB1307" s="34"/>
      <c r="AC1307" s="34"/>
      <c r="AD1307" s="33"/>
      <c r="AE1307" s="33"/>
      <c r="AF1307" s="33"/>
      <c r="AG1307" s="33"/>
      <c r="AH1307" s="33"/>
      <c r="AI1307" s="33"/>
      <c r="AJ1307" s="33"/>
      <c r="AK1307" s="33"/>
      <c r="AL1307" s="33"/>
      <c r="AM1307" s="33"/>
      <c r="AN1307" s="33"/>
      <c r="AO1307" s="33"/>
    </row>
    <row r="1308" spans="1:41" ht="19.5" thickTop="1" thickBot="1">
      <c r="A1308" s="1321" t="s">
        <v>467</v>
      </c>
      <c r="B1308" s="1322"/>
      <c r="C1308" s="1342" t="s">
        <v>380</v>
      </c>
      <c r="D1308" s="1343"/>
      <c r="E1308" s="1342" t="s">
        <v>380</v>
      </c>
      <c r="F1308" s="1343"/>
      <c r="G1308" s="250"/>
      <c r="H1308" s="250" t="s">
        <v>468</v>
      </c>
      <c r="I1308" s="1295" t="s">
        <v>402</v>
      </c>
      <c r="J1308" s="1295"/>
      <c r="K1308" s="1295"/>
      <c r="L1308" s="102" t="s">
        <v>403</v>
      </c>
      <c r="M1308" s="1331">
        <f ca="1">TODAY()</f>
        <v>45944</v>
      </c>
      <c r="N1308" s="1331"/>
      <c r="O1308" s="77"/>
      <c r="P1308" s="77"/>
      <c r="Q1308" s="78"/>
      <c r="Z1308" s="79"/>
      <c r="AA1308" s="80"/>
      <c r="AB1308" s="34"/>
      <c r="AC1308" s="34"/>
      <c r="AD1308" s="33"/>
      <c r="AE1308" s="33"/>
      <c r="AF1308" s="33"/>
      <c r="AG1308" s="33"/>
      <c r="AH1308" s="33"/>
      <c r="AI1308" s="33"/>
      <c r="AJ1308" s="33"/>
      <c r="AK1308" s="33"/>
      <c r="AL1308" s="33"/>
      <c r="AM1308" s="33"/>
      <c r="AN1308" s="33"/>
      <c r="AO1308" s="33"/>
    </row>
    <row r="1309" spans="1:41" ht="19.5" thickTop="1" thickBot="1">
      <c r="A1309" s="1321" t="s">
        <v>469</v>
      </c>
      <c r="B1309" s="1322"/>
      <c r="C1309" s="1342" t="s">
        <v>380</v>
      </c>
      <c r="D1309" s="1343"/>
      <c r="E1309" s="1342" t="s">
        <v>380</v>
      </c>
      <c r="F1309" s="1343"/>
      <c r="G1309" s="250"/>
      <c r="H1309" s="250"/>
      <c r="I1309" s="250"/>
      <c r="J1309" s="250"/>
      <c r="K1309" s="102"/>
      <c r="L1309" s="102"/>
      <c r="M1309" s="33"/>
      <c r="N1309" s="33"/>
      <c r="O1309" s="77"/>
      <c r="P1309" s="77"/>
      <c r="Q1309" s="78"/>
      <c r="Z1309" s="79"/>
      <c r="AA1309" s="80"/>
      <c r="AB1309" s="34"/>
      <c r="AC1309" s="34"/>
      <c r="AD1309" s="33"/>
      <c r="AE1309" s="33"/>
      <c r="AF1309" s="33"/>
      <c r="AG1309" s="33"/>
      <c r="AH1309" s="33"/>
      <c r="AI1309" s="33"/>
      <c r="AJ1309" s="33"/>
      <c r="AK1309" s="33"/>
      <c r="AL1309" s="33"/>
      <c r="AM1309" s="33"/>
      <c r="AN1309" s="33"/>
      <c r="AO1309" s="33"/>
    </row>
    <row r="1310" spans="1:41" ht="19.5" thickTop="1" thickBot="1">
      <c r="A1310" s="1321" t="s">
        <v>470</v>
      </c>
      <c r="B1310" s="1322"/>
      <c r="C1310" s="1342" t="s">
        <v>380</v>
      </c>
      <c r="D1310" s="1343"/>
      <c r="E1310" s="1342" t="s">
        <v>380</v>
      </c>
      <c r="F1310" s="1343"/>
      <c r="G1310" s="250"/>
      <c r="H1310" s="250"/>
      <c r="I1310" s="250"/>
      <c r="J1310" s="250" t="s">
        <v>471</v>
      </c>
      <c r="K1310" s="102"/>
      <c r="L1310" s="102"/>
      <c r="M1310" s="33"/>
      <c r="N1310" s="33"/>
      <c r="O1310" s="77"/>
      <c r="P1310" s="77"/>
      <c r="Q1310" s="78"/>
      <c r="Z1310" s="79"/>
      <c r="AA1310" s="80"/>
      <c r="AB1310" s="34"/>
      <c r="AC1310" s="34"/>
      <c r="AD1310" s="33"/>
      <c r="AE1310" s="33"/>
      <c r="AF1310" s="33"/>
      <c r="AG1310" s="33"/>
      <c r="AH1310" s="33"/>
      <c r="AI1310" s="33"/>
      <c r="AJ1310" s="33"/>
      <c r="AK1310" s="33"/>
      <c r="AL1310" s="33"/>
      <c r="AM1310" s="33"/>
      <c r="AN1310" s="33"/>
      <c r="AO1310" s="33"/>
    </row>
    <row r="1311" spans="1:41" ht="24" thickTop="1">
      <c r="A1311" s="34"/>
      <c r="B1311" s="34"/>
      <c r="C1311" s="33"/>
      <c r="D1311" s="33"/>
      <c r="E1311" s="33"/>
      <c r="F1311" s="33"/>
      <c r="G1311" s="33"/>
      <c r="H1311" s="103" t="s">
        <v>406</v>
      </c>
      <c r="I1311" s="33"/>
      <c r="J1311" s="34"/>
      <c r="K1311" s="34"/>
      <c r="L1311" s="33"/>
      <c r="M1311" s="33"/>
      <c r="N1311" s="104"/>
      <c r="O1311" s="77"/>
      <c r="P1311" s="77"/>
      <c r="Q1311" s="78"/>
      <c r="Z1311" s="79"/>
      <c r="AA1311" s="80"/>
      <c r="AB1311" s="34"/>
      <c r="AC1311" s="34"/>
      <c r="AD1311" s="33"/>
      <c r="AE1311" s="33"/>
      <c r="AF1311" s="33"/>
      <c r="AG1311" s="33"/>
      <c r="AH1311" s="33"/>
      <c r="AI1311" s="33"/>
      <c r="AJ1311" s="33"/>
      <c r="AK1311" s="33"/>
      <c r="AL1311" s="33"/>
      <c r="AM1311" s="33"/>
      <c r="AN1311" s="33"/>
      <c r="AO1311" s="33"/>
    </row>
    <row r="1312" spans="1:41" ht="18">
      <c r="A1312" s="1295" t="s">
        <v>78</v>
      </c>
      <c r="B1312" s="1295"/>
      <c r="C1312" s="1295"/>
      <c r="D1312" s="1295"/>
      <c r="E1312" s="1295"/>
      <c r="F1312" s="1295"/>
      <c r="G1312" s="1295"/>
      <c r="H1312" s="1295"/>
      <c r="I1312" s="1295"/>
      <c r="J1312" s="1295"/>
      <c r="K1312" s="1295"/>
      <c r="L1312" s="1295"/>
      <c r="M1312" s="1295"/>
      <c r="N1312" s="1295"/>
      <c r="O1312" s="77"/>
      <c r="P1312" s="77"/>
      <c r="Q1312" s="78"/>
      <c r="Z1312" s="79"/>
      <c r="AA1312" s="80"/>
      <c r="AB1312" s="34"/>
      <c r="AC1312" s="34"/>
      <c r="AD1312" s="33"/>
      <c r="AE1312" s="33"/>
      <c r="AF1312" s="33"/>
      <c r="AG1312" s="33"/>
      <c r="AH1312" s="33"/>
      <c r="AI1312" s="33"/>
      <c r="AJ1312" s="33"/>
      <c r="AK1312" s="33"/>
      <c r="AL1312" s="33"/>
      <c r="AM1312" s="33"/>
      <c r="AN1312" s="33"/>
      <c r="AO1312" s="33"/>
    </row>
    <row r="1313" spans="1:41" ht="18">
      <c r="A1313" s="1295" t="s">
        <v>79</v>
      </c>
      <c r="B1313" s="1295"/>
      <c r="C1313" s="1295"/>
      <c r="D1313" s="1295"/>
      <c r="E1313" s="1295"/>
      <c r="F1313" s="1295"/>
      <c r="G1313" s="1295"/>
      <c r="H1313" s="1295"/>
      <c r="I1313" s="1295"/>
      <c r="J1313" s="1295"/>
      <c r="K1313" s="1295"/>
      <c r="L1313" s="1295"/>
      <c r="M1313" s="1295"/>
      <c r="N1313" s="1295"/>
      <c r="O1313" s="77"/>
      <c r="P1313" s="77"/>
      <c r="Q1313" s="78"/>
      <c r="Z1313" s="79"/>
      <c r="AA1313" s="80"/>
      <c r="AB1313" s="34"/>
      <c r="AC1313" s="34"/>
      <c r="AD1313" s="33"/>
      <c r="AE1313" s="33"/>
      <c r="AF1313" s="33"/>
      <c r="AG1313" s="33"/>
      <c r="AH1313" s="33"/>
      <c r="AI1313" s="33"/>
      <c r="AJ1313" s="33"/>
      <c r="AK1313" s="33"/>
      <c r="AL1313" s="33"/>
      <c r="AM1313" s="33"/>
      <c r="AN1313" s="33"/>
      <c r="AO1313" s="33"/>
    </row>
    <row r="1314" spans="1:41" ht="18">
      <c r="A1314" s="168" t="s">
        <v>220</v>
      </c>
      <c r="B1314" s="250"/>
      <c r="C1314" s="250"/>
      <c r="D1314" s="250"/>
      <c r="E1314" s="250"/>
      <c r="F1314" s="250"/>
      <c r="G1314" s="250"/>
      <c r="H1314" s="250"/>
      <c r="I1314" s="250"/>
      <c r="J1314" s="250"/>
      <c r="K1314" s="250"/>
      <c r="L1314" s="250"/>
      <c r="M1314" s="33"/>
      <c r="N1314" s="33"/>
      <c r="O1314" s="77"/>
      <c r="P1314" s="77"/>
      <c r="Q1314" s="78"/>
      <c r="Z1314" s="79"/>
      <c r="AA1314" s="80"/>
      <c r="AB1314" s="34"/>
      <c r="AC1314" s="34"/>
      <c r="AD1314" s="33"/>
      <c r="AE1314" s="33"/>
      <c r="AF1314" s="33"/>
      <c r="AG1314" s="33"/>
      <c r="AH1314" s="33"/>
      <c r="AI1314" s="33"/>
      <c r="AJ1314" s="33"/>
      <c r="AK1314" s="33"/>
      <c r="AL1314" s="33"/>
      <c r="AM1314" s="33"/>
      <c r="AN1314" s="33"/>
      <c r="AO1314" s="33"/>
    </row>
    <row r="1315" spans="1:41" ht="18">
      <c r="A1315" s="168" t="s">
        <v>444</v>
      </c>
      <c r="B1315" s="250"/>
      <c r="C1315" s="250"/>
      <c r="D1315" s="250"/>
      <c r="E1315" s="250"/>
      <c r="F1315" s="250"/>
      <c r="G1315" s="250"/>
      <c r="H1315" s="250"/>
      <c r="I1315" s="250"/>
      <c r="J1315" s="250"/>
      <c r="K1315" s="250"/>
      <c r="L1315" s="250"/>
      <c r="M1315" s="33"/>
      <c r="N1315" s="33"/>
      <c r="O1315" s="77"/>
      <c r="P1315" s="77"/>
      <c r="Q1315" s="78"/>
      <c r="Z1315" s="79"/>
      <c r="AA1315" s="80"/>
      <c r="AB1315" s="34"/>
      <c r="AC1315" s="34"/>
      <c r="AD1315" s="33"/>
      <c r="AE1315" s="33"/>
      <c r="AF1315" s="33"/>
      <c r="AG1315" s="33"/>
      <c r="AH1315" s="33"/>
      <c r="AI1315" s="33"/>
      <c r="AJ1315" s="33"/>
      <c r="AK1315" s="33"/>
      <c r="AL1315" s="33"/>
      <c r="AM1315" s="33"/>
      <c r="AN1315" s="33"/>
      <c r="AO1315" s="33"/>
    </row>
    <row r="1316" spans="1:41" ht="18.75" thickBot="1">
      <c r="A1316" s="250"/>
      <c r="B1316" s="250"/>
      <c r="C1316" s="250"/>
      <c r="D1316" s="250"/>
      <c r="E1316" s="250"/>
      <c r="F1316" s="250"/>
      <c r="G1316" s="250"/>
      <c r="H1316" s="250"/>
      <c r="I1316" s="250"/>
      <c r="J1316" s="250"/>
      <c r="K1316" s="250"/>
      <c r="L1316" s="250"/>
      <c r="M1316" s="33"/>
      <c r="N1316" s="33"/>
      <c r="O1316" s="77"/>
      <c r="P1316" s="77"/>
      <c r="Q1316" s="78"/>
      <c r="Z1316" s="79"/>
      <c r="AA1316" s="80"/>
      <c r="AB1316" s="34"/>
      <c r="AC1316" s="34"/>
      <c r="AD1316" s="33"/>
      <c r="AE1316" s="33"/>
      <c r="AF1316" s="33"/>
      <c r="AG1316" s="33"/>
      <c r="AH1316" s="33"/>
      <c r="AI1316" s="33"/>
      <c r="AJ1316" s="33"/>
      <c r="AK1316" s="33"/>
      <c r="AL1316" s="33"/>
      <c r="AM1316" s="33"/>
      <c r="AN1316" s="33"/>
      <c r="AO1316" s="33"/>
    </row>
    <row r="1317" spans="1:41" ht="24" thickBot="1">
      <c r="A1317" s="250"/>
      <c r="B1317" s="250"/>
      <c r="C1317" s="1333" t="s">
        <v>446</v>
      </c>
      <c r="D1317" s="1334"/>
      <c r="E1317" s="1334"/>
      <c r="F1317" s="1334"/>
      <c r="G1317" s="1334"/>
      <c r="H1317" s="1334"/>
      <c r="I1317" s="1334"/>
      <c r="J1317" s="1334"/>
      <c r="K1317" s="1334"/>
      <c r="L1317" s="1335"/>
      <c r="M1317" s="33"/>
      <c r="N1317" s="33"/>
      <c r="O1317" s="77"/>
      <c r="P1317" s="77"/>
      <c r="Q1317" s="78"/>
      <c r="Z1317" s="79"/>
      <c r="AA1317" s="80"/>
      <c r="AB1317" s="34"/>
      <c r="AC1317" s="34"/>
      <c r="AD1317" s="33"/>
      <c r="AE1317" s="33"/>
      <c r="AF1317" s="33"/>
      <c r="AG1317" s="33"/>
      <c r="AH1317" s="33"/>
      <c r="AI1317" s="33"/>
      <c r="AJ1317" s="33"/>
      <c r="AK1317" s="33"/>
      <c r="AL1317" s="33"/>
      <c r="AM1317" s="33"/>
      <c r="AN1317" s="33"/>
      <c r="AO1317" s="33"/>
    </row>
    <row r="1318" spans="1:41" ht="23.25">
      <c r="A1318" s="250"/>
      <c r="B1318" s="250"/>
      <c r="C1318" s="249"/>
      <c r="D1318" s="249"/>
      <c r="E1318" s="249"/>
      <c r="F1318" s="249"/>
      <c r="G1318" s="249"/>
      <c r="H1318" s="249"/>
      <c r="I1318" s="249"/>
      <c r="J1318" s="249"/>
      <c r="K1318" s="249"/>
      <c r="L1318" s="249"/>
      <c r="M1318" s="33"/>
      <c r="N1318" s="33"/>
      <c r="O1318" s="1292">
        <f>D1318</f>
        <v>0</v>
      </c>
      <c r="P1318" s="1292"/>
      <c r="Q1318" s="78"/>
      <c r="Z1318" s="79"/>
      <c r="AA1318" s="80"/>
      <c r="AB1318" s="34"/>
      <c r="AC1318" s="34"/>
      <c r="AD1318" s="33"/>
      <c r="AE1318" s="33"/>
      <c r="AF1318" s="33"/>
      <c r="AG1318" s="33"/>
      <c r="AH1318" s="33"/>
      <c r="AI1318" s="33"/>
      <c r="AJ1318" s="33"/>
      <c r="AK1318" s="33"/>
      <c r="AL1318" s="33"/>
      <c r="AM1318" s="33"/>
      <c r="AN1318" s="33"/>
      <c r="AO1318" s="33"/>
    </row>
    <row r="1319" spans="1:41" ht="23.25">
      <c r="A1319" s="1295" t="s">
        <v>448</v>
      </c>
      <c r="B1319" s="1295"/>
      <c r="C1319" s="1295"/>
      <c r="E1319" s="1294" t="s">
        <v>432</v>
      </c>
      <c r="F1319" s="1294"/>
      <c r="G1319" s="1294"/>
      <c r="H1319" s="1294"/>
      <c r="I1319" s="1294"/>
      <c r="J1319" s="249"/>
      <c r="K1319" s="249" t="s">
        <v>449</v>
      </c>
      <c r="L1319" s="249"/>
      <c r="M1319" s="1295" t="s">
        <v>387</v>
      </c>
      <c r="N1319" s="1295"/>
      <c r="O1319" s="1293" t="str">
        <f>E1319</f>
        <v>صلاة عبد القادر</v>
      </c>
      <c r="P1319" s="1293"/>
      <c r="Q1319" s="1293"/>
      <c r="Z1319" s="79"/>
      <c r="AA1319" s="80"/>
      <c r="AB1319" s="34"/>
      <c r="AC1319" s="34"/>
      <c r="AD1319" s="33"/>
      <c r="AE1319" s="33"/>
      <c r="AF1319" s="33"/>
      <c r="AG1319" s="33"/>
      <c r="AH1319" s="33"/>
      <c r="AI1319" s="33"/>
      <c r="AJ1319" s="33"/>
      <c r="AK1319" s="33"/>
      <c r="AL1319" s="33"/>
      <c r="AM1319" s="33"/>
      <c r="AN1319" s="33"/>
      <c r="AO1319" s="33"/>
    </row>
    <row r="1320" spans="1:41" ht="24" thickBot="1">
      <c r="A1320" s="1355" t="s">
        <v>450</v>
      </c>
      <c r="B1320" s="1355"/>
      <c r="C1320" s="1355"/>
      <c r="D1320" s="1355">
        <v>0</v>
      </c>
      <c r="E1320" s="1355"/>
      <c r="F1320" s="1355"/>
      <c r="G1320" s="1355"/>
      <c r="H1320" s="87"/>
      <c r="I1320" s="1355" t="s">
        <v>452</v>
      </c>
      <c r="J1320" s="1355"/>
      <c r="K1320" s="1355"/>
      <c r="L1320" s="1355" t="s">
        <v>380</v>
      </c>
      <c r="M1320" s="1355"/>
      <c r="N1320" s="1355"/>
      <c r="Z1320" s="79"/>
      <c r="AA1320" s="80"/>
      <c r="AB1320" s="34"/>
      <c r="AC1320" s="34"/>
      <c r="AD1320" s="33"/>
      <c r="AE1320" s="33"/>
      <c r="AF1320" s="33"/>
      <c r="AG1320" s="33"/>
      <c r="AH1320" s="33"/>
      <c r="AI1320" s="33"/>
      <c r="AJ1320" s="33"/>
      <c r="AK1320" s="33"/>
      <c r="AL1320" s="33"/>
      <c r="AM1320" s="33"/>
      <c r="AN1320" s="33"/>
      <c r="AO1320" s="33"/>
    </row>
    <row r="1321" spans="1:41" ht="24.75" thickTop="1" thickBot="1">
      <c r="A1321" s="1373" t="s">
        <v>453</v>
      </c>
      <c r="B1321" s="1374"/>
      <c r="C1321" s="208" t="s">
        <v>0</v>
      </c>
      <c r="D1321" s="209" t="s">
        <v>807</v>
      </c>
      <c r="E1321" s="209" t="s">
        <v>3</v>
      </c>
      <c r="F1321" s="209" t="s">
        <v>639</v>
      </c>
      <c r="G1321" s="209" t="s">
        <v>10</v>
      </c>
      <c r="H1321" s="209" t="s">
        <v>11</v>
      </c>
      <c r="I1321" s="209" t="s">
        <v>638</v>
      </c>
      <c r="J1321" s="209" t="s">
        <v>264</v>
      </c>
      <c r="K1321" s="209"/>
      <c r="L1321" s="209"/>
      <c r="M1321" s="89" t="s">
        <v>380</v>
      </c>
      <c r="N1321" s="90" t="s">
        <v>380</v>
      </c>
      <c r="O1321" s="152"/>
      <c r="R1321" s="78"/>
      <c r="Z1321" s="79"/>
      <c r="AA1321" s="80"/>
      <c r="AB1321" s="34"/>
      <c r="AC1321" s="34"/>
      <c r="AD1321" s="33"/>
      <c r="AE1321" s="33"/>
      <c r="AF1321" s="33"/>
      <c r="AG1321" s="33"/>
      <c r="AH1321" s="33"/>
      <c r="AI1321" s="33"/>
      <c r="AJ1321" s="33"/>
      <c r="AK1321" s="33"/>
      <c r="AL1321" s="33"/>
      <c r="AM1321" s="33"/>
      <c r="AN1321" s="33"/>
      <c r="AO1321" s="33"/>
    </row>
    <row r="1322" spans="1:41" ht="24" thickBot="1">
      <c r="A1322" s="1365" t="s">
        <v>454</v>
      </c>
      <c r="B1322" s="1366"/>
      <c r="C1322" s="91">
        <v>2</v>
      </c>
      <c r="D1322" s="210">
        <v>2</v>
      </c>
      <c r="E1322" s="210">
        <v>2</v>
      </c>
      <c r="F1322" s="210">
        <v>2</v>
      </c>
      <c r="G1322" s="210">
        <v>2</v>
      </c>
      <c r="H1322" s="210">
        <v>2</v>
      </c>
      <c r="I1322" s="210">
        <v>2</v>
      </c>
      <c r="J1322" s="210">
        <v>2</v>
      </c>
      <c r="K1322" s="210"/>
      <c r="L1322" s="210" t="s">
        <v>380</v>
      </c>
      <c r="M1322" s="210" t="s">
        <v>380</v>
      </c>
      <c r="N1322" s="92" t="s">
        <v>380</v>
      </c>
      <c r="O1322" s="152"/>
      <c r="R1322" s="78"/>
      <c r="Z1322" s="79"/>
      <c r="AA1322" s="80"/>
      <c r="AB1322" s="34"/>
      <c r="AC1322" s="34"/>
      <c r="AD1322" s="33"/>
      <c r="AE1322" s="33"/>
      <c r="AF1322" s="33"/>
      <c r="AG1322" s="33"/>
      <c r="AH1322" s="33"/>
      <c r="AI1322" s="33"/>
      <c r="AJ1322" s="33"/>
      <c r="AK1322" s="33"/>
      <c r="AL1322" s="33"/>
      <c r="AM1322" s="33"/>
      <c r="AN1322" s="33"/>
      <c r="AO1322" s="33"/>
    </row>
    <row r="1323" spans="1:41" ht="24" thickBot="1">
      <c r="A1323" s="1365" t="s">
        <v>455</v>
      </c>
      <c r="B1323" s="1366"/>
      <c r="C1323" s="91"/>
      <c r="D1323" s="210"/>
      <c r="E1323" s="210"/>
      <c r="F1323" s="94"/>
      <c r="G1323" s="94"/>
      <c r="H1323" s="94"/>
      <c r="I1323" s="94"/>
      <c r="J1323" s="210"/>
      <c r="K1323" s="210"/>
      <c r="L1323" s="210" t="s">
        <v>380</v>
      </c>
      <c r="M1323" s="210" t="s">
        <v>380</v>
      </c>
      <c r="N1323" s="92" t="s">
        <v>380</v>
      </c>
      <c r="O1323" s="152"/>
      <c r="Z1323" s="79"/>
      <c r="AA1323" s="80"/>
      <c r="AB1323" s="34"/>
      <c r="AC1323" s="34"/>
      <c r="AD1323" s="33"/>
      <c r="AE1323" s="33"/>
      <c r="AF1323" s="33"/>
      <c r="AG1323" s="33"/>
      <c r="AH1323" s="33"/>
      <c r="AI1323" s="33"/>
      <c r="AJ1323" s="33"/>
      <c r="AK1323" s="33"/>
      <c r="AL1323" s="33"/>
      <c r="AM1323" s="33"/>
      <c r="AN1323" s="33"/>
      <c r="AO1323" s="33"/>
    </row>
    <row r="1324" spans="1:41" ht="16.5" thickBot="1">
      <c r="A1324" s="1367" t="s">
        <v>456</v>
      </c>
      <c r="B1324" s="1368"/>
      <c r="C1324" s="93"/>
      <c r="D1324" s="94"/>
      <c r="E1324" s="94"/>
      <c r="F1324" s="94"/>
      <c r="G1324" s="94"/>
      <c r="H1324" s="94"/>
      <c r="I1324" s="94"/>
      <c r="J1324" s="94"/>
      <c r="K1324" s="94"/>
      <c r="L1324" s="94" t="s">
        <v>380</v>
      </c>
      <c r="M1324" s="94" t="s">
        <v>380</v>
      </c>
      <c r="N1324" s="95" t="s">
        <v>380</v>
      </c>
      <c r="O1324" s="77"/>
      <c r="P1324" s="77"/>
      <c r="Q1324" s="78"/>
      <c r="Z1324" s="79"/>
      <c r="AA1324" s="80"/>
      <c r="AB1324" s="34"/>
      <c r="AC1324" s="34"/>
      <c r="AD1324" s="33"/>
      <c r="AE1324" s="33"/>
      <c r="AF1324" s="33"/>
      <c r="AG1324" s="33"/>
      <c r="AH1324" s="33"/>
      <c r="AI1324" s="33"/>
      <c r="AJ1324" s="33"/>
      <c r="AK1324" s="33"/>
      <c r="AL1324" s="33"/>
      <c r="AM1324" s="33"/>
      <c r="AN1324" s="33"/>
      <c r="AO1324" s="33"/>
    </row>
    <row r="1325" spans="1:41" ht="21" thickTop="1">
      <c r="A1325" s="96"/>
      <c r="B1325" s="96"/>
      <c r="C1325" s="96"/>
      <c r="D1325" s="96"/>
      <c r="E1325" s="1369" t="s">
        <v>457</v>
      </c>
      <c r="F1325" s="1376"/>
      <c r="G1325" s="97">
        <v>18</v>
      </c>
      <c r="H1325" s="1375" t="s">
        <v>458</v>
      </c>
      <c r="I1325" s="1370"/>
      <c r="J1325" s="1369" t="s">
        <v>459</v>
      </c>
      <c r="K1325" s="1370"/>
      <c r="L1325" s="96"/>
      <c r="M1325" s="96"/>
      <c r="N1325" s="96"/>
      <c r="O1325" s="77"/>
      <c r="P1325" s="77"/>
      <c r="Q1325" s="78" t="e">
        <f>G1325+H1325+H1327+J1325</f>
        <v>#VALUE!</v>
      </c>
      <c r="Z1325" s="79"/>
      <c r="AA1325" s="80"/>
      <c r="AB1325" s="34"/>
      <c r="AC1325" s="34"/>
      <c r="AD1325" s="33"/>
      <c r="AE1325" s="33"/>
      <c r="AF1325" s="33"/>
      <c r="AG1325" s="33"/>
      <c r="AH1325" s="33"/>
      <c r="AI1325" s="33"/>
      <c r="AJ1325" s="33"/>
      <c r="AK1325" s="33"/>
      <c r="AL1325" s="33"/>
      <c r="AM1325" s="33"/>
      <c r="AN1325" s="33"/>
      <c r="AO1325" s="33"/>
    </row>
    <row r="1326" spans="1:41" ht="23.25">
      <c r="A1326" s="96"/>
      <c r="B1326" s="96"/>
      <c r="C1326" s="96"/>
      <c r="D1326" s="96"/>
      <c r="E1326" s="1348" t="s">
        <v>460</v>
      </c>
      <c r="F1326" s="1349"/>
      <c r="G1326" s="98">
        <v>16</v>
      </c>
      <c r="H1326" s="1350">
        <v>0</v>
      </c>
      <c r="I1326" s="1351"/>
      <c r="J1326" s="1350">
        <v>0</v>
      </c>
      <c r="K1326" s="1352"/>
      <c r="L1326" s="96"/>
      <c r="M1326" s="96"/>
      <c r="N1326" s="96"/>
      <c r="O1326" s="77"/>
      <c r="P1326" s="77"/>
      <c r="Q1326" s="78"/>
      <c r="Z1326" s="79"/>
      <c r="AA1326" s="80"/>
      <c r="AB1326" s="34"/>
      <c r="AC1326" s="34"/>
      <c r="AD1326" s="33"/>
      <c r="AE1326" s="33"/>
      <c r="AF1326" s="33"/>
      <c r="AG1326" s="33"/>
      <c r="AH1326" s="33"/>
      <c r="AI1326" s="33"/>
      <c r="AJ1326" s="33"/>
      <c r="AK1326" s="33"/>
      <c r="AL1326" s="33"/>
      <c r="AM1326" s="33"/>
      <c r="AN1326" s="33"/>
      <c r="AO1326" s="33"/>
    </row>
    <row r="1327" spans="1:41" ht="20.25">
      <c r="A1327" s="96"/>
      <c r="B1327" s="96"/>
      <c r="C1327" s="96"/>
      <c r="D1327" s="96"/>
      <c r="E1327" s="1348" t="s">
        <v>461</v>
      </c>
      <c r="F1327" s="1349"/>
      <c r="G1327" s="99">
        <v>0</v>
      </c>
      <c r="H1327" s="1356" t="s">
        <v>462</v>
      </c>
      <c r="I1327" s="1349"/>
      <c r="J1327" s="1356" t="s">
        <v>463</v>
      </c>
      <c r="K1327" s="1357"/>
      <c r="L1327" s="96"/>
      <c r="M1327" s="96"/>
      <c r="N1327" s="96"/>
      <c r="O1327" s="77"/>
      <c r="P1327" s="77"/>
      <c r="Q1327" s="78"/>
      <c r="Z1327" s="79"/>
      <c r="AA1327" s="80"/>
      <c r="AB1327" s="34"/>
      <c r="AC1327" s="34"/>
      <c r="AD1327" s="33"/>
      <c r="AE1327" s="33"/>
      <c r="AF1327" s="33"/>
      <c r="AG1327" s="33"/>
      <c r="AH1327" s="33"/>
      <c r="AI1327" s="33"/>
      <c r="AJ1327" s="33"/>
      <c r="AK1327" s="33"/>
      <c r="AL1327" s="33"/>
      <c r="AM1327" s="33"/>
      <c r="AN1327" s="33"/>
      <c r="AO1327" s="33"/>
    </row>
    <row r="1328" spans="1:41" ht="24" thickBot="1">
      <c r="A1328" s="96"/>
      <c r="B1328" s="96"/>
      <c r="C1328" s="96"/>
      <c r="D1328" s="96"/>
      <c r="E1328" s="1358" t="s">
        <v>464</v>
      </c>
      <c r="F1328" s="1359"/>
      <c r="G1328" s="99">
        <v>0</v>
      </c>
      <c r="H1328" s="1360">
        <v>0</v>
      </c>
      <c r="I1328" s="1361"/>
      <c r="J1328" s="1360">
        <v>0</v>
      </c>
      <c r="K1328" s="1362"/>
      <c r="L1328" s="96"/>
      <c r="M1328" s="96"/>
      <c r="N1328" s="96"/>
      <c r="O1328" s="77"/>
      <c r="P1328" s="77"/>
      <c r="Q1328" s="78"/>
      <c r="Z1328" s="79"/>
      <c r="AA1328" s="80"/>
      <c r="AB1328" s="34"/>
      <c r="AC1328" s="34"/>
      <c r="AD1328" s="33"/>
      <c r="AE1328" s="33"/>
      <c r="AF1328" s="33"/>
      <c r="AG1328" s="33"/>
      <c r="AH1328" s="33"/>
      <c r="AI1328" s="33"/>
      <c r="AJ1328" s="33"/>
      <c r="AK1328" s="33"/>
      <c r="AL1328" s="33"/>
      <c r="AM1328" s="33"/>
      <c r="AN1328" s="33"/>
      <c r="AO1328" s="33"/>
    </row>
    <row r="1329" spans="1:41" ht="17.25" thickTop="1" thickBot="1">
      <c r="A1329" s="34"/>
      <c r="B1329" s="34"/>
      <c r="C1329" s="1344" t="s">
        <v>465</v>
      </c>
      <c r="D1329" s="1345"/>
      <c r="E1329" s="1344" t="s">
        <v>360</v>
      </c>
      <c r="F1329" s="1345"/>
      <c r="G1329" s="1346" t="s">
        <v>368</v>
      </c>
      <c r="H1329" s="1347"/>
      <c r="I1329" s="1344" t="s">
        <v>369</v>
      </c>
      <c r="J1329" s="1345"/>
      <c r="K1329" s="1344" t="s">
        <v>370</v>
      </c>
      <c r="L1329" s="1345"/>
      <c r="M1329" s="1344" t="s">
        <v>371</v>
      </c>
      <c r="N1329" s="1345"/>
      <c r="O1329" s="77"/>
      <c r="P1329" s="77"/>
      <c r="Q1329" s="78"/>
      <c r="Z1329" s="79"/>
      <c r="AA1329" s="80"/>
      <c r="AB1329" s="34"/>
      <c r="AC1329" s="34"/>
      <c r="AD1329" s="33"/>
      <c r="AE1329" s="33"/>
      <c r="AF1329" s="33"/>
      <c r="AG1329" s="33"/>
      <c r="AH1329" s="33"/>
      <c r="AI1329" s="33"/>
      <c r="AJ1329" s="33"/>
      <c r="AK1329" s="33"/>
      <c r="AL1329" s="33"/>
      <c r="AM1329" s="33"/>
      <c r="AN1329" s="33"/>
      <c r="AO1329" s="33"/>
    </row>
    <row r="1330" spans="1:41" ht="17.25" thickTop="1" thickBot="1">
      <c r="A1330" s="34"/>
      <c r="B1330" s="34"/>
      <c r="C1330" s="1344" t="s">
        <v>372</v>
      </c>
      <c r="D1330" s="1345"/>
      <c r="E1330" s="1315" t="s">
        <v>380</v>
      </c>
      <c r="F1330" s="1316"/>
      <c r="G1330" s="1315" t="s">
        <v>380</v>
      </c>
      <c r="H1330" s="1316"/>
      <c r="I1330" s="1315" t="s">
        <v>380</v>
      </c>
      <c r="J1330" s="1316"/>
      <c r="K1330" s="1315" t="s">
        <v>380</v>
      </c>
      <c r="L1330" s="1316"/>
      <c r="M1330" s="1315" t="s">
        <v>380</v>
      </c>
      <c r="N1330" s="1316"/>
      <c r="O1330" s="77"/>
      <c r="P1330" s="77"/>
      <c r="Q1330" s="78"/>
      <c r="Z1330" s="79"/>
      <c r="AA1330" s="80"/>
      <c r="AB1330" s="34"/>
      <c r="AC1330" s="34"/>
      <c r="AD1330" s="33"/>
      <c r="AE1330" s="33"/>
      <c r="AF1330" s="33"/>
      <c r="AG1330" s="33"/>
      <c r="AH1330" s="33"/>
      <c r="AI1330" s="33"/>
      <c r="AJ1330" s="33"/>
      <c r="AK1330" s="33"/>
      <c r="AL1330" s="33"/>
      <c r="AM1330" s="33"/>
      <c r="AN1330" s="33"/>
      <c r="AO1330" s="33"/>
    </row>
    <row r="1331" spans="1:41" ht="17.25" thickTop="1" thickBot="1">
      <c r="A1331" s="34"/>
      <c r="B1331" s="34"/>
      <c r="C1331" s="1344" t="s">
        <v>373</v>
      </c>
      <c r="D1331" s="1345"/>
      <c r="E1331" s="1336"/>
      <c r="F1331" s="1337"/>
      <c r="G1331" s="1336"/>
      <c r="H1331" s="1337"/>
      <c r="I1331" s="1336"/>
      <c r="J1331" s="1337"/>
      <c r="K1331" s="1363"/>
      <c r="L1331" s="1364"/>
      <c r="M1331" s="1336"/>
      <c r="N1331" s="1337"/>
      <c r="O1331" s="77"/>
      <c r="P1331" s="77"/>
      <c r="Q1331" s="78"/>
      <c r="Z1331" s="79"/>
      <c r="AA1331" s="80"/>
      <c r="AB1331" s="34"/>
      <c r="AC1331" s="34"/>
      <c r="AD1331" s="33"/>
      <c r="AE1331" s="33"/>
      <c r="AF1331" s="33"/>
      <c r="AG1331" s="33"/>
      <c r="AH1331" s="33"/>
      <c r="AI1331" s="33"/>
      <c r="AJ1331" s="33"/>
      <c r="AK1331" s="33"/>
      <c r="AL1331" s="33"/>
      <c r="AM1331" s="33"/>
      <c r="AN1331" s="33"/>
      <c r="AO1331" s="33"/>
    </row>
    <row r="1332" spans="1:41" ht="17.25" thickTop="1" thickBot="1">
      <c r="A1332" s="34"/>
      <c r="B1332" s="34"/>
      <c r="C1332" s="1344" t="s">
        <v>374</v>
      </c>
      <c r="D1332" s="1345"/>
      <c r="E1332" s="1336"/>
      <c r="F1332" s="1337"/>
      <c r="G1332" s="1336" t="s">
        <v>264</v>
      </c>
      <c r="H1332" s="1337"/>
      <c r="I1332" s="1336"/>
      <c r="J1332" s="1337"/>
      <c r="K1332" s="1336" t="s">
        <v>639</v>
      </c>
      <c r="L1332" s="1337"/>
      <c r="M1332" s="1336" t="s">
        <v>638</v>
      </c>
      <c r="N1332" s="1337"/>
      <c r="O1332" s="77"/>
      <c r="P1332" s="77"/>
      <c r="Q1332" s="78"/>
      <c r="Z1332" s="79"/>
      <c r="AA1332" s="80"/>
      <c r="AB1332" s="34"/>
      <c r="AC1332" s="34"/>
      <c r="AD1332" s="33"/>
      <c r="AE1332" s="33"/>
      <c r="AF1332" s="33"/>
      <c r="AG1332" s="33"/>
      <c r="AH1332" s="33"/>
      <c r="AI1332" s="33"/>
      <c r="AJ1332" s="33"/>
      <c r="AK1332" s="33"/>
      <c r="AL1332" s="33"/>
      <c r="AM1332" s="33"/>
      <c r="AN1332" s="33"/>
      <c r="AO1332" s="33"/>
    </row>
    <row r="1333" spans="1:41" ht="17.25" thickTop="1" thickBot="1">
      <c r="A1333" s="34"/>
      <c r="B1333" s="34"/>
      <c r="C1333" s="1344" t="s">
        <v>375</v>
      </c>
      <c r="D1333" s="1345"/>
      <c r="E1333" s="1336"/>
      <c r="F1333" s="1337"/>
      <c r="G1333" s="1336" t="s">
        <v>264</v>
      </c>
      <c r="H1333" s="1337"/>
      <c r="I1333" s="1336"/>
      <c r="J1333" s="1337"/>
      <c r="K1333" s="1336" t="s">
        <v>639</v>
      </c>
      <c r="L1333" s="1337"/>
      <c r="M1333" s="1336" t="s">
        <v>638</v>
      </c>
      <c r="N1333" s="1337"/>
      <c r="O1333" s="77"/>
      <c r="P1333" s="77"/>
      <c r="Q1333" s="78"/>
      <c r="Z1333" s="79"/>
      <c r="AA1333" s="80"/>
      <c r="AB1333" s="34"/>
      <c r="AC1333" s="34"/>
      <c r="AD1333" s="33"/>
      <c r="AE1333" s="33"/>
      <c r="AF1333" s="33"/>
      <c r="AG1333" s="33"/>
      <c r="AH1333" s="33"/>
      <c r="AI1333" s="33"/>
      <c r="AJ1333" s="33"/>
      <c r="AK1333" s="33"/>
      <c r="AL1333" s="33"/>
      <c r="AM1333" s="33"/>
      <c r="AN1333" s="33"/>
      <c r="AO1333" s="33"/>
    </row>
    <row r="1334" spans="1:41" ht="17.25" thickTop="1" thickBot="1">
      <c r="A1334" s="34"/>
      <c r="B1334" s="34"/>
      <c r="C1334" s="101"/>
      <c r="D1334" s="101"/>
      <c r="E1334" s="251"/>
      <c r="F1334" s="251"/>
      <c r="G1334" s="251"/>
      <c r="H1334" s="251"/>
      <c r="I1334" s="251"/>
      <c r="J1334" s="251"/>
      <c r="K1334" s="252"/>
      <c r="L1334" s="252"/>
      <c r="M1334" s="251"/>
      <c r="N1334" s="251"/>
      <c r="O1334" s="77"/>
      <c r="P1334" s="77"/>
      <c r="Q1334" s="78"/>
      <c r="Z1334" s="79"/>
      <c r="AA1334" s="80"/>
      <c r="AB1334" s="34"/>
      <c r="AC1334" s="34"/>
      <c r="AD1334" s="33"/>
      <c r="AE1334" s="33"/>
      <c r="AF1334" s="33"/>
      <c r="AG1334" s="33"/>
      <c r="AH1334" s="33"/>
      <c r="AI1334" s="33"/>
      <c r="AJ1334" s="33"/>
      <c r="AK1334" s="33"/>
      <c r="AL1334" s="33"/>
      <c r="AM1334" s="33"/>
      <c r="AN1334" s="33"/>
      <c r="AO1334" s="33"/>
    </row>
    <row r="1335" spans="1:41" ht="17.25" thickTop="1" thickBot="1">
      <c r="A1335" s="34"/>
      <c r="B1335" s="34"/>
      <c r="C1335" s="1344" t="s">
        <v>921</v>
      </c>
      <c r="D1335" s="1345"/>
      <c r="E1335" s="1336"/>
      <c r="F1335" s="1337"/>
      <c r="G1335" s="1336"/>
      <c r="H1335" s="1337"/>
      <c r="I1335" s="1336"/>
      <c r="J1335" s="1337"/>
      <c r="K1335" s="1336" t="s">
        <v>3</v>
      </c>
      <c r="L1335" s="1337"/>
      <c r="M1335" s="1296"/>
      <c r="N1335" s="1296"/>
      <c r="O1335" s="77"/>
      <c r="P1335" s="77"/>
      <c r="Q1335" s="78"/>
      <c r="Z1335" s="79"/>
      <c r="AA1335" s="80"/>
      <c r="AB1335" s="34"/>
      <c r="AC1335" s="34"/>
      <c r="AD1335" s="33"/>
      <c r="AE1335" s="33"/>
      <c r="AF1335" s="33"/>
      <c r="AG1335" s="33"/>
      <c r="AH1335" s="33"/>
      <c r="AI1335" s="33"/>
      <c r="AJ1335" s="33"/>
      <c r="AK1335" s="33"/>
      <c r="AL1335" s="33"/>
      <c r="AM1335" s="33"/>
      <c r="AN1335" s="33"/>
      <c r="AO1335" s="33"/>
    </row>
    <row r="1336" spans="1:41" ht="17.25" thickTop="1" thickBot="1">
      <c r="A1336" s="34"/>
      <c r="B1336" s="34"/>
      <c r="C1336" s="1344" t="s">
        <v>922</v>
      </c>
      <c r="D1336" s="1345"/>
      <c r="E1336" s="1336"/>
      <c r="F1336" s="1337"/>
      <c r="G1336" s="1336"/>
      <c r="H1336" s="1337"/>
      <c r="I1336" s="1336"/>
      <c r="J1336" s="1337"/>
      <c r="K1336" s="1336" t="s">
        <v>3</v>
      </c>
      <c r="L1336" s="1337"/>
      <c r="M1336" s="1336" t="s">
        <v>0</v>
      </c>
      <c r="N1336" s="1337"/>
      <c r="O1336" s="77"/>
      <c r="P1336" s="77"/>
      <c r="Q1336" s="78"/>
      <c r="Z1336" s="79"/>
      <c r="AA1336" s="80"/>
      <c r="AB1336" s="34"/>
      <c r="AC1336" s="34"/>
      <c r="AD1336" s="33"/>
      <c r="AE1336" s="33"/>
      <c r="AF1336" s="33"/>
      <c r="AG1336" s="33"/>
      <c r="AH1336" s="33"/>
      <c r="AI1336" s="33"/>
      <c r="AJ1336" s="33"/>
      <c r="AK1336" s="33"/>
      <c r="AL1336" s="33"/>
      <c r="AM1336" s="33"/>
      <c r="AN1336" s="33"/>
      <c r="AO1336" s="33"/>
    </row>
    <row r="1337" spans="1:41" ht="17.25" thickTop="1" thickBot="1">
      <c r="A1337" s="34"/>
      <c r="B1337" s="34"/>
      <c r="C1337" s="1344" t="s">
        <v>923</v>
      </c>
      <c r="D1337" s="1345"/>
      <c r="E1337" s="1336" t="s">
        <v>11</v>
      </c>
      <c r="F1337" s="1337"/>
      <c r="G1337" s="1336" t="s">
        <v>10</v>
      </c>
      <c r="H1337" s="1337"/>
      <c r="I1337" s="1336"/>
      <c r="J1337" s="1337"/>
      <c r="K1337" s="1336" t="s">
        <v>807</v>
      </c>
      <c r="L1337" s="1337"/>
      <c r="M1337" s="1336" t="s">
        <v>0</v>
      </c>
      <c r="N1337" s="1337"/>
      <c r="O1337" s="77"/>
      <c r="P1337" s="77"/>
      <c r="Q1337" s="78"/>
      <c r="Z1337" s="79"/>
      <c r="AA1337" s="80"/>
      <c r="AB1337" s="34"/>
      <c r="AC1337" s="34"/>
      <c r="AD1337" s="33"/>
      <c r="AE1337" s="33"/>
      <c r="AF1337" s="33"/>
      <c r="AG1337" s="33"/>
      <c r="AH1337" s="33"/>
      <c r="AI1337" s="33"/>
      <c r="AJ1337" s="33"/>
      <c r="AK1337" s="33"/>
      <c r="AL1337" s="33"/>
      <c r="AM1337" s="33"/>
      <c r="AN1337" s="33"/>
      <c r="AO1337" s="33"/>
    </row>
    <row r="1338" spans="1:41" ht="17.25" thickTop="1" thickBot="1">
      <c r="A1338" s="34"/>
      <c r="B1338" s="34"/>
      <c r="C1338" s="1344" t="s">
        <v>924</v>
      </c>
      <c r="D1338" s="1345"/>
      <c r="E1338" s="1336" t="s">
        <v>11</v>
      </c>
      <c r="F1338" s="1337"/>
      <c r="G1338" s="1336" t="s">
        <v>10</v>
      </c>
      <c r="H1338" s="1337"/>
      <c r="I1338" s="1336"/>
      <c r="J1338" s="1337"/>
      <c r="K1338" s="1336" t="s">
        <v>807</v>
      </c>
      <c r="L1338" s="1337"/>
      <c r="M1338" s="1336"/>
      <c r="N1338" s="1337"/>
      <c r="O1338" s="77"/>
      <c r="P1338" s="77"/>
      <c r="Q1338" s="78"/>
      <c r="Z1338" s="79"/>
      <c r="AA1338" s="80"/>
      <c r="AB1338" s="34"/>
      <c r="AC1338" s="34"/>
      <c r="AD1338" s="33"/>
      <c r="AE1338" s="33"/>
      <c r="AF1338" s="33"/>
      <c r="AG1338" s="33"/>
      <c r="AH1338" s="33"/>
      <c r="AI1338" s="33"/>
      <c r="AJ1338" s="33"/>
      <c r="AK1338" s="33"/>
      <c r="AL1338" s="33"/>
      <c r="AM1338" s="33"/>
      <c r="AN1338" s="33"/>
      <c r="AO1338" s="33"/>
    </row>
    <row r="1339" spans="1:41" ht="17.25" thickTop="1" thickBot="1">
      <c r="A1339" s="34"/>
      <c r="B1339" s="34"/>
      <c r="C1339" s="33"/>
      <c r="D1339" s="33"/>
      <c r="E1339" s="33"/>
      <c r="F1339" s="33"/>
      <c r="G1339" s="33"/>
      <c r="H1339" s="33"/>
      <c r="I1339" s="33"/>
      <c r="J1339" s="33"/>
      <c r="K1339" s="34"/>
      <c r="L1339" s="34"/>
      <c r="M1339" s="33"/>
      <c r="N1339" s="33"/>
      <c r="O1339" s="77"/>
      <c r="P1339" s="77"/>
      <c r="Q1339" s="78"/>
      <c r="Z1339" s="79"/>
      <c r="AA1339" s="80"/>
      <c r="AB1339" s="34"/>
      <c r="AC1339" s="34"/>
      <c r="AD1339" s="33"/>
      <c r="AE1339" s="33"/>
      <c r="AF1339" s="33"/>
      <c r="AG1339" s="33"/>
      <c r="AH1339" s="33"/>
      <c r="AI1339" s="33"/>
      <c r="AJ1339" s="33"/>
      <c r="AK1339" s="33"/>
      <c r="AL1339" s="33"/>
      <c r="AM1339" s="33"/>
      <c r="AN1339" s="33"/>
      <c r="AO1339" s="33"/>
    </row>
    <row r="1340" spans="1:41" ht="19.5" thickTop="1" thickBot="1">
      <c r="A1340" s="1321" t="s">
        <v>467</v>
      </c>
      <c r="B1340" s="1322"/>
      <c r="C1340" s="1342" t="s">
        <v>380</v>
      </c>
      <c r="D1340" s="1343"/>
      <c r="E1340" s="1342" t="s">
        <v>380</v>
      </c>
      <c r="F1340" s="1343"/>
      <c r="G1340" s="250"/>
      <c r="H1340" s="250" t="s">
        <v>468</v>
      </c>
      <c r="I1340" s="1295" t="s">
        <v>402</v>
      </c>
      <c r="J1340" s="1295"/>
      <c r="K1340" s="1295"/>
      <c r="L1340" s="102" t="s">
        <v>403</v>
      </c>
      <c r="M1340" s="1331">
        <f ca="1">TODAY()</f>
        <v>45944</v>
      </c>
      <c r="N1340" s="1331"/>
      <c r="O1340" s="77"/>
      <c r="P1340" s="77"/>
      <c r="Q1340" s="78"/>
      <c r="Z1340" s="79"/>
      <c r="AA1340" s="80"/>
      <c r="AB1340" s="34"/>
      <c r="AC1340" s="34"/>
      <c r="AD1340" s="33"/>
      <c r="AE1340" s="33"/>
      <c r="AF1340" s="33"/>
      <c r="AG1340" s="33"/>
      <c r="AH1340" s="33"/>
      <c r="AI1340" s="33"/>
      <c r="AJ1340" s="33"/>
      <c r="AK1340" s="33"/>
      <c r="AL1340" s="33"/>
      <c r="AM1340" s="33"/>
      <c r="AN1340" s="33"/>
      <c r="AO1340" s="33"/>
    </row>
    <row r="1341" spans="1:41" ht="19.5" thickTop="1" thickBot="1">
      <c r="A1341" s="1321" t="s">
        <v>469</v>
      </c>
      <c r="B1341" s="1322"/>
      <c r="C1341" s="1342" t="s">
        <v>380</v>
      </c>
      <c r="D1341" s="1343"/>
      <c r="E1341" s="1342" t="s">
        <v>380</v>
      </c>
      <c r="F1341" s="1343"/>
      <c r="G1341" s="250"/>
      <c r="H1341" s="250"/>
      <c r="I1341" s="250"/>
      <c r="J1341" s="250"/>
      <c r="K1341" s="102"/>
      <c r="L1341" s="102"/>
      <c r="M1341" s="33"/>
      <c r="N1341" s="33"/>
      <c r="O1341" s="77"/>
      <c r="P1341" s="77"/>
      <c r="Q1341" s="78"/>
      <c r="Z1341" s="79"/>
      <c r="AA1341" s="80"/>
      <c r="AB1341" s="34"/>
      <c r="AC1341" s="34"/>
      <c r="AD1341" s="33"/>
      <c r="AE1341" s="33"/>
      <c r="AF1341" s="33"/>
      <c r="AG1341" s="33"/>
      <c r="AH1341" s="33"/>
      <c r="AI1341" s="33"/>
      <c r="AJ1341" s="33"/>
      <c r="AK1341" s="33"/>
      <c r="AL1341" s="33"/>
      <c r="AM1341" s="33"/>
      <c r="AN1341" s="33"/>
      <c r="AO1341" s="33"/>
    </row>
    <row r="1342" spans="1:41" ht="19.5" thickTop="1" thickBot="1">
      <c r="A1342" s="1321" t="s">
        <v>470</v>
      </c>
      <c r="B1342" s="1322"/>
      <c r="C1342" s="1342" t="s">
        <v>380</v>
      </c>
      <c r="D1342" s="1343"/>
      <c r="E1342" s="1342" t="s">
        <v>380</v>
      </c>
      <c r="F1342" s="1343"/>
      <c r="G1342" s="250"/>
      <c r="H1342" s="250"/>
      <c r="I1342" s="250"/>
      <c r="J1342" s="250" t="s">
        <v>471</v>
      </c>
      <c r="K1342" s="102"/>
      <c r="L1342" s="102"/>
      <c r="M1342" s="33"/>
      <c r="N1342" s="33"/>
      <c r="O1342" s="77"/>
      <c r="P1342" s="77"/>
      <c r="Q1342" s="78"/>
      <c r="Z1342" s="79"/>
      <c r="AA1342" s="80"/>
      <c r="AB1342" s="34"/>
      <c r="AC1342" s="34"/>
      <c r="AD1342" s="33"/>
      <c r="AE1342" s="33"/>
      <c r="AF1342" s="33"/>
      <c r="AG1342" s="33"/>
      <c r="AH1342" s="33"/>
      <c r="AI1342" s="33"/>
      <c r="AJ1342" s="33"/>
      <c r="AK1342" s="33"/>
      <c r="AL1342" s="33"/>
      <c r="AM1342" s="33"/>
      <c r="AN1342" s="33"/>
      <c r="AO1342" s="33"/>
    </row>
    <row r="1343" spans="1:41" ht="24" thickTop="1">
      <c r="A1343" s="34"/>
      <c r="B1343" s="34"/>
      <c r="C1343" s="33"/>
      <c r="D1343" s="33"/>
      <c r="E1343" s="33"/>
      <c r="F1343" s="33"/>
      <c r="G1343" s="33"/>
      <c r="H1343" s="103" t="s">
        <v>406</v>
      </c>
      <c r="I1343" s="33"/>
      <c r="J1343" s="34"/>
      <c r="K1343" s="34"/>
      <c r="L1343" s="33"/>
      <c r="M1343" s="33"/>
      <c r="N1343" s="104"/>
      <c r="O1343" s="77"/>
      <c r="P1343" s="77"/>
      <c r="Q1343" s="78"/>
      <c r="Z1343" s="79"/>
      <c r="AA1343" s="80"/>
      <c r="AB1343" s="34"/>
      <c r="AC1343" s="34"/>
      <c r="AD1343" s="33"/>
      <c r="AE1343" s="33"/>
      <c r="AF1343" s="33"/>
      <c r="AG1343" s="33"/>
      <c r="AH1343" s="33"/>
      <c r="AI1343" s="33"/>
      <c r="AJ1343" s="33"/>
      <c r="AK1343" s="33"/>
      <c r="AL1343" s="33"/>
      <c r="AM1343" s="33"/>
      <c r="AN1343" s="33"/>
      <c r="AO1343" s="33"/>
    </row>
    <row r="1344" spans="1:41" ht="18">
      <c r="A1344" s="1295" t="s">
        <v>78</v>
      </c>
      <c r="B1344" s="1295"/>
      <c r="C1344" s="1295"/>
      <c r="D1344" s="1295"/>
      <c r="E1344" s="1295"/>
      <c r="F1344" s="1295"/>
      <c r="G1344" s="1295"/>
      <c r="H1344" s="1295"/>
      <c r="I1344" s="1295"/>
      <c r="J1344" s="1295"/>
      <c r="K1344" s="1295"/>
      <c r="L1344" s="1295"/>
      <c r="M1344" s="1295"/>
      <c r="N1344" s="1295"/>
      <c r="O1344" s="77"/>
      <c r="P1344" s="77"/>
      <c r="Q1344" s="78"/>
      <c r="Z1344" s="79"/>
      <c r="AA1344" s="80"/>
      <c r="AB1344" s="34"/>
      <c r="AC1344" s="34"/>
      <c r="AD1344" s="33"/>
      <c r="AE1344" s="33"/>
      <c r="AF1344" s="33"/>
      <c r="AG1344" s="33"/>
      <c r="AH1344" s="33"/>
      <c r="AI1344" s="33"/>
      <c r="AJ1344" s="33"/>
      <c r="AK1344" s="33"/>
      <c r="AL1344" s="33"/>
      <c r="AM1344" s="33"/>
      <c r="AN1344" s="33"/>
      <c r="AO1344" s="33"/>
    </row>
    <row r="1345" spans="1:41" ht="18">
      <c r="A1345" s="1295" t="s">
        <v>79</v>
      </c>
      <c r="B1345" s="1295"/>
      <c r="C1345" s="1295"/>
      <c r="D1345" s="1295"/>
      <c r="E1345" s="1295"/>
      <c r="F1345" s="1295"/>
      <c r="G1345" s="1295"/>
      <c r="H1345" s="1295"/>
      <c r="I1345" s="1295"/>
      <c r="J1345" s="1295"/>
      <c r="K1345" s="1295"/>
      <c r="L1345" s="1295"/>
      <c r="M1345" s="1295"/>
      <c r="N1345" s="1295"/>
      <c r="O1345" s="77"/>
      <c r="P1345" s="77"/>
      <c r="Q1345" s="78"/>
      <c r="Z1345" s="79"/>
      <c r="AA1345" s="80"/>
      <c r="AB1345" s="34"/>
      <c r="AC1345" s="34"/>
      <c r="AD1345" s="33"/>
      <c r="AE1345" s="33"/>
      <c r="AF1345" s="33"/>
      <c r="AG1345" s="33"/>
      <c r="AH1345" s="33"/>
      <c r="AI1345" s="33"/>
      <c r="AJ1345" s="33"/>
      <c r="AK1345" s="33"/>
      <c r="AL1345" s="33"/>
      <c r="AM1345" s="33"/>
      <c r="AN1345" s="33"/>
      <c r="AO1345" s="33"/>
    </row>
    <row r="1346" spans="1:41" ht="18">
      <c r="A1346" s="168" t="s">
        <v>220</v>
      </c>
      <c r="B1346" s="250"/>
      <c r="C1346" s="250"/>
      <c r="D1346" s="250"/>
      <c r="E1346" s="250"/>
      <c r="F1346" s="250"/>
      <c r="G1346" s="250"/>
      <c r="H1346" s="250"/>
      <c r="I1346" s="250"/>
      <c r="J1346" s="250"/>
      <c r="K1346" s="250"/>
      <c r="L1346" s="250"/>
      <c r="M1346" s="33"/>
      <c r="N1346" s="33"/>
      <c r="O1346" s="77"/>
      <c r="P1346" s="77"/>
      <c r="Q1346" s="78"/>
      <c r="Z1346" s="79"/>
      <c r="AA1346" s="80"/>
      <c r="AB1346" s="34"/>
      <c r="AC1346" s="34"/>
      <c r="AD1346" s="33"/>
      <c r="AE1346" s="33"/>
      <c r="AF1346" s="33"/>
      <c r="AG1346" s="33"/>
      <c r="AH1346" s="33"/>
      <c r="AI1346" s="33"/>
      <c r="AJ1346" s="33"/>
      <c r="AK1346" s="33"/>
      <c r="AL1346" s="33"/>
      <c r="AM1346" s="33"/>
      <c r="AN1346" s="33"/>
      <c r="AO1346" s="33"/>
    </row>
    <row r="1347" spans="1:41" ht="18">
      <c r="A1347" s="168" t="s">
        <v>444</v>
      </c>
      <c r="B1347" s="250"/>
      <c r="C1347" s="250"/>
      <c r="D1347" s="250"/>
      <c r="E1347" s="250"/>
      <c r="F1347" s="250"/>
      <c r="G1347" s="250"/>
      <c r="H1347" s="250"/>
      <c r="I1347" s="250"/>
      <c r="J1347" s="250"/>
      <c r="K1347" s="250"/>
      <c r="L1347" s="250"/>
      <c r="M1347" s="33"/>
      <c r="N1347" s="33"/>
      <c r="O1347" s="77"/>
      <c r="P1347" s="77"/>
      <c r="Q1347" s="78"/>
      <c r="Z1347" s="79"/>
      <c r="AA1347" s="80"/>
      <c r="AB1347" s="34"/>
      <c r="AC1347" s="34"/>
      <c r="AD1347" s="33"/>
      <c r="AE1347" s="33"/>
      <c r="AF1347" s="33"/>
      <c r="AG1347" s="33"/>
      <c r="AH1347" s="33"/>
      <c r="AI1347" s="33"/>
      <c r="AJ1347" s="33"/>
      <c r="AK1347" s="33"/>
      <c r="AL1347" s="33"/>
      <c r="AM1347" s="33"/>
      <c r="AN1347" s="33"/>
      <c r="AO1347" s="33"/>
    </row>
    <row r="1348" spans="1:41" ht="18.75" thickBot="1">
      <c r="A1348" s="250"/>
      <c r="B1348" s="250"/>
      <c r="C1348" s="250"/>
      <c r="D1348" s="250"/>
      <c r="E1348" s="250"/>
      <c r="F1348" s="250"/>
      <c r="G1348" s="250"/>
      <c r="H1348" s="250"/>
      <c r="I1348" s="250"/>
      <c r="J1348" s="250"/>
      <c r="K1348" s="250"/>
      <c r="L1348" s="250"/>
      <c r="M1348" s="33"/>
      <c r="N1348" s="33"/>
      <c r="O1348" s="77"/>
      <c r="P1348" s="77"/>
      <c r="Q1348" s="78"/>
      <c r="Z1348" s="79"/>
      <c r="AA1348" s="80"/>
      <c r="AB1348" s="34"/>
      <c r="AC1348" s="34"/>
      <c r="AD1348" s="33"/>
      <c r="AE1348" s="33"/>
      <c r="AF1348" s="33"/>
      <c r="AG1348" s="33"/>
      <c r="AH1348" s="33"/>
      <c r="AI1348" s="33"/>
      <c r="AJ1348" s="33"/>
      <c r="AK1348" s="33"/>
      <c r="AL1348" s="33"/>
      <c r="AM1348" s="33"/>
      <c r="AN1348" s="33"/>
      <c r="AO1348" s="33"/>
    </row>
    <row r="1349" spans="1:41" ht="24" thickBot="1">
      <c r="A1349" s="250"/>
      <c r="B1349" s="250"/>
      <c r="C1349" s="1333" t="s">
        <v>446</v>
      </c>
      <c r="D1349" s="1334"/>
      <c r="E1349" s="1334"/>
      <c r="F1349" s="1334"/>
      <c r="G1349" s="1334"/>
      <c r="H1349" s="1334"/>
      <c r="I1349" s="1334"/>
      <c r="J1349" s="1334"/>
      <c r="K1349" s="1334"/>
      <c r="L1349" s="1335"/>
      <c r="M1349" s="33"/>
      <c r="N1349" s="33"/>
      <c r="O1349" s="77"/>
      <c r="P1349" s="77"/>
      <c r="Q1349" s="78"/>
      <c r="Z1349" s="79"/>
      <c r="AA1349" s="80"/>
      <c r="AB1349" s="34"/>
      <c r="AC1349" s="34"/>
      <c r="AD1349" s="33"/>
      <c r="AE1349" s="33"/>
      <c r="AF1349" s="33"/>
      <c r="AG1349" s="33"/>
      <c r="AH1349" s="33"/>
      <c r="AI1349" s="33"/>
      <c r="AJ1349" s="33"/>
      <c r="AK1349" s="33"/>
      <c r="AL1349" s="33"/>
      <c r="AM1349" s="33"/>
      <c r="AN1349" s="33"/>
      <c r="AO1349" s="33"/>
    </row>
    <row r="1350" spans="1:41" ht="23.25">
      <c r="A1350" s="250"/>
      <c r="B1350" s="250"/>
      <c r="C1350" s="249"/>
      <c r="D1350" s="249"/>
      <c r="E1350" s="249"/>
      <c r="F1350" s="249"/>
      <c r="G1350" s="249"/>
      <c r="H1350" s="249"/>
      <c r="I1350" s="249"/>
      <c r="J1350" s="249"/>
      <c r="K1350" s="249"/>
      <c r="L1350" s="249"/>
      <c r="M1350" s="33"/>
      <c r="N1350" s="33"/>
      <c r="O1350" s="1292">
        <f>D1350</f>
        <v>0</v>
      </c>
      <c r="P1350" s="1292"/>
      <c r="Q1350" s="78"/>
      <c r="Z1350" s="79"/>
      <c r="AA1350" s="80"/>
      <c r="AB1350" s="34"/>
      <c r="AC1350" s="34"/>
      <c r="AD1350" s="33"/>
      <c r="AE1350" s="33"/>
      <c r="AF1350" s="33"/>
      <c r="AG1350" s="33"/>
      <c r="AH1350" s="33"/>
      <c r="AI1350" s="33"/>
      <c r="AJ1350" s="33"/>
      <c r="AK1350" s="33"/>
      <c r="AL1350" s="33"/>
      <c r="AM1350" s="33"/>
      <c r="AN1350" s="33"/>
      <c r="AO1350" s="33"/>
    </row>
    <row r="1351" spans="1:41" ht="23.25">
      <c r="A1351" s="1295" t="s">
        <v>448</v>
      </c>
      <c r="B1351" s="1295"/>
      <c r="C1351" s="1295"/>
      <c r="E1351" s="1294" t="s">
        <v>1245</v>
      </c>
      <c r="F1351" s="1294"/>
      <c r="G1351" s="1294"/>
      <c r="H1351" s="1294"/>
      <c r="I1351" s="1294"/>
      <c r="J1351" s="249"/>
      <c r="K1351" s="249" t="s">
        <v>449</v>
      </c>
      <c r="L1351" s="249"/>
      <c r="M1351" s="1295" t="s">
        <v>387</v>
      </c>
      <c r="N1351" s="1295"/>
      <c r="O1351" s="1293" t="str">
        <f>E1351</f>
        <v>سعدوني احمد</v>
      </c>
      <c r="P1351" s="1293"/>
      <c r="Q1351" s="1293"/>
      <c r="Z1351" s="79"/>
      <c r="AA1351" s="80"/>
      <c r="AB1351" s="34"/>
      <c r="AC1351" s="34"/>
      <c r="AD1351" s="33"/>
      <c r="AE1351" s="33"/>
      <c r="AF1351" s="33"/>
      <c r="AG1351" s="33"/>
      <c r="AH1351" s="33"/>
      <c r="AI1351" s="33"/>
      <c r="AJ1351" s="33"/>
      <c r="AK1351" s="33"/>
      <c r="AL1351" s="33"/>
      <c r="AM1351" s="33"/>
      <c r="AN1351" s="33"/>
      <c r="AO1351" s="33"/>
    </row>
    <row r="1352" spans="1:41" ht="24" thickBot="1">
      <c r="A1352" s="1340" t="s">
        <v>450</v>
      </c>
      <c r="B1352" s="1340"/>
      <c r="C1352" s="1340"/>
      <c r="D1352" s="1340" t="s">
        <v>380</v>
      </c>
      <c r="E1352" s="1340"/>
      <c r="F1352" s="1340"/>
      <c r="G1352" s="1340"/>
      <c r="H1352" s="87"/>
      <c r="I1352" s="1340" t="s">
        <v>452</v>
      </c>
      <c r="J1352" s="1340"/>
      <c r="K1352" s="1340"/>
      <c r="L1352" s="1341" t="s">
        <v>380</v>
      </c>
      <c r="M1352" s="1341"/>
      <c r="N1352" s="1341"/>
      <c r="Z1352" s="79"/>
      <c r="AA1352" s="80"/>
      <c r="AB1352" s="34"/>
      <c r="AC1352" s="34"/>
      <c r="AD1352" s="33"/>
      <c r="AE1352" s="33"/>
      <c r="AF1352" s="33"/>
      <c r="AG1352" s="33"/>
      <c r="AH1352" s="33"/>
      <c r="AI1352" s="33"/>
      <c r="AJ1352" s="33"/>
      <c r="AK1352" s="33"/>
      <c r="AL1352" s="33"/>
      <c r="AM1352" s="33"/>
      <c r="AN1352" s="33"/>
      <c r="AO1352" s="33"/>
    </row>
    <row r="1353" spans="1:41" ht="24.75" thickTop="1" thickBot="1">
      <c r="A1353" s="1318" t="s">
        <v>453</v>
      </c>
      <c r="B1353" s="1319"/>
      <c r="C1353" s="88" t="s">
        <v>10</v>
      </c>
      <c r="D1353" s="88" t="s">
        <v>11</v>
      </c>
      <c r="E1353" s="88" t="s">
        <v>8</v>
      </c>
      <c r="F1353" s="89" t="s">
        <v>380</v>
      </c>
      <c r="G1353" s="89" t="s">
        <v>380</v>
      </c>
      <c r="H1353" s="89" t="s">
        <v>380</v>
      </c>
      <c r="I1353" s="89" t="s">
        <v>380</v>
      </c>
      <c r="J1353" s="89" t="s">
        <v>380</v>
      </c>
      <c r="K1353" s="89" t="s">
        <v>380</v>
      </c>
      <c r="L1353" s="89" t="s">
        <v>380</v>
      </c>
      <c r="M1353" s="89" t="s">
        <v>380</v>
      </c>
      <c r="N1353" s="90" t="s">
        <v>380</v>
      </c>
      <c r="O1353" s="152"/>
      <c r="R1353" s="78"/>
      <c r="Z1353" s="79"/>
      <c r="AA1353" s="80"/>
      <c r="AB1353" s="34"/>
      <c r="AC1353" s="34"/>
      <c r="AD1353" s="33"/>
      <c r="AE1353" s="33"/>
      <c r="AF1353" s="33"/>
      <c r="AG1353" s="33"/>
      <c r="AH1353" s="33"/>
      <c r="AI1353" s="33"/>
      <c r="AJ1353" s="33"/>
      <c r="AK1353" s="33"/>
      <c r="AL1353" s="33"/>
      <c r="AM1353" s="33"/>
      <c r="AN1353" s="33"/>
      <c r="AO1353" s="33"/>
    </row>
    <row r="1354" spans="1:41" ht="24" thickBot="1">
      <c r="A1354" s="1329" t="s">
        <v>454</v>
      </c>
      <c r="B1354" s="1330"/>
      <c r="C1354" s="91">
        <v>3</v>
      </c>
      <c r="D1354" s="210">
        <v>3</v>
      </c>
      <c r="E1354" s="210">
        <v>3</v>
      </c>
      <c r="F1354" s="210" t="s">
        <v>380</v>
      </c>
      <c r="G1354" s="210" t="s">
        <v>380</v>
      </c>
      <c r="H1354" s="210" t="s">
        <v>380</v>
      </c>
      <c r="I1354" s="210" t="s">
        <v>380</v>
      </c>
      <c r="J1354" s="210" t="s">
        <v>380</v>
      </c>
      <c r="K1354" s="210" t="s">
        <v>380</v>
      </c>
      <c r="L1354" s="210" t="s">
        <v>380</v>
      </c>
      <c r="M1354" s="210" t="s">
        <v>380</v>
      </c>
      <c r="N1354" s="92" t="s">
        <v>380</v>
      </c>
      <c r="O1354" s="152"/>
      <c r="R1354" s="78"/>
      <c r="Z1354" s="79"/>
      <c r="AA1354" s="80"/>
      <c r="AB1354" s="34"/>
      <c r="AC1354" s="34"/>
      <c r="AD1354" s="33"/>
      <c r="AE1354" s="33"/>
      <c r="AF1354" s="33"/>
      <c r="AG1354" s="33"/>
      <c r="AH1354" s="33"/>
      <c r="AI1354" s="33"/>
      <c r="AJ1354" s="33"/>
      <c r="AK1354" s="33"/>
      <c r="AL1354" s="33"/>
      <c r="AM1354" s="33"/>
      <c r="AN1354" s="33"/>
      <c r="AO1354" s="33"/>
    </row>
    <row r="1355" spans="1:41" ht="24" thickBot="1">
      <c r="A1355" s="1329" t="s">
        <v>455</v>
      </c>
      <c r="B1355" s="1330"/>
      <c r="C1355" s="91" t="s">
        <v>380</v>
      </c>
      <c r="D1355" s="210" t="s">
        <v>380</v>
      </c>
      <c r="E1355" s="210" t="s">
        <v>380</v>
      </c>
      <c r="F1355" s="210" t="s">
        <v>380</v>
      </c>
      <c r="G1355" s="210" t="s">
        <v>380</v>
      </c>
      <c r="H1355" s="210" t="s">
        <v>380</v>
      </c>
      <c r="I1355" s="210" t="s">
        <v>380</v>
      </c>
      <c r="J1355" s="210" t="s">
        <v>380</v>
      </c>
      <c r="K1355" s="210" t="s">
        <v>380</v>
      </c>
      <c r="L1355" s="210" t="s">
        <v>380</v>
      </c>
      <c r="M1355" s="210" t="s">
        <v>380</v>
      </c>
      <c r="N1355" s="92" t="s">
        <v>380</v>
      </c>
      <c r="O1355" s="152"/>
      <c r="Z1355" s="79"/>
      <c r="AA1355" s="80"/>
      <c r="AB1355" s="34"/>
      <c r="AC1355" s="34"/>
      <c r="AD1355" s="33"/>
      <c r="AE1355" s="33"/>
      <c r="AF1355" s="33"/>
      <c r="AG1355" s="33"/>
      <c r="AH1355" s="33"/>
      <c r="AI1355" s="33"/>
      <c r="AJ1355" s="33"/>
      <c r="AK1355" s="33"/>
      <c r="AL1355" s="33"/>
      <c r="AM1355" s="33"/>
      <c r="AN1355" s="33"/>
      <c r="AO1355" s="33"/>
    </row>
    <row r="1356" spans="1:41" ht="16.5" thickBot="1">
      <c r="A1356" s="1327" t="s">
        <v>456</v>
      </c>
      <c r="B1356" s="1328"/>
      <c r="C1356" s="93" t="s">
        <v>380</v>
      </c>
      <c r="D1356" s="94" t="s">
        <v>380</v>
      </c>
      <c r="E1356" s="94" t="s">
        <v>380</v>
      </c>
      <c r="F1356" s="94" t="s">
        <v>380</v>
      </c>
      <c r="G1356" s="94" t="s">
        <v>380</v>
      </c>
      <c r="H1356" s="94" t="s">
        <v>380</v>
      </c>
      <c r="I1356" s="94" t="s">
        <v>380</v>
      </c>
      <c r="J1356" s="94" t="s">
        <v>380</v>
      </c>
      <c r="K1356" s="94" t="s">
        <v>380</v>
      </c>
      <c r="L1356" s="94" t="s">
        <v>380</v>
      </c>
      <c r="M1356" s="94" t="s">
        <v>380</v>
      </c>
      <c r="N1356" s="95" t="s">
        <v>380</v>
      </c>
      <c r="O1356" s="77"/>
      <c r="P1356" s="77"/>
      <c r="Q1356" s="78"/>
      <c r="Z1356" s="79"/>
      <c r="AA1356" s="80"/>
      <c r="AB1356" s="34"/>
      <c r="AC1356" s="34"/>
      <c r="AD1356" s="33"/>
      <c r="AE1356" s="33"/>
      <c r="AF1356" s="33"/>
      <c r="AG1356" s="33"/>
      <c r="AH1356" s="33"/>
      <c r="AI1356" s="33"/>
      <c r="AJ1356" s="33"/>
      <c r="AK1356" s="33"/>
      <c r="AL1356" s="33"/>
      <c r="AM1356" s="33"/>
      <c r="AN1356" s="33"/>
      <c r="AO1356" s="33"/>
    </row>
    <row r="1357" spans="1:41" ht="21" thickTop="1">
      <c r="A1357" s="96"/>
      <c r="B1357" s="96"/>
      <c r="C1357" s="96"/>
      <c r="D1357" s="96"/>
      <c r="E1357" s="1326" t="s">
        <v>457</v>
      </c>
      <c r="F1357" s="1310"/>
      <c r="G1357" s="97">
        <v>18</v>
      </c>
      <c r="H1357" s="1310" t="s">
        <v>458</v>
      </c>
      <c r="I1357" s="1311"/>
      <c r="J1357" s="1310" t="s">
        <v>459</v>
      </c>
      <c r="K1357" s="1311"/>
      <c r="L1357" s="96"/>
      <c r="M1357" s="96"/>
      <c r="N1357" s="96"/>
      <c r="O1357" s="77"/>
      <c r="P1357" s="77"/>
      <c r="Q1357" s="78" t="e">
        <f>G1357+H1357+H1359+J1357</f>
        <v>#VALUE!</v>
      </c>
      <c r="Z1357" s="79"/>
      <c r="AA1357" s="80"/>
      <c r="AB1357" s="34"/>
      <c r="AC1357" s="34"/>
      <c r="AD1357" s="33"/>
      <c r="AE1357" s="33"/>
      <c r="AF1357" s="33"/>
      <c r="AG1357" s="33"/>
      <c r="AH1357" s="33"/>
      <c r="AI1357" s="33"/>
      <c r="AJ1357" s="33"/>
      <c r="AK1357" s="33"/>
      <c r="AL1357" s="33"/>
      <c r="AM1357" s="33"/>
      <c r="AN1357" s="33"/>
      <c r="AO1357" s="33"/>
    </row>
    <row r="1358" spans="1:41" ht="23.25">
      <c r="A1358" s="96"/>
      <c r="B1358" s="96"/>
      <c r="C1358" s="96"/>
      <c r="D1358" s="96"/>
      <c r="E1358" s="1307" t="s">
        <v>460</v>
      </c>
      <c r="F1358" s="1308"/>
      <c r="G1358" s="98">
        <v>9</v>
      </c>
      <c r="H1358" s="1312">
        <v>0</v>
      </c>
      <c r="I1358" s="1312"/>
      <c r="J1358" s="1312">
        <v>0</v>
      </c>
      <c r="K1358" s="1313"/>
      <c r="L1358" s="96"/>
      <c r="M1358" s="96"/>
      <c r="N1358" s="96"/>
      <c r="O1358" s="77"/>
      <c r="P1358" s="77"/>
      <c r="Q1358" s="78"/>
      <c r="Z1358" s="79"/>
      <c r="AA1358" s="80"/>
      <c r="AB1358" s="34"/>
      <c r="AC1358" s="34"/>
      <c r="AD1358" s="33"/>
      <c r="AE1358" s="33"/>
      <c r="AF1358" s="33"/>
      <c r="AG1358" s="33"/>
      <c r="AH1358" s="33"/>
      <c r="AI1358" s="33"/>
      <c r="AJ1358" s="33"/>
      <c r="AK1358" s="33"/>
      <c r="AL1358" s="33"/>
      <c r="AM1358" s="33"/>
      <c r="AN1358" s="33"/>
      <c r="AO1358" s="33"/>
    </row>
    <row r="1359" spans="1:41" ht="20.25">
      <c r="A1359" s="96"/>
      <c r="B1359" s="96"/>
      <c r="C1359" s="96"/>
      <c r="D1359" s="96"/>
      <c r="E1359" s="1307" t="s">
        <v>461</v>
      </c>
      <c r="F1359" s="1308"/>
      <c r="G1359" s="99">
        <v>18</v>
      </c>
      <c r="H1359" s="1308" t="s">
        <v>462</v>
      </c>
      <c r="I1359" s="1308"/>
      <c r="J1359" s="1308" t="s">
        <v>463</v>
      </c>
      <c r="K1359" s="1309"/>
      <c r="L1359" s="96"/>
      <c r="M1359" s="96"/>
      <c r="N1359" s="96"/>
      <c r="O1359" s="77"/>
      <c r="P1359" s="77"/>
      <c r="Q1359" s="78"/>
      <c r="Z1359" s="79"/>
      <c r="AA1359" s="80"/>
      <c r="AB1359" s="34"/>
      <c r="AC1359" s="34"/>
      <c r="AD1359" s="33"/>
      <c r="AE1359" s="33"/>
      <c r="AF1359" s="33"/>
      <c r="AG1359" s="33"/>
      <c r="AH1359" s="33"/>
      <c r="AI1359" s="33"/>
      <c r="AJ1359" s="33"/>
      <c r="AK1359" s="33"/>
      <c r="AL1359" s="33"/>
      <c r="AM1359" s="33"/>
      <c r="AN1359" s="33"/>
      <c r="AO1359" s="33"/>
    </row>
    <row r="1360" spans="1:41" ht="24" thickBot="1">
      <c r="A1360" s="96"/>
      <c r="B1360" s="96"/>
      <c r="C1360" s="96"/>
      <c r="D1360" s="96"/>
      <c r="E1360" s="1303" t="s">
        <v>464</v>
      </c>
      <c r="F1360" s="1304"/>
      <c r="G1360" s="99">
        <v>0</v>
      </c>
      <c r="H1360" s="1305">
        <v>0</v>
      </c>
      <c r="I1360" s="1305"/>
      <c r="J1360" s="1305">
        <v>0</v>
      </c>
      <c r="K1360" s="1306"/>
      <c r="L1360" s="96"/>
      <c r="M1360" s="96"/>
      <c r="N1360" s="96"/>
      <c r="O1360" s="77"/>
      <c r="P1360" s="77"/>
      <c r="Q1360" s="78"/>
      <c r="Z1360" s="79"/>
      <c r="AA1360" s="80"/>
      <c r="AB1360" s="34"/>
      <c r="AC1360" s="34"/>
      <c r="AD1360" s="33"/>
      <c r="AE1360" s="33"/>
      <c r="AF1360" s="33"/>
      <c r="AG1360" s="33"/>
      <c r="AH1360" s="33"/>
      <c r="AI1360" s="33"/>
      <c r="AJ1360" s="33"/>
      <c r="AK1360" s="33"/>
      <c r="AL1360" s="33"/>
      <c r="AM1360" s="33"/>
      <c r="AN1360" s="33"/>
      <c r="AO1360" s="33"/>
    </row>
    <row r="1361" spans="1:41" ht="17.25" thickTop="1" thickBot="1">
      <c r="A1361" s="34"/>
      <c r="B1361" s="34"/>
      <c r="C1361" s="1299" t="s">
        <v>465</v>
      </c>
      <c r="D1361" s="1299"/>
      <c r="E1361" s="1299" t="s">
        <v>360</v>
      </c>
      <c r="F1361" s="1299"/>
      <c r="G1361" s="1302" t="s">
        <v>368</v>
      </c>
      <c r="H1361" s="1302"/>
      <c r="I1361" s="1302" t="s">
        <v>369</v>
      </c>
      <c r="J1361" s="1302"/>
      <c r="K1361" s="1302" t="s">
        <v>370</v>
      </c>
      <c r="L1361" s="1299"/>
      <c r="M1361" s="1299" t="s">
        <v>371</v>
      </c>
      <c r="N1361" s="1299"/>
      <c r="O1361" s="77"/>
      <c r="P1361" s="77"/>
      <c r="Q1361" s="78"/>
      <c r="Z1361" s="79"/>
      <c r="AA1361" s="80"/>
      <c r="AB1361" s="34"/>
      <c r="AC1361" s="34"/>
      <c r="AD1361" s="33"/>
      <c r="AE1361" s="33"/>
      <c r="AF1361" s="33"/>
      <c r="AG1361" s="33"/>
      <c r="AH1361" s="33"/>
      <c r="AI1361" s="33"/>
      <c r="AJ1361" s="33"/>
      <c r="AK1361" s="33"/>
      <c r="AL1361" s="33"/>
      <c r="AM1361" s="33"/>
      <c r="AN1361" s="33"/>
      <c r="AO1361" s="33"/>
    </row>
    <row r="1362" spans="1:41" ht="17.25" thickTop="1" thickBot="1">
      <c r="A1362" s="34"/>
      <c r="B1362" s="34"/>
      <c r="C1362" s="1299" t="s">
        <v>372</v>
      </c>
      <c r="D1362" s="1299"/>
      <c r="E1362" s="1297"/>
      <c r="F1362" s="1297"/>
      <c r="G1362" s="1297"/>
      <c r="H1362" s="1297"/>
      <c r="I1362" s="1297"/>
      <c r="J1362" s="1297"/>
      <c r="K1362" s="1297"/>
      <c r="L1362" s="1297"/>
      <c r="M1362" s="1297"/>
      <c r="N1362" s="1297"/>
      <c r="O1362" s="77"/>
      <c r="P1362" s="77"/>
      <c r="Q1362" s="78"/>
      <c r="Z1362" s="79"/>
      <c r="AA1362" s="80"/>
      <c r="AB1362" s="34"/>
      <c r="AC1362" s="34"/>
      <c r="AD1362" s="33"/>
      <c r="AE1362" s="33"/>
      <c r="AF1362" s="33"/>
      <c r="AG1362" s="33"/>
      <c r="AH1362" s="33"/>
      <c r="AI1362" s="33"/>
      <c r="AJ1362" s="33"/>
      <c r="AK1362" s="33"/>
      <c r="AL1362" s="33"/>
      <c r="AM1362" s="33"/>
      <c r="AN1362" s="33"/>
      <c r="AO1362" s="33"/>
    </row>
    <row r="1363" spans="1:41" ht="17.25" thickTop="1" thickBot="1">
      <c r="A1363" s="34"/>
      <c r="B1363" s="34"/>
      <c r="C1363" s="1299" t="s">
        <v>373</v>
      </c>
      <c r="D1363" s="1299"/>
      <c r="E1363" s="1297"/>
      <c r="F1363" s="1297"/>
      <c r="G1363" s="1297"/>
      <c r="H1363" s="1297"/>
      <c r="I1363" s="1297"/>
      <c r="J1363" s="1297"/>
      <c r="K1363" s="1297"/>
      <c r="L1363" s="1297"/>
      <c r="M1363" s="1297"/>
      <c r="N1363" s="1297"/>
      <c r="O1363" s="77"/>
      <c r="P1363" s="77"/>
      <c r="Q1363" s="78"/>
      <c r="Z1363" s="79"/>
      <c r="AA1363" s="80"/>
      <c r="AB1363" s="34"/>
      <c r="AC1363" s="34"/>
      <c r="AD1363" s="33"/>
      <c r="AE1363" s="33"/>
      <c r="AF1363" s="33"/>
      <c r="AG1363" s="33"/>
      <c r="AH1363" s="33"/>
      <c r="AI1363" s="33"/>
      <c r="AJ1363" s="33"/>
      <c r="AK1363" s="33"/>
      <c r="AL1363" s="33"/>
      <c r="AM1363" s="33"/>
      <c r="AN1363" s="33"/>
      <c r="AO1363" s="33"/>
    </row>
    <row r="1364" spans="1:41" ht="17.25" thickTop="1" thickBot="1">
      <c r="A1364" s="34"/>
      <c r="B1364" s="34"/>
      <c r="C1364" s="1299" t="s">
        <v>374</v>
      </c>
      <c r="D1364" s="1299"/>
      <c r="E1364" s="1297"/>
      <c r="F1364" s="1297"/>
      <c r="G1364" s="1297"/>
      <c r="H1364" s="1297"/>
      <c r="I1364" s="1297"/>
      <c r="J1364" s="1297"/>
      <c r="K1364" s="1297"/>
      <c r="L1364" s="1297"/>
      <c r="M1364" s="1297"/>
      <c r="N1364" s="1297"/>
      <c r="O1364" s="77"/>
      <c r="P1364" s="77"/>
      <c r="Q1364" s="78"/>
      <c r="Z1364" s="79"/>
      <c r="AA1364" s="80"/>
      <c r="AB1364" s="34"/>
      <c r="AC1364" s="34"/>
      <c r="AD1364" s="33"/>
      <c r="AE1364" s="33"/>
      <c r="AF1364" s="33"/>
      <c r="AG1364" s="33"/>
      <c r="AH1364" s="33"/>
      <c r="AI1364" s="33"/>
      <c r="AJ1364" s="33"/>
      <c r="AK1364" s="33"/>
      <c r="AL1364" s="33"/>
      <c r="AM1364" s="33"/>
      <c r="AN1364" s="33"/>
      <c r="AO1364" s="33"/>
    </row>
    <row r="1365" spans="1:41" ht="17.25" thickTop="1" thickBot="1">
      <c r="A1365" s="34"/>
      <c r="B1365" s="34"/>
      <c r="C1365" s="1299" t="s">
        <v>375</v>
      </c>
      <c r="D1365" s="1299"/>
      <c r="E1365" s="1297"/>
      <c r="F1365" s="1297"/>
      <c r="G1365" s="1297"/>
      <c r="H1365" s="1297"/>
      <c r="I1365" s="1297"/>
      <c r="J1365" s="1297"/>
      <c r="K1365" s="1297"/>
      <c r="L1365" s="1297"/>
      <c r="M1365" s="1297"/>
      <c r="N1365" s="1297"/>
      <c r="O1365" s="77"/>
      <c r="P1365" s="77"/>
      <c r="Q1365" s="78"/>
      <c r="Z1365" s="79"/>
      <c r="AA1365" s="80"/>
      <c r="AB1365" s="34"/>
      <c r="AC1365" s="34"/>
      <c r="AD1365" s="33"/>
      <c r="AE1365" s="33"/>
      <c r="AF1365" s="33"/>
      <c r="AG1365" s="33"/>
      <c r="AH1365" s="33"/>
      <c r="AI1365" s="33"/>
      <c r="AJ1365" s="33"/>
      <c r="AK1365" s="33"/>
      <c r="AL1365" s="33"/>
      <c r="AM1365" s="33"/>
      <c r="AN1365" s="33"/>
      <c r="AO1365" s="33"/>
    </row>
    <row r="1366" spans="1:41" ht="17.25" thickTop="1" thickBot="1">
      <c r="A1366" s="34"/>
      <c r="B1366" s="34"/>
      <c r="C1366" s="101"/>
      <c r="D1366" s="101"/>
      <c r="E1366" s="33"/>
      <c r="F1366" s="33"/>
      <c r="G1366" s="33"/>
      <c r="H1366" s="33"/>
      <c r="I1366" s="33"/>
      <c r="J1366" s="33"/>
      <c r="K1366" s="34"/>
      <c r="L1366" s="34"/>
      <c r="M1366" s="33"/>
      <c r="N1366" s="33"/>
      <c r="O1366" s="77"/>
      <c r="P1366" s="77"/>
      <c r="Q1366" s="78"/>
      <c r="Z1366" s="79"/>
      <c r="AA1366" s="80"/>
      <c r="AB1366" s="34"/>
      <c r="AC1366" s="34"/>
      <c r="AD1366" s="33"/>
      <c r="AE1366" s="33"/>
      <c r="AF1366" s="33"/>
      <c r="AG1366" s="33"/>
      <c r="AH1366" s="33"/>
      <c r="AI1366" s="33"/>
      <c r="AJ1366" s="33"/>
      <c r="AK1366" s="33"/>
      <c r="AL1366" s="33"/>
      <c r="AM1366" s="33"/>
      <c r="AN1366" s="33"/>
      <c r="AO1366" s="33"/>
    </row>
    <row r="1367" spans="1:41" ht="17.25" thickTop="1" thickBot="1">
      <c r="A1367" s="34"/>
      <c r="B1367" s="34"/>
      <c r="C1367" s="1299" t="s">
        <v>376</v>
      </c>
      <c r="D1367" s="1299"/>
      <c r="E1367" s="1296"/>
      <c r="F1367" s="1296"/>
      <c r="G1367" s="1296"/>
      <c r="H1367" s="1296"/>
      <c r="I1367" s="1297"/>
      <c r="J1367" s="1297"/>
      <c r="K1367" s="1297"/>
      <c r="L1367" s="1297"/>
      <c r="M1367" s="1297"/>
      <c r="N1367" s="1297"/>
      <c r="O1367" s="77"/>
      <c r="P1367" s="77"/>
      <c r="Q1367" s="78"/>
      <c r="Z1367" s="79"/>
      <c r="AA1367" s="80"/>
      <c r="AB1367" s="34"/>
      <c r="AC1367" s="34"/>
      <c r="AD1367" s="33"/>
      <c r="AE1367" s="33"/>
      <c r="AF1367" s="33"/>
      <c r="AG1367" s="33"/>
      <c r="AH1367" s="33"/>
      <c r="AI1367" s="33"/>
      <c r="AJ1367" s="33"/>
      <c r="AK1367" s="33"/>
      <c r="AL1367" s="33"/>
      <c r="AM1367" s="33"/>
      <c r="AN1367" s="33"/>
      <c r="AO1367" s="33"/>
    </row>
    <row r="1368" spans="1:41" ht="17.25" thickTop="1" thickBot="1">
      <c r="A1368" s="34"/>
      <c r="B1368" s="34"/>
      <c r="C1368" s="1299" t="s">
        <v>377</v>
      </c>
      <c r="D1368" s="1299"/>
      <c r="E1368" s="1296"/>
      <c r="F1368" s="1296"/>
      <c r="G1368" s="1296"/>
      <c r="H1368" s="1296"/>
      <c r="I1368" s="1297"/>
      <c r="J1368" s="1297"/>
      <c r="K1368" s="1297"/>
      <c r="L1368" s="1297"/>
      <c r="M1368" s="1297"/>
      <c r="N1368" s="1297"/>
      <c r="O1368" s="77"/>
      <c r="P1368" s="77"/>
      <c r="Q1368" s="78"/>
      <c r="Z1368" s="79"/>
      <c r="AA1368" s="80"/>
      <c r="AB1368" s="34"/>
      <c r="AC1368" s="34"/>
      <c r="AD1368" s="33"/>
      <c r="AE1368" s="33"/>
      <c r="AF1368" s="33"/>
      <c r="AG1368" s="33"/>
      <c r="AH1368" s="33"/>
      <c r="AI1368" s="33"/>
      <c r="AJ1368" s="33"/>
      <c r="AK1368" s="33"/>
      <c r="AL1368" s="33"/>
      <c r="AM1368" s="33"/>
      <c r="AN1368" s="33"/>
      <c r="AO1368" s="33"/>
    </row>
    <row r="1369" spans="1:41" ht="17.25" thickTop="1" thickBot="1">
      <c r="A1369" s="34"/>
      <c r="B1369" s="34"/>
      <c r="C1369" s="1299" t="s">
        <v>378</v>
      </c>
      <c r="D1369" s="1299"/>
      <c r="E1369" s="1296"/>
      <c r="F1369" s="1296"/>
      <c r="G1369" s="1297"/>
      <c r="H1369" s="1297"/>
      <c r="I1369" s="1297"/>
      <c r="J1369" s="1297"/>
      <c r="K1369" s="1297"/>
      <c r="L1369" s="1297"/>
      <c r="M1369" s="1297"/>
      <c r="N1369" s="1297"/>
      <c r="O1369" s="77"/>
      <c r="P1369" s="77"/>
      <c r="Q1369" s="78"/>
      <c r="Z1369" s="79"/>
      <c r="AA1369" s="80"/>
      <c r="AB1369" s="34"/>
      <c r="AC1369" s="34"/>
      <c r="AD1369" s="33"/>
      <c r="AE1369" s="33"/>
      <c r="AF1369" s="33"/>
      <c r="AG1369" s="33"/>
      <c r="AH1369" s="33"/>
      <c r="AI1369" s="33"/>
      <c r="AJ1369" s="33"/>
      <c r="AK1369" s="33"/>
      <c r="AL1369" s="33"/>
      <c r="AM1369" s="33"/>
      <c r="AN1369" s="33"/>
      <c r="AO1369" s="33"/>
    </row>
    <row r="1370" spans="1:41" ht="17.25" thickTop="1" thickBot="1">
      <c r="A1370" s="34"/>
      <c r="B1370" s="34"/>
      <c r="C1370" s="1299" t="s">
        <v>379</v>
      </c>
      <c r="D1370" s="1299"/>
      <c r="E1370" s="1297" t="s">
        <v>380</v>
      </c>
      <c r="F1370" s="1297"/>
      <c r="G1370" s="1297" t="s">
        <v>380</v>
      </c>
      <c r="H1370" s="1297"/>
      <c r="I1370" s="1297" t="s">
        <v>380</v>
      </c>
      <c r="J1370" s="1297"/>
      <c r="K1370" s="1297" t="s">
        <v>380</v>
      </c>
      <c r="L1370" s="1297"/>
      <c r="M1370" s="1297" t="s">
        <v>380</v>
      </c>
      <c r="N1370" s="1297"/>
      <c r="O1370" s="77"/>
      <c r="P1370" s="77"/>
      <c r="Q1370" s="78"/>
      <c r="Z1370" s="79"/>
      <c r="AA1370" s="80"/>
      <c r="AB1370" s="34"/>
      <c r="AC1370" s="34"/>
      <c r="AD1370" s="33"/>
      <c r="AE1370" s="33"/>
      <c r="AF1370" s="33"/>
      <c r="AG1370" s="33"/>
      <c r="AH1370" s="33"/>
      <c r="AI1370" s="33"/>
      <c r="AJ1370" s="33"/>
      <c r="AK1370" s="33"/>
      <c r="AL1370" s="33"/>
      <c r="AM1370" s="33"/>
      <c r="AN1370" s="33"/>
      <c r="AO1370" s="33"/>
    </row>
    <row r="1371" spans="1:41" ht="17.25" thickTop="1" thickBot="1">
      <c r="A1371" s="34"/>
      <c r="B1371" s="34"/>
      <c r="C1371" s="33"/>
      <c r="D1371" s="33"/>
      <c r="E1371" s="33"/>
      <c r="F1371" s="33"/>
      <c r="G1371" s="33"/>
      <c r="H1371" s="33"/>
      <c r="I1371" s="33" t="s">
        <v>494</v>
      </c>
      <c r="J1371" s="33"/>
      <c r="K1371" s="34"/>
      <c r="L1371" s="34"/>
      <c r="M1371" s="33"/>
      <c r="N1371" s="33"/>
      <c r="O1371" s="77"/>
      <c r="P1371" s="77"/>
      <c r="Q1371" s="78"/>
      <c r="Z1371" s="79"/>
      <c r="AA1371" s="80"/>
      <c r="AB1371" s="34"/>
      <c r="AC1371" s="34"/>
      <c r="AD1371" s="33"/>
      <c r="AE1371" s="33"/>
      <c r="AF1371" s="33"/>
      <c r="AG1371" s="33"/>
      <c r="AH1371" s="33"/>
      <c r="AI1371" s="33"/>
      <c r="AJ1371" s="33"/>
      <c r="AK1371" s="33"/>
      <c r="AL1371" s="33"/>
      <c r="AM1371" s="33"/>
      <c r="AN1371" s="33"/>
      <c r="AO1371" s="33"/>
    </row>
    <row r="1372" spans="1:41" ht="19.5" thickTop="1" thickBot="1">
      <c r="A1372" s="1321" t="s">
        <v>467</v>
      </c>
      <c r="B1372" s="1322"/>
      <c r="C1372" s="1323" t="s">
        <v>380</v>
      </c>
      <c r="D1372" s="1323"/>
      <c r="E1372" s="1323" t="s">
        <v>380</v>
      </c>
      <c r="F1372" s="1323"/>
      <c r="G1372" s="250"/>
      <c r="H1372" s="250" t="s">
        <v>468</v>
      </c>
      <c r="I1372" s="1295" t="s">
        <v>402</v>
      </c>
      <c r="J1372" s="1295"/>
      <c r="K1372" s="1295"/>
      <c r="L1372" s="102" t="s">
        <v>403</v>
      </c>
      <c r="M1372" s="1331">
        <v>42610.363814814817</v>
      </c>
      <c r="N1372" s="1331"/>
      <c r="O1372" s="77"/>
      <c r="P1372" s="77"/>
      <c r="Q1372" s="78"/>
      <c r="Z1372" s="79"/>
      <c r="AA1372" s="80"/>
      <c r="AB1372" s="34"/>
      <c r="AC1372" s="34"/>
      <c r="AD1372" s="33"/>
      <c r="AE1372" s="33"/>
      <c r="AF1372" s="33"/>
      <c r="AG1372" s="33"/>
      <c r="AH1372" s="33"/>
      <c r="AI1372" s="33"/>
      <c r="AJ1372" s="33"/>
      <c r="AK1372" s="33"/>
      <c r="AL1372" s="33"/>
      <c r="AM1372" s="33"/>
      <c r="AN1372" s="33"/>
      <c r="AO1372" s="33"/>
    </row>
    <row r="1373" spans="1:41" ht="19.5" thickTop="1" thickBot="1">
      <c r="A1373" s="1321" t="s">
        <v>469</v>
      </c>
      <c r="B1373" s="1322"/>
      <c r="C1373" s="1323" t="s">
        <v>380</v>
      </c>
      <c r="D1373" s="1323"/>
      <c r="E1373" s="1323" t="s">
        <v>380</v>
      </c>
      <c r="F1373" s="1323"/>
      <c r="G1373" s="250"/>
      <c r="H1373" s="250"/>
      <c r="I1373" s="250"/>
      <c r="J1373" s="250"/>
      <c r="K1373" s="102"/>
      <c r="L1373" s="102"/>
      <c r="M1373" s="33"/>
      <c r="N1373" s="33"/>
      <c r="O1373" s="77"/>
      <c r="P1373" s="77"/>
      <c r="Q1373" s="78"/>
      <c r="Z1373" s="79"/>
      <c r="AA1373" s="80"/>
      <c r="AB1373" s="34"/>
      <c r="AC1373" s="34"/>
      <c r="AD1373" s="33"/>
      <c r="AE1373" s="33"/>
      <c r="AF1373" s="33"/>
      <c r="AG1373" s="33"/>
      <c r="AH1373" s="33"/>
      <c r="AI1373" s="33"/>
      <c r="AJ1373" s="33"/>
      <c r="AK1373" s="33"/>
      <c r="AL1373" s="33"/>
      <c r="AM1373" s="33"/>
      <c r="AN1373" s="33"/>
      <c r="AO1373" s="33"/>
    </row>
    <row r="1374" spans="1:41" ht="19.5" thickTop="1" thickBot="1">
      <c r="A1374" s="1321" t="s">
        <v>470</v>
      </c>
      <c r="B1374" s="1322"/>
      <c r="C1374" s="1323" t="s">
        <v>380</v>
      </c>
      <c r="D1374" s="1323"/>
      <c r="E1374" s="1323" t="s">
        <v>380</v>
      </c>
      <c r="F1374" s="1323"/>
      <c r="G1374" s="250"/>
      <c r="H1374" s="250"/>
      <c r="I1374" s="250"/>
      <c r="J1374" s="250" t="s">
        <v>471</v>
      </c>
      <c r="K1374" s="102"/>
      <c r="L1374" s="102"/>
      <c r="M1374" s="33"/>
      <c r="N1374" s="33"/>
      <c r="O1374" s="77"/>
      <c r="P1374" s="77"/>
      <c r="Q1374" s="78"/>
      <c r="Z1374" s="79"/>
      <c r="AA1374" s="80"/>
      <c r="AB1374" s="34"/>
      <c r="AC1374" s="34"/>
      <c r="AD1374" s="33"/>
      <c r="AE1374" s="33"/>
      <c r="AF1374" s="33"/>
      <c r="AG1374" s="33"/>
      <c r="AH1374" s="33"/>
      <c r="AI1374" s="33"/>
      <c r="AJ1374" s="33"/>
      <c r="AK1374" s="33"/>
      <c r="AL1374" s="33"/>
      <c r="AM1374" s="33"/>
      <c r="AN1374" s="33"/>
      <c r="AO1374" s="33"/>
    </row>
    <row r="1375" spans="1:41" ht="24" thickTop="1">
      <c r="A1375" s="34"/>
      <c r="B1375" s="34"/>
      <c r="C1375" s="33"/>
      <c r="D1375" s="33"/>
      <c r="E1375" s="33"/>
      <c r="F1375" s="33"/>
      <c r="G1375" s="33"/>
      <c r="H1375" s="103" t="s">
        <v>406</v>
      </c>
      <c r="I1375" s="33"/>
      <c r="J1375" s="34"/>
      <c r="K1375" s="34"/>
      <c r="L1375" s="33"/>
      <c r="M1375" s="33"/>
      <c r="N1375" s="104"/>
      <c r="Q1375" s="78"/>
      <c r="Z1375" s="79"/>
      <c r="AA1375" s="80"/>
      <c r="AB1375" s="34"/>
      <c r="AC1375" s="34"/>
      <c r="AD1375" s="33"/>
      <c r="AE1375" s="33"/>
      <c r="AF1375" s="33"/>
      <c r="AG1375" s="33"/>
      <c r="AH1375" s="33"/>
      <c r="AI1375" s="33"/>
      <c r="AJ1375" s="33"/>
      <c r="AK1375" s="33"/>
      <c r="AL1375" s="33"/>
      <c r="AM1375" s="33"/>
      <c r="AN1375" s="33"/>
      <c r="AO1375" s="33"/>
    </row>
    <row r="1376" spans="1:41" ht="18">
      <c r="A1376" s="1295" t="s">
        <v>78</v>
      </c>
      <c r="B1376" s="1295"/>
      <c r="C1376" s="1295"/>
      <c r="D1376" s="1295"/>
      <c r="E1376" s="1295"/>
      <c r="F1376" s="1295"/>
      <c r="G1376" s="1295"/>
      <c r="H1376" s="1295"/>
      <c r="I1376" s="1295"/>
      <c r="J1376" s="1295"/>
      <c r="K1376" s="1295"/>
      <c r="L1376" s="1295"/>
      <c r="M1376" s="1295"/>
      <c r="N1376" s="1295"/>
      <c r="Q1376" s="78"/>
      <c r="Z1376" s="79"/>
      <c r="AA1376" s="80"/>
      <c r="AB1376" s="34"/>
      <c r="AC1376" s="34"/>
      <c r="AD1376" s="33"/>
      <c r="AE1376" s="33"/>
      <c r="AF1376" s="33"/>
      <c r="AG1376" s="33"/>
      <c r="AH1376" s="33"/>
      <c r="AI1376" s="33"/>
      <c r="AJ1376" s="33"/>
      <c r="AK1376" s="33"/>
      <c r="AL1376" s="33"/>
      <c r="AM1376" s="33"/>
      <c r="AN1376" s="33"/>
      <c r="AO1376" s="33"/>
    </row>
    <row r="1377" spans="1:41" ht="18">
      <c r="A1377" s="1295" t="s">
        <v>79</v>
      </c>
      <c r="B1377" s="1295"/>
      <c r="C1377" s="1295"/>
      <c r="D1377" s="1295"/>
      <c r="E1377" s="1295"/>
      <c r="F1377" s="1295"/>
      <c r="G1377" s="1295"/>
      <c r="H1377" s="1295"/>
      <c r="I1377" s="1295"/>
      <c r="J1377" s="1295"/>
      <c r="K1377" s="1295"/>
      <c r="L1377" s="1295"/>
      <c r="M1377" s="1295"/>
      <c r="N1377" s="1295"/>
      <c r="Q1377" s="78"/>
      <c r="Z1377" s="79"/>
      <c r="AA1377" s="80"/>
      <c r="AB1377" s="34"/>
      <c r="AC1377" s="34"/>
      <c r="AD1377" s="33"/>
      <c r="AE1377" s="33"/>
      <c r="AF1377" s="33"/>
      <c r="AG1377" s="33"/>
      <c r="AH1377" s="33"/>
      <c r="AI1377" s="33"/>
      <c r="AJ1377" s="33"/>
      <c r="AK1377" s="33"/>
      <c r="AL1377" s="33"/>
      <c r="AM1377" s="33"/>
      <c r="AN1377" s="33"/>
      <c r="AO1377" s="33"/>
    </row>
    <row r="1378" spans="1:41" ht="18">
      <c r="A1378" s="168" t="s">
        <v>220</v>
      </c>
      <c r="B1378" s="250"/>
      <c r="C1378" s="250"/>
      <c r="D1378" s="250"/>
      <c r="E1378" s="250"/>
      <c r="F1378" s="250"/>
      <c r="G1378" s="250"/>
      <c r="H1378" s="250"/>
      <c r="I1378" s="250"/>
      <c r="J1378" s="250"/>
      <c r="K1378" s="250"/>
      <c r="L1378" s="250"/>
      <c r="M1378" s="33"/>
      <c r="N1378" s="33"/>
      <c r="Q1378" s="78"/>
      <c r="Z1378" s="79"/>
      <c r="AA1378" s="80"/>
      <c r="AB1378" s="34"/>
      <c r="AC1378" s="34"/>
      <c r="AD1378" s="33"/>
      <c r="AE1378" s="33"/>
      <c r="AF1378" s="33"/>
      <c r="AG1378" s="33"/>
      <c r="AH1378" s="33"/>
      <c r="AI1378" s="33"/>
      <c r="AJ1378" s="33"/>
      <c r="AK1378" s="33"/>
      <c r="AL1378" s="33"/>
      <c r="AM1378" s="33"/>
      <c r="AN1378" s="33"/>
      <c r="AO1378" s="33"/>
    </row>
    <row r="1379" spans="1:41" ht="18">
      <c r="A1379" s="168" t="s">
        <v>444</v>
      </c>
      <c r="B1379" s="250"/>
      <c r="C1379" s="250"/>
      <c r="D1379" s="250"/>
      <c r="E1379" s="250"/>
      <c r="F1379" s="250"/>
      <c r="G1379" s="250"/>
      <c r="H1379" s="250"/>
      <c r="I1379" s="250"/>
      <c r="J1379" s="250"/>
      <c r="K1379" s="250"/>
      <c r="L1379" s="250"/>
      <c r="M1379" s="33"/>
      <c r="N1379" s="33"/>
      <c r="Q1379" s="78"/>
      <c r="Z1379" s="79"/>
      <c r="AA1379" s="80"/>
      <c r="AB1379" s="34"/>
      <c r="AC1379" s="34"/>
      <c r="AD1379" s="33"/>
      <c r="AE1379" s="33"/>
      <c r="AF1379" s="33"/>
      <c r="AG1379" s="33"/>
      <c r="AH1379" s="33"/>
      <c r="AI1379" s="33"/>
      <c r="AJ1379" s="33"/>
      <c r="AK1379" s="33"/>
      <c r="AL1379" s="33"/>
      <c r="AM1379" s="33"/>
      <c r="AN1379" s="33"/>
      <c r="AO1379" s="33"/>
    </row>
    <row r="1380" spans="1:41" ht="18.75" thickBot="1">
      <c r="A1380" s="250"/>
      <c r="B1380" s="250"/>
      <c r="C1380" s="250"/>
      <c r="D1380" s="250"/>
      <c r="E1380" s="250"/>
      <c r="F1380" s="250"/>
      <c r="G1380" s="250"/>
      <c r="H1380" s="250"/>
      <c r="I1380" s="250"/>
      <c r="J1380" s="250"/>
      <c r="K1380" s="250"/>
      <c r="L1380" s="250"/>
      <c r="M1380" s="33"/>
      <c r="N1380" s="33"/>
      <c r="Q1380" s="78"/>
      <c r="Z1380" s="79"/>
      <c r="AA1380" s="80"/>
      <c r="AB1380" s="34"/>
      <c r="AC1380" s="34"/>
      <c r="AD1380" s="33"/>
      <c r="AE1380" s="33"/>
      <c r="AF1380" s="33"/>
      <c r="AG1380" s="33"/>
      <c r="AH1380" s="33"/>
      <c r="AI1380" s="33"/>
      <c r="AJ1380" s="33"/>
      <c r="AK1380" s="33"/>
      <c r="AL1380" s="33"/>
      <c r="AM1380" s="33"/>
      <c r="AN1380" s="33"/>
      <c r="AO1380" s="33"/>
    </row>
    <row r="1381" spans="1:41" ht="24" thickBot="1">
      <c r="A1381" s="250"/>
      <c r="B1381" s="250"/>
      <c r="C1381" s="1333" t="s">
        <v>446</v>
      </c>
      <c r="D1381" s="1334"/>
      <c r="E1381" s="1334"/>
      <c r="F1381" s="1334"/>
      <c r="G1381" s="1334"/>
      <c r="H1381" s="1334"/>
      <c r="I1381" s="1334"/>
      <c r="J1381" s="1334"/>
      <c r="K1381" s="1334"/>
      <c r="L1381" s="1335"/>
      <c r="M1381" s="33"/>
      <c r="N1381" s="33"/>
      <c r="Q1381" s="78"/>
      <c r="Z1381" s="79"/>
      <c r="AA1381" s="80"/>
      <c r="AB1381" s="34"/>
      <c r="AC1381" s="34"/>
      <c r="AD1381" s="33"/>
      <c r="AE1381" s="33"/>
      <c r="AF1381" s="33"/>
      <c r="AG1381" s="33"/>
      <c r="AH1381" s="33"/>
      <c r="AI1381" s="33"/>
      <c r="AJ1381" s="33"/>
      <c r="AK1381" s="33"/>
      <c r="AL1381" s="33"/>
      <c r="AM1381" s="33"/>
      <c r="AN1381" s="33"/>
      <c r="AO1381" s="33"/>
    </row>
    <row r="1382" spans="1:41" ht="23.25">
      <c r="A1382" s="250"/>
      <c r="B1382" s="250"/>
      <c r="C1382" s="249"/>
      <c r="D1382" s="249"/>
      <c r="E1382" s="249"/>
      <c r="F1382" s="249"/>
      <c r="G1382" s="249"/>
      <c r="H1382" s="249"/>
      <c r="I1382" s="249"/>
      <c r="J1382" s="249"/>
      <c r="K1382" s="249"/>
      <c r="L1382" s="249"/>
      <c r="M1382" s="33"/>
      <c r="N1382" s="33"/>
      <c r="Q1382" s="78"/>
      <c r="Z1382" s="79"/>
      <c r="AA1382" s="80"/>
      <c r="AB1382" s="34"/>
      <c r="AC1382" s="34"/>
      <c r="AD1382" s="33"/>
      <c r="AE1382" s="33"/>
      <c r="AF1382" s="33"/>
      <c r="AG1382" s="33"/>
      <c r="AH1382" s="33"/>
      <c r="AI1382" s="33"/>
      <c r="AJ1382" s="33"/>
      <c r="AK1382" s="33"/>
      <c r="AL1382" s="33"/>
      <c r="AM1382" s="33"/>
      <c r="AN1382" s="33"/>
      <c r="AO1382" s="33"/>
    </row>
    <row r="1383" spans="1:41" ht="23.25">
      <c r="A1383" s="1295" t="s">
        <v>448</v>
      </c>
      <c r="B1383" s="1295"/>
      <c r="C1383" s="1295"/>
      <c r="E1383" s="1294" t="s">
        <v>490</v>
      </c>
      <c r="F1383" s="1294"/>
      <c r="G1383" s="1294"/>
      <c r="H1383" s="1294"/>
      <c r="I1383" s="1294"/>
      <c r="J1383" s="249"/>
      <c r="K1383" s="249" t="s">
        <v>449</v>
      </c>
      <c r="L1383" s="249"/>
      <c r="M1383" s="1295"/>
      <c r="N1383" s="1295"/>
      <c r="O1383" s="1293" t="str">
        <f>E1383</f>
        <v>حمداد سيد أحمد</v>
      </c>
      <c r="P1383" s="1293"/>
      <c r="Q1383" s="1293"/>
      <c r="Z1383" s="79"/>
      <c r="AA1383" s="80"/>
      <c r="AB1383" s="34"/>
      <c r="AC1383" s="34"/>
      <c r="AD1383" s="33"/>
      <c r="AE1383" s="33"/>
      <c r="AF1383" s="33"/>
      <c r="AG1383" s="33"/>
      <c r="AH1383" s="33"/>
      <c r="AI1383" s="33"/>
      <c r="AJ1383" s="33"/>
      <c r="AK1383" s="33"/>
      <c r="AL1383" s="33"/>
      <c r="AM1383" s="33"/>
      <c r="AN1383" s="33"/>
      <c r="AO1383" s="33"/>
    </row>
    <row r="1384" spans="1:41" ht="24" thickBot="1">
      <c r="A1384" s="1340" t="s">
        <v>450</v>
      </c>
      <c r="B1384" s="1340"/>
      <c r="C1384" s="1340"/>
      <c r="D1384" s="1340" t="s">
        <v>380</v>
      </c>
      <c r="E1384" s="1340"/>
      <c r="F1384" s="1340"/>
      <c r="G1384" s="1340"/>
      <c r="H1384" s="87"/>
      <c r="I1384" s="1340" t="s">
        <v>452</v>
      </c>
      <c r="J1384" s="1340"/>
      <c r="K1384" s="1340"/>
      <c r="L1384" s="1341" t="s">
        <v>380</v>
      </c>
      <c r="M1384" s="1341"/>
      <c r="N1384" s="1341"/>
      <c r="Z1384" s="79"/>
      <c r="AA1384" s="80"/>
      <c r="AB1384" s="34"/>
      <c r="AC1384" s="34"/>
      <c r="AD1384" s="33"/>
      <c r="AE1384" s="33"/>
      <c r="AF1384" s="33"/>
      <c r="AG1384" s="33"/>
      <c r="AH1384" s="33"/>
      <c r="AI1384" s="33"/>
      <c r="AJ1384" s="33"/>
      <c r="AK1384" s="33"/>
      <c r="AL1384" s="33"/>
      <c r="AM1384" s="33"/>
      <c r="AN1384" s="33"/>
      <c r="AO1384" s="33"/>
    </row>
    <row r="1385" spans="1:41" ht="17.25" thickTop="1" thickBot="1">
      <c r="A1385" s="1318" t="s">
        <v>453</v>
      </c>
      <c r="B1385" s="1319"/>
      <c r="C1385" s="88" t="s">
        <v>380</v>
      </c>
      <c r="D1385" s="89" t="s">
        <v>380</v>
      </c>
      <c r="E1385" s="89" t="s">
        <v>380</v>
      </c>
      <c r="F1385" s="89" t="s">
        <v>380</v>
      </c>
      <c r="G1385" s="89" t="s">
        <v>380</v>
      </c>
      <c r="H1385" s="89" t="s">
        <v>380</v>
      </c>
      <c r="I1385" s="89" t="s">
        <v>380</v>
      </c>
      <c r="J1385" s="89" t="s">
        <v>380</v>
      </c>
      <c r="K1385" s="89" t="s">
        <v>380</v>
      </c>
      <c r="L1385" s="89" t="s">
        <v>380</v>
      </c>
      <c r="M1385" s="89" t="s">
        <v>380</v>
      </c>
      <c r="N1385" s="90" t="s">
        <v>380</v>
      </c>
      <c r="R1385" s="78"/>
      <c r="Z1385" s="79"/>
      <c r="AA1385" s="80"/>
      <c r="AB1385" s="34"/>
      <c r="AC1385" s="34"/>
      <c r="AD1385" s="33"/>
      <c r="AE1385" s="33"/>
      <c r="AF1385" s="33"/>
      <c r="AG1385" s="33"/>
      <c r="AH1385" s="33"/>
      <c r="AI1385" s="33"/>
      <c r="AJ1385" s="33"/>
      <c r="AK1385" s="33"/>
      <c r="AL1385" s="33"/>
      <c r="AM1385" s="33"/>
      <c r="AN1385" s="33"/>
      <c r="AO1385" s="33"/>
    </row>
    <row r="1386" spans="1:41" ht="16.5" thickBot="1">
      <c r="A1386" s="1329" t="s">
        <v>454</v>
      </c>
      <c r="B1386" s="1330"/>
      <c r="C1386" s="91" t="s">
        <v>380</v>
      </c>
      <c r="D1386" s="210" t="s">
        <v>380</v>
      </c>
      <c r="E1386" s="210" t="s">
        <v>380</v>
      </c>
      <c r="F1386" s="210" t="s">
        <v>380</v>
      </c>
      <c r="G1386" s="210" t="s">
        <v>380</v>
      </c>
      <c r="H1386" s="210" t="s">
        <v>380</v>
      </c>
      <c r="I1386" s="210" t="s">
        <v>380</v>
      </c>
      <c r="J1386" s="210" t="s">
        <v>380</v>
      </c>
      <c r="K1386" s="210" t="s">
        <v>380</v>
      </c>
      <c r="L1386" s="210" t="s">
        <v>380</v>
      </c>
      <c r="M1386" s="210" t="s">
        <v>380</v>
      </c>
      <c r="N1386" s="92" t="s">
        <v>380</v>
      </c>
      <c r="R1386" s="78"/>
      <c r="Z1386" s="79"/>
      <c r="AA1386" s="80"/>
      <c r="AB1386" s="34"/>
      <c r="AC1386" s="34"/>
      <c r="AD1386" s="33"/>
      <c r="AE1386" s="33"/>
      <c r="AF1386" s="33"/>
      <c r="AG1386" s="33"/>
      <c r="AH1386" s="33"/>
      <c r="AI1386" s="33"/>
      <c r="AJ1386" s="33"/>
      <c r="AK1386" s="33"/>
      <c r="AL1386" s="33"/>
      <c r="AM1386" s="33"/>
      <c r="AN1386" s="33"/>
      <c r="AO1386" s="33"/>
    </row>
    <row r="1387" spans="1:41" ht="16.5" thickBot="1">
      <c r="A1387" s="1329" t="s">
        <v>455</v>
      </c>
      <c r="B1387" s="1330"/>
      <c r="C1387" s="91" t="s">
        <v>380</v>
      </c>
      <c r="D1387" s="210" t="s">
        <v>380</v>
      </c>
      <c r="E1387" s="210" t="s">
        <v>380</v>
      </c>
      <c r="F1387" s="210" t="s">
        <v>380</v>
      </c>
      <c r="G1387" s="210" t="s">
        <v>380</v>
      </c>
      <c r="H1387" s="210" t="s">
        <v>380</v>
      </c>
      <c r="I1387" s="210" t="s">
        <v>380</v>
      </c>
      <c r="J1387" s="210" t="s">
        <v>380</v>
      </c>
      <c r="K1387" s="210" t="s">
        <v>380</v>
      </c>
      <c r="L1387" s="210" t="s">
        <v>380</v>
      </c>
      <c r="M1387" s="210" t="s">
        <v>380</v>
      </c>
      <c r="N1387" s="92" t="s">
        <v>380</v>
      </c>
      <c r="R1387" s="77"/>
      <c r="S1387" s="77"/>
      <c r="Z1387" s="79"/>
      <c r="AA1387" s="80"/>
      <c r="AB1387" s="34"/>
      <c r="AC1387" s="34"/>
      <c r="AD1387" s="33"/>
      <c r="AE1387" s="33"/>
      <c r="AF1387" s="33"/>
      <c r="AG1387" s="33"/>
      <c r="AH1387" s="33"/>
      <c r="AI1387" s="33"/>
      <c r="AJ1387" s="33"/>
      <c r="AK1387" s="33"/>
      <c r="AL1387" s="33"/>
      <c r="AM1387" s="33"/>
      <c r="AN1387" s="33"/>
      <c r="AO1387" s="33"/>
    </row>
    <row r="1388" spans="1:41" ht="16.5" thickBot="1">
      <c r="A1388" s="1327" t="s">
        <v>456</v>
      </c>
      <c r="B1388" s="1328"/>
      <c r="C1388" s="93" t="s">
        <v>380</v>
      </c>
      <c r="D1388" s="94" t="s">
        <v>380</v>
      </c>
      <c r="E1388" s="94" t="s">
        <v>380</v>
      </c>
      <c r="F1388" s="94" t="s">
        <v>380</v>
      </c>
      <c r="G1388" s="94" t="s">
        <v>380</v>
      </c>
      <c r="H1388" s="94" t="s">
        <v>380</v>
      </c>
      <c r="I1388" s="94" t="s">
        <v>380</v>
      </c>
      <c r="J1388" s="94" t="s">
        <v>380</v>
      </c>
      <c r="K1388" s="94" t="s">
        <v>380</v>
      </c>
      <c r="L1388" s="94" t="s">
        <v>380</v>
      </c>
      <c r="M1388" s="94" t="s">
        <v>380</v>
      </c>
      <c r="N1388" s="95" t="s">
        <v>380</v>
      </c>
      <c r="Q1388" s="78"/>
      <c r="Z1388" s="79"/>
      <c r="AA1388" s="80"/>
      <c r="AB1388" s="34"/>
      <c r="AC1388" s="34"/>
      <c r="AD1388" s="33"/>
      <c r="AE1388" s="33"/>
      <c r="AF1388" s="33"/>
      <c r="AG1388" s="33"/>
      <c r="AH1388" s="33"/>
      <c r="AI1388" s="33"/>
      <c r="AJ1388" s="33"/>
      <c r="AK1388" s="33"/>
      <c r="AL1388" s="33"/>
      <c r="AM1388" s="33"/>
      <c r="AN1388" s="33"/>
      <c r="AO1388" s="33"/>
    </row>
    <row r="1389" spans="1:41" ht="21" thickTop="1">
      <c r="A1389" s="96"/>
      <c r="B1389" s="96"/>
      <c r="C1389" s="96"/>
      <c r="D1389" s="96"/>
      <c r="E1389" s="1326" t="s">
        <v>457</v>
      </c>
      <c r="F1389" s="1310"/>
      <c r="G1389" s="97">
        <v>18</v>
      </c>
      <c r="H1389" s="1310" t="s">
        <v>458</v>
      </c>
      <c r="I1389" s="1311"/>
      <c r="J1389" s="1310" t="s">
        <v>459</v>
      </c>
      <c r="K1389" s="1311"/>
      <c r="L1389" s="96"/>
      <c r="M1389" s="96"/>
      <c r="N1389" s="96"/>
      <c r="Q1389" s="78">
        <f>G1262+H1262+H1264+J1262</f>
        <v>0</v>
      </c>
      <c r="Z1389" s="79"/>
      <c r="AA1389" s="80"/>
      <c r="AB1389" s="34"/>
      <c r="AC1389" s="34"/>
      <c r="AD1389" s="33"/>
      <c r="AE1389" s="33"/>
      <c r="AF1389" s="33"/>
      <c r="AG1389" s="33"/>
      <c r="AH1389" s="33"/>
      <c r="AI1389" s="33"/>
      <c r="AJ1389" s="33"/>
      <c r="AK1389" s="33"/>
      <c r="AL1389" s="33"/>
      <c r="AM1389" s="33"/>
      <c r="AN1389" s="33"/>
      <c r="AO1389" s="33"/>
    </row>
    <row r="1390" spans="1:41" ht="23.25">
      <c r="A1390" s="96"/>
      <c r="B1390" s="96"/>
      <c r="C1390" s="96"/>
      <c r="D1390" s="96"/>
      <c r="E1390" s="1307" t="s">
        <v>460</v>
      </c>
      <c r="F1390" s="1308"/>
      <c r="G1390" s="98">
        <v>0</v>
      </c>
      <c r="H1390" s="1312">
        <v>0</v>
      </c>
      <c r="I1390" s="1312"/>
      <c r="J1390" s="1312">
        <v>0</v>
      </c>
      <c r="K1390" s="1313"/>
      <c r="L1390" s="96"/>
      <c r="M1390" s="96"/>
      <c r="N1390" s="96"/>
      <c r="Q1390" s="78"/>
      <c r="Z1390" s="79"/>
      <c r="AA1390" s="80"/>
      <c r="AB1390" s="34"/>
      <c r="AC1390" s="34"/>
      <c r="AD1390" s="33"/>
      <c r="AE1390" s="33"/>
      <c r="AF1390" s="33"/>
      <c r="AG1390" s="33"/>
      <c r="AH1390" s="33"/>
      <c r="AI1390" s="33"/>
      <c r="AJ1390" s="33"/>
      <c r="AK1390" s="33"/>
      <c r="AL1390" s="33"/>
      <c r="AM1390" s="33"/>
      <c r="AN1390" s="33"/>
      <c r="AO1390" s="33"/>
    </row>
    <row r="1391" spans="1:41" ht="20.25">
      <c r="A1391" s="96"/>
      <c r="B1391" s="96"/>
      <c r="C1391" s="96"/>
      <c r="D1391" s="96"/>
      <c r="E1391" s="1307" t="s">
        <v>461</v>
      </c>
      <c r="F1391" s="1308"/>
      <c r="G1391" s="99">
        <v>18</v>
      </c>
      <c r="H1391" s="1308" t="s">
        <v>462</v>
      </c>
      <c r="I1391" s="1308"/>
      <c r="J1391" s="1308" t="s">
        <v>463</v>
      </c>
      <c r="K1391" s="1309"/>
      <c r="L1391" s="96"/>
      <c r="M1391" s="96"/>
      <c r="N1391" s="96"/>
      <c r="Q1391" s="78"/>
      <c r="Z1391" s="79"/>
      <c r="AA1391" s="80"/>
      <c r="AB1391" s="34"/>
      <c r="AC1391" s="34"/>
      <c r="AD1391" s="33"/>
      <c r="AE1391" s="33"/>
      <c r="AF1391" s="33"/>
      <c r="AG1391" s="33"/>
      <c r="AH1391" s="33"/>
      <c r="AI1391" s="33"/>
      <c r="AJ1391" s="33"/>
      <c r="AK1391" s="33"/>
      <c r="AL1391" s="33"/>
      <c r="AM1391" s="33"/>
      <c r="AN1391" s="33"/>
      <c r="AO1391" s="33"/>
    </row>
    <row r="1392" spans="1:41" ht="24" thickBot="1">
      <c r="A1392" s="96"/>
      <c r="B1392" s="96"/>
      <c r="C1392" s="96"/>
      <c r="D1392" s="96"/>
      <c r="E1392" s="1303" t="s">
        <v>464</v>
      </c>
      <c r="F1392" s="1304"/>
      <c r="G1392" s="99">
        <v>0</v>
      </c>
      <c r="H1392" s="1305">
        <v>0</v>
      </c>
      <c r="I1392" s="1305"/>
      <c r="J1392" s="1305">
        <v>0</v>
      </c>
      <c r="K1392" s="1306"/>
      <c r="L1392" s="96"/>
      <c r="M1392" s="96"/>
      <c r="N1392" s="96"/>
      <c r="Q1392" s="78"/>
      <c r="Z1392" s="79"/>
      <c r="AA1392" s="80"/>
      <c r="AB1392" s="34"/>
      <c r="AC1392" s="34"/>
      <c r="AD1392" s="33"/>
      <c r="AE1392" s="33"/>
      <c r="AF1392" s="33"/>
      <c r="AG1392" s="33"/>
      <c r="AH1392" s="33"/>
      <c r="AI1392" s="33"/>
      <c r="AJ1392" s="33"/>
      <c r="AK1392" s="33"/>
      <c r="AL1392" s="33"/>
      <c r="AM1392" s="33"/>
      <c r="AN1392" s="33"/>
      <c r="AO1392" s="33"/>
    </row>
    <row r="1393" spans="1:41" ht="17.25" thickTop="1" thickBot="1">
      <c r="A1393" s="34"/>
      <c r="B1393" s="34"/>
      <c r="C1393" s="1299" t="s">
        <v>465</v>
      </c>
      <c r="D1393" s="1299"/>
      <c r="E1393" s="1299" t="s">
        <v>360</v>
      </c>
      <c r="F1393" s="1299"/>
      <c r="G1393" s="1302" t="s">
        <v>368</v>
      </c>
      <c r="H1393" s="1302"/>
      <c r="I1393" s="1302" t="s">
        <v>369</v>
      </c>
      <c r="J1393" s="1302"/>
      <c r="K1393" s="1302" t="s">
        <v>370</v>
      </c>
      <c r="L1393" s="1299"/>
      <c r="M1393" s="1299" t="s">
        <v>371</v>
      </c>
      <c r="N1393" s="1299"/>
      <c r="Q1393" s="78"/>
      <c r="Z1393" s="79"/>
      <c r="AA1393" s="80"/>
      <c r="AB1393" s="34"/>
      <c r="AC1393" s="34"/>
      <c r="AD1393" s="33"/>
      <c r="AE1393" s="33"/>
      <c r="AF1393" s="33"/>
      <c r="AG1393" s="33"/>
      <c r="AH1393" s="33"/>
      <c r="AI1393" s="33"/>
      <c r="AJ1393" s="33"/>
      <c r="AK1393" s="33"/>
      <c r="AL1393" s="33"/>
      <c r="AM1393" s="33"/>
      <c r="AN1393" s="33"/>
      <c r="AO1393" s="33"/>
    </row>
    <row r="1394" spans="1:41" ht="17.25" thickTop="1" thickBot="1">
      <c r="A1394" s="34"/>
      <c r="B1394" s="34"/>
      <c r="C1394" s="1299" t="s">
        <v>372</v>
      </c>
      <c r="D1394" s="1299"/>
      <c r="E1394" s="1297" t="s">
        <v>380</v>
      </c>
      <c r="F1394" s="1297"/>
      <c r="G1394" s="1297" t="s">
        <v>380</v>
      </c>
      <c r="H1394" s="1297"/>
      <c r="I1394" s="1297" t="s">
        <v>380</v>
      </c>
      <c r="J1394" s="1297"/>
      <c r="K1394" s="1297" t="s">
        <v>380</v>
      </c>
      <c r="L1394" s="1297"/>
      <c r="M1394" s="1297" t="s">
        <v>380</v>
      </c>
      <c r="N1394" s="1297"/>
      <c r="Q1394" s="78"/>
      <c r="Z1394" s="79"/>
      <c r="AA1394" s="80"/>
      <c r="AB1394" s="34"/>
      <c r="AC1394" s="34"/>
      <c r="AD1394" s="33"/>
      <c r="AE1394" s="33"/>
      <c r="AF1394" s="33"/>
      <c r="AG1394" s="33"/>
      <c r="AH1394" s="33"/>
      <c r="AI1394" s="33"/>
      <c r="AJ1394" s="33"/>
      <c r="AK1394" s="33"/>
      <c r="AL1394" s="33"/>
      <c r="AM1394" s="33"/>
      <c r="AN1394" s="33"/>
      <c r="AO1394" s="33"/>
    </row>
    <row r="1395" spans="1:41" ht="17.25" thickTop="1" thickBot="1">
      <c r="A1395" s="34"/>
      <c r="B1395" s="34"/>
      <c r="C1395" s="1299" t="s">
        <v>373</v>
      </c>
      <c r="D1395" s="1299"/>
      <c r="E1395" s="1297" t="s">
        <v>380</v>
      </c>
      <c r="F1395" s="1297"/>
      <c r="G1395" s="1297" t="s">
        <v>380</v>
      </c>
      <c r="H1395" s="1297"/>
      <c r="I1395" s="1297" t="s">
        <v>380</v>
      </c>
      <c r="J1395" s="1297"/>
      <c r="K1395" s="1297" t="s">
        <v>380</v>
      </c>
      <c r="L1395" s="1297"/>
      <c r="M1395" s="1297" t="s">
        <v>380</v>
      </c>
      <c r="N1395" s="1297"/>
      <c r="Q1395" s="78"/>
      <c r="Z1395" s="79"/>
      <c r="AA1395" s="80"/>
      <c r="AB1395" s="34"/>
      <c r="AC1395" s="34"/>
      <c r="AD1395" s="33"/>
      <c r="AE1395" s="33"/>
      <c r="AF1395" s="33"/>
      <c r="AG1395" s="33"/>
      <c r="AH1395" s="33"/>
      <c r="AI1395" s="33"/>
      <c r="AJ1395" s="33"/>
      <c r="AK1395" s="33"/>
      <c r="AL1395" s="33"/>
      <c r="AM1395" s="33"/>
      <c r="AN1395" s="33"/>
      <c r="AO1395" s="33"/>
    </row>
    <row r="1396" spans="1:41" ht="17.25" thickTop="1" thickBot="1">
      <c r="A1396" s="34"/>
      <c r="B1396" s="34"/>
      <c r="C1396" s="1299" t="s">
        <v>374</v>
      </c>
      <c r="D1396" s="1299"/>
      <c r="E1396" s="1297" t="s">
        <v>380</v>
      </c>
      <c r="F1396" s="1297"/>
      <c r="G1396" s="1297" t="s">
        <v>380</v>
      </c>
      <c r="H1396" s="1297"/>
      <c r="I1396" s="1297" t="s">
        <v>380</v>
      </c>
      <c r="J1396" s="1297"/>
      <c r="K1396" s="1297" t="s">
        <v>380</v>
      </c>
      <c r="L1396" s="1297"/>
      <c r="M1396" s="1297" t="s">
        <v>380</v>
      </c>
      <c r="N1396" s="1297"/>
      <c r="Q1396" s="78"/>
      <c r="Z1396" s="79"/>
      <c r="AA1396" s="80"/>
      <c r="AB1396" s="34"/>
      <c r="AC1396" s="34"/>
      <c r="AD1396" s="33"/>
      <c r="AE1396" s="33"/>
      <c r="AF1396" s="33"/>
      <c r="AG1396" s="33"/>
      <c r="AH1396" s="33"/>
      <c r="AI1396" s="33"/>
      <c r="AJ1396" s="33"/>
      <c r="AK1396" s="33"/>
      <c r="AL1396" s="33"/>
      <c r="AM1396" s="33"/>
      <c r="AN1396" s="33"/>
      <c r="AO1396" s="33"/>
    </row>
    <row r="1397" spans="1:41" ht="17.25" thickTop="1" thickBot="1">
      <c r="A1397" s="34"/>
      <c r="B1397" s="34"/>
      <c r="C1397" s="1299" t="s">
        <v>375</v>
      </c>
      <c r="D1397" s="1299"/>
      <c r="E1397" s="1297" t="s">
        <v>380</v>
      </c>
      <c r="F1397" s="1297"/>
      <c r="G1397" s="1297" t="s">
        <v>380</v>
      </c>
      <c r="H1397" s="1297"/>
      <c r="I1397" s="1297" t="s">
        <v>380</v>
      </c>
      <c r="J1397" s="1297"/>
      <c r="K1397" s="1297" t="s">
        <v>380</v>
      </c>
      <c r="L1397" s="1297"/>
      <c r="M1397" s="1297" t="s">
        <v>380</v>
      </c>
      <c r="N1397" s="1297"/>
      <c r="Q1397" s="78"/>
      <c r="Z1397" s="79"/>
      <c r="AA1397" s="80"/>
      <c r="AB1397" s="34"/>
      <c r="AC1397" s="34"/>
      <c r="AD1397" s="33"/>
      <c r="AE1397" s="33"/>
      <c r="AF1397" s="33"/>
      <c r="AG1397" s="33"/>
      <c r="AH1397" s="33"/>
      <c r="AI1397" s="33"/>
      <c r="AJ1397" s="33"/>
      <c r="AK1397" s="33"/>
      <c r="AL1397" s="33"/>
      <c r="AM1397" s="33"/>
      <c r="AN1397" s="33"/>
      <c r="AO1397" s="33"/>
    </row>
    <row r="1398" spans="1:41" ht="17.25" thickTop="1" thickBot="1">
      <c r="A1398" s="34"/>
      <c r="B1398" s="34"/>
      <c r="C1398" s="101"/>
      <c r="D1398" s="101"/>
      <c r="E1398" s="33"/>
      <c r="F1398" s="33"/>
      <c r="G1398" s="33"/>
      <c r="H1398" s="33"/>
      <c r="I1398" s="33"/>
      <c r="J1398" s="33"/>
      <c r="K1398" s="34"/>
      <c r="L1398" s="34"/>
      <c r="M1398" s="33"/>
      <c r="N1398" s="33"/>
      <c r="Q1398" s="78"/>
      <c r="Z1398" s="79"/>
      <c r="AA1398" s="80"/>
      <c r="AB1398" s="34"/>
      <c r="AC1398" s="34"/>
      <c r="AD1398" s="33"/>
      <c r="AE1398" s="33"/>
      <c r="AF1398" s="33"/>
      <c r="AG1398" s="33"/>
      <c r="AH1398" s="33"/>
      <c r="AI1398" s="33"/>
      <c r="AJ1398" s="33"/>
      <c r="AK1398" s="33"/>
      <c r="AL1398" s="33"/>
      <c r="AM1398" s="33"/>
      <c r="AN1398" s="33"/>
      <c r="AO1398" s="33"/>
    </row>
    <row r="1399" spans="1:41" ht="17.25" thickTop="1" thickBot="1">
      <c r="A1399" s="34"/>
      <c r="B1399" s="34"/>
      <c r="C1399" s="1299" t="s">
        <v>376</v>
      </c>
      <c r="D1399" s="1299"/>
      <c r="E1399" s="1297" t="s">
        <v>380</v>
      </c>
      <c r="F1399" s="1297"/>
      <c r="G1399" s="1297" t="s">
        <v>380</v>
      </c>
      <c r="H1399" s="1297"/>
      <c r="I1399" s="1297" t="s">
        <v>380</v>
      </c>
      <c r="J1399" s="1297"/>
      <c r="K1399" s="1297" t="s">
        <v>380</v>
      </c>
      <c r="L1399" s="1297"/>
      <c r="M1399" s="1297" t="s">
        <v>380</v>
      </c>
      <c r="N1399" s="1297"/>
      <c r="Z1399" s="79"/>
      <c r="AA1399" s="80"/>
      <c r="AB1399" s="34"/>
      <c r="AC1399" s="34"/>
      <c r="AD1399" s="33"/>
      <c r="AE1399" s="33"/>
      <c r="AF1399" s="33"/>
      <c r="AG1399" s="33"/>
      <c r="AH1399" s="33"/>
      <c r="AI1399" s="33"/>
      <c r="AJ1399" s="33"/>
      <c r="AK1399" s="33"/>
      <c r="AL1399" s="33"/>
      <c r="AM1399" s="33"/>
      <c r="AN1399" s="33"/>
      <c r="AO1399" s="33"/>
    </row>
    <row r="1400" spans="1:41" ht="17.25" thickTop="1" thickBot="1">
      <c r="A1400" s="34"/>
      <c r="B1400" s="34"/>
      <c r="C1400" s="1299" t="s">
        <v>377</v>
      </c>
      <c r="D1400" s="1299"/>
      <c r="E1400" s="1297" t="s">
        <v>380</v>
      </c>
      <c r="F1400" s="1297"/>
      <c r="G1400" s="1297" t="s">
        <v>380</v>
      </c>
      <c r="H1400" s="1297"/>
      <c r="I1400" s="1297" t="s">
        <v>380</v>
      </c>
      <c r="J1400" s="1297"/>
      <c r="K1400" s="1297" t="s">
        <v>380</v>
      </c>
      <c r="L1400" s="1297"/>
      <c r="M1400" s="1297" t="s">
        <v>380</v>
      </c>
      <c r="N1400" s="1297"/>
      <c r="Q1400" s="78"/>
      <c r="Z1400" s="79"/>
      <c r="AA1400" s="80"/>
      <c r="AB1400" s="34"/>
      <c r="AC1400" s="34"/>
      <c r="AD1400" s="33"/>
      <c r="AE1400" s="33"/>
      <c r="AF1400" s="33"/>
      <c r="AG1400" s="33"/>
      <c r="AH1400" s="33"/>
      <c r="AI1400" s="33"/>
      <c r="AJ1400" s="33"/>
      <c r="AK1400" s="33"/>
      <c r="AL1400" s="33"/>
      <c r="AM1400" s="33"/>
      <c r="AN1400" s="33"/>
      <c r="AO1400" s="33"/>
    </row>
    <row r="1401" spans="1:41" ht="17.25" thickTop="1" thickBot="1">
      <c r="A1401" s="34"/>
      <c r="B1401" s="34"/>
      <c r="C1401" s="1299" t="s">
        <v>378</v>
      </c>
      <c r="D1401" s="1299"/>
      <c r="E1401" s="1297" t="s">
        <v>380</v>
      </c>
      <c r="F1401" s="1297"/>
      <c r="G1401" s="1297" t="s">
        <v>380</v>
      </c>
      <c r="H1401" s="1297"/>
      <c r="I1401" s="1297" t="s">
        <v>380</v>
      </c>
      <c r="J1401" s="1297"/>
      <c r="K1401" s="1297" t="s">
        <v>380</v>
      </c>
      <c r="L1401" s="1297"/>
      <c r="M1401" s="1297" t="s">
        <v>380</v>
      </c>
      <c r="N1401" s="1297"/>
      <c r="Q1401" s="78"/>
      <c r="Z1401" s="79"/>
      <c r="AA1401" s="80"/>
      <c r="AB1401" s="34"/>
      <c r="AC1401" s="34"/>
      <c r="AD1401" s="33"/>
      <c r="AE1401" s="33"/>
      <c r="AF1401" s="33"/>
      <c r="AG1401" s="33"/>
      <c r="AH1401" s="33"/>
      <c r="AI1401" s="33"/>
      <c r="AJ1401" s="33"/>
      <c r="AK1401" s="33"/>
      <c r="AL1401" s="33"/>
      <c r="AM1401" s="33"/>
      <c r="AN1401" s="33"/>
      <c r="AO1401" s="33"/>
    </row>
    <row r="1402" spans="1:41" ht="17.25" thickTop="1" thickBot="1">
      <c r="A1402" s="34"/>
      <c r="B1402" s="34"/>
      <c r="C1402" s="1299" t="s">
        <v>379</v>
      </c>
      <c r="D1402" s="1299"/>
      <c r="E1402" s="1297" t="s">
        <v>380</v>
      </c>
      <c r="F1402" s="1297"/>
      <c r="G1402" s="1297" t="s">
        <v>380</v>
      </c>
      <c r="H1402" s="1297"/>
      <c r="I1402" s="1297" t="s">
        <v>380</v>
      </c>
      <c r="J1402" s="1297"/>
      <c r="K1402" s="1297" t="s">
        <v>380</v>
      </c>
      <c r="L1402" s="1297"/>
      <c r="M1402" s="1297" t="s">
        <v>380</v>
      </c>
      <c r="N1402" s="1297"/>
      <c r="Q1402" s="78"/>
      <c r="Z1402" s="79"/>
      <c r="AA1402" s="80"/>
      <c r="AB1402" s="34"/>
      <c r="AC1402" s="34"/>
      <c r="AD1402" s="33"/>
      <c r="AE1402" s="33"/>
      <c r="AF1402" s="33"/>
      <c r="AG1402" s="33"/>
      <c r="AH1402" s="33"/>
      <c r="AI1402" s="33"/>
      <c r="AJ1402" s="33"/>
      <c r="AK1402" s="33"/>
      <c r="AL1402" s="33"/>
      <c r="AM1402" s="33"/>
      <c r="AN1402" s="33"/>
      <c r="AO1402" s="33"/>
    </row>
    <row r="1403" spans="1:41" ht="17.25" thickTop="1" thickBot="1">
      <c r="A1403" s="34"/>
      <c r="B1403" s="34"/>
      <c r="C1403" s="33"/>
      <c r="D1403" s="33"/>
      <c r="E1403" s="33"/>
      <c r="F1403" s="33"/>
      <c r="G1403" s="33"/>
      <c r="H1403" s="33"/>
      <c r="I1403" s="33" t="s">
        <v>494</v>
      </c>
      <c r="J1403" s="33"/>
      <c r="K1403" s="34"/>
      <c r="L1403" s="34"/>
      <c r="M1403" s="33"/>
      <c r="N1403" s="33"/>
      <c r="Q1403" s="78"/>
      <c r="Z1403" s="79"/>
      <c r="AA1403" s="80"/>
      <c r="AB1403" s="34"/>
      <c r="AC1403" s="34"/>
      <c r="AD1403" s="33"/>
      <c r="AE1403" s="33"/>
      <c r="AF1403" s="33"/>
      <c r="AG1403" s="33"/>
      <c r="AH1403" s="33"/>
      <c r="AI1403" s="33"/>
      <c r="AJ1403" s="33"/>
      <c r="AK1403" s="33"/>
      <c r="AL1403" s="33"/>
      <c r="AM1403" s="33"/>
      <c r="AN1403" s="33"/>
      <c r="AO1403" s="33"/>
    </row>
    <row r="1404" spans="1:41" ht="19.5" thickTop="1" thickBot="1">
      <c r="A1404" s="1321" t="s">
        <v>467</v>
      </c>
      <c r="B1404" s="1322"/>
      <c r="C1404" s="1323" t="s">
        <v>380</v>
      </c>
      <c r="D1404" s="1323"/>
      <c r="E1404" s="1323" t="s">
        <v>380</v>
      </c>
      <c r="F1404" s="1323"/>
      <c r="G1404" s="250"/>
      <c r="H1404" s="250" t="s">
        <v>468</v>
      </c>
      <c r="I1404" s="1295" t="s">
        <v>402</v>
      </c>
      <c r="J1404" s="1295"/>
      <c r="K1404" s="1295"/>
      <c r="L1404" s="102" t="s">
        <v>403</v>
      </c>
      <c r="M1404" s="1331">
        <v>42610.363814699071</v>
      </c>
      <c r="N1404" s="1331"/>
      <c r="Q1404" s="78"/>
      <c r="Z1404" s="79"/>
      <c r="AA1404" s="80"/>
      <c r="AB1404" s="34"/>
      <c r="AC1404" s="34"/>
      <c r="AD1404" s="33"/>
      <c r="AE1404" s="33"/>
      <c r="AF1404" s="33"/>
      <c r="AG1404" s="33"/>
      <c r="AH1404" s="33"/>
      <c r="AI1404" s="33"/>
      <c r="AJ1404" s="33"/>
      <c r="AK1404" s="33"/>
      <c r="AL1404" s="33"/>
      <c r="AM1404" s="33"/>
      <c r="AN1404" s="33"/>
      <c r="AO1404" s="33"/>
    </row>
    <row r="1405" spans="1:41" ht="19.5" thickTop="1" thickBot="1">
      <c r="A1405" s="1321" t="s">
        <v>469</v>
      </c>
      <c r="B1405" s="1322"/>
      <c r="C1405" s="1323" t="s">
        <v>380</v>
      </c>
      <c r="D1405" s="1323"/>
      <c r="E1405" s="1323" t="s">
        <v>380</v>
      </c>
      <c r="F1405" s="1323"/>
      <c r="G1405" s="250"/>
      <c r="H1405" s="250"/>
      <c r="I1405" s="250"/>
      <c r="J1405" s="250"/>
      <c r="K1405" s="102"/>
      <c r="L1405" s="102"/>
      <c r="M1405" s="33"/>
      <c r="N1405" s="33"/>
      <c r="Q1405" s="78"/>
      <c r="Z1405" s="79"/>
      <c r="AA1405" s="80"/>
      <c r="AB1405" s="34"/>
      <c r="AC1405" s="34"/>
      <c r="AD1405" s="33"/>
      <c r="AE1405" s="33"/>
      <c r="AF1405" s="33"/>
      <c r="AG1405" s="33"/>
      <c r="AH1405" s="33"/>
      <c r="AI1405" s="33"/>
      <c r="AJ1405" s="33"/>
      <c r="AK1405" s="33"/>
      <c r="AL1405" s="33"/>
      <c r="AM1405" s="33"/>
      <c r="AN1405" s="33"/>
      <c r="AO1405" s="33"/>
    </row>
    <row r="1406" spans="1:41" ht="19.5" thickTop="1" thickBot="1">
      <c r="A1406" s="1321" t="s">
        <v>470</v>
      </c>
      <c r="B1406" s="1322"/>
      <c r="C1406" s="1323" t="s">
        <v>380</v>
      </c>
      <c r="D1406" s="1323"/>
      <c r="E1406" s="1323" t="s">
        <v>380</v>
      </c>
      <c r="F1406" s="1323"/>
      <c r="G1406" s="250"/>
      <c r="H1406" s="250"/>
      <c r="I1406" s="250"/>
      <c r="J1406" s="250" t="s">
        <v>471</v>
      </c>
      <c r="K1406" s="102"/>
      <c r="L1406" s="102"/>
      <c r="M1406" s="33"/>
      <c r="N1406" s="33"/>
      <c r="Q1406" s="78"/>
      <c r="Z1406" s="79"/>
      <c r="AA1406" s="80"/>
      <c r="AB1406" s="34"/>
      <c r="AC1406" s="34"/>
      <c r="AD1406" s="33"/>
      <c r="AE1406" s="33"/>
      <c r="AF1406" s="33"/>
      <c r="AG1406" s="33"/>
      <c r="AH1406" s="33"/>
      <c r="AI1406" s="33"/>
      <c r="AJ1406" s="33"/>
      <c r="AK1406" s="33"/>
      <c r="AL1406" s="33"/>
      <c r="AM1406" s="33"/>
      <c r="AN1406" s="33"/>
      <c r="AO1406" s="33"/>
    </row>
    <row r="1407" spans="1:41" ht="24" thickTop="1">
      <c r="A1407" s="34"/>
      <c r="B1407" s="34"/>
      <c r="C1407" s="33"/>
      <c r="D1407" s="33"/>
      <c r="E1407" s="33"/>
      <c r="F1407" s="33"/>
      <c r="G1407" s="33"/>
      <c r="H1407" s="103" t="s">
        <v>406</v>
      </c>
      <c r="I1407" s="33"/>
      <c r="J1407" s="34"/>
      <c r="K1407" s="34"/>
      <c r="L1407" s="33"/>
      <c r="M1407" s="33"/>
      <c r="N1407" s="104"/>
      <c r="Q1407" s="78"/>
      <c r="Z1407" s="79"/>
      <c r="AA1407" s="80"/>
      <c r="AB1407" s="34"/>
      <c r="AC1407" s="34"/>
      <c r="AD1407" s="33"/>
      <c r="AE1407" s="33"/>
      <c r="AF1407" s="33"/>
      <c r="AG1407" s="33"/>
      <c r="AH1407" s="33"/>
      <c r="AI1407" s="33"/>
      <c r="AJ1407" s="33"/>
      <c r="AK1407" s="33"/>
      <c r="AL1407" s="33"/>
      <c r="AM1407" s="33"/>
      <c r="AN1407" s="33"/>
      <c r="AO1407" s="33"/>
    </row>
    <row r="1408" spans="1:41" ht="18">
      <c r="A1408" s="1295" t="s">
        <v>78</v>
      </c>
      <c r="B1408" s="1295"/>
      <c r="C1408" s="1295"/>
      <c r="D1408" s="1295"/>
      <c r="E1408" s="1295"/>
      <c r="F1408" s="1295"/>
      <c r="G1408" s="1295"/>
      <c r="H1408" s="1295"/>
      <c r="I1408" s="1295"/>
      <c r="J1408" s="1295"/>
      <c r="K1408" s="1295"/>
      <c r="L1408" s="1295"/>
      <c r="M1408" s="1295"/>
      <c r="N1408" s="1295"/>
      <c r="Q1408" s="78"/>
      <c r="Z1408" s="79"/>
      <c r="AA1408" s="80"/>
      <c r="AB1408" s="34"/>
      <c r="AC1408" s="34"/>
      <c r="AD1408" s="33"/>
      <c r="AE1408" s="33"/>
      <c r="AF1408" s="33"/>
      <c r="AG1408" s="33"/>
      <c r="AH1408" s="33"/>
      <c r="AI1408" s="33"/>
      <c r="AJ1408" s="33"/>
      <c r="AK1408" s="33"/>
      <c r="AL1408" s="33"/>
      <c r="AM1408" s="33"/>
      <c r="AN1408" s="33"/>
      <c r="AO1408" s="33"/>
    </row>
    <row r="1409" spans="1:41" ht="18">
      <c r="A1409" s="1295" t="s">
        <v>79</v>
      </c>
      <c r="B1409" s="1295"/>
      <c r="C1409" s="1295"/>
      <c r="D1409" s="1295"/>
      <c r="E1409" s="1295"/>
      <c r="F1409" s="1295"/>
      <c r="G1409" s="1295"/>
      <c r="H1409" s="1295"/>
      <c r="I1409" s="1295"/>
      <c r="J1409" s="1295"/>
      <c r="K1409" s="1295"/>
      <c r="L1409" s="1295"/>
      <c r="M1409" s="1295"/>
      <c r="N1409" s="1295"/>
      <c r="Q1409" s="78"/>
      <c r="Z1409" s="79"/>
      <c r="AA1409" s="80"/>
      <c r="AB1409" s="34"/>
      <c r="AC1409" s="34"/>
      <c r="AD1409" s="33"/>
      <c r="AE1409" s="33"/>
      <c r="AF1409" s="33"/>
      <c r="AG1409" s="33"/>
      <c r="AH1409" s="33"/>
      <c r="AI1409" s="33"/>
      <c r="AJ1409" s="33"/>
      <c r="AK1409" s="33"/>
      <c r="AL1409" s="33"/>
      <c r="AM1409" s="33"/>
      <c r="AN1409" s="33"/>
      <c r="AO1409" s="33"/>
    </row>
    <row r="1410" spans="1:41" ht="23.25">
      <c r="A1410" s="168" t="s">
        <v>220</v>
      </c>
      <c r="B1410" s="250"/>
      <c r="C1410" s="250"/>
      <c r="D1410" s="250"/>
      <c r="E1410" s="250"/>
      <c r="F1410" s="250"/>
      <c r="G1410" s="250"/>
      <c r="H1410" s="250"/>
      <c r="I1410" s="250"/>
      <c r="J1410" s="250"/>
      <c r="K1410" s="250"/>
      <c r="L1410" s="250"/>
      <c r="M1410" s="33"/>
      <c r="N1410" s="33"/>
      <c r="Q1410" s="78"/>
      <c r="S1410" s="1294"/>
      <c r="T1410" s="1294"/>
      <c r="U1410" s="1294"/>
      <c r="V1410" s="1294"/>
      <c r="W1410" s="1294"/>
      <c r="Z1410" s="79"/>
      <c r="AA1410" s="80"/>
      <c r="AB1410" s="34"/>
      <c r="AC1410" s="34"/>
      <c r="AD1410" s="33"/>
      <c r="AE1410" s="33"/>
      <c r="AF1410" s="33"/>
      <c r="AG1410" s="33"/>
      <c r="AH1410" s="33"/>
      <c r="AI1410" s="33"/>
      <c r="AJ1410" s="33"/>
      <c r="AK1410" s="33"/>
      <c r="AL1410" s="33"/>
      <c r="AM1410" s="33"/>
      <c r="AN1410" s="33"/>
      <c r="AO1410" s="33"/>
    </row>
    <row r="1411" spans="1:41" ht="18">
      <c r="A1411" s="168" t="s">
        <v>444</v>
      </c>
      <c r="B1411" s="250"/>
      <c r="C1411" s="250"/>
      <c r="D1411" s="250"/>
      <c r="E1411" s="250"/>
      <c r="F1411" s="250"/>
      <c r="G1411" s="250"/>
      <c r="H1411" s="250"/>
      <c r="I1411" s="250"/>
      <c r="J1411" s="250"/>
      <c r="K1411" s="250"/>
      <c r="L1411" s="250"/>
      <c r="M1411" s="33"/>
      <c r="N1411" s="33"/>
      <c r="Q1411" s="78"/>
      <c r="Z1411" s="79"/>
      <c r="AA1411" s="80"/>
      <c r="AB1411" s="34"/>
      <c r="AC1411" s="34"/>
      <c r="AD1411" s="33"/>
      <c r="AE1411" s="33"/>
      <c r="AF1411" s="33"/>
      <c r="AG1411" s="33"/>
      <c r="AH1411" s="33"/>
      <c r="AI1411" s="33"/>
      <c r="AJ1411" s="33"/>
      <c r="AK1411" s="33"/>
      <c r="AL1411" s="33"/>
      <c r="AM1411" s="33"/>
      <c r="AN1411" s="33"/>
      <c r="AO1411" s="33"/>
    </row>
    <row r="1412" spans="1:41" ht="18.75" thickBot="1">
      <c r="A1412" s="250"/>
      <c r="B1412" s="250"/>
      <c r="C1412" s="250"/>
      <c r="D1412" s="250"/>
      <c r="E1412" s="250"/>
      <c r="F1412" s="250"/>
      <c r="G1412" s="250"/>
      <c r="H1412" s="250"/>
      <c r="I1412" s="250"/>
      <c r="J1412" s="250"/>
      <c r="K1412" s="250"/>
      <c r="L1412" s="250"/>
      <c r="M1412" s="33"/>
      <c r="N1412" s="33"/>
      <c r="Q1412" s="78"/>
      <c r="Z1412" s="79"/>
      <c r="AA1412" s="80"/>
      <c r="AB1412" s="34"/>
      <c r="AC1412" s="34"/>
      <c r="AD1412" s="33"/>
      <c r="AE1412" s="33"/>
      <c r="AF1412" s="33"/>
      <c r="AG1412" s="33"/>
      <c r="AH1412" s="33"/>
      <c r="AI1412" s="33"/>
      <c r="AJ1412" s="33"/>
      <c r="AK1412" s="33"/>
      <c r="AL1412" s="33"/>
      <c r="AM1412" s="33"/>
      <c r="AN1412" s="33"/>
      <c r="AO1412" s="33"/>
    </row>
    <row r="1413" spans="1:41" ht="24" thickBot="1">
      <c r="A1413" s="250"/>
      <c r="B1413" s="250"/>
      <c r="C1413" s="1333" t="s">
        <v>446</v>
      </c>
      <c r="D1413" s="1334"/>
      <c r="E1413" s="1334"/>
      <c r="F1413" s="1334"/>
      <c r="G1413" s="1334"/>
      <c r="H1413" s="1334"/>
      <c r="I1413" s="1334"/>
      <c r="J1413" s="1334"/>
      <c r="K1413" s="1334"/>
      <c r="L1413" s="1335"/>
      <c r="M1413" s="33"/>
      <c r="N1413" s="33"/>
      <c r="Q1413" s="78"/>
      <c r="Z1413" s="79"/>
      <c r="AA1413" s="80"/>
      <c r="AB1413" s="34"/>
      <c r="AC1413" s="34"/>
      <c r="AD1413" s="33"/>
      <c r="AE1413" s="33"/>
      <c r="AF1413" s="33"/>
      <c r="AG1413" s="33"/>
      <c r="AH1413" s="33"/>
      <c r="AI1413" s="33"/>
      <c r="AJ1413" s="33"/>
      <c r="AK1413" s="33"/>
      <c r="AL1413" s="33"/>
      <c r="AM1413" s="33"/>
      <c r="AN1413" s="33"/>
      <c r="AO1413" s="33"/>
    </row>
    <row r="1414" spans="1:41" ht="23.25">
      <c r="A1414" s="250"/>
      <c r="B1414" s="250"/>
      <c r="C1414" s="249"/>
      <c r="D1414" s="249"/>
      <c r="E1414" s="249"/>
      <c r="F1414" s="249"/>
      <c r="G1414" s="249"/>
      <c r="H1414" s="249"/>
      <c r="I1414" s="249"/>
      <c r="J1414" s="249"/>
      <c r="K1414" s="249"/>
      <c r="L1414" s="249"/>
      <c r="M1414" s="33"/>
      <c r="N1414" s="33"/>
      <c r="Q1414" s="78"/>
      <c r="Z1414" s="79"/>
      <c r="AA1414" s="80"/>
      <c r="AB1414" s="34"/>
      <c r="AC1414" s="34"/>
      <c r="AD1414" s="33"/>
      <c r="AE1414" s="33"/>
      <c r="AF1414" s="33"/>
      <c r="AG1414" s="33"/>
      <c r="AH1414" s="33"/>
      <c r="AI1414" s="33"/>
      <c r="AJ1414" s="33"/>
      <c r="AK1414" s="33"/>
      <c r="AL1414" s="33"/>
      <c r="AM1414" s="33"/>
      <c r="AN1414" s="33"/>
      <c r="AO1414" s="33"/>
    </row>
    <row r="1415" spans="1:41" ht="23.25">
      <c r="A1415" s="1295" t="s">
        <v>448</v>
      </c>
      <c r="B1415" s="1295"/>
      <c r="C1415" s="1295"/>
      <c r="D1415" s="1294" t="s">
        <v>817</v>
      </c>
      <c r="E1415" s="1294"/>
      <c r="F1415" s="1294"/>
      <c r="G1415" s="1294"/>
      <c r="H1415" s="1294"/>
      <c r="I1415" s="249"/>
      <c r="J1415" s="249"/>
      <c r="K1415" s="249" t="s">
        <v>449</v>
      </c>
      <c r="L1415" s="249"/>
      <c r="M1415" s="1295" t="s">
        <v>380</v>
      </c>
      <c r="N1415" s="1295"/>
      <c r="O1415" s="1293" t="str">
        <f>D1415</f>
        <v>بنابي غوثي</v>
      </c>
      <c r="P1415" s="1293"/>
      <c r="Q1415" s="1293"/>
      <c r="Z1415" s="79"/>
      <c r="AA1415" s="80"/>
      <c r="AB1415" s="34"/>
      <c r="AC1415" s="34"/>
      <c r="AD1415" s="33"/>
      <c r="AE1415" s="33"/>
      <c r="AF1415" s="33"/>
      <c r="AG1415" s="33"/>
      <c r="AH1415" s="33"/>
      <c r="AI1415" s="33"/>
      <c r="AJ1415" s="33"/>
      <c r="AK1415" s="33"/>
      <c r="AL1415" s="33"/>
      <c r="AM1415" s="33"/>
      <c r="AN1415" s="33"/>
      <c r="AO1415" s="33"/>
    </row>
    <row r="1416" spans="1:41" ht="24" thickBot="1">
      <c r="A1416" s="1340" t="s">
        <v>450</v>
      </c>
      <c r="B1416" s="1340"/>
      <c r="C1416" s="1340"/>
      <c r="D1416" s="1340" t="s">
        <v>380</v>
      </c>
      <c r="E1416" s="1340"/>
      <c r="F1416" s="1340"/>
      <c r="G1416" s="1340"/>
      <c r="H1416" s="87"/>
      <c r="I1416" s="1340" t="s">
        <v>452</v>
      </c>
      <c r="J1416" s="1340"/>
      <c r="K1416" s="1340"/>
      <c r="L1416" s="1341" t="s">
        <v>380</v>
      </c>
      <c r="M1416" s="1341"/>
      <c r="N1416" s="1341"/>
      <c r="Q1416" s="78"/>
      <c r="Z1416" s="79"/>
      <c r="AA1416" s="80"/>
      <c r="AB1416" s="34"/>
      <c r="AC1416" s="34"/>
      <c r="AD1416" s="33"/>
      <c r="AE1416" s="33"/>
      <c r="AF1416" s="33"/>
      <c r="AG1416" s="33"/>
      <c r="AH1416" s="33"/>
      <c r="AI1416" s="33"/>
      <c r="AJ1416" s="33"/>
      <c r="AK1416" s="33"/>
      <c r="AL1416" s="33"/>
      <c r="AM1416" s="33"/>
      <c r="AN1416" s="33"/>
      <c r="AO1416" s="33"/>
    </row>
    <row r="1417" spans="1:41" ht="17.25" thickTop="1" thickBot="1">
      <c r="A1417" s="1318" t="s">
        <v>453</v>
      </c>
      <c r="B1417" s="1319"/>
      <c r="C1417" s="88" t="s">
        <v>380</v>
      </c>
      <c r="D1417" s="89" t="s">
        <v>380</v>
      </c>
      <c r="E1417" s="89" t="s">
        <v>380</v>
      </c>
      <c r="F1417" s="89" t="s">
        <v>380</v>
      </c>
      <c r="G1417" s="89" t="s">
        <v>380</v>
      </c>
      <c r="H1417" s="89" t="s">
        <v>380</v>
      </c>
      <c r="I1417" s="89" t="s">
        <v>380</v>
      </c>
      <c r="J1417" s="89" t="s">
        <v>380</v>
      </c>
      <c r="K1417" s="89" t="s">
        <v>380</v>
      </c>
      <c r="L1417" s="89" t="s">
        <v>380</v>
      </c>
      <c r="M1417" s="89" t="s">
        <v>380</v>
      </c>
      <c r="N1417" s="90" t="s">
        <v>380</v>
      </c>
      <c r="Z1417" s="79"/>
      <c r="AA1417" s="80"/>
      <c r="AB1417" s="34"/>
      <c r="AC1417" s="34"/>
      <c r="AD1417" s="33"/>
      <c r="AE1417" s="33"/>
      <c r="AF1417" s="33"/>
      <c r="AG1417" s="33"/>
      <c r="AH1417" s="33"/>
      <c r="AI1417" s="33"/>
      <c r="AJ1417" s="33"/>
      <c r="AK1417" s="33"/>
      <c r="AL1417" s="33"/>
      <c r="AM1417" s="33"/>
      <c r="AN1417" s="33"/>
      <c r="AO1417" s="33"/>
    </row>
    <row r="1418" spans="1:41" ht="16.5" thickBot="1">
      <c r="A1418" s="1329" t="s">
        <v>454</v>
      </c>
      <c r="B1418" s="1330"/>
      <c r="C1418" s="91" t="s">
        <v>380</v>
      </c>
      <c r="D1418" s="210" t="s">
        <v>380</v>
      </c>
      <c r="E1418" s="210" t="s">
        <v>380</v>
      </c>
      <c r="F1418" s="210" t="s">
        <v>380</v>
      </c>
      <c r="G1418" s="210" t="s">
        <v>380</v>
      </c>
      <c r="H1418" s="210" t="s">
        <v>380</v>
      </c>
      <c r="I1418" s="210" t="s">
        <v>380</v>
      </c>
      <c r="J1418" s="210" t="s">
        <v>380</v>
      </c>
      <c r="K1418" s="210" t="s">
        <v>380</v>
      </c>
      <c r="L1418" s="210" t="s">
        <v>380</v>
      </c>
      <c r="M1418" s="210" t="s">
        <v>380</v>
      </c>
      <c r="N1418" s="92" t="s">
        <v>380</v>
      </c>
      <c r="R1418" s="78"/>
      <c r="Z1418" s="79"/>
      <c r="AA1418" s="80"/>
      <c r="AB1418" s="34"/>
      <c r="AC1418" s="34"/>
      <c r="AD1418" s="33"/>
      <c r="AE1418" s="33"/>
      <c r="AF1418" s="33"/>
      <c r="AG1418" s="33"/>
      <c r="AH1418" s="33"/>
      <c r="AI1418" s="33"/>
      <c r="AJ1418" s="33"/>
      <c r="AK1418" s="33"/>
      <c r="AL1418" s="33"/>
      <c r="AM1418" s="33"/>
      <c r="AN1418" s="33"/>
      <c r="AO1418" s="33"/>
    </row>
    <row r="1419" spans="1:41" ht="16.5" thickBot="1">
      <c r="A1419" s="1329" t="s">
        <v>455</v>
      </c>
      <c r="B1419" s="1330"/>
      <c r="C1419" s="91" t="s">
        <v>380</v>
      </c>
      <c r="D1419" s="210" t="s">
        <v>380</v>
      </c>
      <c r="E1419" s="210" t="s">
        <v>380</v>
      </c>
      <c r="F1419" s="210" t="s">
        <v>380</v>
      </c>
      <c r="G1419" s="210" t="s">
        <v>380</v>
      </c>
      <c r="H1419" s="210" t="s">
        <v>380</v>
      </c>
      <c r="I1419" s="210" t="s">
        <v>380</v>
      </c>
      <c r="J1419" s="210" t="s">
        <v>380</v>
      </c>
      <c r="K1419" s="210" t="s">
        <v>380</v>
      </c>
      <c r="L1419" s="210" t="s">
        <v>380</v>
      </c>
      <c r="M1419" s="210" t="s">
        <v>380</v>
      </c>
      <c r="N1419" s="92" t="s">
        <v>380</v>
      </c>
      <c r="R1419" s="78"/>
      <c r="Z1419" s="79"/>
      <c r="AA1419" s="80"/>
      <c r="AB1419" s="34"/>
      <c r="AC1419" s="34"/>
      <c r="AD1419" s="33"/>
      <c r="AE1419" s="33"/>
      <c r="AF1419" s="33"/>
      <c r="AG1419" s="33"/>
      <c r="AH1419" s="33"/>
      <c r="AI1419" s="33"/>
      <c r="AJ1419" s="33"/>
      <c r="AK1419" s="33"/>
      <c r="AL1419" s="33"/>
      <c r="AM1419" s="33"/>
      <c r="AN1419" s="33"/>
      <c r="AO1419" s="33"/>
    </row>
    <row r="1420" spans="1:41" ht="16.5" thickBot="1">
      <c r="A1420" s="1327" t="s">
        <v>456</v>
      </c>
      <c r="B1420" s="1328"/>
      <c r="C1420" s="93" t="s">
        <v>380</v>
      </c>
      <c r="D1420" s="94" t="s">
        <v>380</v>
      </c>
      <c r="E1420" s="94" t="s">
        <v>380</v>
      </c>
      <c r="F1420" s="94" t="s">
        <v>380</v>
      </c>
      <c r="G1420" s="94" t="s">
        <v>380</v>
      </c>
      <c r="H1420" s="94" t="s">
        <v>380</v>
      </c>
      <c r="I1420" s="94" t="s">
        <v>380</v>
      </c>
      <c r="J1420" s="94" t="s">
        <v>380</v>
      </c>
      <c r="K1420" s="94" t="s">
        <v>380</v>
      </c>
      <c r="L1420" s="94" t="s">
        <v>380</v>
      </c>
      <c r="M1420" s="94" t="s">
        <v>380</v>
      </c>
      <c r="N1420" s="95" t="s">
        <v>380</v>
      </c>
      <c r="Z1420" s="79"/>
      <c r="AA1420" s="80"/>
      <c r="AB1420" s="34"/>
      <c r="AC1420" s="34"/>
      <c r="AD1420" s="33"/>
      <c r="AE1420" s="33"/>
      <c r="AF1420" s="33"/>
      <c r="AG1420" s="33"/>
      <c r="AH1420" s="33"/>
      <c r="AI1420" s="33"/>
      <c r="AJ1420" s="33"/>
      <c r="AK1420" s="33"/>
      <c r="AL1420" s="33"/>
      <c r="AM1420" s="33"/>
      <c r="AN1420" s="33"/>
      <c r="AO1420" s="33"/>
    </row>
    <row r="1421" spans="1:41" ht="21" thickTop="1">
      <c r="A1421" s="96"/>
      <c r="B1421" s="96"/>
      <c r="C1421" s="96"/>
      <c r="D1421" s="96"/>
      <c r="E1421" s="1326" t="s">
        <v>457</v>
      </c>
      <c r="F1421" s="1310"/>
      <c r="G1421" s="97">
        <v>18</v>
      </c>
      <c r="H1421" s="1310" t="s">
        <v>458</v>
      </c>
      <c r="I1421" s="1311"/>
      <c r="J1421" s="1310" t="s">
        <v>459</v>
      </c>
      <c r="K1421" s="1311"/>
      <c r="L1421" s="96"/>
      <c r="M1421" s="96"/>
      <c r="N1421" s="96"/>
      <c r="Q1421" s="78"/>
      <c r="Z1421" s="79"/>
      <c r="AA1421" s="80"/>
      <c r="AB1421" s="34"/>
      <c r="AC1421" s="34"/>
      <c r="AD1421" s="33"/>
      <c r="AE1421" s="33"/>
      <c r="AF1421" s="33"/>
      <c r="AG1421" s="33"/>
      <c r="AH1421" s="33"/>
      <c r="AI1421" s="33"/>
      <c r="AJ1421" s="33"/>
      <c r="AK1421" s="33"/>
      <c r="AL1421" s="33"/>
      <c r="AM1421" s="33"/>
      <c r="AN1421" s="33"/>
      <c r="AO1421" s="33"/>
    </row>
    <row r="1422" spans="1:41" ht="23.25">
      <c r="A1422" s="96"/>
      <c r="B1422" s="96"/>
      <c r="C1422" s="96"/>
      <c r="D1422" s="96"/>
      <c r="E1422" s="1307" t="s">
        <v>460</v>
      </c>
      <c r="F1422" s="1308"/>
      <c r="G1422" s="98">
        <v>0</v>
      </c>
      <c r="H1422" s="1312">
        <v>0</v>
      </c>
      <c r="I1422" s="1312"/>
      <c r="J1422" s="1312">
        <v>0</v>
      </c>
      <c r="K1422" s="1313"/>
      <c r="L1422" s="96"/>
      <c r="M1422" s="96"/>
      <c r="N1422" s="96"/>
      <c r="Q1422" s="78" t="e">
        <f>G1295+H1295+H1297+J1295</f>
        <v>#VALUE!</v>
      </c>
      <c r="Z1422" s="79"/>
      <c r="AA1422" s="80"/>
      <c r="AB1422" s="34"/>
      <c r="AC1422" s="34"/>
      <c r="AD1422" s="33"/>
      <c r="AE1422" s="33"/>
      <c r="AF1422" s="33"/>
      <c r="AG1422" s="33"/>
      <c r="AH1422" s="33"/>
      <c r="AI1422" s="33"/>
      <c r="AJ1422" s="33"/>
      <c r="AK1422" s="33"/>
      <c r="AL1422" s="33"/>
      <c r="AM1422" s="33"/>
      <c r="AN1422" s="33"/>
      <c r="AO1422" s="33"/>
    </row>
    <row r="1423" spans="1:41" ht="20.25">
      <c r="A1423" s="96"/>
      <c r="B1423" s="96"/>
      <c r="C1423" s="96"/>
      <c r="D1423" s="96"/>
      <c r="E1423" s="1307" t="s">
        <v>461</v>
      </c>
      <c r="F1423" s="1308"/>
      <c r="G1423" s="99">
        <v>18</v>
      </c>
      <c r="H1423" s="1308" t="s">
        <v>462</v>
      </c>
      <c r="I1423" s="1308"/>
      <c r="J1423" s="1308" t="s">
        <v>463</v>
      </c>
      <c r="K1423" s="1309"/>
      <c r="L1423" s="96"/>
      <c r="M1423" s="96"/>
      <c r="N1423" s="96"/>
      <c r="Q1423" s="78"/>
      <c r="Z1423" s="79"/>
      <c r="AA1423" s="80"/>
      <c r="AB1423" s="34"/>
      <c r="AC1423" s="34"/>
      <c r="AD1423" s="33"/>
      <c r="AE1423" s="33"/>
      <c r="AF1423" s="33"/>
      <c r="AG1423" s="33"/>
      <c r="AH1423" s="33"/>
      <c r="AI1423" s="33"/>
      <c r="AJ1423" s="33"/>
      <c r="AK1423" s="33"/>
      <c r="AL1423" s="33"/>
      <c r="AM1423" s="33"/>
      <c r="AN1423" s="33"/>
      <c r="AO1423" s="33"/>
    </row>
    <row r="1424" spans="1:41" ht="24" thickBot="1">
      <c r="A1424" s="96"/>
      <c r="B1424" s="96"/>
      <c r="C1424" s="96"/>
      <c r="D1424" s="96"/>
      <c r="E1424" s="1303" t="s">
        <v>464</v>
      </c>
      <c r="F1424" s="1304"/>
      <c r="G1424" s="99">
        <v>0</v>
      </c>
      <c r="H1424" s="1305">
        <v>0</v>
      </c>
      <c r="I1424" s="1305"/>
      <c r="J1424" s="1305">
        <v>0</v>
      </c>
      <c r="K1424" s="1306"/>
      <c r="L1424" s="96"/>
      <c r="M1424" s="96"/>
      <c r="N1424" s="96"/>
      <c r="Q1424" s="78"/>
      <c r="Z1424" s="79"/>
      <c r="AA1424" s="80"/>
      <c r="AB1424" s="34"/>
      <c r="AC1424" s="34"/>
      <c r="AD1424" s="33"/>
      <c r="AE1424" s="33"/>
      <c r="AF1424" s="33"/>
      <c r="AG1424" s="33"/>
      <c r="AH1424" s="33"/>
      <c r="AI1424" s="33"/>
      <c r="AJ1424" s="33"/>
      <c r="AK1424" s="33"/>
      <c r="AL1424" s="33"/>
      <c r="AM1424" s="33"/>
      <c r="AN1424" s="33"/>
      <c r="AO1424" s="33"/>
    </row>
    <row r="1425" spans="1:41" ht="17.25" thickTop="1" thickBot="1">
      <c r="A1425" s="34"/>
      <c r="B1425" s="34"/>
      <c r="C1425" s="1299" t="s">
        <v>465</v>
      </c>
      <c r="D1425" s="1299"/>
      <c r="E1425" s="1299" t="s">
        <v>360</v>
      </c>
      <c r="F1425" s="1299"/>
      <c r="G1425" s="1302" t="s">
        <v>368</v>
      </c>
      <c r="H1425" s="1302"/>
      <c r="I1425" s="1302" t="s">
        <v>369</v>
      </c>
      <c r="J1425" s="1302"/>
      <c r="K1425" s="1302" t="s">
        <v>370</v>
      </c>
      <c r="L1425" s="1299"/>
      <c r="M1425" s="1299" t="s">
        <v>371</v>
      </c>
      <c r="N1425" s="1299"/>
      <c r="Q1425" s="78"/>
      <c r="Z1425" s="79"/>
      <c r="AA1425" s="80"/>
      <c r="AB1425" s="34"/>
      <c r="AC1425" s="34"/>
      <c r="AD1425" s="33"/>
      <c r="AE1425" s="33"/>
      <c r="AF1425" s="33"/>
      <c r="AG1425" s="33"/>
      <c r="AH1425" s="33"/>
      <c r="AI1425" s="33"/>
      <c r="AJ1425" s="33"/>
      <c r="AK1425" s="33"/>
      <c r="AL1425" s="33"/>
      <c r="AM1425" s="33"/>
      <c r="AN1425" s="33"/>
      <c r="AO1425" s="33"/>
    </row>
    <row r="1426" spans="1:41" ht="17.25" thickTop="1" thickBot="1">
      <c r="A1426" s="34"/>
      <c r="B1426" s="34"/>
      <c r="C1426" s="1299" t="s">
        <v>372</v>
      </c>
      <c r="D1426" s="1299"/>
      <c r="E1426" s="1297" t="s">
        <v>380</v>
      </c>
      <c r="F1426" s="1297"/>
      <c r="G1426" s="1297" t="s">
        <v>380</v>
      </c>
      <c r="H1426" s="1297"/>
      <c r="I1426" s="1297" t="s">
        <v>380</v>
      </c>
      <c r="J1426" s="1297"/>
      <c r="K1426" s="1297" t="s">
        <v>380</v>
      </c>
      <c r="L1426" s="1297"/>
      <c r="M1426" s="1297" t="s">
        <v>380</v>
      </c>
      <c r="N1426" s="1297"/>
      <c r="Q1426" s="78"/>
      <c r="Z1426" s="79"/>
      <c r="AA1426" s="80"/>
      <c r="AB1426" s="34"/>
      <c r="AC1426" s="34"/>
      <c r="AD1426" s="33"/>
      <c r="AE1426" s="33"/>
      <c r="AF1426" s="33"/>
      <c r="AG1426" s="33"/>
      <c r="AH1426" s="33"/>
      <c r="AI1426" s="33"/>
      <c r="AJ1426" s="33"/>
      <c r="AK1426" s="33"/>
      <c r="AL1426" s="33"/>
      <c r="AM1426" s="33"/>
      <c r="AN1426" s="33"/>
      <c r="AO1426" s="33"/>
    </row>
    <row r="1427" spans="1:41" ht="17.25" thickTop="1" thickBot="1">
      <c r="A1427" s="34"/>
      <c r="B1427" s="34"/>
      <c r="C1427" s="1299" t="s">
        <v>373</v>
      </c>
      <c r="D1427" s="1299"/>
      <c r="E1427" s="1297" t="s">
        <v>380</v>
      </c>
      <c r="F1427" s="1297"/>
      <c r="G1427" s="1297" t="s">
        <v>380</v>
      </c>
      <c r="H1427" s="1297"/>
      <c r="I1427" s="1297" t="s">
        <v>380</v>
      </c>
      <c r="J1427" s="1297"/>
      <c r="K1427" s="1297" t="s">
        <v>380</v>
      </c>
      <c r="L1427" s="1297"/>
      <c r="M1427" s="1297" t="s">
        <v>380</v>
      </c>
      <c r="N1427" s="1297"/>
      <c r="Q1427" s="78"/>
      <c r="Z1427" s="79"/>
      <c r="AA1427" s="80"/>
      <c r="AB1427" s="34"/>
      <c r="AC1427" s="34"/>
      <c r="AD1427" s="33"/>
      <c r="AE1427" s="33"/>
      <c r="AF1427" s="33"/>
      <c r="AG1427" s="33"/>
      <c r="AH1427" s="33"/>
      <c r="AI1427" s="33"/>
      <c r="AJ1427" s="33"/>
      <c r="AK1427" s="33"/>
      <c r="AL1427" s="33"/>
      <c r="AM1427" s="33"/>
      <c r="AN1427" s="33"/>
      <c r="AO1427" s="33"/>
    </row>
    <row r="1428" spans="1:41" ht="17.25" thickTop="1" thickBot="1">
      <c r="A1428" s="34"/>
      <c r="B1428" s="34"/>
      <c r="C1428" s="1299" t="s">
        <v>374</v>
      </c>
      <c r="D1428" s="1299"/>
      <c r="E1428" s="1297" t="s">
        <v>380</v>
      </c>
      <c r="F1428" s="1297"/>
      <c r="G1428" s="1297" t="s">
        <v>380</v>
      </c>
      <c r="H1428" s="1297"/>
      <c r="I1428" s="1297" t="s">
        <v>380</v>
      </c>
      <c r="J1428" s="1297"/>
      <c r="K1428" s="1297" t="s">
        <v>380</v>
      </c>
      <c r="L1428" s="1297"/>
      <c r="M1428" s="1297" t="s">
        <v>380</v>
      </c>
      <c r="N1428" s="1297"/>
      <c r="Q1428" s="78"/>
      <c r="Z1428" s="79"/>
      <c r="AA1428" s="80"/>
      <c r="AB1428" s="34"/>
      <c r="AC1428" s="34"/>
      <c r="AD1428" s="33"/>
      <c r="AE1428" s="33"/>
      <c r="AF1428" s="33"/>
      <c r="AG1428" s="33"/>
      <c r="AH1428" s="33"/>
      <c r="AI1428" s="33"/>
      <c r="AJ1428" s="33"/>
      <c r="AK1428" s="33"/>
      <c r="AL1428" s="33"/>
      <c r="AM1428" s="33"/>
      <c r="AN1428" s="33"/>
      <c r="AO1428" s="33"/>
    </row>
    <row r="1429" spans="1:41" ht="17.25" thickTop="1" thickBot="1">
      <c r="A1429" s="34"/>
      <c r="B1429" s="34"/>
      <c r="C1429" s="1299" t="s">
        <v>375</v>
      </c>
      <c r="D1429" s="1299"/>
      <c r="E1429" s="1297" t="s">
        <v>380</v>
      </c>
      <c r="F1429" s="1297"/>
      <c r="G1429" s="1297" t="s">
        <v>380</v>
      </c>
      <c r="H1429" s="1297"/>
      <c r="I1429" s="1297" t="s">
        <v>380</v>
      </c>
      <c r="J1429" s="1297"/>
      <c r="K1429" s="1297" t="s">
        <v>380</v>
      </c>
      <c r="L1429" s="1297"/>
      <c r="M1429" s="1297" t="s">
        <v>380</v>
      </c>
      <c r="N1429" s="1297"/>
      <c r="Q1429" s="78"/>
      <c r="Z1429" s="79"/>
      <c r="AA1429" s="80"/>
      <c r="AB1429" s="34"/>
      <c r="AC1429" s="34"/>
      <c r="AD1429" s="33"/>
      <c r="AE1429" s="33"/>
      <c r="AF1429" s="33"/>
      <c r="AG1429" s="33"/>
      <c r="AH1429" s="33"/>
      <c r="AI1429" s="33"/>
      <c r="AJ1429" s="33"/>
      <c r="AK1429" s="33"/>
      <c r="AL1429" s="33"/>
      <c r="AM1429" s="33"/>
      <c r="AN1429" s="33"/>
      <c r="AO1429" s="33"/>
    </row>
    <row r="1430" spans="1:41" ht="17.25" thickTop="1" thickBot="1">
      <c r="A1430" s="34"/>
      <c r="B1430" s="34"/>
      <c r="C1430" s="101"/>
      <c r="D1430" s="101"/>
      <c r="E1430" s="33"/>
      <c r="F1430" s="33"/>
      <c r="G1430" s="33"/>
      <c r="H1430" s="33"/>
      <c r="I1430" s="33"/>
      <c r="J1430" s="33"/>
      <c r="K1430" s="34"/>
      <c r="L1430" s="34"/>
      <c r="M1430" s="33"/>
      <c r="N1430" s="33"/>
      <c r="Q1430" s="78"/>
      <c r="Z1430" s="79"/>
      <c r="AA1430" s="80"/>
      <c r="AB1430" s="34"/>
      <c r="AC1430" s="34"/>
      <c r="AD1430" s="33"/>
      <c r="AE1430" s="33"/>
      <c r="AF1430" s="33"/>
      <c r="AG1430" s="33"/>
      <c r="AH1430" s="33"/>
      <c r="AI1430" s="33"/>
      <c r="AJ1430" s="33"/>
      <c r="AK1430" s="33"/>
      <c r="AL1430" s="33"/>
      <c r="AM1430" s="33"/>
      <c r="AN1430" s="33"/>
      <c r="AO1430" s="33"/>
    </row>
    <row r="1431" spans="1:41" ht="17.25" thickTop="1" thickBot="1">
      <c r="A1431" s="34"/>
      <c r="B1431" s="34"/>
      <c r="C1431" s="1299" t="s">
        <v>376</v>
      </c>
      <c r="D1431" s="1299"/>
      <c r="E1431" s="1297" t="s">
        <v>380</v>
      </c>
      <c r="F1431" s="1297"/>
      <c r="G1431" s="1297" t="s">
        <v>380</v>
      </c>
      <c r="H1431" s="1297"/>
      <c r="I1431" s="1297" t="s">
        <v>380</v>
      </c>
      <c r="J1431" s="1297"/>
      <c r="K1431" s="1297" t="s">
        <v>380</v>
      </c>
      <c r="L1431" s="1297"/>
      <c r="M1431" s="1297" t="s">
        <v>380</v>
      </c>
      <c r="N1431" s="1297"/>
      <c r="Q1431" s="78"/>
      <c r="Z1431" s="79"/>
      <c r="AA1431" s="80"/>
      <c r="AB1431" s="34"/>
      <c r="AC1431" s="34"/>
      <c r="AD1431" s="33"/>
      <c r="AE1431" s="33"/>
      <c r="AF1431" s="33"/>
      <c r="AG1431" s="33"/>
      <c r="AH1431" s="33"/>
      <c r="AI1431" s="33"/>
      <c r="AJ1431" s="33"/>
      <c r="AK1431" s="33"/>
      <c r="AL1431" s="33"/>
      <c r="AM1431" s="33"/>
      <c r="AN1431" s="33"/>
      <c r="AO1431" s="33"/>
    </row>
    <row r="1432" spans="1:41" ht="17.25" thickTop="1" thickBot="1">
      <c r="A1432" s="34"/>
      <c r="B1432" s="34"/>
      <c r="C1432" s="1299" t="s">
        <v>377</v>
      </c>
      <c r="D1432" s="1299"/>
      <c r="E1432" s="1297" t="s">
        <v>380</v>
      </c>
      <c r="F1432" s="1297"/>
      <c r="G1432" s="1297" t="s">
        <v>380</v>
      </c>
      <c r="H1432" s="1297"/>
      <c r="I1432" s="1297" t="s">
        <v>380</v>
      </c>
      <c r="J1432" s="1297"/>
      <c r="K1432" s="1297" t="s">
        <v>380</v>
      </c>
      <c r="L1432" s="1297"/>
      <c r="M1432" s="1297" t="s">
        <v>380</v>
      </c>
      <c r="N1432" s="1297"/>
      <c r="Q1432" s="78"/>
      <c r="Z1432" s="79"/>
      <c r="AA1432" s="80"/>
      <c r="AB1432" s="34"/>
      <c r="AC1432" s="34"/>
      <c r="AD1432" s="33"/>
      <c r="AE1432" s="33"/>
      <c r="AF1432" s="33"/>
      <c r="AG1432" s="33"/>
      <c r="AH1432" s="33"/>
      <c r="AI1432" s="33"/>
      <c r="AJ1432" s="33"/>
      <c r="AK1432" s="33"/>
      <c r="AL1432" s="33"/>
      <c r="AM1432" s="33"/>
      <c r="AN1432" s="33"/>
      <c r="AO1432" s="33"/>
    </row>
    <row r="1433" spans="1:41" ht="17.25" thickTop="1" thickBot="1">
      <c r="A1433" s="34"/>
      <c r="B1433" s="34"/>
      <c r="C1433" s="1299" t="s">
        <v>378</v>
      </c>
      <c r="D1433" s="1299"/>
      <c r="E1433" s="1297" t="s">
        <v>380</v>
      </c>
      <c r="F1433" s="1297"/>
      <c r="G1433" s="1297" t="s">
        <v>380</v>
      </c>
      <c r="H1433" s="1297"/>
      <c r="I1433" s="1297" t="s">
        <v>380</v>
      </c>
      <c r="J1433" s="1297"/>
      <c r="K1433" s="1297" t="s">
        <v>380</v>
      </c>
      <c r="L1433" s="1297"/>
      <c r="M1433" s="1297" t="s">
        <v>380</v>
      </c>
      <c r="N1433" s="1297"/>
      <c r="Q1433" s="78"/>
      <c r="Z1433" s="79"/>
      <c r="AA1433" s="80"/>
      <c r="AB1433" s="34"/>
      <c r="AC1433" s="34"/>
      <c r="AD1433" s="33"/>
      <c r="AE1433" s="33"/>
      <c r="AF1433" s="33"/>
      <c r="AG1433" s="33"/>
      <c r="AH1433" s="33"/>
      <c r="AI1433" s="33"/>
      <c r="AJ1433" s="33"/>
      <c r="AK1433" s="33"/>
      <c r="AL1433" s="33"/>
      <c r="AM1433" s="33"/>
      <c r="AN1433" s="33"/>
      <c r="AO1433" s="33"/>
    </row>
    <row r="1434" spans="1:41" ht="17.25" thickTop="1" thickBot="1">
      <c r="A1434" s="34"/>
      <c r="B1434" s="34"/>
      <c r="C1434" s="1299" t="s">
        <v>379</v>
      </c>
      <c r="D1434" s="1299"/>
      <c r="E1434" s="1297" t="s">
        <v>380</v>
      </c>
      <c r="F1434" s="1297"/>
      <c r="G1434" s="1297" t="s">
        <v>380</v>
      </c>
      <c r="H1434" s="1297"/>
      <c r="I1434" s="1297" t="s">
        <v>380</v>
      </c>
      <c r="J1434" s="1297"/>
      <c r="K1434" s="1297" t="s">
        <v>380</v>
      </c>
      <c r="L1434" s="1297"/>
      <c r="M1434" s="1297" t="s">
        <v>380</v>
      </c>
      <c r="N1434" s="1297"/>
      <c r="Q1434" s="78"/>
      <c r="Z1434" s="79"/>
      <c r="AA1434" s="80"/>
      <c r="AB1434" s="34"/>
      <c r="AC1434" s="34"/>
      <c r="AD1434" s="33"/>
      <c r="AE1434" s="33"/>
      <c r="AF1434" s="33"/>
      <c r="AG1434" s="33"/>
      <c r="AH1434" s="33"/>
      <c r="AI1434" s="33"/>
      <c r="AJ1434" s="33"/>
      <c r="AK1434" s="33"/>
      <c r="AL1434" s="33"/>
      <c r="AM1434" s="33"/>
      <c r="AN1434" s="33"/>
      <c r="AO1434" s="33"/>
    </row>
    <row r="1435" spans="1:41" ht="17.25" thickTop="1" thickBot="1">
      <c r="A1435" s="34"/>
      <c r="B1435" s="34"/>
      <c r="C1435" s="33"/>
      <c r="D1435" s="33"/>
      <c r="E1435" s="33"/>
      <c r="F1435" s="33"/>
      <c r="G1435" s="33"/>
      <c r="H1435" s="33"/>
      <c r="I1435" s="33" t="s">
        <v>494</v>
      </c>
      <c r="J1435" s="33"/>
      <c r="K1435" s="34"/>
      <c r="L1435" s="34"/>
      <c r="M1435" s="33"/>
      <c r="N1435" s="33"/>
      <c r="Q1435" s="78"/>
      <c r="Z1435" s="79"/>
      <c r="AA1435" s="80"/>
      <c r="AB1435" s="34"/>
      <c r="AC1435" s="34"/>
      <c r="AD1435" s="33"/>
      <c r="AE1435" s="33"/>
      <c r="AF1435" s="33"/>
      <c r="AG1435" s="33"/>
      <c r="AH1435" s="33"/>
      <c r="AI1435" s="33"/>
      <c r="AJ1435" s="33"/>
      <c r="AK1435" s="33"/>
      <c r="AL1435" s="33"/>
      <c r="AM1435" s="33"/>
      <c r="AN1435" s="33"/>
      <c r="AO1435" s="33"/>
    </row>
    <row r="1436" spans="1:41" ht="19.5" thickTop="1" thickBot="1">
      <c r="A1436" s="1321" t="s">
        <v>467</v>
      </c>
      <c r="B1436" s="1322"/>
      <c r="C1436" s="1323" t="s">
        <v>380</v>
      </c>
      <c r="D1436" s="1323"/>
      <c r="E1436" s="1323" t="s">
        <v>380</v>
      </c>
      <c r="F1436" s="1323"/>
      <c r="G1436" s="250"/>
      <c r="H1436" s="250" t="s">
        <v>468</v>
      </c>
      <c r="I1436" s="1295" t="s">
        <v>402</v>
      </c>
      <c r="J1436" s="1295"/>
      <c r="K1436" s="1295"/>
      <c r="L1436" s="102" t="s">
        <v>403</v>
      </c>
      <c r="M1436" s="1331">
        <v>42610.363814699071</v>
      </c>
      <c r="N1436" s="1331"/>
      <c r="Q1436" s="78"/>
      <c r="Z1436" s="79"/>
      <c r="AA1436" s="80"/>
      <c r="AB1436" s="34"/>
      <c r="AC1436" s="34"/>
      <c r="AD1436" s="33"/>
      <c r="AE1436" s="33"/>
      <c r="AF1436" s="33"/>
      <c r="AG1436" s="33"/>
      <c r="AH1436" s="33"/>
      <c r="AI1436" s="33"/>
      <c r="AJ1436" s="33"/>
      <c r="AK1436" s="33"/>
      <c r="AL1436" s="33"/>
      <c r="AM1436" s="33"/>
      <c r="AN1436" s="33"/>
      <c r="AO1436" s="33"/>
    </row>
    <row r="1437" spans="1:41" ht="19.5" thickTop="1" thickBot="1">
      <c r="A1437" s="1321" t="s">
        <v>469</v>
      </c>
      <c r="B1437" s="1322"/>
      <c r="C1437" s="1323" t="s">
        <v>380</v>
      </c>
      <c r="D1437" s="1323"/>
      <c r="E1437" s="1323" t="s">
        <v>380</v>
      </c>
      <c r="F1437" s="1323"/>
      <c r="G1437" s="250"/>
      <c r="H1437" s="250"/>
      <c r="I1437" s="250"/>
      <c r="J1437" s="250"/>
      <c r="K1437" s="102"/>
      <c r="L1437" s="102"/>
      <c r="M1437" s="33"/>
      <c r="N1437" s="33"/>
      <c r="AE1437" s="33"/>
      <c r="AF1437" s="33"/>
      <c r="AG1437" s="33"/>
      <c r="AH1437" s="33"/>
      <c r="AI1437" s="33"/>
      <c r="AJ1437" s="33"/>
      <c r="AK1437" s="33"/>
      <c r="AL1437" s="33"/>
      <c r="AM1437" s="33"/>
      <c r="AN1437" s="33"/>
      <c r="AO1437" s="33"/>
    </row>
    <row r="1438" spans="1:41" ht="19.5" thickTop="1" thickBot="1">
      <c r="A1438" s="1321" t="s">
        <v>470</v>
      </c>
      <c r="B1438" s="1322"/>
      <c r="C1438" s="1323" t="s">
        <v>380</v>
      </c>
      <c r="D1438" s="1323"/>
      <c r="E1438" s="1323" t="s">
        <v>380</v>
      </c>
      <c r="F1438" s="1323"/>
      <c r="G1438" s="250"/>
      <c r="H1438" s="250"/>
      <c r="I1438" s="250"/>
      <c r="J1438" s="250" t="s">
        <v>471</v>
      </c>
      <c r="K1438" s="102"/>
      <c r="L1438" s="102"/>
      <c r="M1438" s="33"/>
      <c r="N1438" s="33"/>
      <c r="AE1438" s="33"/>
      <c r="AF1438" s="33"/>
      <c r="AG1438" s="33"/>
      <c r="AH1438" s="33"/>
      <c r="AI1438" s="33"/>
      <c r="AJ1438" s="33"/>
      <c r="AK1438" s="33"/>
      <c r="AL1438" s="33"/>
      <c r="AM1438" s="33"/>
      <c r="AN1438" s="33"/>
      <c r="AO1438" s="33"/>
    </row>
    <row r="1439" spans="1:41" ht="24" thickTop="1">
      <c r="A1439" s="34"/>
      <c r="B1439" s="34"/>
      <c r="C1439" s="33"/>
      <c r="D1439" s="33"/>
      <c r="E1439" s="33"/>
      <c r="F1439" s="33"/>
      <c r="G1439" s="33"/>
      <c r="H1439" s="103" t="s">
        <v>406</v>
      </c>
      <c r="I1439" s="33"/>
      <c r="J1439" s="34"/>
      <c r="K1439" s="34"/>
      <c r="L1439" s="33"/>
      <c r="M1439" s="33"/>
      <c r="N1439" s="104"/>
      <c r="AE1439" s="33"/>
      <c r="AF1439" s="33"/>
      <c r="AG1439" s="33"/>
      <c r="AH1439" s="33"/>
      <c r="AI1439" s="33"/>
      <c r="AJ1439" s="33"/>
      <c r="AK1439" s="33"/>
      <c r="AL1439" s="33"/>
      <c r="AM1439" s="33"/>
      <c r="AN1439" s="33"/>
      <c r="AO1439" s="33"/>
    </row>
    <row r="1440" spans="1:41" ht="18">
      <c r="A1440" s="1295" t="s">
        <v>78</v>
      </c>
      <c r="B1440" s="1295"/>
      <c r="C1440" s="1295"/>
      <c r="D1440" s="1295"/>
      <c r="E1440" s="1295"/>
      <c r="F1440" s="1295"/>
      <c r="G1440" s="1295"/>
      <c r="H1440" s="1295"/>
      <c r="I1440" s="1295"/>
      <c r="J1440" s="1295"/>
      <c r="K1440" s="1295"/>
      <c r="L1440" s="1295"/>
      <c r="M1440" s="1295"/>
      <c r="N1440" s="1295"/>
      <c r="O1440" s="77"/>
      <c r="P1440" s="77"/>
      <c r="AE1440" s="33"/>
      <c r="AF1440" s="33"/>
      <c r="AG1440" s="33"/>
      <c r="AH1440" s="33"/>
      <c r="AI1440" s="33"/>
      <c r="AJ1440" s="33"/>
      <c r="AK1440" s="33"/>
      <c r="AL1440" s="33"/>
      <c r="AM1440" s="33"/>
      <c r="AN1440" s="33"/>
      <c r="AO1440" s="33"/>
    </row>
    <row r="1441" spans="1:41" ht="18">
      <c r="A1441" s="1295" t="s">
        <v>79</v>
      </c>
      <c r="B1441" s="1295"/>
      <c r="C1441" s="1295"/>
      <c r="D1441" s="1295"/>
      <c r="E1441" s="1295"/>
      <c r="F1441" s="1295"/>
      <c r="G1441" s="1295"/>
      <c r="H1441" s="1295"/>
      <c r="I1441" s="1295"/>
      <c r="J1441" s="1295"/>
      <c r="K1441" s="1295"/>
      <c r="L1441" s="1295"/>
      <c r="M1441" s="1295"/>
      <c r="N1441" s="1295"/>
      <c r="O1441" s="77"/>
      <c r="P1441" s="77"/>
      <c r="AE1441" s="33"/>
      <c r="AF1441" s="33"/>
      <c r="AG1441" s="33"/>
      <c r="AH1441" s="33"/>
      <c r="AI1441" s="33"/>
      <c r="AJ1441" s="33"/>
      <c r="AK1441" s="33"/>
      <c r="AL1441" s="33"/>
      <c r="AM1441" s="33"/>
      <c r="AN1441" s="33"/>
      <c r="AO1441" s="33"/>
    </row>
    <row r="1442" spans="1:41" ht="18">
      <c r="A1442" s="168" t="s">
        <v>220</v>
      </c>
      <c r="B1442" s="250"/>
      <c r="C1442" s="250"/>
      <c r="D1442" s="250"/>
      <c r="E1442" s="250"/>
      <c r="F1442" s="250"/>
      <c r="G1442" s="250"/>
      <c r="H1442" s="250"/>
      <c r="I1442" s="250"/>
      <c r="J1442" s="250"/>
      <c r="K1442" s="250"/>
      <c r="L1442" s="250"/>
      <c r="M1442" s="33"/>
      <c r="N1442" s="33"/>
      <c r="O1442" s="77"/>
      <c r="P1442" s="77"/>
      <c r="AE1442" s="33"/>
      <c r="AF1442" s="33"/>
      <c r="AG1442" s="33"/>
      <c r="AH1442" s="33"/>
      <c r="AI1442" s="33"/>
      <c r="AJ1442" s="33"/>
      <c r="AK1442" s="33"/>
      <c r="AL1442" s="33"/>
      <c r="AM1442" s="33"/>
      <c r="AN1442" s="33"/>
      <c r="AO1442" s="33"/>
    </row>
    <row r="1443" spans="1:41" ht="18">
      <c r="A1443" s="168" t="s">
        <v>444</v>
      </c>
      <c r="B1443" s="250"/>
      <c r="C1443" s="250"/>
      <c r="D1443" s="250"/>
      <c r="E1443" s="250"/>
      <c r="F1443" s="250"/>
      <c r="G1443" s="250"/>
      <c r="H1443" s="250"/>
      <c r="I1443" s="250"/>
      <c r="J1443" s="250"/>
      <c r="K1443" s="250"/>
      <c r="L1443" s="250"/>
      <c r="M1443" s="33"/>
      <c r="N1443" s="33"/>
      <c r="O1443" s="77"/>
      <c r="P1443" s="77"/>
      <c r="AE1443" s="33"/>
      <c r="AF1443" s="33"/>
      <c r="AG1443" s="33"/>
      <c r="AH1443" s="33"/>
      <c r="AI1443" s="33"/>
      <c r="AJ1443" s="33"/>
      <c r="AK1443" s="33"/>
      <c r="AL1443" s="33"/>
      <c r="AM1443" s="33"/>
      <c r="AN1443" s="33"/>
      <c r="AO1443" s="33"/>
    </row>
    <row r="1444" spans="1:41" ht="18.75" thickBot="1">
      <c r="A1444" s="250"/>
      <c r="B1444" s="250"/>
      <c r="C1444" s="250"/>
      <c r="D1444" s="250"/>
      <c r="E1444" s="250"/>
      <c r="F1444" s="250"/>
      <c r="G1444" s="250"/>
      <c r="H1444" s="250"/>
      <c r="I1444" s="250"/>
      <c r="J1444" s="250"/>
      <c r="K1444" s="250"/>
      <c r="L1444" s="250"/>
      <c r="M1444" s="33"/>
      <c r="N1444" s="33"/>
      <c r="O1444" s="77"/>
      <c r="P1444" s="77"/>
      <c r="AE1444" s="33"/>
      <c r="AF1444" s="33"/>
      <c r="AG1444" s="33"/>
      <c r="AH1444" s="33"/>
      <c r="AI1444" s="33"/>
      <c r="AJ1444" s="33"/>
      <c r="AK1444" s="33"/>
      <c r="AL1444" s="33"/>
      <c r="AM1444" s="33"/>
      <c r="AN1444" s="33"/>
      <c r="AO1444" s="33"/>
    </row>
    <row r="1445" spans="1:41" ht="24" thickBot="1">
      <c r="A1445" s="250"/>
      <c r="B1445" s="250"/>
      <c r="C1445" s="1333" t="s">
        <v>446</v>
      </c>
      <c r="D1445" s="1334"/>
      <c r="E1445" s="1334"/>
      <c r="F1445" s="1334"/>
      <c r="G1445" s="1334"/>
      <c r="H1445" s="1334"/>
      <c r="I1445" s="1334"/>
      <c r="J1445" s="1334"/>
      <c r="K1445" s="1334"/>
      <c r="L1445" s="1335"/>
      <c r="M1445" s="33"/>
      <c r="N1445" s="33"/>
      <c r="O1445" s="77"/>
      <c r="P1445" s="77"/>
      <c r="AE1445" s="33"/>
      <c r="AF1445" s="33"/>
      <c r="AG1445" s="33"/>
      <c r="AH1445" s="33"/>
      <c r="AI1445" s="33"/>
      <c r="AJ1445" s="33"/>
      <c r="AK1445" s="33"/>
      <c r="AL1445" s="33"/>
      <c r="AM1445" s="33"/>
      <c r="AN1445" s="33"/>
      <c r="AO1445" s="33"/>
    </row>
    <row r="1446" spans="1:41" ht="23.25">
      <c r="A1446" s="250"/>
      <c r="B1446" s="250"/>
      <c r="C1446" s="249"/>
      <c r="D1446" s="249"/>
      <c r="E1446" s="249"/>
      <c r="F1446" s="249"/>
      <c r="G1446" s="249"/>
      <c r="H1446" s="249"/>
      <c r="I1446" s="249"/>
      <c r="J1446" s="249"/>
      <c r="K1446" s="249"/>
      <c r="L1446" s="249"/>
      <c r="M1446" s="33"/>
      <c r="N1446" s="33"/>
      <c r="O1446" s="77"/>
      <c r="P1446" s="77"/>
      <c r="AE1446" s="33"/>
      <c r="AF1446" s="33"/>
      <c r="AG1446" s="33"/>
      <c r="AH1446" s="33"/>
      <c r="AI1446" s="33"/>
      <c r="AJ1446" s="33"/>
      <c r="AK1446" s="33"/>
      <c r="AL1446" s="33"/>
      <c r="AM1446" s="33"/>
      <c r="AN1446" s="33"/>
      <c r="AO1446" s="33"/>
    </row>
    <row r="1447" spans="1:41" ht="23.25">
      <c r="A1447" s="1295" t="s">
        <v>448</v>
      </c>
      <c r="B1447" s="1295"/>
      <c r="C1447" s="1295"/>
      <c r="D1447" s="1294" t="s">
        <v>1240</v>
      </c>
      <c r="E1447" s="1294"/>
      <c r="F1447" s="1294"/>
      <c r="G1447" s="1294"/>
      <c r="H1447" s="1294"/>
      <c r="I1447" s="249"/>
      <c r="J1447" s="249"/>
      <c r="K1447" s="249" t="s">
        <v>449</v>
      </c>
      <c r="L1447" s="249"/>
      <c r="M1447" s="1295" t="s">
        <v>380</v>
      </c>
      <c r="N1447" s="1295"/>
      <c r="O1447" s="1292" t="str">
        <f>D1447</f>
        <v>بوهند حمزة</v>
      </c>
      <c r="P1447" s="1292"/>
      <c r="AE1447" s="33"/>
      <c r="AF1447" s="33"/>
      <c r="AG1447" s="33"/>
      <c r="AH1447" s="33"/>
      <c r="AI1447" s="33"/>
      <c r="AJ1447" s="33"/>
      <c r="AK1447" s="33"/>
      <c r="AL1447" s="33"/>
      <c r="AM1447" s="33"/>
      <c r="AN1447" s="33"/>
      <c r="AO1447" s="33"/>
    </row>
    <row r="1448" spans="1:41" ht="24" thickBot="1">
      <c r="A1448" s="1340" t="s">
        <v>450</v>
      </c>
      <c r="B1448" s="1340"/>
      <c r="C1448" s="1340"/>
      <c r="D1448" s="1340" t="s">
        <v>380</v>
      </c>
      <c r="E1448" s="1340"/>
      <c r="F1448" s="1340"/>
      <c r="G1448" s="1340"/>
      <c r="H1448" s="87"/>
      <c r="I1448" s="1340" t="s">
        <v>452</v>
      </c>
      <c r="J1448" s="1340"/>
      <c r="K1448" s="1340"/>
      <c r="L1448" s="1341" t="s">
        <v>380</v>
      </c>
      <c r="M1448" s="1341"/>
      <c r="N1448" s="1341"/>
      <c r="O1448" s="77"/>
      <c r="P1448" s="77"/>
      <c r="AE1448" s="33"/>
      <c r="AF1448" s="33"/>
      <c r="AG1448" s="33"/>
      <c r="AH1448" s="33"/>
      <c r="AI1448" s="33"/>
      <c r="AJ1448" s="33"/>
      <c r="AK1448" s="33"/>
      <c r="AL1448" s="33"/>
      <c r="AM1448" s="33"/>
      <c r="AN1448" s="33"/>
      <c r="AO1448" s="33"/>
    </row>
    <row r="1449" spans="1:41" ht="17.25" thickTop="1" thickBot="1">
      <c r="A1449" s="1318" t="s">
        <v>453</v>
      </c>
      <c r="B1449" s="1319"/>
      <c r="C1449" s="88" t="s">
        <v>380</v>
      </c>
      <c r="D1449" s="89" t="s">
        <v>380</v>
      </c>
      <c r="E1449" s="89" t="s">
        <v>380</v>
      </c>
      <c r="F1449" s="89" t="s">
        <v>380</v>
      </c>
      <c r="G1449" s="89" t="s">
        <v>380</v>
      </c>
      <c r="H1449" s="89" t="s">
        <v>380</v>
      </c>
      <c r="I1449" s="89" t="s">
        <v>380</v>
      </c>
      <c r="J1449" s="89" t="s">
        <v>380</v>
      </c>
      <c r="K1449" s="89" t="s">
        <v>380</v>
      </c>
      <c r="L1449" s="89" t="s">
        <v>380</v>
      </c>
      <c r="M1449" s="89" t="s">
        <v>380</v>
      </c>
      <c r="N1449" s="90" t="s">
        <v>380</v>
      </c>
      <c r="AE1449" s="33"/>
      <c r="AF1449" s="33"/>
      <c r="AG1449" s="33"/>
      <c r="AH1449" s="33"/>
      <c r="AI1449" s="33"/>
      <c r="AJ1449" s="33"/>
      <c r="AK1449" s="33"/>
      <c r="AL1449" s="33"/>
      <c r="AM1449" s="33"/>
      <c r="AN1449" s="33"/>
      <c r="AO1449" s="33"/>
    </row>
    <row r="1450" spans="1:41" ht="24" thickBot="1">
      <c r="A1450" s="1329" t="s">
        <v>454</v>
      </c>
      <c r="B1450" s="1330"/>
      <c r="C1450" s="91" t="s">
        <v>380</v>
      </c>
      <c r="D1450" s="210" t="s">
        <v>380</v>
      </c>
      <c r="E1450" s="210" t="s">
        <v>380</v>
      </c>
      <c r="F1450" s="210" t="s">
        <v>380</v>
      </c>
      <c r="G1450" s="210" t="s">
        <v>380</v>
      </c>
      <c r="H1450" s="210" t="s">
        <v>380</v>
      </c>
      <c r="I1450" s="210" t="s">
        <v>380</v>
      </c>
      <c r="J1450" s="210" t="s">
        <v>380</v>
      </c>
      <c r="K1450" s="210" t="s">
        <v>380</v>
      </c>
      <c r="L1450" s="210" t="s">
        <v>380</v>
      </c>
      <c r="M1450" s="210" t="s">
        <v>380</v>
      </c>
      <c r="N1450" s="92" t="s">
        <v>380</v>
      </c>
      <c r="O1450" s="152"/>
      <c r="AE1450" s="33"/>
      <c r="AF1450" s="33"/>
      <c r="AG1450" s="33"/>
      <c r="AH1450" s="33"/>
      <c r="AI1450" s="33"/>
      <c r="AJ1450" s="33"/>
      <c r="AK1450" s="33"/>
      <c r="AL1450" s="33"/>
      <c r="AM1450" s="33"/>
      <c r="AN1450" s="33"/>
      <c r="AO1450" s="33"/>
    </row>
    <row r="1451" spans="1:41" ht="24" thickBot="1">
      <c r="A1451" s="1329" t="s">
        <v>455</v>
      </c>
      <c r="B1451" s="1330"/>
      <c r="C1451" s="91" t="s">
        <v>380</v>
      </c>
      <c r="D1451" s="210" t="s">
        <v>380</v>
      </c>
      <c r="E1451" s="210" t="s">
        <v>380</v>
      </c>
      <c r="F1451" s="210" t="s">
        <v>380</v>
      </c>
      <c r="G1451" s="210" t="s">
        <v>380</v>
      </c>
      <c r="H1451" s="210" t="s">
        <v>380</v>
      </c>
      <c r="I1451" s="210" t="s">
        <v>380</v>
      </c>
      <c r="J1451" s="210" t="s">
        <v>380</v>
      </c>
      <c r="K1451" s="210" t="s">
        <v>380</v>
      </c>
      <c r="L1451" s="210" t="s">
        <v>380</v>
      </c>
      <c r="M1451" s="210" t="s">
        <v>380</v>
      </c>
      <c r="N1451" s="92" t="s">
        <v>380</v>
      </c>
      <c r="O1451" s="152"/>
      <c r="AE1451" s="33"/>
      <c r="AF1451" s="33"/>
      <c r="AG1451" s="33"/>
      <c r="AH1451" s="33"/>
      <c r="AI1451" s="33"/>
      <c r="AJ1451" s="33"/>
      <c r="AK1451" s="33"/>
      <c r="AL1451" s="33"/>
      <c r="AM1451" s="33"/>
      <c r="AN1451" s="33"/>
      <c r="AO1451" s="33"/>
    </row>
    <row r="1452" spans="1:41" ht="24" thickBot="1">
      <c r="A1452" s="1327" t="s">
        <v>456</v>
      </c>
      <c r="B1452" s="1328"/>
      <c r="C1452" s="93" t="s">
        <v>380</v>
      </c>
      <c r="D1452" s="94" t="s">
        <v>380</v>
      </c>
      <c r="E1452" s="94" t="s">
        <v>380</v>
      </c>
      <c r="F1452" s="94" t="s">
        <v>380</v>
      </c>
      <c r="G1452" s="94" t="s">
        <v>380</v>
      </c>
      <c r="H1452" s="94" t="s">
        <v>380</v>
      </c>
      <c r="I1452" s="94" t="s">
        <v>380</v>
      </c>
      <c r="J1452" s="94" t="s">
        <v>380</v>
      </c>
      <c r="K1452" s="94" t="s">
        <v>380</v>
      </c>
      <c r="L1452" s="94" t="s">
        <v>380</v>
      </c>
      <c r="M1452" s="94" t="s">
        <v>380</v>
      </c>
      <c r="N1452" s="95" t="s">
        <v>380</v>
      </c>
      <c r="O1452" s="152"/>
      <c r="AE1452" s="33"/>
      <c r="AF1452" s="33"/>
      <c r="AG1452" s="33"/>
      <c r="AH1452" s="33"/>
      <c r="AI1452" s="33"/>
      <c r="AJ1452" s="33"/>
      <c r="AK1452" s="33"/>
      <c r="AL1452" s="33"/>
      <c r="AM1452" s="33"/>
      <c r="AN1452" s="33"/>
      <c r="AO1452" s="33"/>
    </row>
    <row r="1453" spans="1:41" ht="21" thickTop="1">
      <c r="A1453" s="96"/>
      <c r="B1453" s="96"/>
      <c r="C1453" s="96"/>
      <c r="D1453" s="96"/>
      <c r="E1453" s="1326" t="s">
        <v>457</v>
      </c>
      <c r="F1453" s="1310"/>
      <c r="G1453" s="97">
        <v>18</v>
      </c>
      <c r="H1453" s="1310" t="s">
        <v>458</v>
      </c>
      <c r="I1453" s="1311"/>
      <c r="J1453" s="1310" t="s">
        <v>459</v>
      </c>
      <c r="K1453" s="1311"/>
      <c r="L1453" s="96"/>
      <c r="M1453" s="96"/>
      <c r="N1453" s="96"/>
      <c r="O1453" s="77"/>
      <c r="P1453" s="77"/>
      <c r="AE1453" s="33"/>
      <c r="AF1453" s="33"/>
      <c r="AG1453" s="33"/>
      <c r="AH1453" s="33"/>
      <c r="AI1453" s="33"/>
      <c r="AJ1453" s="33"/>
      <c r="AK1453" s="33"/>
      <c r="AL1453" s="33"/>
      <c r="AM1453" s="33"/>
      <c r="AN1453" s="33"/>
      <c r="AO1453" s="33"/>
    </row>
    <row r="1454" spans="1:41" ht="23.25">
      <c r="A1454" s="96"/>
      <c r="B1454" s="96"/>
      <c r="C1454" s="96"/>
      <c r="D1454" s="96"/>
      <c r="E1454" s="1307" t="s">
        <v>460</v>
      </c>
      <c r="F1454" s="1308"/>
      <c r="G1454" s="98">
        <v>0</v>
      </c>
      <c r="H1454" s="1312">
        <v>0</v>
      </c>
      <c r="I1454" s="1312"/>
      <c r="J1454" s="1312">
        <v>0</v>
      </c>
      <c r="K1454" s="1313"/>
      <c r="L1454" s="96"/>
      <c r="M1454" s="96"/>
      <c r="N1454" s="96"/>
      <c r="O1454" s="77"/>
      <c r="P1454" s="77"/>
      <c r="AE1454" s="33"/>
      <c r="AF1454" s="33"/>
      <c r="AG1454" s="33"/>
      <c r="AH1454" s="33"/>
      <c r="AI1454" s="33"/>
      <c r="AJ1454" s="33"/>
      <c r="AK1454" s="33"/>
      <c r="AL1454" s="33"/>
      <c r="AM1454" s="33"/>
      <c r="AN1454" s="33"/>
      <c r="AO1454" s="33"/>
    </row>
    <row r="1455" spans="1:41" ht="20.25">
      <c r="A1455" s="96"/>
      <c r="B1455" s="96"/>
      <c r="C1455" s="96"/>
      <c r="D1455" s="96"/>
      <c r="E1455" s="1307" t="s">
        <v>461</v>
      </c>
      <c r="F1455" s="1308"/>
      <c r="G1455" s="99">
        <v>18</v>
      </c>
      <c r="H1455" s="1308" t="s">
        <v>462</v>
      </c>
      <c r="I1455" s="1308"/>
      <c r="J1455" s="1308" t="s">
        <v>463</v>
      </c>
      <c r="K1455" s="1309"/>
      <c r="L1455" s="96"/>
      <c r="M1455" s="96"/>
      <c r="N1455" s="96"/>
      <c r="O1455" s="77"/>
      <c r="P1455" s="77"/>
      <c r="AE1455" s="33"/>
      <c r="AF1455" s="33"/>
      <c r="AG1455" s="33"/>
      <c r="AH1455" s="33"/>
      <c r="AI1455" s="33"/>
      <c r="AJ1455" s="33"/>
      <c r="AK1455" s="33"/>
      <c r="AL1455" s="33"/>
      <c r="AM1455" s="33"/>
      <c r="AN1455" s="33"/>
      <c r="AO1455" s="33"/>
    </row>
    <row r="1456" spans="1:41" ht="24" thickBot="1">
      <c r="A1456" s="96"/>
      <c r="B1456" s="96"/>
      <c r="C1456" s="96"/>
      <c r="D1456" s="96"/>
      <c r="E1456" s="1303" t="s">
        <v>464</v>
      </c>
      <c r="F1456" s="1304"/>
      <c r="G1456" s="99">
        <v>0</v>
      </c>
      <c r="H1456" s="1305">
        <v>0</v>
      </c>
      <c r="I1456" s="1305"/>
      <c r="J1456" s="1305">
        <v>0</v>
      </c>
      <c r="K1456" s="1306"/>
      <c r="L1456" s="96"/>
      <c r="M1456" s="96"/>
      <c r="N1456" s="96"/>
      <c r="O1456" s="77"/>
      <c r="P1456" s="77"/>
      <c r="AE1456" s="33"/>
      <c r="AF1456" s="33"/>
      <c r="AG1456" s="33"/>
      <c r="AH1456" s="33"/>
      <c r="AI1456" s="33"/>
      <c r="AJ1456" s="33"/>
      <c r="AK1456" s="33"/>
      <c r="AL1456" s="33"/>
      <c r="AM1456" s="33"/>
      <c r="AN1456" s="33"/>
      <c r="AO1456" s="33"/>
    </row>
    <row r="1457" spans="1:41" ht="17.25" thickTop="1" thickBot="1">
      <c r="A1457" s="34"/>
      <c r="B1457" s="34"/>
      <c r="C1457" s="1299" t="s">
        <v>465</v>
      </c>
      <c r="D1457" s="1299"/>
      <c r="E1457" s="1299" t="s">
        <v>360</v>
      </c>
      <c r="F1457" s="1299"/>
      <c r="G1457" s="1302" t="s">
        <v>368</v>
      </c>
      <c r="H1457" s="1302"/>
      <c r="I1457" s="1302" t="s">
        <v>369</v>
      </c>
      <c r="J1457" s="1302"/>
      <c r="K1457" s="1302" t="s">
        <v>370</v>
      </c>
      <c r="L1457" s="1299"/>
      <c r="M1457" s="1299" t="s">
        <v>371</v>
      </c>
      <c r="N1457" s="1299"/>
      <c r="O1457" s="77"/>
      <c r="P1457" s="77"/>
      <c r="AE1457" s="33"/>
      <c r="AF1457" s="33"/>
      <c r="AG1457" s="33"/>
      <c r="AH1457" s="33"/>
      <c r="AI1457" s="33"/>
      <c r="AJ1457" s="33"/>
      <c r="AK1457" s="33"/>
      <c r="AL1457" s="33"/>
      <c r="AM1457" s="33"/>
      <c r="AN1457" s="33"/>
      <c r="AO1457" s="33"/>
    </row>
    <row r="1458" spans="1:41" ht="17.25" thickTop="1" thickBot="1">
      <c r="A1458" s="34"/>
      <c r="B1458" s="34"/>
      <c r="C1458" s="1299" t="s">
        <v>372</v>
      </c>
      <c r="D1458" s="1299"/>
      <c r="E1458" s="1297" t="s">
        <v>380</v>
      </c>
      <c r="F1458" s="1297"/>
      <c r="G1458" s="1297" t="s">
        <v>380</v>
      </c>
      <c r="H1458" s="1297"/>
      <c r="I1458" s="1297" t="s">
        <v>380</v>
      </c>
      <c r="J1458" s="1297"/>
      <c r="K1458" s="1297" t="s">
        <v>380</v>
      </c>
      <c r="L1458" s="1297"/>
      <c r="M1458" s="1297" t="s">
        <v>380</v>
      </c>
      <c r="N1458" s="1297"/>
      <c r="O1458" s="77"/>
      <c r="P1458" s="77"/>
      <c r="AE1458" s="33"/>
      <c r="AF1458" s="33"/>
      <c r="AG1458" s="33"/>
      <c r="AH1458" s="33"/>
      <c r="AI1458" s="33"/>
      <c r="AJ1458" s="33"/>
      <c r="AK1458" s="33"/>
      <c r="AL1458" s="33"/>
      <c r="AM1458" s="33"/>
      <c r="AN1458" s="33"/>
      <c r="AO1458" s="33"/>
    </row>
    <row r="1459" spans="1:41" ht="17.25" thickTop="1" thickBot="1">
      <c r="A1459" s="34"/>
      <c r="B1459" s="34"/>
      <c r="C1459" s="1299" t="s">
        <v>373</v>
      </c>
      <c r="D1459" s="1299"/>
      <c r="E1459" s="1297" t="s">
        <v>380</v>
      </c>
      <c r="F1459" s="1297"/>
      <c r="G1459" s="1297" t="s">
        <v>380</v>
      </c>
      <c r="H1459" s="1297"/>
      <c r="I1459" s="1297" t="s">
        <v>380</v>
      </c>
      <c r="J1459" s="1297"/>
      <c r="K1459" s="1297" t="s">
        <v>380</v>
      </c>
      <c r="L1459" s="1297"/>
      <c r="M1459" s="1297" t="s">
        <v>380</v>
      </c>
      <c r="N1459" s="1297"/>
      <c r="O1459" s="77"/>
      <c r="P1459" s="77"/>
      <c r="AE1459" s="33"/>
      <c r="AF1459" s="33"/>
      <c r="AG1459" s="33"/>
      <c r="AH1459" s="33"/>
      <c r="AI1459" s="33"/>
      <c r="AJ1459" s="33"/>
      <c r="AK1459" s="33"/>
      <c r="AL1459" s="33"/>
      <c r="AM1459" s="33"/>
      <c r="AN1459" s="33"/>
      <c r="AO1459" s="33"/>
    </row>
    <row r="1460" spans="1:41" ht="17.25" thickTop="1" thickBot="1">
      <c r="A1460" s="34"/>
      <c r="B1460" s="34"/>
      <c r="C1460" s="1299" t="s">
        <v>374</v>
      </c>
      <c r="D1460" s="1299"/>
      <c r="E1460" s="1297" t="s">
        <v>380</v>
      </c>
      <c r="F1460" s="1297"/>
      <c r="G1460" s="1297" t="s">
        <v>380</v>
      </c>
      <c r="H1460" s="1297"/>
      <c r="I1460" s="1297" t="s">
        <v>380</v>
      </c>
      <c r="J1460" s="1297"/>
      <c r="K1460" s="1297" t="s">
        <v>380</v>
      </c>
      <c r="L1460" s="1297"/>
      <c r="M1460" s="1297" t="s">
        <v>380</v>
      </c>
      <c r="N1460" s="1297"/>
      <c r="O1460" s="77"/>
      <c r="P1460" s="77"/>
      <c r="AE1460" s="33"/>
      <c r="AF1460" s="33"/>
      <c r="AG1460" s="33"/>
      <c r="AH1460" s="33"/>
      <c r="AI1460" s="33"/>
      <c r="AJ1460" s="33"/>
      <c r="AK1460" s="33"/>
      <c r="AL1460" s="33"/>
      <c r="AM1460" s="33"/>
      <c r="AN1460" s="33"/>
      <c r="AO1460" s="33"/>
    </row>
    <row r="1461" spans="1:41" ht="17.25" thickTop="1" thickBot="1">
      <c r="A1461" s="34"/>
      <c r="B1461" s="34"/>
      <c r="C1461" s="1299" t="s">
        <v>375</v>
      </c>
      <c r="D1461" s="1299"/>
      <c r="E1461" s="1297" t="s">
        <v>380</v>
      </c>
      <c r="F1461" s="1297"/>
      <c r="G1461" s="1297" t="s">
        <v>380</v>
      </c>
      <c r="H1461" s="1297"/>
      <c r="I1461" s="1297" t="s">
        <v>380</v>
      </c>
      <c r="J1461" s="1297"/>
      <c r="K1461" s="1297" t="s">
        <v>380</v>
      </c>
      <c r="L1461" s="1297"/>
      <c r="M1461" s="1297" t="s">
        <v>380</v>
      </c>
      <c r="N1461" s="1297"/>
      <c r="O1461" s="77"/>
      <c r="P1461" s="77"/>
      <c r="AE1461" s="33"/>
      <c r="AF1461" s="33"/>
      <c r="AG1461" s="33"/>
      <c r="AH1461" s="33"/>
      <c r="AI1461" s="33"/>
      <c r="AJ1461" s="33"/>
      <c r="AK1461" s="33"/>
      <c r="AL1461" s="33"/>
      <c r="AM1461" s="33"/>
      <c r="AN1461" s="33"/>
      <c r="AO1461" s="33"/>
    </row>
    <row r="1462" spans="1:41" ht="17.25" thickTop="1" thickBot="1">
      <c r="A1462" s="34"/>
      <c r="B1462" s="34"/>
      <c r="C1462" s="101"/>
      <c r="D1462" s="101"/>
      <c r="E1462" s="33"/>
      <c r="F1462" s="33"/>
      <c r="G1462" s="33"/>
      <c r="H1462" s="33"/>
      <c r="I1462" s="33"/>
      <c r="J1462" s="33"/>
      <c r="K1462" s="34"/>
      <c r="L1462" s="34"/>
      <c r="M1462" s="33"/>
      <c r="N1462" s="33"/>
      <c r="O1462" s="77"/>
      <c r="P1462" s="77"/>
      <c r="AE1462" s="33"/>
      <c r="AF1462" s="33"/>
      <c r="AG1462" s="33"/>
      <c r="AH1462" s="33"/>
      <c r="AI1462" s="33"/>
      <c r="AJ1462" s="33"/>
      <c r="AK1462" s="33"/>
      <c r="AL1462" s="33"/>
      <c r="AM1462" s="33"/>
      <c r="AN1462" s="33"/>
      <c r="AO1462" s="33"/>
    </row>
    <row r="1463" spans="1:41" ht="17.25" thickTop="1" thickBot="1">
      <c r="A1463" s="34"/>
      <c r="B1463" s="34"/>
      <c r="C1463" s="1299" t="s">
        <v>376</v>
      </c>
      <c r="D1463" s="1299"/>
      <c r="E1463" s="1297" t="s">
        <v>380</v>
      </c>
      <c r="F1463" s="1297"/>
      <c r="G1463" s="1297" t="s">
        <v>380</v>
      </c>
      <c r="H1463" s="1297"/>
      <c r="I1463" s="1297" t="s">
        <v>380</v>
      </c>
      <c r="J1463" s="1297"/>
      <c r="K1463" s="1297" t="s">
        <v>380</v>
      </c>
      <c r="L1463" s="1297"/>
      <c r="M1463" s="1297" t="s">
        <v>380</v>
      </c>
      <c r="N1463" s="1297"/>
      <c r="O1463" s="77"/>
      <c r="P1463" s="77"/>
      <c r="AE1463" s="33"/>
      <c r="AF1463" s="33"/>
      <c r="AG1463" s="33"/>
      <c r="AH1463" s="33"/>
      <c r="AI1463" s="33"/>
      <c r="AJ1463" s="33"/>
      <c r="AK1463" s="33"/>
      <c r="AL1463" s="33"/>
      <c r="AM1463" s="33"/>
      <c r="AN1463" s="33"/>
      <c r="AO1463" s="33"/>
    </row>
    <row r="1464" spans="1:41" ht="17.25" thickTop="1" thickBot="1">
      <c r="A1464" s="34"/>
      <c r="B1464" s="34"/>
      <c r="C1464" s="1299" t="s">
        <v>377</v>
      </c>
      <c r="D1464" s="1299"/>
      <c r="E1464" s="1297" t="s">
        <v>380</v>
      </c>
      <c r="F1464" s="1297"/>
      <c r="G1464" s="1297" t="s">
        <v>380</v>
      </c>
      <c r="H1464" s="1297"/>
      <c r="I1464" s="1297" t="s">
        <v>380</v>
      </c>
      <c r="J1464" s="1297"/>
      <c r="K1464" s="1297" t="s">
        <v>380</v>
      </c>
      <c r="L1464" s="1297"/>
      <c r="M1464" s="1297" t="s">
        <v>380</v>
      </c>
      <c r="N1464" s="1297"/>
      <c r="O1464" s="77"/>
      <c r="P1464" s="77"/>
      <c r="AE1464" s="33"/>
      <c r="AF1464" s="33"/>
      <c r="AG1464" s="33"/>
      <c r="AH1464" s="33"/>
      <c r="AI1464" s="33"/>
      <c r="AJ1464" s="33"/>
      <c r="AK1464" s="33"/>
      <c r="AL1464" s="33"/>
      <c r="AM1464" s="33"/>
      <c r="AN1464" s="33"/>
      <c r="AO1464" s="33"/>
    </row>
    <row r="1465" spans="1:41" ht="17.25" thickTop="1" thickBot="1">
      <c r="A1465" s="34"/>
      <c r="B1465" s="34"/>
      <c r="C1465" s="1299" t="s">
        <v>378</v>
      </c>
      <c r="D1465" s="1299"/>
      <c r="E1465" s="1297" t="s">
        <v>380</v>
      </c>
      <c r="F1465" s="1297"/>
      <c r="G1465" s="1297" t="s">
        <v>380</v>
      </c>
      <c r="H1465" s="1297"/>
      <c r="I1465" s="1297" t="s">
        <v>380</v>
      </c>
      <c r="J1465" s="1297"/>
      <c r="K1465" s="1297" t="s">
        <v>380</v>
      </c>
      <c r="L1465" s="1297"/>
      <c r="M1465" s="1297" t="s">
        <v>380</v>
      </c>
      <c r="N1465" s="1297"/>
      <c r="O1465" s="77"/>
      <c r="P1465" s="77"/>
      <c r="AE1465" s="33"/>
      <c r="AF1465" s="33"/>
      <c r="AG1465" s="33"/>
      <c r="AH1465" s="33"/>
      <c r="AI1465" s="33"/>
      <c r="AJ1465" s="33"/>
      <c r="AK1465" s="33"/>
      <c r="AL1465" s="33"/>
      <c r="AM1465" s="33"/>
      <c r="AN1465" s="33"/>
      <c r="AO1465" s="33"/>
    </row>
    <row r="1466" spans="1:41" ht="17.25" thickTop="1" thickBot="1">
      <c r="A1466" s="34"/>
      <c r="B1466" s="34"/>
      <c r="C1466" s="1299" t="s">
        <v>379</v>
      </c>
      <c r="D1466" s="1299"/>
      <c r="E1466" s="1297" t="s">
        <v>380</v>
      </c>
      <c r="F1466" s="1297"/>
      <c r="G1466" s="1297" t="s">
        <v>380</v>
      </c>
      <c r="H1466" s="1297"/>
      <c r="I1466" s="1297" t="s">
        <v>380</v>
      </c>
      <c r="J1466" s="1297"/>
      <c r="K1466" s="1297" t="s">
        <v>380</v>
      </c>
      <c r="L1466" s="1297"/>
      <c r="M1466" s="1297" t="s">
        <v>380</v>
      </c>
      <c r="N1466" s="1297"/>
      <c r="O1466" s="77"/>
      <c r="P1466" s="77"/>
      <c r="AE1466" s="33"/>
      <c r="AF1466" s="33"/>
      <c r="AG1466" s="33"/>
      <c r="AH1466" s="33"/>
      <c r="AI1466" s="33"/>
      <c r="AJ1466" s="33"/>
      <c r="AK1466" s="33"/>
      <c r="AL1466" s="33"/>
      <c r="AM1466" s="33"/>
      <c r="AN1466" s="33"/>
      <c r="AO1466" s="33"/>
    </row>
    <row r="1467" spans="1:41" ht="17.25" thickTop="1" thickBot="1">
      <c r="A1467" s="34"/>
      <c r="B1467" s="34"/>
      <c r="C1467" s="33"/>
      <c r="D1467" s="33"/>
      <c r="E1467" s="33"/>
      <c r="F1467" s="33"/>
      <c r="G1467" s="33"/>
      <c r="H1467" s="33"/>
      <c r="I1467" s="33" t="s">
        <v>494</v>
      </c>
      <c r="J1467" s="33"/>
      <c r="K1467" s="34"/>
      <c r="L1467" s="34"/>
      <c r="M1467" s="33"/>
      <c r="N1467" s="33"/>
      <c r="O1467" s="77"/>
      <c r="P1467" s="77"/>
      <c r="AE1467" s="33"/>
      <c r="AF1467" s="33"/>
      <c r="AG1467" s="33"/>
      <c r="AH1467" s="33"/>
      <c r="AI1467" s="33"/>
      <c r="AJ1467" s="33"/>
      <c r="AK1467" s="33"/>
      <c r="AL1467" s="33"/>
      <c r="AM1467" s="33"/>
      <c r="AN1467" s="33"/>
      <c r="AO1467" s="33"/>
    </row>
    <row r="1468" spans="1:41" ht="19.5" thickTop="1" thickBot="1">
      <c r="A1468" s="1321" t="s">
        <v>467</v>
      </c>
      <c r="B1468" s="1322"/>
      <c r="C1468" s="1323" t="s">
        <v>380</v>
      </c>
      <c r="D1468" s="1323"/>
      <c r="E1468" s="1323" t="s">
        <v>380</v>
      </c>
      <c r="F1468" s="1323"/>
      <c r="G1468" s="250"/>
      <c r="H1468" s="250" t="s">
        <v>468</v>
      </c>
      <c r="I1468" s="1295" t="s">
        <v>402</v>
      </c>
      <c r="J1468" s="1295"/>
      <c r="K1468" s="1295"/>
      <c r="L1468" s="102" t="s">
        <v>403</v>
      </c>
      <c r="M1468" s="1331">
        <v>42610.363814699071</v>
      </c>
      <c r="N1468" s="1331"/>
      <c r="O1468" s="77"/>
      <c r="P1468" s="77"/>
      <c r="AE1468" s="33"/>
      <c r="AF1468" s="33"/>
      <c r="AG1468" s="33"/>
      <c r="AH1468" s="33"/>
      <c r="AI1468" s="33"/>
      <c r="AJ1468" s="33"/>
      <c r="AK1468" s="33"/>
      <c r="AL1468" s="33"/>
      <c r="AM1468" s="33"/>
      <c r="AN1468" s="33"/>
      <c r="AO1468" s="33"/>
    </row>
    <row r="1469" spans="1:41" ht="19.5" thickTop="1" thickBot="1">
      <c r="A1469" s="1321" t="s">
        <v>469</v>
      </c>
      <c r="B1469" s="1322"/>
      <c r="C1469" s="1323" t="s">
        <v>380</v>
      </c>
      <c r="D1469" s="1323"/>
      <c r="E1469" s="1323" t="s">
        <v>380</v>
      </c>
      <c r="F1469" s="1323"/>
      <c r="G1469" s="250"/>
      <c r="H1469" s="250"/>
      <c r="I1469" s="250"/>
      <c r="J1469" s="250"/>
      <c r="K1469" s="102"/>
      <c r="L1469" s="102"/>
      <c r="M1469" s="33"/>
      <c r="N1469" s="33"/>
      <c r="O1469" s="77"/>
      <c r="P1469" s="77"/>
      <c r="Q1469" s="78"/>
      <c r="Z1469" s="79"/>
      <c r="AA1469" s="80"/>
      <c r="AB1469" s="34"/>
      <c r="AC1469" s="34"/>
      <c r="AD1469" s="33"/>
      <c r="AE1469" s="33"/>
      <c r="AF1469" s="33"/>
      <c r="AG1469" s="33"/>
      <c r="AH1469" s="33"/>
      <c r="AI1469" s="33"/>
      <c r="AJ1469" s="33"/>
      <c r="AK1469" s="33"/>
      <c r="AL1469" s="33"/>
      <c r="AM1469" s="33"/>
      <c r="AN1469" s="33"/>
      <c r="AO1469" s="33"/>
    </row>
    <row r="1470" spans="1:41" ht="19.5" thickTop="1" thickBot="1">
      <c r="A1470" s="1321" t="s">
        <v>470</v>
      </c>
      <c r="B1470" s="1322"/>
      <c r="C1470" s="1323" t="s">
        <v>380</v>
      </c>
      <c r="D1470" s="1323"/>
      <c r="E1470" s="1323" t="s">
        <v>380</v>
      </c>
      <c r="F1470" s="1323"/>
      <c r="G1470" s="250"/>
      <c r="H1470" s="250"/>
      <c r="I1470" s="250"/>
      <c r="J1470" s="250" t="s">
        <v>471</v>
      </c>
      <c r="K1470" s="102"/>
      <c r="L1470" s="102"/>
      <c r="M1470" s="33"/>
      <c r="N1470" s="33"/>
      <c r="O1470" s="77"/>
      <c r="P1470" s="77"/>
      <c r="Q1470" s="78"/>
      <c r="Z1470" s="79"/>
      <c r="AA1470" s="80"/>
      <c r="AB1470" s="34"/>
      <c r="AC1470" s="34"/>
      <c r="AD1470" s="33"/>
      <c r="AE1470" s="33"/>
      <c r="AF1470" s="33"/>
      <c r="AG1470" s="33"/>
      <c r="AH1470" s="33"/>
      <c r="AI1470" s="33"/>
      <c r="AJ1470" s="33"/>
      <c r="AK1470" s="33"/>
      <c r="AL1470" s="33"/>
      <c r="AM1470" s="33"/>
      <c r="AN1470" s="33"/>
      <c r="AO1470" s="33"/>
    </row>
    <row r="1471" spans="1:41" ht="24" thickTop="1">
      <c r="A1471" s="34"/>
      <c r="B1471" s="34"/>
      <c r="C1471" s="33"/>
      <c r="D1471" s="33"/>
      <c r="E1471" s="33"/>
      <c r="F1471" s="33"/>
      <c r="G1471" s="33"/>
      <c r="H1471" s="103" t="s">
        <v>406</v>
      </c>
      <c r="I1471" s="33"/>
      <c r="J1471" s="34"/>
      <c r="K1471" s="34"/>
      <c r="L1471" s="33"/>
      <c r="M1471" s="33"/>
      <c r="N1471" s="104"/>
      <c r="O1471" s="77"/>
      <c r="P1471" s="77"/>
      <c r="Q1471" s="78"/>
      <c r="Z1471" s="79"/>
      <c r="AA1471" s="80"/>
      <c r="AB1471" s="34"/>
      <c r="AC1471" s="34"/>
      <c r="AD1471" s="33"/>
      <c r="AE1471" s="33"/>
      <c r="AF1471" s="33"/>
      <c r="AG1471" s="33"/>
      <c r="AH1471" s="33"/>
      <c r="AI1471" s="33"/>
      <c r="AJ1471" s="33"/>
      <c r="AK1471" s="33"/>
      <c r="AL1471" s="33"/>
      <c r="AM1471" s="33"/>
      <c r="AN1471" s="33"/>
      <c r="AO1471" s="33"/>
    </row>
    <row r="1472" spans="1:41" ht="18">
      <c r="A1472" s="1295" t="s">
        <v>78</v>
      </c>
      <c r="B1472" s="1295"/>
      <c r="C1472" s="1295"/>
      <c r="D1472" s="1295"/>
      <c r="E1472" s="1295"/>
      <c r="F1472" s="1295"/>
      <c r="G1472" s="1295"/>
      <c r="H1472" s="1295"/>
      <c r="I1472" s="1295"/>
      <c r="J1472" s="1295"/>
      <c r="K1472" s="1295"/>
      <c r="L1472" s="1295"/>
      <c r="M1472" s="1295"/>
      <c r="N1472" s="1295"/>
      <c r="O1472" s="77"/>
      <c r="P1472" s="77"/>
      <c r="Q1472" s="78"/>
      <c r="Z1472" s="79"/>
      <c r="AA1472" s="80"/>
      <c r="AB1472" s="34"/>
      <c r="AC1472" s="34"/>
      <c r="AD1472" s="33"/>
      <c r="AE1472" s="33"/>
      <c r="AF1472" s="33"/>
      <c r="AG1472" s="33"/>
      <c r="AH1472" s="33"/>
      <c r="AI1472" s="33"/>
      <c r="AJ1472" s="33"/>
      <c r="AK1472" s="33"/>
      <c r="AL1472" s="33"/>
      <c r="AM1472" s="33"/>
      <c r="AN1472" s="33"/>
      <c r="AO1472" s="33"/>
    </row>
    <row r="1473" spans="1:41" ht="18">
      <c r="A1473" s="1295" t="s">
        <v>79</v>
      </c>
      <c r="B1473" s="1295"/>
      <c r="C1473" s="1295"/>
      <c r="D1473" s="1295"/>
      <c r="E1473" s="1295"/>
      <c r="F1473" s="1295"/>
      <c r="G1473" s="1295"/>
      <c r="H1473" s="1295"/>
      <c r="I1473" s="1295"/>
      <c r="J1473" s="1295"/>
      <c r="K1473" s="1295"/>
      <c r="L1473" s="1295"/>
      <c r="M1473" s="1295"/>
      <c r="N1473" s="1295"/>
      <c r="O1473" s="77"/>
      <c r="P1473" s="77"/>
      <c r="Q1473" s="78"/>
      <c r="Z1473" s="79"/>
      <c r="AA1473" s="80"/>
      <c r="AB1473" s="34"/>
      <c r="AC1473" s="34"/>
      <c r="AD1473" s="33"/>
      <c r="AE1473" s="33"/>
      <c r="AF1473" s="33"/>
      <c r="AG1473" s="33"/>
      <c r="AH1473" s="33"/>
      <c r="AI1473" s="33"/>
      <c r="AJ1473" s="33"/>
      <c r="AK1473" s="33"/>
      <c r="AL1473" s="33"/>
      <c r="AM1473" s="33"/>
      <c r="AN1473" s="33"/>
      <c r="AO1473" s="33"/>
    </row>
    <row r="1474" spans="1:41" ht="18">
      <c r="A1474" s="168" t="s">
        <v>220</v>
      </c>
      <c r="B1474" s="250"/>
      <c r="C1474" s="250"/>
      <c r="D1474" s="250"/>
      <c r="E1474" s="250"/>
      <c r="F1474" s="250"/>
      <c r="G1474" s="250"/>
      <c r="H1474" s="250"/>
      <c r="I1474" s="250"/>
      <c r="J1474" s="250"/>
      <c r="K1474" s="250"/>
      <c r="L1474" s="250"/>
      <c r="M1474" s="33"/>
      <c r="N1474" s="33"/>
      <c r="O1474" s="77"/>
      <c r="P1474" s="77"/>
      <c r="Q1474" s="78"/>
      <c r="Z1474" s="79"/>
      <c r="AA1474" s="80"/>
      <c r="AB1474" s="34"/>
      <c r="AC1474" s="34"/>
      <c r="AD1474" s="33"/>
      <c r="AE1474" s="33"/>
      <c r="AF1474" s="33"/>
      <c r="AG1474" s="33"/>
      <c r="AH1474" s="33"/>
      <c r="AI1474" s="33"/>
      <c r="AJ1474" s="33"/>
      <c r="AK1474" s="33"/>
      <c r="AL1474" s="33"/>
      <c r="AM1474" s="33"/>
      <c r="AN1474" s="33"/>
      <c r="AO1474" s="33"/>
    </row>
    <row r="1475" spans="1:41" ht="18">
      <c r="A1475" s="168" t="s">
        <v>444</v>
      </c>
      <c r="B1475" s="250"/>
      <c r="C1475" s="250"/>
      <c r="D1475" s="250"/>
      <c r="E1475" s="250"/>
      <c r="F1475" s="250"/>
      <c r="G1475" s="250"/>
      <c r="H1475" s="250"/>
      <c r="I1475" s="250"/>
      <c r="J1475" s="250"/>
      <c r="K1475" s="250"/>
      <c r="L1475" s="250"/>
      <c r="M1475" s="33"/>
      <c r="N1475" s="33"/>
      <c r="O1475" s="77"/>
      <c r="P1475" s="77"/>
      <c r="Q1475" s="78"/>
      <c r="Z1475" s="79"/>
      <c r="AA1475" s="80"/>
      <c r="AB1475" s="34"/>
      <c r="AC1475" s="34"/>
      <c r="AD1475" s="33"/>
      <c r="AE1475" s="33"/>
      <c r="AF1475" s="33"/>
      <c r="AG1475" s="33"/>
      <c r="AH1475" s="33"/>
      <c r="AI1475" s="33"/>
      <c r="AJ1475" s="33"/>
      <c r="AK1475" s="33"/>
      <c r="AL1475" s="33"/>
      <c r="AM1475" s="33"/>
      <c r="AN1475" s="33"/>
      <c r="AO1475" s="33"/>
    </row>
    <row r="1476" spans="1:41" ht="18.75" thickBot="1">
      <c r="A1476" s="250"/>
      <c r="B1476" s="250"/>
      <c r="C1476" s="250"/>
      <c r="D1476" s="250"/>
      <c r="E1476" s="250"/>
      <c r="F1476" s="250"/>
      <c r="G1476" s="250"/>
      <c r="H1476" s="250"/>
      <c r="I1476" s="250"/>
      <c r="J1476" s="250"/>
      <c r="K1476" s="250"/>
      <c r="L1476" s="250"/>
      <c r="M1476" s="33"/>
      <c r="N1476" s="33"/>
      <c r="O1476" s="77"/>
      <c r="P1476" s="77"/>
      <c r="Q1476" s="78"/>
      <c r="Z1476" s="79"/>
      <c r="AA1476" s="80"/>
      <c r="AB1476" s="34"/>
      <c r="AC1476" s="34"/>
      <c r="AD1476" s="33"/>
      <c r="AE1476" s="33"/>
      <c r="AF1476" s="33"/>
      <c r="AG1476" s="33"/>
      <c r="AH1476" s="33"/>
      <c r="AI1476" s="33"/>
      <c r="AJ1476" s="33"/>
      <c r="AK1476" s="33"/>
      <c r="AL1476" s="33"/>
      <c r="AM1476" s="33"/>
      <c r="AN1476" s="33"/>
      <c r="AO1476" s="33"/>
    </row>
    <row r="1477" spans="1:41" ht="24" thickBot="1">
      <c r="A1477" s="250"/>
      <c r="B1477" s="250"/>
      <c r="C1477" s="1333" t="s">
        <v>446</v>
      </c>
      <c r="D1477" s="1334"/>
      <c r="E1477" s="1334"/>
      <c r="F1477" s="1334"/>
      <c r="G1477" s="1334"/>
      <c r="H1477" s="1334"/>
      <c r="I1477" s="1334"/>
      <c r="J1477" s="1334"/>
      <c r="K1477" s="1334"/>
      <c r="L1477" s="1335"/>
      <c r="M1477" s="33"/>
      <c r="N1477" s="33"/>
      <c r="O1477" s="77"/>
      <c r="P1477" s="77"/>
      <c r="Q1477" s="78"/>
      <c r="Z1477" s="79"/>
      <c r="AA1477" s="80"/>
      <c r="AB1477" s="34"/>
      <c r="AC1477" s="34"/>
      <c r="AD1477" s="33"/>
      <c r="AE1477" s="33"/>
      <c r="AF1477" s="33"/>
      <c r="AG1477" s="33"/>
      <c r="AH1477" s="33"/>
      <c r="AI1477" s="33"/>
      <c r="AJ1477" s="33"/>
      <c r="AK1477" s="33"/>
      <c r="AL1477" s="33"/>
      <c r="AM1477" s="33"/>
      <c r="AN1477" s="33"/>
      <c r="AO1477" s="33"/>
    </row>
    <row r="1478" spans="1:41" ht="23.25">
      <c r="A1478" s="250"/>
      <c r="B1478" s="250"/>
      <c r="C1478" s="249"/>
      <c r="D1478" s="249"/>
      <c r="E1478" s="249"/>
      <c r="F1478" s="249"/>
      <c r="G1478" s="249"/>
      <c r="H1478" s="249"/>
      <c r="I1478" s="249"/>
      <c r="J1478" s="249"/>
      <c r="K1478" s="249"/>
      <c r="L1478" s="249"/>
      <c r="M1478" s="33"/>
      <c r="N1478" s="33"/>
      <c r="O1478" s="77"/>
      <c r="P1478" s="77"/>
      <c r="Q1478" s="78"/>
      <c r="Z1478" s="79"/>
      <c r="AA1478" s="80"/>
      <c r="AB1478" s="34"/>
      <c r="AC1478" s="34"/>
      <c r="AD1478" s="33"/>
      <c r="AE1478" s="33"/>
      <c r="AF1478" s="33"/>
      <c r="AG1478" s="33"/>
      <c r="AH1478" s="33"/>
      <c r="AI1478" s="33"/>
      <c r="AJ1478" s="33"/>
      <c r="AK1478" s="33"/>
      <c r="AL1478" s="33"/>
      <c r="AM1478" s="33"/>
      <c r="AN1478" s="33"/>
      <c r="AO1478" s="33"/>
    </row>
    <row r="1479" spans="1:41" ht="23.25">
      <c r="A1479" s="1295" t="s">
        <v>448</v>
      </c>
      <c r="B1479" s="1295"/>
      <c r="C1479" s="1295"/>
      <c r="D1479" s="1294" t="s">
        <v>380</v>
      </c>
      <c r="E1479" s="1294"/>
      <c r="F1479" s="1294"/>
      <c r="G1479" s="1294"/>
      <c r="H1479" s="1294"/>
      <c r="I1479" s="249"/>
      <c r="J1479" s="249"/>
      <c r="K1479" s="249" t="s">
        <v>449</v>
      </c>
      <c r="L1479" s="249"/>
      <c r="M1479" s="1295" t="s">
        <v>380</v>
      </c>
      <c r="N1479" s="1295"/>
      <c r="O1479" s="1292" t="str">
        <f>D1479</f>
        <v/>
      </c>
      <c r="P1479" s="1292"/>
      <c r="Q1479" s="78"/>
      <c r="Z1479" s="79"/>
      <c r="AA1479" s="80"/>
      <c r="AB1479" s="34"/>
      <c r="AC1479" s="34"/>
      <c r="AD1479" s="33"/>
      <c r="AE1479" s="33"/>
      <c r="AF1479" s="33"/>
      <c r="AG1479" s="33"/>
      <c r="AH1479" s="33"/>
      <c r="AI1479" s="33"/>
      <c r="AJ1479" s="33"/>
      <c r="AK1479" s="33"/>
      <c r="AL1479" s="33"/>
      <c r="AM1479" s="33"/>
      <c r="AN1479" s="33"/>
      <c r="AO1479" s="33"/>
    </row>
    <row r="1480" spans="1:41" ht="24" thickBot="1">
      <c r="A1480" s="1340" t="s">
        <v>450</v>
      </c>
      <c r="B1480" s="1340"/>
      <c r="C1480" s="1340"/>
      <c r="D1480" s="1340" t="s">
        <v>380</v>
      </c>
      <c r="E1480" s="1340"/>
      <c r="F1480" s="1340"/>
      <c r="G1480" s="1340"/>
      <c r="H1480" s="87"/>
      <c r="I1480" s="1340" t="s">
        <v>452</v>
      </c>
      <c r="J1480" s="1340"/>
      <c r="K1480" s="1340"/>
      <c r="L1480" s="1341" t="s">
        <v>380</v>
      </c>
      <c r="M1480" s="1341"/>
      <c r="N1480" s="1341"/>
      <c r="O1480" s="77"/>
      <c r="P1480" s="77"/>
      <c r="Q1480" s="78"/>
      <c r="Z1480" s="79"/>
      <c r="AA1480" s="80"/>
      <c r="AB1480" s="34"/>
      <c r="AC1480" s="34"/>
      <c r="AD1480" s="33"/>
      <c r="AE1480" s="33"/>
      <c r="AF1480" s="33"/>
      <c r="AG1480" s="33"/>
      <c r="AH1480" s="33"/>
      <c r="AI1480" s="33"/>
      <c r="AJ1480" s="33"/>
      <c r="AK1480" s="33"/>
      <c r="AL1480" s="33"/>
      <c r="AM1480" s="33"/>
      <c r="AN1480" s="33"/>
      <c r="AO1480" s="33"/>
    </row>
    <row r="1481" spans="1:41" ht="17.25" thickTop="1" thickBot="1">
      <c r="A1481" s="1318" t="s">
        <v>453</v>
      </c>
      <c r="B1481" s="1319"/>
      <c r="C1481" s="88" t="s">
        <v>380</v>
      </c>
      <c r="D1481" s="89" t="s">
        <v>380</v>
      </c>
      <c r="E1481" s="89" t="s">
        <v>380</v>
      </c>
      <c r="F1481" s="89" t="s">
        <v>380</v>
      </c>
      <c r="G1481" s="89" t="s">
        <v>380</v>
      </c>
      <c r="H1481" s="89" t="s">
        <v>380</v>
      </c>
      <c r="I1481" s="89" t="s">
        <v>380</v>
      </c>
      <c r="J1481" s="89" t="s">
        <v>380</v>
      </c>
      <c r="K1481" s="89" t="s">
        <v>380</v>
      </c>
      <c r="L1481" s="89" t="s">
        <v>380</v>
      </c>
      <c r="M1481" s="89" t="s">
        <v>380</v>
      </c>
      <c r="N1481" s="90" t="s">
        <v>380</v>
      </c>
      <c r="Z1481" s="79"/>
      <c r="AA1481" s="80"/>
      <c r="AB1481" s="34"/>
      <c r="AC1481" s="34"/>
      <c r="AD1481" s="33"/>
      <c r="AE1481" s="33"/>
      <c r="AF1481" s="33"/>
      <c r="AG1481" s="33"/>
      <c r="AH1481" s="33"/>
      <c r="AI1481" s="33"/>
      <c r="AJ1481" s="33"/>
      <c r="AK1481" s="33"/>
      <c r="AL1481" s="33"/>
      <c r="AM1481" s="33"/>
      <c r="AN1481" s="33"/>
      <c r="AO1481" s="33"/>
    </row>
    <row r="1482" spans="1:41" ht="24" thickBot="1">
      <c r="A1482" s="1329" t="s">
        <v>454</v>
      </c>
      <c r="B1482" s="1330"/>
      <c r="C1482" s="91" t="s">
        <v>380</v>
      </c>
      <c r="D1482" s="210" t="s">
        <v>380</v>
      </c>
      <c r="E1482" s="210" t="s">
        <v>380</v>
      </c>
      <c r="F1482" s="210" t="s">
        <v>380</v>
      </c>
      <c r="G1482" s="210" t="s">
        <v>380</v>
      </c>
      <c r="H1482" s="210" t="s">
        <v>380</v>
      </c>
      <c r="I1482" s="210" t="s">
        <v>380</v>
      </c>
      <c r="J1482" s="210" t="s">
        <v>380</v>
      </c>
      <c r="K1482" s="210" t="s">
        <v>380</v>
      </c>
      <c r="L1482" s="210" t="s">
        <v>380</v>
      </c>
      <c r="M1482" s="210" t="s">
        <v>380</v>
      </c>
      <c r="N1482" s="92" t="s">
        <v>380</v>
      </c>
      <c r="O1482" s="152"/>
      <c r="R1482" s="78"/>
      <c r="Z1482" s="79"/>
      <c r="AA1482" s="80"/>
      <c r="AB1482" s="34"/>
      <c r="AC1482" s="34"/>
      <c r="AD1482" s="33"/>
      <c r="AE1482" s="33"/>
      <c r="AF1482" s="33"/>
      <c r="AG1482" s="33"/>
      <c r="AH1482" s="33"/>
      <c r="AI1482" s="33"/>
      <c r="AJ1482" s="33"/>
      <c r="AK1482" s="33"/>
      <c r="AL1482" s="33"/>
      <c r="AM1482" s="33"/>
      <c r="AN1482" s="33"/>
      <c r="AO1482" s="33"/>
    </row>
    <row r="1483" spans="1:41" ht="24" thickBot="1">
      <c r="A1483" s="1329" t="s">
        <v>455</v>
      </c>
      <c r="B1483" s="1330"/>
      <c r="C1483" s="91" t="s">
        <v>380</v>
      </c>
      <c r="D1483" s="210" t="s">
        <v>380</v>
      </c>
      <c r="E1483" s="210" t="s">
        <v>380</v>
      </c>
      <c r="F1483" s="210" t="s">
        <v>380</v>
      </c>
      <c r="G1483" s="210" t="s">
        <v>380</v>
      </c>
      <c r="H1483" s="210" t="s">
        <v>380</v>
      </c>
      <c r="I1483" s="210" t="s">
        <v>380</v>
      </c>
      <c r="J1483" s="210" t="s">
        <v>380</v>
      </c>
      <c r="K1483" s="210" t="s">
        <v>380</v>
      </c>
      <c r="L1483" s="210" t="s">
        <v>380</v>
      </c>
      <c r="M1483" s="210" t="s">
        <v>380</v>
      </c>
      <c r="N1483" s="92" t="s">
        <v>380</v>
      </c>
      <c r="O1483" s="152"/>
      <c r="R1483" s="78"/>
      <c r="Z1483" s="79"/>
      <c r="AA1483" s="80"/>
      <c r="AB1483" s="34"/>
      <c r="AC1483" s="34"/>
      <c r="AD1483" s="33"/>
      <c r="AE1483" s="33"/>
      <c r="AF1483" s="33"/>
      <c r="AG1483" s="33"/>
      <c r="AH1483" s="33"/>
      <c r="AI1483" s="33"/>
      <c r="AJ1483" s="33"/>
      <c r="AK1483" s="33"/>
      <c r="AL1483" s="33"/>
      <c r="AM1483" s="33"/>
      <c r="AN1483" s="33"/>
      <c r="AO1483" s="33"/>
    </row>
    <row r="1484" spans="1:41" ht="24" thickBot="1">
      <c r="A1484" s="1327" t="s">
        <v>456</v>
      </c>
      <c r="B1484" s="1328"/>
      <c r="C1484" s="93" t="s">
        <v>380</v>
      </c>
      <c r="D1484" s="94" t="s">
        <v>380</v>
      </c>
      <c r="E1484" s="94" t="s">
        <v>380</v>
      </c>
      <c r="F1484" s="94" t="s">
        <v>380</v>
      </c>
      <c r="G1484" s="94" t="s">
        <v>380</v>
      </c>
      <c r="H1484" s="94" t="s">
        <v>380</v>
      </c>
      <c r="I1484" s="94" t="s">
        <v>380</v>
      </c>
      <c r="J1484" s="94" t="s">
        <v>380</v>
      </c>
      <c r="K1484" s="94" t="s">
        <v>380</v>
      </c>
      <c r="L1484" s="94" t="s">
        <v>380</v>
      </c>
      <c r="M1484" s="94" t="s">
        <v>380</v>
      </c>
      <c r="N1484" s="95" t="s">
        <v>380</v>
      </c>
      <c r="O1484" s="152"/>
      <c r="Z1484" s="79"/>
      <c r="AA1484" s="80"/>
      <c r="AB1484" s="34"/>
      <c r="AC1484" s="34"/>
      <c r="AD1484" s="33"/>
      <c r="AE1484" s="33"/>
      <c r="AF1484" s="33"/>
      <c r="AG1484" s="33"/>
      <c r="AH1484" s="33"/>
      <c r="AI1484" s="33"/>
      <c r="AJ1484" s="33"/>
      <c r="AK1484" s="33"/>
      <c r="AL1484" s="33"/>
      <c r="AM1484" s="33"/>
      <c r="AN1484" s="33"/>
      <c r="AO1484" s="33"/>
    </row>
    <row r="1485" spans="1:41" ht="21" thickTop="1">
      <c r="A1485" s="96"/>
      <c r="B1485" s="96"/>
      <c r="C1485" s="96"/>
      <c r="D1485" s="96"/>
      <c r="E1485" s="1326" t="s">
        <v>457</v>
      </c>
      <c r="F1485" s="1310"/>
      <c r="G1485" s="97">
        <v>18</v>
      </c>
      <c r="H1485" s="1310" t="s">
        <v>458</v>
      </c>
      <c r="I1485" s="1311"/>
      <c r="J1485" s="1310" t="s">
        <v>459</v>
      </c>
      <c r="K1485" s="1311"/>
      <c r="L1485" s="96"/>
      <c r="M1485" s="96"/>
      <c r="N1485" s="96"/>
      <c r="O1485" s="77"/>
      <c r="P1485" s="77"/>
      <c r="Q1485" s="78"/>
      <c r="Z1485" s="79"/>
      <c r="AA1485" s="80"/>
      <c r="AB1485" s="34"/>
      <c r="AC1485" s="34"/>
      <c r="AD1485" s="33"/>
      <c r="AE1485" s="33"/>
      <c r="AF1485" s="33"/>
      <c r="AG1485" s="33"/>
      <c r="AH1485" s="33"/>
      <c r="AI1485" s="33"/>
      <c r="AJ1485" s="33"/>
      <c r="AK1485" s="33"/>
      <c r="AL1485" s="33"/>
      <c r="AM1485" s="33"/>
      <c r="AN1485" s="33"/>
      <c r="AO1485" s="33"/>
    </row>
    <row r="1486" spans="1:41" ht="23.25">
      <c r="A1486" s="96"/>
      <c r="B1486" s="96"/>
      <c r="C1486" s="96"/>
      <c r="D1486" s="96"/>
      <c r="E1486" s="1307" t="s">
        <v>460</v>
      </c>
      <c r="F1486" s="1308"/>
      <c r="G1486" s="98">
        <v>0</v>
      </c>
      <c r="H1486" s="1312">
        <v>0</v>
      </c>
      <c r="I1486" s="1312"/>
      <c r="J1486" s="1312">
        <v>0</v>
      </c>
      <c r="K1486" s="1313"/>
      <c r="L1486" s="96"/>
      <c r="M1486" s="96"/>
      <c r="N1486" s="96"/>
      <c r="O1486" s="77"/>
      <c r="P1486" s="77"/>
      <c r="Q1486" s="78">
        <f>G1486+H1486+H1488+J1486</f>
        <v>0</v>
      </c>
      <c r="Z1486" s="79"/>
      <c r="AA1486" s="80"/>
      <c r="AB1486" s="34"/>
      <c r="AC1486" s="34"/>
      <c r="AD1486" s="33"/>
      <c r="AE1486" s="33"/>
      <c r="AF1486" s="33"/>
      <c r="AG1486" s="33"/>
      <c r="AH1486" s="33"/>
      <c r="AI1486" s="33"/>
      <c r="AJ1486" s="33"/>
      <c r="AK1486" s="33"/>
      <c r="AL1486" s="33"/>
      <c r="AM1486" s="33"/>
      <c r="AN1486" s="33"/>
      <c r="AO1486" s="33"/>
    </row>
    <row r="1487" spans="1:41" ht="20.25">
      <c r="A1487" s="96"/>
      <c r="B1487" s="96"/>
      <c r="C1487" s="96"/>
      <c r="D1487" s="96"/>
      <c r="E1487" s="1307" t="s">
        <v>461</v>
      </c>
      <c r="F1487" s="1308"/>
      <c r="G1487" s="99">
        <v>18</v>
      </c>
      <c r="H1487" s="1308" t="s">
        <v>462</v>
      </c>
      <c r="I1487" s="1308"/>
      <c r="J1487" s="1308" t="s">
        <v>463</v>
      </c>
      <c r="K1487" s="1309"/>
      <c r="L1487" s="96"/>
      <c r="M1487" s="96"/>
      <c r="N1487" s="96"/>
      <c r="O1487" s="77"/>
      <c r="P1487" s="77"/>
      <c r="Q1487" s="78"/>
      <c r="Z1487" s="79"/>
      <c r="AA1487" s="80"/>
      <c r="AB1487" s="34"/>
      <c r="AC1487" s="34"/>
      <c r="AD1487" s="33"/>
      <c r="AE1487" s="33"/>
      <c r="AF1487" s="33"/>
      <c r="AG1487" s="33"/>
      <c r="AH1487" s="33"/>
      <c r="AI1487" s="33"/>
      <c r="AJ1487" s="33"/>
      <c r="AK1487" s="33"/>
      <c r="AL1487" s="33"/>
      <c r="AM1487" s="33"/>
      <c r="AN1487" s="33"/>
      <c r="AO1487" s="33"/>
    </row>
    <row r="1488" spans="1:41" ht="24" thickBot="1">
      <c r="A1488" s="96"/>
      <c r="B1488" s="96"/>
      <c r="C1488" s="96"/>
      <c r="D1488" s="96"/>
      <c r="E1488" s="1303" t="s">
        <v>464</v>
      </c>
      <c r="F1488" s="1304"/>
      <c r="G1488" s="99">
        <v>0</v>
      </c>
      <c r="H1488" s="1305">
        <v>0</v>
      </c>
      <c r="I1488" s="1305"/>
      <c r="J1488" s="1305">
        <v>0</v>
      </c>
      <c r="K1488" s="1306"/>
      <c r="L1488" s="96"/>
      <c r="M1488" s="96"/>
      <c r="N1488" s="96"/>
      <c r="O1488" s="77"/>
      <c r="P1488" s="77"/>
      <c r="Q1488" s="78"/>
      <c r="Z1488" s="79"/>
      <c r="AA1488" s="80"/>
      <c r="AB1488" s="34"/>
      <c r="AC1488" s="34"/>
      <c r="AD1488" s="33"/>
      <c r="AE1488" s="33"/>
      <c r="AF1488" s="33"/>
      <c r="AG1488" s="33"/>
      <c r="AH1488" s="33"/>
      <c r="AI1488" s="33"/>
      <c r="AJ1488" s="33"/>
      <c r="AK1488" s="33"/>
      <c r="AL1488" s="33"/>
      <c r="AM1488" s="33"/>
      <c r="AN1488" s="33"/>
      <c r="AO1488" s="33"/>
    </row>
    <row r="1489" spans="1:41" ht="17.25" thickTop="1" thickBot="1">
      <c r="A1489" s="34"/>
      <c r="B1489" s="34"/>
      <c r="C1489" s="1299" t="s">
        <v>465</v>
      </c>
      <c r="D1489" s="1299"/>
      <c r="E1489" s="1299" t="s">
        <v>360</v>
      </c>
      <c r="F1489" s="1299"/>
      <c r="G1489" s="1302" t="s">
        <v>368</v>
      </c>
      <c r="H1489" s="1302"/>
      <c r="I1489" s="1302" t="s">
        <v>369</v>
      </c>
      <c r="J1489" s="1302"/>
      <c r="K1489" s="1302" t="s">
        <v>370</v>
      </c>
      <c r="L1489" s="1299"/>
      <c r="M1489" s="1299" t="s">
        <v>371</v>
      </c>
      <c r="N1489" s="1299"/>
      <c r="O1489" s="77"/>
      <c r="P1489" s="77"/>
      <c r="Q1489" s="78"/>
      <c r="Z1489" s="79"/>
      <c r="AA1489" s="80"/>
      <c r="AB1489" s="34"/>
      <c r="AC1489" s="34"/>
      <c r="AD1489" s="33"/>
      <c r="AE1489" s="33"/>
      <c r="AF1489" s="33"/>
      <c r="AG1489" s="33"/>
      <c r="AH1489" s="33"/>
      <c r="AI1489" s="33"/>
      <c r="AJ1489" s="33"/>
      <c r="AK1489" s="33"/>
      <c r="AL1489" s="33"/>
      <c r="AM1489" s="33"/>
      <c r="AN1489" s="33"/>
      <c r="AO1489" s="33"/>
    </row>
    <row r="1490" spans="1:41" ht="17.25" thickTop="1" thickBot="1">
      <c r="A1490" s="34"/>
      <c r="B1490" s="34"/>
      <c r="C1490" s="1299" t="s">
        <v>372</v>
      </c>
      <c r="D1490" s="1299"/>
      <c r="E1490" s="1297" t="s">
        <v>380</v>
      </c>
      <c r="F1490" s="1297"/>
      <c r="G1490" s="1297" t="s">
        <v>380</v>
      </c>
      <c r="H1490" s="1297"/>
      <c r="I1490" s="1297" t="s">
        <v>380</v>
      </c>
      <c r="J1490" s="1297"/>
      <c r="K1490" s="1297" t="s">
        <v>380</v>
      </c>
      <c r="L1490" s="1297"/>
      <c r="M1490" s="1297" t="s">
        <v>380</v>
      </c>
      <c r="N1490" s="1297"/>
      <c r="O1490" s="77"/>
      <c r="P1490" s="77"/>
      <c r="Q1490" s="78"/>
      <c r="Z1490" s="79"/>
      <c r="AA1490" s="80"/>
      <c r="AB1490" s="34"/>
      <c r="AC1490" s="34"/>
      <c r="AD1490" s="33"/>
      <c r="AE1490" s="33"/>
      <c r="AF1490" s="33"/>
      <c r="AG1490" s="33"/>
      <c r="AH1490" s="33"/>
      <c r="AI1490" s="33"/>
      <c r="AJ1490" s="33"/>
      <c r="AK1490" s="33"/>
      <c r="AL1490" s="33"/>
      <c r="AM1490" s="33"/>
      <c r="AN1490" s="33"/>
      <c r="AO1490" s="33"/>
    </row>
    <row r="1491" spans="1:41" ht="17.25" thickTop="1" thickBot="1">
      <c r="A1491" s="34"/>
      <c r="B1491" s="34"/>
      <c r="C1491" s="1299" t="s">
        <v>373</v>
      </c>
      <c r="D1491" s="1299"/>
      <c r="E1491" s="1297" t="s">
        <v>380</v>
      </c>
      <c r="F1491" s="1297"/>
      <c r="G1491" s="1297" t="s">
        <v>380</v>
      </c>
      <c r="H1491" s="1297"/>
      <c r="I1491" s="1297" t="s">
        <v>380</v>
      </c>
      <c r="J1491" s="1297"/>
      <c r="K1491" s="1297" t="s">
        <v>380</v>
      </c>
      <c r="L1491" s="1297"/>
      <c r="M1491" s="1297" t="s">
        <v>380</v>
      </c>
      <c r="N1491" s="1297"/>
      <c r="O1491" s="77"/>
      <c r="P1491" s="77"/>
      <c r="Q1491" s="78"/>
      <c r="Z1491" s="79"/>
      <c r="AA1491" s="80"/>
      <c r="AB1491" s="34"/>
      <c r="AC1491" s="34"/>
      <c r="AD1491" s="33"/>
      <c r="AE1491" s="33"/>
      <c r="AF1491" s="33"/>
      <c r="AG1491" s="33"/>
      <c r="AH1491" s="33"/>
      <c r="AI1491" s="33"/>
      <c r="AJ1491" s="33"/>
      <c r="AK1491" s="33"/>
      <c r="AL1491" s="33"/>
      <c r="AM1491" s="33"/>
      <c r="AN1491" s="33"/>
      <c r="AO1491" s="33"/>
    </row>
    <row r="1492" spans="1:41" ht="17.25" thickTop="1" thickBot="1">
      <c r="A1492" s="34"/>
      <c r="B1492" s="34"/>
      <c r="C1492" s="1299" t="s">
        <v>374</v>
      </c>
      <c r="D1492" s="1299"/>
      <c r="E1492" s="1297" t="s">
        <v>380</v>
      </c>
      <c r="F1492" s="1297"/>
      <c r="G1492" s="1297" t="s">
        <v>380</v>
      </c>
      <c r="H1492" s="1297"/>
      <c r="I1492" s="1297" t="s">
        <v>380</v>
      </c>
      <c r="J1492" s="1297"/>
      <c r="K1492" s="1297" t="s">
        <v>380</v>
      </c>
      <c r="L1492" s="1297"/>
      <c r="M1492" s="1297" t="s">
        <v>380</v>
      </c>
      <c r="N1492" s="1297"/>
      <c r="O1492" s="77"/>
      <c r="P1492" s="77"/>
      <c r="Q1492" s="78"/>
      <c r="Z1492" s="79"/>
      <c r="AA1492" s="80"/>
      <c r="AB1492" s="34"/>
      <c r="AC1492" s="34"/>
      <c r="AD1492" s="33"/>
      <c r="AE1492" s="33"/>
      <c r="AF1492" s="33"/>
      <c r="AG1492" s="33"/>
      <c r="AH1492" s="33"/>
      <c r="AI1492" s="33"/>
      <c r="AJ1492" s="33"/>
      <c r="AK1492" s="33"/>
      <c r="AL1492" s="33"/>
      <c r="AM1492" s="33"/>
      <c r="AN1492" s="33"/>
      <c r="AO1492" s="33"/>
    </row>
    <row r="1493" spans="1:41" ht="17.25" thickTop="1" thickBot="1">
      <c r="A1493" s="34"/>
      <c r="B1493" s="34"/>
      <c r="C1493" s="1299" t="s">
        <v>375</v>
      </c>
      <c r="D1493" s="1299"/>
      <c r="E1493" s="1297" t="s">
        <v>380</v>
      </c>
      <c r="F1493" s="1297"/>
      <c r="G1493" s="1297" t="s">
        <v>380</v>
      </c>
      <c r="H1493" s="1297"/>
      <c r="I1493" s="1297" t="s">
        <v>380</v>
      </c>
      <c r="J1493" s="1297"/>
      <c r="K1493" s="1297" t="s">
        <v>380</v>
      </c>
      <c r="L1493" s="1297"/>
      <c r="M1493" s="1297" t="s">
        <v>380</v>
      </c>
      <c r="N1493" s="1297"/>
      <c r="O1493" s="77"/>
      <c r="P1493" s="77"/>
      <c r="Q1493" s="78"/>
      <c r="Z1493" s="79"/>
      <c r="AA1493" s="80"/>
      <c r="AB1493" s="34"/>
      <c r="AC1493" s="34"/>
      <c r="AD1493" s="33"/>
      <c r="AE1493" s="33"/>
      <c r="AF1493" s="33"/>
      <c r="AG1493" s="33"/>
      <c r="AH1493" s="33"/>
      <c r="AI1493" s="33"/>
      <c r="AJ1493" s="33"/>
      <c r="AK1493" s="33"/>
      <c r="AL1493" s="33"/>
      <c r="AM1493" s="33"/>
      <c r="AN1493" s="33"/>
      <c r="AO1493" s="33"/>
    </row>
    <row r="1494" spans="1:41" ht="17.25" thickTop="1" thickBot="1">
      <c r="A1494" s="34"/>
      <c r="B1494" s="34"/>
      <c r="C1494" s="101"/>
      <c r="D1494" s="101"/>
      <c r="E1494" s="33"/>
      <c r="F1494" s="33"/>
      <c r="G1494" s="33"/>
      <c r="H1494" s="33"/>
      <c r="I1494" s="33"/>
      <c r="J1494" s="33"/>
      <c r="K1494" s="34"/>
      <c r="L1494" s="34"/>
      <c r="M1494" s="33"/>
      <c r="N1494" s="33"/>
      <c r="O1494" s="77"/>
      <c r="P1494" s="77"/>
      <c r="Q1494" s="78"/>
      <c r="Z1494" s="79"/>
      <c r="AA1494" s="80"/>
      <c r="AB1494" s="34"/>
      <c r="AC1494" s="34"/>
      <c r="AD1494" s="33"/>
      <c r="AE1494" s="33"/>
      <c r="AF1494" s="33"/>
      <c r="AG1494" s="33"/>
      <c r="AH1494" s="33"/>
      <c r="AI1494" s="33"/>
      <c r="AJ1494" s="33"/>
      <c r="AK1494" s="33"/>
      <c r="AL1494" s="33"/>
      <c r="AM1494" s="33"/>
      <c r="AN1494" s="33"/>
      <c r="AO1494" s="33"/>
    </row>
    <row r="1495" spans="1:41" ht="17.25" thickTop="1" thickBot="1">
      <c r="A1495" s="34"/>
      <c r="B1495" s="34"/>
      <c r="C1495" s="1299" t="s">
        <v>376</v>
      </c>
      <c r="D1495" s="1299"/>
      <c r="E1495" s="1297" t="s">
        <v>380</v>
      </c>
      <c r="F1495" s="1297"/>
      <c r="G1495" s="1297" t="s">
        <v>380</v>
      </c>
      <c r="H1495" s="1297"/>
      <c r="I1495" s="1297" t="s">
        <v>380</v>
      </c>
      <c r="J1495" s="1297"/>
      <c r="K1495" s="1297" t="s">
        <v>380</v>
      </c>
      <c r="L1495" s="1297"/>
      <c r="M1495" s="1297" t="s">
        <v>380</v>
      </c>
      <c r="N1495" s="1297"/>
      <c r="O1495" s="77"/>
      <c r="P1495" s="77"/>
      <c r="Q1495" s="78"/>
      <c r="Z1495" s="79"/>
      <c r="AA1495" s="80"/>
      <c r="AB1495" s="34"/>
      <c r="AC1495" s="34"/>
      <c r="AD1495" s="33"/>
      <c r="AE1495" s="33"/>
      <c r="AF1495" s="33"/>
      <c r="AG1495" s="33"/>
      <c r="AH1495" s="33"/>
      <c r="AI1495" s="33"/>
      <c r="AJ1495" s="33"/>
      <c r="AK1495" s="33"/>
      <c r="AL1495" s="33"/>
      <c r="AM1495" s="33"/>
      <c r="AN1495" s="33"/>
      <c r="AO1495" s="33"/>
    </row>
    <row r="1496" spans="1:41" ht="17.25" thickTop="1" thickBot="1">
      <c r="A1496" s="34"/>
      <c r="B1496" s="34"/>
      <c r="C1496" s="1299" t="s">
        <v>377</v>
      </c>
      <c r="D1496" s="1299"/>
      <c r="E1496" s="1297" t="s">
        <v>380</v>
      </c>
      <c r="F1496" s="1297"/>
      <c r="G1496" s="1297" t="s">
        <v>380</v>
      </c>
      <c r="H1496" s="1297"/>
      <c r="I1496" s="1297" t="s">
        <v>380</v>
      </c>
      <c r="J1496" s="1297"/>
      <c r="K1496" s="1297" t="s">
        <v>380</v>
      </c>
      <c r="L1496" s="1297"/>
      <c r="M1496" s="1297" t="s">
        <v>380</v>
      </c>
      <c r="N1496" s="1297"/>
      <c r="O1496" s="77"/>
      <c r="P1496" s="77"/>
      <c r="Q1496" s="78"/>
      <c r="Z1496" s="79"/>
      <c r="AA1496" s="80"/>
      <c r="AB1496" s="34"/>
      <c r="AC1496" s="34"/>
      <c r="AD1496" s="33"/>
      <c r="AE1496" s="33"/>
      <c r="AF1496" s="33"/>
      <c r="AG1496" s="33"/>
      <c r="AH1496" s="33"/>
      <c r="AI1496" s="33"/>
      <c r="AJ1496" s="33"/>
      <c r="AK1496" s="33"/>
      <c r="AL1496" s="33"/>
      <c r="AM1496" s="33"/>
      <c r="AN1496" s="33"/>
      <c r="AO1496" s="33"/>
    </row>
    <row r="1497" spans="1:41" ht="17.25" thickTop="1" thickBot="1">
      <c r="A1497" s="34"/>
      <c r="B1497" s="34"/>
      <c r="C1497" s="1299" t="s">
        <v>378</v>
      </c>
      <c r="D1497" s="1299"/>
      <c r="E1497" s="1297" t="s">
        <v>380</v>
      </c>
      <c r="F1497" s="1297"/>
      <c r="G1497" s="1297" t="s">
        <v>380</v>
      </c>
      <c r="H1497" s="1297"/>
      <c r="I1497" s="1297" t="s">
        <v>380</v>
      </c>
      <c r="J1497" s="1297"/>
      <c r="K1497" s="1297" t="s">
        <v>380</v>
      </c>
      <c r="L1497" s="1297"/>
      <c r="M1497" s="1297" t="s">
        <v>380</v>
      </c>
      <c r="N1497" s="1297"/>
      <c r="O1497" s="77"/>
      <c r="P1497" s="77"/>
      <c r="Q1497" s="78"/>
      <c r="Z1497" s="79"/>
      <c r="AA1497" s="80"/>
      <c r="AB1497" s="34"/>
      <c r="AC1497" s="34"/>
      <c r="AD1497" s="33"/>
      <c r="AE1497" s="33"/>
      <c r="AF1497" s="33"/>
      <c r="AG1497" s="33"/>
      <c r="AH1497" s="33"/>
      <c r="AI1497" s="33"/>
      <c r="AJ1497" s="33"/>
      <c r="AK1497" s="33"/>
      <c r="AL1497" s="33"/>
      <c r="AM1497" s="33"/>
      <c r="AN1497" s="33"/>
      <c r="AO1497" s="33"/>
    </row>
    <row r="1498" spans="1:41" ht="17.25" thickTop="1" thickBot="1">
      <c r="A1498" s="34"/>
      <c r="B1498" s="34"/>
      <c r="C1498" s="1299" t="s">
        <v>379</v>
      </c>
      <c r="D1498" s="1299"/>
      <c r="E1498" s="1297" t="s">
        <v>380</v>
      </c>
      <c r="F1498" s="1297"/>
      <c r="G1498" s="1297" t="s">
        <v>380</v>
      </c>
      <c r="H1498" s="1297"/>
      <c r="I1498" s="1297" t="s">
        <v>380</v>
      </c>
      <c r="J1498" s="1297"/>
      <c r="K1498" s="1297" t="s">
        <v>380</v>
      </c>
      <c r="L1498" s="1297"/>
      <c r="M1498" s="1297" t="s">
        <v>380</v>
      </c>
      <c r="N1498" s="1297"/>
      <c r="O1498" s="77"/>
      <c r="P1498" s="77"/>
      <c r="Q1498" s="78"/>
      <c r="Z1498" s="79"/>
      <c r="AA1498" s="80"/>
      <c r="AB1498" s="34"/>
      <c r="AC1498" s="34"/>
      <c r="AD1498" s="33"/>
      <c r="AE1498" s="33"/>
      <c r="AF1498" s="33"/>
      <c r="AG1498" s="33"/>
      <c r="AH1498" s="33"/>
      <c r="AI1498" s="33"/>
      <c r="AJ1498" s="33"/>
      <c r="AK1498" s="33"/>
      <c r="AL1498" s="33"/>
      <c r="AM1498" s="33"/>
      <c r="AN1498" s="33"/>
      <c r="AO1498" s="33"/>
    </row>
    <row r="1499" spans="1:41" ht="17.25" thickTop="1" thickBot="1">
      <c r="A1499" s="34"/>
      <c r="B1499" s="34"/>
      <c r="C1499" s="33"/>
      <c r="D1499" s="33"/>
      <c r="E1499" s="33"/>
      <c r="F1499" s="33"/>
      <c r="G1499" s="33"/>
      <c r="H1499" s="33"/>
      <c r="I1499" s="33" t="s">
        <v>494</v>
      </c>
      <c r="J1499" s="33"/>
      <c r="K1499" s="34"/>
      <c r="L1499" s="34"/>
      <c r="M1499" s="33"/>
      <c r="N1499" s="33"/>
      <c r="O1499" s="77"/>
      <c r="P1499" s="77"/>
      <c r="Q1499" s="78"/>
      <c r="Z1499" s="79"/>
      <c r="AA1499" s="80"/>
      <c r="AB1499" s="34"/>
      <c r="AC1499" s="34"/>
      <c r="AD1499" s="33"/>
      <c r="AE1499" s="33"/>
      <c r="AF1499" s="33"/>
      <c r="AG1499" s="33"/>
      <c r="AH1499" s="33"/>
      <c r="AI1499" s="33"/>
      <c r="AJ1499" s="33"/>
      <c r="AK1499" s="33"/>
      <c r="AL1499" s="33"/>
      <c r="AM1499" s="33"/>
      <c r="AN1499" s="33"/>
      <c r="AO1499" s="33"/>
    </row>
    <row r="1500" spans="1:41" ht="19.5" thickTop="1" thickBot="1">
      <c r="A1500" s="1321" t="s">
        <v>467</v>
      </c>
      <c r="B1500" s="1322"/>
      <c r="C1500" s="1323" t="s">
        <v>380</v>
      </c>
      <c r="D1500" s="1323"/>
      <c r="E1500" s="1323" t="s">
        <v>380</v>
      </c>
      <c r="F1500" s="1323"/>
      <c r="G1500" s="250"/>
      <c r="H1500" s="250" t="s">
        <v>468</v>
      </c>
      <c r="I1500" s="1295" t="s">
        <v>402</v>
      </c>
      <c r="J1500" s="1295"/>
      <c r="K1500" s="1295"/>
      <c r="L1500" s="102" t="s">
        <v>403</v>
      </c>
      <c r="M1500" s="1331">
        <v>42610.363814699071</v>
      </c>
      <c r="N1500" s="1331"/>
      <c r="O1500" s="77"/>
      <c r="P1500" s="77"/>
      <c r="Q1500" s="78"/>
      <c r="Z1500" s="79"/>
      <c r="AA1500" s="80"/>
      <c r="AB1500" s="34"/>
      <c r="AC1500" s="34"/>
      <c r="AD1500" s="33"/>
      <c r="AE1500" s="33"/>
      <c r="AF1500" s="33"/>
      <c r="AG1500" s="33"/>
      <c r="AH1500" s="33"/>
      <c r="AI1500" s="33"/>
      <c r="AJ1500" s="33"/>
      <c r="AK1500" s="33"/>
      <c r="AL1500" s="33"/>
      <c r="AM1500" s="33"/>
      <c r="AN1500" s="33"/>
      <c r="AO1500" s="33"/>
    </row>
    <row r="1501" spans="1:41" ht="19.5" thickTop="1" thickBot="1">
      <c r="A1501" s="1321" t="s">
        <v>469</v>
      </c>
      <c r="B1501" s="1322"/>
      <c r="C1501" s="1323" t="s">
        <v>380</v>
      </c>
      <c r="D1501" s="1323"/>
      <c r="E1501" s="1323" t="s">
        <v>380</v>
      </c>
      <c r="F1501" s="1323"/>
      <c r="G1501" s="250"/>
      <c r="H1501" s="250"/>
      <c r="I1501" s="250"/>
      <c r="J1501" s="250"/>
      <c r="K1501" s="102"/>
      <c r="L1501" s="102"/>
      <c r="M1501" s="33"/>
      <c r="N1501" s="33"/>
      <c r="O1501" s="77"/>
      <c r="P1501" s="77"/>
      <c r="Q1501" s="78"/>
      <c r="Z1501" s="79"/>
      <c r="AA1501" s="80"/>
      <c r="AB1501" s="34"/>
      <c r="AC1501" s="34"/>
      <c r="AD1501" s="33"/>
      <c r="AE1501" s="33"/>
      <c r="AF1501" s="33"/>
      <c r="AG1501" s="33"/>
      <c r="AH1501" s="33"/>
      <c r="AI1501" s="33"/>
      <c r="AJ1501" s="33"/>
      <c r="AK1501" s="33"/>
      <c r="AL1501" s="33"/>
      <c r="AM1501" s="33"/>
      <c r="AN1501" s="33"/>
      <c r="AO1501" s="33"/>
    </row>
    <row r="1502" spans="1:41" ht="19.5" thickTop="1" thickBot="1">
      <c r="A1502" s="1321" t="s">
        <v>470</v>
      </c>
      <c r="B1502" s="1322"/>
      <c r="C1502" s="1323" t="s">
        <v>380</v>
      </c>
      <c r="D1502" s="1323"/>
      <c r="E1502" s="1323" t="s">
        <v>380</v>
      </c>
      <c r="F1502" s="1323"/>
      <c r="G1502" s="250"/>
      <c r="H1502" s="250"/>
      <c r="I1502" s="250"/>
      <c r="J1502" s="250" t="s">
        <v>471</v>
      </c>
      <c r="K1502" s="102"/>
      <c r="L1502" s="102"/>
      <c r="M1502" s="33"/>
      <c r="N1502" s="33"/>
      <c r="O1502" s="77"/>
      <c r="P1502" s="77"/>
      <c r="Q1502" s="78"/>
      <c r="Z1502" s="79"/>
      <c r="AA1502" s="80"/>
      <c r="AB1502" s="34"/>
      <c r="AC1502" s="34"/>
      <c r="AD1502" s="33"/>
      <c r="AE1502" s="33"/>
      <c r="AF1502" s="33"/>
      <c r="AG1502" s="33"/>
      <c r="AH1502" s="33"/>
      <c r="AI1502" s="33"/>
      <c r="AJ1502" s="33"/>
      <c r="AK1502" s="33"/>
      <c r="AL1502" s="33"/>
      <c r="AM1502" s="33"/>
      <c r="AN1502" s="33"/>
      <c r="AO1502" s="33"/>
    </row>
    <row r="1503" spans="1:41" ht="24" thickTop="1">
      <c r="A1503" s="34"/>
      <c r="B1503" s="34"/>
      <c r="C1503" s="33"/>
      <c r="D1503" s="33"/>
      <c r="E1503" s="33"/>
      <c r="F1503" s="33"/>
      <c r="G1503" s="33"/>
      <c r="H1503" s="103" t="s">
        <v>406</v>
      </c>
      <c r="I1503" s="33"/>
      <c r="J1503" s="34"/>
      <c r="K1503" s="34"/>
      <c r="L1503" s="33"/>
      <c r="M1503" s="33"/>
      <c r="N1503" s="104"/>
      <c r="O1503" s="77"/>
      <c r="P1503" s="77"/>
      <c r="Q1503" s="78"/>
      <c r="Z1503" s="79"/>
      <c r="AA1503" s="80"/>
      <c r="AB1503" s="34"/>
      <c r="AC1503" s="34"/>
      <c r="AD1503" s="33"/>
      <c r="AE1503" s="33"/>
      <c r="AF1503" s="33"/>
      <c r="AG1503" s="33"/>
      <c r="AH1503" s="33"/>
      <c r="AI1503" s="33"/>
      <c r="AJ1503" s="33"/>
      <c r="AK1503" s="33"/>
      <c r="AL1503" s="33"/>
      <c r="AM1503" s="33"/>
      <c r="AN1503" s="33"/>
      <c r="AO1503" s="33"/>
    </row>
    <row r="1504" spans="1:41" ht="18">
      <c r="A1504" s="1295" t="s">
        <v>78</v>
      </c>
      <c r="B1504" s="1295"/>
      <c r="C1504" s="1295"/>
      <c r="D1504" s="1295"/>
      <c r="E1504" s="1295"/>
      <c r="F1504" s="1295"/>
      <c r="G1504" s="1295"/>
      <c r="H1504" s="1295"/>
      <c r="I1504" s="1295"/>
      <c r="J1504" s="1295"/>
      <c r="K1504" s="1295"/>
      <c r="L1504" s="1295"/>
      <c r="M1504" s="1295"/>
      <c r="N1504" s="1295"/>
      <c r="O1504" s="77"/>
      <c r="P1504" s="77"/>
      <c r="Q1504" s="78"/>
      <c r="Z1504" s="79"/>
      <c r="AA1504" s="80"/>
      <c r="AB1504" s="34"/>
      <c r="AC1504" s="34"/>
      <c r="AD1504" s="33"/>
      <c r="AE1504" s="33"/>
      <c r="AF1504" s="33"/>
      <c r="AG1504" s="33"/>
      <c r="AH1504" s="33"/>
      <c r="AI1504" s="33"/>
      <c r="AJ1504" s="33"/>
      <c r="AK1504" s="33"/>
      <c r="AL1504" s="33"/>
      <c r="AM1504" s="33"/>
      <c r="AN1504" s="33"/>
      <c r="AO1504" s="33"/>
    </row>
    <row r="1505" spans="1:41" ht="18">
      <c r="A1505" s="1295" t="s">
        <v>79</v>
      </c>
      <c r="B1505" s="1295"/>
      <c r="C1505" s="1295"/>
      <c r="D1505" s="1295"/>
      <c r="E1505" s="1295"/>
      <c r="F1505" s="1295"/>
      <c r="G1505" s="1295"/>
      <c r="H1505" s="1295"/>
      <c r="I1505" s="1295"/>
      <c r="J1505" s="1295"/>
      <c r="K1505" s="1295"/>
      <c r="L1505" s="1295"/>
      <c r="M1505" s="1295"/>
      <c r="N1505" s="1295"/>
      <c r="O1505" s="77"/>
      <c r="P1505" s="77"/>
      <c r="Q1505" s="78"/>
      <c r="Z1505" s="79"/>
      <c r="AA1505" s="80"/>
      <c r="AB1505" s="34"/>
      <c r="AC1505" s="34"/>
      <c r="AD1505" s="33"/>
      <c r="AE1505" s="33"/>
      <c r="AF1505" s="33"/>
      <c r="AG1505" s="33"/>
      <c r="AH1505" s="33"/>
      <c r="AI1505" s="33"/>
      <c r="AJ1505" s="33"/>
      <c r="AK1505" s="33"/>
      <c r="AL1505" s="33"/>
      <c r="AM1505" s="33"/>
      <c r="AN1505" s="33"/>
      <c r="AO1505" s="33"/>
    </row>
    <row r="1506" spans="1:41" ht="18">
      <c r="A1506" s="168" t="s">
        <v>220</v>
      </c>
      <c r="B1506" s="250"/>
      <c r="C1506" s="250"/>
      <c r="D1506" s="250"/>
      <c r="E1506" s="250"/>
      <c r="F1506" s="250"/>
      <c r="G1506" s="250"/>
      <c r="H1506" s="250"/>
      <c r="I1506" s="250"/>
      <c r="J1506" s="250"/>
      <c r="K1506" s="250"/>
      <c r="L1506" s="250"/>
      <c r="M1506" s="33"/>
      <c r="N1506" s="33"/>
      <c r="O1506" s="77"/>
      <c r="P1506" s="77"/>
      <c r="Q1506" s="78"/>
      <c r="Z1506" s="79"/>
      <c r="AA1506" s="80"/>
      <c r="AB1506" s="34"/>
      <c r="AC1506" s="34"/>
      <c r="AD1506" s="33"/>
      <c r="AE1506" s="33"/>
      <c r="AF1506" s="33"/>
      <c r="AG1506" s="33"/>
      <c r="AH1506" s="33"/>
      <c r="AI1506" s="33"/>
      <c r="AJ1506" s="33"/>
      <c r="AK1506" s="33"/>
      <c r="AL1506" s="33"/>
      <c r="AM1506" s="33"/>
      <c r="AN1506" s="33"/>
      <c r="AO1506" s="33"/>
    </row>
    <row r="1507" spans="1:41" ht="18">
      <c r="A1507" s="168" t="s">
        <v>444</v>
      </c>
      <c r="B1507" s="250"/>
      <c r="C1507" s="250"/>
      <c r="D1507" s="250"/>
      <c r="E1507" s="250"/>
      <c r="F1507" s="250"/>
      <c r="G1507" s="250"/>
      <c r="H1507" s="250"/>
      <c r="I1507" s="250"/>
      <c r="J1507" s="250"/>
      <c r="K1507" s="250"/>
      <c r="L1507" s="250"/>
      <c r="M1507" s="33"/>
      <c r="N1507" s="33"/>
      <c r="O1507" s="77"/>
      <c r="P1507" s="77"/>
      <c r="Q1507" s="78"/>
      <c r="Z1507" s="79"/>
      <c r="AA1507" s="80"/>
      <c r="AB1507" s="34"/>
      <c r="AC1507" s="34"/>
      <c r="AD1507" s="33"/>
      <c r="AE1507" s="33"/>
      <c r="AF1507" s="33"/>
      <c r="AG1507" s="33"/>
      <c r="AH1507" s="33"/>
      <c r="AI1507" s="33"/>
      <c r="AJ1507" s="33"/>
      <c r="AK1507" s="33"/>
      <c r="AL1507" s="33"/>
      <c r="AM1507" s="33"/>
      <c r="AN1507" s="33"/>
      <c r="AO1507" s="33"/>
    </row>
    <row r="1508" spans="1:41" ht="18.75" thickBot="1">
      <c r="A1508" s="250"/>
      <c r="B1508" s="250"/>
      <c r="C1508" s="250"/>
      <c r="D1508" s="250"/>
      <c r="E1508" s="250"/>
      <c r="F1508" s="250"/>
      <c r="G1508" s="250"/>
      <c r="H1508" s="250"/>
      <c r="I1508" s="250"/>
      <c r="J1508" s="250"/>
      <c r="K1508" s="250"/>
      <c r="L1508" s="250"/>
      <c r="M1508" s="33"/>
      <c r="N1508" s="33"/>
      <c r="O1508" s="77"/>
      <c r="P1508" s="77"/>
      <c r="Q1508" s="78"/>
      <c r="Z1508" s="79"/>
      <c r="AA1508" s="80"/>
      <c r="AB1508" s="34"/>
      <c r="AC1508" s="34"/>
      <c r="AD1508" s="33"/>
      <c r="AE1508" s="33"/>
      <c r="AF1508" s="33"/>
      <c r="AG1508" s="33"/>
      <c r="AH1508" s="33"/>
      <c r="AI1508" s="33"/>
      <c r="AJ1508" s="33"/>
      <c r="AK1508" s="33"/>
      <c r="AL1508" s="33"/>
      <c r="AM1508" s="33"/>
      <c r="AN1508" s="33"/>
      <c r="AO1508" s="33"/>
    </row>
    <row r="1509" spans="1:41" ht="24" thickBot="1">
      <c r="A1509" s="250"/>
      <c r="B1509" s="250"/>
      <c r="C1509" s="1333" t="s">
        <v>446</v>
      </c>
      <c r="D1509" s="1334"/>
      <c r="E1509" s="1334"/>
      <c r="F1509" s="1334"/>
      <c r="G1509" s="1334"/>
      <c r="H1509" s="1334"/>
      <c r="I1509" s="1334"/>
      <c r="J1509" s="1334"/>
      <c r="K1509" s="1334"/>
      <c r="L1509" s="1335"/>
      <c r="M1509" s="33"/>
      <c r="N1509" s="33"/>
      <c r="O1509" s="77"/>
      <c r="P1509" s="77"/>
      <c r="Q1509" s="78"/>
      <c r="Z1509" s="79"/>
      <c r="AA1509" s="80"/>
      <c r="AB1509" s="34"/>
      <c r="AC1509" s="34"/>
      <c r="AD1509" s="33"/>
      <c r="AE1509" s="33"/>
      <c r="AF1509" s="33"/>
      <c r="AG1509" s="33"/>
      <c r="AH1509" s="33"/>
      <c r="AI1509" s="33"/>
      <c r="AJ1509" s="33"/>
      <c r="AK1509" s="33"/>
      <c r="AL1509" s="33"/>
      <c r="AM1509" s="33"/>
      <c r="AN1509" s="33"/>
      <c r="AO1509" s="33"/>
    </row>
    <row r="1510" spans="1:41" ht="23.25">
      <c r="A1510" s="250"/>
      <c r="B1510" s="250"/>
      <c r="C1510" s="249"/>
      <c r="D1510" s="249"/>
      <c r="E1510" s="249"/>
      <c r="F1510" s="249"/>
      <c r="G1510" s="249"/>
      <c r="H1510" s="249"/>
      <c r="I1510" s="249"/>
      <c r="J1510" s="249"/>
      <c r="K1510" s="249"/>
      <c r="L1510" s="249"/>
      <c r="M1510" s="33"/>
      <c r="N1510" s="33"/>
      <c r="O1510" s="77"/>
      <c r="P1510" s="77"/>
      <c r="Q1510" s="78"/>
      <c r="Z1510" s="79"/>
      <c r="AA1510" s="80"/>
      <c r="AB1510" s="34"/>
      <c r="AC1510" s="34"/>
      <c r="AD1510" s="33"/>
      <c r="AE1510" s="33"/>
      <c r="AF1510" s="33"/>
      <c r="AG1510" s="33"/>
      <c r="AH1510" s="33"/>
      <c r="AI1510" s="33"/>
      <c r="AJ1510" s="33"/>
      <c r="AK1510" s="33"/>
      <c r="AL1510" s="33"/>
      <c r="AM1510" s="33"/>
      <c r="AN1510" s="33"/>
      <c r="AO1510" s="33"/>
    </row>
    <row r="1511" spans="1:41" ht="23.25">
      <c r="A1511" s="1295" t="s">
        <v>448</v>
      </c>
      <c r="B1511" s="1295"/>
      <c r="C1511" s="1295"/>
      <c r="D1511" s="1294" t="s">
        <v>380</v>
      </c>
      <c r="E1511" s="1294"/>
      <c r="F1511" s="1294"/>
      <c r="G1511" s="1294"/>
      <c r="H1511" s="1294"/>
      <c r="I1511" s="249"/>
      <c r="J1511" s="249"/>
      <c r="K1511" s="249" t="s">
        <v>449</v>
      </c>
      <c r="L1511" s="249"/>
      <c r="M1511" s="1295" t="s">
        <v>380</v>
      </c>
      <c r="N1511" s="1295"/>
      <c r="O1511" s="1292" t="str">
        <f>D1511</f>
        <v/>
      </c>
      <c r="P1511" s="1292"/>
      <c r="Q1511" s="78"/>
      <c r="Z1511" s="79"/>
      <c r="AA1511" s="80"/>
      <c r="AB1511" s="34"/>
      <c r="AC1511" s="34"/>
      <c r="AD1511" s="33"/>
      <c r="AE1511" s="33"/>
      <c r="AF1511" s="33"/>
      <c r="AG1511" s="33"/>
      <c r="AH1511" s="33"/>
      <c r="AI1511" s="33"/>
      <c r="AJ1511" s="33"/>
      <c r="AK1511" s="33"/>
      <c r="AL1511" s="33"/>
      <c r="AM1511" s="33"/>
      <c r="AN1511" s="33"/>
      <c r="AO1511" s="33"/>
    </row>
    <row r="1512" spans="1:41" ht="24" thickBot="1">
      <c r="A1512" s="1340" t="s">
        <v>450</v>
      </c>
      <c r="B1512" s="1340"/>
      <c r="C1512" s="1340"/>
      <c r="D1512" s="1340" t="s">
        <v>380</v>
      </c>
      <c r="E1512" s="1340"/>
      <c r="F1512" s="1340"/>
      <c r="G1512" s="1340"/>
      <c r="H1512" s="87"/>
      <c r="I1512" s="1340" t="s">
        <v>452</v>
      </c>
      <c r="J1512" s="1340"/>
      <c r="K1512" s="1340"/>
      <c r="L1512" s="1341" t="s">
        <v>380</v>
      </c>
      <c r="M1512" s="1341"/>
      <c r="N1512" s="1341"/>
      <c r="O1512" s="77"/>
      <c r="P1512" s="77"/>
      <c r="Q1512" s="78"/>
      <c r="Z1512" s="79"/>
      <c r="AA1512" s="80"/>
      <c r="AB1512" s="34"/>
      <c r="AC1512" s="34"/>
      <c r="AD1512" s="33"/>
      <c r="AE1512" s="33"/>
      <c r="AF1512" s="33"/>
      <c r="AG1512" s="33"/>
      <c r="AH1512" s="33"/>
      <c r="AI1512" s="33"/>
      <c r="AJ1512" s="33"/>
      <c r="AK1512" s="33"/>
      <c r="AL1512" s="33"/>
      <c r="AM1512" s="33"/>
      <c r="AN1512" s="33"/>
      <c r="AO1512" s="33"/>
    </row>
    <row r="1513" spans="1:41" ht="17.25" thickTop="1" thickBot="1">
      <c r="A1513" s="1318" t="s">
        <v>453</v>
      </c>
      <c r="B1513" s="1319"/>
      <c r="C1513" s="88" t="s">
        <v>380</v>
      </c>
      <c r="D1513" s="89" t="s">
        <v>380</v>
      </c>
      <c r="E1513" s="89" t="s">
        <v>380</v>
      </c>
      <c r="F1513" s="89" t="s">
        <v>380</v>
      </c>
      <c r="G1513" s="89" t="s">
        <v>380</v>
      </c>
      <c r="H1513" s="89" t="s">
        <v>380</v>
      </c>
      <c r="I1513" s="89" t="s">
        <v>380</v>
      </c>
      <c r="J1513" s="89" t="s">
        <v>380</v>
      </c>
      <c r="K1513" s="89" t="s">
        <v>380</v>
      </c>
      <c r="L1513" s="89" t="s">
        <v>380</v>
      </c>
      <c r="M1513" s="89" t="s">
        <v>380</v>
      </c>
      <c r="N1513" s="90" t="s">
        <v>380</v>
      </c>
      <c r="Z1513" s="79"/>
      <c r="AA1513" s="80"/>
      <c r="AB1513" s="34"/>
      <c r="AC1513" s="34"/>
      <c r="AD1513" s="33"/>
      <c r="AE1513" s="33"/>
      <c r="AF1513" s="33"/>
      <c r="AG1513" s="33"/>
      <c r="AH1513" s="33"/>
      <c r="AI1513" s="33"/>
      <c r="AJ1513" s="33"/>
      <c r="AK1513" s="33"/>
      <c r="AL1513" s="33"/>
      <c r="AM1513" s="33"/>
      <c r="AN1513" s="33"/>
      <c r="AO1513" s="33"/>
    </row>
    <row r="1514" spans="1:41" ht="24" thickBot="1">
      <c r="A1514" s="1329" t="s">
        <v>454</v>
      </c>
      <c r="B1514" s="1330"/>
      <c r="C1514" s="91" t="s">
        <v>380</v>
      </c>
      <c r="D1514" s="210" t="s">
        <v>380</v>
      </c>
      <c r="E1514" s="210" t="s">
        <v>380</v>
      </c>
      <c r="F1514" s="210" t="s">
        <v>380</v>
      </c>
      <c r="G1514" s="210" t="s">
        <v>380</v>
      </c>
      <c r="H1514" s="210" t="s">
        <v>380</v>
      </c>
      <c r="I1514" s="210" t="s">
        <v>380</v>
      </c>
      <c r="J1514" s="210" t="s">
        <v>380</v>
      </c>
      <c r="K1514" s="210" t="s">
        <v>380</v>
      </c>
      <c r="L1514" s="210" t="s">
        <v>380</v>
      </c>
      <c r="M1514" s="210" t="s">
        <v>380</v>
      </c>
      <c r="N1514" s="92" t="s">
        <v>380</v>
      </c>
      <c r="O1514" s="152"/>
      <c r="R1514" s="78"/>
      <c r="Z1514" s="79"/>
      <c r="AA1514" s="80"/>
      <c r="AB1514" s="34"/>
      <c r="AC1514" s="34"/>
      <c r="AD1514" s="33"/>
      <c r="AE1514" s="33"/>
      <c r="AF1514" s="33"/>
      <c r="AG1514" s="33"/>
      <c r="AH1514" s="33"/>
      <c r="AI1514" s="33"/>
      <c r="AJ1514" s="33"/>
      <c r="AK1514" s="33"/>
      <c r="AL1514" s="33"/>
      <c r="AM1514" s="33"/>
      <c r="AN1514" s="33"/>
      <c r="AO1514" s="33"/>
    </row>
    <row r="1515" spans="1:41" ht="24" thickBot="1">
      <c r="A1515" s="1329" t="s">
        <v>455</v>
      </c>
      <c r="B1515" s="1330"/>
      <c r="C1515" s="91" t="s">
        <v>380</v>
      </c>
      <c r="D1515" s="210" t="s">
        <v>380</v>
      </c>
      <c r="E1515" s="210" t="s">
        <v>380</v>
      </c>
      <c r="F1515" s="210" t="s">
        <v>380</v>
      </c>
      <c r="G1515" s="210" t="s">
        <v>380</v>
      </c>
      <c r="H1515" s="210" t="s">
        <v>380</v>
      </c>
      <c r="I1515" s="210" t="s">
        <v>380</v>
      </c>
      <c r="J1515" s="210" t="s">
        <v>380</v>
      </c>
      <c r="K1515" s="210" t="s">
        <v>380</v>
      </c>
      <c r="L1515" s="210" t="s">
        <v>380</v>
      </c>
      <c r="M1515" s="210" t="s">
        <v>380</v>
      </c>
      <c r="N1515" s="92" t="s">
        <v>380</v>
      </c>
      <c r="O1515" s="152"/>
      <c r="R1515" s="78"/>
      <c r="Z1515" s="79"/>
      <c r="AA1515" s="80"/>
      <c r="AB1515" s="34"/>
      <c r="AC1515" s="34"/>
      <c r="AD1515" s="33"/>
      <c r="AE1515" s="33"/>
      <c r="AF1515" s="33"/>
      <c r="AG1515" s="33"/>
      <c r="AH1515" s="33"/>
      <c r="AI1515" s="33"/>
      <c r="AJ1515" s="33"/>
      <c r="AK1515" s="33"/>
      <c r="AL1515" s="33"/>
      <c r="AM1515" s="33"/>
      <c r="AN1515" s="33"/>
      <c r="AO1515" s="33"/>
    </row>
    <row r="1516" spans="1:41" ht="24" thickBot="1">
      <c r="A1516" s="1327" t="s">
        <v>456</v>
      </c>
      <c r="B1516" s="1328"/>
      <c r="C1516" s="93" t="s">
        <v>380</v>
      </c>
      <c r="D1516" s="94" t="s">
        <v>380</v>
      </c>
      <c r="E1516" s="94" t="s">
        <v>380</v>
      </c>
      <c r="F1516" s="94" t="s">
        <v>380</v>
      </c>
      <c r="G1516" s="94" t="s">
        <v>380</v>
      </c>
      <c r="H1516" s="94" t="s">
        <v>380</v>
      </c>
      <c r="I1516" s="94" t="s">
        <v>380</v>
      </c>
      <c r="J1516" s="94" t="s">
        <v>380</v>
      </c>
      <c r="K1516" s="94" t="s">
        <v>380</v>
      </c>
      <c r="L1516" s="94" t="s">
        <v>380</v>
      </c>
      <c r="M1516" s="94" t="s">
        <v>380</v>
      </c>
      <c r="N1516" s="95" t="s">
        <v>380</v>
      </c>
      <c r="O1516" s="152"/>
      <c r="R1516" s="77"/>
      <c r="S1516" s="77"/>
      <c r="Z1516" s="79"/>
      <c r="AA1516" s="80"/>
      <c r="AB1516" s="34"/>
      <c r="AC1516" s="34"/>
      <c r="AD1516" s="33"/>
      <c r="AE1516" s="33"/>
      <c r="AF1516" s="33"/>
      <c r="AG1516" s="33"/>
      <c r="AH1516" s="33"/>
      <c r="AI1516" s="33"/>
      <c r="AJ1516" s="33"/>
      <c r="AK1516" s="33"/>
      <c r="AL1516" s="33"/>
      <c r="AM1516" s="33"/>
      <c r="AN1516" s="33"/>
      <c r="AO1516" s="33"/>
    </row>
    <row r="1517" spans="1:41" ht="21" thickTop="1">
      <c r="A1517" s="96"/>
      <c r="B1517" s="96"/>
      <c r="C1517" s="96"/>
      <c r="D1517" s="96"/>
      <c r="E1517" s="1326" t="s">
        <v>457</v>
      </c>
      <c r="F1517" s="1310"/>
      <c r="G1517" s="97">
        <v>18</v>
      </c>
      <c r="H1517" s="1310" t="s">
        <v>458</v>
      </c>
      <c r="I1517" s="1311"/>
      <c r="J1517" s="1310" t="s">
        <v>459</v>
      </c>
      <c r="K1517" s="1311"/>
      <c r="L1517" s="96"/>
      <c r="M1517" s="96"/>
      <c r="N1517" s="96"/>
      <c r="O1517" s="77"/>
      <c r="P1517" s="77"/>
      <c r="Q1517" s="78"/>
      <c r="Z1517" s="79"/>
      <c r="AA1517" s="80"/>
      <c r="AB1517" s="34"/>
      <c r="AC1517" s="34"/>
      <c r="AD1517" s="33"/>
      <c r="AE1517" s="33"/>
      <c r="AF1517" s="33"/>
      <c r="AG1517" s="33"/>
      <c r="AH1517" s="33"/>
      <c r="AI1517" s="33"/>
      <c r="AJ1517" s="33"/>
      <c r="AK1517" s="33"/>
      <c r="AL1517" s="33"/>
      <c r="AM1517" s="33"/>
      <c r="AN1517" s="33"/>
      <c r="AO1517" s="33"/>
    </row>
    <row r="1518" spans="1:41" ht="23.25">
      <c r="A1518" s="96"/>
      <c r="B1518" s="96"/>
      <c r="C1518" s="96"/>
      <c r="D1518" s="96"/>
      <c r="E1518" s="1307" t="s">
        <v>460</v>
      </c>
      <c r="F1518" s="1308"/>
      <c r="G1518" s="98">
        <v>0</v>
      </c>
      <c r="H1518" s="1312">
        <v>0</v>
      </c>
      <c r="I1518" s="1312"/>
      <c r="J1518" s="1312">
        <v>0</v>
      </c>
      <c r="K1518" s="1313"/>
      <c r="L1518" s="96"/>
      <c r="M1518" s="96"/>
      <c r="N1518" s="96"/>
      <c r="O1518" s="77"/>
      <c r="P1518" s="77"/>
      <c r="Q1518" s="78">
        <f>G1518+H1518+H1520+J1518</f>
        <v>0</v>
      </c>
      <c r="Z1518" s="79"/>
      <c r="AA1518" s="80"/>
      <c r="AB1518" s="34"/>
      <c r="AC1518" s="34"/>
      <c r="AD1518" s="33"/>
      <c r="AE1518" s="33"/>
      <c r="AF1518" s="33"/>
      <c r="AG1518" s="33"/>
      <c r="AH1518" s="33"/>
      <c r="AI1518" s="33"/>
      <c r="AJ1518" s="33"/>
      <c r="AK1518" s="33"/>
      <c r="AL1518" s="33"/>
      <c r="AM1518" s="33"/>
      <c r="AN1518" s="33"/>
      <c r="AO1518" s="33"/>
    </row>
    <row r="1519" spans="1:41" ht="20.25">
      <c r="A1519" s="96"/>
      <c r="B1519" s="96"/>
      <c r="C1519" s="96"/>
      <c r="D1519" s="96"/>
      <c r="E1519" s="1307" t="s">
        <v>461</v>
      </c>
      <c r="F1519" s="1308"/>
      <c r="G1519" s="99">
        <v>18</v>
      </c>
      <c r="H1519" s="1308" t="s">
        <v>462</v>
      </c>
      <c r="I1519" s="1308"/>
      <c r="J1519" s="1308" t="s">
        <v>463</v>
      </c>
      <c r="K1519" s="1309"/>
      <c r="L1519" s="96"/>
      <c r="M1519" s="96"/>
      <c r="N1519" s="96"/>
      <c r="O1519" s="77"/>
      <c r="P1519" s="77"/>
      <c r="Q1519" s="78"/>
      <c r="Z1519" s="79"/>
      <c r="AA1519" s="80"/>
      <c r="AB1519" s="34"/>
      <c r="AC1519" s="34"/>
      <c r="AD1519" s="33"/>
      <c r="AE1519" s="33"/>
      <c r="AF1519" s="33"/>
      <c r="AG1519" s="33"/>
      <c r="AH1519" s="33"/>
      <c r="AI1519" s="33"/>
      <c r="AJ1519" s="33"/>
      <c r="AK1519" s="33"/>
      <c r="AL1519" s="33"/>
      <c r="AM1519" s="33"/>
      <c r="AN1519" s="33"/>
      <c r="AO1519" s="33"/>
    </row>
    <row r="1520" spans="1:41" ht="24" thickBot="1">
      <c r="A1520" s="96"/>
      <c r="B1520" s="96"/>
      <c r="C1520" s="96"/>
      <c r="D1520" s="96"/>
      <c r="E1520" s="1303" t="s">
        <v>464</v>
      </c>
      <c r="F1520" s="1304"/>
      <c r="G1520" s="99">
        <v>0</v>
      </c>
      <c r="H1520" s="1305">
        <v>0</v>
      </c>
      <c r="I1520" s="1305"/>
      <c r="J1520" s="1305">
        <v>0</v>
      </c>
      <c r="K1520" s="1306"/>
      <c r="L1520" s="96"/>
      <c r="M1520" s="96"/>
      <c r="N1520" s="96"/>
      <c r="O1520" s="77"/>
      <c r="P1520" s="77"/>
      <c r="Q1520" s="78"/>
      <c r="Z1520" s="79"/>
      <c r="AA1520" s="80"/>
      <c r="AB1520" s="34"/>
      <c r="AC1520" s="34"/>
      <c r="AD1520" s="33"/>
      <c r="AE1520" s="33"/>
      <c r="AF1520" s="33"/>
      <c r="AG1520" s="33"/>
      <c r="AH1520" s="33"/>
      <c r="AI1520" s="33"/>
      <c r="AJ1520" s="33"/>
      <c r="AK1520" s="33"/>
      <c r="AL1520" s="33"/>
      <c r="AM1520" s="33"/>
      <c r="AN1520" s="33"/>
      <c r="AO1520" s="33"/>
    </row>
    <row r="1521" spans="1:41" ht="17.25" thickTop="1" thickBot="1">
      <c r="A1521" s="34"/>
      <c r="B1521" s="34"/>
      <c r="C1521" s="1299" t="s">
        <v>465</v>
      </c>
      <c r="D1521" s="1299"/>
      <c r="E1521" s="1299" t="s">
        <v>360</v>
      </c>
      <c r="F1521" s="1299"/>
      <c r="G1521" s="1302" t="s">
        <v>368</v>
      </c>
      <c r="H1521" s="1302"/>
      <c r="I1521" s="1302" t="s">
        <v>369</v>
      </c>
      <c r="J1521" s="1302"/>
      <c r="K1521" s="1302" t="s">
        <v>370</v>
      </c>
      <c r="L1521" s="1299"/>
      <c r="M1521" s="1299" t="s">
        <v>371</v>
      </c>
      <c r="N1521" s="1299"/>
      <c r="O1521" s="77"/>
      <c r="P1521" s="77"/>
      <c r="Q1521" s="78"/>
      <c r="Z1521" s="79"/>
      <c r="AA1521" s="80"/>
      <c r="AB1521" s="34"/>
      <c r="AC1521" s="34"/>
      <c r="AD1521" s="33"/>
      <c r="AE1521" s="33"/>
      <c r="AF1521" s="33"/>
      <c r="AG1521" s="33"/>
      <c r="AH1521" s="33"/>
      <c r="AI1521" s="33"/>
      <c r="AJ1521" s="33"/>
      <c r="AK1521" s="33"/>
      <c r="AL1521" s="33"/>
      <c r="AM1521" s="33"/>
      <c r="AN1521" s="33"/>
      <c r="AO1521" s="33"/>
    </row>
    <row r="1522" spans="1:41" ht="17.25" thickTop="1" thickBot="1">
      <c r="A1522" s="34"/>
      <c r="B1522" s="34"/>
      <c r="C1522" s="1299" t="s">
        <v>372</v>
      </c>
      <c r="D1522" s="1299"/>
      <c r="E1522" s="1297" t="s">
        <v>380</v>
      </c>
      <c r="F1522" s="1297"/>
      <c r="G1522" s="1297" t="s">
        <v>380</v>
      </c>
      <c r="H1522" s="1297"/>
      <c r="I1522" s="1297" t="s">
        <v>380</v>
      </c>
      <c r="J1522" s="1297"/>
      <c r="K1522" s="1297" t="s">
        <v>380</v>
      </c>
      <c r="L1522" s="1297"/>
      <c r="M1522" s="1297" t="s">
        <v>380</v>
      </c>
      <c r="N1522" s="1297"/>
      <c r="O1522" s="77"/>
      <c r="P1522" s="77"/>
      <c r="Q1522" s="78"/>
      <c r="Z1522" s="79"/>
      <c r="AA1522" s="80"/>
      <c r="AB1522" s="34"/>
      <c r="AC1522" s="34"/>
      <c r="AD1522" s="33"/>
      <c r="AE1522" s="33"/>
      <c r="AF1522" s="33"/>
      <c r="AG1522" s="33"/>
      <c r="AH1522" s="33"/>
      <c r="AI1522" s="33"/>
      <c r="AJ1522" s="33"/>
      <c r="AK1522" s="33"/>
      <c r="AL1522" s="33"/>
      <c r="AM1522" s="33"/>
      <c r="AN1522" s="33"/>
      <c r="AO1522" s="33"/>
    </row>
    <row r="1523" spans="1:41" ht="17.25" thickTop="1" thickBot="1">
      <c r="A1523" s="34"/>
      <c r="B1523" s="34"/>
      <c r="C1523" s="1299" t="s">
        <v>373</v>
      </c>
      <c r="D1523" s="1299"/>
      <c r="E1523" s="1297" t="s">
        <v>380</v>
      </c>
      <c r="F1523" s="1297"/>
      <c r="G1523" s="1297" t="s">
        <v>380</v>
      </c>
      <c r="H1523" s="1297"/>
      <c r="I1523" s="1297" t="s">
        <v>380</v>
      </c>
      <c r="J1523" s="1297"/>
      <c r="K1523" s="1297" t="s">
        <v>380</v>
      </c>
      <c r="L1523" s="1297"/>
      <c r="M1523" s="1297" t="s">
        <v>380</v>
      </c>
      <c r="N1523" s="1297"/>
      <c r="O1523" s="77"/>
      <c r="P1523" s="77"/>
      <c r="Q1523" s="78"/>
      <c r="Z1523" s="79"/>
      <c r="AA1523" s="80"/>
      <c r="AB1523" s="34"/>
      <c r="AC1523" s="34"/>
      <c r="AD1523" s="33"/>
      <c r="AE1523" s="33"/>
      <c r="AF1523" s="33"/>
      <c r="AG1523" s="33"/>
      <c r="AH1523" s="33"/>
      <c r="AI1523" s="33"/>
      <c r="AJ1523" s="33"/>
      <c r="AK1523" s="33"/>
      <c r="AL1523" s="33"/>
      <c r="AM1523" s="33"/>
      <c r="AN1523" s="33"/>
      <c r="AO1523" s="33"/>
    </row>
    <row r="1524" spans="1:41" ht="17.25" thickTop="1" thickBot="1">
      <c r="A1524" s="34"/>
      <c r="B1524" s="34"/>
      <c r="C1524" s="1299" t="s">
        <v>374</v>
      </c>
      <c r="D1524" s="1299"/>
      <c r="E1524" s="1297" t="s">
        <v>380</v>
      </c>
      <c r="F1524" s="1297"/>
      <c r="G1524" s="1297" t="s">
        <v>380</v>
      </c>
      <c r="H1524" s="1297"/>
      <c r="I1524" s="1297" t="s">
        <v>380</v>
      </c>
      <c r="J1524" s="1297"/>
      <c r="K1524" s="1297" t="s">
        <v>380</v>
      </c>
      <c r="L1524" s="1297"/>
      <c r="M1524" s="1297" t="s">
        <v>380</v>
      </c>
      <c r="N1524" s="1297"/>
      <c r="O1524" s="77"/>
      <c r="P1524" s="77"/>
      <c r="Q1524" s="78"/>
      <c r="Z1524" s="79"/>
      <c r="AA1524" s="80"/>
      <c r="AB1524" s="34"/>
      <c r="AC1524" s="34"/>
      <c r="AD1524" s="33"/>
      <c r="AE1524" s="33"/>
      <c r="AF1524" s="33"/>
      <c r="AG1524" s="33"/>
      <c r="AH1524" s="33"/>
      <c r="AI1524" s="33"/>
      <c r="AJ1524" s="33"/>
      <c r="AK1524" s="33"/>
      <c r="AL1524" s="33"/>
      <c r="AM1524" s="33"/>
      <c r="AN1524" s="33"/>
      <c r="AO1524" s="33"/>
    </row>
    <row r="1525" spans="1:41" ht="17.25" thickTop="1" thickBot="1">
      <c r="A1525" s="34"/>
      <c r="B1525" s="34"/>
      <c r="C1525" s="1299" t="s">
        <v>375</v>
      </c>
      <c r="D1525" s="1299"/>
      <c r="E1525" s="1297" t="s">
        <v>380</v>
      </c>
      <c r="F1525" s="1297"/>
      <c r="G1525" s="1297" t="s">
        <v>380</v>
      </c>
      <c r="H1525" s="1297"/>
      <c r="I1525" s="1297" t="s">
        <v>380</v>
      </c>
      <c r="J1525" s="1297"/>
      <c r="K1525" s="1297" t="s">
        <v>380</v>
      </c>
      <c r="L1525" s="1297"/>
      <c r="M1525" s="1297" t="s">
        <v>380</v>
      </c>
      <c r="N1525" s="1297"/>
      <c r="O1525" s="77"/>
      <c r="P1525" s="77"/>
      <c r="Q1525" s="78"/>
      <c r="Z1525" s="79"/>
      <c r="AA1525" s="80"/>
      <c r="AB1525" s="34"/>
      <c r="AC1525" s="34"/>
      <c r="AD1525" s="33"/>
      <c r="AE1525" s="33"/>
      <c r="AF1525" s="33"/>
      <c r="AG1525" s="33"/>
      <c r="AH1525" s="33"/>
      <c r="AI1525" s="33"/>
      <c r="AJ1525" s="33"/>
      <c r="AK1525" s="33"/>
      <c r="AL1525" s="33"/>
      <c r="AM1525" s="33"/>
      <c r="AN1525" s="33"/>
      <c r="AO1525" s="33"/>
    </row>
    <row r="1526" spans="1:41" ht="17.25" thickTop="1" thickBot="1">
      <c r="A1526" s="34"/>
      <c r="B1526" s="34"/>
      <c r="C1526" s="101"/>
      <c r="D1526" s="101"/>
      <c r="E1526" s="33"/>
      <c r="F1526" s="33"/>
      <c r="G1526" s="33"/>
      <c r="H1526" s="33"/>
      <c r="I1526" s="33"/>
      <c r="J1526" s="33"/>
      <c r="K1526" s="34"/>
      <c r="L1526" s="34"/>
      <c r="M1526" s="33"/>
      <c r="N1526" s="33"/>
      <c r="O1526" s="77"/>
      <c r="P1526" s="77"/>
      <c r="Q1526" s="78"/>
      <c r="Z1526" s="79"/>
      <c r="AA1526" s="80"/>
      <c r="AB1526" s="34"/>
      <c r="AC1526" s="34"/>
      <c r="AD1526" s="33"/>
      <c r="AE1526" s="33"/>
      <c r="AF1526" s="33"/>
      <c r="AG1526" s="33"/>
      <c r="AH1526" s="33"/>
      <c r="AI1526" s="33"/>
      <c r="AJ1526" s="33"/>
      <c r="AK1526" s="33"/>
      <c r="AL1526" s="33"/>
      <c r="AM1526" s="33"/>
      <c r="AN1526" s="33"/>
      <c r="AO1526" s="33"/>
    </row>
    <row r="1527" spans="1:41" ht="17.25" thickTop="1" thickBot="1">
      <c r="A1527" s="34"/>
      <c r="B1527" s="34"/>
      <c r="C1527" s="1299" t="s">
        <v>376</v>
      </c>
      <c r="D1527" s="1299"/>
      <c r="E1527" s="1297" t="s">
        <v>380</v>
      </c>
      <c r="F1527" s="1297"/>
      <c r="G1527" s="1297" t="s">
        <v>380</v>
      </c>
      <c r="H1527" s="1297"/>
      <c r="I1527" s="1297" t="s">
        <v>380</v>
      </c>
      <c r="J1527" s="1297"/>
      <c r="K1527" s="1297" t="s">
        <v>380</v>
      </c>
      <c r="L1527" s="1297"/>
      <c r="M1527" s="1297" t="s">
        <v>380</v>
      </c>
      <c r="N1527" s="1297"/>
      <c r="O1527" s="77"/>
      <c r="P1527" s="77"/>
      <c r="Q1527" s="78"/>
      <c r="Z1527" s="79"/>
      <c r="AA1527" s="80"/>
      <c r="AB1527" s="34"/>
      <c r="AC1527" s="34"/>
      <c r="AD1527" s="33"/>
      <c r="AE1527" s="33"/>
      <c r="AF1527" s="33"/>
      <c r="AG1527" s="33"/>
      <c r="AH1527" s="33"/>
      <c r="AI1527" s="33"/>
      <c r="AJ1527" s="33"/>
      <c r="AK1527" s="33"/>
      <c r="AL1527" s="33"/>
      <c r="AM1527" s="33"/>
      <c r="AN1527" s="33"/>
      <c r="AO1527" s="33"/>
    </row>
    <row r="1528" spans="1:41" ht="17.25" thickTop="1" thickBot="1">
      <c r="A1528" s="34"/>
      <c r="B1528" s="34"/>
      <c r="C1528" s="1299" t="s">
        <v>377</v>
      </c>
      <c r="D1528" s="1299"/>
      <c r="E1528" s="1297" t="s">
        <v>380</v>
      </c>
      <c r="F1528" s="1297"/>
      <c r="G1528" s="1297" t="s">
        <v>380</v>
      </c>
      <c r="H1528" s="1297"/>
      <c r="I1528" s="1297" t="s">
        <v>380</v>
      </c>
      <c r="J1528" s="1297"/>
      <c r="K1528" s="1297" t="s">
        <v>380</v>
      </c>
      <c r="L1528" s="1297"/>
      <c r="M1528" s="1297" t="s">
        <v>380</v>
      </c>
      <c r="N1528" s="1297"/>
      <c r="O1528" s="77"/>
      <c r="P1528" s="77"/>
      <c r="Q1528" s="78"/>
      <c r="Z1528" s="79"/>
      <c r="AA1528" s="80"/>
      <c r="AB1528" s="34"/>
      <c r="AC1528" s="34"/>
      <c r="AD1528" s="33"/>
      <c r="AE1528" s="33"/>
      <c r="AF1528" s="33"/>
      <c r="AG1528" s="33"/>
      <c r="AH1528" s="33"/>
      <c r="AI1528" s="33"/>
      <c r="AJ1528" s="33"/>
      <c r="AK1528" s="33"/>
      <c r="AL1528" s="33"/>
      <c r="AM1528" s="33"/>
      <c r="AN1528" s="33"/>
      <c r="AO1528" s="33"/>
    </row>
    <row r="1529" spans="1:41" ht="17.25" thickTop="1" thickBot="1">
      <c r="A1529" s="34"/>
      <c r="B1529" s="34"/>
      <c r="C1529" s="1299" t="s">
        <v>378</v>
      </c>
      <c r="D1529" s="1299"/>
      <c r="E1529" s="1297" t="s">
        <v>380</v>
      </c>
      <c r="F1529" s="1297"/>
      <c r="G1529" s="1297" t="s">
        <v>380</v>
      </c>
      <c r="H1529" s="1297"/>
      <c r="I1529" s="1297" t="s">
        <v>380</v>
      </c>
      <c r="J1529" s="1297"/>
      <c r="K1529" s="1297" t="s">
        <v>380</v>
      </c>
      <c r="L1529" s="1297"/>
      <c r="M1529" s="1297" t="s">
        <v>380</v>
      </c>
      <c r="N1529" s="1297"/>
      <c r="O1529" s="77"/>
      <c r="P1529" s="77"/>
      <c r="Q1529" s="78"/>
      <c r="Z1529" s="79"/>
      <c r="AA1529" s="80"/>
      <c r="AB1529" s="34"/>
      <c r="AC1529" s="34"/>
      <c r="AD1529" s="33"/>
      <c r="AE1529" s="33"/>
      <c r="AF1529" s="33"/>
      <c r="AG1529" s="33"/>
      <c r="AH1529" s="33"/>
      <c r="AI1529" s="33"/>
      <c r="AJ1529" s="33"/>
      <c r="AK1529" s="33"/>
      <c r="AL1529" s="33"/>
      <c r="AM1529" s="33"/>
      <c r="AN1529" s="33"/>
      <c r="AO1529" s="33"/>
    </row>
    <row r="1530" spans="1:41" ht="17.25" thickTop="1" thickBot="1">
      <c r="A1530" s="34"/>
      <c r="B1530" s="34"/>
      <c r="C1530" s="1299" t="s">
        <v>379</v>
      </c>
      <c r="D1530" s="1299"/>
      <c r="E1530" s="1297" t="s">
        <v>380</v>
      </c>
      <c r="F1530" s="1297"/>
      <c r="G1530" s="1297" t="s">
        <v>380</v>
      </c>
      <c r="H1530" s="1297"/>
      <c r="I1530" s="1297" t="s">
        <v>380</v>
      </c>
      <c r="J1530" s="1297"/>
      <c r="K1530" s="1297" t="s">
        <v>380</v>
      </c>
      <c r="L1530" s="1297"/>
      <c r="M1530" s="1297" t="s">
        <v>380</v>
      </c>
      <c r="N1530" s="1297"/>
      <c r="O1530" s="77"/>
      <c r="P1530" s="77"/>
      <c r="Q1530" s="78"/>
      <c r="Z1530" s="79"/>
      <c r="AA1530" s="80"/>
      <c r="AB1530" s="34"/>
      <c r="AC1530" s="34"/>
      <c r="AD1530" s="33"/>
      <c r="AE1530" s="33"/>
      <c r="AF1530" s="33"/>
      <c r="AG1530" s="33"/>
      <c r="AH1530" s="33"/>
      <c r="AI1530" s="33"/>
      <c r="AJ1530" s="33"/>
      <c r="AK1530" s="33"/>
      <c r="AL1530" s="33"/>
      <c r="AM1530" s="33"/>
      <c r="AN1530" s="33"/>
      <c r="AO1530" s="33"/>
    </row>
    <row r="1531" spans="1:41" ht="17.25" thickTop="1" thickBot="1">
      <c r="A1531" s="34"/>
      <c r="B1531" s="34"/>
      <c r="C1531" s="33"/>
      <c r="D1531" s="33"/>
      <c r="E1531" s="33"/>
      <c r="F1531" s="33"/>
      <c r="G1531" s="33"/>
      <c r="H1531" s="33"/>
      <c r="I1531" s="33" t="s">
        <v>494</v>
      </c>
      <c r="J1531" s="33"/>
      <c r="K1531" s="34"/>
      <c r="L1531" s="34"/>
      <c r="M1531" s="33"/>
      <c r="N1531" s="33"/>
      <c r="O1531" s="77"/>
      <c r="P1531" s="77"/>
      <c r="Q1531" s="78"/>
      <c r="Z1531" s="79"/>
      <c r="AA1531" s="80"/>
      <c r="AB1531" s="34"/>
      <c r="AC1531" s="34"/>
      <c r="AD1531" s="33"/>
      <c r="AE1531" s="33"/>
      <c r="AF1531" s="33"/>
      <c r="AG1531" s="33"/>
      <c r="AH1531" s="33"/>
      <c r="AI1531" s="33"/>
      <c r="AJ1531" s="33"/>
      <c r="AK1531" s="33"/>
      <c r="AL1531" s="33"/>
      <c r="AM1531" s="33"/>
      <c r="AN1531" s="33"/>
      <c r="AO1531" s="33"/>
    </row>
    <row r="1532" spans="1:41" ht="19.5" thickTop="1" thickBot="1">
      <c r="A1532" s="1321" t="s">
        <v>467</v>
      </c>
      <c r="B1532" s="1322"/>
      <c r="C1532" s="1323" t="s">
        <v>380</v>
      </c>
      <c r="D1532" s="1323"/>
      <c r="E1532" s="1323" t="s">
        <v>380</v>
      </c>
      <c r="F1532" s="1323"/>
      <c r="G1532" s="250"/>
      <c r="H1532" s="250" t="s">
        <v>468</v>
      </c>
      <c r="I1532" s="1295" t="s">
        <v>402</v>
      </c>
      <c r="J1532" s="1295"/>
      <c r="K1532" s="1295"/>
      <c r="L1532" s="102" t="s">
        <v>403</v>
      </c>
      <c r="M1532" s="1331">
        <v>42610.363814699071</v>
      </c>
      <c r="N1532" s="1331"/>
      <c r="O1532" s="77"/>
      <c r="P1532" s="77"/>
      <c r="Q1532" s="78"/>
      <c r="Z1532" s="79"/>
      <c r="AA1532" s="80"/>
      <c r="AB1532" s="34"/>
      <c r="AC1532" s="34"/>
      <c r="AD1532" s="33"/>
      <c r="AE1532" s="33"/>
      <c r="AF1532" s="33"/>
      <c r="AG1532" s="33"/>
      <c r="AH1532" s="33"/>
      <c r="AI1532" s="33"/>
      <c r="AJ1532" s="33"/>
      <c r="AK1532" s="33"/>
      <c r="AL1532" s="33"/>
      <c r="AM1532" s="33"/>
      <c r="AN1532" s="33"/>
      <c r="AO1532" s="33"/>
    </row>
    <row r="1533" spans="1:41" ht="19.5" thickTop="1" thickBot="1">
      <c r="A1533" s="1321" t="s">
        <v>469</v>
      </c>
      <c r="B1533" s="1322"/>
      <c r="C1533" s="1323" t="s">
        <v>380</v>
      </c>
      <c r="D1533" s="1323"/>
      <c r="E1533" s="1323" t="s">
        <v>380</v>
      </c>
      <c r="F1533" s="1323"/>
      <c r="G1533" s="250"/>
      <c r="H1533" s="250"/>
      <c r="I1533" s="250"/>
      <c r="J1533" s="250"/>
      <c r="K1533" s="102"/>
      <c r="L1533" s="102"/>
      <c r="M1533" s="33"/>
      <c r="N1533" s="33"/>
      <c r="O1533" s="77"/>
      <c r="P1533" s="77"/>
      <c r="Q1533" s="78"/>
      <c r="Z1533" s="79"/>
      <c r="AA1533" s="80"/>
      <c r="AB1533" s="34"/>
      <c r="AC1533" s="34"/>
      <c r="AD1533" s="33"/>
      <c r="AE1533" s="33"/>
      <c r="AF1533" s="33"/>
      <c r="AG1533" s="33"/>
      <c r="AH1533" s="33"/>
      <c r="AI1533" s="33"/>
      <c r="AJ1533" s="33"/>
      <c r="AK1533" s="33"/>
      <c r="AL1533" s="33"/>
      <c r="AM1533" s="33"/>
      <c r="AN1533" s="33"/>
      <c r="AO1533" s="33"/>
    </row>
    <row r="1534" spans="1:41" ht="19.5" thickTop="1" thickBot="1">
      <c r="A1534" s="1321" t="s">
        <v>470</v>
      </c>
      <c r="B1534" s="1322"/>
      <c r="C1534" s="1323" t="s">
        <v>380</v>
      </c>
      <c r="D1534" s="1323"/>
      <c r="E1534" s="1323" t="s">
        <v>380</v>
      </c>
      <c r="F1534" s="1323"/>
      <c r="G1534" s="250"/>
      <c r="H1534" s="250"/>
      <c r="I1534" s="250"/>
      <c r="J1534" s="250" t="s">
        <v>471</v>
      </c>
      <c r="K1534" s="102"/>
      <c r="L1534" s="102"/>
      <c r="M1534" s="33"/>
      <c r="N1534" s="33"/>
      <c r="O1534" s="77"/>
      <c r="P1534" s="77"/>
      <c r="Q1534" s="78"/>
      <c r="Z1534" s="79"/>
      <c r="AA1534" s="80"/>
      <c r="AB1534" s="34"/>
      <c r="AC1534" s="34"/>
      <c r="AD1534" s="33"/>
      <c r="AE1534" s="33"/>
      <c r="AF1534" s="33"/>
      <c r="AG1534" s="33"/>
      <c r="AH1534" s="33"/>
      <c r="AI1534" s="33"/>
      <c r="AJ1534" s="33"/>
      <c r="AK1534" s="33"/>
      <c r="AL1534" s="33"/>
      <c r="AM1534" s="33"/>
      <c r="AN1534" s="33"/>
      <c r="AO1534" s="33"/>
    </row>
    <row r="1535" spans="1:41" ht="24" thickTop="1">
      <c r="A1535" s="34"/>
      <c r="B1535" s="34"/>
      <c r="C1535" s="33"/>
      <c r="D1535" s="33"/>
      <c r="E1535" s="33"/>
      <c r="F1535" s="33"/>
      <c r="G1535" s="33"/>
      <c r="H1535" s="103" t="s">
        <v>406</v>
      </c>
      <c r="I1535" s="33"/>
      <c r="J1535" s="34"/>
      <c r="K1535" s="34"/>
      <c r="L1535" s="33"/>
      <c r="M1535" s="33"/>
      <c r="N1535" s="104"/>
      <c r="O1535" s="77"/>
      <c r="P1535" s="77"/>
      <c r="Q1535" s="78"/>
      <c r="Z1535" s="79"/>
      <c r="AA1535" s="80"/>
      <c r="AB1535" s="34"/>
      <c r="AC1535" s="34"/>
      <c r="AD1535" s="33"/>
      <c r="AE1535" s="33"/>
      <c r="AF1535" s="33"/>
      <c r="AG1535" s="33"/>
      <c r="AH1535" s="33"/>
      <c r="AI1535" s="33"/>
      <c r="AJ1535" s="33"/>
      <c r="AK1535" s="33"/>
      <c r="AL1535" s="33"/>
      <c r="AM1535" s="33"/>
      <c r="AN1535" s="33"/>
      <c r="AO1535" s="33"/>
    </row>
    <row r="1536" spans="1:41" ht="18">
      <c r="A1536" s="1295" t="s">
        <v>78</v>
      </c>
      <c r="B1536" s="1295"/>
      <c r="C1536" s="1295"/>
      <c r="D1536" s="1295"/>
      <c r="E1536" s="1295"/>
      <c r="F1536" s="1295"/>
      <c r="G1536" s="1295"/>
      <c r="H1536" s="1295"/>
      <c r="I1536" s="1295"/>
      <c r="J1536" s="1295"/>
      <c r="K1536" s="1295"/>
      <c r="L1536" s="1295"/>
      <c r="M1536" s="1295"/>
      <c r="N1536" s="1295"/>
      <c r="O1536" s="77"/>
      <c r="P1536" s="77"/>
      <c r="Q1536" s="78"/>
      <c r="Z1536" s="79"/>
      <c r="AA1536" s="80"/>
      <c r="AB1536" s="34"/>
      <c r="AC1536" s="34"/>
      <c r="AD1536" s="33"/>
      <c r="AE1536" s="33"/>
      <c r="AF1536" s="33"/>
      <c r="AG1536" s="33"/>
      <c r="AH1536" s="33"/>
      <c r="AI1536" s="33"/>
      <c r="AJ1536" s="33"/>
      <c r="AK1536" s="33"/>
      <c r="AL1536" s="33"/>
      <c r="AM1536" s="33"/>
      <c r="AN1536" s="33"/>
      <c r="AO1536" s="33"/>
    </row>
    <row r="1537" spans="1:41" ht="18">
      <c r="A1537" s="1295" t="s">
        <v>79</v>
      </c>
      <c r="B1537" s="1295"/>
      <c r="C1537" s="1295"/>
      <c r="D1537" s="1295"/>
      <c r="E1537" s="1295"/>
      <c r="F1537" s="1295"/>
      <c r="G1537" s="1295"/>
      <c r="H1537" s="1295"/>
      <c r="I1537" s="1295"/>
      <c r="J1537" s="1295"/>
      <c r="K1537" s="1295"/>
      <c r="L1537" s="1295"/>
      <c r="M1537" s="1295"/>
      <c r="N1537" s="1295"/>
      <c r="O1537" s="77"/>
      <c r="P1537" s="77"/>
      <c r="Q1537" s="78"/>
      <c r="Z1537" s="79"/>
      <c r="AA1537" s="80"/>
      <c r="AB1537" s="34"/>
      <c r="AC1537" s="34"/>
      <c r="AD1537" s="33"/>
      <c r="AE1537" s="33"/>
      <c r="AF1537" s="33"/>
      <c r="AG1537" s="33"/>
      <c r="AH1537" s="33"/>
      <c r="AI1537" s="33"/>
      <c r="AJ1537" s="33"/>
      <c r="AK1537" s="33"/>
      <c r="AL1537" s="33"/>
      <c r="AM1537" s="33"/>
      <c r="AN1537" s="33"/>
      <c r="AO1537" s="33"/>
    </row>
    <row r="1538" spans="1:41" ht="18">
      <c r="A1538" s="168" t="s">
        <v>220</v>
      </c>
      <c r="B1538" s="250"/>
      <c r="C1538" s="250"/>
      <c r="D1538" s="250"/>
      <c r="E1538" s="250"/>
      <c r="F1538" s="250"/>
      <c r="G1538" s="250"/>
      <c r="H1538" s="250"/>
      <c r="I1538" s="250"/>
      <c r="J1538" s="250"/>
      <c r="K1538" s="250"/>
      <c r="L1538" s="250"/>
      <c r="M1538" s="33"/>
      <c r="N1538" s="33"/>
      <c r="O1538" s="77"/>
      <c r="P1538" s="77"/>
      <c r="Q1538" s="78"/>
      <c r="Z1538" s="79"/>
      <c r="AA1538" s="80"/>
      <c r="AB1538" s="34"/>
      <c r="AC1538" s="34"/>
      <c r="AD1538" s="33"/>
      <c r="AE1538" s="33"/>
      <c r="AF1538" s="33"/>
      <c r="AG1538" s="33"/>
      <c r="AH1538" s="33"/>
      <c r="AI1538" s="33"/>
      <c r="AJ1538" s="33"/>
      <c r="AK1538" s="33"/>
      <c r="AL1538" s="33"/>
      <c r="AM1538" s="33"/>
      <c r="AN1538" s="33"/>
      <c r="AO1538" s="33"/>
    </row>
    <row r="1539" spans="1:41" ht="18">
      <c r="A1539" s="168" t="s">
        <v>444</v>
      </c>
      <c r="B1539" s="250"/>
      <c r="C1539" s="250"/>
      <c r="D1539" s="250"/>
      <c r="E1539" s="250"/>
      <c r="F1539" s="250"/>
      <c r="G1539" s="250"/>
      <c r="H1539" s="250"/>
      <c r="I1539" s="250"/>
      <c r="J1539" s="250"/>
      <c r="K1539" s="250"/>
      <c r="L1539" s="250"/>
      <c r="M1539" s="33"/>
      <c r="N1539" s="33"/>
      <c r="O1539" s="77"/>
      <c r="P1539" s="77"/>
      <c r="Q1539" s="78"/>
      <c r="Z1539" s="79"/>
      <c r="AA1539" s="80"/>
      <c r="AB1539" s="34"/>
      <c r="AC1539" s="34"/>
      <c r="AD1539" s="33"/>
      <c r="AE1539" s="33"/>
      <c r="AF1539" s="33"/>
      <c r="AG1539" s="33"/>
      <c r="AH1539" s="33"/>
      <c r="AI1539" s="33"/>
      <c r="AJ1539" s="33"/>
      <c r="AK1539" s="33"/>
      <c r="AL1539" s="33"/>
      <c r="AM1539" s="33"/>
      <c r="AN1539" s="33"/>
      <c r="AO1539" s="33"/>
    </row>
    <row r="1540" spans="1:41" ht="18.75" thickBot="1">
      <c r="A1540" s="250"/>
      <c r="B1540" s="250"/>
      <c r="C1540" s="250"/>
      <c r="D1540" s="250"/>
      <c r="E1540" s="250"/>
      <c r="F1540" s="250"/>
      <c r="G1540" s="250"/>
      <c r="H1540" s="250"/>
      <c r="I1540" s="250"/>
      <c r="J1540" s="250"/>
      <c r="K1540" s="250"/>
      <c r="L1540" s="250"/>
      <c r="M1540" s="33"/>
      <c r="N1540" s="33"/>
      <c r="O1540" s="77"/>
      <c r="P1540" s="77"/>
      <c r="Q1540" s="78"/>
      <c r="Z1540" s="79"/>
      <c r="AA1540" s="80"/>
      <c r="AB1540" s="34"/>
      <c r="AC1540" s="34"/>
      <c r="AD1540" s="33"/>
      <c r="AE1540" s="33"/>
      <c r="AF1540" s="33"/>
      <c r="AG1540" s="33"/>
      <c r="AH1540" s="33"/>
      <c r="AI1540" s="33"/>
      <c r="AJ1540" s="33"/>
      <c r="AK1540" s="33"/>
      <c r="AL1540" s="33"/>
      <c r="AM1540" s="33"/>
      <c r="AN1540" s="33"/>
      <c r="AO1540" s="33"/>
    </row>
    <row r="1541" spans="1:41" ht="24" thickBot="1">
      <c r="A1541" s="250"/>
      <c r="B1541" s="250"/>
      <c r="C1541" s="1333" t="s">
        <v>446</v>
      </c>
      <c r="D1541" s="1334"/>
      <c r="E1541" s="1334"/>
      <c r="F1541" s="1334"/>
      <c r="G1541" s="1334"/>
      <c r="H1541" s="1334"/>
      <c r="I1541" s="1334"/>
      <c r="J1541" s="1334"/>
      <c r="K1541" s="1334"/>
      <c r="L1541" s="1335"/>
      <c r="M1541" s="33"/>
      <c r="N1541" s="33"/>
      <c r="O1541" s="77"/>
      <c r="P1541" s="77"/>
      <c r="Q1541" s="78"/>
      <c r="Z1541" s="79"/>
      <c r="AA1541" s="80"/>
      <c r="AB1541" s="34"/>
      <c r="AC1541" s="34"/>
      <c r="AD1541" s="33"/>
      <c r="AE1541" s="33"/>
      <c r="AF1541" s="33"/>
      <c r="AG1541" s="33"/>
      <c r="AH1541" s="33"/>
      <c r="AI1541" s="33"/>
      <c r="AJ1541" s="33"/>
      <c r="AK1541" s="33"/>
      <c r="AL1541" s="33"/>
      <c r="AM1541" s="33"/>
      <c r="AN1541" s="33"/>
      <c r="AO1541" s="33"/>
    </row>
    <row r="1542" spans="1:41" ht="23.25">
      <c r="A1542" s="250"/>
      <c r="B1542" s="250"/>
      <c r="C1542" s="249"/>
      <c r="D1542" s="249"/>
      <c r="E1542" s="249"/>
      <c r="F1542" s="249"/>
      <c r="G1542" s="249"/>
      <c r="H1542" s="249"/>
      <c r="I1542" s="249"/>
      <c r="J1542" s="249"/>
      <c r="K1542" s="249"/>
      <c r="L1542" s="249"/>
      <c r="M1542" s="33"/>
      <c r="N1542" s="33"/>
      <c r="O1542" s="77"/>
      <c r="P1542" s="77"/>
      <c r="Q1542" s="78"/>
      <c r="Z1542" s="79"/>
      <c r="AA1542" s="80"/>
      <c r="AB1542" s="34"/>
      <c r="AC1542" s="34"/>
      <c r="AD1542" s="33"/>
      <c r="AE1542" s="33"/>
      <c r="AF1542" s="33"/>
      <c r="AG1542" s="33"/>
      <c r="AH1542" s="33"/>
      <c r="AI1542" s="33"/>
      <c r="AJ1542" s="33"/>
      <c r="AK1542" s="33"/>
      <c r="AL1542" s="33"/>
      <c r="AM1542" s="33"/>
      <c r="AN1542" s="33"/>
      <c r="AO1542" s="33"/>
    </row>
    <row r="1543" spans="1:41" ht="23.25">
      <c r="A1543" s="1295" t="s">
        <v>448</v>
      </c>
      <c r="B1543" s="1295"/>
      <c r="C1543" s="1295"/>
      <c r="D1543" s="1294" t="s">
        <v>380</v>
      </c>
      <c r="E1543" s="1294"/>
      <c r="F1543" s="1294"/>
      <c r="G1543" s="1294"/>
      <c r="H1543" s="1294"/>
      <c r="I1543" s="249"/>
      <c r="J1543" s="249"/>
      <c r="K1543" s="249" t="s">
        <v>449</v>
      </c>
      <c r="L1543" s="249"/>
      <c r="M1543" s="1295" t="s">
        <v>380</v>
      </c>
      <c r="N1543" s="1295"/>
      <c r="O1543" s="1292" t="str">
        <f>D1543</f>
        <v/>
      </c>
      <c r="P1543" s="1292"/>
      <c r="Q1543" s="78"/>
      <c r="Z1543" s="79"/>
      <c r="AA1543" s="80"/>
      <c r="AB1543" s="34"/>
      <c r="AC1543" s="34"/>
      <c r="AD1543" s="33"/>
      <c r="AE1543" s="33"/>
      <c r="AF1543" s="33"/>
      <c r="AG1543" s="33"/>
      <c r="AH1543" s="33"/>
      <c r="AI1543" s="33"/>
      <c r="AJ1543" s="33"/>
      <c r="AK1543" s="33"/>
      <c r="AL1543" s="33"/>
      <c r="AM1543" s="33"/>
      <c r="AN1543" s="33"/>
      <c r="AO1543" s="33"/>
    </row>
    <row r="1544" spans="1:41" ht="24" thickBot="1">
      <c r="A1544" s="1340" t="s">
        <v>450</v>
      </c>
      <c r="B1544" s="1340"/>
      <c r="C1544" s="1340"/>
      <c r="D1544" s="1340" t="s">
        <v>380</v>
      </c>
      <c r="E1544" s="1340"/>
      <c r="F1544" s="1340"/>
      <c r="G1544" s="1340"/>
      <c r="H1544" s="87"/>
      <c r="I1544" s="1340" t="s">
        <v>452</v>
      </c>
      <c r="J1544" s="1340"/>
      <c r="K1544" s="1340"/>
      <c r="L1544" s="1341" t="s">
        <v>380</v>
      </c>
      <c r="M1544" s="1341"/>
      <c r="N1544" s="1341"/>
      <c r="O1544" s="77"/>
      <c r="P1544" s="77"/>
      <c r="Q1544" s="78"/>
      <c r="Z1544" s="79"/>
      <c r="AA1544" s="80"/>
      <c r="AB1544" s="34"/>
      <c r="AC1544" s="34"/>
      <c r="AD1544" s="33"/>
      <c r="AE1544" s="33"/>
      <c r="AF1544" s="33"/>
      <c r="AG1544" s="33"/>
      <c r="AH1544" s="33"/>
      <c r="AI1544" s="33"/>
      <c r="AJ1544" s="33"/>
      <c r="AK1544" s="33"/>
      <c r="AL1544" s="33"/>
      <c r="AM1544" s="33"/>
      <c r="AN1544" s="33"/>
      <c r="AO1544" s="33"/>
    </row>
    <row r="1545" spans="1:41" ht="17.25" thickTop="1" thickBot="1">
      <c r="A1545" s="1318" t="s">
        <v>453</v>
      </c>
      <c r="B1545" s="1319"/>
      <c r="C1545" s="88" t="s">
        <v>380</v>
      </c>
      <c r="D1545" s="89" t="s">
        <v>380</v>
      </c>
      <c r="E1545" s="89" t="s">
        <v>380</v>
      </c>
      <c r="F1545" s="89" t="s">
        <v>380</v>
      </c>
      <c r="G1545" s="89" t="s">
        <v>380</v>
      </c>
      <c r="H1545" s="89" t="s">
        <v>380</v>
      </c>
      <c r="I1545" s="89" t="s">
        <v>380</v>
      </c>
      <c r="J1545" s="89" t="s">
        <v>380</v>
      </c>
      <c r="K1545" s="89" t="s">
        <v>380</v>
      </c>
      <c r="L1545" s="89" t="s">
        <v>380</v>
      </c>
      <c r="M1545" s="89" t="s">
        <v>380</v>
      </c>
      <c r="N1545" s="90" t="s">
        <v>380</v>
      </c>
      <c r="Z1545" s="79"/>
      <c r="AA1545" s="80"/>
      <c r="AB1545" s="34"/>
      <c r="AC1545" s="34"/>
      <c r="AD1545" s="33"/>
      <c r="AE1545" s="33"/>
      <c r="AF1545" s="33"/>
      <c r="AG1545" s="33"/>
      <c r="AH1545" s="33"/>
      <c r="AI1545" s="33"/>
      <c r="AJ1545" s="33"/>
      <c r="AK1545" s="33"/>
      <c r="AL1545" s="33"/>
      <c r="AM1545" s="33"/>
      <c r="AN1545" s="33"/>
      <c r="AO1545" s="33"/>
    </row>
    <row r="1546" spans="1:41" ht="24" thickBot="1">
      <c r="A1546" s="1329" t="s">
        <v>454</v>
      </c>
      <c r="B1546" s="1330"/>
      <c r="C1546" s="91" t="s">
        <v>380</v>
      </c>
      <c r="D1546" s="210" t="s">
        <v>380</v>
      </c>
      <c r="E1546" s="210" t="s">
        <v>380</v>
      </c>
      <c r="F1546" s="210" t="s">
        <v>380</v>
      </c>
      <c r="G1546" s="210" t="s">
        <v>380</v>
      </c>
      <c r="H1546" s="210" t="s">
        <v>380</v>
      </c>
      <c r="I1546" s="210" t="s">
        <v>380</v>
      </c>
      <c r="J1546" s="210" t="s">
        <v>380</v>
      </c>
      <c r="K1546" s="210" t="s">
        <v>380</v>
      </c>
      <c r="L1546" s="210" t="s">
        <v>380</v>
      </c>
      <c r="M1546" s="210" t="s">
        <v>380</v>
      </c>
      <c r="N1546" s="92" t="s">
        <v>380</v>
      </c>
      <c r="O1546" s="152"/>
      <c r="R1546" s="78"/>
      <c r="Z1546" s="79"/>
      <c r="AA1546" s="80"/>
      <c r="AB1546" s="34"/>
      <c r="AC1546" s="34"/>
      <c r="AD1546" s="33"/>
      <c r="AE1546" s="33"/>
      <c r="AF1546" s="33"/>
      <c r="AG1546" s="33"/>
      <c r="AH1546" s="33"/>
      <c r="AI1546" s="33"/>
      <c r="AJ1546" s="33"/>
      <c r="AK1546" s="33"/>
      <c r="AL1546" s="33"/>
      <c r="AM1546" s="33"/>
      <c r="AN1546" s="33"/>
      <c r="AO1546" s="33"/>
    </row>
    <row r="1547" spans="1:41" ht="24" thickBot="1">
      <c r="A1547" s="1329" t="s">
        <v>455</v>
      </c>
      <c r="B1547" s="1330"/>
      <c r="C1547" s="91" t="s">
        <v>380</v>
      </c>
      <c r="D1547" s="210" t="s">
        <v>380</v>
      </c>
      <c r="E1547" s="210" t="s">
        <v>380</v>
      </c>
      <c r="F1547" s="210" t="s">
        <v>380</v>
      </c>
      <c r="G1547" s="210" t="s">
        <v>380</v>
      </c>
      <c r="H1547" s="210" t="s">
        <v>380</v>
      </c>
      <c r="I1547" s="210" t="s">
        <v>380</v>
      </c>
      <c r="J1547" s="210" t="s">
        <v>380</v>
      </c>
      <c r="K1547" s="210" t="s">
        <v>380</v>
      </c>
      <c r="L1547" s="210" t="s">
        <v>380</v>
      </c>
      <c r="M1547" s="210" t="s">
        <v>380</v>
      </c>
      <c r="N1547" s="92" t="s">
        <v>380</v>
      </c>
      <c r="O1547" s="152"/>
      <c r="R1547" s="78"/>
      <c r="Z1547" s="79"/>
      <c r="AA1547" s="80"/>
      <c r="AB1547" s="34"/>
      <c r="AC1547" s="34"/>
      <c r="AD1547" s="33"/>
      <c r="AE1547" s="33"/>
      <c r="AF1547" s="33"/>
      <c r="AG1547" s="33"/>
      <c r="AH1547" s="33"/>
      <c r="AI1547" s="33"/>
      <c r="AJ1547" s="33"/>
      <c r="AK1547" s="33"/>
      <c r="AL1547" s="33"/>
      <c r="AM1547" s="33"/>
      <c r="AN1547" s="33"/>
      <c r="AO1547" s="33"/>
    </row>
    <row r="1548" spans="1:41" ht="24" thickBot="1">
      <c r="A1548" s="1327" t="s">
        <v>456</v>
      </c>
      <c r="B1548" s="1328"/>
      <c r="C1548" s="93" t="s">
        <v>380</v>
      </c>
      <c r="D1548" s="94" t="s">
        <v>380</v>
      </c>
      <c r="E1548" s="94" t="s">
        <v>380</v>
      </c>
      <c r="F1548" s="94" t="s">
        <v>380</v>
      </c>
      <c r="G1548" s="94" t="s">
        <v>380</v>
      </c>
      <c r="H1548" s="94" t="s">
        <v>380</v>
      </c>
      <c r="I1548" s="94" t="s">
        <v>380</v>
      </c>
      <c r="J1548" s="94" t="s">
        <v>380</v>
      </c>
      <c r="K1548" s="94" t="s">
        <v>380</v>
      </c>
      <c r="L1548" s="94" t="s">
        <v>380</v>
      </c>
      <c r="M1548" s="94" t="s">
        <v>380</v>
      </c>
      <c r="N1548" s="95" t="s">
        <v>380</v>
      </c>
      <c r="O1548" s="152"/>
      <c r="Z1548" s="79"/>
      <c r="AA1548" s="80"/>
      <c r="AB1548" s="34"/>
      <c r="AC1548" s="34"/>
      <c r="AD1548" s="33"/>
      <c r="AE1548" s="33"/>
      <c r="AF1548" s="33"/>
      <c r="AG1548" s="33"/>
      <c r="AH1548" s="33"/>
      <c r="AI1548" s="33"/>
      <c r="AJ1548" s="33"/>
      <c r="AK1548" s="33"/>
      <c r="AL1548" s="33"/>
      <c r="AM1548" s="33"/>
      <c r="AN1548" s="33"/>
      <c r="AO1548" s="33"/>
    </row>
    <row r="1549" spans="1:41" ht="21" thickTop="1">
      <c r="A1549" s="96"/>
      <c r="B1549" s="96"/>
      <c r="C1549" s="96"/>
      <c r="D1549" s="96"/>
      <c r="E1549" s="1326" t="s">
        <v>457</v>
      </c>
      <c r="F1549" s="1310"/>
      <c r="G1549" s="97">
        <v>18</v>
      </c>
      <c r="H1549" s="1310" t="s">
        <v>458</v>
      </c>
      <c r="I1549" s="1311"/>
      <c r="J1549" s="1310" t="s">
        <v>459</v>
      </c>
      <c r="K1549" s="1311"/>
      <c r="L1549" s="96"/>
      <c r="M1549" s="96"/>
      <c r="N1549" s="96"/>
      <c r="O1549" s="77"/>
      <c r="P1549" s="77"/>
      <c r="Q1549" s="78"/>
      <c r="Z1549" s="79"/>
      <c r="AA1549" s="80"/>
      <c r="AB1549" s="34"/>
      <c r="AC1549" s="34"/>
      <c r="AD1549" s="33"/>
      <c r="AE1549" s="33"/>
      <c r="AF1549" s="33"/>
      <c r="AG1549" s="33"/>
      <c r="AH1549" s="33"/>
      <c r="AI1549" s="33"/>
      <c r="AJ1549" s="33"/>
      <c r="AK1549" s="33"/>
      <c r="AL1549" s="33"/>
      <c r="AM1549" s="33"/>
      <c r="AN1549" s="33"/>
      <c r="AO1549" s="33"/>
    </row>
    <row r="1550" spans="1:41" ht="23.25">
      <c r="A1550" s="96"/>
      <c r="B1550" s="96"/>
      <c r="C1550" s="96"/>
      <c r="D1550" s="96"/>
      <c r="E1550" s="1307" t="s">
        <v>460</v>
      </c>
      <c r="F1550" s="1308"/>
      <c r="G1550" s="98">
        <v>0</v>
      </c>
      <c r="H1550" s="1312">
        <v>0</v>
      </c>
      <c r="I1550" s="1312"/>
      <c r="J1550" s="1312">
        <v>0</v>
      </c>
      <c r="K1550" s="1313"/>
      <c r="L1550" s="96"/>
      <c r="M1550" s="96"/>
      <c r="N1550" s="96"/>
      <c r="O1550" s="77"/>
      <c r="P1550" s="77"/>
      <c r="Q1550" s="78">
        <f>G1550+H1550+H1552+J1550</f>
        <v>0</v>
      </c>
      <c r="Z1550" s="79"/>
      <c r="AA1550" s="80"/>
      <c r="AB1550" s="34"/>
      <c r="AC1550" s="34"/>
      <c r="AD1550" s="33"/>
      <c r="AE1550" s="33"/>
      <c r="AF1550" s="33"/>
      <c r="AG1550" s="33"/>
      <c r="AH1550" s="33"/>
      <c r="AI1550" s="33"/>
      <c r="AJ1550" s="33"/>
      <c r="AK1550" s="33"/>
      <c r="AL1550" s="33"/>
      <c r="AM1550" s="33"/>
      <c r="AN1550" s="33"/>
      <c r="AO1550" s="33"/>
    </row>
    <row r="1551" spans="1:41" ht="20.25">
      <c r="A1551" s="96"/>
      <c r="B1551" s="96"/>
      <c r="C1551" s="96"/>
      <c r="D1551" s="96"/>
      <c r="E1551" s="1307" t="s">
        <v>461</v>
      </c>
      <c r="F1551" s="1308"/>
      <c r="G1551" s="99">
        <v>18</v>
      </c>
      <c r="H1551" s="1308" t="s">
        <v>462</v>
      </c>
      <c r="I1551" s="1308"/>
      <c r="J1551" s="1308" t="s">
        <v>463</v>
      </c>
      <c r="K1551" s="1309"/>
      <c r="L1551" s="96"/>
      <c r="M1551" s="96"/>
      <c r="N1551" s="96"/>
      <c r="O1551" s="77"/>
      <c r="P1551" s="77"/>
      <c r="Q1551" s="78"/>
      <c r="Z1551" s="79"/>
      <c r="AA1551" s="80"/>
      <c r="AB1551" s="34"/>
      <c r="AC1551" s="34"/>
      <c r="AD1551" s="33"/>
      <c r="AE1551" s="33"/>
      <c r="AF1551" s="33"/>
      <c r="AG1551" s="33"/>
      <c r="AH1551" s="33"/>
      <c r="AI1551" s="33"/>
      <c r="AJ1551" s="33"/>
      <c r="AK1551" s="33"/>
      <c r="AL1551" s="33"/>
      <c r="AM1551" s="33"/>
      <c r="AN1551" s="33"/>
      <c r="AO1551" s="33"/>
    </row>
    <row r="1552" spans="1:41" ht="24" thickBot="1">
      <c r="A1552" s="96"/>
      <c r="B1552" s="96"/>
      <c r="C1552" s="96"/>
      <c r="D1552" s="96"/>
      <c r="E1552" s="1303" t="s">
        <v>464</v>
      </c>
      <c r="F1552" s="1304"/>
      <c r="G1552" s="99">
        <v>0</v>
      </c>
      <c r="H1552" s="1305">
        <v>0</v>
      </c>
      <c r="I1552" s="1305"/>
      <c r="J1552" s="1305">
        <v>0</v>
      </c>
      <c r="K1552" s="1306"/>
      <c r="L1552" s="96"/>
      <c r="M1552" s="96"/>
      <c r="N1552" s="96"/>
      <c r="O1552" s="77"/>
      <c r="P1552" s="77"/>
      <c r="Q1552" s="78"/>
      <c r="Z1552" s="79"/>
      <c r="AA1552" s="80"/>
      <c r="AB1552" s="34"/>
      <c r="AC1552" s="34"/>
      <c r="AD1552" s="33"/>
      <c r="AE1552" s="33"/>
      <c r="AF1552" s="33"/>
      <c r="AG1552" s="33"/>
      <c r="AH1552" s="33"/>
      <c r="AI1552" s="33"/>
      <c r="AJ1552" s="33"/>
      <c r="AK1552" s="33"/>
      <c r="AL1552" s="33"/>
      <c r="AM1552" s="33"/>
      <c r="AN1552" s="33"/>
      <c r="AO1552" s="33"/>
    </row>
    <row r="1553" spans="1:41" ht="17.25" thickTop="1" thickBot="1">
      <c r="A1553" s="34"/>
      <c r="B1553" s="34"/>
      <c r="C1553" s="1299" t="s">
        <v>465</v>
      </c>
      <c r="D1553" s="1299"/>
      <c r="E1553" s="1299" t="s">
        <v>360</v>
      </c>
      <c r="F1553" s="1299"/>
      <c r="G1553" s="1302" t="s">
        <v>368</v>
      </c>
      <c r="H1553" s="1302"/>
      <c r="I1553" s="1302" t="s">
        <v>369</v>
      </c>
      <c r="J1553" s="1302"/>
      <c r="K1553" s="1302" t="s">
        <v>370</v>
      </c>
      <c r="L1553" s="1299"/>
      <c r="M1553" s="1299" t="s">
        <v>371</v>
      </c>
      <c r="N1553" s="1299"/>
      <c r="O1553" s="77"/>
      <c r="P1553" s="77"/>
      <c r="Q1553" s="78"/>
      <c r="Z1553" s="79"/>
      <c r="AA1553" s="80"/>
      <c r="AB1553" s="34"/>
      <c r="AC1553" s="34"/>
      <c r="AD1553" s="33"/>
      <c r="AE1553" s="33"/>
      <c r="AF1553" s="33"/>
      <c r="AG1553" s="33"/>
      <c r="AH1553" s="33"/>
      <c r="AI1553" s="33"/>
      <c r="AJ1553" s="33"/>
      <c r="AK1553" s="33"/>
      <c r="AL1553" s="33"/>
      <c r="AM1553" s="33"/>
      <c r="AN1553" s="33"/>
      <c r="AO1553" s="33"/>
    </row>
    <row r="1554" spans="1:41" ht="17.25" thickTop="1" thickBot="1">
      <c r="A1554" s="34"/>
      <c r="B1554" s="34"/>
      <c r="C1554" s="1299" t="s">
        <v>372</v>
      </c>
      <c r="D1554" s="1299"/>
      <c r="E1554" s="1297" t="s">
        <v>380</v>
      </c>
      <c r="F1554" s="1297"/>
      <c r="G1554" s="1297" t="s">
        <v>380</v>
      </c>
      <c r="H1554" s="1297"/>
      <c r="I1554" s="1297" t="s">
        <v>380</v>
      </c>
      <c r="J1554" s="1297"/>
      <c r="K1554" s="1297" t="s">
        <v>380</v>
      </c>
      <c r="L1554" s="1297"/>
      <c r="M1554" s="1297" t="s">
        <v>380</v>
      </c>
      <c r="N1554" s="1297"/>
      <c r="O1554" s="77"/>
      <c r="P1554" s="77"/>
      <c r="Q1554" s="78"/>
      <c r="Z1554" s="79"/>
      <c r="AA1554" s="80"/>
      <c r="AB1554" s="34"/>
      <c r="AC1554" s="34"/>
      <c r="AD1554" s="33"/>
      <c r="AE1554" s="33"/>
      <c r="AF1554" s="33"/>
      <c r="AG1554" s="33"/>
      <c r="AH1554" s="33"/>
      <c r="AI1554" s="33"/>
      <c r="AJ1554" s="33"/>
      <c r="AK1554" s="33"/>
      <c r="AL1554" s="33"/>
      <c r="AM1554" s="33"/>
      <c r="AN1554" s="33"/>
      <c r="AO1554" s="33"/>
    </row>
    <row r="1555" spans="1:41" ht="17.25" thickTop="1" thickBot="1">
      <c r="A1555" s="34"/>
      <c r="B1555" s="34"/>
      <c r="C1555" s="1299" t="s">
        <v>373</v>
      </c>
      <c r="D1555" s="1299"/>
      <c r="E1555" s="1297" t="s">
        <v>380</v>
      </c>
      <c r="F1555" s="1297"/>
      <c r="G1555" s="1297" t="s">
        <v>380</v>
      </c>
      <c r="H1555" s="1297"/>
      <c r="I1555" s="1297" t="s">
        <v>380</v>
      </c>
      <c r="J1555" s="1297"/>
      <c r="K1555" s="1297" t="s">
        <v>380</v>
      </c>
      <c r="L1555" s="1297"/>
      <c r="M1555" s="1297" t="s">
        <v>380</v>
      </c>
      <c r="N1555" s="1297"/>
      <c r="O1555" s="77"/>
      <c r="P1555" s="77"/>
      <c r="Q1555" s="78"/>
      <c r="Z1555" s="79"/>
      <c r="AA1555" s="80"/>
      <c r="AB1555" s="34"/>
      <c r="AC1555" s="34"/>
      <c r="AD1555" s="33"/>
      <c r="AE1555" s="33"/>
      <c r="AF1555" s="33"/>
      <c r="AG1555" s="33"/>
      <c r="AH1555" s="33"/>
      <c r="AI1555" s="33"/>
      <c r="AJ1555" s="33"/>
      <c r="AK1555" s="33"/>
      <c r="AL1555" s="33"/>
      <c r="AM1555" s="33"/>
      <c r="AN1555" s="33"/>
      <c r="AO1555" s="33"/>
    </row>
    <row r="1556" spans="1:41" ht="17.25" thickTop="1" thickBot="1">
      <c r="A1556" s="34"/>
      <c r="B1556" s="34"/>
      <c r="C1556" s="1299" t="s">
        <v>374</v>
      </c>
      <c r="D1556" s="1299"/>
      <c r="E1556" s="1297" t="s">
        <v>380</v>
      </c>
      <c r="F1556" s="1297"/>
      <c r="G1556" s="1297" t="s">
        <v>380</v>
      </c>
      <c r="H1556" s="1297"/>
      <c r="I1556" s="1297" t="s">
        <v>380</v>
      </c>
      <c r="J1556" s="1297"/>
      <c r="K1556" s="1297" t="s">
        <v>380</v>
      </c>
      <c r="L1556" s="1297"/>
      <c r="M1556" s="1297" t="s">
        <v>380</v>
      </c>
      <c r="N1556" s="1297"/>
      <c r="O1556" s="77"/>
      <c r="P1556" s="77"/>
      <c r="Q1556" s="78"/>
      <c r="Z1556" s="79"/>
      <c r="AA1556" s="80"/>
      <c r="AB1556" s="34"/>
      <c r="AC1556" s="34"/>
      <c r="AD1556" s="33"/>
      <c r="AE1556" s="33"/>
      <c r="AF1556" s="33"/>
      <c r="AG1556" s="33"/>
      <c r="AH1556" s="33"/>
      <c r="AI1556" s="33"/>
      <c r="AJ1556" s="33"/>
      <c r="AK1556" s="33"/>
      <c r="AL1556" s="33"/>
      <c r="AM1556" s="33"/>
      <c r="AN1556" s="33"/>
      <c r="AO1556" s="33"/>
    </row>
    <row r="1557" spans="1:41" ht="17.25" thickTop="1" thickBot="1">
      <c r="A1557" s="34"/>
      <c r="B1557" s="34"/>
      <c r="C1557" s="1299" t="s">
        <v>375</v>
      </c>
      <c r="D1557" s="1299"/>
      <c r="E1557" s="1297" t="s">
        <v>380</v>
      </c>
      <c r="F1557" s="1297"/>
      <c r="G1557" s="1297" t="s">
        <v>380</v>
      </c>
      <c r="H1557" s="1297"/>
      <c r="I1557" s="1297" t="s">
        <v>380</v>
      </c>
      <c r="J1557" s="1297"/>
      <c r="K1557" s="1297" t="s">
        <v>380</v>
      </c>
      <c r="L1557" s="1297"/>
      <c r="M1557" s="1297" t="s">
        <v>380</v>
      </c>
      <c r="N1557" s="1297"/>
      <c r="O1557" s="77"/>
      <c r="P1557" s="77"/>
      <c r="Q1557" s="78"/>
      <c r="Z1557" s="79"/>
      <c r="AA1557" s="80"/>
      <c r="AB1557" s="34"/>
      <c r="AC1557" s="34"/>
      <c r="AD1557" s="33"/>
      <c r="AE1557" s="33"/>
      <c r="AF1557" s="33"/>
      <c r="AG1557" s="33"/>
      <c r="AH1557" s="33"/>
      <c r="AI1557" s="33"/>
      <c r="AJ1557" s="33"/>
      <c r="AK1557" s="33"/>
      <c r="AL1557" s="33"/>
      <c r="AM1557" s="33"/>
      <c r="AN1557" s="33"/>
      <c r="AO1557" s="33"/>
    </row>
    <row r="1558" spans="1:41" ht="17.25" thickTop="1" thickBot="1">
      <c r="A1558" s="34"/>
      <c r="B1558" s="34"/>
      <c r="C1558" s="101"/>
      <c r="D1558" s="101"/>
      <c r="E1558" s="33"/>
      <c r="F1558" s="33"/>
      <c r="G1558" s="33"/>
      <c r="H1558" s="33"/>
      <c r="I1558" s="33"/>
      <c r="J1558" s="33"/>
      <c r="K1558" s="34"/>
      <c r="L1558" s="34"/>
      <c r="M1558" s="33"/>
      <c r="N1558" s="33"/>
      <c r="O1558" s="77"/>
      <c r="P1558" s="77"/>
      <c r="Q1558" s="78"/>
      <c r="Z1558" s="79"/>
      <c r="AA1558" s="80"/>
      <c r="AB1558" s="34"/>
      <c r="AC1558" s="34"/>
      <c r="AD1558" s="33"/>
      <c r="AE1558" s="33"/>
      <c r="AF1558" s="33"/>
      <c r="AG1558" s="33"/>
      <c r="AH1558" s="33"/>
      <c r="AI1558" s="33"/>
      <c r="AJ1558" s="33"/>
      <c r="AK1558" s="33"/>
      <c r="AL1558" s="33"/>
      <c r="AM1558" s="33"/>
      <c r="AN1558" s="33"/>
      <c r="AO1558" s="33"/>
    </row>
    <row r="1559" spans="1:41" ht="17.25" thickTop="1" thickBot="1">
      <c r="A1559" s="34"/>
      <c r="B1559" s="34"/>
      <c r="C1559" s="1299" t="s">
        <v>376</v>
      </c>
      <c r="D1559" s="1299"/>
      <c r="E1559" s="1297" t="s">
        <v>380</v>
      </c>
      <c r="F1559" s="1297"/>
      <c r="G1559" s="1297" t="s">
        <v>380</v>
      </c>
      <c r="H1559" s="1297"/>
      <c r="I1559" s="1297" t="s">
        <v>380</v>
      </c>
      <c r="J1559" s="1297"/>
      <c r="K1559" s="1297" t="s">
        <v>380</v>
      </c>
      <c r="L1559" s="1297"/>
      <c r="M1559" s="1297" t="s">
        <v>380</v>
      </c>
      <c r="N1559" s="1297"/>
      <c r="O1559" s="77"/>
      <c r="P1559" s="77"/>
      <c r="Q1559" s="78"/>
      <c r="Z1559" s="79"/>
      <c r="AA1559" s="80"/>
      <c r="AB1559" s="34"/>
      <c r="AC1559" s="34"/>
      <c r="AD1559" s="33"/>
      <c r="AE1559" s="33"/>
      <c r="AF1559" s="33"/>
      <c r="AG1559" s="33"/>
      <c r="AH1559" s="33"/>
      <c r="AI1559" s="33"/>
      <c r="AJ1559" s="33"/>
      <c r="AK1559" s="33"/>
      <c r="AL1559" s="33"/>
      <c r="AM1559" s="33"/>
      <c r="AN1559" s="33"/>
      <c r="AO1559" s="33"/>
    </row>
    <row r="1560" spans="1:41" ht="17.25" thickTop="1" thickBot="1">
      <c r="A1560" s="34"/>
      <c r="B1560" s="34"/>
      <c r="C1560" s="1299" t="s">
        <v>377</v>
      </c>
      <c r="D1560" s="1299"/>
      <c r="E1560" s="1297" t="s">
        <v>380</v>
      </c>
      <c r="F1560" s="1297"/>
      <c r="G1560" s="1297" t="s">
        <v>380</v>
      </c>
      <c r="H1560" s="1297"/>
      <c r="I1560" s="1297" t="s">
        <v>380</v>
      </c>
      <c r="J1560" s="1297"/>
      <c r="K1560" s="1297" t="s">
        <v>380</v>
      </c>
      <c r="L1560" s="1297"/>
      <c r="M1560" s="1297" t="s">
        <v>380</v>
      </c>
      <c r="N1560" s="1297"/>
      <c r="O1560" s="77"/>
      <c r="P1560" s="77"/>
      <c r="Q1560" s="78"/>
      <c r="Z1560" s="79"/>
      <c r="AA1560" s="80"/>
      <c r="AB1560" s="34"/>
      <c r="AC1560" s="34"/>
      <c r="AD1560" s="33"/>
      <c r="AE1560" s="33"/>
      <c r="AF1560" s="33"/>
      <c r="AG1560" s="33"/>
      <c r="AH1560" s="33"/>
      <c r="AI1560" s="33"/>
      <c r="AJ1560" s="33"/>
      <c r="AK1560" s="33"/>
      <c r="AL1560" s="33"/>
      <c r="AM1560" s="33"/>
      <c r="AN1560" s="33"/>
      <c r="AO1560" s="33"/>
    </row>
    <row r="1561" spans="1:41" ht="17.25" thickTop="1" thickBot="1">
      <c r="A1561" s="34"/>
      <c r="B1561" s="34"/>
      <c r="C1561" s="1299" t="s">
        <v>378</v>
      </c>
      <c r="D1561" s="1299"/>
      <c r="E1561" s="1297" t="s">
        <v>380</v>
      </c>
      <c r="F1561" s="1297"/>
      <c r="G1561" s="1297" t="s">
        <v>380</v>
      </c>
      <c r="H1561" s="1297"/>
      <c r="I1561" s="1297" t="s">
        <v>380</v>
      </c>
      <c r="J1561" s="1297"/>
      <c r="K1561" s="1297" t="s">
        <v>380</v>
      </c>
      <c r="L1561" s="1297"/>
      <c r="M1561" s="1297" t="s">
        <v>380</v>
      </c>
      <c r="N1561" s="1297"/>
      <c r="O1561" s="77"/>
      <c r="P1561" s="77"/>
      <c r="Q1561" s="78"/>
      <c r="Z1561" s="79"/>
      <c r="AA1561" s="80"/>
      <c r="AB1561" s="34"/>
      <c r="AC1561" s="34"/>
      <c r="AD1561" s="33"/>
      <c r="AE1561" s="33"/>
      <c r="AF1561" s="33"/>
      <c r="AG1561" s="33"/>
      <c r="AH1561" s="33"/>
      <c r="AI1561" s="33"/>
      <c r="AJ1561" s="33"/>
      <c r="AK1561" s="33"/>
      <c r="AL1561" s="33"/>
      <c r="AM1561" s="33"/>
      <c r="AN1561" s="33"/>
      <c r="AO1561" s="33"/>
    </row>
    <row r="1562" spans="1:41" ht="17.25" thickTop="1" thickBot="1">
      <c r="A1562" s="34"/>
      <c r="B1562" s="34"/>
      <c r="C1562" s="1299" t="s">
        <v>379</v>
      </c>
      <c r="D1562" s="1299"/>
      <c r="E1562" s="1297" t="s">
        <v>380</v>
      </c>
      <c r="F1562" s="1297"/>
      <c r="G1562" s="1297" t="s">
        <v>380</v>
      </c>
      <c r="H1562" s="1297"/>
      <c r="I1562" s="1297" t="s">
        <v>380</v>
      </c>
      <c r="J1562" s="1297"/>
      <c r="K1562" s="1297" t="s">
        <v>380</v>
      </c>
      <c r="L1562" s="1297"/>
      <c r="M1562" s="1297" t="s">
        <v>380</v>
      </c>
      <c r="N1562" s="1297"/>
      <c r="O1562" s="77"/>
      <c r="P1562" s="77"/>
      <c r="Q1562" s="78"/>
      <c r="Z1562" s="79"/>
      <c r="AA1562" s="80"/>
      <c r="AB1562" s="34"/>
      <c r="AC1562" s="34"/>
      <c r="AD1562" s="33"/>
      <c r="AE1562" s="33"/>
      <c r="AF1562" s="33"/>
      <c r="AG1562" s="33"/>
      <c r="AH1562" s="33"/>
      <c r="AI1562" s="33"/>
      <c r="AJ1562" s="33"/>
      <c r="AK1562" s="33"/>
      <c r="AL1562" s="33"/>
      <c r="AM1562" s="33"/>
      <c r="AN1562" s="33"/>
      <c r="AO1562" s="33"/>
    </row>
    <row r="1563" spans="1:41" ht="17.25" thickTop="1" thickBot="1">
      <c r="A1563" s="34"/>
      <c r="B1563" s="34"/>
      <c r="C1563" s="33"/>
      <c r="D1563" s="33"/>
      <c r="E1563" s="33"/>
      <c r="F1563" s="33"/>
      <c r="G1563" s="33"/>
      <c r="H1563" s="33"/>
      <c r="I1563" s="33" t="s">
        <v>494</v>
      </c>
      <c r="J1563" s="33"/>
      <c r="K1563" s="34"/>
      <c r="L1563" s="34"/>
      <c r="M1563" s="33"/>
      <c r="N1563" s="33"/>
      <c r="O1563" s="77"/>
      <c r="P1563" s="77"/>
      <c r="Q1563" s="78"/>
      <c r="Z1563" s="79"/>
      <c r="AA1563" s="80"/>
      <c r="AB1563" s="34"/>
      <c r="AC1563" s="34"/>
      <c r="AD1563" s="33"/>
      <c r="AE1563" s="33"/>
      <c r="AF1563" s="33"/>
      <c r="AG1563" s="33"/>
      <c r="AH1563" s="33"/>
      <c r="AI1563" s="33"/>
      <c r="AJ1563" s="33"/>
      <c r="AK1563" s="33"/>
      <c r="AL1563" s="33"/>
      <c r="AM1563" s="33"/>
      <c r="AN1563" s="33"/>
      <c r="AO1563" s="33"/>
    </row>
    <row r="1564" spans="1:41" ht="19.5" thickTop="1" thickBot="1">
      <c r="A1564" s="1321" t="s">
        <v>467</v>
      </c>
      <c r="B1564" s="1322"/>
      <c r="C1564" s="1323" t="s">
        <v>380</v>
      </c>
      <c r="D1564" s="1323"/>
      <c r="E1564" s="1323" t="s">
        <v>380</v>
      </c>
      <c r="F1564" s="1323"/>
      <c r="G1564" s="250"/>
      <c r="H1564" s="250" t="s">
        <v>468</v>
      </c>
      <c r="I1564" s="1295" t="s">
        <v>402</v>
      </c>
      <c r="J1564" s="1295"/>
      <c r="K1564" s="1295"/>
      <c r="L1564" s="102" t="s">
        <v>403</v>
      </c>
      <c r="M1564" s="1331">
        <v>42610.363814699071</v>
      </c>
      <c r="N1564" s="1331"/>
      <c r="O1564" s="77"/>
      <c r="P1564" s="77"/>
      <c r="Q1564" s="78"/>
      <c r="Z1564" s="79"/>
      <c r="AA1564" s="80"/>
      <c r="AB1564" s="34"/>
      <c r="AC1564" s="34"/>
      <c r="AD1564" s="33"/>
      <c r="AE1564" s="33"/>
      <c r="AF1564" s="33"/>
      <c r="AG1564" s="33"/>
      <c r="AH1564" s="33"/>
      <c r="AI1564" s="33"/>
      <c r="AJ1564" s="33"/>
      <c r="AK1564" s="33"/>
      <c r="AL1564" s="33"/>
      <c r="AM1564" s="33"/>
      <c r="AN1564" s="33"/>
      <c r="AO1564" s="33"/>
    </row>
    <row r="1565" spans="1:41" ht="19.5" thickTop="1" thickBot="1">
      <c r="A1565" s="1321" t="s">
        <v>469</v>
      </c>
      <c r="B1565" s="1322"/>
      <c r="C1565" s="1323" t="s">
        <v>380</v>
      </c>
      <c r="D1565" s="1323"/>
      <c r="E1565" s="1323" t="s">
        <v>380</v>
      </c>
      <c r="F1565" s="1323"/>
      <c r="G1565" s="250"/>
      <c r="H1565" s="250"/>
      <c r="I1565" s="250"/>
      <c r="J1565" s="250"/>
      <c r="K1565" s="102"/>
      <c r="L1565" s="102"/>
      <c r="M1565" s="33"/>
      <c r="N1565" s="33"/>
      <c r="O1565" s="77"/>
      <c r="P1565" s="77"/>
      <c r="Q1565" s="78"/>
      <c r="Z1565" s="79"/>
      <c r="AA1565" s="80"/>
      <c r="AB1565" s="34"/>
      <c r="AC1565" s="34"/>
      <c r="AD1565" s="33"/>
      <c r="AE1565" s="33"/>
      <c r="AF1565" s="33"/>
      <c r="AG1565" s="33"/>
      <c r="AH1565" s="33"/>
      <c r="AI1565" s="33"/>
      <c r="AJ1565" s="33"/>
      <c r="AK1565" s="33"/>
      <c r="AL1565" s="33"/>
      <c r="AM1565" s="33"/>
      <c r="AN1565" s="33"/>
      <c r="AO1565" s="33"/>
    </row>
    <row r="1566" spans="1:41" ht="19.5" thickTop="1" thickBot="1">
      <c r="A1566" s="1321" t="s">
        <v>470</v>
      </c>
      <c r="B1566" s="1322"/>
      <c r="C1566" s="1323" t="s">
        <v>380</v>
      </c>
      <c r="D1566" s="1323"/>
      <c r="E1566" s="1323" t="s">
        <v>380</v>
      </c>
      <c r="F1566" s="1323"/>
      <c r="G1566" s="250"/>
      <c r="H1566" s="250"/>
      <c r="I1566" s="250"/>
      <c r="J1566" s="250" t="s">
        <v>471</v>
      </c>
      <c r="K1566" s="102"/>
      <c r="L1566" s="102"/>
      <c r="M1566" s="33"/>
      <c r="N1566" s="33"/>
      <c r="O1566" s="77"/>
      <c r="P1566" s="77"/>
      <c r="Q1566" s="78"/>
      <c r="Z1566" s="79"/>
      <c r="AA1566" s="80"/>
      <c r="AB1566" s="34"/>
      <c r="AC1566" s="34"/>
      <c r="AD1566" s="33"/>
      <c r="AE1566" s="33"/>
      <c r="AF1566" s="33"/>
      <c r="AG1566" s="33"/>
      <c r="AH1566" s="33"/>
      <c r="AI1566" s="33"/>
      <c r="AJ1566" s="33"/>
      <c r="AK1566" s="33"/>
      <c r="AL1566" s="33"/>
      <c r="AM1566" s="33"/>
      <c r="AN1566" s="33"/>
      <c r="AO1566" s="33"/>
    </row>
    <row r="1567" spans="1:41" ht="24" thickTop="1">
      <c r="A1567" s="34"/>
      <c r="B1567" s="34"/>
      <c r="C1567" s="33"/>
      <c r="D1567" s="33"/>
      <c r="E1567" s="33"/>
      <c r="F1567" s="33"/>
      <c r="G1567" s="33"/>
      <c r="H1567" s="103" t="s">
        <v>406</v>
      </c>
      <c r="I1567" s="33"/>
      <c r="J1567" s="34"/>
      <c r="K1567" s="34"/>
      <c r="L1567" s="33"/>
      <c r="M1567" s="33"/>
      <c r="N1567" s="104"/>
      <c r="O1567" s="77"/>
      <c r="P1567" s="77"/>
      <c r="Q1567" s="78"/>
      <c r="Z1567" s="79"/>
      <c r="AA1567" s="80"/>
      <c r="AB1567" s="34"/>
      <c r="AC1567" s="34"/>
      <c r="AD1567" s="33"/>
      <c r="AE1567" s="33"/>
      <c r="AF1567" s="33"/>
      <c r="AG1567" s="33"/>
      <c r="AH1567" s="33"/>
      <c r="AI1567" s="33"/>
      <c r="AJ1567" s="33"/>
      <c r="AK1567" s="33"/>
      <c r="AL1567" s="33"/>
      <c r="AM1567" s="33"/>
      <c r="AN1567" s="33"/>
      <c r="AO1567" s="33"/>
    </row>
    <row r="1568" spans="1:41" ht="18">
      <c r="A1568" s="1295" t="s">
        <v>78</v>
      </c>
      <c r="B1568" s="1295"/>
      <c r="C1568" s="1295"/>
      <c r="D1568" s="1295"/>
      <c r="E1568" s="1295"/>
      <c r="F1568" s="1295"/>
      <c r="G1568" s="1295"/>
      <c r="H1568" s="1295"/>
      <c r="I1568" s="1295"/>
      <c r="J1568" s="1295"/>
      <c r="K1568" s="1295"/>
      <c r="L1568" s="1295"/>
      <c r="M1568" s="1295"/>
      <c r="N1568" s="1295"/>
      <c r="O1568" s="77"/>
      <c r="P1568" s="77"/>
      <c r="Q1568" s="78"/>
      <c r="Z1568" s="79"/>
      <c r="AA1568" s="80"/>
      <c r="AB1568" s="34"/>
      <c r="AC1568" s="34"/>
      <c r="AD1568" s="33"/>
      <c r="AE1568" s="33"/>
      <c r="AF1568" s="33"/>
      <c r="AG1568" s="33"/>
      <c r="AH1568" s="33"/>
      <c r="AI1568" s="33"/>
      <c r="AJ1568" s="33"/>
      <c r="AK1568" s="33"/>
      <c r="AL1568" s="33"/>
      <c r="AM1568" s="33"/>
      <c r="AN1568" s="33"/>
      <c r="AO1568" s="33"/>
    </row>
    <row r="1569" spans="1:41" ht="18">
      <c r="A1569" s="1295" t="s">
        <v>79</v>
      </c>
      <c r="B1569" s="1295"/>
      <c r="C1569" s="1295"/>
      <c r="D1569" s="1295"/>
      <c r="E1569" s="1295"/>
      <c r="F1569" s="1295"/>
      <c r="G1569" s="1295"/>
      <c r="H1569" s="1295"/>
      <c r="I1569" s="1295"/>
      <c r="J1569" s="1295"/>
      <c r="K1569" s="1295"/>
      <c r="L1569" s="1295"/>
      <c r="M1569" s="1295"/>
      <c r="N1569" s="1295"/>
      <c r="O1569" s="77"/>
      <c r="P1569" s="77"/>
      <c r="Q1569" s="78"/>
      <c r="Z1569" s="79"/>
      <c r="AA1569" s="80"/>
      <c r="AB1569" s="34"/>
      <c r="AC1569" s="34"/>
      <c r="AD1569" s="33"/>
      <c r="AE1569" s="33"/>
      <c r="AF1569" s="33"/>
      <c r="AG1569" s="33"/>
      <c r="AH1569" s="33"/>
      <c r="AI1569" s="33"/>
      <c r="AJ1569" s="33"/>
      <c r="AK1569" s="33"/>
      <c r="AL1569" s="33"/>
      <c r="AM1569" s="33"/>
      <c r="AN1569" s="33"/>
      <c r="AO1569" s="33"/>
    </row>
    <row r="1570" spans="1:41" ht="18">
      <c r="A1570" s="168" t="s">
        <v>220</v>
      </c>
      <c r="B1570" s="250"/>
      <c r="C1570" s="250"/>
      <c r="D1570" s="250"/>
      <c r="E1570" s="250"/>
      <c r="F1570" s="250"/>
      <c r="G1570" s="250"/>
      <c r="H1570" s="250"/>
      <c r="I1570" s="250"/>
      <c r="J1570" s="250"/>
      <c r="K1570" s="250"/>
      <c r="L1570" s="250"/>
      <c r="M1570" s="33"/>
      <c r="N1570" s="33"/>
      <c r="O1570" s="77"/>
      <c r="P1570" s="77"/>
      <c r="Q1570" s="78"/>
      <c r="Z1570" s="79"/>
      <c r="AA1570" s="80"/>
      <c r="AB1570" s="34"/>
      <c r="AC1570" s="34"/>
      <c r="AD1570" s="33"/>
      <c r="AE1570" s="33"/>
      <c r="AF1570" s="33"/>
      <c r="AG1570" s="33"/>
      <c r="AH1570" s="33"/>
      <c r="AI1570" s="33"/>
      <c r="AJ1570" s="33"/>
      <c r="AK1570" s="33"/>
      <c r="AL1570" s="33"/>
      <c r="AM1570" s="33"/>
      <c r="AN1570" s="33"/>
      <c r="AO1570" s="33"/>
    </row>
    <row r="1571" spans="1:41" ht="18">
      <c r="A1571" s="168" t="s">
        <v>444</v>
      </c>
      <c r="B1571" s="250"/>
      <c r="C1571" s="250"/>
      <c r="D1571" s="250"/>
      <c r="E1571" s="250"/>
      <c r="F1571" s="250"/>
      <c r="G1571" s="250"/>
      <c r="H1571" s="250"/>
      <c r="I1571" s="250"/>
      <c r="J1571" s="250"/>
      <c r="K1571" s="250"/>
      <c r="L1571" s="250"/>
      <c r="M1571" s="33"/>
      <c r="N1571" s="33"/>
      <c r="O1571" s="77"/>
      <c r="P1571" s="77"/>
      <c r="Q1571" s="78"/>
      <c r="Z1571" s="79"/>
      <c r="AA1571" s="80"/>
      <c r="AB1571" s="34"/>
      <c r="AC1571" s="34"/>
      <c r="AD1571" s="33"/>
      <c r="AE1571" s="33"/>
      <c r="AF1571" s="33"/>
      <c r="AG1571" s="33"/>
      <c r="AH1571" s="33"/>
      <c r="AI1571" s="33"/>
      <c r="AJ1571" s="33"/>
      <c r="AK1571" s="33"/>
      <c r="AL1571" s="33"/>
      <c r="AM1571" s="33"/>
      <c r="AN1571" s="33"/>
      <c r="AO1571" s="33"/>
    </row>
    <row r="1572" spans="1:41" ht="18.75" thickBot="1">
      <c r="A1572" s="250"/>
      <c r="B1572" s="250"/>
      <c r="C1572" s="250"/>
      <c r="D1572" s="250"/>
      <c r="E1572" s="250"/>
      <c r="F1572" s="250"/>
      <c r="G1572" s="250"/>
      <c r="H1572" s="250"/>
      <c r="I1572" s="250"/>
      <c r="J1572" s="250"/>
      <c r="K1572" s="250"/>
      <c r="L1572" s="250"/>
      <c r="M1572" s="33"/>
      <c r="N1572" s="33"/>
      <c r="O1572" s="77"/>
      <c r="P1572" s="77"/>
      <c r="Q1572" s="78"/>
      <c r="Z1572" s="79"/>
      <c r="AA1572" s="80"/>
      <c r="AB1572" s="34"/>
      <c r="AC1572" s="34"/>
      <c r="AD1572" s="33"/>
      <c r="AE1572" s="33"/>
      <c r="AF1572" s="33"/>
      <c r="AG1572" s="33"/>
      <c r="AH1572" s="33"/>
      <c r="AI1572" s="33"/>
      <c r="AJ1572" s="33"/>
      <c r="AK1572" s="33"/>
      <c r="AL1572" s="33"/>
      <c r="AM1572" s="33"/>
      <c r="AN1572" s="33"/>
      <c r="AO1572" s="33"/>
    </row>
    <row r="1573" spans="1:41" ht="24" thickBot="1">
      <c r="A1573" s="250"/>
      <c r="B1573" s="250"/>
      <c r="C1573" s="1333" t="s">
        <v>446</v>
      </c>
      <c r="D1573" s="1334"/>
      <c r="E1573" s="1334"/>
      <c r="F1573" s="1334"/>
      <c r="G1573" s="1334"/>
      <c r="H1573" s="1334"/>
      <c r="I1573" s="1334"/>
      <c r="J1573" s="1334"/>
      <c r="K1573" s="1334"/>
      <c r="L1573" s="1335"/>
      <c r="M1573" s="33"/>
      <c r="N1573" s="33"/>
      <c r="O1573" s="77"/>
      <c r="P1573" s="77"/>
      <c r="Q1573" s="78"/>
      <c r="Z1573" s="79"/>
      <c r="AA1573" s="80"/>
      <c r="AB1573" s="34"/>
      <c r="AC1573" s="34"/>
      <c r="AD1573" s="33"/>
      <c r="AE1573" s="33"/>
      <c r="AF1573" s="33"/>
      <c r="AG1573" s="33"/>
      <c r="AH1573" s="33"/>
      <c r="AI1573" s="33"/>
      <c r="AJ1573" s="33"/>
      <c r="AK1573" s="33"/>
      <c r="AL1573" s="33"/>
      <c r="AM1573" s="33"/>
      <c r="AN1573" s="33"/>
      <c r="AO1573" s="33"/>
    </row>
    <row r="1574" spans="1:41" ht="23.25">
      <c r="A1574" s="250"/>
      <c r="B1574" s="250"/>
      <c r="C1574" s="249"/>
      <c r="D1574" s="249"/>
      <c r="E1574" s="249"/>
      <c r="F1574" s="249"/>
      <c r="G1574" s="249"/>
      <c r="H1574" s="249"/>
      <c r="I1574" s="249"/>
      <c r="J1574" s="249"/>
      <c r="K1574" s="249"/>
      <c r="L1574" s="249"/>
      <c r="M1574" s="33"/>
      <c r="N1574" s="33"/>
      <c r="O1574" s="77"/>
      <c r="P1574" s="77"/>
      <c r="Q1574" s="78"/>
      <c r="Z1574" s="79"/>
      <c r="AA1574" s="80"/>
      <c r="AB1574" s="34"/>
      <c r="AC1574" s="34"/>
      <c r="AD1574" s="33"/>
      <c r="AE1574" s="33"/>
      <c r="AF1574" s="33"/>
      <c r="AG1574" s="33"/>
      <c r="AH1574" s="33"/>
      <c r="AI1574" s="33"/>
      <c r="AJ1574" s="33"/>
      <c r="AK1574" s="33"/>
      <c r="AL1574" s="33"/>
      <c r="AM1574" s="33"/>
      <c r="AN1574" s="33"/>
      <c r="AO1574" s="33"/>
    </row>
    <row r="1575" spans="1:41" ht="23.25">
      <c r="A1575" s="1295" t="s">
        <v>448</v>
      </c>
      <c r="B1575" s="1295"/>
      <c r="C1575" s="1295"/>
      <c r="D1575" s="1294" t="s">
        <v>380</v>
      </c>
      <c r="E1575" s="1294"/>
      <c r="F1575" s="1294"/>
      <c r="G1575" s="1294"/>
      <c r="H1575" s="1294"/>
      <c r="I1575" s="249"/>
      <c r="J1575" s="249"/>
      <c r="K1575" s="249" t="s">
        <v>449</v>
      </c>
      <c r="L1575" s="249"/>
      <c r="M1575" s="1295" t="s">
        <v>380</v>
      </c>
      <c r="N1575" s="1295"/>
      <c r="O1575" s="1292" t="str">
        <f>D1575</f>
        <v/>
      </c>
      <c r="P1575" s="1292"/>
      <c r="Q1575" s="78"/>
      <c r="Z1575" s="79"/>
      <c r="AA1575" s="80"/>
      <c r="AB1575" s="34"/>
      <c r="AC1575" s="34"/>
      <c r="AD1575" s="33"/>
      <c r="AE1575" s="33"/>
      <c r="AF1575" s="33"/>
      <c r="AG1575" s="33"/>
      <c r="AH1575" s="33"/>
      <c r="AI1575" s="33"/>
      <c r="AJ1575" s="33"/>
      <c r="AK1575" s="33"/>
      <c r="AL1575" s="33"/>
      <c r="AM1575" s="33"/>
      <c r="AN1575" s="33"/>
      <c r="AO1575" s="33"/>
    </row>
    <row r="1576" spans="1:41" ht="24" thickBot="1">
      <c r="A1576" s="1340" t="s">
        <v>450</v>
      </c>
      <c r="B1576" s="1340"/>
      <c r="C1576" s="1340"/>
      <c r="D1576" s="1340" t="s">
        <v>380</v>
      </c>
      <c r="E1576" s="1340"/>
      <c r="F1576" s="1340"/>
      <c r="G1576" s="1340"/>
      <c r="H1576" s="87"/>
      <c r="I1576" s="1340" t="s">
        <v>452</v>
      </c>
      <c r="J1576" s="1340"/>
      <c r="K1576" s="1340"/>
      <c r="L1576" s="1341" t="s">
        <v>380</v>
      </c>
      <c r="M1576" s="1341"/>
      <c r="N1576" s="1341"/>
      <c r="O1576" s="77"/>
      <c r="P1576" s="77"/>
      <c r="Q1576" s="78"/>
      <c r="Z1576" s="79"/>
      <c r="AA1576" s="80"/>
      <c r="AB1576" s="34"/>
      <c r="AC1576" s="34"/>
      <c r="AD1576" s="33"/>
      <c r="AE1576" s="33"/>
      <c r="AF1576" s="33"/>
      <c r="AG1576" s="33"/>
      <c r="AH1576" s="33"/>
      <c r="AI1576" s="33"/>
      <c r="AJ1576" s="33"/>
      <c r="AK1576" s="33"/>
      <c r="AL1576" s="33"/>
      <c r="AM1576" s="33"/>
      <c r="AN1576" s="33"/>
      <c r="AO1576" s="33"/>
    </row>
    <row r="1577" spans="1:41" ht="17.25" thickTop="1" thickBot="1">
      <c r="A1577" s="1318" t="s">
        <v>453</v>
      </c>
      <c r="B1577" s="1319"/>
      <c r="C1577" s="88" t="s">
        <v>380</v>
      </c>
      <c r="D1577" s="89" t="s">
        <v>380</v>
      </c>
      <c r="E1577" s="89" t="s">
        <v>380</v>
      </c>
      <c r="F1577" s="89" t="s">
        <v>380</v>
      </c>
      <c r="G1577" s="89" t="s">
        <v>380</v>
      </c>
      <c r="H1577" s="89" t="s">
        <v>380</v>
      </c>
      <c r="I1577" s="89" t="s">
        <v>380</v>
      </c>
      <c r="J1577" s="89" t="s">
        <v>380</v>
      </c>
      <c r="K1577" s="89" t="s">
        <v>380</v>
      </c>
      <c r="L1577" s="89" t="s">
        <v>380</v>
      </c>
      <c r="M1577" s="89" t="s">
        <v>380</v>
      </c>
      <c r="N1577" s="90" t="s">
        <v>380</v>
      </c>
      <c r="Z1577" s="79"/>
      <c r="AA1577" s="80"/>
      <c r="AB1577" s="34"/>
      <c r="AC1577" s="34"/>
      <c r="AD1577" s="33"/>
      <c r="AE1577" s="33"/>
      <c r="AF1577" s="33"/>
      <c r="AG1577" s="33"/>
      <c r="AH1577" s="33"/>
      <c r="AI1577" s="33"/>
      <c r="AJ1577" s="33"/>
      <c r="AK1577" s="33"/>
      <c r="AL1577" s="33"/>
      <c r="AM1577" s="33"/>
      <c r="AN1577" s="33"/>
      <c r="AO1577" s="33"/>
    </row>
    <row r="1578" spans="1:41" ht="24" thickBot="1">
      <c r="A1578" s="1329" t="s">
        <v>454</v>
      </c>
      <c r="B1578" s="1330"/>
      <c r="C1578" s="91" t="s">
        <v>380</v>
      </c>
      <c r="D1578" s="210" t="s">
        <v>380</v>
      </c>
      <c r="E1578" s="210" t="s">
        <v>380</v>
      </c>
      <c r="F1578" s="210" t="s">
        <v>380</v>
      </c>
      <c r="G1578" s="210" t="s">
        <v>380</v>
      </c>
      <c r="H1578" s="210" t="s">
        <v>380</v>
      </c>
      <c r="I1578" s="210" t="s">
        <v>380</v>
      </c>
      <c r="J1578" s="210" t="s">
        <v>380</v>
      </c>
      <c r="K1578" s="210" t="s">
        <v>380</v>
      </c>
      <c r="L1578" s="210" t="s">
        <v>380</v>
      </c>
      <c r="M1578" s="210" t="s">
        <v>380</v>
      </c>
      <c r="N1578" s="92" t="s">
        <v>380</v>
      </c>
      <c r="O1578" s="152"/>
      <c r="R1578" s="78"/>
      <c r="Z1578" s="79"/>
      <c r="AA1578" s="80"/>
      <c r="AB1578" s="34"/>
      <c r="AC1578" s="34"/>
      <c r="AD1578" s="33"/>
      <c r="AE1578" s="33"/>
      <c r="AF1578" s="33"/>
      <c r="AG1578" s="33"/>
      <c r="AH1578" s="33"/>
      <c r="AI1578" s="33"/>
      <c r="AJ1578" s="33"/>
      <c r="AK1578" s="33"/>
      <c r="AL1578" s="33"/>
      <c r="AM1578" s="33"/>
      <c r="AN1578" s="33"/>
      <c r="AO1578" s="33"/>
    </row>
    <row r="1579" spans="1:41" ht="24" thickBot="1">
      <c r="A1579" s="1329" t="s">
        <v>455</v>
      </c>
      <c r="B1579" s="1330"/>
      <c r="C1579" s="91" t="s">
        <v>380</v>
      </c>
      <c r="D1579" s="210" t="s">
        <v>380</v>
      </c>
      <c r="E1579" s="210" t="s">
        <v>380</v>
      </c>
      <c r="F1579" s="210" t="s">
        <v>380</v>
      </c>
      <c r="G1579" s="210" t="s">
        <v>380</v>
      </c>
      <c r="H1579" s="210" t="s">
        <v>380</v>
      </c>
      <c r="I1579" s="210" t="s">
        <v>380</v>
      </c>
      <c r="J1579" s="210" t="s">
        <v>380</v>
      </c>
      <c r="K1579" s="210" t="s">
        <v>380</v>
      </c>
      <c r="L1579" s="210" t="s">
        <v>380</v>
      </c>
      <c r="M1579" s="210" t="s">
        <v>380</v>
      </c>
      <c r="N1579" s="92" t="s">
        <v>380</v>
      </c>
      <c r="O1579" s="152"/>
      <c r="R1579" s="78"/>
      <c r="Z1579" s="79"/>
      <c r="AA1579" s="80"/>
      <c r="AB1579" s="34"/>
      <c r="AC1579" s="34"/>
      <c r="AD1579" s="33"/>
      <c r="AE1579" s="33"/>
      <c r="AF1579" s="33"/>
      <c r="AG1579" s="33"/>
      <c r="AH1579" s="33"/>
      <c r="AI1579" s="33"/>
      <c r="AJ1579" s="33"/>
      <c r="AK1579" s="33"/>
      <c r="AL1579" s="33"/>
      <c r="AM1579" s="33"/>
      <c r="AN1579" s="33"/>
      <c r="AO1579" s="33"/>
    </row>
    <row r="1580" spans="1:41" ht="24" thickBot="1">
      <c r="A1580" s="1327" t="s">
        <v>456</v>
      </c>
      <c r="B1580" s="1328"/>
      <c r="C1580" s="93" t="s">
        <v>380</v>
      </c>
      <c r="D1580" s="94" t="s">
        <v>380</v>
      </c>
      <c r="E1580" s="94" t="s">
        <v>380</v>
      </c>
      <c r="F1580" s="94" t="s">
        <v>380</v>
      </c>
      <c r="G1580" s="94" t="s">
        <v>380</v>
      </c>
      <c r="H1580" s="94" t="s">
        <v>380</v>
      </c>
      <c r="I1580" s="94" t="s">
        <v>380</v>
      </c>
      <c r="J1580" s="94" t="s">
        <v>380</v>
      </c>
      <c r="K1580" s="94" t="s">
        <v>380</v>
      </c>
      <c r="L1580" s="94" t="s">
        <v>380</v>
      </c>
      <c r="M1580" s="94" t="s">
        <v>380</v>
      </c>
      <c r="N1580" s="95" t="s">
        <v>380</v>
      </c>
      <c r="O1580" s="152"/>
      <c r="Z1580" s="79"/>
      <c r="AA1580" s="80"/>
      <c r="AB1580" s="34"/>
      <c r="AC1580" s="34"/>
      <c r="AD1580" s="33"/>
      <c r="AE1580" s="33"/>
      <c r="AF1580" s="33"/>
      <c r="AG1580" s="33"/>
      <c r="AH1580" s="33"/>
      <c r="AI1580" s="33"/>
      <c r="AJ1580" s="33"/>
      <c r="AK1580" s="33"/>
      <c r="AL1580" s="33"/>
      <c r="AM1580" s="33"/>
      <c r="AN1580" s="33"/>
      <c r="AO1580" s="33"/>
    </row>
    <row r="1581" spans="1:41" ht="21" thickTop="1">
      <c r="A1581" s="96"/>
      <c r="B1581" s="96"/>
      <c r="C1581" s="96"/>
      <c r="D1581" s="96"/>
      <c r="E1581" s="1326" t="s">
        <v>457</v>
      </c>
      <c r="F1581" s="1310"/>
      <c r="G1581" s="97">
        <v>18</v>
      </c>
      <c r="H1581" s="1310" t="s">
        <v>458</v>
      </c>
      <c r="I1581" s="1311"/>
      <c r="J1581" s="1310" t="s">
        <v>459</v>
      </c>
      <c r="K1581" s="1311"/>
      <c r="L1581" s="96"/>
      <c r="M1581" s="96"/>
      <c r="N1581" s="96"/>
      <c r="O1581" s="77"/>
      <c r="P1581" s="77"/>
      <c r="Q1581" s="78"/>
      <c r="Z1581" s="79"/>
      <c r="AA1581" s="80"/>
      <c r="AB1581" s="34"/>
      <c r="AC1581" s="34"/>
      <c r="AD1581" s="33"/>
      <c r="AE1581" s="33"/>
      <c r="AF1581" s="33"/>
      <c r="AG1581" s="33"/>
      <c r="AH1581" s="33"/>
      <c r="AI1581" s="33"/>
      <c r="AJ1581" s="33"/>
      <c r="AK1581" s="33"/>
      <c r="AL1581" s="33"/>
      <c r="AM1581" s="33"/>
      <c r="AN1581" s="33"/>
      <c r="AO1581" s="33"/>
    </row>
    <row r="1582" spans="1:41" ht="23.25">
      <c r="A1582" s="96"/>
      <c r="B1582" s="96"/>
      <c r="C1582" s="96"/>
      <c r="D1582" s="96"/>
      <c r="E1582" s="1307" t="s">
        <v>460</v>
      </c>
      <c r="F1582" s="1308"/>
      <c r="G1582" s="98">
        <v>0</v>
      </c>
      <c r="H1582" s="1312">
        <v>0</v>
      </c>
      <c r="I1582" s="1312"/>
      <c r="J1582" s="1312">
        <v>0</v>
      </c>
      <c r="K1582" s="1313"/>
      <c r="L1582" s="96"/>
      <c r="M1582" s="96"/>
      <c r="N1582" s="96"/>
      <c r="O1582" s="77"/>
      <c r="P1582" s="77"/>
      <c r="Q1582" s="78">
        <f>G1582+H1582+H1584+J1582</f>
        <v>0</v>
      </c>
      <c r="Z1582" s="79"/>
      <c r="AA1582" s="80"/>
      <c r="AB1582" s="34"/>
      <c r="AC1582" s="34"/>
      <c r="AD1582" s="33"/>
      <c r="AE1582" s="33"/>
      <c r="AF1582" s="33"/>
      <c r="AG1582" s="33"/>
      <c r="AH1582" s="33"/>
      <c r="AI1582" s="33"/>
      <c r="AJ1582" s="33"/>
      <c r="AK1582" s="33"/>
      <c r="AL1582" s="33"/>
      <c r="AM1582" s="33"/>
      <c r="AN1582" s="33"/>
      <c r="AO1582" s="33"/>
    </row>
    <row r="1583" spans="1:41" ht="20.25">
      <c r="A1583" s="96"/>
      <c r="B1583" s="96"/>
      <c r="C1583" s="96"/>
      <c r="D1583" s="96"/>
      <c r="E1583" s="1307" t="s">
        <v>461</v>
      </c>
      <c r="F1583" s="1308"/>
      <c r="G1583" s="99">
        <v>18</v>
      </c>
      <c r="H1583" s="1308" t="s">
        <v>462</v>
      </c>
      <c r="I1583" s="1308"/>
      <c r="J1583" s="1308" t="s">
        <v>463</v>
      </c>
      <c r="K1583" s="1309"/>
      <c r="L1583" s="96"/>
      <c r="M1583" s="96"/>
      <c r="N1583" s="96"/>
      <c r="O1583" s="77"/>
      <c r="P1583" s="77"/>
      <c r="Q1583" s="78"/>
      <c r="Z1583" s="79"/>
      <c r="AA1583" s="80"/>
      <c r="AB1583" s="34"/>
      <c r="AC1583" s="34"/>
      <c r="AD1583" s="33"/>
      <c r="AE1583" s="33"/>
      <c r="AF1583" s="33"/>
      <c r="AG1583" s="33"/>
      <c r="AH1583" s="33"/>
      <c r="AI1583" s="33"/>
      <c r="AJ1583" s="33"/>
      <c r="AK1583" s="33"/>
      <c r="AL1583" s="33"/>
      <c r="AM1583" s="33"/>
      <c r="AN1583" s="33"/>
      <c r="AO1583" s="33"/>
    </row>
    <row r="1584" spans="1:41" ht="24" thickBot="1">
      <c r="A1584" s="96"/>
      <c r="B1584" s="96"/>
      <c r="C1584" s="96"/>
      <c r="D1584" s="96"/>
      <c r="E1584" s="1303" t="s">
        <v>464</v>
      </c>
      <c r="F1584" s="1304"/>
      <c r="G1584" s="99">
        <v>0</v>
      </c>
      <c r="H1584" s="1305">
        <v>0</v>
      </c>
      <c r="I1584" s="1305"/>
      <c r="J1584" s="1305">
        <v>0</v>
      </c>
      <c r="K1584" s="1306"/>
      <c r="L1584" s="96"/>
      <c r="M1584" s="96"/>
      <c r="N1584" s="96"/>
      <c r="O1584" s="77"/>
      <c r="P1584" s="77"/>
      <c r="Q1584" s="78"/>
      <c r="Z1584" s="79"/>
      <c r="AA1584" s="80"/>
      <c r="AB1584" s="34"/>
      <c r="AC1584" s="34"/>
      <c r="AD1584" s="33"/>
      <c r="AE1584" s="33"/>
      <c r="AF1584" s="33"/>
      <c r="AG1584" s="33"/>
      <c r="AH1584" s="33"/>
      <c r="AI1584" s="33"/>
      <c r="AJ1584" s="33"/>
      <c r="AK1584" s="33"/>
      <c r="AL1584" s="33"/>
      <c r="AM1584" s="33"/>
      <c r="AN1584" s="33"/>
      <c r="AO1584" s="33"/>
    </row>
    <row r="1585" spans="1:41" ht="17.25" thickTop="1" thickBot="1">
      <c r="A1585" s="34"/>
      <c r="B1585" s="34"/>
      <c r="C1585" s="1299" t="s">
        <v>465</v>
      </c>
      <c r="D1585" s="1299"/>
      <c r="E1585" s="1299" t="s">
        <v>360</v>
      </c>
      <c r="F1585" s="1299"/>
      <c r="G1585" s="1302" t="s">
        <v>368</v>
      </c>
      <c r="H1585" s="1302"/>
      <c r="I1585" s="1302" t="s">
        <v>369</v>
      </c>
      <c r="J1585" s="1302"/>
      <c r="K1585" s="1302" t="s">
        <v>370</v>
      </c>
      <c r="L1585" s="1299"/>
      <c r="M1585" s="1299" t="s">
        <v>371</v>
      </c>
      <c r="N1585" s="1299"/>
      <c r="O1585" s="77"/>
      <c r="P1585" s="77"/>
      <c r="Q1585" s="78"/>
      <c r="Z1585" s="79"/>
      <c r="AA1585" s="80"/>
      <c r="AB1585" s="34"/>
      <c r="AC1585" s="34"/>
      <c r="AD1585" s="33"/>
      <c r="AE1585" s="33"/>
      <c r="AF1585" s="33"/>
      <c r="AG1585" s="33"/>
      <c r="AH1585" s="33"/>
      <c r="AI1585" s="33"/>
      <c r="AJ1585" s="33"/>
      <c r="AK1585" s="33"/>
      <c r="AL1585" s="33"/>
      <c r="AM1585" s="33"/>
      <c r="AN1585" s="33"/>
      <c r="AO1585" s="33"/>
    </row>
    <row r="1586" spans="1:41" ht="17.25" thickTop="1" thickBot="1">
      <c r="A1586" s="34"/>
      <c r="B1586" s="34"/>
      <c r="C1586" s="1299" t="s">
        <v>372</v>
      </c>
      <c r="D1586" s="1299"/>
      <c r="E1586" s="1297" t="s">
        <v>380</v>
      </c>
      <c r="F1586" s="1297"/>
      <c r="G1586" s="1297" t="s">
        <v>380</v>
      </c>
      <c r="H1586" s="1297"/>
      <c r="I1586" s="1297" t="s">
        <v>380</v>
      </c>
      <c r="J1586" s="1297"/>
      <c r="K1586" s="1297" t="s">
        <v>380</v>
      </c>
      <c r="L1586" s="1297"/>
      <c r="M1586" s="1297" t="s">
        <v>380</v>
      </c>
      <c r="N1586" s="1297"/>
      <c r="O1586" s="77"/>
      <c r="P1586" s="77"/>
      <c r="Q1586" s="78"/>
      <c r="Z1586" s="79"/>
      <c r="AA1586" s="80"/>
      <c r="AB1586" s="34"/>
      <c r="AC1586" s="34"/>
      <c r="AD1586" s="33"/>
      <c r="AE1586" s="33"/>
      <c r="AF1586" s="33"/>
      <c r="AG1586" s="33"/>
      <c r="AH1586" s="33"/>
      <c r="AI1586" s="33"/>
      <c r="AJ1586" s="33"/>
      <c r="AK1586" s="33"/>
      <c r="AL1586" s="33"/>
      <c r="AM1586" s="33"/>
      <c r="AN1586" s="33"/>
      <c r="AO1586" s="33"/>
    </row>
    <row r="1587" spans="1:41" ht="17.25" thickTop="1" thickBot="1">
      <c r="A1587" s="34"/>
      <c r="B1587" s="34"/>
      <c r="C1587" s="1299" t="s">
        <v>373</v>
      </c>
      <c r="D1587" s="1299"/>
      <c r="E1587" s="1297" t="s">
        <v>380</v>
      </c>
      <c r="F1587" s="1297"/>
      <c r="G1587" s="1297" t="s">
        <v>380</v>
      </c>
      <c r="H1587" s="1297"/>
      <c r="I1587" s="1297" t="s">
        <v>380</v>
      </c>
      <c r="J1587" s="1297"/>
      <c r="K1587" s="1297" t="s">
        <v>380</v>
      </c>
      <c r="L1587" s="1297"/>
      <c r="M1587" s="1297" t="s">
        <v>380</v>
      </c>
      <c r="N1587" s="1297"/>
      <c r="O1587" s="77"/>
      <c r="P1587" s="77"/>
      <c r="Q1587" s="78"/>
      <c r="Z1587" s="79"/>
      <c r="AA1587" s="80"/>
      <c r="AB1587" s="34"/>
      <c r="AC1587" s="34"/>
      <c r="AD1587" s="33"/>
      <c r="AE1587" s="33"/>
      <c r="AF1587" s="33"/>
      <c r="AG1587" s="33"/>
      <c r="AH1587" s="33"/>
      <c r="AI1587" s="33"/>
      <c r="AJ1587" s="33"/>
      <c r="AK1587" s="33"/>
      <c r="AL1587" s="33"/>
      <c r="AM1587" s="33"/>
      <c r="AN1587" s="33"/>
      <c r="AO1587" s="33"/>
    </row>
    <row r="1588" spans="1:41" ht="17.25" thickTop="1" thickBot="1">
      <c r="A1588" s="34"/>
      <c r="B1588" s="34"/>
      <c r="C1588" s="1299" t="s">
        <v>374</v>
      </c>
      <c r="D1588" s="1299"/>
      <c r="E1588" s="1297" t="s">
        <v>380</v>
      </c>
      <c r="F1588" s="1297"/>
      <c r="G1588" s="1297" t="s">
        <v>380</v>
      </c>
      <c r="H1588" s="1297"/>
      <c r="I1588" s="1297" t="s">
        <v>380</v>
      </c>
      <c r="J1588" s="1297"/>
      <c r="K1588" s="1297" t="s">
        <v>380</v>
      </c>
      <c r="L1588" s="1297"/>
      <c r="M1588" s="1297" t="s">
        <v>380</v>
      </c>
      <c r="N1588" s="1297"/>
      <c r="O1588" s="77"/>
      <c r="P1588" s="77"/>
      <c r="Q1588" s="78"/>
      <c r="Z1588" s="79"/>
      <c r="AA1588" s="80"/>
      <c r="AB1588" s="34"/>
      <c r="AC1588" s="34"/>
      <c r="AD1588" s="33"/>
      <c r="AE1588" s="33"/>
      <c r="AF1588" s="33"/>
      <c r="AG1588" s="33"/>
      <c r="AH1588" s="33"/>
      <c r="AI1588" s="33"/>
      <c r="AJ1588" s="33"/>
      <c r="AK1588" s="33"/>
      <c r="AL1588" s="33"/>
      <c r="AM1588" s="33"/>
      <c r="AN1588" s="33"/>
      <c r="AO1588" s="33"/>
    </row>
    <row r="1589" spans="1:41" ht="17.25" thickTop="1" thickBot="1">
      <c r="A1589" s="34"/>
      <c r="B1589" s="34"/>
      <c r="C1589" s="1299" t="s">
        <v>375</v>
      </c>
      <c r="D1589" s="1299"/>
      <c r="E1589" s="1297" t="s">
        <v>380</v>
      </c>
      <c r="F1589" s="1297"/>
      <c r="G1589" s="1297" t="s">
        <v>380</v>
      </c>
      <c r="H1589" s="1297"/>
      <c r="I1589" s="1297" t="s">
        <v>380</v>
      </c>
      <c r="J1589" s="1297"/>
      <c r="K1589" s="1297" t="s">
        <v>380</v>
      </c>
      <c r="L1589" s="1297"/>
      <c r="M1589" s="1297" t="s">
        <v>380</v>
      </c>
      <c r="N1589" s="1297"/>
      <c r="O1589" s="77"/>
      <c r="P1589" s="77"/>
      <c r="Q1589" s="78"/>
      <c r="Z1589" s="79"/>
      <c r="AA1589" s="80"/>
      <c r="AB1589" s="34"/>
      <c r="AC1589" s="34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</row>
    <row r="1590" spans="1:41" ht="17.25" thickTop="1" thickBot="1">
      <c r="A1590" s="34"/>
      <c r="B1590" s="34"/>
      <c r="C1590" s="101"/>
      <c r="D1590" s="101"/>
      <c r="E1590" s="33"/>
      <c r="F1590" s="33"/>
      <c r="G1590" s="33"/>
      <c r="H1590" s="33"/>
      <c r="I1590" s="33"/>
      <c r="J1590" s="33"/>
      <c r="K1590" s="34"/>
      <c r="L1590" s="34"/>
      <c r="M1590" s="33"/>
      <c r="N1590" s="33"/>
      <c r="O1590" s="77"/>
      <c r="P1590" s="77"/>
      <c r="Q1590" s="78"/>
      <c r="Z1590" s="79"/>
      <c r="AA1590" s="80"/>
      <c r="AB1590" s="34"/>
      <c r="AC1590" s="34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</row>
    <row r="1591" spans="1:41" ht="17.25" thickTop="1" thickBot="1">
      <c r="A1591" s="34"/>
      <c r="B1591" s="34"/>
      <c r="C1591" s="1299" t="s">
        <v>376</v>
      </c>
      <c r="D1591" s="1299"/>
      <c r="E1591" s="1297" t="s">
        <v>380</v>
      </c>
      <c r="F1591" s="1297"/>
      <c r="G1591" s="1297" t="s">
        <v>380</v>
      </c>
      <c r="H1591" s="1297"/>
      <c r="I1591" s="1297" t="s">
        <v>380</v>
      </c>
      <c r="J1591" s="1297"/>
      <c r="K1591" s="1297" t="s">
        <v>380</v>
      </c>
      <c r="L1591" s="1297"/>
      <c r="M1591" s="1297" t="s">
        <v>380</v>
      </c>
      <c r="N1591" s="1297"/>
      <c r="O1591" s="77"/>
      <c r="P1591" s="77"/>
      <c r="Q1591" s="78"/>
      <c r="Z1591" s="79"/>
      <c r="AA1591" s="80"/>
      <c r="AB1591" s="34"/>
      <c r="AC1591" s="34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</row>
    <row r="1592" spans="1:41" ht="17.25" thickTop="1" thickBot="1">
      <c r="A1592" s="34"/>
      <c r="B1592" s="34"/>
      <c r="C1592" s="1299" t="s">
        <v>377</v>
      </c>
      <c r="D1592" s="1299"/>
      <c r="E1592" s="1297" t="s">
        <v>380</v>
      </c>
      <c r="F1592" s="1297"/>
      <c r="G1592" s="1297" t="s">
        <v>380</v>
      </c>
      <c r="H1592" s="1297"/>
      <c r="I1592" s="1297" t="s">
        <v>380</v>
      </c>
      <c r="J1592" s="1297"/>
      <c r="K1592" s="1297" t="s">
        <v>380</v>
      </c>
      <c r="L1592" s="1297"/>
      <c r="M1592" s="1297" t="s">
        <v>380</v>
      </c>
      <c r="N1592" s="1297"/>
      <c r="O1592" s="77"/>
      <c r="P1592" s="77"/>
      <c r="Q1592" s="78"/>
      <c r="Z1592" s="79"/>
      <c r="AA1592" s="80"/>
      <c r="AB1592" s="34"/>
      <c r="AC1592" s="34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</row>
    <row r="1593" spans="1:41" ht="17.25" thickTop="1" thickBot="1">
      <c r="A1593" s="34"/>
      <c r="B1593" s="34"/>
      <c r="C1593" s="1299" t="s">
        <v>378</v>
      </c>
      <c r="D1593" s="1299"/>
      <c r="E1593" s="1297" t="s">
        <v>380</v>
      </c>
      <c r="F1593" s="1297"/>
      <c r="G1593" s="1297" t="s">
        <v>380</v>
      </c>
      <c r="H1593" s="1297"/>
      <c r="I1593" s="1297" t="s">
        <v>380</v>
      </c>
      <c r="J1593" s="1297"/>
      <c r="K1593" s="1297" t="s">
        <v>380</v>
      </c>
      <c r="L1593" s="1297"/>
      <c r="M1593" s="1297" t="s">
        <v>380</v>
      </c>
      <c r="N1593" s="1297"/>
      <c r="O1593" s="77"/>
      <c r="P1593" s="77"/>
      <c r="Q1593" s="78"/>
      <c r="Z1593" s="79"/>
      <c r="AA1593" s="80"/>
      <c r="AB1593" s="34"/>
      <c r="AC1593" s="34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</row>
    <row r="1594" spans="1:41" ht="17.25" thickTop="1" thickBot="1">
      <c r="A1594" s="34"/>
      <c r="B1594" s="34"/>
      <c r="C1594" s="1299" t="s">
        <v>379</v>
      </c>
      <c r="D1594" s="1299"/>
      <c r="E1594" s="1297" t="s">
        <v>380</v>
      </c>
      <c r="F1594" s="1297"/>
      <c r="G1594" s="1297" t="s">
        <v>380</v>
      </c>
      <c r="H1594" s="1297"/>
      <c r="I1594" s="1297" t="s">
        <v>380</v>
      </c>
      <c r="J1594" s="1297"/>
      <c r="K1594" s="1297" t="s">
        <v>380</v>
      </c>
      <c r="L1594" s="1297"/>
      <c r="M1594" s="1297" t="s">
        <v>380</v>
      </c>
      <c r="N1594" s="1297"/>
      <c r="O1594" s="77"/>
      <c r="P1594" s="77"/>
      <c r="Q1594" s="78"/>
      <c r="Z1594" s="79"/>
      <c r="AA1594" s="80"/>
      <c r="AB1594" s="34"/>
      <c r="AC1594" s="34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</row>
    <row r="1595" spans="1:41" ht="17.25" thickTop="1" thickBot="1">
      <c r="A1595" s="34"/>
      <c r="B1595" s="34"/>
      <c r="C1595" s="33"/>
      <c r="D1595" s="33"/>
      <c r="E1595" s="33"/>
      <c r="F1595" s="33"/>
      <c r="G1595" s="33"/>
      <c r="H1595" s="33"/>
      <c r="I1595" s="33" t="s">
        <v>494</v>
      </c>
      <c r="J1595" s="33"/>
      <c r="K1595" s="34"/>
      <c r="L1595" s="34"/>
      <c r="M1595" s="33"/>
      <c r="N1595" s="33"/>
      <c r="O1595" s="77"/>
      <c r="P1595" s="77"/>
      <c r="Q1595" s="78"/>
      <c r="Z1595" s="79"/>
      <c r="AA1595" s="80"/>
      <c r="AB1595" s="34"/>
      <c r="AC1595" s="34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</row>
    <row r="1596" spans="1:41" ht="19.5" thickTop="1" thickBot="1">
      <c r="A1596" s="1321" t="s">
        <v>467</v>
      </c>
      <c r="B1596" s="1322"/>
      <c r="C1596" s="1323" t="s">
        <v>380</v>
      </c>
      <c r="D1596" s="1323"/>
      <c r="E1596" s="1323" t="s">
        <v>380</v>
      </c>
      <c r="F1596" s="1323"/>
      <c r="G1596" s="250"/>
      <c r="H1596" s="250" t="s">
        <v>468</v>
      </c>
      <c r="I1596" s="1295" t="s">
        <v>402</v>
      </c>
      <c r="J1596" s="1295"/>
      <c r="K1596" s="1295"/>
      <c r="L1596" s="102" t="s">
        <v>403</v>
      </c>
      <c r="M1596" s="1331">
        <v>42610.363814699071</v>
      </c>
      <c r="N1596" s="1331"/>
      <c r="O1596" s="77"/>
      <c r="P1596" s="77"/>
      <c r="Q1596" s="78"/>
      <c r="Z1596" s="79"/>
      <c r="AA1596" s="80"/>
      <c r="AB1596" s="34"/>
      <c r="AC1596" s="34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</row>
    <row r="1597" spans="1:41" ht="19.5" thickTop="1" thickBot="1">
      <c r="A1597" s="1321" t="s">
        <v>469</v>
      </c>
      <c r="B1597" s="1322"/>
      <c r="C1597" s="1323" t="s">
        <v>380</v>
      </c>
      <c r="D1597" s="1323"/>
      <c r="E1597" s="1323" t="s">
        <v>380</v>
      </c>
      <c r="F1597" s="1323"/>
      <c r="G1597" s="250"/>
      <c r="H1597" s="250"/>
      <c r="I1597" s="250"/>
      <c r="J1597" s="250"/>
      <c r="K1597" s="102"/>
      <c r="L1597" s="102"/>
      <c r="M1597" s="33"/>
      <c r="N1597" s="33"/>
      <c r="O1597" s="77"/>
      <c r="P1597" s="77"/>
      <c r="Q1597" s="78"/>
      <c r="Z1597" s="79"/>
      <c r="AA1597" s="80"/>
      <c r="AB1597" s="34"/>
      <c r="AC1597" s="34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</row>
    <row r="1598" spans="1:41" ht="19.5" thickTop="1" thickBot="1">
      <c r="A1598" s="1321" t="s">
        <v>470</v>
      </c>
      <c r="B1598" s="1322"/>
      <c r="C1598" s="1323" t="s">
        <v>380</v>
      </c>
      <c r="D1598" s="1323"/>
      <c r="E1598" s="1323" t="s">
        <v>380</v>
      </c>
      <c r="F1598" s="1323"/>
      <c r="G1598" s="250"/>
      <c r="H1598" s="250"/>
      <c r="I1598" s="250"/>
      <c r="J1598" s="250" t="s">
        <v>471</v>
      </c>
      <c r="K1598" s="102"/>
      <c r="L1598" s="102"/>
      <c r="M1598" s="33"/>
      <c r="N1598" s="33"/>
      <c r="O1598" s="77"/>
      <c r="P1598" s="77"/>
      <c r="Q1598" s="78"/>
      <c r="Z1598" s="79"/>
      <c r="AA1598" s="80"/>
      <c r="AB1598" s="34"/>
      <c r="AC1598" s="34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</row>
    <row r="1599" spans="1:41" ht="24" thickTop="1">
      <c r="A1599" s="34"/>
      <c r="B1599" s="34"/>
      <c r="C1599" s="33"/>
      <c r="D1599" s="33"/>
      <c r="E1599" s="33"/>
      <c r="F1599" s="33"/>
      <c r="G1599" s="33"/>
      <c r="H1599" s="103" t="s">
        <v>406</v>
      </c>
      <c r="I1599" s="33"/>
      <c r="J1599" s="34"/>
      <c r="K1599" s="34"/>
      <c r="L1599" s="33"/>
      <c r="M1599" s="33"/>
      <c r="N1599" s="104"/>
      <c r="O1599" s="77"/>
      <c r="P1599" s="77"/>
      <c r="Q1599" s="78"/>
      <c r="Z1599" s="79"/>
      <c r="AA1599" s="80"/>
      <c r="AB1599" s="34"/>
      <c r="AC1599" s="34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</row>
    <row r="1600" spans="1:41" ht="18">
      <c r="A1600" s="1295" t="s">
        <v>78</v>
      </c>
      <c r="B1600" s="1295"/>
      <c r="C1600" s="1295"/>
      <c r="D1600" s="1295"/>
      <c r="E1600" s="1295"/>
      <c r="F1600" s="1295"/>
      <c r="G1600" s="1295"/>
      <c r="H1600" s="1295"/>
      <c r="I1600" s="1295"/>
      <c r="J1600" s="1295"/>
      <c r="K1600" s="1295"/>
      <c r="L1600" s="1295"/>
      <c r="M1600" s="1295"/>
      <c r="N1600" s="1295"/>
      <c r="O1600" s="77"/>
      <c r="P1600" s="77"/>
      <c r="Q1600" s="78"/>
      <c r="Z1600" s="79"/>
      <c r="AA1600" s="80"/>
      <c r="AB1600" s="34"/>
      <c r="AC1600" s="34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</row>
    <row r="1601" spans="1:41" ht="18">
      <c r="A1601" s="1295" t="s">
        <v>79</v>
      </c>
      <c r="B1601" s="1295"/>
      <c r="C1601" s="1295"/>
      <c r="D1601" s="1295"/>
      <c r="E1601" s="1295"/>
      <c r="F1601" s="1295"/>
      <c r="G1601" s="1295"/>
      <c r="H1601" s="1295"/>
      <c r="I1601" s="1295"/>
      <c r="J1601" s="1295"/>
      <c r="K1601" s="1295"/>
      <c r="L1601" s="1295"/>
      <c r="M1601" s="1295"/>
      <c r="N1601" s="1295"/>
      <c r="O1601" s="77"/>
      <c r="P1601" s="77"/>
      <c r="Q1601" s="78"/>
      <c r="Z1601" s="79"/>
      <c r="AA1601" s="80"/>
      <c r="AB1601" s="34"/>
      <c r="AC1601" s="34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</row>
    <row r="1602" spans="1:41" ht="18">
      <c r="A1602" s="168" t="s">
        <v>220</v>
      </c>
      <c r="B1602" s="250"/>
      <c r="C1602" s="250"/>
      <c r="D1602" s="250"/>
      <c r="E1602" s="250"/>
      <c r="F1602" s="250"/>
      <c r="G1602" s="250"/>
      <c r="H1602" s="250"/>
      <c r="I1602" s="250"/>
      <c r="J1602" s="250"/>
      <c r="K1602" s="250"/>
      <c r="L1602" s="250"/>
      <c r="M1602" s="33"/>
      <c r="N1602" s="33"/>
      <c r="O1602" s="77"/>
      <c r="P1602" s="77"/>
      <c r="Q1602" s="78"/>
      <c r="Z1602" s="79"/>
      <c r="AA1602" s="80"/>
      <c r="AB1602" s="34"/>
      <c r="AC1602" s="34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</row>
    <row r="1603" spans="1:41" ht="18">
      <c r="A1603" s="168" t="s">
        <v>444</v>
      </c>
      <c r="B1603" s="250"/>
      <c r="C1603" s="250"/>
      <c r="D1603" s="250"/>
      <c r="E1603" s="250"/>
      <c r="F1603" s="250"/>
      <c r="G1603" s="250"/>
      <c r="H1603" s="250"/>
      <c r="I1603" s="250"/>
      <c r="J1603" s="250"/>
      <c r="K1603" s="250"/>
      <c r="L1603" s="250"/>
      <c r="M1603" s="33"/>
      <c r="N1603" s="33"/>
      <c r="O1603" s="77"/>
      <c r="P1603" s="77"/>
      <c r="Q1603" s="78"/>
      <c r="Z1603" s="79"/>
      <c r="AA1603" s="80"/>
      <c r="AB1603" s="34"/>
      <c r="AC1603" s="34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</row>
    <row r="1604" spans="1:41" ht="18.75" thickBot="1">
      <c r="A1604" s="250"/>
      <c r="B1604" s="250"/>
      <c r="C1604" s="250"/>
      <c r="D1604" s="250"/>
      <c r="E1604" s="250"/>
      <c r="F1604" s="250"/>
      <c r="G1604" s="250"/>
      <c r="H1604" s="250"/>
      <c r="I1604" s="250"/>
      <c r="J1604" s="250"/>
      <c r="K1604" s="250"/>
      <c r="L1604" s="250"/>
      <c r="M1604" s="33"/>
      <c r="N1604" s="33"/>
      <c r="O1604" s="77"/>
      <c r="P1604" s="77"/>
      <c r="Q1604" s="78"/>
      <c r="Z1604" s="79"/>
      <c r="AA1604" s="80"/>
      <c r="AB1604" s="34"/>
      <c r="AC1604" s="34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</row>
    <row r="1605" spans="1:41" ht="24" thickBot="1">
      <c r="A1605" s="250"/>
      <c r="B1605" s="250"/>
      <c r="C1605" s="1333" t="s">
        <v>446</v>
      </c>
      <c r="D1605" s="1334"/>
      <c r="E1605" s="1334"/>
      <c r="F1605" s="1334"/>
      <c r="G1605" s="1334"/>
      <c r="H1605" s="1334"/>
      <c r="I1605" s="1334"/>
      <c r="J1605" s="1334"/>
      <c r="K1605" s="1334"/>
      <c r="L1605" s="1335"/>
      <c r="M1605" s="33"/>
      <c r="N1605" s="33"/>
      <c r="O1605" s="77"/>
      <c r="P1605" s="77"/>
      <c r="Q1605" s="78"/>
      <c r="Z1605" s="79"/>
      <c r="AA1605" s="80"/>
      <c r="AB1605" s="34"/>
      <c r="AC1605" s="34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</row>
    <row r="1606" spans="1:41" ht="23.25">
      <c r="A1606" s="250"/>
      <c r="B1606" s="250"/>
      <c r="C1606" s="249"/>
      <c r="D1606" s="249"/>
      <c r="E1606" s="249"/>
      <c r="F1606" s="249"/>
      <c r="G1606" s="249"/>
      <c r="H1606" s="249"/>
      <c r="I1606" s="249"/>
      <c r="J1606" s="249"/>
      <c r="K1606" s="249"/>
      <c r="L1606" s="249"/>
      <c r="M1606" s="33"/>
      <c r="N1606" s="33"/>
      <c r="O1606" s="77"/>
      <c r="P1606" s="77"/>
      <c r="Q1606" s="78"/>
      <c r="Z1606" s="79"/>
      <c r="AA1606" s="80"/>
      <c r="AB1606" s="34"/>
      <c r="AC1606" s="34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</row>
    <row r="1607" spans="1:41" ht="23.25">
      <c r="A1607" s="1295" t="s">
        <v>448</v>
      </c>
      <c r="B1607" s="1295"/>
      <c r="C1607" s="1295"/>
      <c r="D1607" s="1294" t="s">
        <v>380</v>
      </c>
      <c r="E1607" s="1294"/>
      <c r="F1607" s="1294"/>
      <c r="G1607" s="1294"/>
      <c r="H1607" s="1294"/>
      <c r="I1607" s="249"/>
      <c r="J1607" s="249"/>
      <c r="K1607" s="249" t="s">
        <v>449</v>
      </c>
      <c r="L1607" s="249"/>
      <c r="M1607" s="1295" t="s">
        <v>380</v>
      </c>
      <c r="N1607" s="1295"/>
      <c r="O1607" s="1292" t="str">
        <f>D1607</f>
        <v/>
      </c>
      <c r="P1607" s="1292"/>
      <c r="Q1607" s="78"/>
      <c r="Z1607" s="79"/>
      <c r="AA1607" s="80"/>
      <c r="AB1607" s="34"/>
      <c r="AC1607" s="34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</row>
    <row r="1608" spans="1:41" ht="24" thickBot="1">
      <c r="A1608" s="1340" t="s">
        <v>450</v>
      </c>
      <c r="B1608" s="1340"/>
      <c r="C1608" s="1340"/>
      <c r="D1608" s="1340" t="s">
        <v>380</v>
      </c>
      <c r="E1608" s="1340"/>
      <c r="F1608" s="1340"/>
      <c r="G1608" s="1340"/>
      <c r="H1608" s="87"/>
      <c r="I1608" s="1340" t="s">
        <v>452</v>
      </c>
      <c r="J1608" s="1340"/>
      <c r="K1608" s="1340"/>
      <c r="L1608" s="1341" t="s">
        <v>380</v>
      </c>
      <c r="M1608" s="1341"/>
      <c r="N1608" s="1341"/>
      <c r="O1608" s="77"/>
      <c r="P1608" s="77"/>
      <c r="Q1608" s="78"/>
      <c r="Z1608" s="79"/>
      <c r="AA1608" s="80"/>
      <c r="AB1608" s="34"/>
      <c r="AC1608" s="34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</row>
    <row r="1609" spans="1:41" ht="17.25" thickTop="1" thickBot="1">
      <c r="A1609" s="1318" t="s">
        <v>453</v>
      </c>
      <c r="B1609" s="1319"/>
      <c r="C1609" s="88" t="s">
        <v>380</v>
      </c>
      <c r="D1609" s="89" t="s">
        <v>380</v>
      </c>
      <c r="E1609" s="89" t="s">
        <v>380</v>
      </c>
      <c r="F1609" s="89" t="s">
        <v>380</v>
      </c>
      <c r="G1609" s="89" t="s">
        <v>380</v>
      </c>
      <c r="H1609" s="89" t="s">
        <v>380</v>
      </c>
      <c r="I1609" s="89" t="s">
        <v>380</v>
      </c>
      <c r="J1609" s="89" t="s">
        <v>380</v>
      </c>
      <c r="K1609" s="89" t="s">
        <v>380</v>
      </c>
      <c r="L1609" s="89" t="s">
        <v>380</v>
      </c>
      <c r="M1609" s="89" t="s">
        <v>380</v>
      </c>
      <c r="N1609" s="90" t="s">
        <v>380</v>
      </c>
      <c r="Z1609" s="79"/>
      <c r="AA1609" s="80"/>
      <c r="AB1609" s="34"/>
      <c r="AC1609" s="34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</row>
    <row r="1610" spans="1:41" ht="24" thickBot="1">
      <c r="A1610" s="1329" t="s">
        <v>454</v>
      </c>
      <c r="B1610" s="1330"/>
      <c r="C1610" s="91" t="s">
        <v>380</v>
      </c>
      <c r="D1610" s="210" t="s">
        <v>380</v>
      </c>
      <c r="E1610" s="210" t="s">
        <v>380</v>
      </c>
      <c r="F1610" s="210" t="s">
        <v>380</v>
      </c>
      <c r="G1610" s="210" t="s">
        <v>380</v>
      </c>
      <c r="H1610" s="210" t="s">
        <v>380</v>
      </c>
      <c r="I1610" s="210" t="s">
        <v>380</v>
      </c>
      <c r="J1610" s="210" t="s">
        <v>380</v>
      </c>
      <c r="K1610" s="210" t="s">
        <v>380</v>
      </c>
      <c r="L1610" s="210" t="s">
        <v>380</v>
      </c>
      <c r="M1610" s="210" t="s">
        <v>380</v>
      </c>
      <c r="N1610" s="92" t="s">
        <v>380</v>
      </c>
      <c r="O1610" s="152"/>
      <c r="R1610" s="78"/>
      <c r="Z1610" s="79"/>
      <c r="AA1610" s="80"/>
      <c r="AB1610" s="34"/>
      <c r="AC1610" s="34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</row>
    <row r="1611" spans="1:41" ht="24" thickBot="1">
      <c r="A1611" s="1329" t="s">
        <v>455</v>
      </c>
      <c r="B1611" s="1330"/>
      <c r="C1611" s="91" t="s">
        <v>380</v>
      </c>
      <c r="D1611" s="210" t="s">
        <v>380</v>
      </c>
      <c r="E1611" s="210" t="s">
        <v>380</v>
      </c>
      <c r="F1611" s="210" t="s">
        <v>380</v>
      </c>
      <c r="G1611" s="210" t="s">
        <v>380</v>
      </c>
      <c r="H1611" s="210" t="s">
        <v>380</v>
      </c>
      <c r="I1611" s="210" t="s">
        <v>380</v>
      </c>
      <c r="J1611" s="210" t="s">
        <v>380</v>
      </c>
      <c r="K1611" s="210" t="s">
        <v>380</v>
      </c>
      <c r="L1611" s="210" t="s">
        <v>380</v>
      </c>
      <c r="M1611" s="210" t="s">
        <v>380</v>
      </c>
      <c r="N1611" s="92" t="s">
        <v>380</v>
      </c>
      <c r="O1611" s="152"/>
      <c r="R1611" s="78"/>
      <c r="Z1611" s="79"/>
      <c r="AA1611" s="80"/>
      <c r="AB1611" s="34"/>
      <c r="AC1611" s="34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</row>
    <row r="1612" spans="1:41" ht="24" thickBot="1">
      <c r="A1612" s="1327" t="s">
        <v>456</v>
      </c>
      <c r="B1612" s="1328"/>
      <c r="C1612" s="93" t="s">
        <v>380</v>
      </c>
      <c r="D1612" s="94" t="s">
        <v>380</v>
      </c>
      <c r="E1612" s="94" t="s">
        <v>380</v>
      </c>
      <c r="F1612" s="94" t="s">
        <v>380</v>
      </c>
      <c r="G1612" s="94" t="s">
        <v>380</v>
      </c>
      <c r="H1612" s="94" t="s">
        <v>380</v>
      </c>
      <c r="I1612" s="94" t="s">
        <v>380</v>
      </c>
      <c r="J1612" s="94" t="s">
        <v>380</v>
      </c>
      <c r="K1612" s="94" t="s">
        <v>380</v>
      </c>
      <c r="L1612" s="94" t="s">
        <v>380</v>
      </c>
      <c r="M1612" s="94" t="s">
        <v>380</v>
      </c>
      <c r="N1612" s="95" t="s">
        <v>380</v>
      </c>
      <c r="O1612" s="152"/>
      <c r="Z1612" s="79"/>
      <c r="AA1612" s="80"/>
      <c r="AB1612" s="34"/>
      <c r="AC1612" s="34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</row>
    <row r="1613" spans="1:41" ht="21" thickTop="1">
      <c r="A1613" s="96"/>
      <c r="B1613" s="96"/>
      <c r="C1613" s="96"/>
      <c r="D1613" s="96"/>
      <c r="E1613" s="1326" t="s">
        <v>457</v>
      </c>
      <c r="F1613" s="1310"/>
      <c r="G1613" s="97">
        <v>18</v>
      </c>
      <c r="H1613" s="1310" t="s">
        <v>458</v>
      </c>
      <c r="I1613" s="1311"/>
      <c r="J1613" s="1310" t="s">
        <v>459</v>
      </c>
      <c r="K1613" s="1311"/>
      <c r="L1613" s="96"/>
      <c r="M1613" s="96"/>
      <c r="N1613" s="96"/>
      <c r="O1613" s="77"/>
      <c r="P1613" s="77"/>
      <c r="Q1613" s="78"/>
      <c r="Z1613" s="79"/>
      <c r="AA1613" s="80"/>
      <c r="AB1613" s="34"/>
      <c r="AC1613" s="34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</row>
    <row r="1614" spans="1:41" ht="23.25">
      <c r="A1614" s="96"/>
      <c r="B1614" s="96"/>
      <c r="C1614" s="96"/>
      <c r="D1614" s="96"/>
      <c r="E1614" s="1307" t="s">
        <v>460</v>
      </c>
      <c r="F1614" s="1308"/>
      <c r="G1614" s="98">
        <v>0</v>
      </c>
      <c r="H1614" s="1312">
        <v>0</v>
      </c>
      <c r="I1614" s="1312"/>
      <c r="J1614" s="1312">
        <v>0</v>
      </c>
      <c r="K1614" s="1313"/>
      <c r="L1614" s="96"/>
      <c r="M1614" s="96"/>
      <c r="N1614" s="96"/>
      <c r="O1614" s="77"/>
      <c r="P1614" s="77"/>
      <c r="Q1614" s="78">
        <f>G1614+H1614+H1616+J1614</f>
        <v>0</v>
      </c>
      <c r="Z1614" s="79"/>
      <c r="AA1614" s="80"/>
      <c r="AB1614" s="34"/>
      <c r="AC1614" s="34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</row>
    <row r="1615" spans="1:41" ht="20.25">
      <c r="A1615" s="96"/>
      <c r="B1615" s="96"/>
      <c r="C1615" s="96"/>
      <c r="D1615" s="96"/>
      <c r="E1615" s="1307" t="s">
        <v>461</v>
      </c>
      <c r="F1615" s="1308"/>
      <c r="G1615" s="99">
        <v>18</v>
      </c>
      <c r="H1615" s="1308" t="s">
        <v>462</v>
      </c>
      <c r="I1615" s="1308"/>
      <c r="J1615" s="1308" t="s">
        <v>463</v>
      </c>
      <c r="K1615" s="1309"/>
      <c r="L1615" s="96"/>
      <c r="M1615" s="96"/>
      <c r="N1615" s="96"/>
      <c r="O1615" s="77"/>
      <c r="P1615" s="77"/>
      <c r="Q1615" s="78"/>
      <c r="Z1615" s="79"/>
      <c r="AA1615" s="80"/>
      <c r="AB1615" s="34"/>
      <c r="AC1615" s="34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</row>
    <row r="1616" spans="1:41" ht="24" thickBot="1">
      <c r="A1616" s="96"/>
      <c r="B1616" s="96"/>
      <c r="C1616" s="96"/>
      <c r="D1616" s="96"/>
      <c r="E1616" s="1303" t="s">
        <v>464</v>
      </c>
      <c r="F1616" s="1304"/>
      <c r="G1616" s="99">
        <v>0</v>
      </c>
      <c r="H1616" s="1305">
        <v>0</v>
      </c>
      <c r="I1616" s="1305"/>
      <c r="J1616" s="1305">
        <v>0</v>
      </c>
      <c r="K1616" s="1306"/>
      <c r="L1616" s="96"/>
      <c r="M1616" s="96"/>
      <c r="N1616" s="96"/>
      <c r="O1616" s="77"/>
      <c r="P1616" s="77"/>
      <c r="Q1616" s="78"/>
      <c r="Z1616" s="79"/>
      <c r="AA1616" s="80"/>
      <c r="AB1616" s="34"/>
      <c r="AC1616" s="34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</row>
    <row r="1617" spans="1:41" ht="17.25" thickTop="1" thickBot="1">
      <c r="A1617" s="34"/>
      <c r="B1617" s="34"/>
      <c r="C1617" s="1299" t="s">
        <v>465</v>
      </c>
      <c r="D1617" s="1299"/>
      <c r="E1617" s="1299" t="s">
        <v>360</v>
      </c>
      <c r="F1617" s="1299"/>
      <c r="G1617" s="1302" t="s">
        <v>368</v>
      </c>
      <c r="H1617" s="1302"/>
      <c r="I1617" s="1302" t="s">
        <v>369</v>
      </c>
      <c r="J1617" s="1302"/>
      <c r="K1617" s="1302" t="s">
        <v>370</v>
      </c>
      <c r="L1617" s="1299"/>
      <c r="M1617" s="1299" t="s">
        <v>371</v>
      </c>
      <c r="N1617" s="1299"/>
      <c r="O1617" s="77"/>
      <c r="P1617" s="77"/>
      <c r="Q1617" s="78"/>
      <c r="Z1617" s="79"/>
      <c r="AA1617" s="80"/>
      <c r="AB1617" s="34"/>
      <c r="AC1617" s="34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</row>
    <row r="1618" spans="1:41" ht="17.25" thickTop="1" thickBot="1">
      <c r="A1618" s="34"/>
      <c r="B1618" s="34"/>
      <c r="C1618" s="1299" t="s">
        <v>372</v>
      </c>
      <c r="D1618" s="1299"/>
      <c r="E1618" s="1297" t="s">
        <v>380</v>
      </c>
      <c r="F1618" s="1297"/>
      <c r="G1618" s="1297" t="s">
        <v>380</v>
      </c>
      <c r="H1618" s="1297"/>
      <c r="I1618" s="1297" t="s">
        <v>380</v>
      </c>
      <c r="J1618" s="1297"/>
      <c r="K1618" s="1297" t="s">
        <v>380</v>
      </c>
      <c r="L1618" s="1297"/>
      <c r="M1618" s="1297" t="s">
        <v>380</v>
      </c>
      <c r="N1618" s="1297"/>
      <c r="O1618" s="77"/>
      <c r="P1618" s="77"/>
      <c r="Q1618" s="78"/>
      <c r="Z1618" s="79"/>
      <c r="AA1618" s="80"/>
      <c r="AB1618" s="34"/>
      <c r="AC1618" s="34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</row>
    <row r="1619" spans="1:41" ht="17.25" thickTop="1" thickBot="1">
      <c r="A1619" s="34"/>
      <c r="B1619" s="34"/>
      <c r="C1619" s="1299" t="s">
        <v>373</v>
      </c>
      <c r="D1619" s="1299"/>
      <c r="E1619" s="1297" t="s">
        <v>380</v>
      </c>
      <c r="F1619" s="1297"/>
      <c r="G1619" s="1297" t="s">
        <v>380</v>
      </c>
      <c r="H1619" s="1297"/>
      <c r="I1619" s="1297" t="s">
        <v>380</v>
      </c>
      <c r="J1619" s="1297"/>
      <c r="K1619" s="1297" t="s">
        <v>380</v>
      </c>
      <c r="L1619" s="1297"/>
      <c r="M1619" s="1297" t="s">
        <v>380</v>
      </c>
      <c r="N1619" s="1297"/>
      <c r="O1619" s="77"/>
      <c r="P1619" s="77"/>
      <c r="Q1619" s="78"/>
      <c r="Z1619" s="79"/>
      <c r="AA1619" s="80"/>
      <c r="AB1619" s="34"/>
      <c r="AC1619" s="34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</row>
    <row r="1620" spans="1:41" ht="17.25" thickTop="1" thickBot="1">
      <c r="A1620" s="34"/>
      <c r="B1620" s="34"/>
      <c r="C1620" s="1299" t="s">
        <v>374</v>
      </c>
      <c r="D1620" s="1299"/>
      <c r="E1620" s="1297" t="s">
        <v>380</v>
      </c>
      <c r="F1620" s="1297"/>
      <c r="G1620" s="1297" t="s">
        <v>380</v>
      </c>
      <c r="H1620" s="1297"/>
      <c r="I1620" s="1297" t="s">
        <v>380</v>
      </c>
      <c r="J1620" s="1297"/>
      <c r="K1620" s="1297" t="s">
        <v>380</v>
      </c>
      <c r="L1620" s="1297"/>
      <c r="M1620" s="1297" t="s">
        <v>380</v>
      </c>
      <c r="N1620" s="1297"/>
      <c r="O1620" s="77"/>
      <c r="P1620" s="77"/>
      <c r="Q1620" s="78"/>
      <c r="Z1620" s="79"/>
      <c r="AA1620" s="80"/>
      <c r="AB1620" s="34"/>
      <c r="AC1620" s="34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</row>
    <row r="1621" spans="1:41" ht="17.25" thickTop="1" thickBot="1">
      <c r="A1621" s="34"/>
      <c r="B1621" s="34"/>
      <c r="C1621" s="1299" t="s">
        <v>375</v>
      </c>
      <c r="D1621" s="1299"/>
      <c r="E1621" s="1297" t="s">
        <v>380</v>
      </c>
      <c r="F1621" s="1297"/>
      <c r="G1621" s="1297" t="s">
        <v>380</v>
      </c>
      <c r="H1621" s="1297"/>
      <c r="I1621" s="1297" t="s">
        <v>380</v>
      </c>
      <c r="J1621" s="1297"/>
      <c r="K1621" s="1297" t="s">
        <v>380</v>
      </c>
      <c r="L1621" s="1297"/>
      <c r="M1621" s="1297" t="s">
        <v>380</v>
      </c>
      <c r="N1621" s="1297"/>
      <c r="O1621" s="77"/>
      <c r="P1621" s="77"/>
      <c r="Q1621" s="78"/>
      <c r="Z1621" s="79"/>
      <c r="AA1621" s="80"/>
      <c r="AB1621" s="34"/>
      <c r="AC1621" s="34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</row>
    <row r="1622" spans="1:41" ht="17.25" thickTop="1" thickBot="1">
      <c r="A1622" s="34"/>
      <c r="B1622" s="34"/>
      <c r="C1622" s="101"/>
      <c r="D1622" s="101"/>
      <c r="E1622" s="33"/>
      <c r="F1622" s="33"/>
      <c r="G1622" s="33"/>
      <c r="H1622" s="33"/>
      <c r="I1622" s="33"/>
      <c r="J1622" s="33"/>
      <c r="K1622" s="34"/>
      <c r="L1622" s="34"/>
      <c r="M1622" s="33"/>
      <c r="N1622" s="33"/>
      <c r="O1622" s="77"/>
      <c r="P1622" s="77"/>
      <c r="Q1622" s="78"/>
      <c r="Z1622" s="79"/>
      <c r="AA1622" s="80"/>
      <c r="AB1622" s="34"/>
      <c r="AC1622" s="34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</row>
    <row r="1623" spans="1:41" ht="17.25" thickTop="1" thickBot="1">
      <c r="A1623" s="34"/>
      <c r="B1623" s="34"/>
      <c r="C1623" s="1299" t="s">
        <v>376</v>
      </c>
      <c r="D1623" s="1299"/>
      <c r="E1623" s="1297" t="s">
        <v>380</v>
      </c>
      <c r="F1623" s="1297"/>
      <c r="G1623" s="1297" t="s">
        <v>380</v>
      </c>
      <c r="H1623" s="1297"/>
      <c r="I1623" s="1297" t="s">
        <v>380</v>
      </c>
      <c r="J1623" s="1297"/>
      <c r="K1623" s="1297" t="s">
        <v>380</v>
      </c>
      <c r="L1623" s="1297"/>
      <c r="M1623" s="1297" t="s">
        <v>380</v>
      </c>
      <c r="N1623" s="1297"/>
      <c r="O1623" s="77"/>
      <c r="P1623" s="77"/>
      <c r="Q1623" s="78"/>
      <c r="Z1623" s="79"/>
      <c r="AA1623" s="80"/>
      <c r="AB1623" s="34"/>
      <c r="AC1623" s="34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</row>
    <row r="1624" spans="1:41" ht="17.25" thickTop="1" thickBot="1">
      <c r="A1624" s="34"/>
      <c r="B1624" s="34"/>
      <c r="C1624" s="1299" t="s">
        <v>377</v>
      </c>
      <c r="D1624" s="1299"/>
      <c r="E1624" s="1297" t="s">
        <v>380</v>
      </c>
      <c r="F1624" s="1297"/>
      <c r="G1624" s="1297" t="s">
        <v>380</v>
      </c>
      <c r="H1624" s="1297"/>
      <c r="I1624" s="1297" t="s">
        <v>380</v>
      </c>
      <c r="J1624" s="1297"/>
      <c r="K1624" s="1297" t="s">
        <v>380</v>
      </c>
      <c r="L1624" s="1297"/>
      <c r="M1624" s="1297" t="s">
        <v>380</v>
      </c>
      <c r="N1624" s="1297"/>
      <c r="O1624" s="77"/>
      <c r="P1624" s="77"/>
      <c r="Q1624" s="78"/>
      <c r="Z1624" s="79"/>
      <c r="AA1624" s="80"/>
      <c r="AB1624" s="34"/>
      <c r="AC1624" s="34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</row>
    <row r="1625" spans="1:41" ht="17.25" thickTop="1" thickBot="1">
      <c r="A1625" s="34"/>
      <c r="B1625" s="34"/>
      <c r="C1625" s="1299" t="s">
        <v>378</v>
      </c>
      <c r="D1625" s="1299"/>
      <c r="E1625" s="1297" t="s">
        <v>380</v>
      </c>
      <c r="F1625" s="1297"/>
      <c r="G1625" s="1297" t="s">
        <v>380</v>
      </c>
      <c r="H1625" s="1297"/>
      <c r="I1625" s="1297" t="s">
        <v>380</v>
      </c>
      <c r="J1625" s="1297"/>
      <c r="K1625" s="1297" t="s">
        <v>380</v>
      </c>
      <c r="L1625" s="1297"/>
      <c r="M1625" s="1297" t="s">
        <v>380</v>
      </c>
      <c r="N1625" s="1297"/>
      <c r="O1625" s="77"/>
      <c r="P1625" s="77"/>
      <c r="Q1625" s="78"/>
      <c r="Z1625" s="79"/>
      <c r="AA1625" s="80"/>
      <c r="AB1625" s="34"/>
      <c r="AC1625" s="34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</row>
    <row r="1626" spans="1:41" ht="17.25" thickTop="1" thickBot="1">
      <c r="A1626" s="34"/>
      <c r="B1626" s="34"/>
      <c r="C1626" s="1299" t="s">
        <v>379</v>
      </c>
      <c r="D1626" s="1299"/>
      <c r="E1626" s="1297" t="s">
        <v>380</v>
      </c>
      <c r="F1626" s="1297"/>
      <c r="G1626" s="1297" t="s">
        <v>380</v>
      </c>
      <c r="H1626" s="1297"/>
      <c r="I1626" s="1297" t="s">
        <v>380</v>
      </c>
      <c r="J1626" s="1297"/>
      <c r="K1626" s="1297" t="s">
        <v>380</v>
      </c>
      <c r="L1626" s="1297"/>
      <c r="M1626" s="1297" t="s">
        <v>380</v>
      </c>
      <c r="N1626" s="1297"/>
      <c r="O1626" s="77"/>
      <c r="P1626" s="77"/>
      <c r="Q1626" s="78"/>
      <c r="Z1626" s="79"/>
      <c r="AA1626" s="80"/>
      <c r="AB1626" s="34"/>
      <c r="AC1626" s="34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</row>
    <row r="1627" spans="1:41" ht="17.25" thickTop="1" thickBot="1">
      <c r="A1627" s="34"/>
      <c r="B1627" s="34"/>
      <c r="C1627" s="33"/>
      <c r="D1627" s="33"/>
      <c r="E1627" s="33"/>
      <c r="F1627" s="33"/>
      <c r="G1627" s="33"/>
      <c r="H1627" s="33"/>
      <c r="I1627" s="33" t="s">
        <v>494</v>
      </c>
      <c r="J1627" s="33"/>
      <c r="K1627" s="34"/>
      <c r="L1627" s="34"/>
      <c r="M1627" s="33"/>
      <c r="N1627" s="33"/>
      <c r="O1627" s="77"/>
      <c r="P1627" s="77"/>
      <c r="Q1627" s="78"/>
      <c r="Z1627" s="79"/>
      <c r="AA1627" s="80"/>
      <c r="AB1627" s="34"/>
      <c r="AC1627" s="34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</row>
    <row r="1628" spans="1:41" ht="19.5" thickTop="1" thickBot="1">
      <c r="A1628" s="1321" t="s">
        <v>467</v>
      </c>
      <c r="B1628" s="1322"/>
      <c r="C1628" s="1323" t="s">
        <v>380</v>
      </c>
      <c r="D1628" s="1323"/>
      <c r="E1628" s="1323" t="s">
        <v>380</v>
      </c>
      <c r="F1628" s="1323"/>
      <c r="G1628" s="250"/>
      <c r="H1628" s="250" t="s">
        <v>468</v>
      </c>
      <c r="I1628" s="1295" t="s">
        <v>402</v>
      </c>
      <c r="J1628" s="1295"/>
      <c r="K1628" s="1295"/>
      <c r="L1628" s="102" t="s">
        <v>403</v>
      </c>
      <c r="M1628" s="1331">
        <v>42610.363814699071</v>
      </c>
      <c r="N1628" s="1331"/>
      <c r="O1628" s="77"/>
      <c r="P1628" s="77"/>
      <c r="Q1628" s="78"/>
      <c r="Z1628" s="79"/>
      <c r="AA1628" s="80"/>
      <c r="AB1628" s="34"/>
      <c r="AC1628" s="34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</row>
    <row r="1629" spans="1:41" ht="19.5" thickTop="1" thickBot="1">
      <c r="A1629" s="1321" t="s">
        <v>469</v>
      </c>
      <c r="B1629" s="1322"/>
      <c r="C1629" s="1323" t="s">
        <v>380</v>
      </c>
      <c r="D1629" s="1323"/>
      <c r="E1629" s="1323" t="s">
        <v>380</v>
      </c>
      <c r="F1629" s="1323"/>
      <c r="G1629" s="250"/>
      <c r="H1629" s="250"/>
      <c r="I1629" s="250"/>
      <c r="J1629" s="250"/>
      <c r="K1629" s="102"/>
      <c r="L1629" s="102"/>
      <c r="M1629" s="33"/>
      <c r="N1629" s="33"/>
      <c r="O1629" s="77"/>
      <c r="P1629" s="77"/>
      <c r="Q1629" s="78"/>
      <c r="Z1629" s="79"/>
      <c r="AA1629" s="80"/>
      <c r="AB1629" s="34"/>
      <c r="AC1629" s="34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</row>
    <row r="1630" spans="1:41" ht="19.5" thickTop="1" thickBot="1">
      <c r="A1630" s="1321" t="s">
        <v>470</v>
      </c>
      <c r="B1630" s="1322"/>
      <c r="C1630" s="1323" t="s">
        <v>380</v>
      </c>
      <c r="D1630" s="1323"/>
      <c r="E1630" s="1323" t="s">
        <v>380</v>
      </c>
      <c r="F1630" s="1323"/>
      <c r="G1630" s="250"/>
      <c r="H1630" s="250"/>
      <c r="I1630" s="250"/>
      <c r="J1630" s="250" t="s">
        <v>471</v>
      </c>
      <c r="K1630" s="102"/>
      <c r="L1630" s="102"/>
      <c r="M1630" s="33"/>
      <c r="N1630" s="33"/>
      <c r="O1630" s="77"/>
      <c r="P1630" s="77"/>
      <c r="Q1630" s="78"/>
      <c r="Z1630" s="79"/>
      <c r="AA1630" s="80"/>
      <c r="AB1630" s="34"/>
      <c r="AC1630" s="34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</row>
    <row r="1631" spans="1:41" ht="24" thickTop="1">
      <c r="A1631" s="34"/>
      <c r="B1631" s="34"/>
      <c r="C1631" s="33"/>
      <c r="D1631" s="33"/>
      <c r="E1631" s="33"/>
      <c r="F1631" s="33"/>
      <c r="G1631" s="33"/>
      <c r="H1631" s="103" t="s">
        <v>406</v>
      </c>
      <c r="I1631" s="33"/>
      <c r="J1631" s="34"/>
      <c r="K1631" s="34"/>
      <c r="L1631" s="33"/>
      <c r="M1631" s="33"/>
      <c r="N1631" s="104"/>
      <c r="O1631" s="77"/>
      <c r="P1631" s="77"/>
      <c r="Q1631" s="78"/>
      <c r="Z1631" s="79"/>
      <c r="AA1631" s="80"/>
      <c r="AB1631" s="34"/>
      <c r="AC1631" s="34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</row>
    <row r="1632" spans="1:41" ht="15.75">
      <c r="A1632" s="34"/>
      <c r="B1632" s="34"/>
      <c r="C1632" s="33"/>
      <c r="D1632" s="33"/>
      <c r="E1632" s="33"/>
      <c r="F1632" s="33"/>
      <c r="G1632" s="33"/>
      <c r="H1632" s="33"/>
      <c r="I1632" s="33"/>
      <c r="J1632" s="33"/>
      <c r="K1632" s="34"/>
      <c r="L1632" s="34"/>
      <c r="M1632" s="33"/>
      <c r="N1632" s="33"/>
      <c r="O1632" s="77"/>
      <c r="P1632" s="77"/>
      <c r="Q1632" s="78"/>
      <c r="Z1632" s="79"/>
      <c r="AA1632" s="80"/>
      <c r="AB1632" s="34"/>
      <c r="AC1632" s="34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</row>
    <row r="1633" spans="1:41" ht="15.75">
      <c r="A1633" s="34"/>
      <c r="B1633" s="34"/>
      <c r="C1633" s="33"/>
      <c r="D1633" s="33"/>
      <c r="E1633" s="33"/>
      <c r="F1633" s="33"/>
      <c r="G1633" s="33"/>
      <c r="H1633" s="33"/>
      <c r="I1633" s="33"/>
      <c r="J1633" s="33"/>
      <c r="K1633" s="34"/>
      <c r="L1633" s="34"/>
      <c r="M1633" s="33"/>
      <c r="N1633" s="33"/>
      <c r="O1633" s="77"/>
      <c r="P1633" s="77"/>
      <c r="Q1633" s="78"/>
      <c r="Z1633" s="79"/>
      <c r="AA1633" s="80"/>
      <c r="AB1633" s="34"/>
      <c r="AC1633" s="34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</row>
    <row r="1634" spans="1:41" ht="15.75">
      <c r="A1634" s="34"/>
      <c r="B1634" s="34"/>
      <c r="C1634" s="33"/>
      <c r="D1634" s="33"/>
      <c r="E1634" s="33"/>
      <c r="F1634" s="33"/>
      <c r="G1634" s="33"/>
      <c r="H1634" s="33"/>
      <c r="I1634" s="33"/>
      <c r="J1634" s="33"/>
      <c r="K1634" s="34"/>
      <c r="L1634" s="34"/>
      <c r="M1634" s="33"/>
      <c r="N1634" s="33"/>
      <c r="O1634" s="77"/>
      <c r="P1634" s="77"/>
      <c r="Q1634" s="78"/>
      <c r="Z1634" s="79"/>
      <c r="AA1634" s="80"/>
      <c r="AB1634" s="34"/>
      <c r="AC1634" s="34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</row>
    <row r="1635" spans="1:41" ht="15.75">
      <c r="A1635" s="34"/>
      <c r="B1635" s="34"/>
      <c r="C1635" s="33"/>
      <c r="D1635" s="33"/>
      <c r="E1635" s="33"/>
      <c r="F1635" s="33"/>
      <c r="G1635" s="33"/>
      <c r="H1635" s="33"/>
      <c r="I1635" s="33"/>
      <c r="J1635" s="33"/>
      <c r="K1635" s="34"/>
      <c r="L1635" s="34"/>
      <c r="M1635" s="33"/>
      <c r="N1635" s="33"/>
      <c r="O1635" s="77"/>
      <c r="P1635" s="77"/>
      <c r="Q1635" s="78"/>
      <c r="Z1635" s="79"/>
      <c r="AA1635" s="80"/>
      <c r="AB1635" s="34"/>
      <c r="AC1635" s="34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</row>
    <row r="1636" spans="1:41" ht="15.75">
      <c r="A1636" s="34"/>
      <c r="B1636" s="34"/>
      <c r="C1636" s="33"/>
      <c r="D1636" s="33"/>
      <c r="E1636" s="33"/>
      <c r="F1636" s="33"/>
      <c r="G1636" s="33"/>
      <c r="H1636" s="33"/>
      <c r="I1636" s="33"/>
      <c r="J1636" s="33"/>
      <c r="K1636" s="34"/>
      <c r="L1636" s="34"/>
      <c r="M1636" s="33"/>
      <c r="N1636" s="33"/>
      <c r="O1636" s="77"/>
      <c r="P1636" s="77"/>
      <c r="Q1636" s="78"/>
      <c r="Z1636" s="79"/>
      <c r="AA1636" s="80"/>
      <c r="AB1636" s="34"/>
      <c r="AC1636" s="34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</row>
    <row r="1637" spans="1:41" ht="15.75">
      <c r="A1637" s="34"/>
      <c r="B1637" s="34"/>
      <c r="C1637" s="33"/>
      <c r="D1637" s="33"/>
      <c r="E1637" s="33"/>
      <c r="F1637" s="33"/>
      <c r="G1637" s="33"/>
      <c r="H1637" s="33"/>
      <c r="I1637" s="33"/>
      <c r="J1637" s="33"/>
      <c r="K1637" s="34"/>
      <c r="L1637" s="34"/>
      <c r="M1637" s="33"/>
      <c r="N1637" s="33"/>
      <c r="O1637" s="77"/>
      <c r="P1637" s="77"/>
      <c r="Q1637" s="78"/>
      <c r="Z1637" s="79"/>
      <c r="AA1637" s="80"/>
      <c r="AB1637" s="34"/>
      <c r="AC1637" s="34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</row>
    <row r="1638" spans="1:41" ht="15.75">
      <c r="A1638" s="34"/>
      <c r="B1638" s="34"/>
      <c r="C1638" s="33"/>
      <c r="D1638" s="33"/>
      <c r="E1638" s="33"/>
      <c r="F1638" s="33"/>
      <c r="G1638" s="33"/>
      <c r="H1638" s="33"/>
      <c r="I1638" s="33"/>
      <c r="J1638" s="33"/>
      <c r="K1638" s="34"/>
      <c r="L1638" s="34"/>
      <c r="M1638" s="33"/>
      <c r="N1638" s="33"/>
      <c r="O1638" s="77"/>
      <c r="P1638" s="77"/>
      <c r="Q1638" s="78"/>
      <c r="Z1638" s="79"/>
      <c r="AA1638" s="80"/>
      <c r="AB1638" s="34"/>
      <c r="AC1638" s="34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</row>
    <row r="1639" spans="1:41" ht="15.75">
      <c r="A1639" s="34"/>
      <c r="B1639" s="34"/>
      <c r="C1639" s="33"/>
      <c r="D1639" s="33"/>
      <c r="E1639" s="33"/>
      <c r="F1639" s="33"/>
      <c r="G1639" s="33"/>
      <c r="H1639" s="33"/>
      <c r="I1639" s="33"/>
      <c r="J1639" s="33"/>
      <c r="K1639" s="34"/>
      <c r="L1639" s="34"/>
      <c r="M1639" s="33"/>
      <c r="N1639" s="33"/>
      <c r="O1639" s="1292">
        <f>D1639</f>
        <v>0</v>
      </c>
      <c r="P1639" s="1292"/>
      <c r="Q1639" s="78"/>
      <c r="Z1639" s="79"/>
      <c r="AA1639" s="80"/>
      <c r="AB1639" s="34"/>
      <c r="AC1639" s="34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</row>
    <row r="1640" spans="1:41" ht="15.75">
      <c r="A1640" s="34"/>
      <c r="B1640" s="34"/>
      <c r="C1640" s="33"/>
      <c r="D1640" s="33"/>
      <c r="E1640" s="33"/>
      <c r="F1640" s="33"/>
      <c r="G1640" s="33"/>
      <c r="H1640" s="33"/>
      <c r="I1640" s="33"/>
      <c r="J1640" s="33"/>
      <c r="K1640" s="34"/>
      <c r="L1640" s="34"/>
      <c r="M1640" s="33"/>
      <c r="N1640" s="33"/>
      <c r="O1640" s="77"/>
      <c r="P1640" s="77"/>
      <c r="Q1640" s="78"/>
      <c r="Z1640" s="79"/>
      <c r="AA1640" s="80"/>
      <c r="AB1640" s="34"/>
      <c r="AC1640" s="34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</row>
    <row r="1641" spans="1:41" ht="15.75">
      <c r="A1641" s="34"/>
      <c r="B1641" s="34"/>
      <c r="C1641" s="33"/>
      <c r="D1641" s="33"/>
      <c r="E1641" s="33"/>
      <c r="F1641" s="33"/>
      <c r="G1641" s="33"/>
      <c r="H1641" s="33"/>
      <c r="I1641" s="33"/>
      <c r="J1641" s="33"/>
      <c r="K1641" s="34"/>
      <c r="L1641" s="34"/>
      <c r="M1641" s="33"/>
      <c r="N1641" s="33"/>
      <c r="Z1641" s="79"/>
      <c r="AA1641" s="80"/>
      <c r="AB1641" s="34"/>
      <c r="AC1641" s="34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</row>
    <row r="1642" spans="1:41" ht="23.25">
      <c r="A1642" s="34"/>
      <c r="B1642" s="34"/>
      <c r="C1642" s="33"/>
      <c r="D1642" s="33"/>
      <c r="E1642" s="33"/>
      <c r="F1642" s="33"/>
      <c r="G1642" s="33"/>
      <c r="H1642" s="33"/>
      <c r="I1642" s="33"/>
      <c r="J1642" s="33"/>
      <c r="K1642" s="34"/>
      <c r="L1642" s="34"/>
      <c r="M1642" s="33"/>
      <c r="N1642" s="33"/>
      <c r="O1642" s="152"/>
      <c r="R1642" s="78"/>
      <c r="Z1642" s="79"/>
      <c r="AA1642" s="80"/>
      <c r="AB1642" s="34"/>
      <c r="AC1642" s="34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</row>
    <row r="1643" spans="1:41" ht="23.25">
      <c r="A1643" s="34"/>
      <c r="B1643" s="34"/>
      <c r="C1643" s="33"/>
      <c r="D1643" s="33"/>
      <c r="E1643" s="33"/>
      <c r="F1643" s="33"/>
      <c r="G1643" s="33"/>
      <c r="H1643" s="33"/>
      <c r="I1643" s="33"/>
      <c r="J1643" s="33"/>
      <c r="K1643" s="34"/>
      <c r="L1643" s="34"/>
      <c r="M1643" s="33"/>
      <c r="N1643" s="33"/>
      <c r="O1643" s="152"/>
      <c r="R1643" s="78"/>
      <c r="Z1643" s="79"/>
      <c r="AA1643" s="80"/>
      <c r="AB1643" s="34"/>
      <c r="AC1643" s="34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</row>
    <row r="1644" spans="1:41" ht="23.25">
      <c r="A1644" s="34"/>
      <c r="B1644" s="34"/>
      <c r="C1644" s="33"/>
      <c r="D1644" s="33"/>
      <c r="E1644" s="33"/>
      <c r="F1644" s="33"/>
      <c r="G1644" s="33"/>
      <c r="H1644" s="33"/>
      <c r="I1644" s="33"/>
      <c r="J1644" s="33"/>
      <c r="K1644" s="34"/>
      <c r="L1644" s="34"/>
      <c r="M1644" s="33"/>
      <c r="N1644" s="33"/>
      <c r="O1644" s="152"/>
      <c r="Z1644" s="79"/>
      <c r="AA1644" s="80"/>
      <c r="AB1644" s="34"/>
      <c r="AC1644" s="34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</row>
    <row r="1645" spans="1:41" ht="15.75">
      <c r="A1645" s="34"/>
      <c r="B1645" s="34"/>
      <c r="C1645" s="33"/>
      <c r="D1645" s="33"/>
      <c r="E1645" s="33"/>
      <c r="F1645" s="33"/>
      <c r="G1645" s="33"/>
      <c r="H1645" s="33"/>
      <c r="I1645" s="33"/>
      <c r="J1645" s="33"/>
      <c r="K1645" s="34"/>
      <c r="L1645" s="34"/>
      <c r="M1645" s="33"/>
      <c r="N1645" s="33"/>
      <c r="O1645" s="77"/>
      <c r="P1645" s="77"/>
      <c r="Q1645" s="78"/>
      <c r="Z1645" s="79"/>
      <c r="AA1645" s="80"/>
      <c r="AB1645" s="34"/>
      <c r="AC1645" s="34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</row>
    <row r="1646" spans="1:41" ht="15.75">
      <c r="A1646" s="34"/>
      <c r="B1646" s="34"/>
      <c r="C1646" s="33"/>
      <c r="D1646" s="33"/>
      <c r="E1646" s="33"/>
      <c r="F1646" s="33"/>
      <c r="G1646" s="33"/>
      <c r="H1646" s="33"/>
      <c r="I1646" s="33"/>
      <c r="J1646" s="33"/>
      <c r="K1646" s="34"/>
      <c r="L1646" s="34"/>
      <c r="M1646" s="33"/>
      <c r="N1646" s="33"/>
      <c r="O1646" s="77"/>
      <c r="P1646" s="77"/>
      <c r="Q1646" s="78">
        <f>G1646+H1646+H1648+J1646</f>
        <v>0</v>
      </c>
      <c r="Z1646" s="79"/>
      <c r="AA1646" s="80"/>
      <c r="AB1646" s="34"/>
      <c r="AC1646" s="34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</row>
    <row r="1647" spans="1:41" ht="15.75">
      <c r="A1647" s="34"/>
      <c r="B1647" s="34"/>
      <c r="C1647" s="33"/>
      <c r="D1647" s="33"/>
      <c r="E1647" s="33"/>
      <c r="F1647" s="33"/>
      <c r="G1647" s="33"/>
      <c r="H1647" s="33"/>
      <c r="I1647" s="33"/>
      <c r="J1647" s="33"/>
      <c r="K1647" s="34"/>
      <c r="L1647" s="34"/>
      <c r="M1647" s="33"/>
      <c r="N1647" s="33"/>
      <c r="O1647" s="77"/>
      <c r="P1647" s="77"/>
      <c r="Q1647" s="78"/>
      <c r="Z1647" s="79"/>
      <c r="AA1647" s="80"/>
      <c r="AB1647" s="34"/>
      <c r="AC1647" s="34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</row>
    <row r="1648" spans="1:41" ht="15.75">
      <c r="A1648" s="34"/>
      <c r="B1648" s="34"/>
      <c r="C1648" s="33"/>
      <c r="D1648" s="33"/>
      <c r="E1648" s="33"/>
      <c r="F1648" s="33"/>
      <c r="G1648" s="33"/>
      <c r="H1648" s="33"/>
      <c r="I1648" s="33"/>
      <c r="J1648" s="33"/>
      <c r="K1648" s="34"/>
      <c r="L1648" s="34"/>
      <c r="M1648" s="33"/>
      <c r="N1648" s="33"/>
      <c r="O1648" s="77"/>
      <c r="P1648" s="77"/>
      <c r="Q1648" s="78"/>
      <c r="Z1648" s="79"/>
      <c r="AA1648" s="80"/>
      <c r="AB1648" s="34"/>
      <c r="AC1648" s="34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</row>
    <row r="1649" spans="1:41" ht="15.75">
      <c r="A1649" s="34"/>
      <c r="B1649" s="34"/>
      <c r="C1649" s="33"/>
      <c r="D1649" s="33"/>
      <c r="E1649" s="33"/>
      <c r="F1649" s="33"/>
      <c r="G1649" s="33"/>
      <c r="H1649" s="33"/>
      <c r="I1649" s="33"/>
      <c r="J1649" s="33"/>
      <c r="K1649" s="34"/>
      <c r="L1649" s="34"/>
      <c r="M1649" s="33"/>
      <c r="N1649" s="33"/>
      <c r="O1649" s="77"/>
      <c r="P1649" s="77"/>
      <c r="Q1649" s="78"/>
      <c r="Z1649" s="79"/>
      <c r="AA1649" s="80"/>
      <c r="AB1649" s="34"/>
      <c r="AC1649" s="34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</row>
    <row r="1650" spans="1:41" ht="15.75">
      <c r="A1650" s="34"/>
      <c r="B1650" s="34"/>
      <c r="C1650" s="33"/>
      <c r="D1650" s="33"/>
      <c r="E1650" s="33"/>
      <c r="F1650" s="33"/>
      <c r="G1650" s="33"/>
      <c r="H1650" s="33"/>
      <c r="I1650" s="33"/>
      <c r="J1650" s="33"/>
      <c r="K1650" s="34"/>
      <c r="L1650" s="34"/>
      <c r="M1650" s="33"/>
      <c r="N1650" s="33"/>
      <c r="O1650" s="77"/>
      <c r="P1650" s="77"/>
      <c r="Q1650" s="78"/>
      <c r="Z1650" s="79"/>
      <c r="AA1650" s="80"/>
      <c r="AB1650" s="34"/>
      <c r="AC1650" s="34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</row>
    <row r="1651" spans="1:41" ht="15.75">
      <c r="A1651" s="34"/>
      <c r="B1651" s="34"/>
      <c r="C1651" s="33"/>
      <c r="D1651" s="33"/>
      <c r="E1651" s="33"/>
      <c r="F1651" s="33"/>
      <c r="G1651" s="33"/>
      <c r="H1651" s="33"/>
      <c r="I1651" s="33"/>
      <c r="J1651" s="33"/>
      <c r="K1651" s="34"/>
      <c r="L1651" s="34"/>
      <c r="M1651" s="33"/>
      <c r="N1651" s="33"/>
      <c r="O1651" s="77"/>
      <c r="P1651" s="77"/>
      <c r="Q1651" s="78"/>
      <c r="Z1651" s="79"/>
      <c r="AA1651" s="80"/>
      <c r="AB1651" s="34"/>
      <c r="AC1651" s="34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</row>
    <row r="1652" spans="1:41" ht="15.75">
      <c r="A1652" s="34"/>
      <c r="B1652" s="34"/>
      <c r="C1652" s="33"/>
      <c r="D1652" s="33"/>
      <c r="E1652" s="33"/>
      <c r="F1652" s="33"/>
      <c r="G1652" s="33"/>
      <c r="H1652" s="33"/>
      <c r="I1652" s="33"/>
      <c r="J1652" s="33"/>
      <c r="K1652" s="34"/>
      <c r="L1652" s="34"/>
      <c r="M1652" s="33"/>
      <c r="N1652" s="33"/>
      <c r="O1652" s="77"/>
      <c r="P1652" s="77"/>
      <c r="Q1652" s="78"/>
      <c r="Z1652" s="79"/>
      <c r="AA1652" s="80"/>
      <c r="AB1652" s="34"/>
      <c r="AC1652" s="34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</row>
    <row r="1653" spans="1:41" ht="15.75">
      <c r="A1653" s="34"/>
      <c r="B1653" s="34"/>
      <c r="C1653" s="33"/>
      <c r="D1653" s="33"/>
      <c r="E1653" s="33"/>
      <c r="F1653" s="33"/>
      <c r="G1653" s="33"/>
      <c r="H1653" s="33"/>
      <c r="I1653" s="33"/>
      <c r="J1653" s="33"/>
      <c r="K1653" s="34"/>
      <c r="L1653" s="34"/>
      <c r="M1653" s="33"/>
      <c r="N1653" s="33"/>
      <c r="O1653" s="77"/>
      <c r="P1653" s="77"/>
      <c r="Q1653" s="78"/>
      <c r="Z1653" s="79"/>
      <c r="AA1653" s="80"/>
      <c r="AB1653" s="34"/>
      <c r="AC1653" s="34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</row>
    <row r="1654" spans="1:41" ht="15.75">
      <c r="A1654" s="34"/>
      <c r="B1654" s="34"/>
      <c r="C1654" s="33"/>
      <c r="D1654" s="33"/>
      <c r="E1654" s="33"/>
      <c r="F1654" s="33"/>
      <c r="G1654" s="33"/>
      <c r="H1654" s="33"/>
      <c r="I1654" s="33"/>
      <c r="J1654" s="33"/>
      <c r="K1654" s="34"/>
      <c r="L1654" s="34"/>
      <c r="M1654" s="33"/>
      <c r="N1654" s="33"/>
      <c r="O1654" s="77"/>
      <c r="P1654" s="77"/>
      <c r="Q1654" s="78"/>
      <c r="Z1654" s="79"/>
      <c r="AA1654" s="80"/>
      <c r="AB1654" s="34"/>
      <c r="AC1654" s="34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</row>
    <row r="1655" spans="1:41" ht="15.75">
      <c r="A1655" s="34"/>
      <c r="B1655" s="34"/>
      <c r="C1655" s="33"/>
      <c r="D1655" s="33"/>
      <c r="E1655" s="33"/>
      <c r="F1655" s="33"/>
      <c r="G1655" s="33"/>
      <c r="H1655" s="33"/>
      <c r="I1655" s="33"/>
      <c r="J1655" s="33"/>
      <c r="K1655" s="34"/>
      <c r="L1655" s="34"/>
      <c r="M1655" s="33"/>
      <c r="N1655" s="33"/>
      <c r="O1655" s="77"/>
      <c r="P1655" s="77"/>
      <c r="Q1655" s="78"/>
      <c r="Z1655" s="79"/>
      <c r="AA1655" s="80"/>
      <c r="AB1655" s="34"/>
      <c r="AC1655" s="34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</row>
    <row r="1656" spans="1:41" ht="15.75">
      <c r="A1656" s="34"/>
      <c r="B1656" s="34"/>
      <c r="C1656" s="33"/>
      <c r="D1656" s="33"/>
      <c r="E1656" s="33"/>
      <c r="F1656" s="33"/>
      <c r="G1656" s="33"/>
      <c r="H1656" s="33"/>
      <c r="I1656" s="33"/>
      <c r="J1656" s="33"/>
      <c r="K1656" s="34"/>
      <c r="L1656" s="34"/>
      <c r="M1656" s="33"/>
      <c r="N1656" s="33"/>
      <c r="O1656" s="77"/>
      <c r="P1656" s="77"/>
      <c r="Q1656" s="78"/>
      <c r="Z1656" s="79"/>
      <c r="AA1656" s="80"/>
      <c r="AB1656" s="34"/>
      <c r="AC1656" s="34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</row>
    <row r="1657" spans="1:41" ht="15.75">
      <c r="A1657" s="34"/>
      <c r="B1657" s="34"/>
      <c r="C1657" s="33"/>
      <c r="D1657" s="33"/>
      <c r="E1657" s="33"/>
      <c r="F1657" s="33"/>
      <c r="G1657" s="33"/>
      <c r="H1657" s="33"/>
      <c r="I1657" s="33"/>
      <c r="J1657" s="33"/>
      <c r="K1657" s="34"/>
      <c r="L1657" s="34"/>
      <c r="M1657" s="33"/>
      <c r="N1657" s="33"/>
      <c r="O1657" s="77"/>
      <c r="P1657" s="77"/>
      <c r="Q1657" s="78"/>
      <c r="Z1657" s="79"/>
      <c r="AA1657" s="80"/>
      <c r="AB1657" s="34"/>
      <c r="AC1657" s="34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</row>
    <row r="1658" spans="1:41" ht="15.75">
      <c r="A1658" s="34"/>
      <c r="B1658" s="34"/>
      <c r="C1658" s="33"/>
      <c r="D1658" s="33"/>
      <c r="E1658" s="33"/>
      <c r="F1658" s="33"/>
      <c r="G1658" s="33"/>
      <c r="H1658" s="33"/>
      <c r="I1658" s="33"/>
      <c r="J1658" s="33"/>
      <c r="K1658" s="34"/>
      <c r="L1658" s="34"/>
      <c r="M1658" s="33"/>
      <c r="N1658" s="33"/>
      <c r="O1658" s="77"/>
      <c r="P1658" s="77"/>
      <c r="Q1658" s="78"/>
      <c r="Z1658" s="79"/>
      <c r="AA1658" s="80"/>
      <c r="AB1658" s="34"/>
      <c r="AC1658" s="34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</row>
    <row r="1659" spans="1:41" ht="15.75">
      <c r="A1659" s="34"/>
      <c r="B1659" s="34"/>
      <c r="C1659" s="33"/>
      <c r="D1659" s="33"/>
      <c r="E1659" s="33"/>
      <c r="F1659" s="33"/>
      <c r="G1659" s="33"/>
      <c r="H1659" s="33"/>
      <c r="I1659" s="33"/>
      <c r="J1659" s="33"/>
      <c r="K1659" s="34"/>
      <c r="L1659" s="34"/>
      <c r="M1659" s="33"/>
      <c r="N1659" s="33"/>
      <c r="O1659" s="77"/>
      <c r="P1659" s="77"/>
      <c r="Q1659" s="78"/>
      <c r="Z1659" s="79"/>
      <c r="AA1659" s="80"/>
      <c r="AB1659" s="34"/>
      <c r="AC1659" s="34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</row>
    <row r="1660" spans="1:41" ht="15.75">
      <c r="A1660" s="34"/>
      <c r="B1660" s="34"/>
      <c r="C1660" s="33"/>
      <c r="D1660" s="33"/>
      <c r="E1660" s="33"/>
      <c r="F1660" s="33"/>
      <c r="G1660" s="33"/>
      <c r="H1660" s="33"/>
      <c r="I1660" s="33"/>
      <c r="J1660" s="33"/>
      <c r="K1660" s="34"/>
      <c r="L1660" s="34"/>
      <c r="M1660" s="33"/>
      <c r="N1660" s="33"/>
      <c r="O1660" s="77"/>
      <c r="P1660" s="77"/>
      <c r="Q1660" s="78"/>
      <c r="Z1660" s="79"/>
      <c r="AA1660" s="80"/>
      <c r="AB1660" s="34"/>
      <c r="AC1660" s="34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</row>
    <row r="1661" spans="1:41" ht="15.75">
      <c r="A1661" s="34"/>
      <c r="B1661" s="34"/>
      <c r="C1661" s="33"/>
      <c r="D1661" s="33"/>
      <c r="E1661" s="33"/>
      <c r="F1661" s="33"/>
      <c r="G1661" s="33"/>
      <c r="H1661" s="33"/>
      <c r="I1661" s="33"/>
      <c r="J1661" s="33"/>
      <c r="K1661" s="34"/>
      <c r="L1661" s="34"/>
      <c r="M1661" s="33"/>
      <c r="N1661" s="33"/>
      <c r="O1661" s="77"/>
      <c r="P1661" s="77"/>
      <c r="Q1661" s="78"/>
      <c r="Z1661" s="79"/>
      <c r="AA1661" s="80"/>
      <c r="AB1661" s="34"/>
      <c r="AC1661" s="34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</row>
    <row r="1662" spans="1:41" ht="15.75">
      <c r="A1662" s="34"/>
      <c r="B1662" s="34"/>
      <c r="C1662" s="33"/>
      <c r="D1662" s="33"/>
      <c r="E1662" s="33"/>
      <c r="F1662" s="33"/>
      <c r="G1662" s="33"/>
      <c r="H1662" s="33"/>
      <c r="I1662" s="33"/>
      <c r="J1662" s="33"/>
      <c r="K1662" s="34"/>
      <c r="L1662" s="34"/>
      <c r="M1662" s="33"/>
      <c r="N1662" s="33"/>
      <c r="O1662" s="77"/>
      <c r="P1662" s="77"/>
      <c r="Q1662" s="78"/>
      <c r="Z1662" s="79"/>
      <c r="AA1662" s="80"/>
      <c r="AB1662" s="34"/>
      <c r="AC1662" s="34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</row>
    <row r="1663" spans="1:41" ht="15.75">
      <c r="A1663" s="34"/>
      <c r="B1663" s="34"/>
      <c r="C1663" s="33"/>
      <c r="D1663" s="33"/>
      <c r="E1663" s="33"/>
      <c r="F1663" s="33"/>
      <c r="G1663" s="33"/>
      <c r="H1663" s="33"/>
      <c r="I1663" s="33"/>
      <c r="J1663" s="33"/>
      <c r="K1663" s="34"/>
      <c r="L1663" s="34"/>
      <c r="M1663" s="33"/>
      <c r="N1663" s="33"/>
      <c r="O1663" s="77"/>
      <c r="P1663" s="77"/>
      <c r="Q1663" s="78"/>
      <c r="Z1663" s="79"/>
      <c r="AA1663" s="80"/>
      <c r="AB1663" s="34"/>
      <c r="AC1663" s="34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</row>
    <row r="1664" spans="1:41" ht="15.75">
      <c r="A1664" s="34"/>
      <c r="B1664" s="34"/>
      <c r="C1664" s="33"/>
      <c r="D1664" s="33"/>
      <c r="E1664" s="33"/>
      <c r="F1664" s="33"/>
      <c r="G1664" s="33"/>
      <c r="H1664" s="33"/>
      <c r="I1664" s="33"/>
      <c r="J1664" s="33"/>
      <c r="K1664" s="34"/>
      <c r="L1664" s="34"/>
      <c r="M1664" s="33"/>
      <c r="N1664" s="33"/>
      <c r="O1664" s="77"/>
      <c r="P1664" s="77"/>
      <c r="Q1664" s="78"/>
      <c r="Z1664" s="79"/>
      <c r="AA1664" s="80"/>
      <c r="AB1664" s="34"/>
      <c r="AC1664" s="34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</row>
    <row r="1665" spans="1:41" ht="15.75">
      <c r="A1665" s="34"/>
      <c r="B1665" s="34"/>
      <c r="C1665" s="33"/>
      <c r="D1665" s="33"/>
      <c r="E1665" s="33"/>
      <c r="F1665" s="33"/>
      <c r="G1665" s="33"/>
      <c r="H1665" s="33"/>
      <c r="I1665" s="33"/>
      <c r="J1665" s="33"/>
      <c r="K1665" s="34"/>
      <c r="L1665" s="34"/>
      <c r="M1665" s="33"/>
      <c r="N1665" s="33"/>
      <c r="O1665" s="77"/>
      <c r="P1665" s="77"/>
      <c r="Q1665" s="78"/>
      <c r="Z1665" s="79"/>
      <c r="AA1665" s="80"/>
      <c r="AB1665" s="34"/>
      <c r="AC1665" s="34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</row>
    <row r="1666" spans="1:41" ht="15.75">
      <c r="A1666" s="34"/>
      <c r="B1666" s="34"/>
      <c r="C1666" s="33"/>
      <c r="D1666" s="33"/>
      <c r="E1666" s="33"/>
      <c r="F1666" s="33"/>
      <c r="G1666" s="33"/>
      <c r="H1666" s="33"/>
      <c r="I1666" s="33"/>
      <c r="J1666" s="33"/>
      <c r="K1666" s="34"/>
      <c r="L1666" s="34"/>
      <c r="M1666" s="33"/>
      <c r="N1666" s="33"/>
      <c r="O1666" s="77"/>
      <c r="P1666" s="77"/>
      <c r="Q1666" s="78"/>
      <c r="Z1666" s="79"/>
      <c r="AA1666" s="80"/>
      <c r="AB1666" s="34"/>
      <c r="AC1666" s="34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</row>
    <row r="1667" spans="1:41" ht="15.75">
      <c r="A1667" s="34"/>
      <c r="B1667" s="34"/>
      <c r="C1667" s="33"/>
      <c r="D1667" s="33"/>
      <c r="E1667" s="33"/>
      <c r="F1667" s="33"/>
      <c r="G1667" s="33"/>
      <c r="H1667" s="33"/>
      <c r="I1667" s="33"/>
      <c r="J1667" s="33"/>
      <c r="K1667" s="34"/>
      <c r="L1667" s="34"/>
      <c r="M1667" s="33"/>
      <c r="N1667" s="33"/>
      <c r="O1667" s="77"/>
      <c r="P1667" s="77"/>
      <c r="Q1667" s="78"/>
      <c r="Z1667" s="79"/>
      <c r="AA1667" s="80"/>
      <c r="AB1667" s="34"/>
      <c r="AC1667" s="34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</row>
    <row r="1668" spans="1:41" ht="15.75">
      <c r="A1668" s="34"/>
      <c r="B1668" s="34"/>
      <c r="C1668" s="33"/>
      <c r="D1668" s="33"/>
      <c r="E1668" s="33"/>
      <c r="F1668" s="33"/>
      <c r="G1668" s="33"/>
      <c r="H1668" s="33"/>
      <c r="I1668" s="33"/>
      <c r="J1668" s="33"/>
      <c r="K1668" s="34"/>
      <c r="L1668" s="34"/>
      <c r="M1668" s="33"/>
      <c r="N1668" s="33"/>
      <c r="O1668" s="77"/>
      <c r="P1668" s="77"/>
      <c r="Q1668" s="78"/>
      <c r="Z1668" s="79"/>
      <c r="AA1668" s="80"/>
      <c r="AB1668" s="34"/>
      <c r="AC1668" s="34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</row>
    <row r="1669" spans="1:41" ht="15.75">
      <c r="A1669" s="34"/>
      <c r="B1669" s="34"/>
      <c r="C1669" s="33"/>
      <c r="D1669" s="33"/>
      <c r="E1669" s="33"/>
      <c r="F1669" s="33"/>
      <c r="G1669" s="33"/>
      <c r="H1669" s="33"/>
      <c r="I1669" s="33"/>
      <c r="J1669" s="33"/>
      <c r="K1669" s="34"/>
      <c r="L1669" s="34"/>
      <c r="M1669" s="33"/>
      <c r="N1669" s="33"/>
      <c r="O1669" s="77"/>
      <c r="P1669" s="77"/>
      <c r="Q1669" s="78"/>
      <c r="Z1669" s="79"/>
      <c r="AA1669" s="80"/>
      <c r="AB1669" s="34"/>
      <c r="AC1669" s="34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</row>
    <row r="1670" spans="1:41" ht="15.75">
      <c r="A1670" s="34"/>
      <c r="B1670" s="34"/>
      <c r="C1670" s="33"/>
      <c r="D1670" s="33"/>
      <c r="E1670" s="33"/>
      <c r="F1670" s="33"/>
      <c r="G1670" s="33"/>
      <c r="H1670" s="33"/>
      <c r="I1670" s="33"/>
      <c r="J1670" s="33"/>
      <c r="K1670" s="34"/>
      <c r="L1670" s="34"/>
      <c r="M1670" s="33"/>
      <c r="N1670" s="33"/>
      <c r="O1670" s="77"/>
      <c r="P1670" s="77"/>
      <c r="Q1670" s="78"/>
      <c r="Z1670" s="79"/>
      <c r="AA1670" s="80"/>
      <c r="AB1670" s="34"/>
      <c r="AC1670" s="34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</row>
    <row r="1671" spans="1:41" ht="15.75">
      <c r="A1671" s="34"/>
      <c r="B1671" s="34"/>
      <c r="C1671" s="33"/>
      <c r="D1671" s="33"/>
      <c r="E1671" s="33"/>
      <c r="F1671" s="33"/>
      <c r="G1671" s="33"/>
      <c r="H1671" s="33"/>
      <c r="I1671" s="33"/>
      <c r="J1671" s="33"/>
      <c r="K1671" s="34"/>
      <c r="L1671" s="34"/>
      <c r="M1671" s="33"/>
      <c r="N1671" s="33"/>
      <c r="O1671" s="1292">
        <f>D1671</f>
        <v>0</v>
      </c>
      <c r="P1671" s="1292"/>
      <c r="Q1671" s="78"/>
      <c r="Z1671" s="79"/>
      <c r="AA1671" s="80"/>
      <c r="AB1671" s="34"/>
      <c r="AC1671" s="34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</row>
    <row r="1672" spans="1:41" ht="15.75">
      <c r="A1672" s="34"/>
      <c r="B1672" s="34"/>
      <c r="C1672" s="33"/>
      <c r="D1672" s="33"/>
      <c r="E1672" s="33"/>
      <c r="F1672" s="33"/>
      <c r="G1672" s="33"/>
      <c r="H1672" s="33"/>
      <c r="I1672" s="33"/>
      <c r="J1672" s="33"/>
      <c r="K1672" s="34"/>
      <c r="L1672" s="34"/>
      <c r="M1672" s="33"/>
      <c r="N1672" s="33"/>
      <c r="O1672" s="77"/>
      <c r="P1672" s="77"/>
      <c r="Q1672" s="78"/>
      <c r="Z1672" s="79"/>
      <c r="AA1672" s="80"/>
      <c r="AB1672" s="34"/>
      <c r="AC1672" s="34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</row>
    <row r="1673" spans="1:41" ht="15.75">
      <c r="A1673" s="34"/>
      <c r="B1673" s="34"/>
      <c r="C1673" s="33"/>
      <c r="D1673" s="33"/>
      <c r="E1673" s="33"/>
      <c r="F1673" s="33"/>
      <c r="G1673" s="33"/>
      <c r="H1673" s="33"/>
      <c r="I1673" s="33"/>
      <c r="J1673" s="33"/>
      <c r="K1673" s="34"/>
      <c r="L1673" s="34"/>
      <c r="M1673" s="33"/>
      <c r="N1673" s="33"/>
      <c r="Z1673" s="79"/>
      <c r="AA1673" s="80"/>
      <c r="AB1673" s="34"/>
      <c r="AC1673" s="34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</row>
    <row r="1674" spans="1:41" ht="23.25">
      <c r="A1674" s="34"/>
      <c r="B1674" s="34"/>
      <c r="C1674" s="33"/>
      <c r="D1674" s="33"/>
      <c r="E1674" s="33"/>
      <c r="F1674" s="33"/>
      <c r="G1674" s="33"/>
      <c r="H1674" s="33"/>
      <c r="I1674" s="33"/>
      <c r="J1674" s="33"/>
      <c r="K1674" s="34"/>
      <c r="L1674" s="34"/>
      <c r="M1674" s="33"/>
      <c r="N1674" s="33"/>
      <c r="O1674" s="152"/>
      <c r="R1674" s="78"/>
      <c r="Z1674" s="79"/>
      <c r="AA1674" s="80"/>
      <c r="AB1674" s="34"/>
      <c r="AC1674" s="34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</row>
    <row r="1675" spans="1:41" ht="23.25">
      <c r="A1675" s="34"/>
      <c r="B1675" s="34"/>
      <c r="C1675" s="33"/>
      <c r="D1675" s="33"/>
      <c r="E1675" s="33"/>
      <c r="F1675" s="33"/>
      <c r="G1675" s="33"/>
      <c r="H1675" s="33"/>
      <c r="I1675" s="33"/>
      <c r="J1675" s="33"/>
      <c r="K1675" s="34"/>
      <c r="L1675" s="34"/>
      <c r="M1675" s="33"/>
      <c r="N1675" s="33"/>
      <c r="O1675" s="152"/>
      <c r="R1675" s="78"/>
      <c r="Z1675" s="79"/>
      <c r="AA1675" s="80"/>
      <c r="AB1675" s="34"/>
      <c r="AC1675" s="34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</row>
    <row r="1676" spans="1:41" ht="23.25">
      <c r="A1676" s="34"/>
      <c r="B1676" s="34"/>
      <c r="C1676" s="33"/>
      <c r="D1676" s="33"/>
      <c r="E1676" s="33"/>
      <c r="F1676" s="33"/>
      <c r="G1676" s="33"/>
      <c r="H1676" s="33"/>
      <c r="I1676" s="33"/>
      <c r="J1676" s="33"/>
      <c r="K1676" s="34"/>
      <c r="L1676" s="34"/>
      <c r="M1676" s="33"/>
      <c r="N1676" s="33"/>
      <c r="O1676" s="152"/>
      <c r="Z1676" s="79"/>
      <c r="AA1676" s="80"/>
      <c r="AB1676" s="34"/>
      <c r="AC1676" s="34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</row>
    <row r="1677" spans="1:41" ht="15.75">
      <c r="A1677" s="34"/>
      <c r="B1677" s="34"/>
      <c r="C1677" s="33"/>
      <c r="D1677" s="33"/>
      <c r="E1677" s="33"/>
      <c r="F1677" s="33"/>
      <c r="G1677" s="33"/>
      <c r="H1677" s="33"/>
      <c r="I1677" s="33"/>
      <c r="J1677" s="33"/>
      <c r="K1677" s="34"/>
      <c r="L1677" s="34"/>
      <c r="M1677" s="33"/>
      <c r="N1677" s="33"/>
      <c r="O1677" s="77"/>
      <c r="P1677" s="77"/>
      <c r="Q1677" s="78"/>
      <c r="Z1677" s="79"/>
      <c r="AA1677" s="80"/>
      <c r="AB1677" s="34"/>
      <c r="AC1677" s="34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</row>
    <row r="1678" spans="1:41" ht="15.75">
      <c r="A1678" s="34"/>
      <c r="B1678" s="34"/>
      <c r="C1678" s="33"/>
      <c r="D1678" s="33"/>
      <c r="E1678" s="33"/>
      <c r="F1678" s="33"/>
      <c r="G1678" s="33"/>
      <c r="H1678" s="33"/>
      <c r="I1678" s="33"/>
      <c r="J1678" s="33"/>
      <c r="K1678" s="34"/>
      <c r="L1678" s="34"/>
      <c r="M1678" s="33"/>
      <c r="N1678" s="33"/>
      <c r="O1678" s="77"/>
      <c r="P1678" s="77"/>
      <c r="Q1678" s="78">
        <f>G1678+H1678+H1680+J1678</f>
        <v>0</v>
      </c>
      <c r="Z1678" s="79"/>
      <c r="AA1678" s="80"/>
      <c r="AB1678" s="34"/>
      <c r="AC1678" s="34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</row>
    <row r="1679" spans="1:41" ht="15.75">
      <c r="A1679" s="34"/>
      <c r="B1679" s="34"/>
      <c r="C1679" s="33"/>
      <c r="D1679" s="33"/>
      <c r="E1679" s="33"/>
      <c r="F1679" s="33"/>
      <c r="G1679" s="33"/>
      <c r="H1679" s="33"/>
      <c r="I1679" s="33"/>
      <c r="J1679" s="33"/>
      <c r="K1679" s="34"/>
      <c r="L1679" s="34"/>
      <c r="M1679" s="33"/>
      <c r="N1679" s="33"/>
      <c r="O1679" s="77"/>
      <c r="P1679" s="77"/>
      <c r="Q1679" s="78"/>
      <c r="Z1679" s="79"/>
      <c r="AA1679" s="80"/>
      <c r="AB1679" s="34"/>
      <c r="AC1679" s="34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</row>
    <row r="1680" spans="1:41" ht="15.75">
      <c r="A1680" s="34"/>
      <c r="B1680" s="34"/>
      <c r="C1680" s="33"/>
      <c r="D1680" s="33"/>
      <c r="E1680" s="33"/>
      <c r="F1680" s="33"/>
      <c r="G1680" s="33"/>
      <c r="H1680" s="33"/>
      <c r="I1680" s="33"/>
      <c r="J1680" s="33"/>
      <c r="K1680" s="34"/>
      <c r="L1680" s="34"/>
      <c r="M1680" s="33"/>
      <c r="N1680" s="33"/>
      <c r="O1680" s="77"/>
      <c r="P1680" s="77"/>
      <c r="Q1680" s="78"/>
      <c r="Z1680" s="79"/>
      <c r="AA1680" s="80"/>
      <c r="AB1680" s="34"/>
      <c r="AC1680" s="34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</row>
    <row r="1681" spans="1:41" ht="15.75">
      <c r="A1681" s="34"/>
      <c r="B1681" s="34"/>
      <c r="C1681" s="33"/>
      <c r="D1681" s="33"/>
      <c r="E1681" s="33"/>
      <c r="F1681" s="33"/>
      <c r="G1681" s="33"/>
      <c r="H1681" s="33"/>
      <c r="I1681" s="33"/>
      <c r="J1681" s="33"/>
      <c r="K1681" s="34"/>
      <c r="L1681" s="34"/>
      <c r="M1681" s="33"/>
      <c r="N1681" s="33"/>
      <c r="O1681" s="77"/>
      <c r="P1681" s="77"/>
      <c r="Q1681" s="78"/>
      <c r="Z1681" s="79"/>
      <c r="AA1681" s="80"/>
      <c r="AB1681" s="34"/>
      <c r="AC1681" s="34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</row>
    <row r="1682" spans="1:41" ht="15.75">
      <c r="A1682" s="34"/>
      <c r="B1682" s="34"/>
      <c r="C1682" s="33"/>
      <c r="D1682" s="33"/>
      <c r="E1682" s="33"/>
      <c r="F1682" s="33"/>
      <c r="G1682" s="33"/>
      <c r="H1682" s="33"/>
      <c r="I1682" s="33"/>
      <c r="J1682" s="33"/>
      <c r="K1682" s="34"/>
      <c r="L1682" s="34"/>
      <c r="M1682" s="33"/>
      <c r="N1682" s="33"/>
      <c r="O1682" s="77"/>
      <c r="P1682" s="77"/>
      <c r="Q1682" s="78"/>
      <c r="Z1682" s="79"/>
      <c r="AA1682" s="80"/>
      <c r="AB1682" s="34"/>
      <c r="AC1682" s="34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</row>
    <row r="1683" spans="1:41" ht="15.75">
      <c r="A1683" s="34"/>
      <c r="B1683" s="34"/>
      <c r="C1683" s="33"/>
      <c r="D1683" s="33"/>
      <c r="E1683" s="33"/>
      <c r="F1683" s="33"/>
      <c r="G1683" s="33"/>
      <c r="H1683" s="33"/>
      <c r="I1683" s="33"/>
      <c r="J1683" s="33"/>
      <c r="K1683" s="34"/>
      <c r="L1683" s="34"/>
      <c r="M1683" s="33"/>
      <c r="N1683" s="33"/>
      <c r="O1683" s="77"/>
      <c r="P1683" s="77"/>
      <c r="Q1683" s="78"/>
      <c r="Z1683" s="79"/>
      <c r="AA1683" s="80"/>
      <c r="AB1683" s="34"/>
      <c r="AC1683" s="34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</row>
    <row r="1684" spans="1:41" ht="15.75">
      <c r="A1684" s="34"/>
      <c r="B1684" s="34"/>
      <c r="C1684" s="33"/>
      <c r="D1684" s="33"/>
      <c r="E1684" s="33"/>
      <c r="F1684" s="33"/>
      <c r="G1684" s="33"/>
      <c r="H1684" s="33"/>
      <c r="I1684" s="33"/>
      <c r="J1684" s="33"/>
      <c r="K1684" s="34"/>
      <c r="L1684" s="34"/>
      <c r="M1684" s="33"/>
      <c r="N1684" s="33"/>
      <c r="O1684" s="77"/>
      <c r="P1684" s="77"/>
      <c r="Q1684" s="78"/>
      <c r="Z1684" s="79"/>
      <c r="AA1684" s="80"/>
      <c r="AB1684" s="34"/>
      <c r="AC1684" s="34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</row>
    <row r="1685" spans="1:41" ht="15.75">
      <c r="A1685" s="34"/>
      <c r="B1685" s="34"/>
      <c r="C1685" s="33"/>
      <c r="D1685" s="33"/>
      <c r="E1685" s="33"/>
      <c r="F1685" s="33"/>
      <c r="G1685" s="33"/>
      <c r="H1685" s="33"/>
      <c r="I1685" s="33"/>
      <c r="J1685" s="33"/>
      <c r="K1685" s="34"/>
      <c r="L1685" s="34"/>
      <c r="M1685" s="33"/>
      <c r="N1685" s="33"/>
      <c r="O1685" s="77"/>
      <c r="P1685" s="77"/>
      <c r="Q1685" s="78"/>
      <c r="Z1685" s="79"/>
      <c r="AA1685" s="80"/>
      <c r="AB1685" s="34"/>
      <c r="AC1685" s="34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</row>
    <row r="1686" spans="1:41" ht="15.75">
      <c r="A1686" s="34"/>
      <c r="B1686" s="34"/>
      <c r="C1686" s="33"/>
      <c r="D1686" s="33"/>
      <c r="E1686" s="33"/>
      <c r="F1686" s="33"/>
      <c r="G1686" s="33"/>
      <c r="H1686" s="33"/>
      <c r="I1686" s="33"/>
      <c r="J1686" s="33"/>
      <c r="K1686" s="34"/>
      <c r="L1686" s="34"/>
      <c r="M1686" s="33"/>
      <c r="N1686" s="33"/>
      <c r="O1686" s="77"/>
      <c r="P1686" s="77"/>
      <c r="Q1686" s="78"/>
      <c r="Z1686" s="79"/>
      <c r="AA1686" s="80"/>
      <c r="AB1686" s="34"/>
      <c r="AC1686" s="34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</row>
    <row r="1687" spans="1:41" ht="15.75">
      <c r="A1687" s="34"/>
      <c r="B1687" s="34"/>
      <c r="C1687" s="33"/>
      <c r="D1687" s="33"/>
      <c r="E1687" s="33"/>
      <c r="F1687" s="33"/>
      <c r="G1687" s="33"/>
      <c r="H1687" s="33"/>
      <c r="I1687" s="33"/>
      <c r="J1687" s="33"/>
      <c r="K1687" s="34"/>
      <c r="L1687" s="34"/>
      <c r="M1687" s="33"/>
      <c r="N1687" s="33"/>
      <c r="O1687" s="77"/>
      <c r="P1687" s="77"/>
      <c r="Q1687" s="78"/>
      <c r="Z1687" s="79"/>
      <c r="AA1687" s="80"/>
      <c r="AB1687" s="34"/>
      <c r="AC1687" s="34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</row>
    <row r="1688" spans="1:41" ht="15.75">
      <c r="A1688" s="34"/>
      <c r="B1688" s="34"/>
      <c r="C1688" s="33"/>
      <c r="D1688" s="33"/>
      <c r="E1688" s="33"/>
      <c r="F1688" s="33"/>
      <c r="G1688" s="33"/>
      <c r="H1688" s="33"/>
      <c r="I1688" s="33"/>
      <c r="J1688" s="33"/>
      <c r="K1688" s="34"/>
      <c r="L1688" s="34"/>
      <c r="M1688" s="33"/>
      <c r="N1688" s="33"/>
      <c r="O1688" s="77"/>
      <c r="P1688" s="77"/>
      <c r="Q1688" s="78"/>
      <c r="Z1688" s="79"/>
      <c r="AA1688" s="80"/>
      <c r="AB1688" s="34"/>
      <c r="AC1688" s="34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</row>
    <row r="1689" spans="1:41" ht="15.75">
      <c r="A1689" s="34"/>
      <c r="B1689" s="34"/>
      <c r="C1689" s="33"/>
      <c r="D1689" s="33"/>
      <c r="E1689" s="33"/>
      <c r="F1689" s="33"/>
      <c r="G1689" s="33"/>
      <c r="H1689" s="33"/>
      <c r="I1689" s="33"/>
      <c r="J1689" s="33"/>
      <c r="K1689" s="34"/>
      <c r="L1689" s="34"/>
      <c r="M1689" s="33"/>
      <c r="N1689" s="33"/>
      <c r="O1689" s="77"/>
      <c r="P1689" s="77"/>
      <c r="Q1689" s="78"/>
      <c r="Z1689" s="79"/>
      <c r="AA1689" s="80"/>
      <c r="AB1689" s="34"/>
      <c r="AC1689" s="34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</row>
    <row r="1690" spans="1:41" ht="15.75">
      <c r="A1690" s="34"/>
      <c r="B1690" s="34"/>
      <c r="C1690" s="33"/>
      <c r="D1690" s="33"/>
      <c r="E1690" s="33"/>
      <c r="F1690" s="33"/>
      <c r="G1690" s="33"/>
      <c r="H1690" s="33"/>
      <c r="I1690" s="33"/>
      <c r="J1690" s="33"/>
      <c r="K1690" s="34"/>
      <c r="L1690" s="34"/>
      <c r="M1690" s="33"/>
      <c r="N1690" s="33"/>
      <c r="O1690" s="77"/>
      <c r="P1690" s="77"/>
      <c r="Q1690" s="78"/>
      <c r="Z1690" s="79"/>
      <c r="AA1690" s="80"/>
      <c r="AB1690" s="34"/>
      <c r="AC1690" s="34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</row>
    <row r="1691" spans="1:41" ht="15.75">
      <c r="A1691" s="34"/>
      <c r="B1691" s="34"/>
      <c r="C1691" s="33"/>
      <c r="D1691" s="33"/>
      <c r="E1691" s="33"/>
      <c r="F1691" s="33"/>
      <c r="G1691" s="33"/>
      <c r="H1691" s="33"/>
      <c r="I1691" s="33"/>
      <c r="J1691" s="33"/>
      <c r="K1691" s="34"/>
      <c r="L1691" s="34"/>
      <c r="M1691" s="33"/>
      <c r="N1691" s="33"/>
      <c r="O1691" s="77"/>
      <c r="P1691" s="77"/>
      <c r="Q1691" s="78"/>
      <c r="Z1691" s="79"/>
      <c r="AA1691" s="80"/>
      <c r="AB1691" s="34"/>
      <c r="AC1691" s="34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</row>
    <row r="1692" spans="1:41" ht="15.75">
      <c r="A1692" s="34"/>
      <c r="B1692" s="34"/>
      <c r="C1692" s="33"/>
      <c r="D1692" s="33"/>
      <c r="E1692" s="33"/>
      <c r="F1692" s="33"/>
      <c r="G1692" s="33"/>
      <c r="H1692" s="33"/>
      <c r="I1692" s="33"/>
      <c r="J1692" s="33"/>
      <c r="K1692" s="34"/>
      <c r="L1692" s="34"/>
      <c r="M1692" s="33"/>
      <c r="N1692" s="33"/>
      <c r="O1692" s="77"/>
      <c r="P1692" s="77"/>
      <c r="Q1692" s="78"/>
      <c r="Z1692" s="79"/>
      <c r="AA1692" s="80"/>
      <c r="AB1692" s="34"/>
      <c r="AC1692" s="34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</row>
    <row r="1693" spans="1:41" ht="15.75">
      <c r="A1693" s="34"/>
      <c r="B1693" s="34"/>
      <c r="C1693" s="33"/>
      <c r="D1693" s="33"/>
      <c r="E1693" s="33"/>
      <c r="F1693" s="33"/>
      <c r="G1693" s="33"/>
      <c r="H1693" s="33"/>
      <c r="I1693" s="33"/>
      <c r="J1693" s="33"/>
      <c r="K1693" s="34"/>
      <c r="L1693" s="34"/>
      <c r="M1693" s="33"/>
      <c r="N1693" s="33"/>
      <c r="O1693" s="77"/>
      <c r="P1693" s="77"/>
      <c r="Q1693" s="78"/>
      <c r="Z1693" s="79"/>
      <c r="AA1693" s="80"/>
      <c r="AB1693" s="34"/>
      <c r="AC1693" s="34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</row>
    <row r="1694" spans="1:41" ht="15.75">
      <c r="A1694" s="34"/>
      <c r="B1694" s="34"/>
      <c r="C1694" s="33"/>
      <c r="D1694" s="33"/>
      <c r="E1694" s="33"/>
      <c r="F1694" s="33"/>
      <c r="G1694" s="33"/>
      <c r="H1694" s="33"/>
      <c r="I1694" s="33"/>
      <c r="J1694" s="33"/>
      <c r="K1694" s="34"/>
      <c r="L1694" s="34"/>
      <c r="M1694" s="33"/>
      <c r="N1694" s="33"/>
      <c r="O1694" s="77"/>
      <c r="P1694" s="77"/>
      <c r="Q1694" s="78"/>
      <c r="Z1694" s="79"/>
      <c r="AA1694" s="80"/>
      <c r="AB1694" s="34"/>
      <c r="AC1694" s="34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</row>
    <row r="1695" spans="1:41" ht="15.75">
      <c r="A1695" s="34"/>
      <c r="B1695" s="34"/>
      <c r="C1695" s="33"/>
      <c r="D1695" s="33"/>
      <c r="E1695" s="33"/>
      <c r="F1695" s="33"/>
      <c r="G1695" s="33"/>
      <c r="H1695" s="33"/>
      <c r="I1695" s="33"/>
      <c r="J1695" s="33"/>
      <c r="K1695" s="34"/>
      <c r="L1695" s="34"/>
      <c r="M1695" s="33"/>
      <c r="N1695" s="33"/>
      <c r="O1695" s="77"/>
      <c r="P1695" s="77"/>
      <c r="Q1695" s="78"/>
      <c r="Z1695" s="79"/>
      <c r="AA1695" s="80"/>
      <c r="AB1695" s="34"/>
      <c r="AC1695" s="34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</row>
    <row r="1696" spans="1:41" ht="15.75">
      <c r="A1696" s="34"/>
      <c r="B1696" s="34"/>
      <c r="C1696" s="33"/>
      <c r="D1696" s="33"/>
      <c r="E1696" s="33"/>
      <c r="F1696" s="33"/>
      <c r="G1696" s="33"/>
      <c r="H1696" s="33"/>
      <c r="I1696" s="33"/>
      <c r="J1696" s="33"/>
      <c r="K1696" s="34"/>
      <c r="L1696" s="34"/>
      <c r="M1696" s="33"/>
      <c r="N1696" s="33"/>
      <c r="O1696" s="77"/>
      <c r="P1696" s="77"/>
      <c r="Q1696" s="78"/>
      <c r="Z1696" s="79"/>
      <c r="AA1696" s="80"/>
      <c r="AB1696" s="34"/>
      <c r="AC1696" s="34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</row>
    <row r="1697" spans="1:41" ht="15.75">
      <c r="A1697" s="34"/>
      <c r="B1697" s="34"/>
      <c r="C1697" s="33"/>
      <c r="D1697" s="33"/>
      <c r="E1697" s="33"/>
      <c r="F1697" s="33"/>
      <c r="G1697" s="33"/>
      <c r="H1697" s="33"/>
      <c r="I1697" s="33"/>
      <c r="J1697" s="33"/>
      <c r="K1697" s="34"/>
      <c r="L1697" s="34"/>
      <c r="M1697" s="33"/>
      <c r="N1697" s="33"/>
      <c r="O1697" s="77"/>
      <c r="P1697" s="77"/>
      <c r="Q1697" s="78"/>
      <c r="Z1697" s="79"/>
      <c r="AA1697" s="80"/>
      <c r="AB1697" s="34"/>
      <c r="AC1697" s="34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</row>
    <row r="1698" spans="1:41" ht="15.75">
      <c r="A1698" s="34"/>
      <c r="B1698" s="34"/>
      <c r="C1698" s="33"/>
      <c r="D1698" s="33"/>
      <c r="E1698" s="33"/>
      <c r="F1698" s="33"/>
      <c r="G1698" s="33"/>
      <c r="H1698" s="33"/>
      <c r="I1698" s="33"/>
      <c r="J1698" s="33"/>
      <c r="K1698" s="34"/>
      <c r="L1698" s="34"/>
      <c r="M1698" s="33"/>
      <c r="N1698" s="33"/>
      <c r="O1698" s="77"/>
      <c r="P1698" s="77"/>
      <c r="Q1698" s="78"/>
      <c r="Z1698" s="79"/>
      <c r="AA1698" s="80"/>
      <c r="AB1698" s="34"/>
      <c r="AC1698" s="34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</row>
    <row r="1699" spans="1:41" ht="15.75">
      <c r="A1699" s="34"/>
      <c r="B1699" s="34"/>
      <c r="C1699" s="33"/>
      <c r="D1699" s="33"/>
      <c r="E1699" s="33"/>
      <c r="F1699" s="33"/>
      <c r="G1699" s="33"/>
      <c r="H1699" s="33"/>
      <c r="I1699" s="33"/>
      <c r="J1699" s="33"/>
      <c r="K1699" s="34"/>
      <c r="L1699" s="34"/>
      <c r="M1699" s="33"/>
      <c r="N1699" s="33"/>
      <c r="O1699" s="77"/>
      <c r="P1699" s="77"/>
      <c r="Q1699" s="78"/>
      <c r="Z1699" s="79"/>
      <c r="AA1699" s="80"/>
      <c r="AB1699" s="34"/>
      <c r="AC1699" s="34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</row>
    <row r="1700" spans="1:41" ht="15.75">
      <c r="A1700" s="34"/>
      <c r="B1700" s="34"/>
      <c r="C1700" s="33"/>
      <c r="D1700" s="33"/>
      <c r="E1700" s="33"/>
      <c r="F1700" s="33"/>
      <c r="G1700" s="33"/>
      <c r="H1700" s="33"/>
      <c r="I1700" s="33"/>
      <c r="J1700" s="33"/>
      <c r="K1700" s="34"/>
      <c r="L1700" s="34"/>
      <c r="M1700" s="33"/>
      <c r="N1700" s="33"/>
      <c r="O1700" s="77"/>
      <c r="P1700" s="77"/>
      <c r="Q1700" s="78"/>
      <c r="Z1700" s="79"/>
      <c r="AA1700" s="80"/>
      <c r="AB1700" s="34"/>
      <c r="AC1700" s="34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</row>
    <row r="1701" spans="1:41" ht="15.75">
      <c r="A1701" s="34"/>
      <c r="B1701" s="34"/>
      <c r="C1701" s="33"/>
      <c r="D1701" s="33"/>
      <c r="E1701" s="33"/>
      <c r="F1701" s="33"/>
      <c r="G1701" s="33"/>
      <c r="H1701" s="33"/>
      <c r="I1701" s="33"/>
      <c r="J1701" s="33"/>
      <c r="K1701" s="34"/>
      <c r="L1701" s="34"/>
      <c r="M1701" s="33"/>
      <c r="N1701" s="33"/>
      <c r="O1701" s="77"/>
      <c r="P1701" s="77"/>
      <c r="Q1701" s="78"/>
      <c r="Z1701" s="79"/>
      <c r="AA1701" s="80"/>
      <c r="AB1701" s="34"/>
      <c r="AC1701" s="34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</row>
    <row r="1702" spans="1:41" ht="15.75">
      <c r="A1702" s="34"/>
      <c r="B1702" s="34"/>
      <c r="C1702" s="33"/>
      <c r="D1702" s="33"/>
      <c r="E1702" s="33"/>
      <c r="F1702" s="33"/>
      <c r="G1702" s="33"/>
      <c r="H1702" s="33"/>
      <c r="I1702" s="33"/>
      <c r="J1702" s="33"/>
      <c r="K1702" s="34"/>
      <c r="L1702" s="34"/>
      <c r="M1702" s="33"/>
      <c r="N1702" s="33"/>
      <c r="O1702" s="77"/>
      <c r="P1702" s="77"/>
      <c r="Q1702" s="78"/>
      <c r="Z1702" s="79"/>
      <c r="AA1702" s="80"/>
      <c r="AB1702" s="34"/>
      <c r="AC1702" s="34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</row>
    <row r="1703" spans="1:41" ht="15.75">
      <c r="A1703" s="34"/>
      <c r="B1703" s="34"/>
      <c r="C1703" s="33"/>
      <c r="D1703" s="33"/>
      <c r="E1703" s="33"/>
      <c r="F1703" s="33"/>
      <c r="G1703" s="33"/>
      <c r="H1703" s="33"/>
      <c r="I1703" s="33"/>
      <c r="J1703" s="33"/>
      <c r="K1703" s="34"/>
      <c r="L1703" s="34"/>
      <c r="M1703" s="33"/>
      <c r="N1703" s="33"/>
      <c r="O1703" s="1292">
        <f>D1703</f>
        <v>0</v>
      </c>
      <c r="P1703" s="1292"/>
      <c r="Q1703" s="78"/>
      <c r="Z1703" s="79"/>
      <c r="AA1703" s="80"/>
      <c r="AB1703" s="34"/>
      <c r="AC1703" s="34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</row>
    <row r="1704" spans="1:41" ht="15.75">
      <c r="A1704" s="34"/>
      <c r="B1704" s="34"/>
      <c r="C1704" s="33"/>
      <c r="D1704" s="33"/>
      <c r="E1704" s="33"/>
      <c r="F1704" s="33"/>
      <c r="G1704" s="33"/>
      <c r="H1704" s="33"/>
      <c r="I1704" s="33"/>
      <c r="J1704" s="33"/>
      <c r="K1704" s="34"/>
      <c r="L1704" s="34"/>
      <c r="M1704" s="33"/>
      <c r="N1704" s="33"/>
      <c r="O1704" s="77"/>
      <c r="P1704" s="77"/>
      <c r="Q1704" s="78"/>
      <c r="Z1704" s="79"/>
      <c r="AA1704" s="80"/>
      <c r="AB1704" s="34"/>
      <c r="AC1704" s="34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</row>
    <row r="1705" spans="1:41" ht="15.75">
      <c r="A1705" s="34"/>
      <c r="B1705" s="34"/>
      <c r="C1705" s="33"/>
      <c r="D1705" s="33"/>
      <c r="E1705" s="33"/>
      <c r="F1705" s="33"/>
      <c r="G1705" s="33"/>
      <c r="H1705" s="33"/>
      <c r="I1705" s="33"/>
      <c r="J1705" s="33"/>
      <c r="K1705" s="34"/>
      <c r="L1705" s="34"/>
      <c r="M1705" s="33"/>
      <c r="N1705" s="33"/>
      <c r="Z1705" s="79"/>
      <c r="AA1705" s="80"/>
      <c r="AB1705" s="34"/>
      <c r="AC1705" s="34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</row>
    <row r="1706" spans="1:41" ht="23.25">
      <c r="A1706" s="34"/>
      <c r="B1706" s="34"/>
      <c r="C1706" s="33"/>
      <c r="D1706" s="33"/>
      <c r="E1706" s="33"/>
      <c r="F1706" s="33"/>
      <c r="G1706" s="33"/>
      <c r="H1706" s="33"/>
      <c r="I1706" s="33"/>
      <c r="J1706" s="33"/>
      <c r="K1706" s="34"/>
      <c r="L1706" s="34"/>
      <c r="M1706" s="33"/>
      <c r="N1706" s="33"/>
      <c r="O1706" s="152"/>
      <c r="R1706" s="78"/>
      <c r="Z1706" s="79"/>
      <c r="AA1706" s="80"/>
      <c r="AB1706" s="34"/>
      <c r="AC1706" s="34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</row>
    <row r="1707" spans="1:41" ht="23.25">
      <c r="A1707" s="34"/>
      <c r="B1707" s="34"/>
      <c r="C1707" s="33"/>
      <c r="D1707" s="33"/>
      <c r="E1707" s="33"/>
      <c r="F1707" s="33"/>
      <c r="G1707" s="33"/>
      <c r="H1707" s="33"/>
      <c r="I1707" s="33"/>
      <c r="J1707" s="33"/>
      <c r="K1707" s="34"/>
      <c r="L1707" s="34"/>
      <c r="M1707" s="33"/>
      <c r="N1707" s="33"/>
      <c r="O1707" s="152"/>
      <c r="R1707" s="78"/>
      <c r="Z1707" s="79"/>
      <c r="AA1707" s="80"/>
      <c r="AB1707" s="34"/>
      <c r="AC1707" s="34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</row>
    <row r="1708" spans="1:41" ht="23.25">
      <c r="A1708" s="34"/>
      <c r="B1708" s="34"/>
      <c r="C1708" s="33"/>
      <c r="D1708" s="33"/>
      <c r="E1708" s="33"/>
      <c r="F1708" s="33"/>
      <c r="G1708" s="33"/>
      <c r="H1708" s="33"/>
      <c r="I1708" s="33"/>
      <c r="J1708" s="33"/>
      <c r="K1708" s="34"/>
      <c r="L1708" s="34"/>
      <c r="M1708" s="33"/>
      <c r="N1708" s="33"/>
      <c r="O1708" s="152"/>
      <c r="Z1708" s="79"/>
      <c r="AA1708" s="80"/>
      <c r="AB1708" s="34"/>
      <c r="AC1708" s="34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</row>
    <row r="1709" spans="1:41" ht="15.75">
      <c r="A1709" s="34"/>
      <c r="B1709" s="34"/>
      <c r="C1709" s="33"/>
      <c r="D1709" s="33"/>
      <c r="E1709" s="33"/>
      <c r="F1709" s="33"/>
      <c r="G1709" s="33"/>
      <c r="H1709" s="33"/>
      <c r="I1709" s="33"/>
      <c r="J1709" s="33"/>
      <c r="K1709" s="34"/>
      <c r="L1709" s="34"/>
      <c r="M1709" s="33"/>
      <c r="N1709" s="33"/>
      <c r="O1709" s="77"/>
      <c r="P1709" s="77"/>
      <c r="Q1709" s="78"/>
      <c r="Z1709" s="79"/>
      <c r="AA1709" s="80"/>
      <c r="AB1709" s="34"/>
      <c r="AC1709" s="34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</row>
    <row r="1710" spans="1:41" ht="15.75">
      <c r="A1710" s="34"/>
      <c r="B1710" s="34"/>
      <c r="C1710" s="33"/>
      <c r="D1710" s="33"/>
      <c r="E1710" s="33"/>
      <c r="F1710" s="33"/>
      <c r="G1710" s="33"/>
      <c r="H1710" s="33"/>
      <c r="I1710" s="33"/>
      <c r="J1710" s="33"/>
      <c r="K1710" s="34"/>
      <c r="L1710" s="34"/>
      <c r="M1710" s="33"/>
      <c r="N1710" s="33"/>
      <c r="O1710" s="77"/>
      <c r="P1710" s="77"/>
      <c r="Q1710" s="78">
        <f>G1710+H1710+H1712+J1710</f>
        <v>0</v>
      </c>
      <c r="Z1710" s="79"/>
      <c r="AA1710" s="80"/>
      <c r="AB1710" s="34"/>
      <c r="AC1710" s="34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</row>
    <row r="1711" spans="1:41" ht="15.75">
      <c r="A1711" s="34"/>
      <c r="B1711" s="34"/>
      <c r="C1711" s="33"/>
      <c r="D1711" s="33"/>
      <c r="E1711" s="33"/>
      <c r="F1711" s="33"/>
      <c r="G1711" s="33"/>
      <c r="H1711" s="33"/>
      <c r="I1711" s="33"/>
      <c r="J1711" s="33"/>
      <c r="K1711" s="34"/>
      <c r="L1711" s="34"/>
      <c r="M1711" s="33"/>
      <c r="N1711" s="33"/>
      <c r="O1711" s="77"/>
      <c r="P1711" s="77"/>
      <c r="Q1711" s="78"/>
      <c r="Z1711" s="79"/>
      <c r="AA1711" s="80"/>
      <c r="AB1711" s="34"/>
      <c r="AC1711" s="34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</row>
    <row r="1712" spans="1:41" ht="15.75">
      <c r="A1712" s="34"/>
      <c r="B1712" s="34"/>
      <c r="C1712" s="33"/>
      <c r="D1712" s="33"/>
      <c r="E1712" s="33"/>
      <c r="F1712" s="33"/>
      <c r="G1712" s="33"/>
      <c r="H1712" s="33"/>
      <c r="I1712" s="33"/>
      <c r="J1712" s="33"/>
      <c r="K1712" s="34"/>
      <c r="L1712" s="34"/>
      <c r="M1712" s="33"/>
      <c r="N1712" s="33"/>
      <c r="O1712" s="77"/>
      <c r="P1712" s="77"/>
      <c r="Q1712" s="78"/>
      <c r="Z1712" s="79"/>
      <c r="AA1712" s="80"/>
      <c r="AB1712" s="34"/>
      <c r="AC1712" s="34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</row>
    <row r="1713" spans="1:41" ht="15.75">
      <c r="A1713" s="34"/>
      <c r="B1713" s="34"/>
      <c r="C1713" s="33"/>
      <c r="D1713" s="33"/>
      <c r="E1713" s="33"/>
      <c r="F1713" s="33"/>
      <c r="G1713" s="33"/>
      <c r="H1713" s="33"/>
      <c r="I1713" s="33"/>
      <c r="J1713" s="33"/>
      <c r="K1713" s="34"/>
      <c r="L1713" s="34"/>
      <c r="M1713" s="33"/>
      <c r="N1713" s="33"/>
      <c r="O1713" s="77"/>
      <c r="P1713" s="77"/>
      <c r="Q1713" s="78"/>
      <c r="Z1713" s="79"/>
      <c r="AA1713" s="80"/>
      <c r="AB1713" s="34"/>
      <c r="AC1713" s="34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</row>
    <row r="1714" spans="1:41" ht="15.75">
      <c r="A1714" s="34"/>
      <c r="B1714" s="34"/>
      <c r="C1714" s="33"/>
      <c r="D1714" s="33"/>
      <c r="E1714" s="33"/>
      <c r="F1714" s="33"/>
      <c r="G1714" s="33"/>
      <c r="H1714" s="33"/>
      <c r="I1714" s="33"/>
      <c r="J1714" s="33"/>
      <c r="K1714" s="34"/>
      <c r="L1714" s="34"/>
      <c r="M1714" s="33"/>
      <c r="N1714" s="33"/>
      <c r="O1714" s="77"/>
      <c r="P1714" s="77"/>
      <c r="Q1714" s="78"/>
      <c r="Z1714" s="79"/>
      <c r="AA1714" s="80"/>
      <c r="AB1714" s="34"/>
      <c r="AC1714" s="34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</row>
    <row r="1715" spans="1:41" ht="15.75">
      <c r="A1715" s="34"/>
      <c r="B1715" s="34"/>
      <c r="C1715" s="33"/>
      <c r="D1715" s="33"/>
      <c r="E1715" s="33"/>
      <c r="F1715" s="33"/>
      <c r="G1715" s="33"/>
      <c r="H1715" s="33"/>
      <c r="I1715" s="33"/>
      <c r="J1715" s="33"/>
      <c r="K1715" s="34"/>
      <c r="L1715" s="34"/>
      <c r="M1715" s="33"/>
      <c r="N1715" s="33"/>
      <c r="O1715" s="77"/>
      <c r="P1715" s="77"/>
      <c r="Q1715" s="78"/>
      <c r="Z1715" s="79"/>
      <c r="AA1715" s="80"/>
      <c r="AB1715" s="34"/>
      <c r="AC1715" s="34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</row>
    <row r="1716" spans="1:41" ht="15.75">
      <c r="A1716" s="34"/>
      <c r="B1716" s="34"/>
      <c r="C1716" s="33"/>
      <c r="D1716" s="33"/>
      <c r="E1716" s="33"/>
      <c r="F1716" s="33"/>
      <c r="G1716" s="33"/>
      <c r="H1716" s="33"/>
      <c r="I1716" s="33"/>
      <c r="J1716" s="33"/>
      <c r="K1716" s="34"/>
      <c r="L1716" s="34"/>
      <c r="M1716" s="33"/>
      <c r="N1716" s="33"/>
      <c r="O1716" s="77"/>
      <c r="P1716" s="77"/>
      <c r="Q1716" s="78"/>
      <c r="Z1716" s="79"/>
      <c r="AA1716" s="80"/>
      <c r="AB1716" s="34"/>
      <c r="AC1716" s="34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</row>
    <row r="1717" spans="1:41" ht="15.75">
      <c r="A1717" s="34"/>
      <c r="B1717" s="34"/>
      <c r="C1717" s="33"/>
      <c r="D1717" s="33"/>
      <c r="E1717" s="33"/>
      <c r="F1717" s="33"/>
      <c r="G1717" s="33"/>
      <c r="H1717" s="33"/>
      <c r="I1717" s="33"/>
      <c r="J1717" s="33"/>
      <c r="K1717" s="34"/>
      <c r="L1717" s="34"/>
      <c r="M1717" s="33"/>
      <c r="N1717" s="33"/>
      <c r="O1717" s="77"/>
      <c r="P1717" s="77"/>
      <c r="Q1717" s="78"/>
      <c r="Z1717" s="79"/>
      <c r="AA1717" s="80"/>
      <c r="AB1717" s="34"/>
      <c r="AC1717" s="34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</row>
    <row r="1718" spans="1:41" ht="15.75">
      <c r="A1718" s="34"/>
      <c r="B1718" s="34"/>
      <c r="C1718" s="33"/>
      <c r="D1718" s="33"/>
      <c r="E1718" s="33"/>
      <c r="F1718" s="33"/>
      <c r="G1718" s="33"/>
      <c r="H1718" s="33"/>
      <c r="I1718" s="33"/>
      <c r="J1718" s="33"/>
      <c r="K1718" s="34"/>
      <c r="L1718" s="34"/>
      <c r="M1718" s="33"/>
      <c r="N1718" s="33"/>
      <c r="O1718" s="77"/>
      <c r="P1718" s="77"/>
      <c r="Q1718" s="78"/>
      <c r="Z1718" s="79"/>
      <c r="AA1718" s="80"/>
      <c r="AB1718" s="34"/>
      <c r="AC1718" s="34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</row>
    <row r="1719" spans="1:41" ht="15.75">
      <c r="A1719" s="34"/>
      <c r="B1719" s="34"/>
      <c r="C1719" s="33"/>
      <c r="D1719" s="33"/>
      <c r="E1719" s="33"/>
      <c r="F1719" s="33"/>
      <c r="G1719" s="33"/>
      <c r="H1719" s="33"/>
      <c r="I1719" s="33"/>
      <c r="J1719" s="33"/>
      <c r="K1719" s="34"/>
      <c r="L1719" s="34"/>
      <c r="M1719" s="33"/>
      <c r="N1719" s="33"/>
      <c r="O1719" s="77"/>
      <c r="P1719" s="77"/>
      <c r="Q1719" s="78"/>
      <c r="Z1719" s="79"/>
      <c r="AA1719" s="80"/>
      <c r="AB1719" s="34"/>
      <c r="AC1719" s="34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</row>
    <row r="1720" spans="1:41" ht="15.75">
      <c r="A1720" s="34"/>
      <c r="B1720" s="34"/>
      <c r="C1720" s="33"/>
      <c r="D1720" s="33"/>
      <c r="E1720" s="33"/>
      <c r="F1720" s="33"/>
      <c r="G1720" s="33"/>
      <c r="H1720" s="33"/>
      <c r="I1720" s="33"/>
      <c r="J1720" s="33"/>
      <c r="K1720" s="34"/>
      <c r="L1720" s="34"/>
      <c r="M1720" s="33"/>
      <c r="N1720" s="33"/>
      <c r="O1720" s="77"/>
      <c r="P1720" s="77"/>
      <c r="Q1720" s="78"/>
      <c r="Z1720" s="79"/>
      <c r="AA1720" s="80"/>
      <c r="AB1720" s="34"/>
      <c r="AC1720" s="34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</row>
    <row r="1721" spans="1:41" ht="15.75">
      <c r="A1721" s="34"/>
      <c r="B1721" s="34"/>
      <c r="C1721" s="33"/>
      <c r="D1721" s="33"/>
      <c r="E1721" s="33"/>
      <c r="F1721" s="33"/>
      <c r="G1721" s="33"/>
      <c r="H1721" s="33"/>
      <c r="I1721" s="33"/>
      <c r="J1721" s="33"/>
      <c r="K1721" s="34"/>
      <c r="L1721" s="34"/>
      <c r="M1721" s="33"/>
      <c r="N1721" s="33"/>
      <c r="O1721" s="77"/>
      <c r="P1721" s="77"/>
      <c r="Q1721" s="78"/>
      <c r="Z1721" s="79"/>
      <c r="AA1721" s="80"/>
      <c r="AB1721" s="34"/>
      <c r="AC1721" s="34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</row>
    <row r="1722" spans="1:41" ht="15.75">
      <c r="A1722" s="34"/>
      <c r="B1722" s="34"/>
      <c r="C1722" s="33"/>
      <c r="D1722" s="33"/>
      <c r="E1722" s="33"/>
      <c r="F1722" s="33"/>
      <c r="G1722" s="33"/>
      <c r="H1722" s="33"/>
      <c r="I1722" s="33"/>
      <c r="J1722" s="33"/>
      <c r="K1722" s="34"/>
      <c r="L1722" s="34"/>
      <c r="M1722" s="33"/>
      <c r="N1722" s="33"/>
      <c r="O1722" s="77"/>
      <c r="P1722" s="77"/>
      <c r="Q1722" s="78"/>
      <c r="Z1722" s="79"/>
      <c r="AA1722" s="80"/>
      <c r="AB1722" s="34"/>
      <c r="AC1722" s="34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</row>
    <row r="1723" spans="1:41" ht="15.75">
      <c r="A1723" s="34"/>
      <c r="B1723" s="34"/>
      <c r="C1723" s="33"/>
      <c r="D1723" s="33"/>
      <c r="E1723" s="33"/>
      <c r="F1723" s="33"/>
      <c r="G1723" s="33"/>
      <c r="H1723" s="33"/>
      <c r="I1723" s="33"/>
      <c r="J1723" s="33"/>
      <c r="K1723" s="34"/>
      <c r="L1723" s="34"/>
      <c r="M1723" s="33"/>
      <c r="N1723" s="33"/>
      <c r="O1723" s="77"/>
      <c r="P1723" s="77"/>
      <c r="Q1723" s="78"/>
      <c r="Z1723" s="79"/>
      <c r="AA1723" s="80"/>
      <c r="AB1723" s="34"/>
      <c r="AC1723" s="34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</row>
    <row r="1724" spans="1:41" ht="15.75">
      <c r="A1724" s="34"/>
      <c r="B1724" s="34"/>
      <c r="C1724" s="33"/>
      <c r="D1724" s="33"/>
      <c r="E1724" s="33"/>
      <c r="F1724" s="33"/>
      <c r="G1724" s="33"/>
      <c r="H1724" s="33"/>
      <c r="I1724" s="33"/>
      <c r="J1724" s="33"/>
      <c r="K1724" s="34"/>
      <c r="L1724" s="34"/>
      <c r="M1724" s="33"/>
      <c r="N1724" s="33"/>
      <c r="O1724" s="77"/>
      <c r="P1724" s="77"/>
      <c r="Q1724" s="78"/>
      <c r="Z1724" s="79"/>
      <c r="AA1724" s="80"/>
      <c r="AB1724" s="34"/>
      <c r="AC1724" s="34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</row>
    <row r="1725" spans="1:41" ht="15.75">
      <c r="A1725" s="34"/>
      <c r="B1725" s="34"/>
      <c r="C1725" s="33"/>
      <c r="D1725" s="33"/>
      <c r="E1725" s="33"/>
      <c r="F1725" s="33"/>
      <c r="G1725" s="33"/>
      <c r="H1725" s="33"/>
      <c r="I1725" s="33"/>
      <c r="J1725" s="33"/>
      <c r="K1725" s="34"/>
      <c r="L1725" s="34"/>
      <c r="M1725" s="33"/>
      <c r="N1725" s="33"/>
      <c r="O1725" s="77"/>
      <c r="P1725" s="77"/>
      <c r="Q1725" s="78"/>
      <c r="Z1725" s="79"/>
      <c r="AA1725" s="80"/>
      <c r="AB1725" s="34"/>
      <c r="AC1725" s="34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</row>
    <row r="1726" spans="1:41" ht="15.75">
      <c r="A1726" s="34"/>
      <c r="B1726" s="34"/>
      <c r="C1726" s="33"/>
      <c r="D1726" s="33"/>
      <c r="E1726" s="33"/>
      <c r="F1726" s="33"/>
      <c r="G1726" s="33"/>
      <c r="H1726" s="33"/>
      <c r="I1726" s="33"/>
      <c r="J1726" s="33"/>
      <c r="K1726" s="34"/>
      <c r="L1726" s="34"/>
      <c r="M1726" s="33"/>
      <c r="N1726" s="33"/>
      <c r="O1726" s="77"/>
      <c r="P1726" s="77"/>
      <c r="Q1726" s="78"/>
      <c r="Z1726" s="79"/>
      <c r="AA1726" s="80"/>
      <c r="AB1726" s="34"/>
      <c r="AC1726" s="34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</row>
    <row r="1727" spans="1:41" ht="15.75">
      <c r="A1727" s="34"/>
      <c r="B1727" s="34"/>
      <c r="C1727" s="33"/>
      <c r="D1727" s="33"/>
      <c r="E1727" s="33"/>
      <c r="F1727" s="33"/>
      <c r="G1727" s="33"/>
      <c r="H1727" s="33"/>
      <c r="I1727" s="33"/>
      <c r="J1727" s="33"/>
      <c r="K1727" s="34"/>
      <c r="L1727" s="34"/>
      <c r="M1727" s="33"/>
      <c r="N1727" s="33"/>
      <c r="O1727" s="77"/>
      <c r="P1727" s="77"/>
      <c r="Q1727" s="78"/>
      <c r="Z1727" s="79"/>
      <c r="AA1727" s="80"/>
      <c r="AB1727" s="34"/>
      <c r="AC1727" s="34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</row>
    <row r="1728" spans="1:41" ht="15.75">
      <c r="A1728" s="34"/>
      <c r="B1728" s="34"/>
      <c r="C1728" s="33"/>
      <c r="D1728" s="33"/>
      <c r="E1728" s="33"/>
      <c r="F1728" s="33"/>
      <c r="G1728" s="33"/>
      <c r="H1728" s="33"/>
      <c r="I1728" s="33"/>
      <c r="J1728" s="33"/>
      <c r="K1728" s="34"/>
      <c r="L1728" s="34"/>
      <c r="M1728" s="33"/>
      <c r="N1728" s="33"/>
      <c r="O1728" s="77"/>
      <c r="P1728" s="77"/>
      <c r="Q1728" s="78"/>
      <c r="Z1728" s="79"/>
      <c r="AA1728" s="80"/>
      <c r="AB1728" s="34"/>
      <c r="AC1728" s="34"/>
      <c r="AD1728" s="33"/>
      <c r="AE1728" s="33"/>
      <c r="AF1728" s="33"/>
      <c r="AG1728" s="33"/>
      <c r="AH1728" s="33"/>
      <c r="AI1728" s="33"/>
      <c r="AJ1728" s="33"/>
      <c r="AK1728" s="33"/>
      <c r="AL1728" s="33"/>
      <c r="AM1728" s="33"/>
      <c r="AN1728" s="33"/>
      <c r="AO1728" s="33"/>
    </row>
    <row r="1729" spans="1:41" ht="15.75">
      <c r="A1729" s="34"/>
      <c r="B1729" s="34"/>
      <c r="C1729" s="33"/>
      <c r="D1729" s="33"/>
      <c r="E1729" s="33"/>
      <c r="F1729" s="33"/>
      <c r="G1729" s="33"/>
      <c r="H1729" s="33"/>
      <c r="I1729" s="33"/>
      <c r="J1729" s="33"/>
      <c r="K1729" s="34"/>
      <c r="L1729" s="34"/>
      <c r="M1729" s="33"/>
      <c r="N1729" s="33"/>
      <c r="O1729" s="77"/>
      <c r="P1729" s="77"/>
      <c r="Q1729" s="78"/>
      <c r="Z1729" s="79"/>
      <c r="AA1729" s="80"/>
      <c r="AB1729" s="34"/>
      <c r="AC1729" s="34"/>
      <c r="AD1729" s="33"/>
      <c r="AE1729" s="33"/>
      <c r="AF1729" s="33"/>
      <c r="AG1729" s="33"/>
      <c r="AH1729" s="33"/>
      <c r="AI1729" s="33"/>
      <c r="AJ1729" s="33"/>
      <c r="AK1729" s="33"/>
      <c r="AL1729" s="33"/>
      <c r="AM1729" s="33"/>
      <c r="AN1729" s="33"/>
      <c r="AO1729" s="33"/>
    </row>
    <row r="1730" spans="1:41" ht="15.75">
      <c r="A1730" s="34"/>
      <c r="B1730" s="34"/>
      <c r="C1730" s="33"/>
      <c r="D1730" s="33"/>
      <c r="E1730" s="33"/>
      <c r="F1730" s="33"/>
      <c r="G1730" s="33"/>
      <c r="H1730" s="33"/>
      <c r="I1730" s="33"/>
      <c r="J1730" s="33"/>
      <c r="K1730" s="34"/>
      <c r="L1730" s="34"/>
      <c r="M1730" s="33"/>
      <c r="N1730" s="33"/>
      <c r="O1730" s="77"/>
      <c r="P1730" s="77"/>
      <c r="Q1730" s="78"/>
      <c r="Z1730" s="79"/>
      <c r="AA1730" s="80"/>
      <c r="AB1730" s="34"/>
      <c r="AC1730" s="34"/>
      <c r="AD1730" s="33"/>
      <c r="AE1730" s="33"/>
      <c r="AF1730" s="33"/>
      <c r="AG1730" s="33"/>
      <c r="AH1730" s="33"/>
      <c r="AI1730" s="33"/>
      <c r="AJ1730" s="33"/>
      <c r="AK1730" s="33"/>
      <c r="AL1730" s="33"/>
      <c r="AM1730" s="33"/>
      <c r="AN1730" s="33"/>
      <c r="AO1730" s="33"/>
    </row>
    <row r="1731" spans="1:41" ht="15.75">
      <c r="A1731" s="34"/>
      <c r="B1731" s="34"/>
      <c r="C1731" s="33"/>
      <c r="D1731" s="33"/>
      <c r="E1731" s="33"/>
      <c r="F1731" s="33"/>
      <c r="G1731" s="33"/>
      <c r="H1731" s="33"/>
      <c r="I1731" s="33"/>
      <c r="J1731" s="33"/>
      <c r="K1731" s="34"/>
      <c r="L1731" s="34"/>
      <c r="M1731" s="33"/>
      <c r="N1731" s="33"/>
      <c r="O1731" s="77"/>
      <c r="P1731" s="77"/>
      <c r="Q1731" s="78"/>
      <c r="Z1731" s="79"/>
      <c r="AA1731" s="80"/>
      <c r="AB1731" s="34"/>
      <c r="AC1731" s="34"/>
      <c r="AD1731" s="33"/>
      <c r="AE1731" s="33"/>
      <c r="AF1731" s="33"/>
      <c r="AG1731" s="33"/>
      <c r="AH1731" s="33"/>
      <c r="AI1731" s="33"/>
      <c r="AJ1731" s="33"/>
      <c r="AK1731" s="33"/>
      <c r="AL1731" s="33"/>
      <c r="AM1731" s="33"/>
      <c r="AN1731" s="33"/>
      <c r="AO1731" s="33"/>
    </row>
    <row r="1732" spans="1:41" ht="15.75">
      <c r="A1732" s="34"/>
      <c r="B1732" s="34"/>
      <c r="C1732" s="33"/>
      <c r="D1732" s="33"/>
      <c r="E1732" s="33"/>
      <c r="F1732" s="33"/>
      <c r="G1732" s="33"/>
      <c r="H1732" s="33"/>
      <c r="I1732" s="33"/>
      <c r="J1732" s="33"/>
      <c r="K1732" s="34"/>
      <c r="L1732" s="34"/>
      <c r="M1732" s="33"/>
      <c r="N1732" s="33"/>
      <c r="O1732" s="77"/>
      <c r="P1732" s="77"/>
      <c r="Q1732" s="78"/>
      <c r="Z1732" s="79"/>
      <c r="AA1732" s="80"/>
      <c r="AB1732" s="34"/>
      <c r="AC1732" s="34"/>
      <c r="AD1732" s="33"/>
      <c r="AE1732" s="33"/>
      <c r="AF1732" s="33"/>
      <c r="AG1732" s="33"/>
      <c r="AH1732" s="33"/>
      <c r="AI1732" s="33"/>
      <c r="AJ1732" s="33"/>
      <c r="AK1732" s="33"/>
      <c r="AL1732" s="33"/>
      <c r="AM1732" s="33"/>
      <c r="AN1732" s="33"/>
      <c r="AO1732" s="33"/>
    </row>
    <row r="1733" spans="1:41" ht="15.75">
      <c r="A1733" s="34"/>
      <c r="B1733" s="34"/>
      <c r="C1733" s="33"/>
      <c r="D1733" s="33"/>
      <c r="E1733" s="33"/>
      <c r="F1733" s="33"/>
      <c r="G1733" s="33"/>
      <c r="H1733" s="33"/>
      <c r="I1733" s="33"/>
      <c r="J1733" s="33"/>
      <c r="K1733" s="34"/>
      <c r="L1733" s="34"/>
      <c r="M1733" s="33"/>
      <c r="N1733" s="33"/>
      <c r="O1733" s="77"/>
      <c r="P1733" s="77"/>
      <c r="Q1733" s="78"/>
      <c r="Z1733" s="79"/>
      <c r="AA1733" s="80"/>
      <c r="AB1733" s="34"/>
      <c r="AC1733" s="34"/>
      <c r="AD1733" s="33"/>
      <c r="AE1733" s="33"/>
      <c r="AF1733" s="33"/>
      <c r="AG1733" s="33"/>
      <c r="AH1733" s="33"/>
      <c r="AI1733" s="33"/>
      <c r="AJ1733" s="33"/>
      <c r="AK1733" s="33"/>
      <c r="AL1733" s="33"/>
      <c r="AM1733" s="33"/>
      <c r="AN1733" s="33"/>
      <c r="AO1733" s="33"/>
    </row>
    <row r="1734" spans="1:41" ht="15.75">
      <c r="A1734" s="34"/>
      <c r="B1734" s="34"/>
      <c r="C1734" s="33"/>
      <c r="D1734" s="33"/>
      <c r="E1734" s="33"/>
      <c r="F1734" s="33"/>
      <c r="G1734" s="33"/>
      <c r="H1734" s="33"/>
      <c r="I1734" s="33"/>
      <c r="J1734" s="33"/>
      <c r="K1734" s="34"/>
      <c r="L1734" s="34"/>
      <c r="M1734" s="33"/>
      <c r="N1734" s="33"/>
      <c r="O1734" s="77"/>
      <c r="P1734" s="77"/>
      <c r="Q1734" s="78"/>
      <c r="Z1734" s="79"/>
      <c r="AA1734" s="80"/>
      <c r="AB1734" s="34"/>
      <c r="AC1734" s="34"/>
      <c r="AD1734" s="33"/>
      <c r="AE1734" s="33"/>
      <c r="AF1734" s="33"/>
      <c r="AG1734" s="33"/>
      <c r="AH1734" s="33"/>
      <c r="AI1734" s="33"/>
      <c r="AJ1734" s="33"/>
      <c r="AK1734" s="33"/>
      <c r="AL1734" s="33"/>
      <c r="AM1734" s="33"/>
      <c r="AN1734" s="33"/>
      <c r="AO1734" s="33"/>
    </row>
    <row r="1735" spans="1:41" ht="15.75">
      <c r="A1735" s="34"/>
      <c r="B1735" s="34"/>
      <c r="C1735" s="33"/>
      <c r="D1735" s="33"/>
      <c r="E1735" s="33"/>
      <c r="F1735" s="33"/>
      <c r="G1735" s="33"/>
      <c r="H1735" s="33"/>
      <c r="I1735" s="33"/>
      <c r="J1735" s="33"/>
      <c r="K1735" s="34"/>
      <c r="L1735" s="34"/>
      <c r="M1735" s="33"/>
      <c r="N1735" s="33"/>
      <c r="O1735" s="1292">
        <f>D1735</f>
        <v>0</v>
      </c>
      <c r="P1735" s="1292"/>
      <c r="Q1735" s="78"/>
      <c r="Z1735" s="79"/>
      <c r="AA1735" s="80"/>
      <c r="AB1735" s="34"/>
      <c r="AC1735" s="34"/>
      <c r="AD1735" s="33"/>
      <c r="AE1735" s="33"/>
      <c r="AF1735" s="33"/>
      <c r="AG1735" s="33"/>
      <c r="AH1735" s="33"/>
      <c r="AI1735" s="33"/>
      <c r="AJ1735" s="33"/>
      <c r="AK1735" s="33"/>
      <c r="AL1735" s="33"/>
      <c r="AM1735" s="33"/>
      <c r="AN1735" s="33"/>
      <c r="AO1735" s="33"/>
    </row>
    <row r="1736" spans="1:41" ht="15.75">
      <c r="A1736" s="34"/>
      <c r="B1736" s="34"/>
      <c r="C1736" s="33"/>
      <c r="D1736" s="33"/>
      <c r="E1736" s="33"/>
      <c r="F1736" s="33"/>
      <c r="G1736" s="33"/>
      <c r="H1736" s="33"/>
      <c r="I1736" s="33"/>
      <c r="J1736" s="33"/>
      <c r="K1736" s="34"/>
      <c r="L1736" s="34"/>
      <c r="M1736" s="33"/>
      <c r="N1736" s="33"/>
      <c r="O1736" s="77"/>
      <c r="P1736" s="77"/>
      <c r="Q1736" s="78"/>
      <c r="Z1736" s="79"/>
      <c r="AA1736" s="80"/>
      <c r="AB1736" s="34"/>
      <c r="AC1736" s="34"/>
      <c r="AD1736" s="33"/>
      <c r="AE1736" s="33"/>
      <c r="AF1736" s="33"/>
      <c r="AG1736" s="33"/>
      <c r="AH1736" s="33"/>
      <c r="AI1736" s="33"/>
      <c r="AJ1736" s="33"/>
      <c r="AK1736" s="33"/>
      <c r="AL1736" s="33"/>
      <c r="AM1736" s="33"/>
      <c r="AN1736" s="33"/>
      <c r="AO1736" s="33"/>
    </row>
    <row r="1737" spans="1:41" ht="15.75">
      <c r="A1737" s="34"/>
      <c r="B1737" s="34"/>
      <c r="C1737" s="33"/>
      <c r="D1737" s="33"/>
      <c r="E1737" s="33"/>
      <c r="F1737" s="33"/>
      <c r="G1737" s="33"/>
      <c r="H1737" s="33"/>
      <c r="I1737" s="33"/>
      <c r="J1737" s="33"/>
      <c r="K1737" s="34"/>
      <c r="L1737" s="34"/>
      <c r="M1737" s="33"/>
      <c r="N1737" s="33"/>
      <c r="Z1737" s="79"/>
      <c r="AA1737" s="80"/>
      <c r="AB1737" s="34"/>
      <c r="AC1737" s="34"/>
      <c r="AD1737" s="33"/>
      <c r="AE1737" s="33"/>
      <c r="AF1737" s="33"/>
      <c r="AG1737" s="33"/>
      <c r="AH1737" s="33"/>
      <c r="AI1737" s="33"/>
      <c r="AJ1737" s="33"/>
      <c r="AK1737" s="33"/>
      <c r="AL1737" s="33"/>
      <c r="AM1737" s="33"/>
      <c r="AN1737" s="33"/>
      <c r="AO1737" s="33"/>
    </row>
    <row r="1738" spans="1:41" ht="23.25">
      <c r="A1738" s="34"/>
      <c r="B1738" s="34"/>
      <c r="C1738" s="33"/>
      <c r="D1738" s="33"/>
      <c r="E1738" s="33"/>
      <c r="F1738" s="33"/>
      <c r="G1738" s="33"/>
      <c r="H1738" s="33"/>
      <c r="I1738" s="33"/>
      <c r="J1738" s="33"/>
      <c r="K1738" s="34"/>
      <c r="L1738" s="34"/>
      <c r="M1738" s="33"/>
      <c r="N1738" s="33"/>
      <c r="O1738" s="152"/>
      <c r="R1738" s="78"/>
      <c r="Z1738" s="79"/>
      <c r="AA1738" s="80"/>
      <c r="AB1738" s="34"/>
      <c r="AC1738" s="34"/>
      <c r="AD1738" s="33"/>
      <c r="AE1738" s="33"/>
      <c r="AF1738" s="33"/>
      <c r="AG1738" s="33"/>
      <c r="AH1738" s="33"/>
      <c r="AI1738" s="33"/>
      <c r="AJ1738" s="33"/>
      <c r="AK1738" s="33"/>
      <c r="AL1738" s="33"/>
      <c r="AM1738" s="33"/>
      <c r="AN1738" s="33"/>
      <c r="AO1738" s="33"/>
    </row>
    <row r="1739" spans="1:41" ht="23.25">
      <c r="A1739" s="34"/>
      <c r="B1739" s="34"/>
      <c r="C1739" s="33"/>
      <c r="D1739" s="33"/>
      <c r="E1739" s="33"/>
      <c r="F1739" s="33"/>
      <c r="G1739" s="33"/>
      <c r="H1739" s="33"/>
      <c r="I1739" s="33"/>
      <c r="J1739" s="33"/>
      <c r="K1739" s="34"/>
      <c r="L1739" s="34"/>
      <c r="M1739" s="33"/>
      <c r="N1739" s="33"/>
      <c r="O1739" s="152"/>
      <c r="R1739" s="78"/>
      <c r="Z1739" s="79"/>
      <c r="AA1739" s="80"/>
      <c r="AB1739" s="34"/>
      <c r="AC1739" s="34"/>
      <c r="AD1739" s="33"/>
      <c r="AE1739" s="33"/>
      <c r="AF1739" s="33"/>
      <c r="AG1739" s="33"/>
      <c r="AH1739" s="33"/>
      <c r="AI1739" s="33"/>
      <c r="AJ1739" s="33"/>
      <c r="AK1739" s="33"/>
      <c r="AL1739" s="33"/>
      <c r="AM1739" s="33"/>
      <c r="AN1739" s="33"/>
      <c r="AO1739" s="33"/>
    </row>
    <row r="1740" spans="1:41" ht="23.25">
      <c r="A1740" s="34"/>
      <c r="B1740" s="34"/>
      <c r="C1740" s="33"/>
      <c r="D1740" s="33"/>
      <c r="E1740" s="33"/>
      <c r="F1740" s="33"/>
      <c r="G1740" s="33"/>
      <c r="H1740" s="33"/>
      <c r="I1740" s="33"/>
      <c r="J1740" s="33"/>
      <c r="K1740" s="34"/>
      <c r="L1740" s="34"/>
      <c r="M1740" s="33"/>
      <c r="N1740" s="33"/>
      <c r="O1740" s="152"/>
      <c r="Z1740" s="79"/>
      <c r="AA1740" s="80"/>
      <c r="AB1740" s="34"/>
      <c r="AC1740" s="34"/>
      <c r="AD1740" s="33"/>
      <c r="AE1740" s="33"/>
      <c r="AF1740" s="33"/>
      <c r="AG1740" s="33"/>
      <c r="AH1740" s="33"/>
      <c r="AI1740" s="33"/>
      <c r="AJ1740" s="33"/>
      <c r="AK1740" s="33"/>
      <c r="AL1740" s="33"/>
      <c r="AM1740" s="33"/>
      <c r="AN1740" s="33"/>
      <c r="AO1740" s="33"/>
    </row>
    <row r="1741" spans="1:41" ht="15.75">
      <c r="A1741" s="34"/>
      <c r="B1741" s="34"/>
      <c r="C1741" s="33"/>
      <c r="D1741" s="33"/>
      <c r="E1741" s="33"/>
      <c r="F1741" s="33"/>
      <c r="G1741" s="33"/>
      <c r="H1741" s="33"/>
      <c r="I1741" s="33"/>
      <c r="J1741" s="33"/>
      <c r="K1741" s="34"/>
      <c r="L1741" s="34"/>
      <c r="M1741" s="33"/>
      <c r="N1741" s="33"/>
      <c r="O1741" s="77"/>
      <c r="P1741" s="77"/>
      <c r="Q1741" s="78"/>
      <c r="Z1741" s="79"/>
      <c r="AA1741" s="80"/>
      <c r="AB1741" s="34"/>
      <c r="AC1741" s="34"/>
      <c r="AD1741" s="33"/>
      <c r="AE1741" s="33"/>
      <c r="AF1741" s="33"/>
      <c r="AG1741" s="33"/>
      <c r="AH1741" s="33"/>
      <c r="AI1741" s="33"/>
      <c r="AJ1741" s="33"/>
      <c r="AK1741" s="33"/>
      <c r="AL1741" s="33"/>
      <c r="AM1741" s="33"/>
      <c r="AN1741" s="33"/>
      <c r="AO1741" s="33"/>
    </row>
    <row r="1742" spans="1:41" ht="15.75">
      <c r="A1742" s="34"/>
      <c r="B1742" s="34"/>
      <c r="C1742" s="33"/>
      <c r="D1742" s="33"/>
      <c r="E1742" s="33"/>
      <c r="F1742" s="33"/>
      <c r="G1742" s="33"/>
      <c r="H1742" s="33"/>
      <c r="I1742" s="33"/>
      <c r="J1742" s="33"/>
      <c r="K1742" s="34"/>
      <c r="L1742" s="34"/>
      <c r="M1742" s="33"/>
      <c r="N1742" s="33"/>
      <c r="O1742" s="77"/>
      <c r="P1742" s="77"/>
      <c r="Q1742" s="78">
        <f>G1742+H1742+H1744+J1742</f>
        <v>0</v>
      </c>
      <c r="Z1742" s="79"/>
      <c r="AA1742" s="80"/>
      <c r="AB1742" s="34"/>
      <c r="AC1742" s="34"/>
      <c r="AD1742" s="33"/>
      <c r="AE1742" s="33"/>
      <c r="AF1742" s="33"/>
      <c r="AG1742" s="33"/>
      <c r="AH1742" s="33"/>
      <c r="AI1742" s="33"/>
      <c r="AJ1742" s="33"/>
      <c r="AK1742" s="33"/>
      <c r="AL1742" s="33"/>
      <c r="AM1742" s="33"/>
      <c r="AN1742" s="33"/>
      <c r="AO1742" s="33"/>
    </row>
    <row r="1743" spans="1:41" ht="15.75">
      <c r="A1743" s="34"/>
      <c r="B1743" s="34"/>
      <c r="C1743" s="33"/>
      <c r="D1743" s="33"/>
      <c r="E1743" s="33"/>
      <c r="F1743" s="33"/>
      <c r="G1743" s="33"/>
      <c r="H1743" s="33"/>
      <c r="I1743" s="33"/>
      <c r="J1743" s="33"/>
      <c r="K1743" s="34"/>
      <c r="L1743" s="34"/>
      <c r="M1743" s="33"/>
      <c r="N1743" s="33"/>
      <c r="O1743" s="77"/>
      <c r="P1743" s="77"/>
      <c r="Q1743" s="78"/>
      <c r="Z1743" s="79"/>
      <c r="AA1743" s="80"/>
      <c r="AB1743" s="34"/>
      <c r="AC1743" s="34"/>
      <c r="AD1743" s="33"/>
      <c r="AE1743" s="33"/>
      <c r="AF1743" s="33"/>
      <c r="AG1743" s="33"/>
      <c r="AH1743" s="33"/>
      <c r="AI1743" s="33"/>
      <c r="AJ1743" s="33"/>
      <c r="AK1743" s="33"/>
      <c r="AL1743" s="33"/>
      <c r="AM1743" s="33"/>
      <c r="AN1743" s="33"/>
      <c r="AO1743" s="33"/>
    </row>
    <row r="1744" spans="1:41" ht="15.75">
      <c r="A1744" s="34"/>
      <c r="B1744" s="34"/>
      <c r="C1744" s="33"/>
      <c r="D1744" s="33"/>
      <c r="E1744" s="33"/>
      <c r="F1744" s="33"/>
      <c r="G1744" s="33"/>
      <c r="H1744" s="33"/>
      <c r="I1744" s="33"/>
      <c r="J1744" s="33"/>
      <c r="K1744" s="34"/>
      <c r="L1744" s="34"/>
      <c r="M1744" s="33"/>
      <c r="N1744" s="33"/>
      <c r="O1744" s="77"/>
      <c r="P1744" s="77"/>
      <c r="Q1744" s="78"/>
      <c r="Z1744" s="79"/>
      <c r="AA1744" s="80"/>
      <c r="AB1744" s="34"/>
      <c r="AC1744" s="34"/>
      <c r="AD1744" s="33"/>
      <c r="AE1744" s="33"/>
      <c r="AF1744" s="33"/>
      <c r="AG1744" s="33"/>
      <c r="AH1744" s="33"/>
      <c r="AI1744" s="33"/>
      <c r="AJ1744" s="33"/>
      <c r="AK1744" s="33"/>
      <c r="AL1744" s="33"/>
      <c r="AM1744" s="33"/>
      <c r="AN1744" s="33"/>
      <c r="AO1744" s="33"/>
    </row>
    <row r="1745" spans="1:41" ht="15.75">
      <c r="A1745" s="34"/>
      <c r="B1745" s="34"/>
      <c r="C1745" s="33"/>
      <c r="D1745" s="33"/>
      <c r="E1745" s="33"/>
      <c r="F1745" s="33"/>
      <c r="G1745" s="33"/>
      <c r="H1745" s="33"/>
      <c r="I1745" s="33"/>
      <c r="J1745" s="33"/>
      <c r="K1745" s="34"/>
      <c r="L1745" s="34"/>
      <c r="M1745" s="33"/>
      <c r="N1745" s="33"/>
      <c r="O1745" s="77"/>
      <c r="P1745" s="77"/>
      <c r="Q1745" s="78"/>
      <c r="Z1745" s="79"/>
      <c r="AA1745" s="80"/>
      <c r="AB1745" s="34"/>
      <c r="AC1745" s="34"/>
      <c r="AD1745" s="33"/>
      <c r="AE1745" s="33"/>
      <c r="AF1745" s="33"/>
      <c r="AG1745" s="33"/>
      <c r="AH1745" s="33"/>
      <c r="AI1745" s="33"/>
      <c r="AJ1745" s="33"/>
      <c r="AK1745" s="33"/>
      <c r="AL1745" s="33"/>
      <c r="AM1745" s="33"/>
      <c r="AN1745" s="33"/>
      <c r="AO1745" s="33"/>
    </row>
    <row r="1746" spans="1:41" ht="15.75">
      <c r="A1746" s="34"/>
      <c r="B1746" s="34"/>
      <c r="C1746" s="33"/>
      <c r="D1746" s="33"/>
      <c r="E1746" s="33"/>
      <c r="F1746" s="33"/>
      <c r="G1746" s="33"/>
      <c r="H1746" s="33"/>
      <c r="I1746" s="33"/>
      <c r="J1746" s="33"/>
      <c r="K1746" s="34"/>
      <c r="L1746" s="34"/>
      <c r="M1746" s="33"/>
      <c r="N1746" s="33"/>
      <c r="O1746" s="77"/>
      <c r="P1746" s="77"/>
      <c r="Q1746" s="78"/>
      <c r="Z1746" s="79"/>
      <c r="AA1746" s="80"/>
      <c r="AB1746" s="34"/>
      <c r="AC1746" s="34"/>
      <c r="AD1746" s="33"/>
      <c r="AE1746" s="33"/>
      <c r="AF1746" s="33"/>
      <c r="AG1746" s="33"/>
      <c r="AH1746" s="33"/>
      <c r="AI1746" s="33"/>
      <c r="AJ1746" s="33"/>
      <c r="AK1746" s="33"/>
      <c r="AL1746" s="33"/>
      <c r="AM1746" s="33"/>
      <c r="AN1746" s="33"/>
      <c r="AO1746" s="33"/>
    </row>
    <row r="1747" spans="1:41" ht="15.75">
      <c r="A1747" s="34"/>
      <c r="B1747" s="34"/>
      <c r="C1747" s="33"/>
      <c r="D1747" s="33"/>
      <c r="E1747" s="33"/>
      <c r="F1747" s="33"/>
      <c r="G1747" s="33"/>
      <c r="H1747" s="33"/>
      <c r="I1747" s="33"/>
      <c r="J1747" s="33"/>
      <c r="K1747" s="34"/>
      <c r="L1747" s="34"/>
      <c r="M1747" s="33"/>
      <c r="N1747" s="33"/>
      <c r="O1747" s="77"/>
      <c r="P1747" s="77"/>
      <c r="Q1747" s="78"/>
      <c r="Z1747" s="79"/>
      <c r="AA1747" s="80"/>
      <c r="AB1747" s="34"/>
      <c r="AC1747" s="34"/>
      <c r="AD1747" s="33"/>
      <c r="AE1747" s="33"/>
      <c r="AF1747" s="33"/>
      <c r="AG1747" s="33"/>
      <c r="AH1747" s="33"/>
      <c r="AI1747" s="33"/>
      <c r="AJ1747" s="33"/>
      <c r="AK1747" s="33"/>
      <c r="AL1747" s="33"/>
      <c r="AM1747" s="33"/>
      <c r="AN1747" s="33"/>
      <c r="AO1747" s="33"/>
    </row>
    <row r="1748" spans="1:41" ht="15.75">
      <c r="A1748" s="34"/>
      <c r="B1748" s="34"/>
      <c r="C1748" s="33"/>
      <c r="D1748" s="33"/>
      <c r="E1748" s="33"/>
      <c r="F1748" s="33"/>
      <c r="G1748" s="33"/>
      <c r="H1748" s="33"/>
      <c r="I1748" s="33"/>
      <c r="J1748" s="33"/>
      <c r="K1748" s="34"/>
      <c r="L1748" s="34"/>
      <c r="M1748" s="33"/>
      <c r="N1748" s="33"/>
      <c r="O1748" s="77"/>
      <c r="P1748" s="77"/>
      <c r="Q1748" s="78"/>
      <c r="Z1748" s="79"/>
      <c r="AA1748" s="80"/>
      <c r="AB1748" s="34"/>
      <c r="AC1748" s="34"/>
      <c r="AD1748" s="33"/>
      <c r="AE1748" s="33"/>
      <c r="AF1748" s="33"/>
      <c r="AG1748" s="33"/>
      <c r="AH1748" s="33"/>
      <c r="AI1748" s="33"/>
      <c r="AJ1748" s="33"/>
      <c r="AK1748" s="33"/>
      <c r="AL1748" s="33"/>
      <c r="AM1748" s="33"/>
      <c r="AN1748" s="33"/>
      <c r="AO1748" s="33"/>
    </row>
    <row r="1749" spans="1:41" ht="15.75">
      <c r="A1749" s="34"/>
      <c r="B1749" s="34"/>
      <c r="C1749" s="33"/>
      <c r="D1749" s="33"/>
      <c r="E1749" s="33"/>
      <c r="F1749" s="33"/>
      <c r="G1749" s="33"/>
      <c r="H1749" s="33"/>
      <c r="I1749" s="33"/>
      <c r="J1749" s="33"/>
      <c r="K1749" s="34"/>
      <c r="L1749" s="34"/>
      <c r="M1749" s="33"/>
      <c r="N1749" s="33"/>
      <c r="O1749" s="77"/>
      <c r="P1749" s="77"/>
      <c r="Q1749" s="78"/>
      <c r="Z1749" s="79"/>
      <c r="AA1749" s="80"/>
      <c r="AB1749" s="34"/>
      <c r="AC1749" s="34"/>
      <c r="AD1749" s="33"/>
      <c r="AE1749" s="33"/>
      <c r="AF1749" s="33"/>
      <c r="AG1749" s="33"/>
      <c r="AH1749" s="33"/>
      <c r="AI1749" s="33"/>
      <c r="AJ1749" s="33"/>
      <c r="AK1749" s="33"/>
      <c r="AL1749" s="33"/>
      <c r="AM1749" s="33"/>
      <c r="AN1749" s="33"/>
      <c r="AO1749" s="33"/>
    </row>
    <row r="1750" spans="1:41" ht="15.75">
      <c r="A1750" s="34"/>
      <c r="B1750" s="34"/>
      <c r="C1750" s="33"/>
      <c r="D1750" s="33"/>
      <c r="E1750" s="33"/>
      <c r="F1750" s="33"/>
      <c r="G1750" s="33"/>
      <c r="H1750" s="33"/>
      <c r="I1750" s="33"/>
      <c r="J1750" s="33"/>
      <c r="K1750" s="34"/>
      <c r="L1750" s="34"/>
      <c r="M1750" s="33"/>
      <c r="N1750" s="33"/>
      <c r="O1750" s="77"/>
      <c r="P1750" s="77"/>
      <c r="Q1750" s="78"/>
      <c r="Z1750" s="79"/>
      <c r="AA1750" s="80"/>
      <c r="AB1750" s="34"/>
      <c r="AC1750" s="34"/>
      <c r="AD1750" s="33"/>
      <c r="AE1750" s="33"/>
      <c r="AF1750" s="33"/>
      <c r="AG1750" s="33"/>
      <c r="AH1750" s="33"/>
      <c r="AI1750" s="33"/>
      <c r="AJ1750" s="33"/>
      <c r="AK1750" s="33"/>
      <c r="AL1750" s="33"/>
      <c r="AM1750" s="33"/>
      <c r="AN1750" s="33"/>
      <c r="AO1750" s="33"/>
    </row>
    <row r="1751" spans="1:41" ht="15.75">
      <c r="A1751" s="34"/>
      <c r="B1751" s="34"/>
      <c r="C1751" s="33"/>
      <c r="D1751" s="33"/>
      <c r="E1751" s="33"/>
      <c r="F1751" s="33"/>
      <c r="G1751" s="33"/>
      <c r="H1751" s="33"/>
      <c r="I1751" s="33"/>
      <c r="J1751" s="33"/>
      <c r="K1751" s="34"/>
      <c r="L1751" s="34"/>
      <c r="M1751" s="33"/>
      <c r="N1751" s="33"/>
      <c r="O1751" s="77"/>
      <c r="P1751" s="77"/>
      <c r="Q1751" s="78"/>
      <c r="Z1751" s="79"/>
      <c r="AA1751" s="80"/>
      <c r="AB1751" s="34"/>
      <c r="AC1751" s="34"/>
      <c r="AD1751" s="33"/>
      <c r="AE1751" s="33"/>
      <c r="AF1751" s="33"/>
      <c r="AG1751" s="33"/>
      <c r="AH1751" s="33"/>
      <c r="AI1751" s="33"/>
      <c r="AJ1751" s="33"/>
      <c r="AK1751" s="33"/>
      <c r="AL1751" s="33"/>
      <c r="AM1751" s="33"/>
      <c r="AN1751" s="33"/>
      <c r="AO1751" s="33"/>
    </row>
    <row r="1752" spans="1:41" ht="15.75">
      <c r="A1752" s="34"/>
      <c r="B1752" s="34"/>
      <c r="C1752" s="33"/>
      <c r="D1752" s="33"/>
      <c r="E1752" s="33"/>
      <c r="F1752" s="33"/>
      <c r="G1752" s="33"/>
      <c r="H1752" s="33"/>
      <c r="I1752" s="33"/>
      <c r="J1752" s="33"/>
      <c r="K1752" s="34"/>
      <c r="L1752" s="34"/>
      <c r="M1752" s="33"/>
      <c r="N1752" s="33"/>
      <c r="O1752" s="77"/>
      <c r="P1752" s="77"/>
      <c r="Q1752" s="78"/>
      <c r="Z1752" s="79"/>
      <c r="AA1752" s="80"/>
      <c r="AB1752" s="34"/>
      <c r="AC1752" s="34"/>
      <c r="AD1752" s="33"/>
      <c r="AE1752" s="33"/>
      <c r="AF1752" s="33"/>
      <c r="AG1752" s="33"/>
      <c r="AH1752" s="33"/>
      <c r="AI1752" s="33"/>
      <c r="AJ1752" s="33"/>
      <c r="AK1752" s="33"/>
      <c r="AL1752" s="33"/>
      <c r="AM1752" s="33"/>
      <c r="AN1752" s="33"/>
      <c r="AO1752" s="33"/>
    </row>
    <row r="1753" spans="1:41" ht="15.75">
      <c r="A1753" s="34"/>
      <c r="B1753" s="34"/>
      <c r="C1753" s="33"/>
      <c r="D1753" s="33"/>
      <c r="E1753" s="33"/>
      <c r="F1753" s="33"/>
      <c r="G1753" s="33"/>
      <c r="H1753" s="33"/>
      <c r="I1753" s="33"/>
      <c r="J1753" s="33"/>
      <c r="K1753" s="34"/>
      <c r="L1753" s="34"/>
      <c r="M1753" s="33"/>
      <c r="N1753" s="33"/>
      <c r="O1753" s="77"/>
      <c r="P1753" s="77"/>
      <c r="Q1753" s="78"/>
      <c r="Z1753" s="79"/>
      <c r="AA1753" s="80"/>
      <c r="AB1753" s="34"/>
      <c r="AC1753" s="34"/>
      <c r="AD1753" s="33"/>
      <c r="AE1753" s="33"/>
      <c r="AF1753" s="33"/>
      <c r="AG1753" s="33"/>
      <c r="AH1753" s="33"/>
      <c r="AI1753" s="33"/>
      <c r="AJ1753" s="33"/>
      <c r="AK1753" s="33"/>
      <c r="AL1753" s="33"/>
      <c r="AM1753" s="33"/>
      <c r="AN1753" s="33"/>
      <c r="AO1753" s="33"/>
    </row>
    <row r="1754" spans="1:41" ht="15.75">
      <c r="A1754" s="34"/>
      <c r="B1754" s="34"/>
      <c r="C1754" s="33"/>
      <c r="D1754" s="33"/>
      <c r="E1754" s="33"/>
      <c r="F1754" s="33"/>
      <c r="G1754" s="33"/>
      <c r="H1754" s="33"/>
      <c r="I1754" s="33"/>
      <c r="J1754" s="33"/>
      <c r="K1754" s="34"/>
      <c r="L1754" s="34"/>
      <c r="M1754" s="33"/>
      <c r="N1754" s="33"/>
      <c r="O1754" s="77"/>
      <c r="P1754" s="77"/>
      <c r="Q1754" s="78"/>
      <c r="Z1754" s="79"/>
      <c r="AA1754" s="80"/>
      <c r="AB1754" s="34"/>
      <c r="AC1754" s="34"/>
      <c r="AD1754" s="33"/>
      <c r="AE1754" s="33"/>
      <c r="AF1754" s="33"/>
      <c r="AG1754" s="33"/>
      <c r="AH1754" s="33"/>
      <c r="AI1754" s="33"/>
      <c r="AJ1754" s="33"/>
      <c r="AK1754" s="33"/>
      <c r="AL1754" s="33"/>
      <c r="AM1754" s="33"/>
      <c r="AN1754" s="33"/>
      <c r="AO1754" s="33"/>
    </row>
    <row r="1755" spans="1:41" ht="15.75">
      <c r="A1755" s="34"/>
      <c r="B1755" s="34"/>
      <c r="C1755" s="33"/>
      <c r="D1755" s="33"/>
      <c r="E1755" s="33"/>
      <c r="F1755" s="33"/>
      <c r="G1755" s="33"/>
      <c r="H1755" s="33"/>
      <c r="I1755" s="33"/>
      <c r="J1755" s="33"/>
      <c r="K1755" s="34"/>
      <c r="L1755" s="34"/>
      <c r="M1755" s="33"/>
      <c r="N1755" s="33"/>
      <c r="O1755" s="77"/>
      <c r="P1755" s="77"/>
      <c r="Q1755" s="78"/>
      <c r="Z1755" s="79"/>
      <c r="AA1755" s="80"/>
      <c r="AB1755" s="34"/>
      <c r="AC1755" s="34"/>
      <c r="AD1755" s="33"/>
      <c r="AE1755" s="33"/>
      <c r="AF1755" s="33"/>
      <c r="AG1755" s="33"/>
      <c r="AH1755" s="33"/>
      <c r="AI1755" s="33"/>
      <c r="AJ1755" s="33"/>
      <c r="AK1755" s="33"/>
      <c r="AL1755" s="33"/>
      <c r="AM1755" s="33"/>
      <c r="AN1755" s="33"/>
      <c r="AO1755" s="33"/>
    </row>
    <row r="1756" spans="1:41" ht="15.75">
      <c r="A1756" s="34"/>
      <c r="B1756" s="34"/>
      <c r="C1756" s="33"/>
      <c r="D1756" s="33"/>
      <c r="E1756" s="33"/>
      <c r="F1756" s="33"/>
      <c r="G1756" s="33"/>
      <c r="H1756" s="33"/>
      <c r="I1756" s="33"/>
      <c r="J1756" s="33"/>
      <c r="K1756" s="34"/>
      <c r="L1756" s="34"/>
      <c r="M1756" s="33"/>
      <c r="N1756" s="33"/>
      <c r="O1756" s="77"/>
      <c r="P1756" s="77"/>
      <c r="Q1756" s="78"/>
      <c r="Z1756" s="79"/>
      <c r="AA1756" s="80"/>
      <c r="AB1756" s="34"/>
      <c r="AC1756" s="34"/>
      <c r="AD1756" s="33"/>
      <c r="AE1756" s="33"/>
      <c r="AF1756" s="33"/>
      <c r="AG1756" s="33"/>
      <c r="AH1756" s="33"/>
      <c r="AI1756" s="33"/>
      <c r="AJ1756" s="33"/>
      <c r="AK1756" s="33"/>
      <c r="AL1756" s="33"/>
      <c r="AM1756" s="33"/>
      <c r="AN1756" s="33"/>
      <c r="AO1756" s="33"/>
    </row>
    <row r="1757" spans="1:41" ht="15.75">
      <c r="A1757" s="34"/>
      <c r="B1757" s="34"/>
      <c r="C1757" s="33"/>
      <c r="D1757" s="33"/>
      <c r="E1757" s="33"/>
      <c r="F1757" s="33"/>
      <c r="G1757" s="33"/>
      <c r="H1757" s="33"/>
      <c r="I1757" s="33"/>
      <c r="J1757" s="33"/>
      <c r="K1757" s="34"/>
      <c r="L1757" s="34"/>
      <c r="M1757" s="33"/>
      <c r="N1757" s="33"/>
      <c r="O1757" s="77"/>
      <c r="P1757" s="77"/>
      <c r="Q1757" s="78"/>
      <c r="Z1757" s="79"/>
      <c r="AA1757" s="80"/>
      <c r="AB1757" s="34"/>
      <c r="AC1757" s="34"/>
      <c r="AD1757" s="33"/>
      <c r="AE1757" s="33"/>
      <c r="AF1757" s="33"/>
      <c r="AG1757" s="33"/>
      <c r="AH1757" s="33"/>
      <c r="AI1757" s="33"/>
      <c r="AJ1757" s="33"/>
      <c r="AK1757" s="33"/>
      <c r="AL1757" s="33"/>
      <c r="AM1757" s="33"/>
      <c r="AN1757" s="33"/>
      <c r="AO1757" s="33"/>
    </row>
    <row r="1758" spans="1:41" ht="15.75">
      <c r="A1758" s="34"/>
      <c r="B1758" s="34"/>
      <c r="C1758" s="33"/>
      <c r="D1758" s="33"/>
      <c r="E1758" s="33"/>
      <c r="F1758" s="33"/>
      <c r="G1758" s="33"/>
      <c r="H1758" s="33"/>
      <c r="I1758" s="33"/>
      <c r="J1758" s="33"/>
      <c r="K1758" s="34"/>
      <c r="L1758" s="34"/>
      <c r="M1758" s="33"/>
      <c r="N1758" s="33"/>
      <c r="O1758" s="77"/>
      <c r="P1758" s="77"/>
      <c r="Q1758" s="78"/>
      <c r="Z1758" s="79"/>
      <c r="AA1758" s="80"/>
      <c r="AB1758" s="34"/>
      <c r="AC1758" s="34"/>
      <c r="AD1758" s="33"/>
      <c r="AE1758" s="33"/>
      <c r="AF1758" s="33"/>
      <c r="AG1758" s="33"/>
      <c r="AH1758" s="33"/>
      <c r="AI1758" s="33"/>
      <c r="AJ1758" s="33"/>
      <c r="AK1758" s="33"/>
      <c r="AL1758" s="33"/>
      <c r="AM1758" s="33"/>
      <c r="AN1758" s="33"/>
      <c r="AO1758" s="33"/>
    </row>
    <row r="1759" spans="1:41" ht="15.75">
      <c r="A1759" s="34"/>
      <c r="B1759" s="34"/>
      <c r="C1759" s="33"/>
      <c r="D1759" s="33"/>
      <c r="E1759" s="33"/>
      <c r="F1759" s="33"/>
      <c r="G1759" s="33"/>
      <c r="H1759" s="33"/>
      <c r="I1759" s="33"/>
      <c r="J1759" s="33"/>
      <c r="K1759" s="34"/>
      <c r="L1759" s="34"/>
      <c r="M1759" s="33"/>
      <c r="N1759" s="33"/>
      <c r="O1759" s="77"/>
      <c r="P1759" s="77"/>
      <c r="Q1759" s="78"/>
      <c r="Z1759" s="79"/>
      <c r="AA1759" s="80"/>
      <c r="AB1759" s="34"/>
      <c r="AC1759" s="34"/>
      <c r="AD1759" s="33"/>
      <c r="AE1759" s="33"/>
      <c r="AF1759" s="33"/>
      <c r="AG1759" s="33"/>
      <c r="AH1759" s="33"/>
      <c r="AI1759" s="33"/>
      <c r="AJ1759" s="33"/>
      <c r="AK1759" s="33"/>
      <c r="AL1759" s="33"/>
      <c r="AM1759" s="33"/>
      <c r="AN1759" s="33"/>
      <c r="AO1759" s="33"/>
    </row>
    <row r="1760" spans="1:41" ht="15.75">
      <c r="A1760" s="34"/>
      <c r="B1760" s="34"/>
      <c r="C1760" s="33"/>
      <c r="D1760" s="33"/>
      <c r="E1760" s="33"/>
      <c r="F1760" s="33"/>
      <c r="G1760" s="33"/>
      <c r="H1760" s="33"/>
      <c r="I1760" s="33"/>
      <c r="J1760" s="33"/>
      <c r="K1760" s="34"/>
      <c r="L1760" s="34"/>
      <c r="M1760" s="33"/>
      <c r="N1760" s="33"/>
      <c r="O1760" s="77"/>
      <c r="P1760" s="77"/>
      <c r="Q1760" s="78"/>
      <c r="Z1760" s="79"/>
      <c r="AA1760" s="80"/>
      <c r="AB1760" s="34"/>
      <c r="AC1760" s="34"/>
      <c r="AD1760" s="33"/>
      <c r="AE1760" s="33"/>
      <c r="AF1760" s="33"/>
      <c r="AG1760" s="33"/>
      <c r="AH1760" s="33"/>
      <c r="AI1760" s="33"/>
      <c r="AJ1760" s="33"/>
      <c r="AK1760" s="33"/>
      <c r="AL1760" s="33"/>
      <c r="AM1760" s="33"/>
      <c r="AN1760" s="33"/>
      <c r="AO1760" s="33"/>
    </row>
    <row r="1761" spans="1:41" ht="15.75">
      <c r="A1761" s="34"/>
      <c r="B1761" s="34"/>
      <c r="C1761" s="33"/>
      <c r="D1761" s="33"/>
      <c r="E1761" s="33"/>
      <c r="F1761" s="33"/>
      <c r="G1761" s="33"/>
      <c r="H1761" s="33"/>
      <c r="I1761" s="33"/>
      <c r="J1761" s="33"/>
      <c r="K1761" s="34"/>
      <c r="L1761" s="34"/>
      <c r="M1761" s="33"/>
      <c r="N1761" s="33"/>
      <c r="O1761" s="77"/>
      <c r="P1761" s="77"/>
      <c r="Q1761" s="78"/>
      <c r="Z1761" s="79"/>
      <c r="AA1761" s="80"/>
      <c r="AB1761" s="34"/>
      <c r="AC1761" s="34"/>
      <c r="AD1761" s="33"/>
      <c r="AE1761" s="33"/>
      <c r="AF1761" s="33"/>
      <c r="AG1761" s="33"/>
      <c r="AH1761" s="33"/>
      <c r="AI1761" s="33"/>
      <c r="AJ1761" s="33"/>
      <c r="AK1761" s="33"/>
      <c r="AL1761" s="33"/>
      <c r="AM1761" s="33"/>
      <c r="AN1761" s="33"/>
      <c r="AO1761" s="33"/>
    </row>
    <row r="1762" spans="1:41" ht="15.75">
      <c r="A1762" s="34"/>
      <c r="B1762" s="34"/>
      <c r="C1762" s="33"/>
      <c r="D1762" s="33"/>
      <c r="E1762" s="33"/>
      <c r="F1762" s="33"/>
      <c r="G1762" s="33"/>
      <c r="H1762" s="33"/>
      <c r="I1762" s="33"/>
      <c r="J1762" s="33"/>
      <c r="K1762" s="34"/>
      <c r="L1762" s="34"/>
      <c r="M1762" s="33"/>
      <c r="N1762" s="33"/>
      <c r="O1762" s="77"/>
      <c r="P1762" s="77"/>
      <c r="Q1762" s="78"/>
      <c r="Z1762" s="79"/>
      <c r="AA1762" s="80"/>
      <c r="AB1762" s="34"/>
      <c r="AC1762" s="34"/>
      <c r="AD1762" s="33"/>
      <c r="AE1762" s="33"/>
      <c r="AF1762" s="33"/>
      <c r="AG1762" s="33"/>
      <c r="AH1762" s="33"/>
      <c r="AI1762" s="33"/>
      <c r="AJ1762" s="33"/>
      <c r="AK1762" s="33"/>
      <c r="AL1762" s="33"/>
      <c r="AM1762" s="33"/>
      <c r="AN1762" s="33"/>
      <c r="AO1762" s="33"/>
    </row>
    <row r="1763" spans="1:41" ht="15.75">
      <c r="A1763" s="34"/>
      <c r="B1763" s="34"/>
      <c r="C1763" s="33"/>
      <c r="D1763" s="33"/>
      <c r="E1763" s="33"/>
      <c r="F1763" s="33"/>
      <c r="G1763" s="33"/>
      <c r="H1763" s="33"/>
      <c r="I1763" s="33"/>
      <c r="J1763" s="33"/>
      <c r="K1763" s="34"/>
      <c r="L1763" s="34"/>
      <c r="M1763" s="33"/>
      <c r="N1763" s="33"/>
      <c r="O1763" s="77"/>
      <c r="P1763" s="77"/>
      <c r="Q1763" s="78"/>
      <c r="Z1763" s="79"/>
      <c r="AA1763" s="80"/>
      <c r="AB1763" s="34"/>
      <c r="AC1763" s="34"/>
      <c r="AD1763" s="33"/>
      <c r="AE1763" s="33"/>
      <c r="AF1763" s="33"/>
      <c r="AG1763" s="33"/>
      <c r="AH1763" s="33"/>
      <c r="AI1763" s="33"/>
      <c r="AJ1763" s="33"/>
      <c r="AK1763" s="33"/>
      <c r="AL1763" s="33"/>
      <c r="AM1763" s="33"/>
      <c r="AN1763" s="33"/>
      <c r="AO1763" s="33"/>
    </row>
    <row r="1764" spans="1:41" ht="15.75">
      <c r="A1764" s="34"/>
      <c r="B1764" s="34"/>
      <c r="C1764" s="33"/>
      <c r="D1764" s="33"/>
      <c r="E1764" s="33"/>
      <c r="F1764" s="33"/>
      <c r="G1764" s="33"/>
      <c r="H1764" s="33"/>
      <c r="I1764" s="33"/>
      <c r="J1764" s="33"/>
      <c r="K1764" s="34"/>
      <c r="L1764" s="34"/>
      <c r="M1764" s="33"/>
      <c r="N1764" s="33"/>
      <c r="O1764" s="77"/>
      <c r="P1764" s="77"/>
      <c r="Q1764" s="78"/>
      <c r="Z1764" s="79"/>
      <c r="AA1764" s="80"/>
      <c r="AB1764" s="34"/>
      <c r="AC1764" s="34"/>
      <c r="AD1764" s="33"/>
      <c r="AE1764" s="33"/>
      <c r="AF1764" s="33"/>
      <c r="AG1764" s="33"/>
      <c r="AH1764" s="33"/>
      <c r="AI1764" s="33"/>
      <c r="AJ1764" s="33"/>
      <c r="AK1764" s="33"/>
      <c r="AL1764" s="33"/>
      <c r="AM1764" s="33"/>
      <c r="AN1764" s="33"/>
      <c r="AO1764" s="33"/>
    </row>
    <row r="1765" spans="1:41" ht="15.75">
      <c r="A1765" s="34"/>
      <c r="B1765" s="34"/>
      <c r="C1765" s="33"/>
      <c r="D1765" s="33"/>
      <c r="E1765" s="33"/>
      <c r="F1765" s="33"/>
      <c r="G1765" s="33"/>
      <c r="H1765" s="33"/>
      <c r="I1765" s="33"/>
      <c r="J1765" s="33"/>
      <c r="K1765" s="34"/>
      <c r="L1765" s="34"/>
      <c r="M1765" s="33"/>
      <c r="N1765" s="33"/>
      <c r="O1765" s="77"/>
      <c r="P1765" s="77"/>
      <c r="Q1765" s="78"/>
      <c r="Z1765" s="79"/>
      <c r="AA1765" s="80"/>
      <c r="AB1765" s="34"/>
      <c r="AC1765" s="34"/>
      <c r="AD1765" s="33"/>
      <c r="AE1765" s="33"/>
      <c r="AF1765" s="33"/>
      <c r="AG1765" s="33"/>
      <c r="AH1765" s="33"/>
      <c r="AI1765" s="33"/>
      <c r="AJ1765" s="33"/>
      <c r="AK1765" s="33"/>
      <c r="AL1765" s="33"/>
      <c r="AM1765" s="33"/>
      <c r="AN1765" s="33"/>
      <c r="AO1765" s="33"/>
    </row>
    <row r="1766" spans="1:41" ht="15.75">
      <c r="A1766" s="34"/>
      <c r="B1766" s="34"/>
      <c r="C1766" s="33"/>
      <c r="D1766" s="33"/>
      <c r="E1766" s="33"/>
      <c r="F1766" s="33"/>
      <c r="G1766" s="33"/>
      <c r="H1766" s="33"/>
      <c r="I1766" s="33"/>
      <c r="J1766" s="33"/>
      <c r="K1766" s="34"/>
      <c r="L1766" s="34"/>
      <c r="M1766" s="33"/>
      <c r="N1766" s="33"/>
      <c r="O1766" s="77"/>
      <c r="P1766" s="77"/>
      <c r="Q1766" s="78"/>
      <c r="Z1766" s="79"/>
      <c r="AA1766" s="80"/>
      <c r="AB1766" s="34"/>
      <c r="AC1766" s="34"/>
      <c r="AD1766" s="33"/>
      <c r="AE1766" s="33"/>
      <c r="AF1766" s="33"/>
      <c r="AG1766" s="33"/>
      <c r="AH1766" s="33"/>
      <c r="AI1766" s="33"/>
      <c r="AJ1766" s="33"/>
      <c r="AK1766" s="33"/>
      <c r="AL1766" s="33"/>
      <c r="AM1766" s="33"/>
      <c r="AN1766" s="33"/>
      <c r="AO1766" s="33"/>
    </row>
    <row r="1767" spans="1:41" ht="15.75">
      <c r="A1767" s="34"/>
      <c r="B1767" s="34"/>
      <c r="C1767" s="33"/>
      <c r="D1767" s="33"/>
      <c r="E1767" s="33"/>
      <c r="F1767" s="33"/>
      <c r="G1767" s="33"/>
      <c r="H1767" s="33"/>
      <c r="I1767" s="33"/>
      <c r="J1767" s="33"/>
      <c r="K1767" s="34"/>
      <c r="L1767" s="34"/>
      <c r="M1767" s="33"/>
      <c r="N1767" s="33"/>
      <c r="O1767" s="1292">
        <f>D1767</f>
        <v>0</v>
      </c>
      <c r="P1767" s="1292"/>
      <c r="Q1767" s="78"/>
      <c r="Z1767" s="79"/>
      <c r="AA1767" s="80"/>
      <c r="AB1767" s="34"/>
      <c r="AC1767" s="34"/>
      <c r="AD1767" s="33"/>
      <c r="AE1767" s="33"/>
      <c r="AF1767" s="33"/>
      <c r="AG1767" s="33"/>
      <c r="AH1767" s="33"/>
      <c r="AI1767" s="33"/>
      <c r="AJ1767" s="33"/>
      <c r="AK1767" s="33"/>
      <c r="AL1767" s="33"/>
      <c r="AM1767" s="33"/>
      <c r="AN1767" s="33"/>
      <c r="AO1767" s="33"/>
    </row>
    <row r="1768" spans="1:41" ht="15.75">
      <c r="A1768" s="34"/>
      <c r="B1768" s="34"/>
      <c r="C1768" s="33"/>
      <c r="D1768" s="33"/>
      <c r="E1768" s="33"/>
      <c r="F1768" s="33"/>
      <c r="G1768" s="33"/>
      <c r="H1768" s="33"/>
      <c r="I1768" s="33"/>
      <c r="J1768" s="33"/>
      <c r="K1768" s="34"/>
      <c r="L1768" s="34"/>
      <c r="M1768" s="33"/>
      <c r="N1768" s="33"/>
      <c r="O1768" s="77"/>
      <c r="P1768" s="77"/>
      <c r="Q1768" s="78"/>
      <c r="Z1768" s="79"/>
      <c r="AA1768" s="80"/>
      <c r="AB1768" s="34"/>
      <c r="AC1768" s="34"/>
      <c r="AD1768" s="33"/>
      <c r="AE1768" s="33"/>
      <c r="AF1768" s="33"/>
      <c r="AG1768" s="33"/>
      <c r="AH1768" s="33"/>
      <c r="AI1768" s="33"/>
      <c r="AJ1768" s="33"/>
      <c r="AK1768" s="33"/>
      <c r="AL1768" s="33"/>
      <c r="AM1768" s="33"/>
      <c r="AN1768" s="33"/>
      <c r="AO1768" s="33"/>
    </row>
    <row r="1769" spans="1:41" ht="15.75">
      <c r="A1769" s="34"/>
      <c r="B1769" s="34"/>
      <c r="C1769" s="33"/>
      <c r="D1769" s="33"/>
      <c r="E1769" s="33"/>
      <c r="F1769" s="33"/>
      <c r="G1769" s="33"/>
      <c r="H1769" s="33"/>
      <c r="I1769" s="33"/>
      <c r="J1769" s="33"/>
      <c r="K1769" s="34"/>
      <c r="L1769" s="34"/>
      <c r="M1769" s="33"/>
      <c r="N1769" s="33"/>
      <c r="Z1769" s="79"/>
      <c r="AA1769" s="80"/>
      <c r="AB1769" s="34"/>
      <c r="AC1769" s="34"/>
      <c r="AD1769" s="33"/>
      <c r="AE1769" s="33"/>
      <c r="AF1769" s="33"/>
      <c r="AG1769" s="33"/>
      <c r="AH1769" s="33"/>
      <c r="AI1769" s="33"/>
      <c r="AJ1769" s="33"/>
      <c r="AK1769" s="33"/>
      <c r="AL1769" s="33"/>
      <c r="AM1769" s="33"/>
      <c r="AN1769" s="33"/>
      <c r="AO1769" s="33"/>
    </row>
    <row r="1770" spans="1:41" ht="23.25">
      <c r="A1770" s="34"/>
      <c r="B1770" s="34"/>
      <c r="C1770" s="33"/>
      <c r="D1770" s="33"/>
      <c r="E1770" s="33"/>
      <c r="F1770" s="33"/>
      <c r="G1770" s="33"/>
      <c r="H1770" s="33"/>
      <c r="I1770" s="33"/>
      <c r="J1770" s="33"/>
      <c r="K1770" s="34"/>
      <c r="L1770" s="34"/>
      <c r="M1770" s="33"/>
      <c r="N1770" s="33"/>
      <c r="O1770" s="152"/>
      <c r="R1770" s="78"/>
      <c r="Z1770" s="79"/>
      <c r="AA1770" s="80"/>
      <c r="AB1770" s="34"/>
      <c r="AC1770" s="34"/>
      <c r="AD1770" s="33"/>
      <c r="AE1770" s="33"/>
      <c r="AF1770" s="33"/>
      <c r="AG1770" s="33"/>
      <c r="AH1770" s="33"/>
      <c r="AI1770" s="33"/>
      <c r="AJ1770" s="33"/>
      <c r="AK1770" s="33"/>
      <c r="AL1770" s="33"/>
      <c r="AM1770" s="33"/>
      <c r="AN1770" s="33"/>
      <c r="AO1770" s="33"/>
    </row>
    <row r="1771" spans="1:41" ht="23.25">
      <c r="A1771" s="34"/>
      <c r="B1771" s="34"/>
      <c r="C1771" s="33"/>
      <c r="D1771" s="33"/>
      <c r="E1771" s="33"/>
      <c r="F1771" s="33"/>
      <c r="G1771" s="33"/>
      <c r="H1771" s="33"/>
      <c r="I1771" s="33"/>
      <c r="J1771" s="33"/>
      <c r="K1771" s="34"/>
      <c r="L1771" s="34"/>
      <c r="M1771" s="33"/>
      <c r="N1771" s="33"/>
      <c r="O1771" s="152"/>
      <c r="R1771" s="78"/>
      <c r="Z1771" s="79"/>
      <c r="AA1771" s="80"/>
      <c r="AB1771" s="34"/>
      <c r="AC1771" s="34"/>
      <c r="AD1771" s="33"/>
      <c r="AE1771" s="33"/>
      <c r="AF1771" s="33"/>
      <c r="AG1771" s="33"/>
      <c r="AH1771" s="33"/>
      <c r="AI1771" s="33"/>
      <c r="AJ1771" s="33"/>
      <c r="AK1771" s="33"/>
      <c r="AL1771" s="33"/>
      <c r="AM1771" s="33"/>
      <c r="AN1771" s="33"/>
      <c r="AO1771" s="33"/>
    </row>
    <row r="1772" spans="1:41" ht="23.25">
      <c r="A1772" s="34"/>
      <c r="B1772" s="34"/>
      <c r="C1772" s="33"/>
      <c r="D1772" s="33"/>
      <c r="E1772" s="33"/>
      <c r="F1772" s="33"/>
      <c r="G1772" s="33"/>
      <c r="H1772" s="33"/>
      <c r="I1772" s="33"/>
      <c r="J1772" s="33"/>
      <c r="K1772" s="34"/>
      <c r="L1772" s="34"/>
      <c r="M1772" s="33"/>
      <c r="N1772" s="33"/>
      <c r="O1772" s="152"/>
      <c r="Z1772" s="79"/>
      <c r="AA1772" s="80"/>
      <c r="AB1772" s="34"/>
      <c r="AC1772" s="34"/>
      <c r="AD1772" s="33"/>
      <c r="AE1772" s="33"/>
      <c r="AF1772" s="33"/>
      <c r="AG1772" s="33"/>
      <c r="AH1772" s="33"/>
      <c r="AI1772" s="33"/>
      <c r="AJ1772" s="33"/>
      <c r="AK1772" s="33"/>
      <c r="AL1772" s="33"/>
      <c r="AM1772" s="33"/>
      <c r="AN1772" s="33"/>
      <c r="AO1772" s="33"/>
    </row>
    <row r="1773" spans="1:41" ht="15.75">
      <c r="A1773" s="34"/>
      <c r="B1773" s="34"/>
      <c r="C1773" s="33"/>
      <c r="D1773" s="33"/>
      <c r="E1773" s="33"/>
      <c r="F1773" s="33"/>
      <c r="G1773" s="33"/>
      <c r="H1773" s="33"/>
      <c r="I1773" s="33"/>
      <c r="J1773" s="33"/>
      <c r="K1773" s="34"/>
      <c r="L1773" s="34"/>
      <c r="M1773" s="33"/>
      <c r="N1773" s="33"/>
      <c r="O1773" s="77"/>
      <c r="P1773" s="77"/>
      <c r="Q1773" s="78"/>
      <c r="Z1773" s="79"/>
      <c r="AA1773" s="80"/>
      <c r="AB1773" s="34"/>
      <c r="AC1773" s="34"/>
      <c r="AD1773" s="33"/>
      <c r="AE1773" s="33"/>
      <c r="AF1773" s="33"/>
      <c r="AG1773" s="33"/>
      <c r="AH1773" s="33"/>
      <c r="AI1773" s="33"/>
      <c r="AJ1773" s="33"/>
      <c r="AK1773" s="33"/>
      <c r="AL1773" s="33"/>
      <c r="AM1773" s="33"/>
      <c r="AN1773" s="33"/>
      <c r="AO1773" s="33"/>
    </row>
    <row r="1774" spans="1:41" ht="15.75">
      <c r="A1774" s="34"/>
      <c r="B1774" s="34"/>
      <c r="C1774" s="33"/>
      <c r="D1774" s="33"/>
      <c r="E1774" s="33"/>
      <c r="F1774" s="33"/>
      <c r="G1774" s="33"/>
      <c r="H1774" s="33"/>
      <c r="I1774" s="33"/>
      <c r="J1774" s="33"/>
      <c r="K1774" s="34"/>
      <c r="L1774" s="34"/>
      <c r="M1774" s="33"/>
      <c r="N1774" s="33"/>
      <c r="O1774" s="77"/>
      <c r="P1774" s="77"/>
      <c r="Q1774" s="78">
        <f>G1774+H1774+H1776+J1774</f>
        <v>0</v>
      </c>
      <c r="Z1774" s="79"/>
      <c r="AA1774" s="80"/>
      <c r="AB1774" s="34"/>
      <c r="AC1774" s="34"/>
      <c r="AD1774" s="33"/>
      <c r="AE1774" s="33"/>
      <c r="AF1774" s="33"/>
      <c r="AG1774" s="33"/>
      <c r="AH1774" s="33"/>
      <c r="AI1774" s="33"/>
      <c r="AJ1774" s="33"/>
      <c r="AK1774" s="33"/>
      <c r="AL1774" s="33"/>
      <c r="AM1774" s="33"/>
      <c r="AN1774" s="33"/>
      <c r="AO1774" s="33"/>
    </row>
    <row r="1775" spans="1:41" ht="15.75">
      <c r="A1775" s="34"/>
      <c r="B1775" s="34"/>
      <c r="C1775" s="33"/>
      <c r="D1775" s="33"/>
      <c r="E1775" s="33"/>
      <c r="F1775" s="33"/>
      <c r="G1775" s="33"/>
      <c r="H1775" s="33"/>
      <c r="I1775" s="33"/>
      <c r="J1775" s="33"/>
      <c r="K1775" s="34"/>
      <c r="L1775" s="34"/>
      <c r="M1775" s="33"/>
      <c r="N1775" s="33"/>
      <c r="O1775" s="77"/>
      <c r="P1775" s="77"/>
      <c r="Q1775" s="78"/>
      <c r="Z1775" s="79"/>
      <c r="AA1775" s="80"/>
      <c r="AB1775" s="34"/>
      <c r="AC1775" s="34"/>
      <c r="AD1775" s="33"/>
      <c r="AE1775" s="33"/>
      <c r="AF1775" s="33"/>
      <c r="AG1775" s="33"/>
      <c r="AH1775" s="33"/>
      <c r="AI1775" s="33"/>
      <c r="AJ1775" s="33"/>
      <c r="AK1775" s="33"/>
      <c r="AL1775" s="33"/>
      <c r="AM1775" s="33"/>
      <c r="AN1775" s="33"/>
      <c r="AO1775" s="33"/>
    </row>
    <row r="1776" spans="1:41" ht="15.75">
      <c r="A1776" s="34"/>
      <c r="B1776" s="34"/>
      <c r="C1776" s="33"/>
      <c r="D1776" s="33"/>
      <c r="E1776" s="33"/>
      <c r="F1776" s="33"/>
      <c r="G1776" s="33"/>
      <c r="H1776" s="33"/>
      <c r="I1776" s="33"/>
      <c r="J1776" s="33"/>
      <c r="K1776" s="34"/>
      <c r="L1776" s="34"/>
      <c r="M1776" s="33"/>
      <c r="N1776" s="33"/>
      <c r="O1776" s="77"/>
      <c r="P1776" s="77"/>
      <c r="Q1776" s="78"/>
      <c r="Z1776" s="79"/>
      <c r="AA1776" s="80"/>
      <c r="AB1776" s="34"/>
      <c r="AC1776" s="34"/>
      <c r="AD1776" s="33"/>
      <c r="AE1776" s="33"/>
      <c r="AF1776" s="33"/>
      <c r="AG1776" s="33"/>
      <c r="AH1776" s="33"/>
      <c r="AI1776" s="33"/>
      <c r="AJ1776" s="33"/>
      <c r="AK1776" s="33"/>
      <c r="AL1776" s="33"/>
      <c r="AM1776" s="33"/>
      <c r="AN1776" s="33"/>
      <c r="AO1776" s="33"/>
    </row>
    <row r="1777" spans="1:41" ht="15.75">
      <c r="A1777" s="34"/>
      <c r="B1777" s="34"/>
      <c r="C1777" s="33"/>
      <c r="D1777" s="33"/>
      <c r="E1777" s="33"/>
      <c r="F1777" s="33"/>
      <c r="G1777" s="33"/>
      <c r="H1777" s="33"/>
      <c r="I1777" s="33"/>
      <c r="J1777" s="33"/>
      <c r="K1777" s="34"/>
      <c r="L1777" s="34"/>
      <c r="M1777" s="33"/>
      <c r="N1777" s="33"/>
      <c r="O1777" s="77"/>
      <c r="P1777" s="77"/>
      <c r="Q1777" s="78"/>
      <c r="Z1777" s="79"/>
      <c r="AA1777" s="80"/>
      <c r="AB1777" s="34"/>
      <c r="AC1777" s="34"/>
      <c r="AD1777" s="33"/>
      <c r="AE1777" s="33"/>
      <c r="AF1777" s="33"/>
      <c r="AG1777" s="33"/>
      <c r="AH1777" s="33"/>
      <c r="AI1777" s="33"/>
      <c r="AJ1777" s="33"/>
      <c r="AK1777" s="33"/>
      <c r="AL1777" s="33"/>
      <c r="AM1777" s="33"/>
      <c r="AN1777" s="33"/>
      <c r="AO1777" s="33"/>
    </row>
    <row r="1778" spans="1:41" ht="15.75">
      <c r="A1778" s="34"/>
      <c r="B1778" s="34"/>
      <c r="C1778" s="33"/>
      <c r="D1778" s="33"/>
      <c r="E1778" s="33"/>
      <c r="F1778" s="33"/>
      <c r="G1778" s="33"/>
      <c r="H1778" s="33"/>
      <c r="I1778" s="33"/>
      <c r="J1778" s="33"/>
      <c r="K1778" s="34"/>
      <c r="L1778" s="34"/>
      <c r="M1778" s="33"/>
      <c r="N1778" s="33"/>
      <c r="O1778" s="77"/>
      <c r="P1778" s="77"/>
      <c r="Q1778" s="78"/>
      <c r="Z1778" s="79"/>
      <c r="AA1778" s="80"/>
      <c r="AB1778" s="34"/>
      <c r="AC1778" s="34"/>
      <c r="AD1778" s="33"/>
      <c r="AE1778" s="33"/>
      <c r="AF1778" s="33"/>
      <c r="AG1778" s="33"/>
      <c r="AH1778" s="33"/>
      <c r="AI1778" s="33"/>
      <c r="AJ1778" s="33"/>
      <c r="AK1778" s="33"/>
      <c r="AL1778" s="33"/>
      <c r="AM1778" s="33"/>
      <c r="AN1778" s="33"/>
      <c r="AO1778" s="33"/>
    </row>
    <row r="1779" spans="1:41" ht="15.75">
      <c r="A1779" s="34"/>
      <c r="B1779" s="34"/>
      <c r="C1779" s="33"/>
      <c r="D1779" s="33"/>
      <c r="E1779" s="33"/>
      <c r="F1779" s="33"/>
      <c r="G1779" s="33"/>
      <c r="H1779" s="33"/>
      <c r="I1779" s="33"/>
      <c r="J1779" s="33"/>
      <c r="K1779" s="34"/>
      <c r="L1779" s="34"/>
      <c r="M1779" s="33"/>
      <c r="N1779" s="33"/>
      <c r="O1779" s="77"/>
      <c r="P1779" s="77"/>
      <c r="Q1779" s="78"/>
      <c r="Z1779" s="79"/>
      <c r="AA1779" s="80"/>
      <c r="AB1779" s="34"/>
      <c r="AC1779" s="34"/>
      <c r="AD1779" s="33"/>
      <c r="AE1779" s="33"/>
      <c r="AF1779" s="33"/>
      <c r="AG1779" s="33"/>
      <c r="AH1779" s="33"/>
      <c r="AI1779" s="33"/>
      <c r="AJ1779" s="33"/>
      <c r="AK1779" s="33"/>
      <c r="AL1779" s="33"/>
      <c r="AM1779" s="33"/>
      <c r="AN1779" s="33"/>
      <c r="AO1779" s="33"/>
    </row>
    <row r="1780" spans="1:41" ht="15.75">
      <c r="A1780" s="34"/>
      <c r="B1780" s="34"/>
      <c r="C1780" s="33"/>
      <c r="D1780" s="33"/>
      <c r="E1780" s="33"/>
      <c r="F1780" s="33"/>
      <c r="G1780" s="33"/>
      <c r="H1780" s="33"/>
      <c r="I1780" s="33"/>
      <c r="J1780" s="33"/>
      <c r="K1780" s="34"/>
      <c r="L1780" s="34"/>
      <c r="M1780" s="33"/>
      <c r="N1780" s="33"/>
      <c r="O1780" s="77"/>
      <c r="P1780" s="77"/>
      <c r="Q1780" s="78"/>
      <c r="Z1780" s="79"/>
      <c r="AA1780" s="80"/>
      <c r="AB1780" s="34"/>
      <c r="AC1780" s="34"/>
      <c r="AD1780" s="33"/>
      <c r="AE1780" s="33"/>
      <c r="AF1780" s="33"/>
      <c r="AG1780" s="33"/>
      <c r="AH1780" s="33"/>
      <c r="AI1780" s="33"/>
      <c r="AJ1780" s="33"/>
      <c r="AK1780" s="33"/>
      <c r="AL1780" s="33"/>
      <c r="AM1780" s="33"/>
      <c r="AN1780" s="33"/>
      <c r="AO1780" s="33"/>
    </row>
    <row r="1781" spans="1:41" ht="15.75">
      <c r="A1781" s="34"/>
      <c r="B1781" s="34"/>
      <c r="C1781" s="33"/>
      <c r="D1781" s="33"/>
      <c r="E1781" s="33"/>
      <c r="F1781" s="33"/>
      <c r="G1781" s="33"/>
      <c r="H1781" s="33"/>
      <c r="I1781" s="33"/>
      <c r="J1781" s="33"/>
      <c r="K1781" s="34"/>
      <c r="L1781" s="34"/>
      <c r="M1781" s="33"/>
      <c r="N1781" s="33"/>
      <c r="O1781" s="77"/>
      <c r="P1781" s="77"/>
      <c r="Q1781" s="78"/>
      <c r="Z1781" s="79"/>
      <c r="AA1781" s="80"/>
      <c r="AB1781" s="34"/>
      <c r="AC1781" s="34"/>
      <c r="AD1781" s="33"/>
      <c r="AE1781" s="33"/>
      <c r="AF1781" s="33"/>
      <c r="AG1781" s="33"/>
      <c r="AH1781" s="33"/>
      <c r="AI1781" s="33"/>
      <c r="AJ1781" s="33"/>
      <c r="AK1781" s="33"/>
      <c r="AL1781" s="33"/>
      <c r="AM1781" s="33"/>
      <c r="AN1781" s="33"/>
      <c r="AO1781" s="33"/>
    </row>
    <row r="1782" spans="1:41" ht="15.75">
      <c r="A1782" s="34"/>
      <c r="B1782" s="34"/>
      <c r="C1782" s="33"/>
      <c r="D1782" s="33"/>
      <c r="E1782" s="33"/>
      <c r="F1782" s="33"/>
      <c r="G1782" s="33"/>
      <c r="H1782" s="33"/>
      <c r="I1782" s="33"/>
      <c r="J1782" s="33"/>
      <c r="K1782" s="34"/>
      <c r="L1782" s="34"/>
      <c r="M1782" s="33"/>
      <c r="N1782" s="33"/>
      <c r="O1782" s="77"/>
      <c r="P1782" s="77"/>
      <c r="Q1782" s="78"/>
      <c r="Z1782" s="79"/>
      <c r="AA1782" s="80"/>
      <c r="AB1782" s="34"/>
      <c r="AC1782" s="34"/>
      <c r="AD1782" s="33"/>
      <c r="AE1782" s="33"/>
      <c r="AF1782" s="33"/>
      <c r="AG1782" s="33"/>
      <c r="AH1782" s="33"/>
      <c r="AI1782" s="33"/>
      <c r="AJ1782" s="33"/>
      <c r="AK1782" s="33"/>
      <c r="AL1782" s="33"/>
      <c r="AM1782" s="33"/>
      <c r="AN1782" s="33"/>
      <c r="AO1782" s="33"/>
    </row>
    <row r="1783" spans="1:41" ht="15.75">
      <c r="A1783" s="34"/>
      <c r="B1783" s="34"/>
      <c r="C1783" s="33"/>
      <c r="D1783" s="33"/>
      <c r="E1783" s="33"/>
      <c r="F1783" s="33"/>
      <c r="G1783" s="33"/>
      <c r="H1783" s="33"/>
      <c r="I1783" s="33"/>
      <c r="J1783" s="33"/>
      <c r="K1783" s="34"/>
      <c r="L1783" s="34"/>
      <c r="M1783" s="33"/>
      <c r="N1783" s="33"/>
      <c r="O1783" s="77"/>
      <c r="P1783" s="77"/>
      <c r="Q1783" s="78"/>
      <c r="Z1783" s="79"/>
      <c r="AA1783" s="80"/>
      <c r="AB1783" s="34"/>
      <c r="AC1783" s="34"/>
      <c r="AD1783" s="33"/>
      <c r="AE1783" s="33"/>
      <c r="AF1783" s="33"/>
      <c r="AG1783" s="33"/>
      <c r="AH1783" s="33"/>
      <c r="AI1783" s="33"/>
      <c r="AJ1783" s="33"/>
      <c r="AK1783" s="33"/>
      <c r="AL1783" s="33"/>
      <c r="AM1783" s="33"/>
      <c r="AN1783" s="33"/>
      <c r="AO1783" s="33"/>
    </row>
    <row r="1784" spans="1:41" ht="15.75">
      <c r="A1784" s="34"/>
      <c r="B1784" s="34"/>
      <c r="C1784" s="33"/>
      <c r="D1784" s="33"/>
      <c r="E1784" s="33"/>
      <c r="F1784" s="33"/>
      <c r="G1784" s="33"/>
      <c r="H1784" s="33"/>
      <c r="I1784" s="33"/>
      <c r="J1784" s="33"/>
      <c r="K1784" s="34"/>
      <c r="L1784" s="34"/>
      <c r="M1784" s="33"/>
      <c r="N1784" s="33"/>
      <c r="O1784" s="77"/>
      <c r="P1784" s="77"/>
      <c r="Q1784" s="78"/>
      <c r="Z1784" s="79"/>
      <c r="AA1784" s="80"/>
      <c r="AB1784" s="34"/>
      <c r="AC1784" s="34"/>
      <c r="AD1784" s="33"/>
      <c r="AE1784" s="33"/>
      <c r="AF1784" s="33"/>
      <c r="AG1784" s="33"/>
      <c r="AH1784" s="33"/>
      <c r="AI1784" s="33"/>
      <c r="AJ1784" s="33"/>
      <c r="AK1784" s="33"/>
      <c r="AL1784" s="33"/>
      <c r="AM1784" s="33"/>
      <c r="AN1784" s="33"/>
      <c r="AO1784" s="33"/>
    </row>
    <row r="1785" spans="1:41" ht="15.75">
      <c r="A1785" s="34"/>
      <c r="B1785" s="34"/>
      <c r="C1785" s="33"/>
      <c r="D1785" s="33"/>
      <c r="E1785" s="33"/>
      <c r="F1785" s="33"/>
      <c r="G1785" s="33"/>
      <c r="H1785" s="33"/>
      <c r="I1785" s="33"/>
      <c r="J1785" s="33"/>
      <c r="K1785" s="34"/>
      <c r="L1785" s="34"/>
      <c r="M1785" s="33"/>
      <c r="N1785" s="33"/>
      <c r="O1785" s="77"/>
      <c r="P1785" s="77"/>
      <c r="Q1785" s="78"/>
      <c r="Z1785" s="79"/>
      <c r="AA1785" s="80"/>
      <c r="AB1785" s="34"/>
      <c r="AC1785" s="34"/>
      <c r="AD1785" s="33"/>
      <c r="AE1785" s="33"/>
      <c r="AF1785" s="33"/>
      <c r="AG1785" s="33"/>
      <c r="AH1785" s="33"/>
      <c r="AI1785" s="33"/>
      <c r="AJ1785" s="33"/>
      <c r="AK1785" s="33"/>
      <c r="AL1785" s="33"/>
      <c r="AM1785" s="33"/>
      <c r="AN1785" s="33"/>
      <c r="AO1785" s="33"/>
    </row>
    <row r="1786" spans="1:41" ht="15.75">
      <c r="A1786" s="34"/>
      <c r="B1786" s="34"/>
      <c r="C1786" s="33"/>
      <c r="D1786" s="33"/>
      <c r="E1786" s="33"/>
      <c r="F1786" s="33"/>
      <c r="G1786" s="33"/>
      <c r="H1786" s="33"/>
      <c r="I1786" s="33"/>
      <c r="J1786" s="33"/>
      <c r="K1786" s="34"/>
      <c r="L1786" s="34"/>
      <c r="M1786" s="33"/>
      <c r="N1786" s="33"/>
      <c r="O1786" s="77"/>
      <c r="P1786" s="77"/>
      <c r="Q1786" s="78"/>
      <c r="Z1786" s="79"/>
      <c r="AA1786" s="80"/>
      <c r="AB1786" s="34"/>
      <c r="AC1786" s="34"/>
      <c r="AD1786" s="33"/>
      <c r="AE1786" s="33"/>
      <c r="AF1786" s="33"/>
      <c r="AG1786" s="33"/>
      <c r="AH1786" s="33"/>
      <c r="AI1786" s="33"/>
      <c r="AJ1786" s="33"/>
      <c r="AK1786" s="33"/>
      <c r="AL1786" s="33"/>
      <c r="AM1786" s="33"/>
      <c r="AN1786" s="33"/>
      <c r="AO1786" s="33"/>
    </row>
    <row r="1787" spans="1:41" ht="15.75">
      <c r="A1787" s="34"/>
      <c r="B1787" s="34"/>
      <c r="C1787" s="33"/>
      <c r="D1787" s="33"/>
      <c r="E1787" s="33"/>
      <c r="F1787" s="33"/>
      <c r="G1787" s="33"/>
      <c r="H1787" s="33"/>
      <c r="I1787" s="33"/>
      <c r="J1787" s="33"/>
      <c r="K1787" s="34"/>
      <c r="L1787" s="34"/>
      <c r="M1787" s="33"/>
      <c r="N1787" s="33"/>
      <c r="O1787" s="77"/>
      <c r="P1787" s="77"/>
      <c r="Q1787" s="78"/>
      <c r="Z1787" s="79"/>
      <c r="AA1787" s="80"/>
      <c r="AB1787" s="34"/>
      <c r="AC1787" s="34"/>
      <c r="AD1787" s="33"/>
      <c r="AE1787" s="33"/>
      <c r="AF1787" s="33"/>
      <c r="AG1787" s="33"/>
      <c r="AH1787" s="33"/>
      <c r="AI1787" s="33"/>
      <c r="AJ1787" s="33"/>
      <c r="AK1787" s="33"/>
      <c r="AL1787" s="33"/>
      <c r="AM1787" s="33"/>
      <c r="AN1787" s="33"/>
      <c r="AO1787" s="33"/>
    </row>
    <row r="1788" spans="1:41" ht="15.75">
      <c r="A1788" s="34"/>
      <c r="B1788" s="34"/>
      <c r="C1788" s="33"/>
      <c r="D1788" s="33"/>
      <c r="E1788" s="33"/>
      <c r="F1788" s="33"/>
      <c r="G1788" s="33"/>
      <c r="H1788" s="33"/>
      <c r="I1788" s="33"/>
      <c r="J1788" s="33"/>
      <c r="K1788" s="34"/>
      <c r="L1788" s="34"/>
      <c r="M1788" s="33"/>
      <c r="N1788" s="33"/>
      <c r="O1788" s="77"/>
      <c r="P1788" s="77"/>
      <c r="Q1788" s="78"/>
      <c r="Z1788" s="79"/>
      <c r="AA1788" s="80"/>
      <c r="AB1788" s="34"/>
      <c r="AC1788" s="34"/>
      <c r="AD1788" s="33"/>
      <c r="AE1788" s="33"/>
      <c r="AF1788" s="33"/>
      <c r="AG1788" s="33"/>
      <c r="AH1788" s="33"/>
      <c r="AI1788" s="33"/>
      <c r="AJ1788" s="33"/>
      <c r="AK1788" s="33"/>
      <c r="AL1788" s="33"/>
      <c r="AM1788" s="33"/>
      <c r="AN1788" s="33"/>
      <c r="AO1788" s="33"/>
    </row>
    <row r="1789" spans="1:41" ht="15.75">
      <c r="A1789" s="34"/>
      <c r="B1789" s="34"/>
      <c r="C1789" s="33"/>
      <c r="D1789" s="33"/>
      <c r="E1789" s="33"/>
      <c r="F1789" s="33"/>
      <c r="G1789" s="33"/>
      <c r="H1789" s="33"/>
      <c r="I1789" s="33"/>
      <c r="J1789" s="33"/>
      <c r="K1789" s="34"/>
      <c r="L1789" s="34"/>
      <c r="M1789" s="33"/>
      <c r="N1789" s="33"/>
      <c r="O1789" s="77"/>
      <c r="P1789" s="77"/>
      <c r="Q1789" s="78"/>
      <c r="Z1789" s="79"/>
      <c r="AA1789" s="80"/>
      <c r="AB1789" s="34"/>
      <c r="AC1789" s="34"/>
      <c r="AD1789" s="33"/>
      <c r="AE1789" s="33"/>
      <c r="AF1789" s="33"/>
      <c r="AG1789" s="33"/>
      <c r="AH1789" s="33"/>
      <c r="AI1789" s="33"/>
      <c r="AJ1789" s="33"/>
      <c r="AK1789" s="33"/>
      <c r="AL1789" s="33"/>
      <c r="AM1789" s="33"/>
      <c r="AN1789" s="33"/>
      <c r="AO1789" s="33"/>
    </row>
    <row r="1790" spans="1:41" ht="15.75">
      <c r="A1790" s="34"/>
      <c r="B1790" s="34"/>
      <c r="C1790" s="33"/>
      <c r="D1790" s="33"/>
      <c r="E1790" s="33"/>
      <c r="F1790" s="33"/>
      <c r="G1790" s="33"/>
      <c r="H1790" s="33"/>
      <c r="I1790" s="33"/>
      <c r="J1790" s="33"/>
      <c r="K1790" s="34"/>
      <c r="L1790" s="34"/>
      <c r="M1790" s="33"/>
      <c r="N1790" s="33"/>
      <c r="O1790" s="77"/>
      <c r="P1790" s="77"/>
      <c r="Q1790" s="78"/>
      <c r="Z1790" s="79"/>
      <c r="AA1790" s="80"/>
      <c r="AB1790" s="34"/>
      <c r="AC1790" s="34"/>
      <c r="AD1790" s="33"/>
      <c r="AE1790" s="33"/>
      <c r="AF1790" s="33"/>
      <c r="AG1790" s="33"/>
      <c r="AH1790" s="33"/>
      <c r="AI1790" s="33"/>
      <c r="AJ1790" s="33"/>
      <c r="AK1790" s="33"/>
      <c r="AL1790" s="33"/>
      <c r="AM1790" s="33"/>
      <c r="AN1790" s="33"/>
      <c r="AO1790" s="33"/>
    </row>
    <row r="1791" spans="1:41" ht="15.75">
      <c r="A1791" s="34"/>
      <c r="B1791" s="34"/>
      <c r="C1791" s="33"/>
      <c r="D1791" s="33"/>
      <c r="E1791" s="33"/>
      <c r="F1791" s="33"/>
      <c r="G1791" s="33"/>
      <c r="H1791" s="33"/>
      <c r="I1791" s="33"/>
      <c r="J1791" s="33"/>
      <c r="K1791" s="34"/>
      <c r="L1791" s="34"/>
      <c r="M1791" s="33"/>
      <c r="N1791" s="33"/>
      <c r="O1791" s="77"/>
      <c r="P1791" s="77"/>
      <c r="Q1791" s="78"/>
      <c r="Z1791" s="79"/>
      <c r="AA1791" s="80"/>
      <c r="AB1791" s="34"/>
      <c r="AC1791" s="34"/>
      <c r="AD1791" s="33"/>
      <c r="AE1791" s="33"/>
      <c r="AF1791" s="33"/>
      <c r="AG1791" s="33"/>
      <c r="AH1791" s="33"/>
      <c r="AI1791" s="33"/>
      <c r="AJ1791" s="33"/>
      <c r="AK1791" s="33"/>
      <c r="AL1791" s="33"/>
      <c r="AM1791" s="33"/>
      <c r="AN1791" s="33"/>
      <c r="AO1791" s="33"/>
    </row>
    <row r="1792" spans="1:41" ht="15.75">
      <c r="A1792" s="34"/>
      <c r="B1792" s="34"/>
      <c r="C1792" s="33"/>
      <c r="D1792" s="33"/>
      <c r="E1792" s="33"/>
      <c r="F1792" s="33"/>
      <c r="G1792" s="33"/>
      <c r="H1792" s="33"/>
      <c r="I1792" s="33"/>
      <c r="J1792" s="33"/>
      <c r="K1792" s="34"/>
      <c r="L1792" s="34"/>
      <c r="M1792" s="33"/>
      <c r="N1792" s="33"/>
    </row>
    <row r="1793" spans="1:14" ht="15.75">
      <c r="A1793" s="34"/>
      <c r="B1793" s="34"/>
      <c r="C1793" s="33"/>
      <c r="D1793" s="33"/>
      <c r="E1793" s="33"/>
      <c r="F1793" s="33"/>
      <c r="G1793" s="33"/>
      <c r="H1793" s="33"/>
      <c r="I1793" s="33"/>
      <c r="J1793" s="33"/>
      <c r="K1793" s="34"/>
      <c r="L1793" s="34"/>
      <c r="M1793" s="33"/>
      <c r="N1793" s="33"/>
    </row>
    <row r="1794" spans="1:14" ht="15.75">
      <c r="A1794" s="34"/>
      <c r="B1794" s="34"/>
      <c r="C1794" s="33"/>
      <c r="D1794" s="33"/>
      <c r="E1794" s="33"/>
      <c r="F1794" s="33"/>
      <c r="G1794" s="33"/>
      <c r="H1794" s="33"/>
      <c r="I1794" s="33"/>
      <c r="J1794" s="33"/>
      <c r="K1794" s="34"/>
      <c r="L1794" s="34"/>
      <c r="M1794" s="33"/>
      <c r="N1794" s="33"/>
    </row>
    <row r="1795" spans="1:14" ht="15.75">
      <c r="A1795" s="34"/>
      <c r="B1795" s="34"/>
      <c r="C1795" s="33"/>
      <c r="D1795" s="33"/>
      <c r="E1795" s="33"/>
      <c r="F1795" s="33"/>
      <c r="G1795" s="33"/>
      <c r="H1795" s="33"/>
      <c r="I1795" s="33"/>
      <c r="J1795" s="33"/>
      <c r="K1795" s="34"/>
      <c r="L1795" s="34"/>
      <c r="M1795" s="33"/>
      <c r="N1795" s="33"/>
    </row>
    <row r="1796" spans="1:14" ht="15.75">
      <c r="A1796" s="34"/>
      <c r="B1796" s="34"/>
      <c r="C1796" s="33"/>
      <c r="D1796" s="33"/>
      <c r="E1796" s="33"/>
      <c r="F1796" s="33"/>
      <c r="G1796" s="33"/>
      <c r="H1796" s="33"/>
      <c r="I1796" s="33"/>
      <c r="J1796" s="33"/>
      <c r="K1796" s="34"/>
      <c r="L1796" s="34"/>
      <c r="M1796" s="33"/>
      <c r="N1796" s="33"/>
    </row>
    <row r="1797" spans="1:14" ht="15.75">
      <c r="A1797" s="34"/>
      <c r="B1797" s="34"/>
      <c r="C1797" s="33"/>
      <c r="D1797" s="33"/>
      <c r="E1797" s="33"/>
      <c r="F1797" s="33"/>
      <c r="G1797" s="33"/>
      <c r="H1797" s="33"/>
      <c r="I1797" s="33"/>
      <c r="J1797" s="33"/>
      <c r="K1797" s="34"/>
      <c r="L1797" s="34"/>
      <c r="M1797" s="33"/>
      <c r="N1797" s="33"/>
    </row>
    <row r="1798" spans="1:14" ht="15.75">
      <c r="A1798" s="34"/>
      <c r="B1798" s="34"/>
      <c r="C1798" s="33"/>
      <c r="D1798" s="33"/>
      <c r="E1798" s="33"/>
      <c r="F1798" s="33"/>
      <c r="G1798" s="33"/>
      <c r="H1798" s="33"/>
      <c r="I1798" s="33"/>
      <c r="J1798" s="33"/>
      <c r="K1798" s="34"/>
      <c r="L1798" s="34"/>
      <c r="M1798" s="33"/>
      <c r="N1798" s="33"/>
    </row>
    <row r="1799" spans="1:14" ht="15.75">
      <c r="A1799" s="34"/>
      <c r="B1799" s="34"/>
      <c r="C1799" s="33"/>
      <c r="D1799" s="33"/>
      <c r="E1799" s="33"/>
      <c r="F1799" s="33"/>
      <c r="G1799" s="33"/>
      <c r="H1799" s="33"/>
      <c r="I1799" s="33"/>
      <c r="J1799" s="33"/>
      <c r="K1799" s="34"/>
      <c r="L1799" s="34"/>
      <c r="M1799" s="33"/>
      <c r="N1799" s="33"/>
    </row>
    <row r="1800" spans="1:14" ht="15.75">
      <c r="A1800" s="34"/>
      <c r="B1800" s="34"/>
      <c r="C1800" s="33"/>
      <c r="D1800" s="33"/>
      <c r="E1800" s="33"/>
      <c r="F1800" s="33"/>
      <c r="G1800" s="33"/>
      <c r="H1800" s="33"/>
      <c r="I1800" s="33"/>
      <c r="J1800" s="33"/>
      <c r="K1800" s="34"/>
      <c r="L1800" s="34"/>
      <c r="M1800" s="33"/>
      <c r="N1800" s="33"/>
    </row>
    <row r="1801" spans="1:14" ht="15.75">
      <c r="A1801" s="34"/>
      <c r="B1801" s="34"/>
      <c r="C1801" s="33"/>
      <c r="D1801" s="33"/>
      <c r="E1801" s="33"/>
      <c r="F1801" s="33"/>
      <c r="G1801" s="33"/>
      <c r="H1801" s="33"/>
      <c r="I1801" s="33"/>
      <c r="J1801" s="33"/>
      <c r="K1801" s="34"/>
      <c r="L1801" s="34"/>
      <c r="M1801" s="33"/>
      <c r="N1801" s="33"/>
    </row>
    <row r="1802" spans="1:14" ht="15.75">
      <c r="A1802" s="34"/>
      <c r="B1802" s="34"/>
      <c r="C1802" s="33"/>
      <c r="D1802" s="33"/>
      <c r="E1802" s="33"/>
      <c r="F1802" s="33"/>
      <c r="G1802" s="33"/>
      <c r="H1802" s="33"/>
      <c r="I1802" s="33"/>
      <c r="J1802" s="33"/>
      <c r="K1802" s="34"/>
      <c r="L1802" s="34"/>
      <c r="M1802" s="33"/>
      <c r="N1802" s="33"/>
    </row>
    <row r="1803" spans="1:14" ht="15.75">
      <c r="A1803" s="34"/>
      <c r="B1803" s="34"/>
      <c r="C1803" s="33"/>
      <c r="D1803" s="33"/>
      <c r="E1803" s="33"/>
      <c r="F1803" s="33"/>
      <c r="G1803" s="33"/>
      <c r="H1803" s="33"/>
      <c r="I1803" s="33"/>
      <c r="J1803" s="33"/>
      <c r="K1803" s="34"/>
      <c r="L1803" s="34"/>
      <c r="M1803" s="33"/>
      <c r="N1803" s="33"/>
    </row>
    <row r="1804" spans="1:14" ht="15.75">
      <c r="A1804" s="34"/>
      <c r="B1804" s="34"/>
      <c r="C1804" s="33"/>
      <c r="D1804" s="33"/>
      <c r="E1804" s="33"/>
      <c r="F1804" s="33"/>
      <c r="G1804" s="33"/>
      <c r="H1804" s="33"/>
      <c r="I1804" s="33"/>
      <c r="J1804" s="33"/>
      <c r="K1804" s="34"/>
      <c r="L1804" s="34"/>
      <c r="M1804" s="33"/>
      <c r="N1804" s="33"/>
    </row>
    <row r="1805" spans="1:14" ht="15.75">
      <c r="A1805" s="34"/>
      <c r="B1805" s="34"/>
      <c r="C1805" s="33"/>
      <c r="D1805" s="33"/>
      <c r="E1805" s="33"/>
      <c r="F1805" s="33"/>
      <c r="G1805" s="33"/>
      <c r="H1805" s="33"/>
      <c r="I1805" s="33"/>
      <c r="J1805" s="33"/>
      <c r="K1805" s="34"/>
      <c r="L1805" s="34"/>
      <c r="M1805" s="33"/>
      <c r="N1805" s="33"/>
    </row>
    <row r="1806" spans="1:14" ht="15.75">
      <c r="A1806" s="34"/>
      <c r="B1806" s="34"/>
      <c r="C1806" s="33"/>
      <c r="D1806" s="33"/>
      <c r="E1806" s="33"/>
      <c r="F1806" s="33"/>
      <c r="G1806" s="33"/>
      <c r="H1806" s="33"/>
      <c r="I1806" s="33"/>
      <c r="J1806" s="33"/>
      <c r="K1806" s="34"/>
      <c r="L1806" s="34"/>
      <c r="M1806" s="33"/>
      <c r="N1806" s="33"/>
    </row>
    <row r="1807" spans="1:14" ht="15.75">
      <c r="A1807" s="34"/>
      <c r="B1807" s="34"/>
      <c r="C1807" s="33"/>
      <c r="D1807" s="33"/>
      <c r="E1807" s="33"/>
      <c r="F1807" s="33"/>
      <c r="G1807" s="33"/>
      <c r="H1807" s="33"/>
      <c r="I1807" s="33"/>
      <c r="J1807" s="33"/>
      <c r="K1807" s="34"/>
      <c r="L1807" s="34"/>
      <c r="M1807" s="33"/>
      <c r="N1807" s="33"/>
    </row>
    <row r="1808" spans="1:14" ht="15.75">
      <c r="A1808" s="34"/>
      <c r="B1808" s="34"/>
      <c r="C1808" s="33"/>
      <c r="D1808" s="33"/>
      <c r="E1808" s="33"/>
      <c r="F1808" s="33"/>
      <c r="G1808" s="33"/>
      <c r="H1808" s="33"/>
      <c r="I1808" s="33"/>
      <c r="J1808" s="33"/>
      <c r="K1808" s="34"/>
      <c r="L1808" s="34"/>
      <c r="M1808" s="33"/>
      <c r="N1808" s="33"/>
    </row>
    <row r="1809" spans="1:14" ht="15.75">
      <c r="A1809" s="34"/>
      <c r="B1809" s="34"/>
      <c r="C1809" s="33"/>
      <c r="D1809" s="33"/>
      <c r="E1809" s="33"/>
      <c r="F1809" s="33"/>
      <c r="G1809" s="33"/>
      <c r="H1809" s="33"/>
      <c r="I1809" s="33"/>
      <c r="J1809" s="33"/>
      <c r="K1809" s="34"/>
      <c r="L1809" s="34"/>
      <c r="M1809" s="33"/>
      <c r="N1809" s="33"/>
    </row>
    <row r="1810" spans="1:14" ht="15.75">
      <c r="A1810" s="34"/>
      <c r="B1810" s="34"/>
      <c r="C1810" s="33"/>
      <c r="D1810" s="33"/>
      <c r="E1810" s="33"/>
      <c r="F1810" s="33"/>
      <c r="G1810" s="33"/>
      <c r="H1810" s="33"/>
      <c r="I1810" s="33"/>
      <c r="J1810" s="33"/>
      <c r="K1810" s="34"/>
      <c r="L1810" s="34"/>
      <c r="M1810" s="33"/>
      <c r="N1810" s="33"/>
    </row>
    <row r="1811" spans="1:14" ht="15.75">
      <c r="A1811" s="34"/>
      <c r="B1811" s="34"/>
      <c r="C1811" s="33"/>
      <c r="D1811" s="33"/>
      <c r="E1811" s="33"/>
      <c r="F1811" s="33"/>
      <c r="G1811" s="33"/>
      <c r="H1811" s="33"/>
      <c r="I1811" s="33"/>
      <c r="J1811" s="33"/>
      <c r="K1811" s="34"/>
      <c r="L1811" s="34"/>
      <c r="M1811" s="33"/>
      <c r="N1811" s="33"/>
    </row>
    <row r="1812" spans="1:14" ht="15.75">
      <c r="A1812" s="34"/>
      <c r="B1812" s="34"/>
      <c r="C1812" s="33"/>
      <c r="D1812" s="33"/>
      <c r="E1812" s="33"/>
      <c r="F1812" s="33"/>
      <c r="G1812" s="33"/>
      <c r="H1812" s="33"/>
      <c r="I1812" s="33"/>
      <c r="J1812" s="33"/>
      <c r="K1812" s="34"/>
      <c r="L1812" s="34"/>
      <c r="M1812" s="33"/>
      <c r="N1812" s="33"/>
    </row>
    <row r="1813" spans="1:14" ht="15.75">
      <c r="A1813" s="34"/>
      <c r="B1813" s="34"/>
      <c r="C1813" s="33"/>
      <c r="D1813" s="33"/>
      <c r="E1813" s="33"/>
      <c r="F1813" s="33"/>
      <c r="G1813" s="33"/>
      <c r="H1813" s="33"/>
      <c r="I1813" s="33"/>
      <c r="J1813" s="33"/>
      <c r="K1813" s="34"/>
      <c r="L1813" s="34"/>
      <c r="M1813" s="33"/>
      <c r="N1813" s="33"/>
    </row>
    <row r="1814" spans="1:14" ht="15.75">
      <c r="A1814" s="34"/>
      <c r="B1814" s="34"/>
      <c r="C1814" s="33"/>
      <c r="D1814" s="33"/>
      <c r="E1814" s="33"/>
      <c r="F1814" s="33"/>
      <c r="G1814" s="33"/>
      <c r="H1814" s="33"/>
      <c r="I1814" s="33"/>
      <c r="J1814" s="33"/>
      <c r="K1814" s="34"/>
      <c r="L1814" s="34"/>
      <c r="M1814" s="33"/>
      <c r="N1814" s="33"/>
    </row>
    <row r="1815" spans="1:14" ht="15.75">
      <c r="A1815" s="34"/>
      <c r="B1815" s="34"/>
      <c r="C1815" s="33"/>
      <c r="D1815" s="33"/>
      <c r="E1815" s="33"/>
      <c r="F1815" s="33"/>
      <c r="G1815" s="33"/>
      <c r="H1815" s="33"/>
      <c r="I1815" s="33"/>
      <c r="J1815" s="33"/>
      <c r="K1815" s="34"/>
      <c r="L1815" s="34"/>
      <c r="M1815" s="33"/>
      <c r="N1815" s="33"/>
    </row>
    <row r="1816" spans="1:14" ht="15.75">
      <c r="A1816" s="34"/>
      <c r="B1816" s="34"/>
      <c r="C1816" s="33"/>
      <c r="D1816" s="33"/>
      <c r="E1816" s="33"/>
      <c r="F1816" s="33"/>
      <c r="G1816" s="33"/>
      <c r="H1816" s="33"/>
      <c r="I1816" s="33"/>
      <c r="J1816" s="33"/>
      <c r="K1816" s="34"/>
      <c r="L1816" s="34"/>
      <c r="M1816" s="33"/>
      <c r="N1816" s="33"/>
    </row>
    <row r="1817" spans="1:14" ht="15.75">
      <c r="A1817" s="34"/>
      <c r="B1817" s="34"/>
      <c r="C1817" s="33"/>
      <c r="D1817" s="33"/>
      <c r="E1817" s="33"/>
      <c r="F1817" s="33"/>
      <c r="G1817" s="33"/>
      <c r="H1817" s="33"/>
      <c r="I1817" s="33"/>
      <c r="J1817" s="33"/>
      <c r="K1817" s="34"/>
      <c r="L1817" s="34"/>
      <c r="M1817" s="33"/>
      <c r="N1817" s="33"/>
    </row>
    <row r="1818" spans="1:14" ht="15.75">
      <c r="A1818" s="34"/>
      <c r="B1818" s="34"/>
      <c r="C1818" s="33"/>
      <c r="D1818" s="33"/>
      <c r="E1818" s="33"/>
      <c r="F1818" s="33"/>
      <c r="G1818" s="33"/>
      <c r="H1818" s="33"/>
      <c r="I1818" s="33"/>
      <c r="J1818" s="33"/>
      <c r="K1818" s="34"/>
      <c r="L1818" s="34"/>
      <c r="M1818" s="33"/>
      <c r="N1818" s="33"/>
    </row>
    <row r="1819" spans="1:14" ht="15.75">
      <c r="A1819" s="34"/>
      <c r="B1819" s="34"/>
      <c r="C1819" s="33"/>
      <c r="D1819" s="33"/>
      <c r="E1819" s="33"/>
      <c r="F1819" s="33"/>
      <c r="G1819" s="33"/>
      <c r="H1819" s="33"/>
      <c r="I1819" s="33"/>
      <c r="J1819" s="33"/>
      <c r="K1819" s="34"/>
      <c r="L1819" s="34"/>
      <c r="M1819" s="33"/>
      <c r="N1819" s="33"/>
    </row>
    <row r="1820" spans="1:14" ht="15.75">
      <c r="A1820" s="34"/>
      <c r="B1820" s="34"/>
      <c r="C1820" s="33"/>
      <c r="D1820" s="33"/>
      <c r="E1820" s="33"/>
      <c r="F1820" s="33"/>
      <c r="G1820" s="33"/>
      <c r="H1820" s="33"/>
      <c r="I1820" s="33"/>
      <c r="J1820" s="33"/>
      <c r="K1820" s="34"/>
      <c r="L1820" s="34"/>
      <c r="M1820" s="33"/>
      <c r="N1820" s="33"/>
    </row>
    <row r="1821" spans="1:14" ht="15.75">
      <c r="A1821" s="34"/>
      <c r="B1821" s="34"/>
      <c r="C1821" s="33"/>
      <c r="D1821" s="33"/>
      <c r="E1821" s="33"/>
      <c r="F1821" s="33"/>
      <c r="G1821" s="33"/>
      <c r="H1821" s="33"/>
      <c r="I1821" s="33"/>
      <c r="J1821" s="33"/>
      <c r="K1821" s="34"/>
      <c r="L1821" s="34"/>
      <c r="M1821" s="33"/>
      <c r="N1821" s="33"/>
    </row>
    <row r="1822" spans="1:14" ht="15.75">
      <c r="A1822" s="34"/>
      <c r="B1822" s="34"/>
      <c r="C1822" s="33"/>
      <c r="D1822" s="33"/>
      <c r="E1822" s="33"/>
      <c r="F1822" s="33"/>
      <c r="G1822" s="33"/>
      <c r="H1822" s="33"/>
      <c r="I1822" s="33"/>
      <c r="J1822" s="33"/>
      <c r="K1822" s="34"/>
      <c r="L1822" s="34"/>
      <c r="M1822" s="33"/>
      <c r="N1822" s="33"/>
    </row>
    <row r="1823" spans="1:14" ht="15.75">
      <c r="A1823" s="34"/>
      <c r="B1823" s="34"/>
      <c r="C1823" s="33"/>
      <c r="D1823" s="33"/>
      <c r="E1823" s="33"/>
      <c r="F1823" s="33"/>
      <c r="G1823" s="33"/>
      <c r="H1823" s="33"/>
      <c r="I1823" s="33"/>
      <c r="J1823" s="33"/>
      <c r="K1823" s="34"/>
      <c r="L1823" s="34"/>
      <c r="M1823" s="33"/>
      <c r="N1823" s="33"/>
    </row>
    <row r="1824" spans="1:14" ht="15.75">
      <c r="A1824" s="34"/>
      <c r="B1824" s="34"/>
      <c r="C1824" s="33"/>
      <c r="D1824" s="33"/>
      <c r="E1824" s="33"/>
      <c r="F1824" s="33"/>
      <c r="G1824" s="33"/>
      <c r="H1824" s="33"/>
      <c r="I1824" s="33"/>
      <c r="J1824" s="33"/>
      <c r="K1824" s="34"/>
      <c r="L1824" s="34"/>
      <c r="M1824" s="33"/>
      <c r="N1824" s="33"/>
    </row>
    <row r="1825" spans="1:14" ht="15.75">
      <c r="A1825" s="34"/>
      <c r="B1825" s="34"/>
      <c r="C1825" s="33"/>
      <c r="D1825" s="33"/>
      <c r="E1825" s="33"/>
      <c r="F1825" s="33"/>
      <c r="G1825" s="33"/>
      <c r="H1825" s="33"/>
      <c r="I1825" s="33"/>
      <c r="J1825" s="33"/>
      <c r="K1825" s="34"/>
      <c r="L1825" s="34"/>
      <c r="M1825" s="33"/>
      <c r="N1825" s="33"/>
    </row>
    <row r="1826" spans="1:14" ht="15.75">
      <c r="A1826" s="34"/>
      <c r="B1826" s="34"/>
      <c r="C1826" s="33"/>
      <c r="D1826" s="33"/>
      <c r="E1826" s="33"/>
      <c r="F1826" s="33"/>
      <c r="G1826" s="33"/>
      <c r="H1826" s="33"/>
      <c r="I1826" s="33"/>
      <c r="J1826" s="33"/>
      <c r="K1826" s="34"/>
      <c r="L1826" s="34"/>
      <c r="M1826" s="33"/>
      <c r="N1826" s="33"/>
    </row>
    <row r="1827" spans="1:14" ht="15.75">
      <c r="A1827" s="34"/>
      <c r="B1827" s="34"/>
      <c r="C1827" s="33"/>
      <c r="D1827" s="33"/>
      <c r="E1827" s="33"/>
      <c r="F1827" s="33"/>
      <c r="G1827" s="33"/>
      <c r="H1827" s="33"/>
      <c r="I1827" s="33"/>
      <c r="J1827" s="33"/>
      <c r="K1827" s="34"/>
      <c r="L1827" s="34"/>
      <c r="M1827" s="33"/>
      <c r="N1827" s="33"/>
    </row>
    <row r="1828" spans="1:14" ht="15.75">
      <c r="A1828" s="34"/>
      <c r="B1828" s="34"/>
      <c r="C1828" s="33"/>
      <c r="D1828" s="33"/>
      <c r="E1828" s="33"/>
      <c r="F1828" s="33"/>
      <c r="G1828" s="33"/>
      <c r="H1828" s="33"/>
      <c r="I1828" s="33"/>
      <c r="J1828" s="33"/>
      <c r="K1828" s="34"/>
      <c r="L1828" s="34"/>
      <c r="M1828" s="33"/>
      <c r="N1828" s="33"/>
    </row>
    <row r="1829" spans="1:14" ht="15.75">
      <c r="A1829" s="34"/>
      <c r="B1829" s="34"/>
      <c r="C1829" s="33"/>
      <c r="D1829" s="33"/>
      <c r="E1829" s="33"/>
      <c r="F1829" s="33"/>
      <c r="G1829" s="33"/>
      <c r="H1829" s="33"/>
      <c r="I1829" s="33"/>
      <c r="J1829" s="33"/>
      <c r="K1829" s="34"/>
      <c r="L1829" s="34"/>
      <c r="M1829" s="33"/>
      <c r="N1829" s="33"/>
    </row>
    <row r="1830" spans="1:14" ht="15.75">
      <c r="A1830" s="34"/>
      <c r="B1830" s="34"/>
      <c r="C1830" s="33"/>
      <c r="D1830" s="33"/>
      <c r="E1830" s="33"/>
      <c r="F1830" s="33"/>
      <c r="G1830" s="33"/>
      <c r="H1830" s="33"/>
      <c r="I1830" s="33"/>
      <c r="J1830" s="33"/>
      <c r="K1830" s="34"/>
      <c r="L1830" s="34"/>
      <c r="M1830" s="33"/>
      <c r="N1830" s="33"/>
    </row>
    <row r="1831" spans="1:14" ht="15.75">
      <c r="A1831" s="34"/>
      <c r="B1831" s="34"/>
      <c r="C1831" s="33"/>
      <c r="D1831" s="33"/>
      <c r="E1831" s="33"/>
      <c r="F1831" s="33"/>
      <c r="G1831" s="33"/>
      <c r="H1831" s="33"/>
      <c r="I1831" s="33"/>
      <c r="J1831" s="33"/>
      <c r="K1831" s="34"/>
      <c r="L1831" s="34"/>
      <c r="M1831" s="33"/>
      <c r="N1831" s="33"/>
    </row>
    <row r="1832" spans="1:14" ht="15.75">
      <c r="A1832" s="34"/>
      <c r="B1832" s="34"/>
      <c r="C1832" s="33"/>
      <c r="D1832" s="33"/>
      <c r="E1832" s="33"/>
      <c r="F1832" s="33"/>
      <c r="G1832" s="33"/>
      <c r="H1832" s="33"/>
      <c r="I1832" s="33"/>
      <c r="J1832" s="33"/>
      <c r="K1832" s="34"/>
      <c r="L1832" s="34"/>
      <c r="M1832" s="33"/>
      <c r="N1832" s="33"/>
    </row>
    <row r="1833" spans="1:14" ht="15.75">
      <c r="A1833" s="34"/>
      <c r="B1833" s="34"/>
      <c r="C1833" s="33"/>
      <c r="D1833" s="33"/>
      <c r="E1833" s="33"/>
      <c r="F1833" s="33"/>
      <c r="G1833" s="33"/>
      <c r="H1833" s="33"/>
      <c r="I1833" s="33"/>
      <c r="J1833" s="33"/>
      <c r="K1833" s="34"/>
      <c r="L1833" s="34"/>
      <c r="M1833" s="33"/>
      <c r="N1833" s="33"/>
    </row>
    <row r="1834" spans="1:14" ht="15.75">
      <c r="A1834" s="34"/>
      <c r="B1834" s="34"/>
      <c r="C1834" s="33"/>
      <c r="D1834" s="33"/>
      <c r="E1834" s="33"/>
      <c r="F1834" s="33"/>
      <c r="G1834" s="33"/>
      <c r="H1834" s="33"/>
      <c r="I1834" s="33"/>
      <c r="J1834" s="33"/>
      <c r="K1834" s="34"/>
      <c r="L1834" s="34"/>
      <c r="M1834" s="33"/>
      <c r="N1834" s="33"/>
    </row>
    <row r="1835" spans="1:14" ht="15.75">
      <c r="A1835" s="34"/>
      <c r="B1835" s="34"/>
      <c r="C1835" s="33"/>
      <c r="D1835" s="33"/>
      <c r="E1835" s="33"/>
      <c r="F1835" s="33"/>
      <c r="G1835" s="33"/>
      <c r="H1835" s="33"/>
      <c r="I1835" s="33"/>
      <c r="J1835" s="33"/>
      <c r="K1835" s="34"/>
      <c r="L1835" s="34"/>
      <c r="M1835" s="33"/>
      <c r="N1835" s="33"/>
    </row>
    <row r="1836" spans="1:14" ht="15.75">
      <c r="A1836" s="34"/>
      <c r="B1836" s="34"/>
      <c r="C1836" s="33"/>
      <c r="D1836" s="33"/>
      <c r="E1836" s="33"/>
      <c r="F1836" s="33"/>
      <c r="G1836" s="33"/>
      <c r="H1836" s="33"/>
      <c r="I1836" s="33"/>
      <c r="J1836" s="33"/>
      <c r="K1836" s="34"/>
      <c r="L1836" s="34"/>
      <c r="M1836" s="33"/>
      <c r="N1836" s="33"/>
    </row>
    <row r="1837" spans="1:14" ht="15.75">
      <c r="A1837" s="34"/>
      <c r="B1837" s="34"/>
      <c r="C1837" s="33"/>
      <c r="D1837" s="33"/>
      <c r="E1837" s="33"/>
      <c r="F1837" s="33"/>
      <c r="G1837" s="33"/>
      <c r="H1837" s="33"/>
      <c r="I1837" s="33"/>
      <c r="J1837" s="33"/>
      <c r="K1837" s="34"/>
      <c r="L1837" s="34"/>
      <c r="M1837" s="33"/>
      <c r="N1837" s="33"/>
    </row>
    <row r="1838" spans="1:14" ht="15.75">
      <c r="A1838" s="34"/>
      <c r="B1838" s="34"/>
      <c r="C1838" s="33"/>
      <c r="D1838" s="33"/>
      <c r="E1838" s="33"/>
      <c r="F1838" s="33"/>
      <c r="G1838" s="33"/>
      <c r="H1838" s="33"/>
      <c r="I1838" s="33"/>
      <c r="J1838" s="33"/>
      <c r="K1838" s="34"/>
      <c r="L1838" s="34"/>
      <c r="M1838" s="33"/>
      <c r="N1838" s="33"/>
    </row>
    <row r="1839" spans="1:14" ht="15.75">
      <c r="A1839" s="34"/>
      <c r="B1839" s="34"/>
      <c r="C1839" s="33"/>
      <c r="D1839" s="33"/>
      <c r="E1839" s="33"/>
      <c r="F1839" s="33"/>
      <c r="G1839" s="33"/>
      <c r="H1839" s="33"/>
      <c r="I1839" s="33"/>
      <c r="J1839" s="33"/>
      <c r="K1839" s="34"/>
      <c r="L1839" s="34"/>
      <c r="M1839" s="33"/>
      <c r="N1839" s="33"/>
    </row>
    <row r="1840" spans="1:14" ht="15.75">
      <c r="A1840" s="34"/>
      <c r="B1840" s="34"/>
      <c r="C1840" s="33"/>
      <c r="D1840" s="33"/>
      <c r="E1840" s="33"/>
      <c r="F1840" s="33"/>
      <c r="G1840" s="33"/>
      <c r="H1840" s="33"/>
      <c r="I1840" s="33"/>
      <c r="J1840" s="33"/>
      <c r="K1840" s="34"/>
      <c r="L1840" s="34"/>
      <c r="M1840" s="33"/>
      <c r="N1840" s="33"/>
    </row>
    <row r="1841" spans="1:14" ht="15.75">
      <c r="A1841" s="34"/>
      <c r="B1841" s="34"/>
      <c r="C1841" s="33"/>
      <c r="D1841" s="33"/>
      <c r="E1841" s="33"/>
      <c r="F1841" s="33"/>
      <c r="G1841" s="33"/>
      <c r="H1841" s="33"/>
      <c r="I1841" s="33"/>
      <c r="J1841" s="33"/>
      <c r="K1841" s="34"/>
      <c r="L1841" s="34"/>
      <c r="M1841" s="33"/>
      <c r="N1841" s="33"/>
    </row>
    <row r="1842" spans="1:14" ht="15.75">
      <c r="A1842" s="34"/>
      <c r="B1842" s="34"/>
      <c r="C1842" s="33"/>
      <c r="D1842" s="33"/>
      <c r="E1842" s="33"/>
      <c r="F1842" s="33"/>
      <c r="G1842" s="33"/>
      <c r="H1842" s="33"/>
      <c r="I1842" s="33"/>
      <c r="J1842" s="33"/>
      <c r="K1842" s="34"/>
      <c r="L1842" s="34"/>
      <c r="M1842" s="33"/>
      <c r="N1842" s="33"/>
    </row>
    <row r="1843" spans="1:14" ht="15.75">
      <c r="A1843" s="34"/>
      <c r="B1843" s="34"/>
      <c r="C1843" s="33"/>
      <c r="D1843" s="33"/>
      <c r="E1843" s="33"/>
      <c r="F1843" s="33"/>
      <c r="G1843" s="33"/>
      <c r="H1843" s="33"/>
      <c r="I1843" s="33"/>
      <c r="J1843" s="33"/>
      <c r="K1843" s="34"/>
      <c r="L1843" s="34"/>
      <c r="M1843" s="33"/>
      <c r="N1843" s="33"/>
    </row>
    <row r="1844" spans="1:14" ht="15.75">
      <c r="A1844" s="34"/>
      <c r="B1844" s="34"/>
      <c r="C1844" s="33"/>
      <c r="D1844" s="33"/>
      <c r="E1844" s="33"/>
      <c r="F1844" s="33"/>
      <c r="G1844" s="33"/>
      <c r="H1844" s="33"/>
      <c r="I1844" s="33"/>
      <c r="J1844" s="33"/>
      <c r="K1844" s="34"/>
      <c r="L1844" s="34"/>
      <c r="M1844" s="33"/>
      <c r="N1844" s="33"/>
    </row>
    <row r="1845" spans="1:14" ht="15.75">
      <c r="A1845" s="34"/>
      <c r="B1845" s="34"/>
      <c r="C1845" s="33"/>
      <c r="D1845" s="33"/>
      <c r="E1845" s="33"/>
      <c r="F1845" s="33"/>
      <c r="G1845" s="33"/>
      <c r="H1845" s="33"/>
      <c r="I1845" s="33"/>
      <c r="J1845" s="33"/>
      <c r="K1845" s="34"/>
      <c r="L1845" s="34"/>
      <c r="M1845" s="33"/>
      <c r="N1845" s="33"/>
    </row>
    <row r="1846" spans="1:14" ht="15.75">
      <c r="A1846" s="34"/>
      <c r="B1846" s="34"/>
      <c r="C1846" s="33"/>
      <c r="D1846" s="33"/>
      <c r="E1846" s="33"/>
      <c r="F1846" s="33"/>
      <c r="G1846" s="33"/>
      <c r="H1846" s="33"/>
      <c r="I1846" s="33"/>
      <c r="J1846" s="33"/>
      <c r="K1846" s="34"/>
      <c r="L1846" s="34"/>
      <c r="M1846" s="33"/>
      <c r="N1846" s="33"/>
    </row>
    <row r="1847" spans="1:14" ht="15.75">
      <c r="A1847" s="34"/>
      <c r="B1847" s="34"/>
      <c r="C1847" s="33"/>
      <c r="D1847" s="33"/>
      <c r="E1847" s="33"/>
      <c r="F1847" s="33"/>
      <c r="G1847" s="33"/>
      <c r="H1847" s="33"/>
      <c r="I1847" s="33"/>
      <c r="J1847" s="33"/>
      <c r="K1847" s="34"/>
      <c r="L1847" s="34"/>
      <c r="M1847" s="33"/>
      <c r="N1847" s="33"/>
    </row>
    <row r="1848" spans="1:14" ht="15.75">
      <c r="A1848" s="34"/>
      <c r="B1848" s="34"/>
      <c r="C1848" s="33"/>
      <c r="D1848" s="33"/>
      <c r="E1848" s="33"/>
      <c r="F1848" s="33"/>
      <c r="G1848" s="33"/>
      <c r="H1848" s="33"/>
      <c r="I1848" s="33"/>
      <c r="J1848" s="33"/>
      <c r="K1848" s="34"/>
      <c r="L1848" s="34"/>
      <c r="M1848" s="33"/>
      <c r="N1848" s="33"/>
    </row>
    <row r="1849" spans="1:14" ht="15.75">
      <c r="A1849" s="34"/>
      <c r="B1849" s="34"/>
      <c r="C1849" s="33"/>
      <c r="D1849" s="33"/>
      <c r="E1849" s="33"/>
      <c r="F1849" s="33"/>
      <c r="G1849" s="33"/>
      <c r="H1849" s="33"/>
      <c r="I1849" s="33"/>
      <c r="J1849" s="33"/>
      <c r="K1849" s="34"/>
      <c r="L1849" s="34"/>
      <c r="M1849" s="33"/>
      <c r="N1849" s="33"/>
    </row>
    <row r="1850" spans="1:14" ht="15.75">
      <c r="A1850" s="34"/>
      <c r="B1850" s="34"/>
      <c r="C1850" s="33"/>
      <c r="D1850" s="33"/>
      <c r="E1850" s="33"/>
      <c r="F1850" s="33"/>
      <c r="G1850" s="33"/>
      <c r="H1850" s="33"/>
      <c r="I1850" s="33"/>
      <c r="J1850" s="33"/>
      <c r="K1850" s="34"/>
      <c r="L1850" s="34"/>
      <c r="M1850" s="33"/>
      <c r="N1850" s="33"/>
    </row>
    <row r="1851" spans="1:14" ht="15.75">
      <c r="A1851" s="34"/>
      <c r="B1851" s="34"/>
      <c r="C1851" s="33"/>
      <c r="D1851" s="33"/>
      <c r="E1851" s="33"/>
      <c r="F1851" s="33"/>
      <c r="G1851" s="33"/>
      <c r="H1851" s="33"/>
      <c r="I1851" s="33"/>
      <c r="J1851" s="33"/>
      <c r="K1851" s="34"/>
      <c r="L1851" s="34"/>
      <c r="M1851" s="33"/>
      <c r="N1851" s="33"/>
    </row>
    <row r="1852" spans="1:14" ht="15.75">
      <c r="A1852" s="34"/>
      <c r="B1852" s="34"/>
      <c r="C1852" s="33"/>
      <c r="D1852" s="33"/>
      <c r="E1852" s="33"/>
      <c r="F1852" s="33"/>
      <c r="G1852" s="33"/>
      <c r="H1852" s="33"/>
      <c r="I1852" s="33"/>
      <c r="J1852" s="33"/>
      <c r="K1852" s="34"/>
      <c r="L1852" s="34"/>
      <c r="M1852" s="33"/>
      <c r="N1852" s="33"/>
    </row>
    <row r="1853" spans="1:14" ht="15.75">
      <c r="A1853" s="34"/>
      <c r="B1853" s="34"/>
      <c r="C1853" s="33"/>
      <c r="D1853" s="33"/>
      <c r="E1853" s="33"/>
      <c r="F1853" s="33"/>
      <c r="G1853" s="33"/>
      <c r="H1853" s="33"/>
      <c r="I1853" s="33"/>
      <c r="J1853" s="33"/>
      <c r="K1853" s="34"/>
      <c r="L1853" s="34"/>
      <c r="M1853" s="33"/>
      <c r="N1853" s="33"/>
    </row>
    <row r="1854" spans="1:14" ht="15.75">
      <c r="A1854" s="34"/>
      <c r="B1854" s="34"/>
      <c r="C1854" s="33"/>
      <c r="D1854" s="33"/>
      <c r="E1854" s="33"/>
      <c r="F1854" s="33"/>
      <c r="G1854" s="33"/>
      <c r="H1854" s="33"/>
      <c r="I1854" s="33"/>
      <c r="J1854" s="33"/>
      <c r="K1854" s="34"/>
      <c r="L1854" s="34"/>
      <c r="M1854" s="33"/>
      <c r="N1854" s="33"/>
    </row>
    <row r="1855" spans="1:14" ht="15.75">
      <c r="A1855" s="34"/>
      <c r="B1855" s="34"/>
      <c r="C1855" s="33"/>
      <c r="D1855" s="33"/>
      <c r="E1855" s="33"/>
      <c r="F1855" s="33"/>
      <c r="G1855" s="33"/>
      <c r="H1855" s="33"/>
      <c r="I1855" s="33"/>
      <c r="J1855" s="33"/>
      <c r="K1855" s="34"/>
      <c r="L1855" s="34"/>
      <c r="M1855" s="33"/>
      <c r="N1855" s="33"/>
    </row>
    <row r="1856" spans="1:14" ht="15.75">
      <c r="A1856" s="34"/>
      <c r="B1856" s="34"/>
      <c r="C1856" s="33"/>
      <c r="D1856" s="33"/>
      <c r="E1856" s="33"/>
      <c r="F1856" s="33"/>
      <c r="G1856" s="33"/>
      <c r="H1856" s="33"/>
      <c r="I1856" s="33"/>
      <c r="J1856" s="33"/>
      <c r="K1856" s="34"/>
      <c r="L1856" s="34"/>
      <c r="M1856" s="33"/>
      <c r="N1856" s="33"/>
    </row>
    <row r="1857" spans="1:14" ht="15.75">
      <c r="A1857" s="34"/>
      <c r="B1857" s="34"/>
      <c r="C1857" s="33"/>
      <c r="D1857" s="33"/>
      <c r="E1857" s="33"/>
      <c r="F1857" s="33"/>
      <c r="G1857" s="33"/>
      <c r="H1857" s="33"/>
      <c r="I1857" s="33"/>
      <c r="J1857" s="33"/>
      <c r="K1857" s="34"/>
      <c r="L1857" s="34"/>
      <c r="M1857" s="33"/>
      <c r="N1857" s="33"/>
    </row>
    <row r="1858" spans="1:14" ht="15.75">
      <c r="A1858" s="34"/>
      <c r="B1858" s="34"/>
      <c r="C1858" s="33"/>
      <c r="D1858" s="33"/>
      <c r="E1858" s="33"/>
      <c r="F1858" s="33"/>
      <c r="G1858" s="33"/>
      <c r="H1858" s="33"/>
      <c r="I1858" s="33"/>
      <c r="J1858" s="33"/>
      <c r="K1858" s="34"/>
      <c r="L1858" s="34"/>
      <c r="M1858" s="33"/>
      <c r="N1858" s="33"/>
    </row>
    <row r="1859" spans="1:14" ht="15.75">
      <c r="A1859" s="34"/>
      <c r="B1859" s="34"/>
      <c r="C1859" s="33"/>
      <c r="D1859" s="33"/>
      <c r="E1859" s="33"/>
      <c r="F1859" s="33"/>
      <c r="G1859" s="33"/>
      <c r="H1859" s="33"/>
      <c r="I1859" s="33"/>
      <c r="J1859" s="33"/>
      <c r="K1859" s="34"/>
      <c r="L1859" s="34"/>
      <c r="M1859" s="33"/>
      <c r="N1859" s="33"/>
    </row>
    <row r="1860" spans="1:14" ht="15.75">
      <c r="A1860" s="34"/>
      <c r="B1860" s="34"/>
      <c r="C1860" s="33"/>
      <c r="D1860" s="33"/>
      <c r="E1860" s="33"/>
      <c r="F1860" s="33"/>
      <c r="G1860" s="33"/>
      <c r="H1860" s="33"/>
      <c r="I1860" s="33"/>
      <c r="J1860" s="33"/>
      <c r="K1860" s="34"/>
      <c r="L1860" s="34"/>
      <c r="M1860" s="33"/>
      <c r="N1860" s="33"/>
    </row>
    <row r="1861" spans="1:14" ht="15.75">
      <c r="A1861" s="34"/>
      <c r="B1861" s="34"/>
      <c r="C1861" s="33"/>
      <c r="D1861" s="33"/>
      <c r="E1861" s="33"/>
      <c r="F1861" s="33"/>
      <c r="G1861" s="33"/>
      <c r="H1861" s="33"/>
      <c r="I1861" s="33"/>
      <c r="J1861" s="33"/>
      <c r="K1861" s="34"/>
      <c r="L1861" s="34"/>
      <c r="M1861" s="33"/>
      <c r="N1861" s="33"/>
    </row>
    <row r="1862" spans="1:14" ht="15.75">
      <c r="A1862" s="34"/>
      <c r="B1862" s="34"/>
      <c r="C1862" s="33"/>
      <c r="D1862" s="33"/>
      <c r="E1862" s="33"/>
      <c r="F1862" s="33"/>
      <c r="G1862" s="33"/>
      <c r="H1862" s="33"/>
      <c r="I1862" s="33"/>
      <c r="J1862" s="33"/>
      <c r="K1862" s="34"/>
      <c r="L1862" s="34"/>
      <c r="M1862" s="33"/>
      <c r="N1862" s="33"/>
    </row>
    <row r="1863" spans="1:14" ht="15.75">
      <c r="A1863" s="34"/>
      <c r="B1863" s="34"/>
      <c r="C1863" s="33"/>
      <c r="D1863" s="33"/>
      <c r="E1863" s="33"/>
      <c r="F1863" s="33"/>
      <c r="G1863" s="33"/>
      <c r="H1863" s="33"/>
      <c r="I1863" s="33"/>
      <c r="J1863" s="33"/>
      <c r="K1863" s="34"/>
      <c r="L1863" s="34"/>
      <c r="M1863" s="33"/>
      <c r="N1863" s="33"/>
    </row>
    <row r="1864" spans="1:14" ht="15.75">
      <c r="A1864" s="34"/>
      <c r="B1864" s="34"/>
      <c r="C1864" s="33"/>
      <c r="D1864" s="33"/>
      <c r="E1864" s="33"/>
      <c r="F1864" s="33"/>
      <c r="G1864" s="33"/>
      <c r="H1864" s="33"/>
      <c r="I1864" s="33"/>
      <c r="J1864" s="33"/>
      <c r="K1864" s="34"/>
      <c r="L1864" s="34"/>
      <c r="M1864" s="33"/>
      <c r="N1864" s="33"/>
    </row>
    <row r="1865" spans="1:14" ht="15.75">
      <c r="A1865" s="34"/>
      <c r="B1865" s="34"/>
      <c r="C1865" s="33"/>
      <c r="D1865" s="33"/>
      <c r="E1865" s="33"/>
      <c r="F1865" s="33"/>
      <c r="G1865" s="33"/>
      <c r="H1865" s="33"/>
      <c r="I1865" s="33"/>
      <c r="J1865" s="33"/>
      <c r="K1865" s="34"/>
      <c r="L1865" s="34"/>
      <c r="M1865" s="33"/>
      <c r="N1865" s="33"/>
    </row>
    <row r="1866" spans="1:14" ht="15.75">
      <c r="A1866" s="34"/>
      <c r="B1866" s="34"/>
      <c r="C1866" s="33"/>
      <c r="D1866" s="33"/>
      <c r="E1866" s="33"/>
      <c r="F1866" s="33"/>
      <c r="G1866" s="33"/>
      <c r="H1866" s="33"/>
      <c r="I1866" s="33"/>
      <c r="J1866" s="33"/>
      <c r="K1866" s="34"/>
      <c r="L1866" s="34"/>
      <c r="M1866" s="33"/>
      <c r="N1866" s="33"/>
    </row>
    <row r="1867" spans="1:14" ht="15.75">
      <c r="A1867" s="34"/>
      <c r="B1867" s="34"/>
      <c r="C1867" s="33"/>
      <c r="D1867" s="33"/>
      <c r="E1867" s="33"/>
      <c r="F1867" s="33"/>
      <c r="G1867" s="33"/>
      <c r="H1867" s="33"/>
      <c r="I1867" s="33"/>
      <c r="J1867" s="33"/>
      <c r="K1867" s="34"/>
      <c r="L1867" s="34"/>
      <c r="M1867" s="33"/>
      <c r="N1867" s="33"/>
    </row>
    <row r="1868" spans="1:14" ht="15.75">
      <c r="A1868" s="34"/>
      <c r="B1868" s="34"/>
      <c r="C1868" s="33"/>
      <c r="D1868" s="33"/>
      <c r="E1868" s="33"/>
      <c r="F1868" s="33"/>
      <c r="G1868" s="33"/>
      <c r="H1868" s="33"/>
      <c r="I1868" s="33"/>
      <c r="J1868" s="33"/>
      <c r="K1868" s="34"/>
      <c r="L1868" s="34"/>
      <c r="M1868" s="33"/>
      <c r="N1868" s="33"/>
    </row>
    <row r="1869" spans="1:14" ht="15.75">
      <c r="A1869" s="34"/>
      <c r="B1869" s="34"/>
      <c r="C1869" s="33"/>
      <c r="D1869" s="33"/>
      <c r="E1869" s="33"/>
      <c r="F1869" s="33"/>
      <c r="G1869" s="33"/>
      <c r="H1869" s="33"/>
      <c r="I1869" s="33"/>
      <c r="J1869" s="33"/>
      <c r="K1869" s="34"/>
      <c r="L1869" s="34"/>
      <c r="M1869" s="33"/>
      <c r="N1869" s="33"/>
    </row>
    <row r="1870" spans="1:14" ht="15.75">
      <c r="A1870" s="34"/>
      <c r="B1870" s="34"/>
      <c r="C1870" s="33"/>
      <c r="D1870" s="33"/>
      <c r="E1870" s="33"/>
      <c r="F1870" s="33"/>
      <c r="G1870" s="33"/>
      <c r="H1870" s="33"/>
      <c r="I1870" s="33"/>
      <c r="J1870" s="33"/>
      <c r="K1870" s="34"/>
      <c r="L1870" s="34"/>
      <c r="M1870" s="33"/>
      <c r="N1870" s="33"/>
    </row>
    <row r="1871" spans="1:14" ht="15.75">
      <c r="A1871" s="34"/>
      <c r="B1871" s="34"/>
      <c r="C1871" s="33"/>
      <c r="D1871" s="33"/>
      <c r="E1871" s="33"/>
      <c r="F1871" s="33"/>
      <c r="G1871" s="33"/>
      <c r="H1871" s="33"/>
      <c r="I1871" s="33"/>
      <c r="J1871" s="33"/>
      <c r="K1871" s="34"/>
      <c r="L1871" s="34"/>
      <c r="M1871" s="33"/>
      <c r="N1871" s="33"/>
    </row>
    <row r="1872" spans="1:14" ht="15.75">
      <c r="A1872" s="34"/>
      <c r="B1872" s="34"/>
      <c r="C1872" s="33"/>
      <c r="D1872" s="33"/>
      <c r="E1872" s="33"/>
      <c r="F1872" s="33"/>
      <c r="G1872" s="33"/>
      <c r="H1872" s="33"/>
      <c r="I1872" s="33"/>
      <c r="J1872" s="33"/>
      <c r="K1872" s="34"/>
      <c r="L1872" s="34"/>
      <c r="M1872" s="33"/>
      <c r="N1872" s="33"/>
    </row>
    <row r="1873" spans="1:14" ht="15.75">
      <c r="A1873" s="34"/>
      <c r="B1873" s="34"/>
      <c r="C1873" s="33"/>
      <c r="D1873" s="33"/>
      <c r="E1873" s="33"/>
      <c r="F1873" s="33"/>
      <c r="G1873" s="33"/>
      <c r="H1873" s="33"/>
      <c r="I1873" s="33"/>
      <c r="J1873" s="33"/>
      <c r="K1873" s="34"/>
      <c r="L1873" s="34"/>
      <c r="M1873" s="33"/>
      <c r="N1873" s="33"/>
    </row>
    <row r="1874" spans="1:14" ht="15.75">
      <c r="A1874" s="34"/>
      <c r="B1874" s="34"/>
      <c r="C1874" s="33"/>
      <c r="D1874" s="33"/>
      <c r="E1874" s="33"/>
      <c r="F1874" s="33"/>
      <c r="G1874" s="33"/>
      <c r="H1874" s="33"/>
      <c r="I1874" s="33"/>
      <c r="J1874" s="33"/>
      <c r="K1874" s="34"/>
      <c r="L1874" s="34"/>
      <c r="M1874" s="33"/>
      <c r="N1874" s="33"/>
    </row>
    <row r="1875" spans="1:14" ht="15.75">
      <c r="A1875" s="34"/>
      <c r="B1875" s="34"/>
      <c r="C1875" s="33"/>
      <c r="D1875" s="33"/>
      <c r="E1875" s="33"/>
      <c r="F1875" s="33"/>
      <c r="G1875" s="33"/>
      <c r="H1875" s="33"/>
      <c r="I1875" s="33"/>
      <c r="J1875" s="33"/>
      <c r="K1875" s="34"/>
      <c r="L1875" s="34"/>
      <c r="M1875" s="33"/>
      <c r="N1875" s="33"/>
    </row>
    <row r="1876" spans="1:14" ht="15.75">
      <c r="A1876" s="34"/>
      <c r="B1876" s="34"/>
      <c r="C1876" s="33"/>
      <c r="D1876" s="33"/>
      <c r="E1876" s="33"/>
      <c r="F1876" s="33"/>
      <c r="G1876" s="33"/>
      <c r="H1876" s="33"/>
      <c r="I1876" s="33"/>
      <c r="J1876" s="33"/>
      <c r="K1876" s="34"/>
      <c r="L1876" s="34"/>
      <c r="M1876" s="33"/>
      <c r="N1876" s="33"/>
    </row>
    <row r="1877" spans="1:14" ht="15.75">
      <c r="A1877" s="34"/>
      <c r="B1877" s="34"/>
      <c r="C1877" s="33"/>
      <c r="D1877" s="33"/>
      <c r="E1877" s="33"/>
      <c r="F1877" s="33"/>
      <c r="G1877" s="33"/>
      <c r="H1877" s="33"/>
      <c r="I1877" s="33"/>
      <c r="J1877" s="33"/>
      <c r="K1877" s="34"/>
      <c r="L1877" s="34"/>
      <c r="M1877" s="33"/>
      <c r="N1877" s="33"/>
    </row>
    <row r="1878" spans="1:14" ht="15.75">
      <c r="A1878" s="34"/>
      <c r="B1878" s="34"/>
      <c r="C1878" s="33"/>
      <c r="D1878" s="33"/>
      <c r="E1878" s="33"/>
      <c r="F1878" s="33"/>
      <c r="G1878" s="33"/>
      <c r="H1878" s="33"/>
      <c r="I1878" s="33"/>
      <c r="J1878" s="33"/>
      <c r="K1878" s="34"/>
      <c r="L1878" s="34"/>
      <c r="M1878" s="33"/>
      <c r="N1878" s="33"/>
    </row>
    <row r="1879" spans="1:14" ht="15.75">
      <c r="A1879" s="34"/>
      <c r="B1879" s="34"/>
      <c r="C1879" s="33"/>
      <c r="D1879" s="33"/>
      <c r="E1879" s="33"/>
      <c r="F1879" s="33"/>
      <c r="G1879" s="33"/>
      <c r="H1879" s="33"/>
      <c r="I1879" s="33"/>
      <c r="J1879" s="33"/>
      <c r="K1879" s="34"/>
      <c r="L1879" s="34"/>
      <c r="M1879" s="33"/>
      <c r="N1879" s="33"/>
    </row>
    <row r="1880" spans="1:14" ht="15.75">
      <c r="A1880" s="34"/>
      <c r="B1880" s="34"/>
      <c r="C1880" s="33"/>
      <c r="D1880" s="33"/>
      <c r="E1880" s="33"/>
      <c r="F1880" s="33"/>
      <c r="G1880" s="33"/>
      <c r="H1880" s="33"/>
      <c r="I1880" s="33"/>
      <c r="J1880" s="33"/>
      <c r="K1880" s="34"/>
      <c r="L1880" s="34"/>
      <c r="M1880" s="33"/>
      <c r="N1880" s="33"/>
    </row>
    <row r="1881" spans="1:14" ht="15.75">
      <c r="A1881" s="34"/>
      <c r="B1881" s="34"/>
      <c r="C1881" s="33"/>
      <c r="D1881" s="33"/>
      <c r="E1881" s="33"/>
      <c r="F1881" s="33"/>
      <c r="G1881" s="33"/>
      <c r="H1881" s="33"/>
      <c r="I1881" s="33"/>
      <c r="J1881" s="33"/>
      <c r="K1881" s="34"/>
      <c r="L1881" s="34"/>
      <c r="M1881" s="33"/>
      <c r="N1881" s="33"/>
    </row>
    <row r="1882" spans="1:14" ht="15.75">
      <c r="A1882" s="34"/>
      <c r="B1882" s="34"/>
      <c r="C1882" s="33"/>
      <c r="D1882" s="33"/>
      <c r="E1882" s="33"/>
      <c r="F1882" s="33"/>
      <c r="G1882" s="33"/>
      <c r="H1882" s="33"/>
      <c r="I1882" s="33"/>
      <c r="J1882" s="33"/>
      <c r="K1882" s="34"/>
      <c r="L1882" s="34"/>
      <c r="M1882" s="33"/>
      <c r="N1882" s="33"/>
    </row>
    <row r="1883" spans="1:14" ht="15.75">
      <c r="A1883" s="34"/>
      <c r="B1883" s="34"/>
      <c r="C1883" s="33"/>
      <c r="D1883" s="33"/>
      <c r="E1883" s="33"/>
      <c r="F1883" s="33"/>
      <c r="G1883" s="33"/>
      <c r="H1883" s="33"/>
      <c r="I1883" s="33"/>
      <c r="J1883" s="33"/>
      <c r="K1883" s="34"/>
      <c r="L1883" s="34"/>
      <c r="M1883" s="33"/>
      <c r="N1883" s="33"/>
    </row>
    <row r="1884" spans="1:14" ht="15.75">
      <c r="A1884" s="34"/>
      <c r="B1884" s="34"/>
      <c r="C1884" s="33"/>
      <c r="D1884" s="33"/>
      <c r="E1884" s="33"/>
      <c r="F1884" s="33"/>
      <c r="G1884" s="33"/>
      <c r="H1884" s="33"/>
      <c r="I1884" s="33"/>
      <c r="J1884" s="33"/>
      <c r="K1884" s="34"/>
      <c r="L1884" s="34"/>
      <c r="M1884" s="33"/>
      <c r="N1884" s="33"/>
    </row>
    <row r="1885" spans="1:14" ht="15.75">
      <c r="A1885" s="34"/>
      <c r="B1885" s="34"/>
      <c r="C1885" s="33"/>
      <c r="D1885" s="33"/>
      <c r="E1885" s="33"/>
      <c r="F1885" s="33"/>
      <c r="G1885" s="33"/>
      <c r="H1885" s="33"/>
      <c r="I1885" s="33"/>
      <c r="J1885" s="33"/>
      <c r="K1885" s="34"/>
      <c r="L1885" s="34"/>
      <c r="M1885" s="33"/>
      <c r="N1885" s="33"/>
    </row>
    <row r="1886" spans="1:14" ht="15.75">
      <c r="A1886" s="34"/>
      <c r="B1886" s="34"/>
      <c r="C1886" s="33"/>
      <c r="D1886" s="33"/>
      <c r="E1886" s="33"/>
      <c r="F1886" s="33"/>
      <c r="G1886" s="33"/>
      <c r="H1886" s="33"/>
      <c r="I1886" s="33"/>
      <c r="J1886" s="33"/>
      <c r="K1886" s="34"/>
      <c r="L1886" s="34"/>
      <c r="M1886" s="33"/>
      <c r="N1886" s="33"/>
    </row>
    <row r="1887" spans="1:14" ht="15.75">
      <c r="A1887" s="34"/>
      <c r="B1887" s="34"/>
      <c r="C1887" s="33"/>
      <c r="D1887" s="33"/>
      <c r="E1887" s="33"/>
      <c r="F1887" s="33"/>
      <c r="G1887" s="33"/>
      <c r="H1887" s="33"/>
      <c r="I1887" s="33"/>
      <c r="J1887" s="33"/>
      <c r="K1887" s="34"/>
      <c r="L1887" s="34"/>
      <c r="M1887" s="33"/>
      <c r="N1887" s="33"/>
    </row>
    <row r="1888" spans="1:14" ht="15.75">
      <c r="A1888" s="34"/>
      <c r="B1888" s="34"/>
      <c r="C1888" s="33"/>
      <c r="D1888" s="33"/>
      <c r="E1888" s="33"/>
      <c r="F1888" s="33"/>
      <c r="G1888" s="33"/>
      <c r="H1888" s="33"/>
      <c r="I1888" s="33"/>
      <c r="J1888" s="33"/>
      <c r="K1888" s="34"/>
      <c r="L1888" s="34"/>
      <c r="M1888" s="33"/>
      <c r="N1888" s="33"/>
    </row>
    <row r="1889" spans="1:14" ht="15.75">
      <c r="A1889" s="34"/>
      <c r="B1889" s="34"/>
      <c r="C1889" s="33"/>
      <c r="D1889" s="33"/>
      <c r="E1889" s="33"/>
      <c r="F1889" s="33"/>
      <c r="G1889" s="33"/>
      <c r="H1889" s="33"/>
      <c r="I1889" s="33"/>
      <c r="J1889" s="33"/>
      <c r="K1889" s="34"/>
      <c r="L1889" s="34"/>
      <c r="M1889" s="33"/>
      <c r="N1889" s="33"/>
    </row>
    <row r="1890" spans="1:14" ht="15.75">
      <c r="A1890" s="34"/>
      <c r="B1890" s="34"/>
      <c r="C1890" s="33"/>
      <c r="D1890" s="33"/>
      <c r="E1890" s="33"/>
      <c r="F1890" s="33"/>
      <c r="G1890" s="33"/>
      <c r="H1890" s="33"/>
      <c r="I1890" s="33"/>
      <c r="J1890" s="33"/>
      <c r="K1890" s="34"/>
      <c r="L1890" s="34"/>
      <c r="M1890" s="33"/>
      <c r="N1890" s="33"/>
    </row>
    <row r="1891" spans="1:14" ht="15.75">
      <c r="A1891" s="34"/>
      <c r="B1891" s="34"/>
      <c r="C1891" s="33"/>
      <c r="D1891" s="33"/>
      <c r="E1891" s="33"/>
      <c r="F1891" s="33"/>
      <c r="G1891" s="33"/>
      <c r="H1891" s="33"/>
      <c r="I1891" s="33"/>
      <c r="J1891" s="33"/>
      <c r="K1891" s="34"/>
      <c r="L1891" s="34"/>
      <c r="M1891" s="33"/>
      <c r="N1891" s="33"/>
    </row>
    <row r="1892" spans="1:14" ht="15.75">
      <c r="A1892" s="34"/>
      <c r="B1892" s="34"/>
      <c r="C1892" s="33"/>
      <c r="D1892" s="33"/>
      <c r="E1892" s="33"/>
      <c r="F1892" s="33"/>
      <c r="G1892" s="33"/>
      <c r="H1892" s="33"/>
      <c r="I1892" s="33"/>
      <c r="J1892" s="33"/>
      <c r="K1892" s="34"/>
      <c r="L1892" s="34"/>
      <c r="M1892" s="33"/>
      <c r="N1892" s="33"/>
    </row>
    <row r="1893" spans="1:14" ht="15.75">
      <c r="A1893" s="34"/>
      <c r="B1893" s="34"/>
      <c r="C1893" s="33"/>
      <c r="D1893" s="33"/>
      <c r="E1893" s="33"/>
      <c r="F1893" s="33"/>
      <c r="G1893" s="33"/>
      <c r="H1893" s="33"/>
      <c r="I1893" s="33"/>
      <c r="J1893" s="33"/>
      <c r="K1893" s="34"/>
      <c r="L1893" s="34"/>
      <c r="M1893" s="33"/>
      <c r="N1893" s="33"/>
    </row>
    <row r="1894" spans="1:14" ht="15.75">
      <c r="A1894" s="34"/>
      <c r="B1894" s="34"/>
      <c r="C1894" s="33"/>
      <c r="D1894" s="33"/>
      <c r="E1894" s="33"/>
      <c r="F1894" s="33"/>
      <c r="G1894" s="33"/>
      <c r="H1894" s="33"/>
      <c r="I1894" s="33"/>
      <c r="J1894" s="33"/>
      <c r="K1894" s="34"/>
      <c r="L1894" s="34"/>
      <c r="M1894" s="33"/>
      <c r="N1894" s="33"/>
    </row>
    <row r="1895" spans="1:14" ht="15.75">
      <c r="A1895" s="34"/>
      <c r="B1895" s="34"/>
      <c r="C1895" s="33"/>
      <c r="D1895" s="33"/>
      <c r="E1895" s="33"/>
      <c r="F1895" s="33"/>
      <c r="G1895" s="33"/>
      <c r="H1895" s="33"/>
      <c r="I1895" s="33"/>
      <c r="J1895" s="33"/>
      <c r="K1895" s="34"/>
      <c r="L1895" s="34"/>
      <c r="M1895" s="33"/>
      <c r="N1895" s="33"/>
    </row>
    <row r="1896" spans="1:14" ht="15.75">
      <c r="A1896" s="34"/>
      <c r="B1896" s="34"/>
      <c r="C1896" s="33"/>
      <c r="D1896" s="33"/>
      <c r="E1896" s="33"/>
      <c r="F1896" s="33"/>
      <c r="G1896" s="33"/>
      <c r="H1896" s="33"/>
      <c r="I1896" s="33"/>
      <c r="J1896" s="33"/>
      <c r="K1896" s="34"/>
      <c r="L1896" s="34"/>
      <c r="M1896" s="33"/>
      <c r="N1896" s="33"/>
    </row>
    <row r="1897" spans="1:14" ht="15.75">
      <c r="A1897" s="34"/>
      <c r="B1897" s="34"/>
      <c r="C1897" s="33"/>
      <c r="D1897" s="33"/>
      <c r="E1897" s="33"/>
      <c r="F1897" s="33"/>
      <c r="G1897" s="33"/>
      <c r="H1897" s="33"/>
      <c r="I1897" s="33"/>
      <c r="J1897" s="33"/>
      <c r="K1897" s="34"/>
      <c r="L1897" s="34"/>
      <c r="M1897" s="33"/>
      <c r="N1897" s="33"/>
    </row>
    <row r="1898" spans="1:14" ht="15.75">
      <c r="A1898" s="34"/>
      <c r="B1898" s="34"/>
      <c r="C1898" s="33"/>
      <c r="D1898" s="33"/>
      <c r="E1898" s="33"/>
      <c r="F1898" s="33"/>
      <c r="G1898" s="33"/>
      <c r="H1898" s="33"/>
      <c r="I1898" s="33"/>
      <c r="J1898" s="33"/>
      <c r="K1898" s="34"/>
      <c r="L1898" s="34"/>
      <c r="M1898" s="33"/>
      <c r="N1898" s="33"/>
    </row>
    <row r="1899" spans="1:14" ht="15.75">
      <c r="A1899" s="34"/>
      <c r="B1899" s="34"/>
      <c r="C1899" s="33"/>
      <c r="D1899" s="33"/>
      <c r="E1899" s="33"/>
      <c r="F1899" s="33"/>
      <c r="G1899" s="33"/>
      <c r="H1899" s="33"/>
      <c r="I1899" s="33"/>
      <c r="J1899" s="33"/>
      <c r="K1899" s="34"/>
      <c r="L1899" s="34"/>
      <c r="M1899" s="33"/>
      <c r="N1899" s="33"/>
    </row>
    <row r="1900" spans="1:14" ht="15.75">
      <c r="A1900" s="34"/>
      <c r="B1900" s="34"/>
      <c r="C1900" s="33"/>
      <c r="D1900" s="33"/>
      <c r="E1900" s="33"/>
      <c r="F1900" s="33"/>
      <c r="G1900" s="33"/>
      <c r="H1900" s="33"/>
      <c r="I1900" s="33"/>
      <c r="J1900" s="33"/>
      <c r="K1900" s="34"/>
      <c r="L1900" s="34"/>
      <c r="M1900" s="33"/>
      <c r="N1900" s="33"/>
    </row>
    <row r="1901" spans="1:14" ht="15.75">
      <c r="A1901" s="34"/>
      <c r="B1901" s="34"/>
      <c r="C1901" s="33"/>
      <c r="D1901" s="33"/>
      <c r="E1901" s="33"/>
      <c r="F1901" s="33"/>
      <c r="G1901" s="33"/>
      <c r="H1901" s="33"/>
      <c r="I1901" s="33"/>
      <c r="J1901" s="33"/>
      <c r="K1901" s="34"/>
      <c r="L1901" s="34"/>
      <c r="M1901" s="33"/>
      <c r="N1901" s="33"/>
    </row>
    <row r="1902" spans="1:14" ht="15.75">
      <c r="A1902" s="34"/>
      <c r="B1902" s="34"/>
      <c r="C1902" s="33"/>
      <c r="D1902" s="33"/>
      <c r="E1902" s="33"/>
      <c r="F1902" s="33"/>
      <c r="G1902" s="33"/>
      <c r="H1902" s="33"/>
      <c r="I1902" s="33"/>
      <c r="J1902" s="33"/>
      <c r="K1902" s="34"/>
      <c r="L1902" s="34"/>
      <c r="M1902" s="33"/>
      <c r="N1902" s="33"/>
    </row>
    <row r="1903" spans="1:14" ht="15.75">
      <c r="A1903" s="34"/>
      <c r="B1903" s="34"/>
      <c r="C1903" s="33"/>
      <c r="D1903" s="33"/>
      <c r="E1903" s="33"/>
      <c r="F1903" s="33"/>
      <c r="G1903" s="33"/>
      <c r="H1903" s="33"/>
      <c r="I1903" s="33"/>
      <c r="J1903" s="33"/>
      <c r="K1903" s="34"/>
      <c r="L1903" s="34"/>
      <c r="M1903" s="33"/>
      <c r="N1903" s="33"/>
    </row>
    <row r="1904" spans="1:14" ht="15.75">
      <c r="A1904" s="34"/>
      <c r="B1904" s="34"/>
      <c r="C1904" s="33"/>
      <c r="D1904" s="33"/>
      <c r="E1904" s="33"/>
      <c r="F1904" s="33"/>
      <c r="G1904" s="33"/>
      <c r="H1904" s="33"/>
      <c r="I1904" s="33"/>
      <c r="J1904" s="33"/>
      <c r="K1904" s="34"/>
      <c r="L1904" s="34"/>
      <c r="M1904" s="33"/>
      <c r="N1904" s="33"/>
    </row>
    <row r="1905" spans="1:14" ht="15.75">
      <c r="A1905" s="34"/>
      <c r="B1905" s="34"/>
      <c r="C1905" s="33"/>
      <c r="D1905" s="33"/>
      <c r="E1905" s="33"/>
      <c r="F1905" s="33"/>
      <c r="G1905" s="33"/>
      <c r="H1905" s="33"/>
      <c r="I1905" s="33"/>
      <c r="J1905" s="33"/>
      <c r="K1905" s="34"/>
      <c r="L1905" s="34"/>
      <c r="M1905" s="33"/>
      <c r="N1905" s="33"/>
    </row>
    <row r="1906" spans="1:14" ht="15.75">
      <c r="A1906" s="34"/>
      <c r="B1906" s="34"/>
      <c r="C1906" s="33"/>
      <c r="D1906" s="33"/>
      <c r="E1906" s="33"/>
      <c r="F1906" s="33"/>
      <c r="G1906" s="33"/>
      <c r="H1906" s="33"/>
      <c r="I1906" s="33"/>
      <c r="J1906" s="33"/>
      <c r="K1906" s="34"/>
      <c r="L1906" s="34"/>
      <c r="M1906" s="33"/>
      <c r="N1906" s="33"/>
    </row>
    <row r="1907" spans="1:14" ht="15.75">
      <c r="A1907" s="34"/>
      <c r="B1907" s="34"/>
      <c r="C1907" s="33"/>
      <c r="D1907" s="33"/>
      <c r="E1907" s="33"/>
      <c r="F1907" s="33"/>
      <c r="G1907" s="33"/>
      <c r="H1907" s="33"/>
      <c r="I1907" s="33"/>
      <c r="J1907" s="33"/>
      <c r="K1907" s="34"/>
      <c r="L1907" s="34"/>
      <c r="M1907" s="33"/>
      <c r="N1907" s="33"/>
    </row>
    <row r="1908" spans="1:14" ht="15.75">
      <c r="A1908" s="34"/>
      <c r="B1908" s="34"/>
      <c r="C1908" s="33"/>
      <c r="D1908" s="33"/>
      <c r="E1908" s="33"/>
      <c r="F1908" s="33"/>
      <c r="G1908" s="33"/>
      <c r="H1908" s="33"/>
      <c r="I1908" s="33"/>
      <c r="J1908" s="33"/>
      <c r="K1908" s="34"/>
      <c r="L1908" s="34"/>
      <c r="M1908" s="33"/>
      <c r="N1908" s="33"/>
    </row>
    <row r="1909" spans="1:14" ht="15.75">
      <c r="A1909" s="34"/>
      <c r="B1909" s="34"/>
      <c r="C1909" s="33"/>
      <c r="D1909" s="33"/>
      <c r="E1909" s="33"/>
      <c r="F1909" s="33"/>
      <c r="G1909" s="33"/>
      <c r="H1909" s="33"/>
      <c r="I1909" s="33"/>
      <c r="J1909" s="33"/>
      <c r="K1909" s="34"/>
      <c r="L1909" s="34"/>
      <c r="M1909" s="33"/>
      <c r="N1909" s="33"/>
    </row>
    <row r="1910" spans="1:14" ht="15.75">
      <c r="A1910" s="34"/>
      <c r="B1910" s="34"/>
      <c r="C1910" s="33"/>
      <c r="D1910" s="33"/>
      <c r="E1910" s="33"/>
      <c r="F1910" s="33"/>
      <c r="G1910" s="33"/>
      <c r="H1910" s="33"/>
      <c r="I1910" s="33"/>
      <c r="J1910" s="33"/>
      <c r="K1910" s="34"/>
      <c r="L1910" s="34"/>
      <c r="M1910" s="33"/>
      <c r="N1910" s="33"/>
    </row>
    <row r="1911" spans="1:14" ht="15.75">
      <c r="A1911" s="34"/>
      <c r="B1911" s="34"/>
      <c r="C1911" s="33"/>
      <c r="D1911" s="33"/>
      <c r="E1911" s="33"/>
      <c r="F1911" s="33"/>
      <c r="G1911" s="33"/>
      <c r="H1911" s="33"/>
      <c r="I1911" s="33"/>
      <c r="J1911" s="33"/>
      <c r="K1911" s="34"/>
      <c r="L1911" s="34"/>
      <c r="M1911" s="33"/>
      <c r="N1911" s="33"/>
    </row>
    <row r="1912" spans="1:14" ht="15.75">
      <c r="A1912" s="34"/>
      <c r="B1912" s="34"/>
      <c r="C1912" s="33"/>
      <c r="D1912" s="33"/>
      <c r="E1912" s="33"/>
      <c r="F1912" s="33"/>
      <c r="G1912" s="33"/>
      <c r="H1912" s="33"/>
      <c r="I1912" s="33"/>
      <c r="J1912" s="33"/>
      <c r="K1912" s="34"/>
      <c r="L1912" s="34"/>
      <c r="M1912" s="33"/>
      <c r="N1912" s="33"/>
    </row>
    <row r="1913" spans="1:14" ht="15.75">
      <c r="A1913" s="34"/>
      <c r="B1913" s="34"/>
      <c r="C1913" s="33"/>
      <c r="D1913" s="33"/>
      <c r="E1913" s="33"/>
      <c r="F1913" s="33"/>
      <c r="G1913" s="33"/>
      <c r="H1913" s="33"/>
      <c r="I1913" s="33"/>
      <c r="J1913" s="33"/>
      <c r="K1913" s="34"/>
      <c r="L1913" s="34"/>
      <c r="M1913" s="33"/>
      <c r="N1913" s="33"/>
    </row>
    <row r="1914" spans="1:14" ht="15.75">
      <c r="A1914" s="34"/>
      <c r="B1914" s="34"/>
      <c r="C1914" s="33"/>
      <c r="D1914" s="33"/>
      <c r="E1914" s="33"/>
      <c r="F1914" s="33"/>
      <c r="G1914" s="33"/>
      <c r="H1914" s="33"/>
      <c r="I1914" s="33"/>
      <c r="J1914" s="33"/>
      <c r="K1914" s="34"/>
      <c r="L1914" s="34"/>
      <c r="M1914" s="33"/>
      <c r="N1914" s="33"/>
    </row>
    <row r="1915" spans="1:14" ht="15.75">
      <c r="A1915" s="34"/>
      <c r="B1915" s="34"/>
      <c r="C1915" s="33"/>
      <c r="D1915" s="33"/>
      <c r="E1915" s="33"/>
      <c r="F1915" s="33"/>
      <c r="G1915" s="33"/>
      <c r="H1915" s="33"/>
      <c r="I1915" s="33"/>
      <c r="J1915" s="33"/>
      <c r="K1915" s="34"/>
      <c r="L1915" s="34"/>
      <c r="M1915" s="33"/>
      <c r="N1915" s="33"/>
    </row>
    <row r="1916" spans="1:14" ht="15.75">
      <c r="A1916" s="34"/>
      <c r="B1916" s="34"/>
      <c r="C1916" s="33"/>
      <c r="D1916" s="33"/>
      <c r="E1916" s="33"/>
      <c r="F1916" s="33"/>
      <c r="G1916" s="33"/>
      <c r="H1916" s="33"/>
      <c r="I1916" s="33"/>
      <c r="J1916" s="33"/>
      <c r="K1916" s="34"/>
      <c r="L1916" s="34"/>
      <c r="M1916" s="33"/>
      <c r="N1916" s="33"/>
    </row>
    <row r="1917" spans="1:14" ht="15.75">
      <c r="A1917" s="34"/>
      <c r="B1917" s="34"/>
      <c r="C1917" s="33"/>
      <c r="D1917" s="33"/>
      <c r="E1917" s="33"/>
      <c r="F1917" s="33"/>
      <c r="G1917" s="33"/>
      <c r="H1917" s="33"/>
      <c r="I1917" s="33"/>
      <c r="J1917" s="33"/>
      <c r="K1917" s="34"/>
      <c r="L1917" s="34"/>
      <c r="M1917" s="33"/>
      <c r="N1917" s="33"/>
    </row>
    <row r="1918" spans="1:14" ht="15.75">
      <c r="A1918" s="34"/>
      <c r="B1918" s="34"/>
      <c r="C1918" s="33"/>
      <c r="D1918" s="33"/>
      <c r="E1918" s="33"/>
      <c r="F1918" s="33"/>
      <c r="G1918" s="33"/>
      <c r="H1918" s="33"/>
      <c r="I1918" s="33"/>
      <c r="J1918" s="33"/>
      <c r="K1918" s="34"/>
      <c r="L1918" s="34"/>
      <c r="M1918" s="33"/>
      <c r="N1918" s="33"/>
    </row>
    <row r="1919" spans="1:14" ht="15.75">
      <c r="A1919" s="34"/>
      <c r="B1919" s="34"/>
      <c r="C1919" s="33"/>
      <c r="D1919" s="33"/>
      <c r="E1919" s="33"/>
      <c r="F1919" s="33"/>
      <c r="G1919" s="33"/>
      <c r="H1919" s="33"/>
      <c r="I1919" s="33"/>
      <c r="J1919" s="33"/>
      <c r="K1919" s="34"/>
      <c r="L1919" s="34"/>
      <c r="M1919" s="33"/>
      <c r="N1919" s="33"/>
    </row>
    <row r="1920" spans="1:14" ht="15.75">
      <c r="A1920" s="34"/>
      <c r="B1920" s="34"/>
      <c r="C1920" s="33"/>
      <c r="D1920" s="33"/>
      <c r="E1920" s="33"/>
      <c r="F1920" s="33"/>
      <c r="G1920" s="33"/>
      <c r="H1920" s="33"/>
      <c r="I1920" s="33"/>
      <c r="J1920" s="33"/>
      <c r="K1920" s="34"/>
      <c r="L1920" s="34"/>
      <c r="M1920" s="33"/>
      <c r="N1920" s="33"/>
    </row>
    <row r="1921" spans="1:14" ht="15.75">
      <c r="A1921" s="34"/>
      <c r="B1921" s="34"/>
      <c r="C1921" s="33"/>
      <c r="D1921" s="33"/>
      <c r="E1921" s="33"/>
      <c r="F1921" s="33"/>
      <c r="G1921" s="33"/>
      <c r="H1921" s="33"/>
      <c r="I1921" s="33"/>
      <c r="J1921" s="33"/>
      <c r="K1921" s="34"/>
      <c r="L1921" s="34"/>
      <c r="M1921" s="33"/>
      <c r="N1921" s="33"/>
    </row>
    <row r="1922" spans="1:14" ht="15.75">
      <c r="A1922" s="34"/>
      <c r="B1922" s="34"/>
      <c r="C1922" s="33"/>
      <c r="D1922" s="33"/>
      <c r="E1922" s="33"/>
      <c r="F1922" s="33"/>
      <c r="G1922" s="33"/>
      <c r="H1922" s="33"/>
      <c r="I1922" s="33"/>
      <c r="J1922" s="33"/>
      <c r="K1922" s="34"/>
      <c r="L1922" s="34"/>
      <c r="M1922" s="33"/>
      <c r="N1922" s="33"/>
    </row>
    <row r="1923" spans="1:14" ht="15.75">
      <c r="A1923" s="34"/>
      <c r="B1923" s="34"/>
      <c r="C1923" s="33"/>
      <c r="D1923" s="33"/>
      <c r="E1923" s="33"/>
      <c r="F1923" s="33"/>
      <c r="G1923" s="33"/>
      <c r="H1923" s="33"/>
      <c r="I1923" s="33"/>
      <c r="J1923" s="33"/>
      <c r="K1923" s="34"/>
      <c r="L1923" s="34"/>
      <c r="M1923" s="33"/>
      <c r="N1923" s="33"/>
    </row>
    <row r="1924" spans="1:14" ht="15.75">
      <c r="A1924" s="34"/>
      <c r="B1924" s="34"/>
      <c r="C1924" s="33"/>
      <c r="D1924" s="33"/>
      <c r="E1924" s="33"/>
      <c r="F1924" s="33"/>
      <c r="G1924" s="33"/>
      <c r="H1924" s="33"/>
      <c r="I1924" s="33"/>
      <c r="J1924" s="33"/>
      <c r="K1924" s="34"/>
      <c r="L1924" s="34"/>
      <c r="M1924" s="33"/>
      <c r="N1924" s="33"/>
    </row>
    <row r="1925" spans="1:14" ht="15.75">
      <c r="A1925" s="34"/>
      <c r="B1925" s="34"/>
      <c r="C1925" s="33"/>
      <c r="D1925" s="33"/>
      <c r="E1925" s="33"/>
      <c r="F1925" s="33"/>
      <c r="G1925" s="33"/>
      <c r="H1925" s="33"/>
      <c r="I1925" s="33"/>
      <c r="J1925" s="33"/>
      <c r="K1925" s="34"/>
      <c r="L1925" s="34"/>
      <c r="M1925" s="33"/>
      <c r="N1925" s="33"/>
    </row>
    <row r="1926" spans="1:14" ht="15.75">
      <c r="A1926" s="34"/>
      <c r="B1926" s="34"/>
      <c r="C1926" s="33"/>
      <c r="D1926" s="33"/>
      <c r="E1926" s="33"/>
      <c r="F1926" s="33"/>
      <c r="G1926" s="33"/>
      <c r="H1926" s="33"/>
      <c r="I1926" s="33"/>
      <c r="J1926" s="33"/>
      <c r="K1926" s="34"/>
      <c r="L1926" s="34"/>
      <c r="M1926" s="33"/>
      <c r="N1926" s="33"/>
    </row>
    <row r="1927" spans="1:14" ht="15.75">
      <c r="A1927" s="34"/>
      <c r="B1927" s="34"/>
      <c r="C1927" s="33"/>
      <c r="D1927" s="33"/>
      <c r="E1927" s="33"/>
      <c r="F1927" s="33"/>
      <c r="G1927" s="33"/>
      <c r="H1927" s="33"/>
      <c r="I1927" s="33"/>
      <c r="J1927" s="33"/>
      <c r="K1927" s="34"/>
      <c r="L1927" s="34"/>
      <c r="M1927" s="33"/>
      <c r="N1927" s="33"/>
    </row>
    <row r="1928" spans="1:14" ht="15.75">
      <c r="A1928" s="34"/>
      <c r="B1928" s="34"/>
      <c r="C1928" s="33"/>
      <c r="D1928" s="33"/>
      <c r="E1928" s="33"/>
      <c r="F1928" s="33"/>
      <c r="G1928" s="33"/>
      <c r="H1928" s="33"/>
      <c r="I1928" s="33"/>
      <c r="J1928" s="33"/>
      <c r="K1928" s="34"/>
      <c r="L1928" s="34"/>
      <c r="M1928" s="33"/>
      <c r="N1928" s="33"/>
    </row>
    <row r="1929" spans="1:14" ht="15.75">
      <c r="A1929" s="34"/>
      <c r="B1929" s="34"/>
      <c r="C1929" s="33"/>
      <c r="D1929" s="33"/>
      <c r="E1929" s="33"/>
      <c r="F1929" s="33"/>
      <c r="G1929" s="33"/>
      <c r="H1929" s="33"/>
      <c r="I1929" s="33"/>
      <c r="J1929" s="33"/>
      <c r="K1929" s="34"/>
      <c r="L1929" s="34"/>
      <c r="M1929" s="33"/>
      <c r="N1929" s="33"/>
    </row>
    <row r="1930" spans="1:14" ht="15.75">
      <c r="A1930" s="34"/>
      <c r="B1930" s="34"/>
      <c r="C1930" s="33"/>
      <c r="D1930" s="33"/>
      <c r="E1930" s="33"/>
      <c r="F1930" s="33"/>
      <c r="G1930" s="33"/>
      <c r="H1930" s="33"/>
      <c r="I1930" s="33"/>
      <c r="J1930" s="33"/>
      <c r="K1930" s="34"/>
      <c r="L1930" s="34"/>
      <c r="M1930" s="33"/>
      <c r="N1930" s="33"/>
    </row>
    <row r="1931" spans="1:14" ht="15.75">
      <c r="A1931" s="34"/>
      <c r="B1931" s="34"/>
      <c r="C1931" s="33"/>
      <c r="D1931" s="33"/>
      <c r="E1931" s="33"/>
      <c r="F1931" s="33"/>
      <c r="G1931" s="33"/>
      <c r="H1931" s="33"/>
      <c r="I1931" s="33"/>
      <c r="J1931" s="33"/>
      <c r="K1931" s="34"/>
      <c r="L1931" s="34"/>
      <c r="M1931" s="33"/>
      <c r="N1931" s="33"/>
    </row>
  </sheetData>
  <mergeCells count="4798">
    <mergeCell ref="C887:D887"/>
    <mergeCell ref="E887:F887"/>
    <mergeCell ref="K884:L884"/>
    <mergeCell ref="M884:N884"/>
    <mergeCell ref="A893:B893"/>
    <mergeCell ref="C893:D893"/>
    <mergeCell ref="E893:F893"/>
    <mergeCell ref="A894:B894"/>
    <mergeCell ref="C894:D894"/>
    <mergeCell ref="E894:F894"/>
    <mergeCell ref="E711:I711"/>
    <mergeCell ref="C889:D889"/>
    <mergeCell ref="E889:F889"/>
    <mergeCell ref="G889:H889"/>
    <mergeCell ref="I889:J889"/>
    <mergeCell ref="K889:L889"/>
    <mergeCell ref="M889:N889"/>
    <mergeCell ref="C890:D890"/>
    <mergeCell ref="E890:F890"/>
    <mergeCell ref="G890:H890"/>
    <mergeCell ref="I890:J890"/>
    <mergeCell ref="K890:L890"/>
    <mergeCell ref="M890:N890"/>
    <mergeCell ref="A892:B892"/>
    <mergeCell ref="C892:D892"/>
    <mergeCell ref="E892:F892"/>
    <mergeCell ref="I892:K892"/>
    <mergeCell ref="M892:N892"/>
    <mergeCell ref="C885:D885"/>
    <mergeCell ref="E885:F885"/>
    <mergeCell ref="G885:H885"/>
    <mergeCell ref="I885:J885"/>
    <mergeCell ref="K885:L885"/>
    <mergeCell ref="M885:N885"/>
    <mergeCell ref="E880:F880"/>
    <mergeCell ref="H880:I880"/>
    <mergeCell ref="J880:K880"/>
    <mergeCell ref="C881:D881"/>
    <mergeCell ref="E881:F881"/>
    <mergeCell ref="G881:H881"/>
    <mergeCell ref="I881:J881"/>
    <mergeCell ref="K881:L881"/>
    <mergeCell ref="M887:N887"/>
    <mergeCell ref="C888:D888"/>
    <mergeCell ref="E888:F888"/>
    <mergeCell ref="G888:H888"/>
    <mergeCell ref="I888:J888"/>
    <mergeCell ref="K888:L888"/>
    <mergeCell ref="M888:N888"/>
    <mergeCell ref="M881:N881"/>
    <mergeCell ref="C882:D882"/>
    <mergeCell ref="E882:F882"/>
    <mergeCell ref="G882:H882"/>
    <mergeCell ref="I882:J882"/>
    <mergeCell ref="K882:L882"/>
    <mergeCell ref="M882:N882"/>
    <mergeCell ref="C883:D883"/>
    <mergeCell ref="E883:F883"/>
    <mergeCell ref="G883:H883"/>
    <mergeCell ref="I883:J883"/>
    <mergeCell ref="K883:L883"/>
    <mergeCell ref="M883:N883"/>
    <mergeCell ref="C884:D884"/>
    <mergeCell ref="E884:F884"/>
    <mergeCell ref="G884:H884"/>
    <mergeCell ref="I884:J884"/>
    <mergeCell ref="A872:C872"/>
    <mergeCell ref="D872:G872"/>
    <mergeCell ref="I872:K872"/>
    <mergeCell ref="L872:N872"/>
    <mergeCell ref="A873:B873"/>
    <mergeCell ref="A874:B874"/>
    <mergeCell ref="A875:B875"/>
    <mergeCell ref="A876:B876"/>
    <mergeCell ref="E877:F877"/>
    <mergeCell ref="H877:I877"/>
    <mergeCell ref="J877:K877"/>
    <mergeCell ref="E878:F878"/>
    <mergeCell ref="H878:I878"/>
    <mergeCell ref="J878:K878"/>
    <mergeCell ref="E879:F879"/>
    <mergeCell ref="H879:I879"/>
    <mergeCell ref="J879:K879"/>
    <mergeCell ref="A860:B860"/>
    <mergeCell ref="C860:D860"/>
    <mergeCell ref="E860:F860"/>
    <mergeCell ref="I860:K860"/>
    <mergeCell ref="M860:N860"/>
    <mergeCell ref="G856:H856"/>
    <mergeCell ref="I856:J856"/>
    <mergeCell ref="A861:B861"/>
    <mergeCell ref="C861:D861"/>
    <mergeCell ref="E861:F861"/>
    <mergeCell ref="A862:B862"/>
    <mergeCell ref="C862:D862"/>
    <mergeCell ref="E862:F862"/>
    <mergeCell ref="A864:N864"/>
    <mergeCell ref="A865:N865"/>
    <mergeCell ref="C869:L869"/>
    <mergeCell ref="A871:C871"/>
    <mergeCell ref="D871:H871"/>
    <mergeCell ref="M871:N871"/>
    <mergeCell ref="G853:H853"/>
    <mergeCell ref="I853:J853"/>
    <mergeCell ref="K853:L853"/>
    <mergeCell ref="M853:N853"/>
    <mergeCell ref="C855:D855"/>
    <mergeCell ref="E855:F855"/>
    <mergeCell ref="G855:H855"/>
    <mergeCell ref="I855:J855"/>
    <mergeCell ref="K855:L855"/>
    <mergeCell ref="M856:N856"/>
    <mergeCell ref="C857:D857"/>
    <mergeCell ref="E857:F857"/>
    <mergeCell ref="G857:H857"/>
    <mergeCell ref="I857:J857"/>
    <mergeCell ref="K857:L857"/>
    <mergeCell ref="M857:N857"/>
    <mergeCell ref="C858:D858"/>
    <mergeCell ref="E858:F858"/>
    <mergeCell ref="G858:H858"/>
    <mergeCell ref="I858:J858"/>
    <mergeCell ref="K858:L858"/>
    <mergeCell ref="M858:N858"/>
    <mergeCell ref="E848:F848"/>
    <mergeCell ref="H848:I848"/>
    <mergeCell ref="J848:K848"/>
    <mergeCell ref="C849:D849"/>
    <mergeCell ref="E849:F849"/>
    <mergeCell ref="G849:H849"/>
    <mergeCell ref="I849:J849"/>
    <mergeCell ref="M855:N855"/>
    <mergeCell ref="C856:D856"/>
    <mergeCell ref="A1309:B1309"/>
    <mergeCell ref="K849:L849"/>
    <mergeCell ref="M849:N849"/>
    <mergeCell ref="C850:D850"/>
    <mergeCell ref="E850:F850"/>
    <mergeCell ref="G850:H850"/>
    <mergeCell ref="I850:J850"/>
    <mergeCell ref="K850:L850"/>
    <mergeCell ref="M850:N850"/>
    <mergeCell ref="C851:D851"/>
    <mergeCell ref="E851:F851"/>
    <mergeCell ref="G851:H851"/>
    <mergeCell ref="I851:J851"/>
    <mergeCell ref="K851:L851"/>
    <mergeCell ref="M851:N851"/>
    <mergeCell ref="C852:D852"/>
    <mergeCell ref="E852:F852"/>
    <mergeCell ref="G852:H852"/>
    <mergeCell ref="I852:J852"/>
    <mergeCell ref="K852:L852"/>
    <mergeCell ref="M852:N852"/>
    <mergeCell ref="C853:D853"/>
    <mergeCell ref="E853:F853"/>
    <mergeCell ref="A839:C839"/>
    <mergeCell ref="M839:N839"/>
    <mergeCell ref="A840:C840"/>
    <mergeCell ref="D840:G840"/>
    <mergeCell ref="I840:K840"/>
    <mergeCell ref="L840:N840"/>
    <mergeCell ref="A841:B841"/>
    <mergeCell ref="A842:B842"/>
    <mergeCell ref="A843:B843"/>
    <mergeCell ref="A844:B844"/>
    <mergeCell ref="E845:F845"/>
    <mergeCell ref="H845:I845"/>
    <mergeCell ref="J845:K845"/>
    <mergeCell ref="E846:F846"/>
    <mergeCell ref="H846:I846"/>
    <mergeCell ref="J846:K846"/>
    <mergeCell ref="E847:F847"/>
    <mergeCell ref="H847:I847"/>
    <mergeCell ref="J847:K847"/>
    <mergeCell ref="R625:S625"/>
    <mergeCell ref="T625:U625"/>
    <mergeCell ref="V625:W625"/>
    <mergeCell ref="X625:Y625"/>
    <mergeCell ref="E1146:F1146"/>
    <mergeCell ref="G1146:H1146"/>
    <mergeCell ref="I1146:J1146"/>
    <mergeCell ref="M1146:N1146"/>
    <mergeCell ref="G1170:H1170"/>
    <mergeCell ref="I1170:J1170"/>
    <mergeCell ref="G1171:H1171"/>
    <mergeCell ref="M1050:N1050"/>
    <mergeCell ref="K1079:L1079"/>
    <mergeCell ref="K1080:L1080"/>
    <mergeCell ref="I1171:J1171"/>
    <mergeCell ref="T806:U806"/>
    <mergeCell ref="V806:W806"/>
    <mergeCell ref="X806:Y806"/>
    <mergeCell ref="G1108:H1108"/>
    <mergeCell ref="I1108:J1108"/>
    <mergeCell ref="E1109:F1109"/>
    <mergeCell ref="G1109:H1109"/>
    <mergeCell ref="I1109:J1109"/>
    <mergeCell ref="I1082:J1082"/>
    <mergeCell ref="M1082:N1082"/>
    <mergeCell ref="J1103:K1103"/>
    <mergeCell ref="E661:F661"/>
    <mergeCell ref="G661:H661"/>
    <mergeCell ref="M657:N657"/>
    <mergeCell ref="E655:F655"/>
    <mergeCell ref="H655:I655"/>
    <mergeCell ref="E818:F818"/>
    <mergeCell ref="Z806:AA806"/>
    <mergeCell ref="T807:U807"/>
    <mergeCell ref="V807:W807"/>
    <mergeCell ref="X807:Y807"/>
    <mergeCell ref="Z807:AA807"/>
    <mergeCell ref="T808:U808"/>
    <mergeCell ref="V808:W808"/>
    <mergeCell ref="X808:Y808"/>
    <mergeCell ref="Z808:AA808"/>
    <mergeCell ref="T809:U809"/>
    <mergeCell ref="V809:W809"/>
    <mergeCell ref="X809:Y809"/>
    <mergeCell ref="Z809:AA809"/>
    <mergeCell ref="A1436:B1436"/>
    <mergeCell ref="C1436:D1436"/>
    <mergeCell ref="E1436:F1436"/>
    <mergeCell ref="I1436:K1436"/>
    <mergeCell ref="M1436:N1436"/>
    <mergeCell ref="C1428:D1428"/>
    <mergeCell ref="E1428:F1428"/>
    <mergeCell ref="G1428:H1428"/>
    <mergeCell ref="I1428:J1428"/>
    <mergeCell ref="K1428:L1428"/>
    <mergeCell ref="M1428:N1428"/>
    <mergeCell ref="C1429:D1429"/>
    <mergeCell ref="E1429:F1429"/>
    <mergeCell ref="G1429:H1429"/>
    <mergeCell ref="I1429:J1429"/>
    <mergeCell ref="K1429:L1429"/>
    <mergeCell ref="M1429:N1429"/>
    <mergeCell ref="C1431:D1431"/>
    <mergeCell ref="M1242:N1242"/>
    <mergeCell ref="E1422:F1422"/>
    <mergeCell ref="A1437:B1437"/>
    <mergeCell ref="C1437:D1437"/>
    <mergeCell ref="E1437:F1437"/>
    <mergeCell ref="A1438:B1438"/>
    <mergeCell ref="C1438:D1438"/>
    <mergeCell ref="E1438:F1438"/>
    <mergeCell ref="C1432:D1432"/>
    <mergeCell ref="E1432:F1432"/>
    <mergeCell ref="G1432:H1432"/>
    <mergeCell ref="I1432:J1432"/>
    <mergeCell ref="K1432:L1432"/>
    <mergeCell ref="M1432:N1432"/>
    <mergeCell ref="C1433:D1433"/>
    <mergeCell ref="E1433:F1433"/>
    <mergeCell ref="G1433:H1433"/>
    <mergeCell ref="I1433:J1433"/>
    <mergeCell ref="K1433:L1433"/>
    <mergeCell ref="M1433:N1433"/>
    <mergeCell ref="C1434:D1434"/>
    <mergeCell ref="E1434:F1434"/>
    <mergeCell ref="G1434:H1434"/>
    <mergeCell ref="I1434:J1434"/>
    <mergeCell ref="K1434:L1434"/>
    <mergeCell ref="M1434:N1434"/>
    <mergeCell ref="H1422:I1422"/>
    <mergeCell ref="J1422:K1422"/>
    <mergeCell ref="E1423:F1423"/>
    <mergeCell ref="H1423:I1423"/>
    <mergeCell ref="J1423:K1423"/>
    <mergeCell ref="G1431:H1431"/>
    <mergeCell ref="I1431:J1431"/>
    <mergeCell ref="K1431:L1431"/>
    <mergeCell ref="M1431:N1431"/>
    <mergeCell ref="E1424:F1424"/>
    <mergeCell ref="H1424:I1424"/>
    <mergeCell ref="J1424:K1424"/>
    <mergeCell ref="C1425:D1425"/>
    <mergeCell ref="E1425:F1425"/>
    <mergeCell ref="G1425:H1425"/>
    <mergeCell ref="I1425:J1425"/>
    <mergeCell ref="K1425:L1425"/>
    <mergeCell ref="M1425:N1425"/>
    <mergeCell ref="C1426:D1426"/>
    <mergeCell ref="E1426:F1426"/>
    <mergeCell ref="G1426:H1426"/>
    <mergeCell ref="I1426:J1426"/>
    <mergeCell ref="K1426:L1426"/>
    <mergeCell ref="M1426:N1426"/>
    <mergeCell ref="C1427:D1427"/>
    <mergeCell ref="E1427:F1427"/>
    <mergeCell ref="G1427:H1427"/>
    <mergeCell ref="I1427:J1427"/>
    <mergeCell ref="K1427:L1427"/>
    <mergeCell ref="M1427:N1427"/>
    <mergeCell ref="E1431:F1431"/>
    <mergeCell ref="A1408:N1408"/>
    <mergeCell ref="A1409:N1409"/>
    <mergeCell ref="C1413:L1413"/>
    <mergeCell ref="A1415:C1415"/>
    <mergeCell ref="M1415:N1415"/>
    <mergeCell ref="A1416:C1416"/>
    <mergeCell ref="D1416:G1416"/>
    <mergeCell ref="I1416:K1416"/>
    <mergeCell ref="L1416:N1416"/>
    <mergeCell ref="A1417:B1417"/>
    <mergeCell ref="A1418:B1418"/>
    <mergeCell ref="A1419:B1419"/>
    <mergeCell ref="A1420:B1420"/>
    <mergeCell ref="E1421:F1421"/>
    <mergeCell ref="H1421:I1421"/>
    <mergeCell ref="J1421:K1421"/>
    <mergeCell ref="C1402:D1402"/>
    <mergeCell ref="E1402:F1402"/>
    <mergeCell ref="G1402:H1402"/>
    <mergeCell ref="I1402:J1402"/>
    <mergeCell ref="K1402:L1402"/>
    <mergeCell ref="M1402:N1402"/>
    <mergeCell ref="A1404:B1404"/>
    <mergeCell ref="C1404:D1404"/>
    <mergeCell ref="E1404:F1404"/>
    <mergeCell ref="I1404:K1404"/>
    <mergeCell ref="M1404:N1404"/>
    <mergeCell ref="A1405:B1405"/>
    <mergeCell ref="C1405:D1405"/>
    <mergeCell ref="E1405:F1405"/>
    <mergeCell ref="A1406:B1406"/>
    <mergeCell ref="C1406:D1406"/>
    <mergeCell ref="E1406:F1406"/>
    <mergeCell ref="C1399:D1399"/>
    <mergeCell ref="E1399:F1399"/>
    <mergeCell ref="G1399:H1399"/>
    <mergeCell ref="I1399:J1399"/>
    <mergeCell ref="K1399:L1399"/>
    <mergeCell ref="M1399:N1399"/>
    <mergeCell ref="C1400:D1400"/>
    <mergeCell ref="E1400:F1400"/>
    <mergeCell ref="G1400:H1400"/>
    <mergeCell ref="I1400:J1400"/>
    <mergeCell ref="K1400:L1400"/>
    <mergeCell ref="M1400:N1400"/>
    <mergeCell ref="C1401:D1401"/>
    <mergeCell ref="E1401:F1401"/>
    <mergeCell ref="G1401:H1401"/>
    <mergeCell ref="I1401:J1401"/>
    <mergeCell ref="K1401:L1401"/>
    <mergeCell ref="M1401:N1401"/>
    <mergeCell ref="A1385:B1385"/>
    <mergeCell ref="A1386:B1386"/>
    <mergeCell ref="A1387:B1387"/>
    <mergeCell ref="A1388:B1388"/>
    <mergeCell ref="E1389:F1389"/>
    <mergeCell ref="H1389:I1389"/>
    <mergeCell ref="J1389:K1389"/>
    <mergeCell ref="E1390:F1390"/>
    <mergeCell ref="H1390:I1390"/>
    <mergeCell ref="J1390:K1390"/>
    <mergeCell ref="C1368:D1368"/>
    <mergeCell ref="E1368:F1368"/>
    <mergeCell ref="C1369:D1369"/>
    <mergeCell ref="K1369:L1369"/>
    <mergeCell ref="M1369:N1369"/>
    <mergeCell ref="A1376:N1376"/>
    <mergeCell ref="I1397:J1397"/>
    <mergeCell ref="K1397:L1397"/>
    <mergeCell ref="M1397:N1397"/>
    <mergeCell ref="E1395:F1395"/>
    <mergeCell ref="G1395:H1395"/>
    <mergeCell ref="I1395:J1395"/>
    <mergeCell ref="K1395:L1395"/>
    <mergeCell ref="M1395:N1395"/>
    <mergeCell ref="C1396:D1396"/>
    <mergeCell ref="E1396:F1396"/>
    <mergeCell ref="G1396:H1396"/>
    <mergeCell ref="I1396:J1396"/>
    <mergeCell ref="K1396:L1396"/>
    <mergeCell ref="M1396:N1396"/>
    <mergeCell ref="C1397:D1397"/>
    <mergeCell ref="E1397:F1397"/>
    <mergeCell ref="M1372:N1372"/>
    <mergeCell ref="C1365:D1365"/>
    <mergeCell ref="E1369:F1369"/>
    <mergeCell ref="C1367:D1367"/>
    <mergeCell ref="M1370:N1370"/>
    <mergeCell ref="I1368:J1368"/>
    <mergeCell ref="K1368:L1368"/>
    <mergeCell ref="I1364:J1364"/>
    <mergeCell ref="M1364:N1364"/>
    <mergeCell ref="E1365:F1365"/>
    <mergeCell ref="G1365:H1365"/>
    <mergeCell ref="I1365:J1365"/>
    <mergeCell ref="K1365:L1365"/>
    <mergeCell ref="A1384:C1384"/>
    <mergeCell ref="D1384:G1384"/>
    <mergeCell ref="I1384:K1384"/>
    <mergeCell ref="L1384:N1384"/>
    <mergeCell ref="K1367:L1367"/>
    <mergeCell ref="M1368:N1368"/>
    <mergeCell ref="E1367:F1367"/>
    <mergeCell ref="I1367:J1367"/>
    <mergeCell ref="A1374:B1374"/>
    <mergeCell ref="C1374:D1374"/>
    <mergeCell ref="E1374:F1374"/>
    <mergeCell ref="E1361:F1361"/>
    <mergeCell ref="H1360:I1360"/>
    <mergeCell ref="K1361:L1361"/>
    <mergeCell ref="K1362:L1362"/>
    <mergeCell ref="I1363:J1363"/>
    <mergeCell ref="E1357:F1357"/>
    <mergeCell ref="H1357:I1357"/>
    <mergeCell ref="A1372:B1372"/>
    <mergeCell ref="C1372:D1372"/>
    <mergeCell ref="E1372:F1372"/>
    <mergeCell ref="C1364:D1364"/>
    <mergeCell ref="G1364:H1364"/>
    <mergeCell ref="G1361:H1361"/>
    <mergeCell ref="I1361:J1361"/>
    <mergeCell ref="E1362:F1362"/>
    <mergeCell ref="G1362:H1362"/>
    <mergeCell ref="I1362:J1362"/>
    <mergeCell ref="E1363:F1363"/>
    <mergeCell ref="E1364:F1364"/>
    <mergeCell ref="G1369:H1369"/>
    <mergeCell ref="C1370:D1370"/>
    <mergeCell ref="E1370:F1370"/>
    <mergeCell ref="G1370:H1370"/>
    <mergeCell ref="I1370:J1370"/>
    <mergeCell ref="K1370:L1370"/>
    <mergeCell ref="I1372:K1372"/>
    <mergeCell ref="G1306:H1306"/>
    <mergeCell ref="M1332:N1332"/>
    <mergeCell ref="C1333:D1333"/>
    <mergeCell ref="E1333:F1333"/>
    <mergeCell ref="G1333:H1333"/>
    <mergeCell ref="I1333:J1333"/>
    <mergeCell ref="K1333:L1333"/>
    <mergeCell ref="M1333:N1333"/>
    <mergeCell ref="C1329:D1329"/>
    <mergeCell ref="M1329:N1329"/>
    <mergeCell ref="E1330:F1330"/>
    <mergeCell ref="G1330:H1330"/>
    <mergeCell ref="I1330:J1330"/>
    <mergeCell ref="K1330:L1330"/>
    <mergeCell ref="M1330:N1330"/>
    <mergeCell ref="E1331:F1331"/>
    <mergeCell ref="G1331:H1331"/>
    <mergeCell ref="K1306:L1306"/>
    <mergeCell ref="H1327:I1327"/>
    <mergeCell ref="J1327:K1327"/>
    <mergeCell ref="E1328:F1328"/>
    <mergeCell ref="E1325:F1325"/>
    <mergeCell ref="H1325:I1325"/>
    <mergeCell ref="E1319:I1319"/>
    <mergeCell ref="A1308:B1308"/>
    <mergeCell ref="C1308:D1308"/>
    <mergeCell ref="E1308:F1308"/>
    <mergeCell ref="I1308:K1308"/>
    <mergeCell ref="M1308:N1308"/>
    <mergeCell ref="I1306:J1306"/>
    <mergeCell ref="G1274:H1274"/>
    <mergeCell ref="I1274:J1274"/>
    <mergeCell ref="M1306:N1306"/>
    <mergeCell ref="C1305:D1305"/>
    <mergeCell ref="E1305:F1305"/>
    <mergeCell ref="G1305:H1305"/>
    <mergeCell ref="I1305:J1305"/>
    <mergeCell ref="M1305:N1305"/>
    <mergeCell ref="E1301:F1301"/>
    <mergeCell ref="G1301:H1301"/>
    <mergeCell ref="I1301:J1301"/>
    <mergeCell ref="M1301:N1301"/>
    <mergeCell ref="E1304:F1304"/>
    <mergeCell ref="G1304:H1304"/>
    <mergeCell ref="I1304:J1304"/>
    <mergeCell ref="K1304:L1304"/>
    <mergeCell ref="C1304:D1304"/>
    <mergeCell ref="M1304:N1304"/>
    <mergeCell ref="K1305:L1305"/>
    <mergeCell ref="K1274:L1274"/>
    <mergeCell ref="M1274:N1274"/>
    <mergeCell ref="A1280:N1280"/>
    <mergeCell ref="C1285:L1285"/>
    <mergeCell ref="A1287:C1287"/>
    <mergeCell ref="C1306:D1306"/>
    <mergeCell ref="E1306:F1306"/>
    <mergeCell ref="C1210:D1210"/>
    <mergeCell ref="G1210:H1210"/>
    <mergeCell ref="I1210:J1210"/>
    <mergeCell ref="I1241:J1241"/>
    <mergeCell ref="G1268:H1268"/>
    <mergeCell ref="M1244:N1244"/>
    <mergeCell ref="I1288:K1288"/>
    <mergeCell ref="L1288:N1288"/>
    <mergeCell ref="A1289:B1289"/>
    <mergeCell ref="E1293:F1293"/>
    <mergeCell ref="H1293:I1293"/>
    <mergeCell ref="J1293:K1293"/>
    <mergeCell ref="A1281:N1281"/>
    <mergeCell ref="K1297:L1297"/>
    <mergeCell ref="M1297:N1297"/>
    <mergeCell ref="C1303:D1303"/>
    <mergeCell ref="E1303:F1303"/>
    <mergeCell ref="G1303:H1303"/>
    <mergeCell ref="I1303:J1303"/>
    <mergeCell ref="K1303:L1303"/>
    <mergeCell ref="M1303:N1303"/>
    <mergeCell ref="E1242:F1242"/>
    <mergeCell ref="G1242:H1242"/>
    <mergeCell ref="I1242:J1242"/>
    <mergeCell ref="K1242:L1242"/>
    <mergeCell ref="A1277:B1277"/>
    <mergeCell ref="C1268:D1268"/>
    <mergeCell ref="I1244:K1244"/>
    <mergeCell ref="A1246:B1246"/>
    <mergeCell ref="C1246:D1246"/>
    <mergeCell ref="M1273:N1273"/>
    <mergeCell ref="K1273:L1273"/>
    <mergeCell ref="E1209:F1209"/>
    <mergeCell ref="K1209:L1209"/>
    <mergeCell ref="M1209:N1209"/>
    <mergeCell ref="E1210:F1210"/>
    <mergeCell ref="K1210:L1210"/>
    <mergeCell ref="M1210:N1210"/>
    <mergeCell ref="E1234:F1234"/>
    <mergeCell ref="G1234:H1234"/>
    <mergeCell ref="K1234:L1234"/>
    <mergeCell ref="G1236:H1236"/>
    <mergeCell ref="K1236:L1236"/>
    <mergeCell ref="M1268:N1268"/>
    <mergeCell ref="M1236:N1236"/>
    <mergeCell ref="E1237:F1237"/>
    <mergeCell ref="G1237:H1237"/>
    <mergeCell ref="K1237:L1237"/>
    <mergeCell ref="E1239:F1239"/>
    <mergeCell ref="K1233:L1233"/>
    <mergeCell ref="J1229:K1229"/>
    <mergeCell ref="E1230:F1230"/>
    <mergeCell ref="H1230:I1230"/>
    <mergeCell ref="I1235:J1235"/>
    <mergeCell ref="M1265:N1265"/>
    <mergeCell ref="M1266:N1266"/>
    <mergeCell ref="E1255:I1255"/>
    <mergeCell ref="E1213:F1213"/>
    <mergeCell ref="I1233:J1233"/>
    <mergeCell ref="E1200:F1200"/>
    <mergeCell ref="H1200:I1200"/>
    <mergeCell ref="J1200:K1200"/>
    <mergeCell ref="I1203:J1203"/>
    <mergeCell ref="K1202:L1202"/>
    <mergeCell ref="E1203:F1203"/>
    <mergeCell ref="K1203:L1203"/>
    <mergeCell ref="I1202:J1202"/>
    <mergeCell ref="H1231:I1231"/>
    <mergeCell ref="J1231:K1231"/>
    <mergeCell ref="I1205:J1205"/>
    <mergeCell ref="M1114:N1114"/>
    <mergeCell ref="M1138:N1138"/>
    <mergeCell ref="M1139:N1139"/>
    <mergeCell ref="E1141:F1141"/>
    <mergeCell ref="G1141:H1141"/>
    <mergeCell ref="M1143:N1143"/>
    <mergeCell ref="M1144:N1144"/>
    <mergeCell ref="K1178:L1178"/>
    <mergeCell ref="M1178:N1178"/>
    <mergeCell ref="M1202:N1202"/>
    <mergeCell ref="E1198:F1198"/>
    <mergeCell ref="H1198:I1198"/>
    <mergeCell ref="J1198:K1198"/>
    <mergeCell ref="E1199:F1199"/>
    <mergeCell ref="G1201:H1201"/>
    <mergeCell ref="I1201:J1201"/>
    <mergeCell ref="K1201:L1201"/>
    <mergeCell ref="E1202:F1202"/>
    <mergeCell ref="H1199:I1199"/>
    <mergeCell ref="J1199:K1199"/>
    <mergeCell ref="E1175:F1175"/>
    <mergeCell ref="I1175:J1175"/>
    <mergeCell ref="H1167:I1167"/>
    <mergeCell ref="J1167:K1167"/>
    <mergeCell ref="E1138:F1138"/>
    <mergeCell ref="E1139:F1139"/>
    <mergeCell ref="E504:F504"/>
    <mergeCell ref="I504:J504"/>
    <mergeCell ref="E1071:F1071"/>
    <mergeCell ref="I1105:J1105"/>
    <mergeCell ref="C661:D661"/>
    <mergeCell ref="C692:D692"/>
    <mergeCell ref="E692:F692"/>
    <mergeCell ref="I692:J692"/>
    <mergeCell ref="C693:D693"/>
    <mergeCell ref="E693:F693"/>
    <mergeCell ref="I693:J693"/>
    <mergeCell ref="C691:D691"/>
    <mergeCell ref="E690:F690"/>
    <mergeCell ref="G690:H690"/>
    <mergeCell ref="E750:F750"/>
    <mergeCell ref="H750:I750"/>
    <mergeCell ref="J750:K750"/>
    <mergeCell ref="E727:F727"/>
    <mergeCell ref="I727:J727"/>
    <mergeCell ref="E728:F728"/>
    <mergeCell ref="I728:J728"/>
    <mergeCell ref="E729:F729"/>
    <mergeCell ref="G729:H729"/>
    <mergeCell ref="G723:H723"/>
    <mergeCell ref="I723:J723"/>
    <mergeCell ref="C788:D788"/>
    <mergeCell ref="C819:D819"/>
    <mergeCell ref="K661:L661"/>
    <mergeCell ref="G665:H665"/>
    <mergeCell ref="E664:F664"/>
    <mergeCell ref="C663:D663"/>
    <mergeCell ref="M498:N498"/>
    <mergeCell ref="E498:F498"/>
    <mergeCell ref="G498:H498"/>
    <mergeCell ref="G1113:H1113"/>
    <mergeCell ref="K1113:L1113"/>
    <mergeCell ref="K466:L466"/>
    <mergeCell ref="I468:J468"/>
    <mergeCell ref="K1105:L1105"/>
    <mergeCell ref="J1101:K1101"/>
    <mergeCell ref="E1102:F1102"/>
    <mergeCell ref="H1102:I1102"/>
    <mergeCell ref="J1102:K1102"/>
    <mergeCell ref="E1103:F1103"/>
    <mergeCell ref="H1103:I1103"/>
    <mergeCell ref="K1081:L1081"/>
    <mergeCell ref="E1082:F1082"/>
    <mergeCell ref="K1082:L1082"/>
    <mergeCell ref="G469:H469"/>
    <mergeCell ref="E525:F525"/>
    <mergeCell ref="H525:I525"/>
    <mergeCell ref="J525:K525"/>
    <mergeCell ref="E670:F670"/>
    <mergeCell ref="E669:F669"/>
    <mergeCell ref="E668:F668"/>
    <mergeCell ref="E663:F663"/>
    <mergeCell ref="G663:H663"/>
    <mergeCell ref="M1113:N1113"/>
    <mergeCell ref="G660:H660"/>
    <mergeCell ref="K660:L660"/>
    <mergeCell ref="G500:H500"/>
    <mergeCell ref="G501:H501"/>
    <mergeCell ref="M472:N472"/>
    <mergeCell ref="E473:F473"/>
    <mergeCell ref="I473:J473"/>
    <mergeCell ref="K473:L473"/>
    <mergeCell ref="E1070:F1070"/>
    <mergeCell ref="H1070:I1070"/>
    <mergeCell ref="J1070:K1070"/>
    <mergeCell ref="M499:N499"/>
    <mergeCell ref="M500:N500"/>
    <mergeCell ref="E819:F819"/>
    <mergeCell ref="E820:F820"/>
    <mergeCell ref="E821:F821"/>
    <mergeCell ref="E823:F823"/>
    <mergeCell ref="E824:F824"/>
    <mergeCell ref="E825:F825"/>
    <mergeCell ref="E826:F826"/>
    <mergeCell ref="A545:N545"/>
    <mergeCell ref="C549:L549"/>
    <mergeCell ref="I536:J536"/>
    <mergeCell ref="A522:B522"/>
    <mergeCell ref="E472:F472"/>
    <mergeCell ref="I472:J472"/>
    <mergeCell ref="A523:B523"/>
    <mergeCell ref="A524:B524"/>
    <mergeCell ref="A670:B670"/>
    <mergeCell ref="C670:D670"/>
    <mergeCell ref="A669:B669"/>
    <mergeCell ref="G788:H788"/>
    <mergeCell ref="A668:B668"/>
    <mergeCell ref="C668:D668"/>
    <mergeCell ref="C666:D666"/>
    <mergeCell ref="C664:D664"/>
    <mergeCell ref="E469:F469"/>
    <mergeCell ref="M466:N466"/>
    <mergeCell ref="M467:N467"/>
    <mergeCell ref="E466:F466"/>
    <mergeCell ref="G466:H466"/>
    <mergeCell ref="E467:F467"/>
    <mergeCell ref="G467:H467"/>
    <mergeCell ref="E468:F468"/>
    <mergeCell ref="G468:H468"/>
    <mergeCell ref="E439:F439"/>
    <mergeCell ref="I439:J439"/>
    <mergeCell ref="K439:L439"/>
    <mergeCell ref="M439:N439"/>
    <mergeCell ref="E440:F440"/>
    <mergeCell ref="K469:L469"/>
    <mergeCell ref="M497:N497"/>
    <mergeCell ref="I440:J440"/>
    <mergeCell ref="K440:L440"/>
    <mergeCell ref="K629:L629"/>
    <mergeCell ref="M631:N631"/>
    <mergeCell ref="M632:N632"/>
    <mergeCell ref="C634:D634"/>
    <mergeCell ref="I634:J634"/>
    <mergeCell ref="C633:D633"/>
    <mergeCell ref="I633:J633"/>
    <mergeCell ref="C632:D632"/>
    <mergeCell ref="E632:F632"/>
    <mergeCell ref="E660:F660"/>
    <mergeCell ref="M629:N629"/>
    <mergeCell ref="M436:N436"/>
    <mergeCell ref="E437:F437"/>
    <mergeCell ref="M437:N437"/>
    <mergeCell ref="M434:N434"/>
    <mergeCell ref="M435:N435"/>
    <mergeCell ref="I469:J469"/>
    <mergeCell ref="E471:F471"/>
    <mergeCell ref="I471:J471"/>
    <mergeCell ref="K471:L471"/>
    <mergeCell ref="M471:N471"/>
    <mergeCell ref="K472:L472"/>
    <mergeCell ref="M404:N404"/>
    <mergeCell ref="M442:N442"/>
    <mergeCell ref="I437:J437"/>
    <mergeCell ref="G439:H439"/>
    <mergeCell ref="E409:F409"/>
    <mergeCell ref="G409:H409"/>
    <mergeCell ref="I409:J409"/>
    <mergeCell ref="K409:L409"/>
    <mergeCell ref="M409:N409"/>
    <mergeCell ref="E410:F410"/>
    <mergeCell ref="G410:H410"/>
    <mergeCell ref="I410:J410"/>
    <mergeCell ref="K410:L410"/>
    <mergeCell ref="M410:N410"/>
    <mergeCell ref="M441:N441"/>
    <mergeCell ref="E441:F441"/>
    <mergeCell ref="G437:H437"/>
    <mergeCell ref="I441:J441"/>
    <mergeCell ref="I408:J408"/>
    <mergeCell ref="M440:N440"/>
    <mergeCell ref="M370:N370"/>
    <mergeCell ref="E371:F371"/>
    <mergeCell ref="I371:J371"/>
    <mergeCell ref="K371:L371"/>
    <mergeCell ref="E372:F372"/>
    <mergeCell ref="I372:J372"/>
    <mergeCell ref="K372:L372"/>
    <mergeCell ref="M372:N372"/>
    <mergeCell ref="E373:F373"/>
    <mergeCell ref="I373:J373"/>
    <mergeCell ref="K373:L373"/>
    <mergeCell ref="I405:J405"/>
    <mergeCell ref="E405:F405"/>
    <mergeCell ref="G405:H405"/>
    <mergeCell ref="M405:N405"/>
    <mergeCell ref="E312:F312"/>
    <mergeCell ref="E313:F313"/>
    <mergeCell ref="G338:H338"/>
    <mergeCell ref="I338:J338"/>
    <mergeCell ref="M338:N338"/>
    <mergeCell ref="G339:H339"/>
    <mergeCell ref="I339:J339"/>
    <mergeCell ref="M339:N339"/>
    <mergeCell ref="E341:F341"/>
    <mergeCell ref="K338:L338"/>
    <mergeCell ref="K339:L339"/>
    <mergeCell ref="K340:L340"/>
    <mergeCell ref="K341:L341"/>
    <mergeCell ref="K343:L343"/>
    <mergeCell ref="M343:N343"/>
    <mergeCell ref="I340:J340"/>
    <mergeCell ref="M345:N345"/>
    <mergeCell ref="M341:N341"/>
    <mergeCell ref="E248:F248"/>
    <mergeCell ref="G248:H248"/>
    <mergeCell ref="I248:J248"/>
    <mergeCell ref="E249:F249"/>
    <mergeCell ref="G249:H249"/>
    <mergeCell ref="I249:J249"/>
    <mergeCell ref="G250:H250"/>
    <mergeCell ref="I250:J250"/>
    <mergeCell ref="E244:F244"/>
    <mergeCell ref="E245:F245"/>
    <mergeCell ref="I247:J247"/>
    <mergeCell ref="E247:F247"/>
    <mergeCell ref="K247:L247"/>
    <mergeCell ref="M247:N247"/>
    <mergeCell ref="K248:L248"/>
    <mergeCell ref="M248:N248"/>
    <mergeCell ref="K249:L249"/>
    <mergeCell ref="M249:N249"/>
    <mergeCell ref="K250:L250"/>
    <mergeCell ref="M250:N250"/>
    <mergeCell ref="E340:F340"/>
    <mergeCell ref="G311:H311"/>
    <mergeCell ref="I311:J311"/>
    <mergeCell ref="G312:H312"/>
    <mergeCell ref="I312:J312"/>
    <mergeCell ref="G313:H313"/>
    <mergeCell ref="I313:J313"/>
    <mergeCell ref="G314:H314"/>
    <mergeCell ref="G341:H341"/>
    <mergeCell ref="K273:L273"/>
    <mergeCell ref="M273:N273"/>
    <mergeCell ref="E210:F210"/>
    <mergeCell ref="G210:H210"/>
    <mergeCell ref="I210:J210"/>
    <mergeCell ref="M210:N210"/>
    <mergeCell ref="E211:F211"/>
    <mergeCell ref="G211:H211"/>
    <mergeCell ref="I211:J211"/>
    <mergeCell ref="M211:N211"/>
    <mergeCell ref="E212:F212"/>
    <mergeCell ref="G212:H212"/>
    <mergeCell ref="I212:J212"/>
    <mergeCell ref="M212:N212"/>
    <mergeCell ref="E213:F213"/>
    <mergeCell ref="G213:H213"/>
    <mergeCell ref="I213:J213"/>
    <mergeCell ref="G215:H215"/>
    <mergeCell ref="G216:H216"/>
    <mergeCell ref="M213:N213"/>
    <mergeCell ref="M18:N18"/>
    <mergeCell ref="M19:N19"/>
    <mergeCell ref="G20:H20"/>
    <mergeCell ref="M20:N20"/>
    <mergeCell ref="G21:H21"/>
    <mergeCell ref="M21:N21"/>
    <mergeCell ref="I23:J23"/>
    <mergeCell ref="M23:N23"/>
    <mergeCell ref="I24:J24"/>
    <mergeCell ref="M24:N24"/>
    <mergeCell ref="I25:J25"/>
    <mergeCell ref="M25:N25"/>
    <mergeCell ref="E26:F26"/>
    <mergeCell ref="I26:J26"/>
    <mergeCell ref="M26:N26"/>
    <mergeCell ref="M51:N51"/>
    <mergeCell ref="M52:N52"/>
    <mergeCell ref="G50:H50"/>
    <mergeCell ref="G51:H51"/>
    <mergeCell ref="G52:H52"/>
    <mergeCell ref="I50:J50"/>
    <mergeCell ref="I51:J51"/>
    <mergeCell ref="I52:J52"/>
    <mergeCell ref="K50:L50"/>
    <mergeCell ref="K51:L51"/>
    <mergeCell ref="K52:L52"/>
    <mergeCell ref="G18:H18"/>
    <mergeCell ref="G19:H19"/>
    <mergeCell ref="K19:L19"/>
    <mergeCell ref="K20:L20"/>
    <mergeCell ref="M50:N50"/>
    <mergeCell ref="E50:F50"/>
    <mergeCell ref="C24:D24"/>
    <mergeCell ref="C23:D23"/>
    <mergeCell ref="C21:D21"/>
    <mergeCell ref="A29:B29"/>
    <mergeCell ref="A30:B30"/>
    <mergeCell ref="A28:B28"/>
    <mergeCell ref="E47:F47"/>
    <mergeCell ref="H47:I47"/>
    <mergeCell ref="J47:K47"/>
    <mergeCell ref="H48:I48"/>
    <mergeCell ref="J48:K48"/>
    <mergeCell ref="K21:L21"/>
    <mergeCell ref="K23:L23"/>
    <mergeCell ref="K24:L24"/>
    <mergeCell ref="K25:L25"/>
    <mergeCell ref="K26:L26"/>
    <mergeCell ref="G23:H23"/>
    <mergeCell ref="G24:H24"/>
    <mergeCell ref="G25:H25"/>
    <mergeCell ref="G26:H26"/>
    <mergeCell ref="E23:F23"/>
    <mergeCell ref="E24:F24"/>
    <mergeCell ref="E21:F21"/>
    <mergeCell ref="E25:F25"/>
    <mergeCell ref="J45:K45"/>
    <mergeCell ref="H46:I46"/>
    <mergeCell ref="J46:K46"/>
    <mergeCell ref="E45:F45"/>
    <mergeCell ref="E48:F48"/>
    <mergeCell ref="A108:B108"/>
    <mergeCell ref="A107:B107"/>
    <mergeCell ref="A106:B106"/>
    <mergeCell ref="A105:B105"/>
    <mergeCell ref="A104:C104"/>
    <mergeCell ref="E93:F93"/>
    <mergeCell ref="A94:B94"/>
    <mergeCell ref="C94:D94"/>
    <mergeCell ref="E94:F94"/>
    <mergeCell ref="C126:D126"/>
    <mergeCell ref="E126:F126"/>
    <mergeCell ref="A128:N128"/>
    <mergeCell ref="E88:F88"/>
    <mergeCell ref="E89:F89"/>
    <mergeCell ref="E90:F90"/>
    <mergeCell ref="M87:N87"/>
    <mergeCell ref="M88:N88"/>
    <mergeCell ref="M89:N89"/>
    <mergeCell ref="M90:N90"/>
    <mergeCell ref="K87:L87"/>
    <mergeCell ref="K88:L88"/>
    <mergeCell ref="K89:L89"/>
    <mergeCell ref="K90:L90"/>
    <mergeCell ref="G117:H117"/>
    <mergeCell ref="K114:L114"/>
    <mergeCell ref="K115:L115"/>
    <mergeCell ref="E117:F117"/>
    <mergeCell ref="G87:H87"/>
    <mergeCell ref="G88:H88"/>
    <mergeCell ref="G89:H89"/>
    <mergeCell ref="G90:H90"/>
    <mergeCell ref="M82:N82"/>
    <mergeCell ref="M83:N83"/>
    <mergeCell ref="M84:N84"/>
    <mergeCell ref="M85:N85"/>
    <mergeCell ref="D104:G104"/>
    <mergeCell ref="I104:K104"/>
    <mergeCell ref="L104:N104"/>
    <mergeCell ref="C115:D115"/>
    <mergeCell ref="E119:F119"/>
    <mergeCell ref="E120:F120"/>
    <mergeCell ref="E121:F121"/>
    <mergeCell ref="K116:L116"/>
    <mergeCell ref="K117:L117"/>
    <mergeCell ref="I119:J119"/>
    <mergeCell ref="I120:J120"/>
    <mergeCell ref="G119:H119"/>
    <mergeCell ref="G120:H120"/>
    <mergeCell ref="G121:H121"/>
    <mergeCell ref="E116:F116"/>
    <mergeCell ref="M116:N116"/>
    <mergeCell ref="M117:N117"/>
    <mergeCell ref="M119:N119"/>
    <mergeCell ref="M120:N120"/>
    <mergeCell ref="M121:N121"/>
    <mergeCell ref="I116:J116"/>
    <mergeCell ref="I117:J117"/>
    <mergeCell ref="K119:L119"/>
    <mergeCell ref="K120:L120"/>
    <mergeCell ref="K121:L121"/>
    <mergeCell ref="I121:J121"/>
    <mergeCell ref="G115:H115"/>
    <mergeCell ref="G116:H116"/>
    <mergeCell ref="A268:B268"/>
    <mergeCell ref="A267:B267"/>
    <mergeCell ref="C311:D311"/>
    <mergeCell ref="C273:D273"/>
    <mergeCell ref="E273:F273"/>
    <mergeCell ref="G273:H273"/>
    <mergeCell ref="A266:B266"/>
    <mergeCell ref="A265:B265"/>
    <mergeCell ref="A263:C263"/>
    <mergeCell ref="D263:H263"/>
    <mergeCell ref="C248:D248"/>
    <mergeCell ref="C245:D245"/>
    <mergeCell ref="I273:J273"/>
    <mergeCell ref="A299:B299"/>
    <mergeCell ref="A298:B298"/>
    <mergeCell ref="A297:B297"/>
    <mergeCell ref="C279:D279"/>
    <mergeCell ref="G279:H279"/>
    <mergeCell ref="C282:D282"/>
    <mergeCell ref="C305:D305"/>
    <mergeCell ref="E305:F305"/>
    <mergeCell ref="G305:H305"/>
    <mergeCell ref="C281:D281"/>
    <mergeCell ref="C280:D280"/>
    <mergeCell ref="G280:H280"/>
    <mergeCell ref="A295:C295"/>
    <mergeCell ref="D295:H295"/>
    <mergeCell ref="C250:D250"/>
    <mergeCell ref="E250:F250"/>
    <mergeCell ref="C249:D249"/>
    <mergeCell ref="C247:D247"/>
    <mergeCell ref="E303:F303"/>
    <mergeCell ref="C339:D339"/>
    <mergeCell ref="C340:D340"/>
    <mergeCell ref="C338:D338"/>
    <mergeCell ref="A382:B382"/>
    <mergeCell ref="C382:D382"/>
    <mergeCell ref="C375:D375"/>
    <mergeCell ref="C373:D373"/>
    <mergeCell ref="C372:D372"/>
    <mergeCell ref="C371:D371"/>
    <mergeCell ref="C378:D378"/>
    <mergeCell ref="C377:D377"/>
    <mergeCell ref="C376:D376"/>
    <mergeCell ref="K369:L369"/>
    <mergeCell ref="C370:D370"/>
    <mergeCell ref="E367:F367"/>
    <mergeCell ref="H367:I367"/>
    <mergeCell ref="J367:K367"/>
    <mergeCell ref="E368:F368"/>
    <mergeCell ref="H368:I368"/>
    <mergeCell ref="J368:K368"/>
    <mergeCell ref="E369:F369"/>
    <mergeCell ref="K344:L344"/>
    <mergeCell ref="I378:J378"/>
    <mergeCell ref="K378:L378"/>
    <mergeCell ref="G370:H370"/>
    <mergeCell ref="G371:H371"/>
    <mergeCell ref="G372:H372"/>
    <mergeCell ref="G373:H373"/>
    <mergeCell ref="K370:L370"/>
    <mergeCell ref="C346:D346"/>
    <mergeCell ref="C345:D345"/>
    <mergeCell ref="C344:D344"/>
    <mergeCell ref="C401:D401"/>
    <mergeCell ref="C439:D439"/>
    <mergeCell ref="C437:D437"/>
    <mergeCell ref="C436:D436"/>
    <mergeCell ref="C442:D442"/>
    <mergeCell ref="C441:D441"/>
    <mergeCell ref="C440:D440"/>
    <mergeCell ref="C435:D435"/>
    <mergeCell ref="K433:L433"/>
    <mergeCell ref="M433:N433"/>
    <mergeCell ref="M403:N403"/>
    <mergeCell ref="A363:B363"/>
    <mergeCell ref="A364:B364"/>
    <mergeCell ref="E365:F365"/>
    <mergeCell ref="H365:I365"/>
    <mergeCell ref="J365:K365"/>
    <mergeCell ref="E366:F366"/>
    <mergeCell ref="H366:I366"/>
    <mergeCell ref="J366:K366"/>
    <mergeCell ref="C369:D369"/>
    <mergeCell ref="M373:N373"/>
    <mergeCell ref="E402:F402"/>
    <mergeCell ref="G402:H402"/>
    <mergeCell ref="I402:J402"/>
    <mergeCell ref="M402:N402"/>
    <mergeCell ref="M369:N369"/>
    <mergeCell ref="M380:N380"/>
    <mergeCell ref="M375:N375"/>
    <mergeCell ref="M376:N376"/>
    <mergeCell ref="M377:N377"/>
    <mergeCell ref="M378:N378"/>
    <mergeCell ref="E403:F403"/>
    <mergeCell ref="G628:H628"/>
    <mergeCell ref="I628:J628"/>
    <mergeCell ref="M628:N628"/>
    <mergeCell ref="G629:H629"/>
    <mergeCell ref="I629:J629"/>
    <mergeCell ref="E634:F634"/>
    <mergeCell ref="G634:H634"/>
    <mergeCell ref="K634:L634"/>
    <mergeCell ref="K631:L631"/>
    <mergeCell ref="C697:D697"/>
    <mergeCell ref="C696:D696"/>
    <mergeCell ref="C695:D695"/>
    <mergeCell ref="K695:L695"/>
    <mergeCell ref="A680:C680"/>
    <mergeCell ref="D680:G680"/>
    <mergeCell ref="I680:K680"/>
    <mergeCell ref="L680:N680"/>
    <mergeCell ref="A681:B681"/>
    <mergeCell ref="A672:N672"/>
    <mergeCell ref="A673:N673"/>
    <mergeCell ref="M693:N693"/>
    <mergeCell ref="A682:B682"/>
    <mergeCell ref="E665:F665"/>
    <mergeCell ref="E666:F666"/>
    <mergeCell ref="G666:H666"/>
    <mergeCell ref="M666:N666"/>
    <mergeCell ref="I666:J666"/>
    <mergeCell ref="K666:L666"/>
    <mergeCell ref="K663:L663"/>
    <mergeCell ref="I661:J661"/>
    <mergeCell ref="C669:D669"/>
    <mergeCell ref="M661:N661"/>
    <mergeCell ref="M663:N663"/>
    <mergeCell ref="M664:N664"/>
    <mergeCell ref="K665:L665"/>
    <mergeCell ref="M665:N665"/>
    <mergeCell ref="I664:J664"/>
    <mergeCell ref="I665:J665"/>
    <mergeCell ref="I691:J691"/>
    <mergeCell ref="K690:L690"/>
    <mergeCell ref="M690:N690"/>
    <mergeCell ref="E691:F691"/>
    <mergeCell ref="I698:J698"/>
    <mergeCell ref="K696:L696"/>
    <mergeCell ref="G691:H691"/>
    <mergeCell ref="M696:N696"/>
    <mergeCell ref="M697:N697"/>
    <mergeCell ref="M691:N691"/>
    <mergeCell ref="G692:H692"/>
    <mergeCell ref="K692:L692"/>
    <mergeCell ref="G693:H693"/>
    <mergeCell ref="K693:L693"/>
    <mergeCell ref="I697:J697"/>
    <mergeCell ref="I696:J696"/>
    <mergeCell ref="G697:H697"/>
    <mergeCell ref="K691:L691"/>
    <mergeCell ref="I663:J663"/>
    <mergeCell ref="C698:D698"/>
    <mergeCell ref="M692:N692"/>
    <mergeCell ref="G698:H698"/>
    <mergeCell ref="G695:H695"/>
    <mergeCell ref="I695:J695"/>
    <mergeCell ref="M695:N695"/>
    <mergeCell ref="E698:F698"/>
    <mergeCell ref="K698:L698"/>
    <mergeCell ref="M698:N698"/>
    <mergeCell ref="E695:F695"/>
    <mergeCell ref="E696:F696"/>
    <mergeCell ref="E697:F697"/>
    <mergeCell ref="K697:L697"/>
    <mergeCell ref="G696:H696"/>
    <mergeCell ref="A2:N2"/>
    <mergeCell ref="AD3:AO3"/>
    <mergeCell ref="Z4:Z17"/>
    <mergeCell ref="AA4:AA5"/>
    <mergeCell ref="C5:L5"/>
    <mergeCell ref="AA6:AA7"/>
    <mergeCell ref="A7:C7"/>
    <mergeCell ref="AA8:AA9"/>
    <mergeCell ref="A9:B9"/>
    <mergeCell ref="A10:B10"/>
    <mergeCell ref="AA10:AA11"/>
    <mergeCell ref="AA12:AA13"/>
    <mergeCell ref="H13:I13"/>
    <mergeCell ref="J13:K13"/>
    <mergeCell ref="M7:N7"/>
    <mergeCell ref="O7:P7"/>
    <mergeCell ref="A8:C8"/>
    <mergeCell ref="D8:G8"/>
    <mergeCell ref="A733:B733"/>
    <mergeCell ref="C733:D733"/>
    <mergeCell ref="E733:F733"/>
    <mergeCell ref="A732:B732"/>
    <mergeCell ref="C732:D732"/>
    <mergeCell ref="E732:F732"/>
    <mergeCell ref="C730:D730"/>
    <mergeCell ref="C728:D728"/>
    <mergeCell ref="G728:H728"/>
    <mergeCell ref="C727:D727"/>
    <mergeCell ref="G727:H727"/>
    <mergeCell ref="C725:D725"/>
    <mergeCell ref="AA14:AA15"/>
    <mergeCell ref="H15:I15"/>
    <mergeCell ref="J15:K15"/>
    <mergeCell ref="E16:F16"/>
    <mergeCell ref="H16:I16"/>
    <mergeCell ref="J16:K16"/>
    <mergeCell ref="AA16:AA17"/>
    <mergeCell ref="M17:N17"/>
    <mergeCell ref="E30:F30"/>
    <mergeCell ref="AA30:AA31"/>
    <mergeCell ref="C26:D26"/>
    <mergeCell ref="C25:D25"/>
    <mergeCell ref="E18:F18"/>
    <mergeCell ref="E19:F19"/>
    <mergeCell ref="E20:F20"/>
    <mergeCell ref="I18:J18"/>
    <mergeCell ref="I19:J19"/>
    <mergeCell ref="I20:J20"/>
    <mergeCell ref="I21:J21"/>
    <mergeCell ref="K18:L18"/>
    <mergeCell ref="I8:K8"/>
    <mergeCell ref="L8:N8"/>
    <mergeCell ref="C17:D17"/>
    <mergeCell ref="G17:H17"/>
    <mergeCell ref="I17:J17"/>
    <mergeCell ref="K17:L17"/>
    <mergeCell ref="E15:F15"/>
    <mergeCell ref="E14:F14"/>
    <mergeCell ref="H14:I14"/>
    <mergeCell ref="J14:K14"/>
    <mergeCell ref="E13:F13"/>
    <mergeCell ref="A12:B12"/>
    <mergeCell ref="A11:B11"/>
    <mergeCell ref="D7:H7"/>
    <mergeCell ref="E17:F17"/>
    <mergeCell ref="Z18:Z31"/>
    <mergeCell ref="AA18:AA19"/>
    <mergeCell ref="AA20:AA21"/>
    <mergeCell ref="AA22:AA23"/>
    <mergeCell ref="AA24:AA25"/>
    <mergeCell ref="AA26:AA27"/>
    <mergeCell ref="M28:N28"/>
    <mergeCell ref="C28:D28"/>
    <mergeCell ref="E28:F28"/>
    <mergeCell ref="I28:K28"/>
    <mergeCell ref="C20:D20"/>
    <mergeCell ref="C19:D19"/>
    <mergeCell ref="C18:D18"/>
    <mergeCell ref="AA28:AA29"/>
    <mergeCell ref="C29:D29"/>
    <mergeCell ref="E29:F29"/>
    <mergeCell ref="C30:D30"/>
    <mergeCell ref="E71:I71"/>
    <mergeCell ref="M39:N39"/>
    <mergeCell ref="AA54:AA55"/>
    <mergeCell ref="C55:D55"/>
    <mergeCell ref="AA52:AA53"/>
    <mergeCell ref="C53:D53"/>
    <mergeCell ref="Z50:Z55"/>
    <mergeCell ref="AA50:AA51"/>
    <mergeCell ref="C52:D52"/>
    <mergeCell ref="C51:D51"/>
    <mergeCell ref="C50:D50"/>
    <mergeCell ref="AA48:AA49"/>
    <mergeCell ref="M49:N49"/>
    <mergeCell ref="AA42:AA43"/>
    <mergeCell ref="Z44:Z49"/>
    <mergeCell ref="AA44:AA45"/>
    <mergeCell ref="H45:I45"/>
    <mergeCell ref="I40:K40"/>
    <mergeCell ref="M53:N53"/>
    <mergeCell ref="E55:F55"/>
    <mergeCell ref="G55:H55"/>
    <mergeCell ref="K55:L55"/>
    <mergeCell ref="M55:N55"/>
    <mergeCell ref="E56:F56"/>
    <mergeCell ref="G56:H56"/>
    <mergeCell ref="K56:L56"/>
    <mergeCell ref="M56:N56"/>
    <mergeCell ref="E57:F57"/>
    <mergeCell ref="G57:H57"/>
    <mergeCell ref="K57:L57"/>
    <mergeCell ref="M57:N57"/>
    <mergeCell ref="E58:F58"/>
    <mergeCell ref="AA60:AA61"/>
    <mergeCell ref="A61:B61"/>
    <mergeCell ref="C61:D61"/>
    <mergeCell ref="E61:F61"/>
    <mergeCell ref="O39:P39"/>
    <mergeCell ref="A40:C40"/>
    <mergeCell ref="D40:G40"/>
    <mergeCell ref="L40:N40"/>
    <mergeCell ref="O40:P40"/>
    <mergeCell ref="AA40:AA41"/>
    <mergeCell ref="A41:B41"/>
    <mergeCell ref="Z32:Z43"/>
    <mergeCell ref="AA32:AA33"/>
    <mergeCell ref="A33:N33"/>
    <mergeCell ref="AA34:AA35"/>
    <mergeCell ref="AA36:AA37"/>
    <mergeCell ref="C37:L37"/>
    <mergeCell ref="AA38:AA39"/>
    <mergeCell ref="A39:C39"/>
    <mergeCell ref="A44:B44"/>
    <mergeCell ref="A43:B43"/>
    <mergeCell ref="A42:B42"/>
    <mergeCell ref="A32:N32"/>
    <mergeCell ref="G58:H58"/>
    <mergeCell ref="K58:L58"/>
    <mergeCell ref="E60:F60"/>
    <mergeCell ref="I60:K60"/>
    <mergeCell ref="M60:N60"/>
    <mergeCell ref="Z56:Z67"/>
    <mergeCell ref="AA56:AA57"/>
    <mergeCell ref="C57:D57"/>
    <mergeCell ref="C58:D58"/>
    <mergeCell ref="C56:D56"/>
    <mergeCell ref="I56:J56"/>
    <mergeCell ref="I57:J57"/>
    <mergeCell ref="I58:J58"/>
    <mergeCell ref="AA46:AA47"/>
    <mergeCell ref="C49:D49"/>
    <mergeCell ref="E49:F49"/>
    <mergeCell ref="G49:H49"/>
    <mergeCell ref="I49:J49"/>
    <mergeCell ref="K49:L49"/>
    <mergeCell ref="E46:F46"/>
    <mergeCell ref="M58:N58"/>
    <mergeCell ref="G53:H53"/>
    <mergeCell ref="I53:J53"/>
    <mergeCell ref="K53:L53"/>
    <mergeCell ref="I55:J55"/>
    <mergeCell ref="E51:F51"/>
    <mergeCell ref="E52:F52"/>
    <mergeCell ref="E53:F53"/>
    <mergeCell ref="AA72:AA73"/>
    <mergeCell ref="AA74:AA75"/>
    <mergeCell ref="AA76:AA77"/>
    <mergeCell ref="H77:I77"/>
    <mergeCell ref="J77:K77"/>
    <mergeCell ref="AA64:AA65"/>
    <mergeCell ref="A65:N65"/>
    <mergeCell ref="AA66:AA67"/>
    <mergeCell ref="Z68:Z77"/>
    <mergeCell ref="AA68:AA69"/>
    <mergeCell ref="C69:L69"/>
    <mergeCell ref="AA70:AA71"/>
    <mergeCell ref="A71:C71"/>
    <mergeCell ref="E39:I39"/>
    <mergeCell ref="M71:N71"/>
    <mergeCell ref="E77:F77"/>
    <mergeCell ref="A76:B76"/>
    <mergeCell ref="A75:B75"/>
    <mergeCell ref="A74:B74"/>
    <mergeCell ref="A73:B73"/>
    <mergeCell ref="A72:C72"/>
    <mergeCell ref="D72:G72"/>
    <mergeCell ref="A64:N64"/>
    <mergeCell ref="I72:K72"/>
    <mergeCell ref="L72:N72"/>
    <mergeCell ref="A62:B62"/>
    <mergeCell ref="C62:D62"/>
    <mergeCell ref="E62:F62"/>
    <mergeCell ref="AA62:AA63"/>
    <mergeCell ref="AA58:AA59"/>
    <mergeCell ref="A60:B60"/>
    <mergeCell ref="C60:D60"/>
    <mergeCell ref="AA82:AA83"/>
    <mergeCell ref="C83:D83"/>
    <mergeCell ref="E78:F78"/>
    <mergeCell ref="H78:I78"/>
    <mergeCell ref="J78:K78"/>
    <mergeCell ref="Z78:Z87"/>
    <mergeCell ref="AA78:AA79"/>
    <mergeCell ref="H79:I79"/>
    <mergeCell ref="J79:K79"/>
    <mergeCell ref="H80:I80"/>
    <mergeCell ref="J80:K80"/>
    <mergeCell ref="AA80:AA81"/>
    <mergeCell ref="C81:D81"/>
    <mergeCell ref="E81:F81"/>
    <mergeCell ref="G81:H81"/>
    <mergeCell ref="I81:J81"/>
    <mergeCell ref="K81:L81"/>
    <mergeCell ref="E80:F80"/>
    <mergeCell ref="E79:F79"/>
    <mergeCell ref="AA86:AA87"/>
    <mergeCell ref="C87:D87"/>
    <mergeCell ref="AA84:AA85"/>
    <mergeCell ref="C82:D82"/>
    <mergeCell ref="C85:D85"/>
    <mergeCell ref="C84:D84"/>
    <mergeCell ref="M81:N81"/>
    <mergeCell ref="E87:F87"/>
    <mergeCell ref="E83:F83"/>
    <mergeCell ref="E84:F84"/>
    <mergeCell ref="E85:F85"/>
    <mergeCell ref="G82:H82"/>
    <mergeCell ref="G83:H83"/>
    <mergeCell ref="AA90:AA91"/>
    <mergeCell ref="A92:B92"/>
    <mergeCell ref="C92:D92"/>
    <mergeCell ref="E92:F92"/>
    <mergeCell ref="I92:K92"/>
    <mergeCell ref="M92:N92"/>
    <mergeCell ref="AA92:AA93"/>
    <mergeCell ref="A93:B93"/>
    <mergeCell ref="C93:D93"/>
    <mergeCell ref="Z88:Z97"/>
    <mergeCell ref="AA88:AA89"/>
    <mergeCell ref="C89:D89"/>
    <mergeCell ref="C90:D90"/>
    <mergeCell ref="C88:D88"/>
    <mergeCell ref="O104:P104"/>
    <mergeCell ref="Z104:Z107"/>
    <mergeCell ref="AA104:AA105"/>
    <mergeCell ref="AA106:AA107"/>
    <mergeCell ref="Z100:Z103"/>
    <mergeCell ref="AA100:AA101"/>
    <mergeCell ref="C101:L101"/>
    <mergeCell ref="AA102:AA103"/>
    <mergeCell ref="A103:C103"/>
    <mergeCell ref="D103:H103"/>
    <mergeCell ref="M103:N103"/>
    <mergeCell ref="O103:P103"/>
    <mergeCell ref="AA94:AA95"/>
    <mergeCell ref="A96:N96"/>
    <mergeCell ref="AA96:AA97"/>
    <mergeCell ref="A97:N97"/>
    <mergeCell ref="Z98:Z99"/>
    <mergeCell ref="AA98:AA99"/>
    <mergeCell ref="Z112:Z115"/>
    <mergeCell ref="AA112:AA113"/>
    <mergeCell ref="M113:N113"/>
    <mergeCell ref="C114:D114"/>
    <mergeCell ref="AA114:AA115"/>
    <mergeCell ref="Z108:Z111"/>
    <mergeCell ref="AA108:AA109"/>
    <mergeCell ref="E109:F109"/>
    <mergeCell ref="H109:I109"/>
    <mergeCell ref="J109:K109"/>
    <mergeCell ref="H110:I110"/>
    <mergeCell ref="J110:K110"/>
    <mergeCell ref="AA110:AA111"/>
    <mergeCell ref="H111:I111"/>
    <mergeCell ref="J111:K111"/>
    <mergeCell ref="C113:D113"/>
    <mergeCell ref="E113:F113"/>
    <mergeCell ref="G113:H113"/>
    <mergeCell ref="I113:J113"/>
    <mergeCell ref="K113:L113"/>
    <mergeCell ref="E112:F112"/>
    <mergeCell ref="H112:I112"/>
    <mergeCell ref="J112:K112"/>
    <mergeCell ref="E111:F111"/>
    <mergeCell ref="E110:F110"/>
    <mergeCell ref="E114:F114"/>
    <mergeCell ref="E115:F115"/>
    <mergeCell ref="M114:N114"/>
    <mergeCell ref="M115:N115"/>
    <mergeCell ref="I114:J114"/>
    <mergeCell ref="I115:J115"/>
    <mergeCell ref="G114:H114"/>
    <mergeCell ref="AA120:AA121"/>
    <mergeCell ref="C121:D121"/>
    <mergeCell ref="A125:B125"/>
    <mergeCell ref="C125:D125"/>
    <mergeCell ref="E125:F125"/>
    <mergeCell ref="A126:B126"/>
    <mergeCell ref="C122:D122"/>
    <mergeCell ref="C146:D146"/>
    <mergeCell ref="C145:D145"/>
    <mergeCell ref="E145:F145"/>
    <mergeCell ref="G145:H145"/>
    <mergeCell ref="I145:J145"/>
    <mergeCell ref="K145:L145"/>
    <mergeCell ref="M145:N145"/>
    <mergeCell ref="O135:P135"/>
    <mergeCell ref="A136:C136"/>
    <mergeCell ref="D136:G136"/>
    <mergeCell ref="I136:K136"/>
    <mergeCell ref="L136:N136"/>
    <mergeCell ref="A140:B140"/>
    <mergeCell ref="E144:F144"/>
    <mergeCell ref="C120:D120"/>
    <mergeCell ref="Z116:Z121"/>
    <mergeCell ref="AA116:AA117"/>
    <mergeCell ref="C117:D117"/>
    <mergeCell ref="AA118:AA119"/>
    <mergeCell ref="C119:D119"/>
    <mergeCell ref="C116:D116"/>
    <mergeCell ref="H144:I144"/>
    <mergeCell ref="J144:K144"/>
    <mergeCell ref="E143:F143"/>
    <mergeCell ref="H143:I143"/>
    <mergeCell ref="Z122:Z123"/>
    <mergeCell ref="AA122:AA123"/>
    <mergeCell ref="A124:B124"/>
    <mergeCell ref="C124:D124"/>
    <mergeCell ref="E124:F124"/>
    <mergeCell ref="I124:K124"/>
    <mergeCell ref="M124:N124"/>
    <mergeCell ref="J143:K143"/>
    <mergeCell ref="E142:F142"/>
    <mergeCell ref="E122:F122"/>
    <mergeCell ref="M122:N122"/>
    <mergeCell ref="K122:L122"/>
    <mergeCell ref="I122:J122"/>
    <mergeCell ref="G122:H122"/>
    <mergeCell ref="E141:F141"/>
    <mergeCell ref="A129:N129"/>
    <mergeCell ref="C133:L133"/>
    <mergeCell ref="A135:C135"/>
    <mergeCell ref="D135:H135"/>
    <mergeCell ref="M135:N135"/>
    <mergeCell ref="H141:I141"/>
    <mergeCell ref="J141:K141"/>
    <mergeCell ref="A139:B139"/>
    <mergeCell ref="A138:B138"/>
    <mergeCell ref="A137:B137"/>
    <mergeCell ref="C151:D151"/>
    <mergeCell ref="C149:D149"/>
    <mergeCell ref="C148:D148"/>
    <mergeCell ref="C147:D147"/>
    <mergeCell ref="K148:L148"/>
    <mergeCell ref="K149:L149"/>
    <mergeCell ref="I148:J148"/>
    <mergeCell ref="E146:F146"/>
    <mergeCell ref="E148:F148"/>
    <mergeCell ref="K146:L146"/>
    <mergeCell ref="K147:L147"/>
    <mergeCell ref="G146:H146"/>
    <mergeCell ref="G147:H147"/>
    <mergeCell ref="G148:H148"/>
    <mergeCell ref="G149:H149"/>
    <mergeCell ref="I146:J146"/>
    <mergeCell ref="I147:J147"/>
    <mergeCell ref="M156:N156"/>
    <mergeCell ref="C153:D153"/>
    <mergeCell ref="C154:D154"/>
    <mergeCell ref="C152:D152"/>
    <mergeCell ref="H142:I142"/>
    <mergeCell ref="J142:K142"/>
    <mergeCell ref="M152:N152"/>
    <mergeCell ref="K151:L151"/>
    <mergeCell ref="I152:J152"/>
    <mergeCell ref="I153:J153"/>
    <mergeCell ref="I154:J154"/>
    <mergeCell ref="M153:N153"/>
    <mergeCell ref="M154:N154"/>
    <mergeCell ref="I151:J151"/>
    <mergeCell ref="K152:L152"/>
    <mergeCell ref="M151:N151"/>
    <mergeCell ref="M146:N146"/>
    <mergeCell ref="M147:N147"/>
    <mergeCell ref="M148:N148"/>
    <mergeCell ref="M149:N149"/>
    <mergeCell ref="E151:F151"/>
    <mergeCell ref="E152:F152"/>
    <mergeCell ref="E153:F153"/>
    <mergeCell ref="E154:F154"/>
    <mergeCell ref="G151:H151"/>
    <mergeCell ref="G152:H152"/>
    <mergeCell ref="G153:H153"/>
    <mergeCell ref="G154:H154"/>
    <mergeCell ref="I149:J149"/>
    <mergeCell ref="K153:L153"/>
    <mergeCell ref="E149:F149"/>
    <mergeCell ref="E147:F147"/>
    <mergeCell ref="M177:N177"/>
    <mergeCell ref="C178:D178"/>
    <mergeCell ref="C186:D186"/>
    <mergeCell ref="C184:D184"/>
    <mergeCell ref="C181:D181"/>
    <mergeCell ref="C185:D185"/>
    <mergeCell ref="C183:D183"/>
    <mergeCell ref="C177:D177"/>
    <mergeCell ref="E177:F177"/>
    <mergeCell ref="G177:H177"/>
    <mergeCell ref="I177:J177"/>
    <mergeCell ref="K177:L177"/>
    <mergeCell ref="E176:F176"/>
    <mergeCell ref="H176:I176"/>
    <mergeCell ref="J176:K176"/>
    <mergeCell ref="O167:P167"/>
    <mergeCell ref="A168:C168"/>
    <mergeCell ref="D168:G168"/>
    <mergeCell ref="I168:K168"/>
    <mergeCell ref="L168:N168"/>
    <mergeCell ref="A171:B171"/>
    <mergeCell ref="K178:L178"/>
    <mergeCell ref="K179:L179"/>
    <mergeCell ref="M185:N185"/>
    <mergeCell ref="K186:L186"/>
    <mergeCell ref="M186:N186"/>
    <mergeCell ref="I185:J185"/>
    <mergeCell ref="I186:J186"/>
    <mergeCell ref="G179:H179"/>
    <mergeCell ref="G180:H180"/>
    <mergeCell ref="E178:F178"/>
    <mergeCell ref="M167:N167"/>
    <mergeCell ref="A190:B190"/>
    <mergeCell ref="C190:D190"/>
    <mergeCell ref="E190:F190"/>
    <mergeCell ref="A192:N192"/>
    <mergeCell ref="A193:N193"/>
    <mergeCell ref="C197:L197"/>
    <mergeCell ref="A188:B188"/>
    <mergeCell ref="C188:D188"/>
    <mergeCell ref="E188:F188"/>
    <mergeCell ref="I188:K188"/>
    <mergeCell ref="M188:N188"/>
    <mergeCell ref="A189:B189"/>
    <mergeCell ref="C189:D189"/>
    <mergeCell ref="E189:F189"/>
    <mergeCell ref="A199:C199"/>
    <mergeCell ref="D199:H199"/>
    <mergeCell ref="C180:D180"/>
    <mergeCell ref="K180:L180"/>
    <mergeCell ref="K181:L181"/>
    <mergeCell ref="E183:F183"/>
    <mergeCell ref="E184:F184"/>
    <mergeCell ref="E185:F185"/>
    <mergeCell ref="E186:F186"/>
    <mergeCell ref="G183:H183"/>
    <mergeCell ref="G184:H184"/>
    <mergeCell ref="G185:H185"/>
    <mergeCell ref="G186:H186"/>
    <mergeCell ref="K183:L183"/>
    <mergeCell ref="M183:N183"/>
    <mergeCell ref="K184:L184"/>
    <mergeCell ref="M184:N184"/>
    <mergeCell ref="K185:L185"/>
    <mergeCell ref="A202:B202"/>
    <mergeCell ref="H205:I205"/>
    <mergeCell ref="J205:K205"/>
    <mergeCell ref="H206:I206"/>
    <mergeCell ref="J206:K206"/>
    <mergeCell ref="E207:F207"/>
    <mergeCell ref="H207:I207"/>
    <mergeCell ref="J207:K207"/>
    <mergeCell ref="M199:N199"/>
    <mergeCell ref="E206:F206"/>
    <mergeCell ref="E205:F205"/>
    <mergeCell ref="A204:B204"/>
    <mergeCell ref="A203:B203"/>
    <mergeCell ref="A201:B201"/>
    <mergeCell ref="O199:P199"/>
    <mergeCell ref="A200:C200"/>
    <mergeCell ref="D200:G200"/>
    <mergeCell ref="I200:K200"/>
    <mergeCell ref="L200:N200"/>
    <mergeCell ref="C212:D212"/>
    <mergeCell ref="C211:D211"/>
    <mergeCell ref="M209:N209"/>
    <mergeCell ref="C210:D210"/>
    <mergeCell ref="C218:D218"/>
    <mergeCell ref="C216:D216"/>
    <mergeCell ref="C213:D213"/>
    <mergeCell ref="C217:D217"/>
    <mergeCell ref="C215:D215"/>
    <mergeCell ref="E208:F208"/>
    <mergeCell ref="H208:I208"/>
    <mergeCell ref="J208:K208"/>
    <mergeCell ref="C209:D209"/>
    <mergeCell ref="E209:F209"/>
    <mergeCell ref="G209:H209"/>
    <mergeCell ref="I209:J209"/>
    <mergeCell ref="K209:L209"/>
    <mergeCell ref="K210:L210"/>
    <mergeCell ref="K211:L211"/>
    <mergeCell ref="K212:L212"/>
    <mergeCell ref="K213:L213"/>
    <mergeCell ref="K215:L215"/>
    <mergeCell ref="M215:N215"/>
    <mergeCell ref="K216:L216"/>
    <mergeCell ref="M216:N216"/>
    <mergeCell ref="K217:L217"/>
    <mergeCell ref="M217:N217"/>
    <mergeCell ref="K218:L218"/>
    <mergeCell ref="M218:N218"/>
    <mergeCell ref="I215:J215"/>
    <mergeCell ref="I216:J216"/>
    <mergeCell ref="I217:J217"/>
    <mergeCell ref="O231:P231"/>
    <mergeCell ref="A232:C232"/>
    <mergeCell ref="D232:G232"/>
    <mergeCell ref="I232:K232"/>
    <mergeCell ref="L232:N232"/>
    <mergeCell ref="A222:B222"/>
    <mergeCell ref="C222:D222"/>
    <mergeCell ref="E222:F222"/>
    <mergeCell ref="A224:N224"/>
    <mergeCell ref="A225:N225"/>
    <mergeCell ref="C229:L229"/>
    <mergeCell ref="A220:B220"/>
    <mergeCell ref="C220:D220"/>
    <mergeCell ref="E220:F220"/>
    <mergeCell ref="I220:K220"/>
    <mergeCell ref="M220:N220"/>
    <mergeCell ref="A221:B221"/>
    <mergeCell ref="C221:D221"/>
    <mergeCell ref="E221:F221"/>
    <mergeCell ref="A231:C231"/>
    <mergeCell ref="D231:H231"/>
    <mergeCell ref="A233:B233"/>
    <mergeCell ref="H237:I237"/>
    <mergeCell ref="J237:K237"/>
    <mergeCell ref="E238:F238"/>
    <mergeCell ref="H238:I238"/>
    <mergeCell ref="J238:K238"/>
    <mergeCell ref="A234:B234"/>
    <mergeCell ref="C244:D244"/>
    <mergeCell ref="C243:D243"/>
    <mergeCell ref="C242:D242"/>
    <mergeCell ref="E237:F237"/>
    <mergeCell ref="A236:B236"/>
    <mergeCell ref="A235:B235"/>
    <mergeCell ref="C241:D241"/>
    <mergeCell ref="E241:F241"/>
    <mergeCell ref="G241:H241"/>
    <mergeCell ref="I241:J241"/>
    <mergeCell ref="E242:F242"/>
    <mergeCell ref="G242:H242"/>
    <mergeCell ref="I242:J242"/>
    <mergeCell ref="E243:F243"/>
    <mergeCell ref="G243:H243"/>
    <mergeCell ref="I243:J243"/>
    <mergeCell ref="G244:H244"/>
    <mergeCell ref="I244:J244"/>
    <mergeCell ref="K242:L242"/>
    <mergeCell ref="K244:L244"/>
    <mergeCell ref="J240:K240"/>
    <mergeCell ref="E240:F240"/>
    <mergeCell ref="H240:I240"/>
    <mergeCell ref="K241:L241"/>
    <mergeCell ref="O263:P263"/>
    <mergeCell ref="A264:C264"/>
    <mergeCell ref="D264:G264"/>
    <mergeCell ref="I264:K264"/>
    <mergeCell ref="L264:N264"/>
    <mergeCell ref="A254:B254"/>
    <mergeCell ref="C254:D254"/>
    <mergeCell ref="E254:F254"/>
    <mergeCell ref="A256:N256"/>
    <mergeCell ref="A257:N257"/>
    <mergeCell ref="C261:L261"/>
    <mergeCell ref="A252:B252"/>
    <mergeCell ref="C252:D252"/>
    <mergeCell ref="E252:F252"/>
    <mergeCell ref="I252:K252"/>
    <mergeCell ref="M252:N252"/>
    <mergeCell ref="A253:B253"/>
    <mergeCell ref="C253:D253"/>
    <mergeCell ref="E253:F253"/>
    <mergeCell ref="C277:D277"/>
    <mergeCell ref="E277:F277"/>
    <mergeCell ref="I277:J277"/>
    <mergeCell ref="M277:N277"/>
    <mergeCell ref="C275:D275"/>
    <mergeCell ref="E275:F275"/>
    <mergeCell ref="G275:H275"/>
    <mergeCell ref="I275:J275"/>
    <mergeCell ref="M275:N275"/>
    <mergeCell ref="C274:D274"/>
    <mergeCell ref="E274:F274"/>
    <mergeCell ref="G274:H274"/>
    <mergeCell ref="I274:J274"/>
    <mergeCell ref="C276:D276"/>
    <mergeCell ref="E276:F276"/>
    <mergeCell ref="I276:J276"/>
    <mergeCell ref="K274:L274"/>
    <mergeCell ref="G277:H277"/>
    <mergeCell ref="K277:L277"/>
    <mergeCell ref="M274:N274"/>
    <mergeCell ref="K275:L275"/>
    <mergeCell ref="G276:H276"/>
    <mergeCell ref="K276:L276"/>
    <mergeCell ref="O295:P295"/>
    <mergeCell ref="A296:C296"/>
    <mergeCell ref="D296:G296"/>
    <mergeCell ref="I296:K296"/>
    <mergeCell ref="L296:N296"/>
    <mergeCell ref="A286:B286"/>
    <mergeCell ref="C286:D286"/>
    <mergeCell ref="E286:F286"/>
    <mergeCell ref="A288:N288"/>
    <mergeCell ref="A289:N289"/>
    <mergeCell ref="C293:L293"/>
    <mergeCell ref="A284:B284"/>
    <mergeCell ref="C284:D284"/>
    <mergeCell ref="E284:F284"/>
    <mergeCell ref="I284:K284"/>
    <mergeCell ref="M284:N284"/>
    <mergeCell ref="A285:B285"/>
    <mergeCell ref="C285:D285"/>
    <mergeCell ref="E285:F285"/>
    <mergeCell ref="A300:B300"/>
    <mergeCell ref="E301:F301"/>
    <mergeCell ref="H301:I301"/>
    <mergeCell ref="J301:K301"/>
    <mergeCell ref="E302:F302"/>
    <mergeCell ref="H302:I302"/>
    <mergeCell ref="J302:K302"/>
    <mergeCell ref="C308:D308"/>
    <mergeCell ref="C306:D306"/>
    <mergeCell ref="I305:J305"/>
    <mergeCell ref="K305:L305"/>
    <mergeCell ref="C307:D307"/>
    <mergeCell ref="E306:F306"/>
    <mergeCell ref="G306:H306"/>
    <mergeCell ref="I306:J306"/>
    <mergeCell ref="E308:F308"/>
    <mergeCell ref="M295:N295"/>
    <mergeCell ref="J304:K304"/>
    <mergeCell ref="M306:N306"/>
    <mergeCell ref="E307:F307"/>
    <mergeCell ref="G307:H307"/>
    <mergeCell ref="I307:J307"/>
    <mergeCell ref="M307:N307"/>
    <mergeCell ref="G308:H308"/>
    <mergeCell ref="I308:J308"/>
    <mergeCell ref="M308:N308"/>
    <mergeCell ref="A318:B318"/>
    <mergeCell ref="C318:D318"/>
    <mergeCell ref="E318:F318"/>
    <mergeCell ref="A320:N320"/>
    <mergeCell ref="A321:N321"/>
    <mergeCell ref="C325:L325"/>
    <mergeCell ref="A316:B316"/>
    <mergeCell ref="C316:D316"/>
    <mergeCell ref="E316:F316"/>
    <mergeCell ref="I316:K316"/>
    <mergeCell ref="M316:N316"/>
    <mergeCell ref="A317:B317"/>
    <mergeCell ref="C317:D317"/>
    <mergeCell ref="E317:F317"/>
    <mergeCell ref="A327:C327"/>
    <mergeCell ref="D327:H327"/>
    <mergeCell ref="M305:N305"/>
    <mergeCell ref="C309:D309"/>
    <mergeCell ref="M327:N327"/>
    <mergeCell ref="C314:D314"/>
    <mergeCell ref="E314:F314"/>
    <mergeCell ref="I314:J314"/>
    <mergeCell ref="C313:D313"/>
    <mergeCell ref="C312:D312"/>
    <mergeCell ref="K306:L306"/>
    <mergeCell ref="K307:L307"/>
    <mergeCell ref="K308:L308"/>
    <mergeCell ref="K309:L309"/>
    <mergeCell ref="K311:L311"/>
    <mergeCell ref="M311:N311"/>
    <mergeCell ref="K312:L312"/>
    <mergeCell ref="M312:N312"/>
    <mergeCell ref="O327:P327"/>
    <mergeCell ref="A328:C328"/>
    <mergeCell ref="D328:G328"/>
    <mergeCell ref="I328:K328"/>
    <mergeCell ref="L328:N328"/>
    <mergeCell ref="C337:D337"/>
    <mergeCell ref="E337:F337"/>
    <mergeCell ref="K337:L337"/>
    <mergeCell ref="M337:N337"/>
    <mergeCell ref="E335:F335"/>
    <mergeCell ref="H335:I335"/>
    <mergeCell ref="J335:K335"/>
    <mergeCell ref="E336:F336"/>
    <mergeCell ref="H336:I336"/>
    <mergeCell ref="J336:K336"/>
    <mergeCell ref="A331:B331"/>
    <mergeCell ref="A332:B332"/>
    <mergeCell ref="E333:F333"/>
    <mergeCell ref="H333:I333"/>
    <mergeCell ref="J333:K333"/>
    <mergeCell ref="G337:H337"/>
    <mergeCell ref="I337:J337"/>
    <mergeCell ref="A330:B330"/>
    <mergeCell ref="A329:B329"/>
    <mergeCell ref="E334:F334"/>
    <mergeCell ref="H334:I334"/>
    <mergeCell ref="J334:K334"/>
    <mergeCell ref="O359:P359"/>
    <mergeCell ref="A360:C360"/>
    <mergeCell ref="D360:G360"/>
    <mergeCell ref="I360:K360"/>
    <mergeCell ref="L360:N360"/>
    <mergeCell ref="A362:B362"/>
    <mergeCell ref="E350:F350"/>
    <mergeCell ref="A352:N352"/>
    <mergeCell ref="A353:N353"/>
    <mergeCell ref="C357:L357"/>
    <mergeCell ref="A359:C359"/>
    <mergeCell ref="D359:H359"/>
    <mergeCell ref="M359:N359"/>
    <mergeCell ref="A348:B348"/>
    <mergeCell ref="C348:D348"/>
    <mergeCell ref="E348:F348"/>
    <mergeCell ref="I348:K348"/>
    <mergeCell ref="M348:N348"/>
    <mergeCell ref="A349:B349"/>
    <mergeCell ref="C349:D349"/>
    <mergeCell ref="E349:F349"/>
    <mergeCell ref="A361:B361"/>
    <mergeCell ref="A350:B350"/>
    <mergeCell ref="C350:D350"/>
    <mergeCell ref="A394:B394"/>
    <mergeCell ref="A395:B395"/>
    <mergeCell ref="A396:B396"/>
    <mergeCell ref="E397:F397"/>
    <mergeCell ref="H397:I397"/>
    <mergeCell ref="J397:K397"/>
    <mergeCell ref="I380:K380"/>
    <mergeCell ref="A381:B381"/>
    <mergeCell ref="C381:D381"/>
    <mergeCell ref="E381:F381"/>
    <mergeCell ref="E375:F375"/>
    <mergeCell ref="E376:F376"/>
    <mergeCell ref="E377:F377"/>
    <mergeCell ref="E378:F378"/>
    <mergeCell ref="G376:H376"/>
    <mergeCell ref="G377:H377"/>
    <mergeCell ref="I375:J375"/>
    <mergeCell ref="K375:L375"/>
    <mergeCell ref="I376:J376"/>
    <mergeCell ref="K376:L376"/>
    <mergeCell ref="I377:J377"/>
    <mergeCell ref="K377:L377"/>
    <mergeCell ref="A380:B380"/>
    <mergeCell ref="C380:D380"/>
    <mergeCell ref="E380:F380"/>
    <mergeCell ref="G375:H375"/>
    <mergeCell ref="G378:H378"/>
    <mergeCell ref="C389:L389"/>
    <mergeCell ref="O391:P391"/>
    <mergeCell ref="A392:C392"/>
    <mergeCell ref="D392:G392"/>
    <mergeCell ref="I392:K392"/>
    <mergeCell ref="L392:N392"/>
    <mergeCell ref="A393:B393"/>
    <mergeCell ref="A391:C391"/>
    <mergeCell ref="D391:H391"/>
    <mergeCell ref="M391:N391"/>
    <mergeCell ref="C407:D407"/>
    <mergeCell ref="C405:D405"/>
    <mergeCell ref="C404:D404"/>
    <mergeCell ref="C403:D403"/>
    <mergeCell ref="C410:D410"/>
    <mergeCell ref="C409:D409"/>
    <mergeCell ref="C408:D408"/>
    <mergeCell ref="E401:F401"/>
    <mergeCell ref="I401:J401"/>
    <mergeCell ref="K401:L401"/>
    <mergeCell ref="M401:N401"/>
    <mergeCell ref="C402:D402"/>
    <mergeCell ref="E398:F398"/>
    <mergeCell ref="H398:I398"/>
    <mergeCell ref="J398:K398"/>
    <mergeCell ref="E399:F399"/>
    <mergeCell ref="H399:I399"/>
    <mergeCell ref="J399:K399"/>
    <mergeCell ref="K402:L402"/>
    <mergeCell ref="K403:L403"/>
    <mergeCell ref="K404:L404"/>
    <mergeCell ref="K405:L405"/>
    <mergeCell ref="G401:H401"/>
    <mergeCell ref="A425:B425"/>
    <mergeCell ref="A426:B426"/>
    <mergeCell ref="A427:B427"/>
    <mergeCell ref="A428:B428"/>
    <mergeCell ref="E429:F429"/>
    <mergeCell ref="H429:I429"/>
    <mergeCell ref="M423:N423"/>
    <mergeCell ref="O423:P423"/>
    <mergeCell ref="A424:C424"/>
    <mergeCell ref="D424:G424"/>
    <mergeCell ref="I424:K424"/>
    <mergeCell ref="L424:N424"/>
    <mergeCell ref="E412:F412"/>
    <mergeCell ref="M412:N412"/>
    <mergeCell ref="A413:B413"/>
    <mergeCell ref="C413:D413"/>
    <mergeCell ref="E413:F413"/>
    <mergeCell ref="A416:N416"/>
    <mergeCell ref="A423:C423"/>
    <mergeCell ref="D423:H423"/>
    <mergeCell ref="C421:L421"/>
    <mergeCell ref="A417:N417"/>
    <mergeCell ref="I412:K412"/>
    <mergeCell ref="A414:B414"/>
    <mergeCell ref="C414:D414"/>
    <mergeCell ref="E414:F414"/>
    <mergeCell ref="A412:B412"/>
    <mergeCell ref="C412:D412"/>
    <mergeCell ref="C434:D434"/>
    <mergeCell ref="J429:K429"/>
    <mergeCell ref="E430:F430"/>
    <mergeCell ref="H430:I430"/>
    <mergeCell ref="J430:K430"/>
    <mergeCell ref="E431:F431"/>
    <mergeCell ref="H431:I431"/>
    <mergeCell ref="J431:K431"/>
    <mergeCell ref="C433:D433"/>
    <mergeCell ref="E433:F433"/>
    <mergeCell ref="G433:H433"/>
    <mergeCell ref="I433:J433"/>
    <mergeCell ref="E432:F432"/>
    <mergeCell ref="H432:I432"/>
    <mergeCell ref="J432:K432"/>
    <mergeCell ref="G434:H434"/>
    <mergeCell ref="G435:H435"/>
    <mergeCell ref="K434:L434"/>
    <mergeCell ref="K435:L435"/>
    <mergeCell ref="E434:F434"/>
    <mergeCell ref="I434:J434"/>
    <mergeCell ref="E435:F435"/>
    <mergeCell ref="I435:J435"/>
    <mergeCell ref="A457:B457"/>
    <mergeCell ref="A458:B458"/>
    <mergeCell ref="A459:B459"/>
    <mergeCell ref="A460:B460"/>
    <mergeCell ref="E461:F461"/>
    <mergeCell ref="H461:I461"/>
    <mergeCell ref="A455:C455"/>
    <mergeCell ref="D455:H455"/>
    <mergeCell ref="M455:N455"/>
    <mergeCell ref="O455:P455"/>
    <mergeCell ref="A456:C456"/>
    <mergeCell ref="D456:G456"/>
    <mergeCell ref="I456:K456"/>
    <mergeCell ref="L456:N456"/>
    <mergeCell ref="E444:F444"/>
    <mergeCell ref="I444:K444"/>
    <mergeCell ref="M444:N444"/>
    <mergeCell ref="A448:N448"/>
    <mergeCell ref="A449:N449"/>
    <mergeCell ref="C453:L453"/>
    <mergeCell ref="A446:B446"/>
    <mergeCell ref="C446:D446"/>
    <mergeCell ref="E446:F446"/>
    <mergeCell ref="A445:B445"/>
    <mergeCell ref="C445:D445"/>
    <mergeCell ref="E445:F445"/>
    <mergeCell ref="A444:B444"/>
    <mergeCell ref="C444:D444"/>
    <mergeCell ref="C469:D469"/>
    <mergeCell ref="C474:D474"/>
    <mergeCell ref="C468:D468"/>
    <mergeCell ref="C467:D467"/>
    <mergeCell ref="C473:D473"/>
    <mergeCell ref="C472:D472"/>
    <mergeCell ref="C471:D471"/>
    <mergeCell ref="E465:F465"/>
    <mergeCell ref="G465:H465"/>
    <mergeCell ref="I465:J465"/>
    <mergeCell ref="K465:L465"/>
    <mergeCell ref="M465:N465"/>
    <mergeCell ref="C466:D466"/>
    <mergeCell ref="J461:K461"/>
    <mergeCell ref="E462:F462"/>
    <mergeCell ref="H462:I462"/>
    <mergeCell ref="J462:K462"/>
    <mergeCell ref="E463:F463"/>
    <mergeCell ref="H463:I463"/>
    <mergeCell ref="J463:K463"/>
    <mergeCell ref="E464:F464"/>
    <mergeCell ref="H464:I464"/>
    <mergeCell ref="J464:K464"/>
    <mergeCell ref="C465:D465"/>
    <mergeCell ref="M468:N468"/>
    <mergeCell ref="M469:N469"/>
    <mergeCell ref="M473:N473"/>
    <mergeCell ref="M474:N474"/>
    <mergeCell ref="K474:L474"/>
    <mergeCell ref="I474:J474"/>
    <mergeCell ref="K467:L467"/>
    <mergeCell ref="G471:H471"/>
    <mergeCell ref="A487:C487"/>
    <mergeCell ref="D487:H487"/>
    <mergeCell ref="A489:B489"/>
    <mergeCell ref="A490:B490"/>
    <mergeCell ref="A491:B491"/>
    <mergeCell ref="A492:B492"/>
    <mergeCell ref="E493:F493"/>
    <mergeCell ref="H493:I493"/>
    <mergeCell ref="M487:N487"/>
    <mergeCell ref="O487:P487"/>
    <mergeCell ref="I476:K476"/>
    <mergeCell ref="M476:N476"/>
    <mergeCell ref="A480:N480"/>
    <mergeCell ref="A478:B478"/>
    <mergeCell ref="C478:D478"/>
    <mergeCell ref="E478:F478"/>
    <mergeCell ref="A477:B477"/>
    <mergeCell ref="C477:D477"/>
    <mergeCell ref="E477:F477"/>
    <mergeCell ref="A476:B476"/>
    <mergeCell ref="C476:D476"/>
    <mergeCell ref="E476:F476"/>
    <mergeCell ref="A488:C488"/>
    <mergeCell ref="D488:G488"/>
    <mergeCell ref="I488:K488"/>
    <mergeCell ref="L488:N488"/>
    <mergeCell ref="A481:N481"/>
    <mergeCell ref="C485:L485"/>
    <mergeCell ref="C501:D501"/>
    <mergeCell ref="H496:I496"/>
    <mergeCell ref="J496:K496"/>
    <mergeCell ref="C497:D497"/>
    <mergeCell ref="E497:F497"/>
    <mergeCell ref="G497:H497"/>
    <mergeCell ref="I497:J497"/>
    <mergeCell ref="K497:L497"/>
    <mergeCell ref="J493:K493"/>
    <mergeCell ref="E494:F494"/>
    <mergeCell ref="H494:I494"/>
    <mergeCell ref="J494:K494"/>
    <mergeCell ref="E495:F495"/>
    <mergeCell ref="H495:I495"/>
    <mergeCell ref="J495:K495"/>
    <mergeCell ref="E496:F496"/>
    <mergeCell ref="C500:D500"/>
    <mergeCell ref="C499:D499"/>
    <mergeCell ref="C498:D498"/>
    <mergeCell ref="I498:J498"/>
    <mergeCell ref="I499:J499"/>
    <mergeCell ref="I500:J500"/>
    <mergeCell ref="I501:J501"/>
    <mergeCell ref="K500:L500"/>
    <mergeCell ref="E499:F499"/>
    <mergeCell ref="K499:L499"/>
    <mergeCell ref="G499:H499"/>
    <mergeCell ref="E500:F500"/>
    <mergeCell ref="E501:F501"/>
    <mergeCell ref="K501:L501"/>
    <mergeCell ref="K498:L498"/>
    <mergeCell ref="O519:P519"/>
    <mergeCell ref="A520:C520"/>
    <mergeCell ref="D520:G520"/>
    <mergeCell ref="I520:K520"/>
    <mergeCell ref="L520:N520"/>
    <mergeCell ref="A510:B510"/>
    <mergeCell ref="C510:D510"/>
    <mergeCell ref="E510:F510"/>
    <mergeCell ref="A509:B509"/>
    <mergeCell ref="C509:D509"/>
    <mergeCell ref="E509:F509"/>
    <mergeCell ref="A508:B508"/>
    <mergeCell ref="C508:D508"/>
    <mergeCell ref="E508:F508"/>
    <mergeCell ref="I508:K508"/>
    <mergeCell ref="K503:L503"/>
    <mergeCell ref="M503:N503"/>
    <mergeCell ref="K504:L504"/>
    <mergeCell ref="M504:N504"/>
    <mergeCell ref="K505:L505"/>
    <mergeCell ref="G505:H505"/>
    <mergeCell ref="I506:J506"/>
    <mergeCell ref="E503:F503"/>
    <mergeCell ref="I503:J503"/>
    <mergeCell ref="M508:N508"/>
    <mergeCell ref="A512:N512"/>
    <mergeCell ref="A513:N513"/>
    <mergeCell ref="C517:L517"/>
    <mergeCell ref="A519:C519"/>
    <mergeCell ref="D519:H519"/>
    <mergeCell ref="M519:N519"/>
    <mergeCell ref="A542:B542"/>
    <mergeCell ref="C542:D542"/>
    <mergeCell ref="K538:L538"/>
    <mergeCell ref="C536:D536"/>
    <mergeCell ref="E536:F536"/>
    <mergeCell ref="G536:H536"/>
    <mergeCell ref="G537:H537"/>
    <mergeCell ref="I537:J537"/>
    <mergeCell ref="K536:L536"/>
    <mergeCell ref="M536:N536"/>
    <mergeCell ref="C537:D537"/>
    <mergeCell ref="E537:F537"/>
    <mergeCell ref="K537:L537"/>
    <mergeCell ref="C535:D535"/>
    <mergeCell ref="E535:F535"/>
    <mergeCell ref="I535:J535"/>
    <mergeCell ref="E533:F533"/>
    <mergeCell ref="M529:N529"/>
    <mergeCell ref="G529:H529"/>
    <mergeCell ref="I529:J529"/>
    <mergeCell ref="K529:L529"/>
    <mergeCell ref="M551:N551"/>
    <mergeCell ref="O551:P551"/>
    <mergeCell ref="A552:C552"/>
    <mergeCell ref="D552:G552"/>
    <mergeCell ref="I552:K552"/>
    <mergeCell ref="L552:N552"/>
    <mergeCell ref="J557:K557"/>
    <mergeCell ref="E558:F558"/>
    <mergeCell ref="H558:I558"/>
    <mergeCell ref="J558:K558"/>
    <mergeCell ref="M537:N537"/>
    <mergeCell ref="G538:H538"/>
    <mergeCell ref="I538:J538"/>
    <mergeCell ref="M538:N538"/>
    <mergeCell ref="E538:F538"/>
    <mergeCell ref="E542:F542"/>
    <mergeCell ref="A541:B541"/>
    <mergeCell ref="C541:D541"/>
    <mergeCell ref="E541:F541"/>
    <mergeCell ref="A540:B540"/>
    <mergeCell ref="C540:D540"/>
    <mergeCell ref="E540:F540"/>
    <mergeCell ref="C538:D538"/>
    <mergeCell ref="I540:K540"/>
    <mergeCell ref="M540:N540"/>
    <mergeCell ref="A553:B553"/>
    <mergeCell ref="A554:B554"/>
    <mergeCell ref="A555:B555"/>
    <mergeCell ref="A556:B556"/>
    <mergeCell ref="E557:F557"/>
    <mergeCell ref="M563:N563"/>
    <mergeCell ref="C563:D563"/>
    <mergeCell ref="C562:D562"/>
    <mergeCell ref="I562:J562"/>
    <mergeCell ref="K562:L562"/>
    <mergeCell ref="M562:N562"/>
    <mergeCell ref="C564:D564"/>
    <mergeCell ref="E563:F563"/>
    <mergeCell ref="I565:J565"/>
    <mergeCell ref="K565:L565"/>
    <mergeCell ref="G565:H565"/>
    <mergeCell ref="G567:H567"/>
    <mergeCell ref="E565:F565"/>
    <mergeCell ref="E561:F561"/>
    <mergeCell ref="G561:H561"/>
    <mergeCell ref="I561:J561"/>
    <mergeCell ref="K561:L561"/>
    <mergeCell ref="G563:H563"/>
    <mergeCell ref="C565:D565"/>
    <mergeCell ref="I563:J563"/>
    <mergeCell ref="K563:L563"/>
    <mergeCell ref="K564:L564"/>
    <mergeCell ref="O583:P583"/>
    <mergeCell ref="A584:C584"/>
    <mergeCell ref="D584:G584"/>
    <mergeCell ref="I584:K584"/>
    <mergeCell ref="L584:N584"/>
    <mergeCell ref="I572:K572"/>
    <mergeCell ref="M572:N572"/>
    <mergeCell ref="A574:B574"/>
    <mergeCell ref="C574:D574"/>
    <mergeCell ref="E574:F574"/>
    <mergeCell ref="C570:D570"/>
    <mergeCell ref="C569:D569"/>
    <mergeCell ref="C581:L581"/>
    <mergeCell ref="A583:C583"/>
    <mergeCell ref="D583:H583"/>
    <mergeCell ref="M583:N583"/>
    <mergeCell ref="E591:F591"/>
    <mergeCell ref="H591:I591"/>
    <mergeCell ref="J591:K591"/>
    <mergeCell ref="J589:K589"/>
    <mergeCell ref="E590:F590"/>
    <mergeCell ref="H590:I590"/>
    <mergeCell ref="J590:K590"/>
    <mergeCell ref="A577:N577"/>
    <mergeCell ref="A576:N576"/>
    <mergeCell ref="A573:B573"/>
    <mergeCell ref="C573:D573"/>
    <mergeCell ref="E573:F573"/>
    <mergeCell ref="A572:B572"/>
    <mergeCell ref="C572:D572"/>
    <mergeCell ref="E572:F572"/>
    <mergeCell ref="A585:B585"/>
    <mergeCell ref="M626:N626"/>
    <mergeCell ref="M601:N601"/>
    <mergeCell ref="E602:F602"/>
    <mergeCell ref="K599:L599"/>
    <mergeCell ref="E597:F597"/>
    <mergeCell ref="E605:F605"/>
    <mergeCell ref="A609:N609"/>
    <mergeCell ref="A608:N608"/>
    <mergeCell ref="A618:B618"/>
    <mergeCell ref="A586:B586"/>
    <mergeCell ref="A587:B587"/>
    <mergeCell ref="A588:B588"/>
    <mergeCell ref="E589:F589"/>
    <mergeCell ref="H589:I589"/>
    <mergeCell ref="C596:D596"/>
    <mergeCell ref="E596:F596"/>
    <mergeCell ref="I596:J596"/>
    <mergeCell ref="K596:L596"/>
    <mergeCell ref="M596:N596"/>
    <mergeCell ref="C595:D595"/>
    <mergeCell ref="M595:N595"/>
    <mergeCell ref="C594:D594"/>
    <mergeCell ref="M594:N594"/>
    <mergeCell ref="C593:D593"/>
    <mergeCell ref="E593:F593"/>
    <mergeCell ref="G593:H593"/>
    <mergeCell ref="I593:J593"/>
    <mergeCell ref="K593:L593"/>
    <mergeCell ref="M593:N593"/>
    <mergeCell ref="E592:F592"/>
    <mergeCell ref="H592:I592"/>
    <mergeCell ref="J592:K592"/>
    <mergeCell ref="H622:I622"/>
    <mergeCell ref="J622:K622"/>
    <mergeCell ref="E623:F623"/>
    <mergeCell ref="H623:I623"/>
    <mergeCell ref="J623:K623"/>
    <mergeCell ref="A619:B619"/>
    <mergeCell ref="A620:B620"/>
    <mergeCell ref="E621:F621"/>
    <mergeCell ref="H621:I621"/>
    <mergeCell ref="C626:D626"/>
    <mergeCell ref="G627:H627"/>
    <mergeCell ref="E624:F624"/>
    <mergeCell ref="H624:I624"/>
    <mergeCell ref="J624:K624"/>
    <mergeCell ref="K626:L626"/>
    <mergeCell ref="G626:H626"/>
    <mergeCell ref="I626:J626"/>
    <mergeCell ref="E626:F626"/>
    <mergeCell ref="C625:D625"/>
    <mergeCell ref="E625:F625"/>
    <mergeCell ref="G625:H625"/>
    <mergeCell ref="K627:L627"/>
    <mergeCell ref="I625:J625"/>
    <mergeCell ref="K625:L625"/>
    <mergeCell ref="J621:K621"/>
    <mergeCell ref="E622:F622"/>
    <mergeCell ref="I627:J627"/>
    <mergeCell ref="C659:D659"/>
    <mergeCell ref="K632:L632"/>
    <mergeCell ref="E633:F633"/>
    <mergeCell ref="G633:H633"/>
    <mergeCell ref="O615:P615"/>
    <mergeCell ref="A616:C616"/>
    <mergeCell ref="D616:G616"/>
    <mergeCell ref="I616:K616"/>
    <mergeCell ref="L616:N616"/>
    <mergeCell ref="C658:D658"/>
    <mergeCell ref="M658:N658"/>
    <mergeCell ref="C660:D660"/>
    <mergeCell ref="J653:K653"/>
    <mergeCell ref="E654:F654"/>
    <mergeCell ref="H654:I654"/>
    <mergeCell ref="J654:K654"/>
    <mergeCell ref="C657:D657"/>
    <mergeCell ref="E657:F657"/>
    <mergeCell ref="G657:H657"/>
    <mergeCell ref="E628:F628"/>
    <mergeCell ref="K628:L628"/>
    <mergeCell ref="A648:C648"/>
    <mergeCell ref="C628:D628"/>
    <mergeCell ref="C631:D631"/>
    <mergeCell ref="E631:F631"/>
    <mergeCell ref="G631:H631"/>
    <mergeCell ref="I631:J631"/>
    <mergeCell ref="C629:D629"/>
    <mergeCell ref="E629:F629"/>
    <mergeCell ref="C636:D636"/>
    <mergeCell ref="A640:N640"/>
    <mergeCell ref="A638:B638"/>
    <mergeCell ref="A652:B652"/>
    <mergeCell ref="K633:L633"/>
    <mergeCell ref="M633:N633"/>
    <mergeCell ref="I657:J657"/>
    <mergeCell ref="K657:L657"/>
    <mergeCell ref="M647:N647"/>
    <mergeCell ref="C638:D638"/>
    <mergeCell ref="E638:F638"/>
    <mergeCell ref="A637:B637"/>
    <mergeCell ref="C637:D637"/>
    <mergeCell ref="E637:F637"/>
    <mergeCell ref="A641:N641"/>
    <mergeCell ref="C645:L645"/>
    <mergeCell ref="A647:C647"/>
    <mergeCell ref="E636:F636"/>
    <mergeCell ref="I636:K636"/>
    <mergeCell ref="D648:G648"/>
    <mergeCell ref="E656:F656"/>
    <mergeCell ref="M636:N636"/>
    <mergeCell ref="A649:B649"/>
    <mergeCell ref="A650:B650"/>
    <mergeCell ref="A651:B651"/>
    <mergeCell ref="J655:K655"/>
    <mergeCell ref="H656:I656"/>
    <mergeCell ref="J656:K656"/>
    <mergeCell ref="I648:K648"/>
    <mergeCell ref="L648:N648"/>
    <mergeCell ref="M634:N634"/>
    <mergeCell ref="H653:I653"/>
    <mergeCell ref="O647:P647"/>
    <mergeCell ref="A636:B636"/>
    <mergeCell ref="M689:N689"/>
    <mergeCell ref="C690:D690"/>
    <mergeCell ref="I690:J690"/>
    <mergeCell ref="E688:F688"/>
    <mergeCell ref="H688:I688"/>
    <mergeCell ref="J688:K688"/>
    <mergeCell ref="C689:D689"/>
    <mergeCell ref="E689:F689"/>
    <mergeCell ref="G689:H689"/>
    <mergeCell ref="I689:J689"/>
    <mergeCell ref="K689:L689"/>
    <mergeCell ref="H685:I685"/>
    <mergeCell ref="J685:K685"/>
    <mergeCell ref="E686:F686"/>
    <mergeCell ref="H686:I686"/>
    <mergeCell ref="J686:K686"/>
    <mergeCell ref="E687:F687"/>
    <mergeCell ref="H687:I687"/>
    <mergeCell ref="J687:K687"/>
    <mergeCell ref="O679:P679"/>
    <mergeCell ref="C677:L677"/>
    <mergeCell ref="A679:C679"/>
    <mergeCell ref="D679:H679"/>
    <mergeCell ref="M679:N679"/>
    <mergeCell ref="I668:K668"/>
    <mergeCell ref="M668:N668"/>
    <mergeCell ref="C665:D665"/>
    <mergeCell ref="A683:B683"/>
    <mergeCell ref="A684:B684"/>
    <mergeCell ref="E685:F685"/>
    <mergeCell ref="M700:N700"/>
    <mergeCell ref="A704:N704"/>
    <mergeCell ref="A705:N705"/>
    <mergeCell ref="C709:L709"/>
    <mergeCell ref="A711:C711"/>
    <mergeCell ref="E743:I743"/>
    <mergeCell ref="M711:N711"/>
    <mergeCell ref="A714:B714"/>
    <mergeCell ref="A715:B715"/>
    <mergeCell ref="A716:B716"/>
    <mergeCell ref="E717:F717"/>
    <mergeCell ref="A702:B702"/>
    <mergeCell ref="C702:D702"/>
    <mergeCell ref="A701:B701"/>
    <mergeCell ref="C701:D701"/>
    <mergeCell ref="E701:F701"/>
    <mergeCell ref="A700:B700"/>
    <mergeCell ref="C700:D700"/>
    <mergeCell ref="E700:F700"/>
    <mergeCell ref="I700:K700"/>
    <mergeCell ref="H717:I717"/>
    <mergeCell ref="J717:K717"/>
    <mergeCell ref="G730:H730"/>
    <mergeCell ref="E730:F730"/>
    <mergeCell ref="E734:F734"/>
    <mergeCell ref="M727:N727"/>
    <mergeCell ref="M728:N728"/>
    <mergeCell ref="K723:L723"/>
    <mergeCell ref="I725:J725"/>
    <mergeCell ref="K725:L725"/>
    <mergeCell ref="I724:J724"/>
    <mergeCell ref="K724:L724"/>
    <mergeCell ref="M723:N723"/>
    <mergeCell ref="O711:P711"/>
    <mergeCell ref="A712:C712"/>
    <mergeCell ref="D712:G712"/>
    <mergeCell ref="I712:K712"/>
    <mergeCell ref="L712:N712"/>
    <mergeCell ref="A713:B713"/>
    <mergeCell ref="M722:N722"/>
    <mergeCell ref="E719:F719"/>
    <mergeCell ref="M721:N721"/>
    <mergeCell ref="G724:H724"/>
    <mergeCell ref="C729:D729"/>
    <mergeCell ref="C722:D722"/>
    <mergeCell ref="G722:H722"/>
    <mergeCell ref="C721:D721"/>
    <mergeCell ref="G721:H721"/>
    <mergeCell ref="I721:J721"/>
    <mergeCell ref="K721:L721"/>
    <mergeCell ref="C724:D724"/>
    <mergeCell ref="C723:D723"/>
    <mergeCell ref="H720:I720"/>
    <mergeCell ref="H719:I719"/>
    <mergeCell ref="J719:K719"/>
    <mergeCell ref="K727:L727"/>
    <mergeCell ref="K728:L728"/>
    <mergeCell ref="I729:J729"/>
    <mergeCell ref="G725:H725"/>
    <mergeCell ref="E723:F723"/>
    <mergeCell ref="E724:F724"/>
    <mergeCell ref="E725:F725"/>
    <mergeCell ref="K722:L722"/>
    <mergeCell ref="A746:B746"/>
    <mergeCell ref="A747:B747"/>
    <mergeCell ref="A748:B748"/>
    <mergeCell ref="E749:F749"/>
    <mergeCell ref="H749:I749"/>
    <mergeCell ref="J749:K749"/>
    <mergeCell ref="O743:P743"/>
    <mergeCell ref="A744:C744"/>
    <mergeCell ref="D744:G744"/>
    <mergeCell ref="I744:K744"/>
    <mergeCell ref="L744:N744"/>
    <mergeCell ref="A745:B745"/>
    <mergeCell ref="C755:D755"/>
    <mergeCell ref="G755:H755"/>
    <mergeCell ref="I755:J755"/>
    <mergeCell ref="K755:L755"/>
    <mergeCell ref="M755:N755"/>
    <mergeCell ref="M753:N753"/>
    <mergeCell ref="C754:D754"/>
    <mergeCell ref="G754:H754"/>
    <mergeCell ref="I754:J754"/>
    <mergeCell ref="K754:L754"/>
    <mergeCell ref="M754:N754"/>
    <mergeCell ref="E752:F752"/>
    <mergeCell ref="H752:I752"/>
    <mergeCell ref="J752:K752"/>
    <mergeCell ref="C753:D753"/>
    <mergeCell ref="E753:F753"/>
    <mergeCell ref="G753:H753"/>
    <mergeCell ref="A743:C743"/>
    <mergeCell ref="M743:N743"/>
    <mergeCell ref="I753:J753"/>
    <mergeCell ref="K753:L753"/>
    <mergeCell ref="C759:D759"/>
    <mergeCell ref="G759:H759"/>
    <mergeCell ref="M759:N759"/>
    <mergeCell ref="C757:D757"/>
    <mergeCell ref="I757:J757"/>
    <mergeCell ref="K757:L757"/>
    <mergeCell ref="C756:D756"/>
    <mergeCell ref="I756:J756"/>
    <mergeCell ref="K756:L756"/>
    <mergeCell ref="C762:D762"/>
    <mergeCell ref="C761:D761"/>
    <mergeCell ref="C760:D760"/>
    <mergeCell ref="G760:H760"/>
    <mergeCell ref="M760:N760"/>
    <mergeCell ref="G756:H756"/>
    <mergeCell ref="G757:H757"/>
    <mergeCell ref="M757:N757"/>
    <mergeCell ref="E759:F759"/>
    <mergeCell ref="I759:J759"/>
    <mergeCell ref="K759:L759"/>
    <mergeCell ref="E760:F760"/>
    <mergeCell ref="I760:J760"/>
    <mergeCell ref="G761:H761"/>
    <mergeCell ref="I761:J761"/>
    <mergeCell ref="G762:H762"/>
    <mergeCell ref="I762:J762"/>
    <mergeCell ref="M761:N761"/>
    <mergeCell ref="E754:F754"/>
    <mergeCell ref="E755:F755"/>
    <mergeCell ref="E756:F756"/>
    <mergeCell ref="M762:N762"/>
    <mergeCell ref="O775:P775"/>
    <mergeCell ref="A776:C776"/>
    <mergeCell ref="D776:G776"/>
    <mergeCell ref="I776:K776"/>
    <mergeCell ref="L776:N776"/>
    <mergeCell ref="A775:C775"/>
    <mergeCell ref="D839:H839"/>
    <mergeCell ref="M775:N775"/>
    <mergeCell ref="A766:B766"/>
    <mergeCell ref="C766:D766"/>
    <mergeCell ref="E766:F766"/>
    <mergeCell ref="A768:N768"/>
    <mergeCell ref="A769:N769"/>
    <mergeCell ref="C773:L773"/>
    <mergeCell ref="J781:K781"/>
    <mergeCell ref="A764:B764"/>
    <mergeCell ref="C764:D764"/>
    <mergeCell ref="E764:F764"/>
    <mergeCell ref="I764:K764"/>
    <mergeCell ref="M764:N764"/>
    <mergeCell ref="A765:B765"/>
    <mergeCell ref="C765:D765"/>
    <mergeCell ref="E765:F765"/>
    <mergeCell ref="E784:F784"/>
    <mergeCell ref="H784:I784"/>
    <mergeCell ref="J784:K784"/>
    <mergeCell ref="C785:D785"/>
    <mergeCell ref="E785:F785"/>
    <mergeCell ref="G785:H785"/>
    <mergeCell ref="I785:J785"/>
    <mergeCell ref="K785:L785"/>
    <mergeCell ref="M791:N791"/>
    <mergeCell ref="A798:B798"/>
    <mergeCell ref="M792:N792"/>
    <mergeCell ref="G791:H791"/>
    <mergeCell ref="G792:H792"/>
    <mergeCell ref="E791:F791"/>
    <mergeCell ref="E792:F792"/>
    <mergeCell ref="I789:J789"/>
    <mergeCell ref="K788:L788"/>
    <mergeCell ref="A777:B777"/>
    <mergeCell ref="A778:B778"/>
    <mergeCell ref="A779:B779"/>
    <mergeCell ref="A780:B780"/>
    <mergeCell ref="E781:F781"/>
    <mergeCell ref="H781:I781"/>
    <mergeCell ref="E783:F783"/>
    <mergeCell ref="H783:I783"/>
    <mergeCell ref="C798:D798"/>
    <mergeCell ref="E798:F798"/>
    <mergeCell ref="M787:N787"/>
    <mergeCell ref="I787:J787"/>
    <mergeCell ref="K786:L786"/>
    <mergeCell ref="K787:L787"/>
    <mergeCell ref="A796:B796"/>
    <mergeCell ref="E787:F787"/>
    <mergeCell ref="O807:P807"/>
    <mergeCell ref="A808:C808"/>
    <mergeCell ref="D808:G808"/>
    <mergeCell ref="I808:K808"/>
    <mergeCell ref="L808:N808"/>
    <mergeCell ref="M817:N817"/>
    <mergeCell ref="C818:D818"/>
    <mergeCell ref="G818:H818"/>
    <mergeCell ref="I818:J818"/>
    <mergeCell ref="E816:F816"/>
    <mergeCell ref="H816:I816"/>
    <mergeCell ref="J816:K816"/>
    <mergeCell ref="C817:D817"/>
    <mergeCell ref="E817:F817"/>
    <mergeCell ref="G817:H817"/>
    <mergeCell ref="I817:J817"/>
    <mergeCell ref="I821:J821"/>
    <mergeCell ref="C820:D820"/>
    <mergeCell ref="G820:H820"/>
    <mergeCell ref="I820:J820"/>
    <mergeCell ref="M818:N818"/>
    <mergeCell ref="K819:L819"/>
    <mergeCell ref="K818:L818"/>
    <mergeCell ref="A809:B809"/>
    <mergeCell ref="A810:B810"/>
    <mergeCell ref="A811:B811"/>
    <mergeCell ref="A812:B812"/>
    <mergeCell ref="E813:F813"/>
    <mergeCell ref="H813:I813"/>
    <mergeCell ref="A807:C807"/>
    <mergeCell ref="D807:H807"/>
    <mergeCell ref="M807:N807"/>
    <mergeCell ref="M826:N826"/>
    <mergeCell ref="M820:N820"/>
    <mergeCell ref="C825:D825"/>
    <mergeCell ref="I825:J825"/>
    <mergeCell ref="C824:D824"/>
    <mergeCell ref="G824:H824"/>
    <mergeCell ref="K824:L824"/>
    <mergeCell ref="M824:N824"/>
    <mergeCell ref="C823:D823"/>
    <mergeCell ref="G823:H823"/>
    <mergeCell ref="I823:J823"/>
    <mergeCell ref="K823:L823"/>
    <mergeCell ref="M823:N823"/>
    <mergeCell ref="I824:J824"/>
    <mergeCell ref="K825:L825"/>
    <mergeCell ref="C821:D821"/>
    <mergeCell ref="A828:B828"/>
    <mergeCell ref="C828:D828"/>
    <mergeCell ref="E828:F828"/>
    <mergeCell ref="O903:P903"/>
    <mergeCell ref="A904:C904"/>
    <mergeCell ref="D904:G904"/>
    <mergeCell ref="I904:K904"/>
    <mergeCell ref="L904:N904"/>
    <mergeCell ref="A830:B830"/>
    <mergeCell ref="C830:D830"/>
    <mergeCell ref="E830:F830"/>
    <mergeCell ref="A896:N896"/>
    <mergeCell ref="A897:N897"/>
    <mergeCell ref="C901:L901"/>
    <mergeCell ref="C915:D915"/>
    <mergeCell ref="E915:F915"/>
    <mergeCell ref="G915:H915"/>
    <mergeCell ref="M913:N913"/>
    <mergeCell ref="C914:D914"/>
    <mergeCell ref="E914:F914"/>
    <mergeCell ref="G914:H914"/>
    <mergeCell ref="E912:F912"/>
    <mergeCell ref="H912:I912"/>
    <mergeCell ref="J912:K912"/>
    <mergeCell ref="C913:D913"/>
    <mergeCell ref="E913:F913"/>
    <mergeCell ref="G913:H913"/>
    <mergeCell ref="I913:J913"/>
    <mergeCell ref="K913:L913"/>
    <mergeCell ref="A905:B905"/>
    <mergeCell ref="A906:B906"/>
    <mergeCell ref="A907:B907"/>
    <mergeCell ref="A908:B908"/>
    <mergeCell ref="E909:F909"/>
    <mergeCell ref="H909:I909"/>
    <mergeCell ref="O935:P935"/>
    <mergeCell ref="A936:C936"/>
    <mergeCell ref="D936:G936"/>
    <mergeCell ref="I936:K936"/>
    <mergeCell ref="L936:N936"/>
    <mergeCell ref="A926:B926"/>
    <mergeCell ref="C926:D926"/>
    <mergeCell ref="E926:F926"/>
    <mergeCell ref="A928:N928"/>
    <mergeCell ref="A929:N929"/>
    <mergeCell ref="C933:L933"/>
    <mergeCell ref="A935:C935"/>
    <mergeCell ref="D935:H935"/>
    <mergeCell ref="M935:N935"/>
    <mergeCell ref="A924:B924"/>
    <mergeCell ref="C924:D924"/>
    <mergeCell ref="E924:F924"/>
    <mergeCell ref="I924:K924"/>
    <mergeCell ref="M924:N924"/>
    <mergeCell ref="A925:B925"/>
    <mergeCell ref="C925:D925"/>
    <mergeCell ref="E925:F925"/>
    <mergeCell ref="C951:D951"/>
    <mergeCell ref="E951:F951"/>
    <mergeCell ref="G951:H951"/>
    <mergeCell ref="K951:L951"/>
    <mergeCell ref="C949:D949"/>
    <mergeCell ref="E949:F949"/>
    <mergeCell ref="G949:H949"/>
    <mergeCell ref="K949:L949"/>
    <mergeCell ref="E946:F946"/>
    <mergeCell ref="G946:H946"/>
    <mergeCell ref="I946:J946"/>
    <mergeCell ref="K946:L946"/>
    <mergeCell ref="E947:F947"/>
    <mergeCell ref="G947:H947"/>
    <mergeCell ref="I947:J947"/>
    <mergeCell ref="K947:L947"/>
    <mergeCell ref="I948:J948"/>
    <mergeCell ref="I949:J949"/>
    <mergeCell ref="I951:J951"/>
    <mergeCell ref="C948:D948"/>
    <mergeCell ref="E948:F948"/>
    <mergeCell ref="G948:H948"/>
    <mergeCell ref="K948:L948"/>
    <mergeCell ref="C947:D947"/>
    <mergeCell ref="C946:D946"/>
    <mergeCell ref="C953:D953"/>
    <mergeCell ref="E953:F953"/>
    <mergeCell ref="K953:L953"/>
    <mergeCell ref="A969:B969"/>
    <mergeCell ref="A970:B970"/>
    <mergeCell ref="A971:B971"/>
    <mergeCell ref="G954:H954"/>
    <mergeCell ref="I954:J954"/>
    <mergeCell ref="M954:N954"/>
    <mergeCell ref="G953:H953"/>
    <mergeCell ref="I953:J953"/>
    <mergeCell ref="C952:D952"/>
    <mergeCell ref="E952:F952"/>
    <mergeCell ref="G952:H952"/>
    <mergeCell ref="K952:L952"/>
    <mergeCell ref="A967:C967"/>
    <mergeCell ref="D967:H967"/>
    <mergeCell ref="M967:N967"/>
    <mergeCell ref="A958:B958"/>
    <mergeCell ref="C958:D958"/>
    <mergeCell ref="E958:F958"/>
    <mergeCell ref="A960:N960"/>
    <mergeCell ref="A961:N961"/>
    <mergeCell ref="C965:L965"/>
    <mergeCell ref="A956:B956"/>
    <mergeCell ref="C956:D956"/>
    <mergeCell ref="E956:F956"/>
    <mergeCell ref="I956:K956"/>
    <mergeCell ref="M956:N956"/>
    <mergeCell ref="A957:B957"/>
    <mergeCell ref="C957:D957"/>
    <mergeCell ref="E957:F957"/>
    <mergeCell ref="C954:D954"/>
    <mergeCell ref="E954:F954"/>
    <mergeCell ref="K954:L954"/>
    <mergeCell ref="J973:K973"/>
    <mergeCell ref="E974:F974"/>
    <mergeCell ref="H974:I974"/>
    <mergeCell ref="J974:K974"/>
    <mergeCell ref="E975:F975"/>
    <mergeCell ref="H975:I975"/>
    <mergeCell ref="J975:K975"/>
    <mergeCell ref="E978:F978"/>
    <mergeCell ref="G978:H978"/>
    <mergeCell ref="I978:J978"/>
    <mergeCell ref="G977:H977"/>
    <mergeCell ref="A972:B972"/>
    <mergeCell ref="E973:F973"/>
    <mergeCell ref="H973:I973"/>
    <mergeCell ref="C977:D977"/>
    <mergeCell ref="C978:D978"/>
    <mergeCell ref="H976:I976"/>
    <mergeCell ref="J976:K976"/>
    <mergeCell ref="O967:P967"/>
    <mergeCell ref="A968:C968"/>
    <mergeCell ref="D968:G968"/>
    <mergeCell ref="I968:K968"/>
    <mergeCell ref="L968:N968"/>
    <mergeCell ref="A988:B988"/>
    <mergeCell ref="C988:D988"/>
    <mergeCell ref="E988:F988"/>
    <mergeCell ref="I988:K988"/>
    <mergeCell ref="M988:N988"/>
    <mergeCell ref="A989:B989"/>
    <mergeCell ref="C989:D989"/>
    <mergeCell ref="E989:F989"/>
    <mergeCell ref="C986:D986"/>
    <mergeCell ref="E986:F986"/>
    <mergeCell ref="J1005:K1005"/>
    <mergeCell ref="C981:D981"/>
    <mergeCell ref="G981:H981"/>
    <mergeCell ref="C980:D980"/>
    <mergeCell ref="G980:H980"/>
    <mergeCell ref="C979:D979"/>
    <mergeCell ref="K979:L979"/>
    <mergeCell ref="M979:N979"/>
    <mergeCell ref="C985:D985"/>
    <mergeCell ref="E985:F985"/>
    <mergeCell ref="C984:D984"/>
    <mergeCell ref="E984:F984"/>
    <mergeCell ref="G984:H984"/>
    <mergeCell ref="I984:J984"/>
    <mergeCell ref="K984:L984"/>
    <mergeCell ref="C983:D983"/>
    <mergeCell ref="E983:F983"/>
    <mergeCell ref="A1001:B1001"/>
    <mergeCell ref="A1002:B1002"/>
    <mergeCell ref="A1003:B1003"/>
    <mergeCell ref="A1004:B1004"/>
    <mergeCell ref="E1005:F1005"/>
    <mergeCell ref="H1005:I1005"/>
    <mergeCell ref="A999:C999"/>
    <mergeCell ref="D999:H999"/>
    <mergeCell ref="M999:N999"/>
    <mergeCell ref="O999:P999"/>
    <mergeCell ref="A1000:C1000"/>
    <mergeCell ref="D1000:G1000"/>
    <mergeCell ref="I1000:K1000"/>
    <mergeCell ref="L1000:N1000"/>
    <mergeCell ref="A990:B990"/>
    <mergeCell ref="C990:D990"/>
    <mergeCell ref="E990:F990"/>
    <mergeCell ref="A992:N992"/>
    <mergeCell ref="A993:N993"/>
    <mergeCell ref="C997:L997"/>
    <mergeCell ref="C1010:D1010"/>
    <mergeCell ref="E1010:F1010"/>
    <mergeCell ref="K1010:L1010"/>
    <mergeCell ref="M1010:N1010"/>
    <mergeCell ref="E1008:F1008"/>
    <mergeCell ref="H1008:I1008"/>
    <mergeCell ref="J1008:K1008"/>
    <mergeCell ref="C1009:D1009"/>
    <mergeCell ref="E1009:F1009"/>
    <mergeCell ref="G1009:H1009"/>
    <mergeCell ref="I1009:J1009"/>
    <mergeCell ref="K1009:L1009"/>
    <mergeCell ref="E1006:F1006"/>
    <mergeCell ref="H1006:I1006"/>
    <mergeCell ref="J1006:K1006"/>
    <mergeCell ref="E1007:F1007"/>
    <mergeCell ref="H1007:I1007"/>
    <mergeCell ref="J1007:K1007"/>
    <mergeCell ref="G1010:H1010"/>
    <mergeCell ref="I1010:J1010"/>
    <mergeCell ref="M1009:N1009"/>
    <mergeCell ref="C1013:D1013"/>
    <mergeCell ref="C1012:D1012"/>
    <mergeCell ref="K1012:L1012"/>
    <mergeCell ref="M1012:N1012"/>
    <mergeCell ref="C1018:D1018"/>
    <mergeCell ref="G1018:H1018"/>
    <mergeCell ref="K1018:L1018"/>
    <mergeCell ref="C1017:D1017"/>
    <mergeCell ref="G1017:H1017"/>
    <mergeCell ref="K1017:L1017"/>
    <mergeCell ref="C1016:D1016"/>
    <mergeCell ref="E1016:F1016"/>
    <mergeCell ref="G1016:H1016"/>
    <mergeCell ref="K1016:L1016"/>
    <mergeCell ref="C1011:D1011"/>
    <mergeCell ref="E1011:F1011"/>
    <mergeCell ref="K1011:L1011"/>
    <mergeCell ref="M1011:N1011"/>
    <mergeCell ref="G1011:H1011"/>
    <mergeCell ref="I1011:J1011"/>
    <mergeCell ref="E1012:F1012"/>
    <mergeCell ref="I1012:J1012"/>
    <mergeCell ref="E1013:F1013"/>
    <mergeCell ref="G1012:H1012"/>
    <mergeCell ref="I1013:J1013"/>
    <mergeCell ref="K1013:L1013"/>
    <mergeCell ref="M1013:N1013"/>
    <mergeCell ref="G1013:H1013"/>
    <mergeCell ref="A1020:B1020"/>
    <mergeCell ref="C1020:D1020"/>
    <mergeCell ref="E1020:F1020"/>
    <mergeCell ref="I1020:K1020"/>
    <mergeCell ref="M1020:N1020"/>
    <mergeCell ref="A1021:B1021"/>
    <mergeCell ref="C1021:D1021"/>
    <mergeCell ref="E1021:F1021"/>
    <mergeCell ref="C1015:D1015"/>
    <mergeCell ref="E1015:F1015"/>
    <mergeCell ref="G1015:H1015"/>
    <mergeCell ref="K1015:L1015"/>
    <mergeCell ref="I1015:J1015"/>
    <mergeCell ref="M1015:N1015"/>
    <mergeCell ref="I1016:J1016"/>
    <mergeCell ref="M1016:N1016"/>
    <mergeCell ref="E1017:F1017"/>
    <mergeCell ref="I1017:J1017"/>
    <mergeCell ref="M1017:N1017"/>
    <mergeCell ref="E1018:F1018"/>
    <mergeCell ref="I1018:J1018"/>
    <mergeCell ref="M1018:N1018"/>
    <mergeCell ref="A1035:B1035"/>
    <mergeCell ref="A1036:B1036"/>
    <mergeCell ref="E1037:F1037"/>
    <mergeCell ref="H1037:I1037"/>
    <mergeCell ref="A1031:C1031"/>
    <mergeCell ref="E1063:I1063"/>
    <mergeCell ref="M1031:N1031"/>
    <mergeCell ref="O1031:P1031"/>
    <mergeCell ref="A1032:C1032"/>
    <mergeCell ref="D1032:G1032"/>
    <mergeCell ref="I1032:K1032"/>
    <mergeCell ref="L1032:N1032"/>
    <mergeCell ref="A1022:B1022"/>
    <mergeCell ref="C1022:D1022"/>
    <mergeCell ref="E1022:F1022"/>
    <mergeCell ref="A1024:N1024"/>
    <mergeCell ref="A1025:N1025"/>
    <mergeCell ref="C1029:L1029"/>
    <mergeCell ref="M1041:N1041"/>
    <mergeCell ref="C1042:D1042"/>
    <mergeCell ref="E1042:F1042"/>
    <mergeCell ref="C1049:D1049"/>
    <mergeCell ref="I1049:J1049"/>
    <mergeCell ref="C1048:D1048"/>
    <mergeCell ref="M1048:N1048"/>
    <mergeCell ref="C1047:D1047"/>
    <mergeCell ref="I1047:J1047"/>
    <mergeCell ref="M1047:N1047"/>
    <mergeCell ref="E1040:F1040"/>
    <mergeCell ref="H1040:I1040"/>
    <mergeCell ref="J1040:K1040"/>
    <mergeCell ref="C1041:D1041"/>
    <mergeCell ref="E1041:F1041"/>
    <mergeCell ref="G1041:H1041"/>
    <mergeCell ref="I1041:J1041"/>
    <mergeCell ref="K1041:L1041"/>
    <mergeCell ref="G1042:H1042"/>
    <mergeCell ref="M1042:N1042"/>
    <mergeCell ref="G1043:H1043"/>
    <mergeCell ref="M1043:N1043"/>
    <mergeCell ref="I1042:J1042"/>
    <mergeCell ref="G1044:H1044"/>
    <mergeCell ref="I1044:J1044"/>
    <mergeCell ref="G1045:H1045"/>
    <mergeCell ref="I1045:J1045"/>
    <mergeCell ref="G1047:H1047"/>
    <mergeCell ref="G1048:H1048"/>
    <mergeCell ref="G1049:H1049"/>
    <mergeCell ref="M1049:N1049"/>
    <mergeCell ref="M1044:N1044"/>
    <mergeCell ref="K1042:L1042"/>
    <mergeCell ref="K1043:L1043"/>
    <mergeCell ref="K1045:L1045"/>
    <mergeCell ref="E1044:F1044"/>
    <mergeCell ref="E1045:F1045"/>
    <mergeCell ref="I1043:J1043"/>
    <mergeCell ref="E1043:F1043"/>
    <mergeCell ref="C1044:D1044"/>
    <mergeCell ref="C1045:D1045"/>
    <mergeCell ref="E1047:F1047"/>
    <mergeCell ref="K1047:L1047"/>
    <mergeCell ref="E1048:F1048"/>
    <mergeCell ref="I1048:J1048"/>
    <mergeCell ref="K1048:L1048"/>
    <mergeCell ref="E1049:F1049"/>
    <mergeCell ref="K1049:L1049"/>
    <mergeCell ref="A1065:B1065"/>
    <mergeCell ref="A1066:B1066"/>
    <mergeCell ref="A1067:B1067"/>
    <mergeCell ref="A1068:B1068"/>
    <mergeCell ref="E1069:F1069"/>
    <mergeCell ref="H1069:I1069"/>
    <mergeCell ref="A1063:C1063"/>
    <mergeCell ref="M1045:N1045"/>
    <mergeCell ref="K1044:L1044"/>
    <mergeCell ref="M1063:N1063"/>
    <mergeCell ref="E1050:F1050"/>
    <mergeCell ref="G1050:H1050"/>
    <mergeCell ref="I1050:J1050"/>
    <mergeCell ref="K1050:L1050"/>
    <mergeCell ref="C1074:D1074"/>
    <mergeCell ref="E1074:F1074"/>
    <mergeCell ref="G1074:H1074"/>
    <mergeCell ref="K1074:L1074"/>
    <mergeCell ref="M1074:N1074"/>
    <mergeCell ref="E1072:F1072"/>
    <mergeCell ref="H1072:I1072"/>
    <mergeCell ref="J1072:K1072"/>
    <mergeCell ref="C1073:D1073"/>
    <mergeCell ref="C1052:D1052"/>
    <mergeCell ref="E1052:F1052"/>
    <mergeCell ref="I1052:K1052"/>
    <mergeCell ref="M1052:N1052"/>
    <mergeCell ref="A1053:B1053"/>
    <mergeCell ref="C1053:D1053"/>
    <mergeCell ref="E1053:F1053"/>
    <mergeCell ref="C1050:D1050"/>
    <mergeCell ref="J1069:K1069"/>
    <mergeCell ref="O1127:P1127"/>
    <mergeCell ref="A1052:B1052"/>
    <mergeCell ref="C1079:D1079"/>
    <mergeCell ref="E1079:F1079"/>
    <mergeCell ref="G1079:H1079"/>
    <mergeCell ref="C1077:D1077"/>
    <mergeCell ref="G1077:H1077"/>
    <mergeCell ref="M1077:N1077"/>
    <mergeCell ref="C1076:D1076"/>
    <mergeCell ref="G1076:H1076"/>
    <mergeCell ref="M1076:N1076"/>
    <mergeCell ref="C1082:D1082"/>
    <mergeCell ref="G1082:H1082"/>
    <mergeCell ref="C1081:D1081"/>
    <mergeCell ref="G1081:H1081"/>
    <mergeCell ref="C1080:D1080"/>
    <mergeCell ref="E1080:F1080"/>
    <mergeCell ref="G1080:H1080"/>
    <mergeCell ref="H1071:I1071"/>
    <mergeCell ref="J1071:K1071"/>
    <mergeCell ref="O1063:P1063"/>
    <mergeCell ref="A1064:C1064"/>
    <mergeCell ref="D1064:G1064"/>
    <mergeCell ref="I1064:K1064"/>
    <mergeCell ref="L1064:N1064"/>
    <mergeCell ref="A1054:B1054"/>
    <mergeCell ref="C1054:D1054"/>
    <mergeCell ref="E1054:F1054"/>
    <mergeCell ref="A1056:N1056"/>
    <mergeCell ref="A1057:N1057"/>
    <mergeCell ref="C1061:L1061"/>
    <mergeCell ref="C1075:D1075"/>
    <mergeCell ref="E1076:F1076"/>
    <mergeCell ref="I1076:J1076"/>
    <mergeCell ref="K1076:L1076"/>
    <mergeCell ref="E1077:F1077"/>
    <mergeCell ref="I1077:J1077"/>
    <mergeCell ref="K1077:L1077"/>
    <mergeCell ref="I1079:J1079"/>
    <mergeCell ref="M1079:N1079"/>
    <mergeCell ref="I1080:J1080"/>
    <mergeCell ref="M1080:N1080"/>
    <mergeCell ref="E1081:F1081"/>
    <mergeCell ref="I1081:J1081"/>
    <mergeCell ref="M1081:N1081"/>
    <mergeCell ref="O1095:P1095"/>
    <mergeCell ref="E1073:F1073"/>
    <mergeCell ref="G1073:H1073"/>
    <mergeCell ref="I1073:J1073"/>
    <mergeCell ref="K1073:L1073"/>
    <mergeCell ref="I1074:J1074"/>
    <mergeCell ref="I1075:J1075"/>
    <mergeCell ref="E1075:F1075"/>
    <mergeCell ref="G1075:H1075"/>
    <mergeCell ref="K1075:L1075"/>
    <mergeCell ref="M1075:N1075"/>
    <mergeCell ref="M1073:N1073"/>
    <mergeCell ref="A1096:C1096"/>
    <mergeCell ref="D1096:G1096"/>
    <mergeCell ref="I1096:K1096"/>
    <mergeCell ref="L1096:N1096"/>
    <mergeCell ref="A1086:B1086"/>
    <mergeCell ref="C1086:D1086"/>
    <mergeCell ref="E1086:F1086"/>
    <mergeCell ref="A1088:N1088"/>
    <mergeCell ref="A1089:N1089"/>
    <mergeCell ref="C1093:L1093"/>
    <mergeCell ref="A1084:B1084"/>
    <mergeCell ref="C1084:D1084"/>
    <mergeCell ref="E1084:F1084"/>
    <mergeCell ref="I1084:K1084"/>
    <mergeCell ref="M1084:N1084"/>
    <mergeCell ref="A1085:B1085"/>
    <mergeCell ref="C1085:D1085"/>
    <mergeCell ref="E1085:F1085"/>
    <mergeCell ref="A1095:C1095"/>
    <mergeCell ref="D1095:H1095"/>
    <mergeCell ref="M1095:N1095"/>
    <mergeCell ref="A1131:B1131"/>
    <mergeCell ref="C1108:D1108"/>
    <mergeCell ref="K1108:L1108"/>
    <mergeCell ref="A1127:C1127"/>
    <mergeCell ref="A1116:B1116"/>
    <mergeCell ref="C1116:D1116"/>
    <mergeCell ref="E1116:F1116"/>
    <mergeCell ref="I1116:K1116"/>
    <mergeCell ref="A1117:B1117"/>
    <mergeCell ref="C1107:D1107"/>
    <mergeCell ref="K1107:L1107"/>
    <mergeCell ref="C1117:D1117"/>
    <mergeCell ref="E1117:F1117"/>
    <mergeCell ref="C1114:D1114"/>
    <mergeCell ref="E1114:F1114"/>
    <mergeCell ref="I1114:J1114"/>
    <mergeCell ref="E1107:F1107"/>
    <mergeCell ref="G1107:H1107"/>
    <mergeCell ref="E1127:I1127"/>
    <mergeCell ref="A1118:B1118"/>
    <mergeCell ref="C1118:D1118"/>
    <mergeCell ref="E1118:F1118"/>
    <mergeCell ref="A1120:N1120"/>
    <mergeCell ref="A1121:N1121"/>
    <mergeCell ref="C1125:L1125"/>
    <mergeCell ref="M1116:N1116"/>
    <mergeCell ref="M1108:N1108"/>
    <mergeCell ref="M1107:N1107"/>
    <mergeCell ref="I1107:J1107"/>
    <mergeCell ref="E1108:F1108"/>
    <mergeCell ref="G1114:H1114"/>
    <mergeCell ref="K1114:L1114"/>
    <mergeCell ref="E1106:F1106"/>
    <mergeCell ref="G1106:H1106"/>
    <mergeCell ref="I1106:J1106"/>
    <mergeCell ref="A1097:B1097"/>
    <mergeCell ref="A1098:B1098"/>
    <mergeCell ref="A1099:B1099"/>
    <mergeCell ref="A1100:B1100"/>
    <mergeCell ref="E1101:F1101"/>
    <mergeCell ref="H1101:I1101"/>
    <mergeCell ref="E1104:F1104"/>
    <mergeCell ref="H1104:I1104"/>
    <mergeCell ref="J1104:K1104"/>
    <mergeCell ref="C1113:D1113"/>
    <mergeCell ref="E1113:F1113"/>
    <mergeCell ref="I1113:J1113"/>
    <mergeCell ref="A1129:B1129"/>
    <mergeCell ref="A1130:B1130"/>
    <mergeCell ref="C1137:D1137"/>
    <mergeCell ref="E1137:F1137"/>
    <mergeCell ref="G1137:H1137"/>
    <mergeCell ref="J1133:K1133"/>
    <mergeCell ref="E1134:F1134"/>
    <mergeCell ref="H1134:I1134"/>
    <mergeCell ref="J1134:K1134"/>
    <mergeCell ref="A1132:B1132"/>
    <mergeCell ref="E1133:F1133"/>
    <mergeCell ref="H1133:I1133"/>
    <mergeCell ref="M1105:N1105"/>
    <mergeCell ref="C1106:D1106"/>
    <mergeCell ref="K1106:L1106"/>
    <mergeCell ref="M1106:N1106"/>
    <mergeCell ref="C1112:D1112"/>
    <mergeCell ref="E1112:F1112"/>
    <mergeCell ref="I1112:J1112"/>
    <mergeCell ref="M1112:N1112"/>
    <mergeCell ref="C1111:D1111"/>
    <mergeCell ref="E1111:F1111"/>
    <mergeCell ref="I1111:J1111"/>
    <mergeCell ref="M1111:N1111"/>
    <mergeCell ref="C1109:D1109"/>
    <mergeCell ref="K1109:L1109"/>
    <mergeCell ref="M1109:N1109"/>
    <mergeCell ref="C1105:D1105"/>
    <mergeCell ref="E1105:F1105"/>
    <mergeCell ref="G1105:H1105"/>
    <mergeCell ref="G1111:H1111"/>
    <mergeCell ref="K1111:L1111"/>
    <mergeCell ref="G1112:H1112"/>
    <mergeCell ref="K1112:L1112"/>
    <mergeCell ref="I1137:J1137"/>
    <mergeCell ref="K1137:L1137"/>
    <mergeCell ref="E1145:F1145"/>
    <mergeCell ref="G1145:H1145"/>
    <mergeCell ref="I1145:J1145"/>
    <mergeCell ref="M1145:N1145"/>
    <mergeCell ref="M1127:N1127"/>
    <mergeCell ref="A1148:B1148"/>
    <mergeCell ref="C1148:D1148"/>
    <mergeCell ref="E1148:F1148"/>
    <mergeCell ref="I1148:K1148"/>
    <mergeCell ref="M1148:N1148"/>
    <mergeCell ref="A1128:C1128"/>
    <mergeCell ref="D1128:G1128"/>
    <mergeCell ref="I1128:K1128"/>
    <mergeCell ref="L1128:N1128"/>
    <mergeCell ref="C1145:D1145"/>
    <mergeCell ref="K1145:L1145"/>
    <mergeCell ref="C1144:D1144"/>
    <mergeCell ref="E1144:F1144"/>
    <mergeCell ref="I1144:J1144"/>
    <mergeCell ref="K1144:L1144"/>
    <mergeCell ref="C1143:D1143"/>
    <mergeCell ref="E1143:F1143"/>
    <mergeCell ref="I1143:J1143"/>
    <mergeCell ref="K1143:L1143"/>
    <mergeCell ref="M1137:N1137"/>
    <mergeCell ref="C1138:D1138"/>
    <mergeCell ref="G1138:H1138"/>
    <mergeCell ref="I1138:J1138"/>
    <mergeCell ref="K1138:L1138"/>
    <mergeCell ref="K1139:L1139"/>
    <mergeCell ref="A1149:B1149"/>
    <mergeCell ref="C1149:D1149"/>
    <mergeCell ref="E1149:F1149"/>
    <mergeCell ref="C1146:D1146"/>
    <mergeCell ref="K1146:L1146"/>
    <mergeCell ref="C1139:D1139"/>
    <mergeCell ref="G1139:H1139"/>
    <mergeCell ref="I1139:J1139"/>
    <mergeCell ref="E1136:F1136"/>
    <mergeCell ref="H1136:I1136"/>
    <mergeCell ref="J1136:K1136"/>
    <mergeCell ref="E1135:F1135"/>
    <mergeCell ref="H1135:I1135"/>
    <mergeCell ref="J1135:K1135"/>
    <mergeCell ref="J1165:K1165"/>
    <mergeCell ref="C1141:D1141"/>
    <mergeCell ref="M1141:N1141"/>
    <mergeCell ref="C1140:D1140"/>
    <mergeCell ref="E1140:F1140"/>
    <mergeCell ref="G1140:H1140"/>
    <mergeCell ref="I1140:J1140"/>
    <mergeCell ref="M1140:N1140"/>
    <mergeCell ref="K1140:L1140"/>
    <mergeCell ref="I1141:J1141"/>
    <mergeCell ref="K1141:L1141"/>
    <mergeCell ref="G1143:H1143"/>
    <mergeCell ref="G1144:H1144"/>
    <mergeCell ref="A1161:B1161"/>
    <mergeCell ref="A1162:B1162"/>
    <mergeCell ref="A1163:B1163"/>
    <mergeCell ref="A1164:B1164"/>
    <mergeCell ref="E1165:F1165"/>
    <mergeCell ref="H1165:I1165"/>
    <mergeCell ref="A1159:C1159"/>
    <mergeCell ref="M1159:N1159"/>
    <mergeCell ref="E1159:I1159"/>
    <mergeCell ref="O1159:P1159"/>
    <mergeCell ref="A1160:C1160"/>
    <mergeCell ref="D1160:G1160"/>
    <mergeCell ref="I1160:K1160"/>
    <mergeCell ref="L1160:N1160"/>
    <mergeCell ref="A1150:B1150"/>
    <mergeCell ref="C1150:D1150"/>
    <mergeCell ref="E1150:F1150"/>
    <mergeCell ref="A1152:N1152"/>
    <mergeCell ref="A1153:N1153"/>
    <mergeCell ref="C1157:L1157"/>
    <mergeCell ref="C1171:D1171"/>
    <mergeCell ref="E1171:F1171"/>
    <mergeCell ref="K1171:L1171"/>
    <mergeCell ref="M1171:N1171"/>
    <mergeCell ref="M1169:N1169"/>
    <mergeCell ref="C1170:D1170"/>
    <mergeCell ref="E1170:F1170"/>
    <mergeCell ref="K1170:L1170"/>
    <mergeCell ref="M1170:N1170"/>
    <mergeCell ref="E1168:F1168"/>
    <mergeCell ref="H1168:I1168"/>
    <mergeCell ref="J1168:K1168"/>
    <mergeCell ref="C1169:D1169"/>
    <mergeCell ref="E1169:F1169"/>
    <mergeCell ref="G1169:H1169"/>
    <mergeCell ref="I1169:J1169"/>
    <mergeCell ref="K1169:L1169"/>
    <mergeCell ref="E1166:F1166"/>
    <mergeCell ref="H1166:I1166"/>
    <mergeCell ref="J1166:K1166"/>
    <mergeCell ref="E1167:F1167"/>
    <mergeCell ref="C1175:D1175"/>
    <mergeCell ref="G1175:H1175"/>
    <mergeCell ref="K1175:L1175"/>
    <mergeCell ref="C1173:D1173"/>
    <mergeCell ref="E1173:F1173"/>
    <mergeCell ref="K1173:L1173"/>
    <mergeCell ref="M1173:N1173"/>
    <mergeCell ref="C1172:D1172"/>
    <mergeCell ref="K1172:L1172"/>
    <mergeCell ref="M1172:N1172"/>
    <mergeCell ref="C1178:D1178"/>
    <mergeCell ref="C1177:D1177"/>
    <mergeCell ref="C1176:D1176"/>
    <mergeCell ref="K1176:L1176"/>
    <mergeCell ref="G1177:H1177"/>
    <mergeCell ref="G1176:H1176"/>
    <mergeCell ref="E1172:F1172"/>
    <mergeCell ref="E1177:F1177"/>
    <mergeCell ref="I1177:J1177"/>
    <mergeCell ref="K1177:L1177"/>
    <mergeCell ref="M1177:N1177"/>
    <mergeCell ref="E1178:F1178"/>
    <mergeCell ref="G1178:H1178"/>
    <mergeCell ref="I1178:J1178"/>
    <mergeCell ref="M1175:N1175"/>
    <mergeCell ref="E1176:F1176"/>
    <mergeCell ref="I1176:J1176"/>
    <mergeCell ref="M1176:N1176"/>
    <mergeCell ref="G1172:H1172"/>
    <mergeCell ref="I1172:J1172"/>
    <mergeCell ref="G1173:H1173"/>
    <mergeCell ref="I1173:J1173"/>
    <mergeCell ref="A1182:B1182"/>
    <mergeCell ref="C1182:D1182"/>
    <mergeCell ref="E1182:F1182"/>
    <mergeCell ref="A1184:N1184"/>
    <mergeCell ref="O1184:Q1184"/>
    <mergeCell ref="A1185:N1185"/>
    <mergeCell ref="O1185:Q1185"/>
    <mergeCell ref="C1189:L1189"/>
    <mergeCell ref="J1197:K1197"/>
    <mergeCell ref="A1180:B1180"/>
    <mergeCell ref="C1180:D1180"/>
    <mergeCell ref="E1180:F1180"/>
    <mergeCell ref="I1180:K1180"/>
    <mergeCell ref="M1180:N1180"/>
    <mergeCell ref="A1181:B1181"/>
    <mergeCell ref="C1181:D1181"/>
    <mergeCell ref="E1181:F1181"/>
    <mergeCell ref="A1193:B1193"/>
    <mergeCell ref="A1194:B1194"/>
    <mergeCell ref="A1195:B1195"/>
    <mergeCell ref="A1196:B1196"/>
    <mergeCell ref="E1197:F1197"/>
    <mergeCell ref="H1197:I1197"/>
    <mergeCell ref="A1191:C1191"/>
    <mergeCell ref="D1191:H1191"/>
    <mergeCell ref="M1191:N1191"/>
    <mergeCell ref="O1191:P1191"/>
    <mergeCell ref="A1192:C1192"/>
    <mergeCell ref="D1192:G1192"/>
    <mergeCell ref="I1192:K1192"/>
    <mergeCell ref="L1192:N1192"/>
    <mergeCell ref="C1204:D1204"/>
    <mergeCell ref="E1204:F1204"/>
    <mergeCell ref="G1204:H1204"/>
    <mergeCell ref="K1204:L1204"/>
    <mergeCell ref="C1203:D1203"/>
    <mergeCell ref="G1203:H1203"/>
    <mergeCell ref="M1201:N1201"/>
    <mergeCell ref="C1202:D1202"/>
    <mergeCell ref="G1202:H1202"/>
    <mergeCell ref="C1208:D1208"/>
    <mergeCell ref="E1208:F1208"/>
    <mergeCell ref="G1208:H1208"/>
    <mergeCell ref="I1208:J1208"/>
    <mergeCell ref="C1207:D1207"/>
    <mergeCell ref="E1207:F1207"/>
    <mergeCell ref="G1207:H1207"/>
    <mergeCell ref="I1207:J1207"/>
    <mergeCell ref="C1205:D1205"/>
    <mergeCell ref="E1205:F1205"/>
    <mergeCell ref="G1205:H1205"/>
    <mergeCell ref="I1204:J1204"/>
    <mergeCell ref="K1205:L1205"/>
    <mergeCell ref="C1201:D1201"/>
    <mergeCell ref="E1201:F1201"/>
    <mergeCell ref="M1203:N1203"/>
    <mergeCell ref="M1204:N1204"/>
    <mergeCell ref="M1205:N1205"/>
    <mergeCell ref="K1207:L1207"/>
    <mergeCell ref="M1207:N1207"/>
    <mergeCell ref="K1208:L1208"/>
    <mergeCell ref="M1208:N1208"/>
    <mergeCell ref="C1209:D1209"/>
    <mergeCell ref="G1209:H1209"/>
    <mergeCell ref="I1209:J1209"/>
    <mergeCell ref="A1321:B1321"/>
    <mergeCell ref="A1322:B1322"/>
    <mergeCell ref="E1272:F1272"/>
    <mergeCell ref="G1272:H1272"/>
    <mergeCell ref="I1272:J1272"/>
    <mergeCell ref="M1272:N1272"/>
    <mergeCell ref="C1271:D1271"/>
    <mergeCell ref="E1271:F1271"/>
    <mergeCell ref="G1271:H1271"/>
    <mergeCell ref="I1271:J1271"/>
    <mergeCell ref="M1271:N1271"/>
    <mergeCell ref="C1269:D1269"/>
    <mergeCell ref="D1223:H1223"/>
    <mergeCell ref="M1223:N1223"/>
    <mergeCell ref="A1216:N1216"/>
    <mergeCell ref="A1217:N1217"/>
    <mergeCell ref="C1221:L1221"/>
    <mergeCell ref="J1230:K1230"/>
    <mergeCell ref="E1231:F1231"/>
    <mergeCell ref="G1240:H1240"/>
    <mergeCell ref="A1212:B1212"/>
    <mergeCell ref="C1212:D1212"/>
    <mergeCell ref="E1212:F1212"/>
    <mergeCell ref="I1212:K1212"/>
    <mergeCell ref="M1212:N1212"/>
    <mergeCell ref="A1213:B1213"/>
    <mergeCell ref="C1213:D1213"/>
    <mergeCell ref="C1240:D1240"/>
    <mergeCell ref="M1240:N1240"/>
    <mergeCell ref="C1239:D1239"/>
    <mergeCell ref="I1239:J1239"/>
    <mergeCell ref="K1239:L1239"/>
    <mergeCell ref="M1239:N1239"/>
    <mergeCell ref="E1235:F1235"/>
    <mergeCell ref="G1235:H1235"/>
    <mergeCell ref="K1235:L1235"/>
    <mergeCell ref="E1236:F1236"/>
    <mergeCell ref="I1240:J1240"/>
    <mergeCell ref="K1240:L1240"/>
    <mergeCell ref="E1241:F1241"/>
    <mergeCell ref="M1241:N1241"/>
    <mergeCell ref="M1237:N1237"/>
    <mergeCell ref="K1241:L1241"/>
    <mergeCell ref="G1241:H1241"/>
    <mergeCell ref="A1214:B1214"/>
    <mergeCell ref="C1214:D1214"/>
    <mergeCell ref="E1214:F1214"/>
    <mergeCell ref="A1255:C1255"/>
    <mergeCell ref="E1287:I1287"/>
    <mergeCell ref="C1233:D1233"/>
    <mergeCell ref="E1233:F1233"/>
    <mergeCell ref="O1255:P1255"/>
    <mergeCell ref="A1256:C1256"/>
    <mergeCell ref="D1256:G1256"/>
    <mergeCell ref="I1256:K1256"/>
    <mergeCell ref="L1256:N1256"/>
    <mergeCell ref="A1260:B1260"/>
    <mergeCell ref="E1261:F1261"/>
    <mergeCell ref="H1261:I1261"/>
    <mergeCell ref="G1233:H1233"/>
    <mergeCell ref="E1229:F1229"/>
    <mergeCell ref="H1229:I1229"/>
    <mergeCell ref="A1223:C1223"/>
    <mergeCell ref="E1246:F1246"/>
    <mergeCell ref="E1245:F1245"/>
    <mergeCell ref="M1234:N1234"/>
    <mergeCell ref="M1235:N1235"/>
    <mergeCell ref="G1239:H1239"/>
    <mergeCell ref="E1240:F1240"/>
    <mergeCell ref="A1225:B1225"/>
    <mergeCell ref="A1226:B1226"/>
    <mergeCell ref="A1227:B1227"/>
    <mergeCell ref="A1228:B1228"/>
    <mergeCell ref="C1245:D1245"/>
    <mergeCell ref="C1242:D1242"/>
    <mergeCell ref="C1241:D1241"/>
    <mergeCell ref="C1272:D1272"/>
    <mergeCell ref="A1257:B1257"/>
    <mergeCell ref="A1258:B1258"/>
    <mergeCell ref="A1259:B1259"/>
    <mergeCell ref="J1262:K1262"/>
    <mergeCell ref="E1263:F1263"/>
    <mergeCell ref="H1263:I1263"/>
    <mergeCell ref="C1265:D1265"/>
    <mergeCell ref="E1265:F1265"/>
    <mergeCell ref="G1265:H1265"/>
    <mergeCell ref="I1265:J1265"/>
    <mergeCell ref="K1265:L1265"/>
    <mergeCell ref="E1264:F1264"/>
    <mergeCell ref="H1264:I1264"/>
    <mergeCell ref="J1264:K1264"/>
    <mergeCell ref="J1263:K1263"/>
    <mergeCell ref="E1266:F1266"/>
    <mergeCell ref="K1266:L1266"/>
    <mergeCell ref="E1267:F1267"/>
    <mergeCell ref="K1267:L1267"/>
    <mergeCell ref="I1268:J1268"/>
    <mergeCell ref="K1268:L1268"/>
    <mergeCell ref="G1269:H1269"/>
    <mergeCell ref="C1267:D1267"/>
    <mergeCell ref="C1266:D1266"/>
    <mergeCell ref="I1273:J1273"/>
    <mergeCell ref="E1274:F1274"/>
    <mergeCell ref="J1325:K1325"/>
    <mergeCell ref="G1332:H1332"/>
    <mergeCell ref="G1273:H1273"/>
    <mergeCell ref="A1248:N1248"/>
    <mergeCell ref="A1249:N1249"/>
    <mergeCell ref="C1253:L1253"/>
    <mergeCell ref="J1261:K1261"/>
    <mergeCell ref="E1262:F1262"/>
    <mergeCell ref="H1262:I1262"/>
    <mergeCell ref="C1277:D1277"/>
    <mergeCell ref="E1277:F1277"/>
    <mergeCell ref="C1274:D1274"/>
    <mergeCell ref="A1290:B1290"/>
    <mergeCell ref="A1291:B1291"/>
    <mergeCell ref="A1292:B1292"/>
    <mergeCell ref="C1301:D1301"/>
    <mergeCell ref="K1301:L1301"/>
    <mergeCell ref="I1300:J1300"/>
    <mergeCell ref="E1268:F1268"/>
    <mergeCell ref="E1269:F1269"/>
    <mergeCell ref="K1272:L1272"/>
    <mergeCell ref="G1266:H1266"/>
    <mergeCell ref="I1266:J1266"/>
    <mergeCell ref="G1267:H1267"/>
    <mergeCell ref="I1267:J1267"/>
    <mergeCell ref="K1271:L1271"/>
    <mergeCell ref="I1269:J1269"/>
    <mergeCell ref="K1269:L1269"/>
    <mergeCell ref="M1269:N1269"/>
    <mergeCell ref="M1267:N1267"/>
    <mergeCell ref="C1273:D1273"/>
    <mergeCell ref="E1273:F1273"/>
    <mergeCell ref="C1330:D1330"/>
    <mergeCell ref="C1331:D1331"/>
    <mergeCell ref="I1331:J1331"/>
    <mergeCell ref="C1336:D1336"/>
    <mergeCell ref="E1336:F1336"/>
    <mergeCell ref="G1336:H1336"/>
    <mergeCell ref="I1336:J1336"/>
    <mergeCell ref="K1336:L1336"/>
    <mergeCell ref="K1331:L1331"/>
    <mergeCell ref="K1332:L1332"/>
    <mergeCell ref="A1323:B1323"/>
    <mergeCell ref="E1351:I1351"/>
    <mergeCell ref="M1319:N1319"/>
    <mergeCell ref="A1320:C1320"/>
    <mergeCell ref="D1320:G1320"/>
    <mergeCell ref="I1320:K1320"/>
    <mergeCell ref="L1320:N1320"/>
    <mergeCell ref="A1324:B1324"/>
    <mergeCell ref="H1328:I1328"/>
    <mergeCell ref="J1328:K1328"/>
    <mergeCell ref="M1336:N1336"/>
    <mergeCell ref="C1335:D1335"/>
    <mergeCell ref="E1335:F1335"/>
    <mergeCell ref="K1335:L1335"/>
    <mergeCell ref="M1335:N1335"/>
    <mergeCell ref="E1327:F1327"/>
    <mergeCell ref="G1335:H1335"/>
    <mergeCell ref="I1335:J1335"/>
    <mergeCell ref="C1309:D1309"/>
    <mergeCell ref="E1309:F1309"/>
    <mergeCell ref="O1318:P1318"/>
    <mergeCell ref="A1319:C1319"/>
    <mergeCell ref="C1332:D1332"/>
    <mergeCell ref="I1332:J1332"/>
    <mergeCell ref="Q1223:R1223"/>
    <mergeCell ref="A1224:C1224"/>
    <mergeCell ref="D1224:G1224"/>
    <mergeCell ref="I1224:K1224"/>
    <mergeCell ref="L1224:N1224"/>
    <mergeCell ref="A1278:B1278"/>
    <mergeCell ref="C1278:D1278"/>
    <mergeCell ref="E1278:F1278"/>
    <mergeCell ref="C1237:D1237"/>
    <mergeCell ref="I1237:J1237"/>
    <mergeCell ref="C1236:D1236"/>
    <mergeCell ref="I1236:J1236"/>
    <mergeCell ref="C1235:D1235"/>
    <mergeCell ref="A1276:B1276"/>
    <mergeCell ref="C1276:D1276"/>
    <mergeCell ref="E1276:F1276"/>
    <mergeCell ref="I1276:K1276"/>
    <mergeCell ref="M1276:N1276"/>
    <mergeCell ref="M1233:N1233"/>
    <mergeCell ref="C1234:D1234"/>
    <mergeCell ref="I1234:J1234"/>
    <mergeCell ref="E1232:F1232"/>
    <mergeCell ref="H1232:I1232"/>
    <mergeCell ref="J1232:K1232"/>
    <mergeCell ref="A1244:B1244"/>
    <mergeCell ref="C1244:D1244"/>
    <mergeCell ref="E1244:F1244"/>
    <mergeCell ref="A1245:B1245"/>
    <mergeCell ref="O1288:P1288"/>
    <mergeCell ref="C1300:D1300"/>
    <mergeCell ref="E1300:F1300"/>
    <mergeCell ref="K1300:L1300"/>
    <mergeCell ref="M1300:N1300"/>
    <mergeCell ref="M1298:N1298"/>
    <mergeCell ref="C1299:D1299"/>
    <mergeCell ref="E1299:F1299"/>
    <mergeCell ref="K1299:L1299"/>
    <mergeCell ref="M1299:N1299"/>
    <mergeCell ref="E1297:F1297"/>
    <mergeCell ref="C1298:D1298"/>
    <mergeCell ref="E1298:F1298"/>
    <mergeCell ref="G1298:H1298"/>
    <mergeCell ref="I1298:J1298"/>
    <mergeCell ref="K1298:L1298"/>
    <mergeCell ref="J1294:K1294"/>
    <mergeCell ref="G1299:H1299"/>
    <mergeCell ref="G1300:H1300"/>
    <mergeCell ref="E1294:F1294"/>
    <mergeCell ref="H1294:I1294"/>
    <mergeCell ref="A1288:C1288"/>
    <mergeCell ref="E1295:F1295"/>
    <mergeCell ref="H1295:I1295"/>
    <mergeCell ref="J1295:K1295"/>
    <mergeCell ref="E1296:F1296"/>
    <mergeCell ref="H1296:I1296"/>
    <mergeCell ref="I1297:J1297"/>
    <mergeCell ref="D1288:G1288"/>
    <mergeCell ref="J1296:K1296"/>
    <mergeCell ref="C1297:D1297"/>
    <mergeCell ref="G1297:H1297"/>
    <mergeCell ref="A1310:B1310"/>
    <mergeCell ref="C1310:D1310"/>
    <mergeCell ref="E1310:F1310"/>
    <mergeCell ref="A1312:N1312"/>
    <mergeCell ref="E1358:F1358"/>
    <mergeCell ref="H1358:I1358"/>
    <mergeCell ref="J1358:K1358"/>
    <mergeCell ref="A1351:C1351"/>
    <mergeCell ref="C1337:D1337"/>
    <mergeCell ref="A1353:B1353"/>
    <mergeCell ref="A1354:B1354"/>
    <mergeCell ref="A1355:B1355"/>
    <mergeCell ref="A1341:B1341"/>
    <mergeCell ref="A1313:N1313"/>
    <mergeCell ref="C1317:L1317"/>
    <mergeCell ref="E1329:F1329"/>
    <mergeCell ref="G1329:H1329"/>
    <mergeCell ref="I1329:J1329"/>
    <mergeCell ref="K1329:L1329"/>
    <mergeCell ref="M1337:N1337"/>
    <mergeCell ref="E1326:F1326"/>
    <mergeCell ref="H1326:I1326"/>
    <mergeCell ref="J1326:K1326"/>
    <mergeCell ref="K1338:L1338"/>
    <mergeCell ref="M1338:N1338"/>
    <mergeCell ref="L1352:N1352"/>
    <mergeCell ref="E1340:F1340"/>
    <mergeCell ref="M1340:N1340"/>
    <mergeCell ref="M1331:N1331"/>
    <mergeCell ref="E1332:F1332"/>
    <mergeCell ref="C1342:D1342"/>
    <mergeCell ref="E1342:F1342"/>
    <mergeCell ref="A1345:N1345"/>
    <mergeCell ref="C1349:L1349"/>
    <mergeCell ref="E1341:F1341"/>
    <mergeCell ref="A1344:N1344"/>
    <mergeCell ref="M1367:N1367"/>
    <mergeCell ref="I1352:K1352"/>
    <mergeCell ref="E1337:F1337"/>
    <mergeCell ref="G1337:H1337"/>
    <mergeCell ref="I1337:J1337"/>
    <mergeCell ref="K1337:L1337"/>
    <mergeCell ref="C1338:D1338"/>
    <mergeCell ref="E1338:F1338"/>
    <mergeCell ref="G1338:H1338"/>
    <mergeCell ref="I1338:J1338"/>
    <mergeCell ref="I1340:K1340"/>
    <mergeCell ref="C1341:D1341"/>
    <mergeCell ref="J1357:K1357"/>
    <mergeCell ref="A1352:C1352"/>
    <mergeCell ref="A1342:B1342"/>
    <mergeCell ref="A1340:B1340"/>
    <mergeCell ref="C1340:D1340"/>
    <mergeCell ref="D1352:G1352"/>
    <mergeCell ref="M1362:N1362"/>
    <mergeCell ref="C1361:D1361"/>
    <mergeCell ref="M1361:N1361"/>
    <mergeCell ref="E1359:F1359"/>
    <mergeCell ref="H1359:I1359"/>
    <mergeCell ref="J1359:K1359"/>
    <mergeCell ref="E1360:F1360"/>
    <mergeCell ref="C1363:D1363"/>
    <mergeCell ref="A1356:B1356"/>
    <mergeCell ref="J1360:K1360"/>
    <mergeCell ref="C1458:D1458"/>
    <mergeCell ref="E1458:F1458"/>
    <mergeCell ref="G1458:H1458"/>
    <mergeCell ref="I1458:J1458"/>
    <mergeCell ref="K1458:L1458"/>
    <mergeCell ref="M1458:N1458"/>
    <mergeCell ref="E1456:F1456"/>
    <mergeCell ref="H1456:I1456"/>
    <mergeCell ref="J1456:K1456"/>
    <mergeCell ref="C1457:D1457"/>
    <mergeCell ref="E1457:F1457"/>
    <mergeCell ref="G1457:H1457"/>
    <mergeCell ref="I1457:J1457"/>
    <mergeCell ref="K1457:L1457"/>
    <mergeCell ref="G1363:H1363"/>
    <mergeCell ref="K1363:L1363"/>
    <mergeCell ref="M1363:N1363"/>
    <mergeCell ref="E1453:F1453"/>
    <mergeCell ref="H1453:I1453"/>
    <mergeCell ref="A1447:C1447"/>
    <mergeCell ref="D1447:H1447"/>
    <mergeCell ref="M1447:N1447"/>
    <mergeCell ref="M1365:N1365"/>
    <mergeCell ref="G1367:H1367"/>
    <mergeCell ref="G1368:H1368"/>
    <mergeCell ref="D1415:H1415"/>
    <mergeCell ref="M1383:N1383"/>
    <mergeCell ref="A1373:B1373"/>
    <mergeCell ref="G1397:H1397"/>
    <mergeCell ref="C1373:D1373"/>
    <mergeCell ref="E1373:F1373"/>
    <mergeCell ref="E1391:F1391"/>
    <mergeCell ref="O1350:P1350"/>
    <mergeCell ref="K1364:L1364"/>
    <mergeCell ref="M1457:N1457"/>
    <mergeCell ref="O1447:P1447"/>
    <mergeCell ref="L1448:N1448"/>
    <mergeCell ref="A1440:N1440"/>
    <mergeCell ref="A1441:N1441"/>
    <mergeCell ref="C1445:L1445"/>
    <mergeCell ref="I1393:J1393"/>
    <mergeCell ref="K1393:L1393"/>
    <mergeCell ref="M1393:N1393"/>
    <mergeCell ref="C1394:D1394"/>
    <mergeCell ref="E1394:F1394"/>
    <mergeCell ref="G1394:H1394"/>
    <mergeCell ref="I1394:J1394"/>
    <mergeCell ref="K1394:L1394"/>
    <mergeCell ref="M1394:N1394"/>
    <mergeCell ref="C1395:D1395"/>
    <mergeCell ref="A1448:C1448"/>
    <mergeCell ref="D1448:G1448"/>
    <mergeCell ref="I1448:K1448"/>
    <mergeCell ref="A1449:B1449"/>
    <mergeCell ref="A1450:B1450"/>
    <mergeCell ref="A1451:B1451"/>
    <mergeCell ref="A1452:B1452"/>
    <mergeCell ref="J1453:K1453"/>
    <mergeCell ref="A1377:N1377"/>
    <mergeCell ref="C1381:L1381"/>
    <mergeCell ref="A1383:C1383"/>
    <mergeCell ref="E1383:I1383"/>
    <mergeCell ref="I1369:J1369"/>
    <mergeCell ref="C1362:D1362"/>
    <mergeCell ref="C1461:D1461"/>
    <mergeCell ref="E1461:F1461"/>
    <mergeCell ref="G1461:H1461"/>
    <mergeCell ref="I1461:J1461"/>
    <mergeCell ref="K1461:L1461"/>
    <mergeCell ref="M1461:N1461"/>
    <mergeCell ref="C1460:D1460"/>
    <mergeCell ref="E1460:F1460"/>
    <mergeCell ref="G1460:H1460"/>
    <mergeCell ref="I1460:J1460"/>
    <mergeCell ref="K1460:L1460"/>
    <mergeCell ref="M1460:N1460"/>
    <mergeCell ref="C1459:D1459"/>
    <mergeCell ref="E1459:F1459"/>
    <mergeCell ref="G1459:H1459"/>
    <mergeCell ref="I1459:J1459"/>
    <mergeCell ref="K1459:L1459"/>
    <mergeCell ref="M1459:N1459"/>
    <mergeCell ref="H1391:I1391"/>
    <mergeCell ref="J1391:K1391"/>
    <mergeCell ref="E1392:F1392"/>
    <mergeCell ref="H1392:I1392"/>
    <mergeCell ref="J1392:K1392"/>
    <mergeCell ref="C1393:D1393"/>
    <mergeCell ref="E1393:F1393"/>
    <mergeCell ref="G1393:H1393"/>
    <mergeCell ref="C1465:D1465"/>
    <mergeCell ref="E1465:F1465"/>
    <mergeCell ref="G1465:H1465"/>
    <mergeCell ref="I1465:J1465"/>
    <mergeCell ref="K1465:L1465"/>
    <mergeCell ref="M1465:N1465"/>
    <mergeCell ref="C1464:D1464"/>
    <mergeCell ref="E1464:F1464"/>
    <mergeCell ref="G1464:H1464"/>
    <mergeCell ref="I1464:J1464"/>
    <mergeCell ref="K1464:L1464"/>
    <mergeCell ref="M1464:N1464"/>
    <mergeCell ref="E1454:F1454"/>
    <mergeCell ref="H1454:I1454"/>
    <mergeCell ref="J1454:K1454"/>
    <mergeCell ref="E1455:F1455"/>
    <mergeCell ref="H1455:I1455"/>
    <mergeCell ref="J1455:K1455"/>
    <mergeCell ref="C1463:D1463"/>
    <mergeCell ref="E1463:F1463"/>
    <mergeCell ref="G1463:H1463"/>
    <mergeCell ref="I1463:J1463"/>
    <mergeCell ref="K1463:L1463"/>
    <mergeCell ref="M1463:N1463"/>
    <mergeCell ref="A1470:B1470"/>
    <mergeCell ref="C1470:D1470"/>
    <mergeCell ref="E1470:F1470"/>
    <mergeCell ref="A1472:N1472"/>
    <mergeCell ref="A1473:N1473"/>
    <mergeCell ref="C1477:L1477"/>
    <mergeCell ref="A1468:B1468"/>
    <mergeCell ref="C1468:D1468"/>
    <mergeCell ref="E1468:F1468"/>
    <mergeCell ref="I1468:K1468"/>
    <mergeCell ref="M1468:N1468"/>
    <mergeCell ref="A1469:B1469"/>
    <mergeCell ref="C1469:D1469"/>
    <mergeCell ref="E1469:F1469"/>
    <mergeCell ref="C1466:D1466"/>
    <mergeCell ref="E1466:F1466"/>
    <mergeCell ref="G1466:H1466"/>
    <mergeCell ref="I1466:J1466"/>
    <mergeCell ref="K1466:L1466"/>
    <mergeCell ref="M1466:N1466"/>
    <mergeCell ref="J1485:K1485"/>
    <mergeCell ref="E1486:F1486"/>
    <mergeCell ref="H1486:I1486"/>
    <mergeCell ref="J1486:K1486"/>
    <mergeCell ref="E1487:F1487"/>
    <mergeCell ref="H1487:I1487"/>
    <mergeCell ref="J1487:K1487"/>
    <mergeCell ref="A1481:B1481"/>
    <mergeCell ref="A1482:B1482"/>
    <mergeCell ref="A1483:B1483"/>
    <mergeCell ref="A1484:B1484"/>
    <mergeCell ref="E1485:F1485"/>
    <mergeCell ref="H1485:I1485"/>
    <mergeCell ref="A1479:C1479"/>
    <mergeCell ref="D1479:H1479"/>
    <mergeCell ref="M1479:N1479"/>
    <mergeCell ref="O1479:P1479"/>
    <mergeCell ref="A1480:C1480"/>
    <mergeCell ref="D1480:G1480"/>
    <mergeCell ref="I1480:K1480"/>
    <mergeCell ref="L1480:N1480"/>
    <mergeCell ref="C1491:D1491"/>
    <mergeCell ref="E1491:F1491"/>
    <mergeCell ref="G1491:H1491"/>
    <mergeCell ref="I1491:J1491"/>
    <mergeCell ref="K1491:L1491"/>
    <mergeCell ref="M1491:N1491"/>
    <mergeCell ref="M1489:N1489"/>
    <mergeCell ref="C1490:D1490"/>
    <mergeCell ref="E1490:F1490"/>
    <mergeCell ref="G1490:H1490"/>
    <mergeCell ref="I1490:J1490"/>
    <mergeCell ref="K1490:L1490"/>
    <mergeCell ref="M1490:N1490"/>
    <mergeCell ref="E1488:F1488"/>
    <mergeCell ref="H1488:I1488"/>
    <mergeCell ref="J1488:K1488"/>
    <mergeCell ref="C1489:D1489"/>
    <mergeCell ref="E1489:F1489"/>
    <mergeCell ref="G1489:H1489"/>
    <mergeCell ref="I1489:J1489"/>
    <mergeCell ref="K1489:L1489"/>
    <mergeCell ref="C1495:D1495"/>
    <mergeCell ref="E1495:F1495"/>
    <mergeCell ref="G1495:H1495"/>
    <mergeCell ref="I1495:J1495"/>
    <mergeCell ref="K1495:L1495"/>
    <mergeCell ref="M1495:N1495"/>
    <mergeCell ref="C1493:D1493"/>
    <mergeCell ref="E1493:F1493"/>
    <mergeCell ref="G1493:H1493"/>
    <mergeCell ref="I1493:J1493"/>
    <mergeCell ref="K1493:L1493"/>
    <mergeCell ref="M1493:N1493"/>
    <mergeCell ref="C1492:D1492"/>
    <mergeCell ref="E1492:F1492"/>
    <mergeCell ref="G1492:H1492"/>
    <mergeCell ref="I1492:J1492"/>
    <mergeCell ref="K1492:L1492"/>
    <mergeCell ref="M1492:N1492"/>
    <mergeCell ref="C1498:D1498"/>
    <mergeCell ref="E1498:F1498"/>
    <mergeCell ref="G1498:H1498"/>
    <mergeCell ref="I1498:J1498"/>
    <mergeCell ref="K1498:L1498"/>
    <mergeCell ref="M1498:N1498"/>
    <mergeCell ref="C1497:D1497"/>
    <mergeCell ref="E1497:F1497"/>
    <mergeCell ref="G1497:H1497"/>
    <mergeCell ref="I1497:J1497"/>
    <mergeCell ref="K1497:L1497"/>
    <mergeCell ref="M1497:N1497"/>
    <mergeCell ref="C1496:D1496"/>
    <mergeCell ref="E1496:F1496"/>
    <mergeCell ref="G1496:H1496"/>
    <mergeCell ref="I1496:J1496"/>
    <mergeCell ref="K1496:L1496"/>
    <mergeCell ref="M1496:N1496"/>
    <mergeCell ref="A1511:C1511"/>
    <mergeCell ref="D1511:H1511"/>
    <mergeCell ref="M1511:N1511"/>
    <mergeCell ref="O1511:P1511"/>
    <mergeCell ref="A1512:C1512"/>
    <mergeCell ref="D1512:G1512"/>
    <mergeCell ref="I1512:K1512"/>
    <mergeCell ref="L1512:N1512"/>
    <mergeCell ref="A1502:B1502"/>
    <mergeCell ref="C1502:D1502"/>
    <mergeCell ref="E1502:F1502"/>
    <mergeCell ref="A1504:N1504"/>
    <mergeCell ref="A1505:N1505"/>
    <mergeCell ref="C1509:L1509"/>
    <mergeCell ref="A1500:B1500"/>
    <mergeCell ref="C1500:D1500"/>
    <mergeCell ref="E1500:F1500"/>
    <mergeCell ref="I1500:K1500"/>
    <mergeCell ref="M1500:N1500"/>
    <mergeCell ref="A1501:B1501"/>
    <mergeCell ref="C1501:D1501"/>
    <mergeCell ref="E1501:F1501"/>
    <mergeCell ref="E1520:F1520"/>
    <mergeCell ref="H1520:I1520"/>
    <mergeCell ref="J1520:K1520"/>
    <mergeCell ref="C1521:D1521"/>
    <mergeCell ref="E1521:F1521"/>
    <mergeCell ref="G1521:H1521"/>
    <mergeCell ref="I1521:J1521"/>
    <mergeCell ref="K1521:L1521"/>
    <mergeCell ref="J1517:K1517"/>
    <mergeCell ref="E1518:F1518"/>
    <mergeCell ref="H1518:I1518"/>
    <mergeCell ref="J1518:K1518"/>
    <mergeCell ref="E1519:F1519"/>
    <mergeCell ref="H1519:I1519"/>
    <mergeCell ref="J1519:K1519"/>
    <mergeCell ref="A1513:B1513"/>
    <mergeCell ref="A1514:B1514"/>
    <mergeCell ref="A1515:B1515"/>
    <mergeCell ref="A1516:B1516"/>
    <mergeCell ref="E1517:F1517"/>
    <mergeCell ref="H1517:I1517"/>
    <mergeCell ref="C1524:D1524"/>
    <mergeCell ref="E1524:F1524"/>
    <mergeCell ref="G1524:H1524"/>
    <mergeCell ref="I1524:J1524"/>
    <mergeCell ref="K1524:L1524"/>
    <mergeCell ref="M1524:N1524"/>
    <mergeCell ref="C1523:D1523"/>
    <mergeCell ref="E1523:F1523"/>
    <mergeCell ref="G1523:H1523"/>
    <mergeCell ref="I1523:J1523"/>
    <mergeCell ref="K1523:L1523"/>
    <mergeCell ref="M1523:N1523"/>
    <mergeCell ref="M1521:N1521"/>
    <mergeCell ref="C1522:D1522"/>
    <mergeCell ref="E1522:F1522"/>
    <mergeCell ref="G1522:H1522"/>
    <mergeCell ref="I1522:J1522"/>
    <mergeCell ref="K1522:L1522"/>
    <mergeCell ref="M1522:N1522"/>
    <mergeCell ref="C1528:D1528"/>
    <mergeCell ref="E1528:F1528"/>
    <mergeCell ref="G1528:H1528"/>
    <mergeCell ref="I1528:J1528"/>
    <mergeCell ref="K1528:L1528"/>
    <mergeCell ref="M1528:N1528"/>
    <mergeCell ref="C1527:D1527"/>
    <mergeCell ref="E1527:F1527"/>
    <mergeCell ref="G1527:H1527"/>
    <mergeCell ref="I1527:J1527"/>
    <mergeCell ref="K1527:L1527"/>
    <mergeCell ref="M1527:N1527"/>
    <mergeCell ref="C1525:D1525"/>
    <mergeCell ref="E1525:F1525"/>
    <mergeCell ref="G1525:H1525"/>
    <mergeCell ref="I1525:J1525"/>
    <mergeCell ref="K1525:L1525"/>
    <mergeCell ref="M1525:N1525"/>
    <mergeCell ref="A1532:B1532"/>
    <mergeCell ref="C1532:D1532"/>
    <mergeCell ref="E1532:F1532"/>
    <mergeCell ref="I1532:K1532"/>
    <mergeCell ref="M1532:N1532"/>
    <mergeCell ref="A1533:B1533"/>
    <mergeCell ref="C1533:D1533"/>
    <mergeCell ref="E1533:F1533"/>
    <mergeCell ref="C1530:D1530"/>
    <mergeCell ref="E1530:F1530"/>
    <mergeCell ref="G1530:H1530"/>
    <mergeCell ref="I1530:J1530"/>
    <mergeCell ref="K1530:L1530"/>
    <mergeCell ref="M1530:N1530"/>
    <mergeCell ref="C1529:D1529"/>
    <mergeCell ref="E1529:F1529"/>
    <mergeCell ref="G1529:H1529"/>
    <mergeCell ref="I1529:J1529"/>
    <mergeCell ref="K1529:L1529"/>
    <mergeCell ref="M1529:N1529"/>
    <mergeCell ref="A1545:B1545"/>
    <mergeCell ref="A1546:B1546"/>
    <mergeCell ref="A1547:B1547"/>
    <mergeCell ref="A1548:B1548"/>
    <mergeCell ref="E1549:F1549"/>
    <mergeCell ref="H1549:I1549"/>
    <mergeCell ref="A1543:C1543"/>
    <mergeCell ref="D1543:H1543"/>
    <mergeCell ref="M1543:N1543"/>
    <mergeCell ref="O1543:P1543"/>
    <mergeCell ref="A1544:C1544"/>
    <mergeCell ref="D1544:G1544"/>
    <mergeCell ref="I1544:K1544"/>
    <mergeCell ref="L1544:N1544"/>
    <mergeCell ref="A1534:B1534"/>
    <mergeCell ref="C1534:D1534"/>
    <mergeCell ref="E1534:F1534"/>
    <mergeCell ref="A1536:N1536"/>
    <mergeCell ref="A1537:N1537"/>
    <mergeCell ref="C1541:L1541"/>
    <mergeCell ref="M1553:N1553"/>
    <mergeCell ref="C1554:D1554"/>
    <mergeCell ref="E1554:F1554"/>
    <mergeCell ref="G1554:H1554"/>
    <mergeCell ref="I1554:J1554"/>
    <mergeCell ref="K1554:L1554"/>
    <mergeCell ref="M1554:N1554"/>
    <mergeCell ref="E1552:F1552"/>
    <mergeCell ref="H1552:I1552"/>
    <mergeCell ref="J1552:K1552"/>
    <mergeCell ref="C1553:D1553"/>
    <mergeCell ref="E1553:F1553"/>
    <mergeCell ref="G1553:H1553"/>
    <mergeCell ref="I1553:J1553"/>
    <mergeCell ref="K1553:L1553"/>
    <mergeCell ref="J1549:K1549"/>
    <mergeCell ref="E1550:F1550"/>
    <mergeCell ref="H1550:I1550"/>
    <mergeCell ref="J1550:K1550"/>
    <mergeCell ref="E1551:F1551"/>
    <mergeCell ref="H1551:I1551"/>
    <mergeCell ref="J1551:K1551"/>
    <mergeCell ref="C1557:D1557"/>
    <mergeCell ref="E1557:F1557"/>
    <mergeCell ref="G1557:H1557"/>
    <mergeCell ref="I1557:J1557"/>
    <mergeCell ref="K1557:L1557"/>
    <mergeCell ref="M1557:N1557"/>
    <mergeCell ref="C1556:D1556"/>
    <mergeCell ref="E1556:F1556"/>
    <mergeCell ref="G1556:H1556"/>
    <mergeCell ref="I1556:J1556"/>
    <mergeCell ref="K1556:L1556"/>
    <mergeCell ref="M1556:N1556"/>
    <mergeCell ref="C1555:D1555"/>
    <mergeCell ref="E1555:F1555"/>
    <mergeCell ref="G1555:H1555"/>
    <mergeCell ref="I1555:J1555"/>
    <mergeCell ref="K1555:L1555"/>
    <mergeCell ref="M1555:N1555"/>
    <mergeCell ref="C1561:D1561"/>
    <mergeCell ref="E1561:F1561"/>
    <mergeCell ref="G1561:H1561"/>
    <mergeCell ref="I1561:J1561"/>
    <mergeCell ref="K1561:L1561"/>
    <mergeCell ref="M1561:N1561"/>
    <mergeCell ref="C1560:D1560"/>
    <mergeCell ref="E1560:F1560"/>
    <mergeCell ref="G1560:H1560"/>
    <mergeCell ref="I1560:J1560"/>
    <mergeCell ref="K1560:L1560"/>
    <mergeCell ref="M1560:N1560"/>
    <mergeCell ref="C1559:D1559"/>
    <mergeCell ref="E1559:F1559"/>
    <mergeCell ref="G1559:H1559"/>
    <mergeCell ref="I1559:J1559"/>
    <mergeCell ref="K1559:L1559"/>
    <mergeCell ref="M1559:N1559"/>
    <mergeCell ref="A1566:B1566"/>
    <mergeCell ref="C1566:D1566"/>
    <mergeCell ref="E1566:F1566"/>
    <mergeCell ref="A1568:N1568"/>
    <mergeCell ref="A1569:N1569"/>
    <mergeCell ref="C1573:L1573"/>
    <mergeCell ref="A1564:B1564"/>
    <mergeCell ref="C1564:D1564"/>
    <mergeCell ref="E1564:F1564"/>
    <mergeCell ref="I1564:K1564"/>
    <mergeCell ref="M1564:N1564"/>
    <mergeCell ref="A1565:B1565"/>
    <mergeCell ref="C1565:D1565"/>
    <mergeCell ref="E1565:F1565"/>
    <mergeCell ref="C1562:D1562"/>
    <mergeCell ref="E1562:F1562"/>
    <mergeCell ref="G1562:H1562"/>
    <mergeCell ref="I1562:J1562"/>
    <mergeCell ref="K1562:L1562"/>
    <mergeCell ref="M1562:N1562"/>
    <mergeCell ref="J1581:K1581"/>
    <mergeCell ref="E1582:F1582"/>
    <mergeCell ref="H1582:I1582"/>
    <mergeCell ref="J1582:K1582"/>
    <mergeCell ref="E1583:F1583"/>
    <mergeCell ref="H1583:I1583"/>
    <mergeCell ref="J1583:K1583"/>
    <mergeCell ref="A1577:B1577"/>
    <mergeCell ref="A1578:B1578"/>
    <mergeCell ref="A1579:B1579"/>
    <mergeCell ref="A1580:B1580"/>
    <mergeCell ref="E1581:F1581"/>
    <mergeCell ref="H1581:I1581"/>
    <mergeCell ref="A1575:C1575"/>
    <mergeCell ref="D1575:H1575"/>
    <mergeCell ref="M1575:N1575"/>
    <mergeCell ref="O1575:P1575"/>
    <mergeCell ref="A1576:C1576"/>
    <mergeCell ref="D1576:G1576"/>
    <mergeCell ref="I1576:K1576"/>
    <mergeCell ref="L1576:N1576"/>
    <mergeCell ref="C1587:D1587"/>
    <mergeCell ref="E1587:F1587"/>
    <mergeCell ref="G1587:H1587"/>
    <mergeCell ref="I1587:J1587"/>
    <mergeCell ref="K1587:L1587"/>
    <mergeCell ref="M1587:N1587"/>
    <mergeCell ref="M1585:N1585"/>
    <mergeCell ref="C1586:D1586"/>
    <mergeCell ref="E1586:F1586"/>
    <mergeCell ref="G1586:H1586"/>
    <mergeCell ref="I1586:J1586"/>
    <mergeCell ref="K1586:L1586"/>
    <mergeCell ref="M1586:N1586"/>
    <mergeCell ref="E1584:F1584"/>
    <mergeCell ref="H1584:I1584"/>
    <mergeCell ref="J1584:K1584"/>
    <mergeCell ref="C1585:D1585"/>
    <mergeCell ref="E1585:F1585"/>
    <mergeCell ref="G1585:H1585"/>
    <mergeCell ref="I1585:J1585"/>
    <mergeCell ref="K1585:L1585"/>
    <mergeCell ref="K1592:L1592"/>
    <mergeCell ref="M1592:N1592"/>
    <mergeCell ref="C1591:D1591"/>
    <mergeCell ref="E1591:F1591"/>
    <mergeCell ref="G1591:H1591"/>
    <mergeCell ref="I1591:J1591"/>
    <mergeCell ref="K1591:L1591"/>
    <mergeCell ref="M1591:N1591"/>
    <mergeCell ref="C1589:D1589"/>
    <mergeCell ref="E1589:F1589"/>
    <mergeCell ref="G1589:H1589"/>
    <mergeCell ref="I1589:J1589"/>
    <mergeCell ref="K1589:L1589"/>
    <mergeCell ref="M1589:N1589"/>
    <mergeCell ref="C1588:D1588"/>
    <mergeCell ref="E1588:F1588"/>
    <mergeCell ref="G1588:H1588"/>
    <mergeCell ref="I1588:J1588"/>
    <mergeCell ref="K1588:L1588"/>
    <mergeCell ref="M1588:N1588"/>
    <mergeCell ref="G1592:H1592"/>
    <mergeCell ref="A1596:B1596"/>
    <mergeCell ref="C1596:D1596"/>
    <mergeCell ref="E1596:F1596"/>
    <mergeCell ref="I1596:K1596"/>
    <mergeCell ref="M1596:N1596"/>
    <mergeCell ref="A1597:B1597"/>
    <mergeCell ref="C1597:D1597"/>
    <mergeCell ref="E1597:F1597"/>
    <mergeCell ref="C1594:D1594"/>
    <mergeCell ref="E1594:F1594"/>
    <mergeCell ref="G1594:H1594"/>
    <mergeCell ref="I1594:J1594"/>
    <mergeCell ref="K1594:L1594"/>
    <mergeCell ref="M1594:N1594"/>
    <mergeCell ref="C1593:D1593"/>
    <mergeCell ref="E1593:F1593"/>
    <mergeCell ref="G1593:H1593"/>
    <mergeCell ref="I1593:J1593"/>
    <mergeCell ref="K1593:L1593"/>
    <mergeCell ref="M1593:N1593"/>
    <mergeCell ref="A1609:B1609"/>
    <mergeCell ref="A1610:B1610"/>
    <mergeCell ref="A1611:B1611"/>
    <mergeCell ref="A1612:B1612"/>
    <mergeCell ref="E1613:F1613"/>
    <mergeCell ref="H1613:I1613"/>
    <mergeCell ref="A1607:C1607"/>
    <mergeCell ref="D1607:H1607"/>
    <mergeCell ref="M1607:N1607"/>
    <mergeCell ref="O1607:P1607"/>
    <mergeCell ref="A1608:C1608"/>
    <mergeCell ref="D1608:G1608"/>
    <mergeCell ref="I1608:K1608"/>
    <mergeCell ref="L1608:N1608"/>
    <mergeCell ref="A1598:B1598"/>
    <mergeCell ref="C1598:D1598"/>
    <mergeCell ref="E1598:F1598"/>
    <mergeCell ref="A1600:N1600"/>
    <mergeCell ref="A1601:N1601"/>
    <mergeCell ref="C1605:L1605"/>
    <mergeCell ref="M1617:N1617"/>
    <mergeCell ref="C1618:D1618"/>
    <mergeCell ref="E1618:F1618"/>
    <mergeCell ref="G1618:H1618"/>
    <mergeCell ref="I1618:J1618"/>
    <mergeCell ref="K1618:L1618"/>
    <mergeCell ref="M1618:N1618"/>
    <mergeCell ref="C1617:D1617"/>
    <mergeCell ref="E1617:F1617"/>
    <mergeCell ref="G1617:H1617"/>
    <mergeCell ref="I1617:J1617"/>
    <mergeCell ref="K1617:L1617"/>
    <mergeCell ref="G1621:H1621"/>
    <mergeCell ref="I1621:J1621"/>
    <mergeCell ref="K1621:L1621"/>
    <mergeCell ref="M1621:N1621"/>
    <mergeCell ref="C1620:D1620"/>
    <mergeCell ref="E1620:F1620"/>
    <mergeCell ref="C341:D341"/>
    <mergeCell ref="C602:D602"/>
    <mergeCell ref="C601:D601"/>
    <mergeCell ref="C600:D600"/>
    <mergeCell ref="E600:F600"/>
    <mergeCell ref="A1630:B1630"/>
    <mergeCell ref="C1630:D1630"/>
    <mergeCell ref="E1630:F1630"/>
    <mergeCell ref="A1628:B1628"/>
    <mergeCell ref="C1628:D1628"/>
    <mergeCell ref="E1628:F1628"/>
    <mergeCell ref="I1628:K1628"/>
    <mergeCell ref="M1628:N1628"/>
    <mergeCell ref="A1629:B1629"/>
    <mergeCell ref="C1629:D1629"/>
    <mergeCell ref="E1629:F1629"/>
    <mergeCell ref="C1626:D1626"/>
    <mergeCell ref="E1626:F1626"/>
    <mergeCell ref="G1626:H1626"/>
    <mergeCell ref="I1626:J1626"/>
    <mergeCell ref="K1626:L1626"/>
    <mergeCell ref="K729:L729"/>
    <mergeCell ref="K730:L730"/>
    <mergeCell ref="M729:N729"/>
    <mergeCell ref="M730:N730"/>
    <mergeCell ref="C1623:D1623"/>
    <mergeCell ref="G1619:H1619"/>
    <mergeCell ref="E1623:F1623"/>
    <mergeCell ref="I1619:J1619"/>
    <mergeCell ref="K1619:L1619"/>
    <mergeCell ref="M1619:N1619"/>
    <mergeCell ref="M786:N786"/>
    <mergeCell ref="O1671:P1671"/>
    <mergeCell ref="O1703:P1703"/>
    <mergeCell ref="O1735:P1735"/>
    <mergeCell ref="O1767:P1767"/>
    <mergeCell ref="M564:N564"/>
    <mergeCell ref="C567:D567"/>
    <mergeCell ref="E567:F567"/>
    <mergeCell ref="E568:F568"/>
    <mergeCell ref="G568:H568"/>
    <mergeCell ref="K568:L568"/>
    <mergeCell ref="M568:N568"/>
    <mergeCell ref="G594:H594"/>
    <mergeCell ref="I594:J594"/>
    <mergeCell ref="K594:L594"/>
    <mergeCell ref="C568:D568"/>
    <mergeCell ref="I568:J568"/>
    <mergeCell ref="C606:D606"/>
    <mergeCell ref="G596:H596"/>
    <mergeCell ref="M565:N565"/>
    <mergeCell ref="E1616:F1616"/>
    <mergeCell ref="H1616:I1616"/>
    <mergeCell ref="J1616:K1616"/>
    <mergeCell ref="J1613:K1613"/>
    <mergeCell ref="E1614:F1614"/>
    <mergeCell ref="H1614:I1614"/>
    <mergeCell ref="J1614:K1614"/>
    <mergeCell ref="E1615:F1615"/>
    <mergeCell ref="H1615:I1615"/>
    <mergeCell ref="J1615:K1615"/>
    <mergeCell ref="C1592:D1592"/>
    <mergeCell ref="E1592:F1592"/>
    <mergeCell ref="M756:N756"/>
    <mergeCell ref="O1639:P1639"/>
    <mergeCell ref="C1625:D1625"/>
    <mergeCell ref="E1625:F1625"/>
    <mergeCell ref="G1625:H1625"/>
    <mergeCell ref="I1625:J1625"/>
    <mergeCell ref="K1625:L1625"/>
    <mergeCell ref="M1625:N1625"/>
    <mergeCell ref="C1624:D1624"/>
    <mergeCell ref="E1624:F1624"/>
    <mergeCell ref="G1624:H1624"/>
    <mergeCell ref="I1624:J1624"/>
    <mergeCell ref="K1624:L1624"/>
    <mergeCell ref="M1624:N1624"/>
    <mergeCell ref="I794:J794"/>
    <mergeCell ref="K789:L789"/>
    <mergeCell ref="E794:F794"/>
    <mergeCell ref="G794:H794"/>
    <mergeCell ref="I1592:J1592"/>
    <mergeCell ref="G1623:H1623"/>
    <mergeCell ref="I1623:J1623"/>
    <mergeCell ref="K1623:L1623"/>
    <mergeCell ref="M1623:N1623"/>
    <mergeCell ref="C1621:D1621"/>
    <mergeCell ref="E1621:F1621"/>
    <mergeCell ref="M1626:N1626"/>
    <mergeCell ref="G1620:H1620"/>
    <mergeCell ref="I1620:J1620"/>
    <mergeCell ref="K1620:L1620"/>
    <mergeCell ref="M1620:N1620"/>
    <mergeCell ref="C1619:D1619"/>
    <mergeCell ref="E1619:F1619"/>
    <mergeCell ref="M819:N819"/>
    <mergeCell ref="E757:F757"/>
    <mergeCell ref="C796:D796"/>
    <mergeCell ref="E796:F796"/>
    <mergeCell ref="I796:K796"/>
    <mergeCell ref="M796:N796"/>
    <mergeCell ref="A797:B797"/>
    <mergeCell ref="C797:D797"/>
    <mergeCell ref="E797:F797"/>
    <mergeCell ref="C794:D794"/>
    <mergeCell ref="K794:L794"/>
    <mergeCell ref="C793:D793"/>
    <mergeCell ref="M788:N788"/>
    <mergeCell ref="M919:N919"/>
    <mergeCell ref="M914:N914"/>
    <mergeCell ref="J909:K909"/>
    <mergeCell ref="K917:L917"/>
    <mergeCell ref="E916:F916"/>
    <mergeCell ref="G916:H916"/>
    <mergeCell ref="K916:L916"/>
    <mergeCell ref="K761:L761"/>
    <mergeCell ref="K762:L762"/>
    <mergeCell ref="J815:K815"/>
    <mergeCell ref="G819:H819"/>
    <mergeCell ref="I819:J819"/>
    <mergeCell ref="I887:J887"/>
    <mergeCell ref="K887:L887"/>
    <mergeCell ref="I917:J917"/>
    <mergeCell ref="J783:K783"/>
    <mergeCell ref="K826:L826"/>
    <mergeCell ref="C826:D826"/>
    <mergeCell ref="I826:J826"/>
    <mergeCell ref="E786:F786"/>
    <mergeCell ref="G920:H920"/>
    <mergeCell ref="I920:J920"/>
    <mergeCell ref="M920:N920"/>
    <mergeCell ref="I922:J922"/>
    <mergeCell ref="M922:N922"/>
    <mergeCell ref="E917:F917"/>
    <mergeCell ref="K919:L919"/>
    <mergeCell ref="M828:N828"/>
    <mergeCell ref="A829:B829"/>
    <mergeCell ref="C829:D829"/>
    <mergeCell ref="E829:F829"/>
    <mergeCell ref="I828:K828"/>
    <mergeCell ref="M917:N917"/>
    <mergeCell ref="M921:N921"/>
    <mergeCell ref="I921:J921"/>
    <mergeCell ref="C919:D919"/>
    <mergeCell ref="G919:H919"/>
    <mergeCell ref="I919:J919"/>
    <mergeCell ref="A903:C903"/>
    <mergeCell ref="D903:H903"/>
    <mergeCell ref="M903:N903"/>
    <mergeCell ref="E856:F856"/>
    <mergeCell ref="A832:N832"/>
    <mergeCell ref="A833:N833"/>
    <mergeCell ref="C837:L837"/>
    <mergeCell ref="M916:N916"/>
    <mergeCell ref="M915:N915"/>
    <mergeCell ref="K920:L920"/>
    <mergeCell ref="G917:H917"/>
    <mergeCell ref="H911:I911"/>
    <mergeCell ref="K856:L856"/>
    <mergeCell ref="G887:H887"/>
    <mergeCell ref="H943:I943"/>
    <mergeCell ref="J943:K943"/>
    <mergeCell ref="M946:N946"/>
    <mergeCell ref="H941:I941"/>
    <mergeCell ref="E977:F977"/>
    <mergeCell ref="I977:J977"/>
    <mergeCell ref="K977:L977"/>
    <mergeCell ref="M983:N983"/>
    <mergeCell ref="G985:H985"/>
    <mergeCell ref="M952:N952"/>
    <mergeCell ref="M953:N953"/>
    <mergeCell ref="M984:N984"/>
    <mergeCell ref="E980:F980"/>
    <mergeCell ref="I980:J980"/>
    <mergeCell ref="K980:L980"/>
    <mergeCell ref="M980:N980"/>
    <mergeCell ref="E981:F981"/>
    <mergeCell ref="E979:F979"/>
    <mergeCell ref="G979:H979"/>
    <mergeCell ref="I979:J979"/>
    <mergeCell ref="M977:N977"/>
    <mergeCell ref="M981:N981"/>
    <mergeCell ref="M951:N951"/>
    <mergeCell ref="K978:L978"/>
    <mergeCell ref="J944:K944"/>
    <mergeCell ref="G983:H983"/>
    <mergeCell ref="I983:J983"/>
    <mergeCell ref="K983:L983"/>
    <mergeCell ref="I952:J952"/>
    <mergeCell ref="I985:J985"/>
    <mergeCell ref="K985:L985"/>
    <mergeCell ref="M732:N732"/>
    <mergeCell ref="M561:N561"/>
    <mergeCell ref="G595:H595"/>
    <mergeCell ref="I595:J595"/>
    <mergeCell ref="G562:H562"/>
    <mergeCell ref="E531:F531"/>
    <mergeCell ref="K595:L595"/>
    <mergeCell ref="E594:F594"/>
    <mergeCell ref="M985:N985"/>
    <mergeCell ref="G986:H986"/>
    <mergeCell ref="I986:J986"/>
    <mergeCell ref="K986:L986"/>
    <mergeCell ref="M986:N986"/>
    <mergeCell ref="M949:N949"/>
    <mergeCell ref="M948:N948"/>
    <mergeCell ref="G945:H945"/>
    <mergeCell ref="I945:J945"/>
    <mergeCell ref="K945:L945"/>
    <mergeCell ref="J941:K941"/>
    <mergeCell ref="E942:F942"/>
    <mergeCell ref="H942:I942"/>
    <mergeCell ref="J942:K942"/>
    <mergeCell ref="E943:F943"/>
    <mergeCell ref="M947:N947"/>
    <mergeCell ref="M945:N945"/>
    <mergeCell ref="M978:N978"/>
    <mergeCell ref="E976:F976"/>
    <mergeCell ref="E945:F945"/>
    <mergeCell ref="A736:N736"/>
    <mergeCell ref="A737:N737"/>
    <mergeCell ref="C613:L613"/>
    <mergeCell ref="C741:L741"/>
    <mergeCell ref="I732:K732"/>
    <mergeCell ref="C605:D605"/>
    <mergeCell ref="C599:D599"/>
    <mergeCell ref="I564:J564"/>
    <mergeCell ref="C945:D945"/>
    <mergeCell ref="K154:L154"/>
    <mergeCell ref="E179:F179"/>
    <mergeCell ref="E180:F180"/>
    <mergeCell ref="E181:F181"/>
    <mergeCell ref="G178:H178"/>
    <mergeCell ref="G181:H181"/>
    <mergeCell ref="I178:J178"/>
    <mergeCell ref="C165:L165"/>
    <mergeCell ref="A167:C167"/>
    <mergeCell ref="D167:H167"/>
    <mergeCell ref="E173:F173"/>
    <mergeCell ref="A156:B156"/>
    <mergeCell ref="E407:F407"/>
    <mergeCell ref="G407:H407"/>
    <mergeCell ref="E718:F718"/>
    <mergeCell ref="H718:I718"/>
    <mergeCell ref="J718:K718"/>
    <mergeCell ref="E282:F282"/>
    <mergeCell ref="E599:F599"/>
    <mergeCell ref="C597:D597"/>
    <mergeCell ref="I442:J442"/>
    <mergeCell ref="K442:L442"/>
    <mergeCell ref="I914:J914"/>
    <mergeCell ref="I915:J915"/>
    <mergeCell ref="I916:J916"/>
    <mergeCell ref="E815:F815"/>
    <mergeCell ref="H815:I815"/>
    <mergeCell ref="A734:B734"/>
    <mergeCell ref="C734:D734"/>
    <mergeCell ref="C1043:D1043"/>
    <mergeCell ref="A1033:B1033"/>
    <mergeCell ref="A1034:B1034"/>
    <mergeCell ref="A937:B937"/>
    <mergeCell ref="A938:B938"/>
    <mergeCell ref="A939:B939"/>
    <mergeCell ref="A940:B940"/>
    <mergeCell ref="E941:F941"/>
    <mergeCell ref="K817:L817"/>
    <mergeCell ref="J813:K813"/>
    <mergeCell ref="E814:F814"/>
    <mergeCell ref="H814:I814"/>
    <mergeCell ref="J814:K814"/>
    <mergeCell ref="E782:F782"/>
    <mergeCell ref="H782:I782"/>
    <mergeCell ref="J782:K782"/>
    <mergeCell ref="C917:D917"/>
    <mergeCell ref="C916:D916"/>
    <mergeCell ref="G921:H921"/>
    <mergeCell ref="G922:H922"/>
    <mergeCell ref="E920:F920"/>
    <mergeCell ref="K921:L921"/>
    <mergeCell ref="K922:L922"/>
    <mergeCell ref="K915:L915"/>
    <mergeCell ref="E762:F762"/>
    <mergeCell ref="K914:L914"/>
    <mergeCell ref="E751:F751"/>
    <mergeCell ref="C922:D922"/>
    <mergeCell ref="C921:D921"/>
    <mergeCell ref="C920:D920"/>
    <mergeCell ref="I660:J660"/>
    <mergeCell ref="G659:H659"/>
    <mergeCell ref="E658:F658"/>
    <mergeCell ref="G658:H658"/>
    <mergeCell ref="K820:L820"/>
    <mergeCell ref="J911:K911"/>
    <mergeCell ref="A801:N801"/>
    <mergeCell ref="C805:L805"/>
    <mergeCell ref="E793:F793"/>
    <mergeCell ref="G793:H793"/>
    <mergeCell ref="M793:N793"/>
    <mergeCell ref="M794:N794"/>
    <mergeCell ref="I793:J793"/>
    <mergeCell ref="M789:N789"/>
    <mergeCell ref="C787:D787"/>
    <mergeCell ref="G787:H787"/>
    <mergeCell ref="M785:N785"/>
    <mergeCell ref="C786:D786"/>
    <mergeCell ref="G786:H786"/>
    <mergeCell ref="I786:J786"/>
    <mergeCell ref="C792:D792"/>
    <mergeCell ref="I792:J792"/>
    <mergeCell ref="K792:L792"/>
    <mergeCell ref="C791:D791"/>
    <mergeCell ref="I791:J791"/>
    <mergeCell ref="K791:L791"/>
    <mergeCell ref="C789:D789"/>
    <mergeCell ref="G789:H789"/>
    <mergeCell ref="K793:L793"/>
    <mergeCell ref="E775:I775"/>
    <mergeCell ref="J910:K910"/>
    <mergeCell ref="E911:F911"/>
    <mergeCell ref="A800:N800"/>
    <mergeCell ref="G825:H825"/>
    <mergeCell ref="M825:N825"/>
    <mergeCell ref="G826:H826"/>
    <mergeCell ref="J1037:K1037"/>
    <mergeCell ref="E1038:F1038"/>
    <mergeCell ref="H1038:I1038"/>
    <mergeCell ref="J1038:K1038"/>
    <mergeCell ref="E1039:F1039"/>
    <mergeCell ref="H1039:I1039"/>
    <mergeCell ref="K760:L760"/>
    <mergeCell ref="E761:F761"/>
    <mergeCell ref="E788:F788"/>
    <mergeCell ref="E789:F789"/>
    <mergeCell ref="G664:H664"/>
    <mergeCell ref="K664:L664"/>
    <mergeCell ref="I632:J632"/>
    <mergeCell ref="E653:F653"/>
    <mergeCell ref="I658:J658"/>
    <mergeCell ref="J1039:K1039"/>
    <mergeCell ref="E720:F720"/>
    <mergeCell ref="E944:F944"/>
    <mergeCell ref="H944:I944"/>
    <mergeCell ref="I981:J981"/>
    <mergeCell ref="K981:L981"/>
    <mergeCell ref="E919:F919"/>
    <mergeCell ref="E921:F921"/>
    <mergeCell ref="E922:F922"/>
    <mergeCell ref="E910:F910"/>
    <mergeCell ref="H910:I910"/>
    <mergeCell ref="I730:J730"/>
    <mergeCell ref="E722:F722"/>
    <mergeCell ref="H751:I751"/>
    <mergeCell ref="J751:K751"/>
    <mergeCell ref="E564:F564"/>
    <mergeCell ref="G564:H564"/>
    <mergeCell ref="M660:N660"/>
    <mergeCell ref="M567:N567"/>
    <mergeCell ref="G602:H602"/>
    <mergeCell ref="I602:J602"/>
    <mergeCell ref="K602:L602"/>
    <mergeCell ref="E659:F659"/>
    <mergeCell ref="K658:L658"/>
    <mergeCell ref="J720:K720"/>
    <mergeCell ref="E721:F721"/>
    <mergeCell ref="I722:J722"/>
    <mergeCell ref="M724:N724"/>
    <mergeCell ref="M725:N725"/>
    <mergeCell ref="M532:N532"/>
    <mergeCell ref="E702:F702"/>
    <mergeCell ref="I604:K604"/>
    <mergeCell ref="M604:N604"/>
    <mergeCell ref="E569:F569"/>
    <mergeCell ref="G569:H569"/>
    <mergeCell ref="I569:J569"/>
    <mergeCell ref="K569:L569"/>
    <mergeCell ref="M569:N569"/>
    <mergeCell ref="E570:F570"/>
    <mergeCell ref="G570:H570"/>
    <mergeCell ref="I570:J570"/>
    <mergeCell ref="K570:L570"/>
    <mergeCell ref="M570:N570"/>
    <mergeCell ref="E562:F562"/>
    <mergeCell ref="K533:L533"/>
    <mergeCell ref="A172:B172"/>
    <mergeCell ref="A170:B170"/>
    <mergeCell ref="A169:B169"/>
    <mergeCell ref="E157:F157"/>
    <mergeCell ref="A158:B158"/>
    <mergeCell ref="A157:B157"/>
    <mergeCell ref="C157:D157"/>
    <mergeCell ref="C158:D158"/>
    <mergeCell ref="E158:F158"/>
    <mergeCell ref="I179:J179"/>
    <mergeCell ref="I567:J567"/>
    <mergeCell ref="K567:L567"/>
    <mergeCell ref="I279:J279"/>
    <mergeCell ref="E474:F474"/>
    <mergeCell ref="C343:D343"/>
    <mergeCell ref="G535:H535"/>
    <mergeCell ref="E526:F526"/>
    <mergeCell ref="H526:I526"/>
    <mergeCell ref="C530:D530"/>
    <mergeCell ref="G530:H530"/>
    <mergeCell ref="H527:I527"/>
    <mergeCell ref="J527:K527"/>
    <mergeCell ref="E528:F528"/>
    <mergeCell ref="H528:I528"/>
    <mergeCell ref="J528:K528"/>
    <mergeCell ref="C529:D529"/>
    <mergeCell ref="E529:F529"/>
    <mergeCell ref="K535:L535"/>
    <mergeCell ref="I505:J505"/>
    <mergeCell ref="G504:H504"/>
    <mergeCell ref="E532:F532"/>
    <mergeCell ref="I532:J532"/>
    <mergeCell ref="E606:F606"/>
    <mergeCell ref="C156:D156"/>
    <mergeCell ref="E156:F156"/>
    <mergeCell ref="I156:K156"/>
    <mergeCell ref="C179:D179"/>
    <mergeCell ref="E175:F175"/>
    <mergeCell ref="H175:I175"/>
    <mergeCell ref="J175:K175"/>
    <mergeCell ref="E174:F174"/>
    <mergeCell ref="H174:I174"/>
    <mergeCell ref="J174:K174"/>
    <mergeCell ref="K243:L243"/>
    <mergeCell ref="E269:F269"/>
    <mergeCell ref="H269:I269"/>
    <mergeCell ref="H173:I173"/>
    <mergeCell ref="J173:K173"/>
    <mergeCell ref="K532:L532"/>
    <mergeCell ref="A551:C551"/>
    <mergeCell ref="D551:H551"/>
    <mergeCell ref="C531:D531"/>
    <mergeCell ref="G531:H531"/>
    <mergeCell ref="C533:D533"/>
    <mergeCell ref="E530:F530"/>
    <mergeCell ref="I530:J530"/>
    <mergeCell ref="K530:L530"/>
    <mergeCell ref="I533:J533"/>
    <mergeCell ref="A521:B521"/>
    <mergeCell ref="C506:D506"/>
    <mergeCell ref="C504:D504"/>
    <mergeCell ref="C503:D503"/>
    <mergeCell ref="C505:D505"/>
    <mergeCell ref="G217:H217"/>
    <mergeCell ref="M281:N281"/>
    <mergeCell ref="K601:L601"/>
    <mergeCell ref="G282:H282"/>
    <mergeCell ref="K531:L531"/>
    <mergeCell ref="I82:J82"/>
    <mergeCell ref="I83:J83"/>
    <mergeCell ref="K85:L85"/>
    <mergeCell ref="I87:J87"/>
    <mergeCell ref="I88:J88"/>
    <mergeCell ref="I89:J89"/>
    <mergeCell ref="I90:J90"/>
    <mergeCell ref="A160:N160"/>
    <mergeCell ref="A161:N161"/>
    <mergeCell ref="E338:F338"/>
    <mergeCell ref="E339:F339"/>
    <mergeCell ref="E309:F309"/>
    <mergeCell ref="H303:I303"/>
    <mergeCell ref="J303:K303"/>
    <mergeCell ref="E304:F304"/>
    <mergeCell ref="H304:I304"/>
    <mergeCell ref="E82:F82"/>
    <mergeCell ref="G85:H85"/>
    <mergeCell ref="I84:J84"/>
    <mergeCell ref="I85:J85"/>
    <mergeCell ref="K82:L82"/>
    <mergeCell ref="K83:L83"/>
    <mergeCell ref="K84:L84"/>
    <mergeCell ref="G84:H84"/>
    <mergeCell ref="M533:N533"/>
    <mergeCell ref="C532:D532"/>
    <mergeCell ref="E344:F344"/>
    <mergeCell ref="E595:F595"/>
    <mergeCell ref="G632:H632"/>
    <mergeCell ref="D647:H647"/>
    <mergeCell ref="C627:D627"/>
    <mergeCell ref="K407:L407"/>
    <mergeCell ref="M407:N407"/>
    <mergeCell ref="C561:D561"/>
    <mergeCell ref="E382:F382"/>
    <mergeCell ref="A384:N384"/>
    <mergeCell ref="A385:N385"/>
    <mergeCell ref="C604:D604"/>
    <mergeCell ref="E604:F604"/>
    <mergeCell ref="A604:B604"/>
    <mergeCell ref="M597:N597"/>
    <mergeCell ref="M602:N602"/>
    <mergeCell ref="A605:B605"/>
    <mergeCell ref="E627:F627"/>
    <mergeCell ref="J559:K559"/>
    <mergeCell ref="E560:F560"/>
    <mergeCell ref="G441:H441"/>
    <mergeCell ref="H560:I560"/>
    <mergeCell ref="K600:L600"/>
    <mergeCell ref="G533:H533"/>
    <mergeCell ref="J526:K526"/>
    <mergeCell ref="E527:F527"/>
    <mergeCell ref="I531:J531"/>
    <mergeCell ref="H557:I557"/>
    <mergeCell ref="J560:K560"/>
    <mergeCell ref="K468:L468"/>
    <mergeCell ref="I467:J467"/>
    <mergeCell ref="G436:H436"/>
    <mergeCell ref="K436:L436"/>
    <mergeCell ref="E505:F505"/>
    <mergeCell ref="M627:N627"/>
    <mergeCell ref="I407:J407"/>
    <mergeCell ref="G599:H599"/>
    <mergeCell ref="I599:J599"/>
    <mergeCell ref="M599:N599"/>
    <mergeCell ref="G600:H600"/>
    <mergeCell ref="I600:J600"/>
    <mergeCell ref="M600:N600"/>
    <mergeCell ref="E601:F601"/>
    <mergeCell ref="M530:N530"/>
    <mergeCell ref="M625:N625"/>
    <mergeCell ref="E408:F408"/>
    <mergeCell ref="G408:H408"/>
    <mergeCell ref="M408:N408"/>
    <mergeCell ref="A544:N544"/>
    <mergeCell ref="G442:H442"/>
    <mergeCell ref="A615:C615"/>
    <mergeCell ref="A617:B617"/>
    <mergeCell ref="K441:L441"/>
    <mergeCell ref="D615:H615"/>
    <mergeCell ref="M615:N615"/>
    <mergeCell ref="E559:F559"/>
    <mergeCell ref="H559:I559"/>
    <mergeCell ref="E506:F506"/>
    <mergeCell ref="G472:H472"/>
    <mergeCell ref="G473:H473"/>
    <mergeCell ref="G474:H474"/>
    <mergeCell ref="G532:H532"/>
    <mergeCell ref="E436:F436"/>
    <mergeCell ref="A606:B606"/>
    <mergeCell ref="M535:N535"/>
    <mergeCell ref="M531:N531"/>
    <mergeCell ref="A1:N1"/>
    <mergeCell ref="M1287:N1287"/>
    <mergeCell ref="K821:L821"/>
    <mergeCell ref="M821:N821"/>
    <mergeCell ref="M178:N178"/>
    <mergeCell ref="M179:N179"/>
    <mergeCell ref="M180:N180"/>
    <mergeCell ref="M181:N181"/>
    <mergeCell ref="I183:J183"/>
    <mergeCell ref="I184:J184"/>
    <mergeCell ref="I181:J181"/>
    <mergeCell ref="M340:N340"/>
    <mergeCell ref="G247:H247"/>
    <mergeCell ref="I309:J309"/>
    <mergeCell ref="M309:N309"/>
    <mergeCell ref="G403:H403"/>
    <mergeCell ref="I403:J403"/>
    <mergeCell ref="M279:N279"/>
    <mergeCell ref="E280:F280"/>
    <mergeCell ref="M344:N344"/>
    <mergeCell ref="K345:L345"/>
    <mergeCell ref="K346:L346"/>
    <mergeCell ref="E281:F281"/>
    <mergeCell ref="G281:H281"/>
    <mergeCell ref="E215:F215"/>
    <mergeCell ref="E216:F216"/>
    <mergeCell ref="E217:F217"/>
    <mergeCell ref="E218:F218"/>
    <mergeCell ref="G597:H597"/>
    <mergeCell ref="I180:J180"/>
    <mergeCell ref="M263:N263"/>
    <mergeCell ref="M659:N659"/>
    <mergeCell ref="I369:J369"/>
    <mergeCell ref="E370:F370"/>
    <mergeCell ref="E400:F400"/>
    <mergeCell ref="H400:I400"/>
    <mergeCell ref="G340:H340"/>
    <mergeCell ref="J400:K400"/>
    <mergeCell ref="K437:L437"/>
    <mergeCell ref="K408:L408"/>
    <mergeCell ref="E239:F239"/>
    <mergeCell ref="H239:I239"/>
    <mergeCell ref="J239:K239"/>
    <mergeCell ref="E343:F343"/>
    <mergeCell ref="J269:K269"/>
    <mergeCell ref="E270:F270"/>
    <mergeCell ref="H270:I270"/>
    <mergeCell ref="J270:K270"/>
    <mergeCell ref="K279:L279"/>
    <mergeCell ref="E311:F311"/>
    <mergeCell ref="K314:L314"/>
    <mergeCell ref="E271:F271"/>
    <mergeCell ref="H271:I271"/>
    <mergeCell ref="J271:K271"/>
    <mergeCell ref="E272:F272"/>
    <mergeCell ref="H272:I272"/>
    <mergeCell ref="J272:K272"/>
    <mergeCell ref="E279:F279"/>
    <mergeCell ref="G343:H343"/>
    <mergeCell ref="G344:H344"/>
    <mergeCell ref="G345:H345"/>
    <mergeCell ref="I344:J344"/>
    <mergeCell ref="I345:J345"/>
    <mergeCell ref="G601:H601"/>
    <mergeCell ref="I601:J601"/>
    <mergeCell ref="G506:H506"/>
    <mergeCell ref="G440:H440"/>
    <mergeCell ref="M241:N241"/>
    <mergeCell ref="M242:N242"/>
    <mergeCell ref="M231:N231"/>
    <mergeCell ref="M243:N243"/>
    <mergeCell ref="G245:H245"/>
    <mergeCell ref="I245:J245"/>
    <mergeCell ref="M371:N371"/>
    <mergeCell ref="M501:N501"/>
    <mergeCell ref="G503:H503"/>
    <mergeCell ref="I218:J218"/>
    <mergeCell ref="E442:F442"/>
    <mergeCell ref="I597:J597"/>
    <mergeCell ref="K597:L597"/>
    <mergeCell ref="M313:N313"/>
    <mergeCell ref="M314:N314"/>
    <mergeCell ref="M346:N346"/>
    <mergeCell ref="G346:H346"/>
    <mergeCell ref="E345:F345"/>
    <mergeCell ref="E346:F346"/>
    <mergeCell ref="I343:J343"/>
    <mergeCell ref="I281:J281"/>
    <mergeCell ref="K281:L281"/>
    <mergeCell ref="I370:J370"/>
    <mergeCell ref="E404:F404"/>
    <mergeCell ref="G404:H404"/>
    <mergeCell ref="I404:J404"/>
    <mergeCell ref="G218:H218"/>
    <mergeCell ref="G369:H369"/>
    <mergeCell ref="O839:P839"/>
    <mergeCell ref="O871:P871"/>
    <mergeCell ref="O1319:Q1319"/>
    <mergeCell ref="O1351:Q1351"/>
    <mergeCell ref="S1410:W1410"/>
    <mergeCell ref="O1383:Q1383"/>
    <mergeCell ref="O1415:Q1415"/>
    <mergeCell ref="M1351:N1351"/>
    <mergeCell ref="I341:J341"/>
    <mergeCell ref="K245:L245"/>
    <mergeCell ref="M244:N244"/>
    <mergeCell ref="M245:N245"/>
    <mergeCell ref="K313:L313"/>
    <mergeCell ref="I659:J659"/>
    <mergeCell ref="K659:L659"/>
    <mergeCell ref="M276:N276"/>
    <mergeCell ref="G309:H309"/>
    <mergeCell ref="I788:J788"/>
    <mergeCell ref="I282:J282"/>
    <mergeCell ref="K282:L282"/>
    <mergeCell ref="M282:N282"/>
    <mergeCell ref="G821:H821"/>
    <mergeCell ref="M505:N505"/>
    <mergeCell ref="K506:L506"/>
    <mergeCell ref="M506:N506"/>
    <mergeCell ref="O1287:P1287"/>
    <mergeCell ref="I280:J280"/>
    <mergeCell ref="K280:L280"/>
    <mergeCell ref="M280:N280"/>
    <mergeCell ref="I466:J466"/>
    <mergeCell ref="I436:J436"/>
    <mergeCell ref="I346:J346"/>
  </mergeCells>
  <conditionalFormatting sqref="G1106:H1107 E1111:F1111 K1106:L1107 E105 E114:H115 K114:L114 I210:J211 E213:F213 M210:N210 M344:N345 M338:N341 K407:L407 E532:F532 M530:N530 G535:H535 K532:L532 K755:L755 M757:N757 E791:F791 K792:L792 G792:H792 E984:F984 G981:H981 K985:L985 G1146 K1146:L1146 M119:N119 K341:L341 I340:J340">
    <cfRule type="expression" dxfId="4242" priority="33" stopIfTrue="1">
      <formula>#REF!=""</formula>
    </cfRule>
  </conditionalFormatting>
  <hyperlinks>
    <hyperlink ref="R604" location="الرجوع!A1" display="الرجوع!A1"/>
    <hyperlink ref="Q5" location="الرجوع!A1" display="الرجوع!A1"/>
  </hyperlink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3"/>
  <dimension ref="A1:BB591"/>
  <sheetViews>
    <sheetView rightToLeft="1" topLeftCell="B22" zoomScale="110" zoomScaleNormal="110" zoomScaleSheetLayoutView="110" zoomScalePageLayoutView="90" workbookViewId="0">
      <selection activeCell="G55" sqref="G55"/>
    </sheetView>
  </sheetViews>
  <sheetFormatPr baseColWidth="10" defaultColWidth="11.42578125" defaultRowHeight="15"/>
  <cols>
    <col min="1" max="1" width="8" customWidth="1"/>
    <col min="2" max="2" width="6.42578125" customWidth="1"/>
    <col min="3" max="3" width="7" customWidth="1"/>
    <col min="4" max="4" width="6.5703125" style="166" customWidth="1"/>
    <col min="5" max="5" width="4.85546875" style="166" customWidth="1"/>
    <col min="6" max="6" width="5.85546875" style="166" customWidth="1"/>
    <col min="7" max="7" width="6" style="166" customWidth="1"/>
    <col min="8" max="8" width="7" style="166" customWidth="1"/>
    <col min="9" max="9" width="5.42578125" customWidth="1"/>
    <col min="10" max="11" width="6.5703125" customWidth="1"/>
    <col min="12" max="13" width="6.140625" customWidth="1"/>
    <col min="14" max="14" width="9.140625" customWidth="1"/>
    <col min="15" max="15" width="4.7109375" customWidth="1"/>
    <col min="16" max="16" width="19.140625" customWidth="1"/>
    <col min="17" max="17" width="7.42578125" customWidth="1"/>
    <col min="18" max="18" width="4.5703125" customWidth="1"/>
    <col min="19" max="19" width="16.140625" hidden="1" customWidth="1"/>
    <col min="20" max="20" width="12.42578125" customWidth="1"/>
    <col min="21" max="21" width="5" style="22" customWidth="1"/>
    <col min="22" max="22" width="6.5703125" style="23" customWidth="1"/>
    <col min="23" max="24" width="6.85546875" style="23" customWidth="1"/>
    <col min="25" max="25" width="7.140625" style="23" customWidth="1"/>
    <col min="26" max="26" width="7.7109375" style="23" customWidth="1"/>
    <col min="27" max="27" width="6.28515625" style="23" customWidth="1"/>
    <col min="28" max="28" width="9.42578125" style="23" customWidth="1"/>
    <col min="29" max="32" width="6.7109375" style="23" customWidth="1"/>
    <col min="33" max="33" width="9" style="23" customWidth="1"/>
    <col min="36" max="36" width="5" customWidth="1"/>
    <col min="37" max="37" width="11" customWidth="1"/>
    <col min="38" max="48" width="8.5703125" customWidth="1"/>
    <col min="49" max="49" width="15.28515625" customWidth="1"/>
  </cols>
  <sheetData>
    <row r="1" spans="1:54" ht="17.100000000000001" customHeight="1">
      <c r="A1" s="1435" t="s">
        <v>253</v>
      </c>
      <c r="B1" s="1435"/>
      <c r="C1" s="1435"/>
      <c r="D1" s="1435"/>
      <c r="E1" s="1435"/>
      <c r="F1" s="1435"/>
      <c r="G1" s="1435"/>
      <c r="H1" s="1435"/>
      <c r="I1" s="1435"/>
      <c r="J1" s="1435"/>
      <c r="K1" s="1435"/>
      <c r="L1" s="1435"/>
      <c r="M1" s="1435"/>
      <c r="N1" s="1435"/>
      <c r="O1" s="21"/>
      <c r="P1" s="8"/>
      <c r="Q1" s="8"/>
      <c r="R1" s="20"/>
      <c r="S1" s="20"/>
      <c r="T1" s="20"/>
      <c r="V1" s="1005"/>
      <c r="W1" s="1005"/>
      <c r="X1" s="1005"/>
      <c r="Y1" s="1005"/>
      <c r="Z1" s="1005"/>
      <c r="AA1" s="1005"/>
      <c r="AB1" s="1005"/>
      <c r="AC1" s="1005"/>
      <c r="AD1" s="1005"/>
      <c r="AE1" s="1005"/>
      <c r="AF1" s="1005"/>
      <c r="AG1" s="1005"/>
      <c r="AH1" s="505" t="s">
        <v>253</v>
      </c>
      <c r="AI1" s="504"/>
      <c r="AJ1" s="504"/>
      <c r="AK1" s="504"/>
      <c r="AL1" s="504"/>
      <c r="AM1" s="504"/>
      <c r="AN1" s="504"/>
      <c r="AO1" s="504"/>
      <c r="AP1" s="504"/>
      <c r="AQ1" s="504"/>
      <c r="AR1" s="504"/>
      <c r="AS1" s="504"/>
      <c r="AT1" s="504"/>
      <c r="AU1" s="504"/>
      <c r="AV1" s="504"/>
      <c r="AW1" s="504"/>
      <c r="AX1" s="607"/>
      <c r="AY1" s="607"/>
      <c r="AZ1" s="607"/>
      <c r="BA1" s="607"/>
      <c r="BB1" s="607"/>
    </row>
    <row r="2" spans="1:54" ht="17.100000000000001" customHeight="1">
      <c r="A2" s="21"/>
      <c r="B2" s="21"/>
      <c r="C2" s="21"/>
      <c r="D2" s="444"/>
      <c r="E2" s="444"/>
      <c r="F2" s="444" t="s">
        <v>254</v>
      </c>
      <c r="G2" s="444"/>
      <c r="H2" s="444"/>
      <c r="I2" s="21"/>
      <c r="J2" s="21"/>
      <c r="K2" s="21"/>
      <c r="L2" s="21"/>
      <c r="M2" s="21"/>
      <c r="N2" s="21"/>
      <c r="O2" s="21"/>
      <c r="P2" s="8"/>
      <c r="Q2" s="8"/>
      <c r="R2" s="20"/>
      <c r="S2" s="20"/>
      <c r="T2" s="20"/>
      <c r="V2" s="1005"/>
      <c r="W2" s="1005"/>
      <c r="X2" s="1005"/>
      <c r="Y2" s="1005"/>
      <c r="Z2" s="1005"/>
      <c r="AA2" s="1005"/>
      <c r="AB2" s="1005"/>
      <c r="AC2" s="1005"/>
      <c r="AD2" s="1005"/>
      <c r="AE2" s="1005"/>
      <c r="AF2" s="1005"/>
      <c r="AG2" s="1005"/>
      <c r="AH2" s="505" t="s">
        <v>79</v>
      </c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  <c r="AX2" s="607"/>
      <c r="AY2" s="607"/>
      <c r="AZ2" s="607"/>
      <c r="BA2" s="607"/>
      <c r="BB2" s="607"/>
    </row>
    <row r="3" spans="1:54" s="13" customFormat="1" ht="17.100000000000001" customHeight="1">
      <c r="A3" s="21" t="s">
        <v>255</v>
      </c>
      <c r="B3" s="21"/>
      <c r="C3" s="21"/>
      <c r="D3" s="444"/>
      <c r="E3" s="444"/>
      <c r="F3" s="444"/>
      <c r="G3" s="444"/>
      <c r="H3" s="444"/>
      <c r="I3" s="21"/>
      <c r="J3" s="21"/>
      <c r="K3" s="21"/>
      <c r="L3" s="21"/>
      <c r="M3" s="21"/>
      <c r="N3" s="21"/>
      <c r="O3" s="21"/>
      <c r="P3" s="8"/>
      <c r="Q3" s="8"/>
      <c r="R3" s="21"/>
      <c r="S3" s="21"/>
      <c r="T3" s="21"/>
      <c r="AH3" s="515" t="s">
        <v>1203</v>
      </c>
      <c r="AI3" s="515"/>
      <c r="AJ3" s="515"/>
      <c r="AK3" s="515"/>
      <c r="AL3" s="8"/>
      <c r="AM3" s="8"/>
      <c r="AN3" s="8"/>
      <c r="AO3" s="308"/>
      <c r="AP3" s="516"/>
      <c r="AQ3" s="516"/>
      <c r="AR3" s="516"/>
      <c r="AS3" s="516"/>
      <c r="AT3" s="516"/>
      <c r="AU3" s="516"/>
      <c r="AV3" s="516"/>
      <c r="AW3" s="516"/>
    </row>
    <row r="4" spans="1:54" s="13" customFormat="1" ht="17.100000000000001" customHeight="1" thickBot="1">
      <c r="A4" s="21" t="s">
        <v>256</v>
      </c>
      <c r="B4" s="21"/>
      <c r="C4" s="21"/>
      <c r="D4" s="444"/>
      <c r="E4" s="444"/>
      <c r="F4" s="444"/>
      <c r="G4" s="444"/>
      <c r="H4" s="444"/>
      <c r="I4" s="445" t="str">
        <f>etat!N4</f>
        <v>السنة الدراسية : 2025/2026</v>
      </c>
      <c r="J4" s="445"/>
      <c r="K4" s="445"/>
      <c r="L4" s="445"/>
      <c r="M4" s="21"/>
      <c r="N4" s="21"/>
      <c r="O4" s="21"/>
      <c r="P4" s="8"/>
      <c r="Q4" s="8"/>
      <c r="R4" s="21"/>
      <c r="S4" s="309" t="s">
        <v>496</v>
      </c>
      <c r="T4" s="310"/>
      <c r="AH4" s="7"/>
      <c r="AI4" s="8" t="s">
        <v>1204</v>
      </c>
      <c r="AJ4" s="8"/>
      <c r="AK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</row>
    <row r="5" spans="1:54" s="13" customFormat="1" ht="17.100000000000001" customHeight="1" thickTop="1" thickBot="1">
      <c r="A5" s="21"/>
      <c r="B5" s="21"/>
      <c r="C5" s="21"/>
      <c r="D5" s="444"/>
      <c r="E5" s="444"/>
      <c r="F5" s="444"/>
      <c r="G5" s="444"/>
      <c r="H5" s="444"/>
      <c r="I5" s="21"/>
      <c r="J5" s="21"/>
      <c r="K5" s="21"/>
      <c r="L5" s="21"/>
      <c r="M5" s="21"/>
      <c r="N5" s="21"/>
      <c r="O5" s="21"/>
      <c r="P5" s="8"/>
      <c r="Q5" s="8"/>
      <c r="R5" s="21"/>
      <c r="S5" s="21"/>
      <c r="T5" s="21"/>
      <c r="AH5" s="506" t="s">
        <v>258</v>
      </c>
      <c r="AI5" s="392" t="s">
        <v>1197</v>
      </c>
      <c r="AJ5" s="393"/>
      <c r="AK5" s="312" t="s">
        <v>1198</v>
      </c>
      <c r="AL5" s="389" t="s">
        <v>1199</v>
      </c>
      <c r="AM5" s="389" t="s">
        <v>1474</v>
      </c>
      <c r="AN5" s="389" t="s">
        <v>1475</v>
      </c>
      <c r="AO5" s="389" t="s">
        <v>1476</v>
      </c>
      <c r="AP5" s="776"/>
      <c r="AQ5" s="390" t="s">
        <v>1200</v>
      </c>
      <c r="AR5" s="389" t="s">
        <v>1465</v>
      </c>
      <c r="AS5" s="389" t="s">
        <v>1466</v>
      </c>
      <c r="AT5" s="389" t="s">
        <v>1495</v>
      </c>
      <c r="AU5" s="313"/>
      <c r="AV5" s="313"/>
    </row>
    <row r="6" spans="1:54" s="13" customFormat="1" ht="17.100000000000001" customHeight="1" thickTop="1" thickBot="1">
      <c r="A6" s="21"/>
      <c r="B6" s="21"/>
      <c r="C6" s="21"/>
      <c r="D6" s="446" t="s">
        <v>2292</v>
      </c>
      <c r="E6" s="444"/>
      <c r="F6" s="444"/>
      <c r="G6" s="444"/>
      <c r="H6" s="444"/>
      <c r="I6" s="21"/>
      <c r="J6" s="447"/>
      <c r="K6" s="21"/>
      <c r="L6" s="21"/>
      <c r="M6" s="21"/>
      <c r="N6" s="21"/>
      <c r="O6" s="21"/>
      <c r="P6" s="8"/>
      <c r="Q6" s="8"/>
      <c r="R6" s="21"/>
      <c r="S6" s="21"/>
      <c r="T6" s="21"/>
      <c r="AH6" s="507"/>
      <c r="AI6" s="394" t="s">
        <v>1201</v>
      </c>
      <c r="AJ6" s="395"/>
      <c r="AK6" s="312" t="s">
        <v>259</v>
      </c>
      <c r="AL6" s="389" t="s">
        <v>1474</v>
      </c>
      <c r="AM6" s="389" t="s">
        <v>1475</v>
      </c>
      <c r="AN6" s="389" t="s">
        <v>1476</v>
      </c>
      <c r="AO6" s="389" t="s">
        <v>1477</v>
      </c>
      <c r="AP6" s="776"/>
      <c r="AQ6" s="390" t="s">
        <v>1465</v>
      </c>
      <c r="AR6" s="389" t="s">
        <v>1466</v>
      </c>
      <c r="AS6" s="389" t="s">
        <v>1495</v>
      </c>
      <c r="AT6" s="389" t="s">
        <v>1496</v>
      </c>
      <c r="AU6" s="314"/>
      <c r="AV6" s="314"/>
    </row>
    <row r="7" spans="1:54" s="13" customFormat="1" ht="17.100000000000001" customHeight="1" thickBot="1">
      <c r="A7" s="21"/>
      <c r="B7" s="21"/>
      <c r="C7" s="21"/>
      <c r="D7" s="21"/>
      <c r="E7" s="448" t="s">
        <v>257</v>
      </c>
      <c r="F7" s="1439" t="str">
        <f>TEXT($H$7,"dddd")</f>
        <v>dddd</v>
      </c>
      <c r="G7" s="1439"/>
      <c r="H7" s="1436">
        <f>T48</f>
        <v>45788</v>
      </c>
      <c r="I7" s="1436"/>
      <c r="J7" s="1436"/>
      <c r="K7" s="449"/>
      <c r="L7" s="449"/>
      <c r="M7" s="315"/>
      <c r="N7" s="315"/>
      <c r="O7" s="315"/>
      <c r="P7" s="27"/>
      <c r="Q7" s="27"/>
      <c r="R7" s="315"/>
      <c r="S7" s="315"/>
      <c r="T7" s="315"/>
      <c r="AH7" s="488">
        <v>1</v>
      </c>
      <c r="AI7" s="286" t="s">
        <v>272</v>
      </c>
      <c r="AJ7" s="287"/>
      <c r="AK7" s="282" t="s">
        <v>262</v>
      </c>
      <c r="AL7" s="768"/>
      <c r="AM7" s="768"/>
      <c r="AN7" s="768"/>
      <c r="AO7" s="768"/>
      <c r="AP7" s="785"/>
      <c r="AQ7" s="282"/>
      <c r="AR7" s="282"/>
      <c r="AS7" s="282"/>
      <c r="AT7" s="318"/>
      <c r="AU7" s="318"/>
      <c r="AV7" s="318"/>
    </row>
    <row r="8" spans="1:54" s="25" customFormat="1" ht="17.100000000000001" customHeight="1" thickBot="1">
      <c r="A8" s="450">
        <v>-1</v>
      </c>
      <c r="B8" s="293" t="s">
        <v>261</v>
      </c>
      <c r="C8" s="293"/>
      <c r="D8" s="388"/>
      <c r="E8" s="451"/>
      <c r="F8" s="388"/>
      <c r="G8" s="388"/>
      <c r="H8" s="388"/>
      <c r="I8" s="293"/>
      <c r="J8" s="293"/>
      <c r="K8" s="293"/>
      <c r="L8" s="293"/>
      <c r="M8" s="293"/>
      <c r="N8" s="293"/>
      <c r="O8" s="293"/>
      <c r="P8" s="11"/>
      <c r="Q8" s="11"/>
      <c r="T8" s="293"/>
      <c r="AH8" s="488">
        <v>2</v>
      </c>
      <c r="AI8" s="286" t="s">
        <v>274</v>
      </c>
      <c r="AJ8" s="287"/>
      <c r="AK8" s="282" t="s">
        <v>262</v>
      </c>
      <c r="AL8" s="282"/>
      <c r="AM8" s="282"/>
      <c r="AN8" s="282"/>
      <c r="AO8" s="282"/>
      <c r="AP8" s="786"/>
      <c r="AQ8" s="768"/>
      <c r="AR8" s="768"/>
      <c r="AS8" s="768"/>
      <c r="AT8" s="281"/>
      <c r="AU8" s="281"/>
      <c r="AV8" s="281"/>
    </row>
    <row r="9" spans="1:54" s="25" customFormat="1" ht="17.100000000000001" customHeight="1" thickBot="1">
      <c r="A9" s="1422" t="s">
        <v>258</v>
      </c>
      <c r="B9" s="1422" t="s">
        <v>1197</v>
      </c>
      <c r="C9" s="1422"/>
      <c r="D9" s="1422" t="s">
        <v>1198</v>
      </c>
      <c r="E9" s="1422"/>
      <c r="F9" s="716" t="s">
        <v>1199</v>
      </c>
      <c r="G9" s="716" t="s">
        <v>1474</v>
      </c>
      <c r="H9" s="716" t="s">
        <v>1475</v>
      </c>
      <c r="I9" s="716" t="s">
        <v>1476</v>
      </c>
      <c r="J9" s="716" t="s">
        <v>1200</v>
      </c>
      <c r="K9" s="716" t="s">
        <v>1465</v>
      </c>
      <c r="L9" s="716" t="s">
        <v>1466</v>
      </c>
      <c r="M9" s="716" t="s">
        <v>1495</v>
      </c>
      <c r="N9" s="1442" t="s">
        <v>260</v>
      </c>
      <c r="O9" s="13"/>
      <c r="P9" s="1411" t="s">
        <v>607</v>
      </c>
      <c r="Q9" s="1411"/>
      <c r="S9" s="521" t="s">
        <v>304</v>
      </c>
      <c r="T9" s="293"/>
      <c r="AH9" s="488">
        <v>3</v>
      </c>
      <c r="AI9" s="286" t="s">
        <v>427</v>
      </c>
      <c r="AJ9" s="287"/>
      <c r="AK9" s="282" t="s">
        <v>262</v>
      </c>
      <c r="AL9" s="768" t="s">
        <v>6</v>
      </c>
      <c r="AM9" s="768" t="s">
        <v>6</v>
      </c>
      <c r="AN9" s="282"/>
      <c r="AO9" s="768"/>
      <c r="AP9" s="769"/>
      <c r="AQ9" s="768"/>
      <c r="AR9" s="768"/>
      <c r="AS9" s="768"/>
      <c r="AT9" s="281"/>
      <c r="AU9" s="274"/>
      <c r="AV9" s="274"/>
    </row>
    <row r="10" spans="1:54" s="25" customFormat="1" ht="17.100000000000001" customHeight="1" thickBot="1">
      <c r="A10" s="1422"/>
      <c r="B10" s="1422" t="s">
        <v>1201</v>
      </c>
      <c r="C10" s="1422"/>
      <c r="D10" s="1422" t="s">
        <v>259</v>
      </c>
      <c r="E10" s="1422"/>
      <c r="F10" s="716" t="s">
        <v>1474</v>
      </c>
      <c r="G10" s="716" t="s">
        <v>1475</v>
      </c>
      <c r="H10" s="716" t="s">
        <v>1476</v>
      </c>
      <c r="I10" s="716" t="s">
        <v>1477</v>
      </c>
      <c r="J10" s="716" t="s">
        <v>1465</v>
      </c>
      <c r="K10" s="716" t="s">
        <v>1466</v>
      </c>
      <c r="L10" s="716" t="s">
        <v>1495</v>
      </c>
      <c r="M10" s="716" t="s">
        <v>1496</v>
      </c>
      <c r="N10" s="1443"/>
      <c r="O10" s="293"/>
      <c r="P10" s="296" t="s">
        <v>608</v>
      </c>
      <c r="Q10" s="1412" t="s">
        <v>260</v>
      </c>
      <c r="R10" s="1413"/>
      <c r="S10" s="518" t="s">
        <v>614</v>
      </c>
      <c r="T10" s="293"/>
      <c r="AH10" s="488">
        <v>4</v>
      </c>
      <c r="AI10" s="286" t="s">
        <v>1943</v>
      </c>
      <c r="AJ10" s="287"/>
      <c r="AK10" s="282" t="s">
        <v>262</v>
      </c>
      <c r="AL10" s="768"/>
      <c r="AM10" s="768"/>
      <c r="AN10" s="768" t="s">
        <v>328</v>
      </c>
      <c r="AO10" s="768" t="s">
        <v>328</v>
      </c>
      <c r="AP10" s="785"/>
      <c r="AQ10" s="282" t="s">
        <v>1176</v>
      </c>
      <c r="AR10" s="282" t="s">
        <v>1176</v>
      </c>
      <c r="AS10" s="282"/>
      <c r="AT10" s="274"/>
      <c r="AU10" s="274"/>
      <c r="AV10" s="274"/>
    </row>
    <row r="11" spans="1:54" s="25" customFormat="1" ht="17.100000000000001" customHeight="1" thickBot="1">
      <c r="A11" s="531">
        <v>1</v>
      </c>
      <c r="B11" s="1418" t="e">
        <f t="shared" ref="B11:B20" si="0">VLOOKUP(P11,$AH$7:$AW$60,2,FALSE)</f>
        <v>#N/A</v>
      </c>
      <c r="C11" s="1419"/>
      <c r="D11" s="1440" t="e">
        <f t="shared" ref="D11:D20" si="1">VLOOKUP(P11,$AH$7:$AW$60,4,FALSE)</f>
        <v>#N/A</v>
      </c>
      <c r="E11" s="1440" t="e">
        <f t="shared" ref="E11:E20" si="2">VLOOKUP(P11,$AH$7:$AW$60,5,FALSE)</f>
        <v>#N/A</v>
      </c>
      <c r="F11" s="1130" t="e">
        <f t="shared" ref="F11:F20" si="3">VLOOKUP(P11,$AH$7:$AW$60,5,FALSE)</f>
        <v>#N/A</v>
      </c>
      <c r="G11" s="1130" t="e">
        <f t="shared" ref="G11:G20" si="4">VLOOKUP(P11,$AH$7:$AW$60,6,FALSE)</f>
        <v>#N/A</v>
      </c>
      <c r="H11" s="1130" t="e">
        <f t="shared" ref="H11:H20" si="5">VLOOKUP(P11,$AH$7:$AW$60,7,FALSE)</f>
        <v>#N/A</v>
      </c>
      <c r="I11" s="1130" t="e">
        <f t="shared" ref="I11:I20" si="6">VLOOKUP(P11,$AH$7:$AW$60,8,FALSE)</f>
        <v>#N/A</v>
      </c>
      <c r="J11" s="1079" t="e">
        <f t="shared" ref="J11:J20" si="7">VLOOKUP(P11,$AH$7:$AW$60,10,FALSE)</f>
        <v>#N/A</v>
      </c>
      <c r="K11" s="1079" t="e">
        <f t="shared" ref="K11:K20" si="8">VLOOKUP(P11,$AH$7:$AW$60,11,FALSE)</f>
        <v>#N/A</v>
      </c>
      <c r="L11" s="1078" t="e">
        <f t="shared" ref="L11:L20" si="9">VLOOKUP(P11,$AH$7:$AW$60,12,FALSE)</f>
        <v>#N/A</v>
      </c>
      <c r="M11" s="1126" t="e">
        <f t="shared" ref="M11:M19" si="10">VLOOKUP(P11,$AH$7:$AW$60,13,FALSE)</f>
        <v>#N/A</v>
      </c>
      <c r="N11" s="1066" t="str">
        <f>VLOOKUP(Q11,اس!$S$3:$T$31,2,FALSE)</f>
        <v>.</v>
      </c>
      <c r="O11" s="293"/>
      <c r="P11" s="297"/>
      <c r="Q11" s="923">
        <v>5</v>
      </c>
      <c r="R11" s="812"/>
      <c r="S11" s="519" t="s">
        <v>615</v>
      </c>
      <c r="T11" s="293"/>
      <c r="AH11" s="488">
        <v>5</v>
      </c>
      <c r="AI11" s="286" t="s">
        <v>1220</v>
      </c>
      <c r="AJ11" s="287"/>
      <c r="AK11" s="282" t="s">
        <v>262</v>
      </c>
      <c r="AL11" s="282"/>
      <c r="AM11" s="282"/>
      <c r="AN11" s="768" t="s">
        <v>819</v>
      </c>
      <c r="AO11" s="768" t="s">
        <v>819</v>
      </c>
      <c r="AP11" s="769"/>
      <c r="AQ11" s="282"/>
      <c r="AR11" s="282"/>
      <c r="AS11" s="282"/>
      <c r="AT11" s="282" t="s">
        <v>1248</v>
      </c>
      <c r="AU11" s="274"/>
      <c r="AV11" s="274"/>
    </row>
    <row r="12" spans="1:54" s="25" customFormat="1" ht="17.100000000000001" customHeight="1" thickBot="1">
      <c r="A12" s="532">
        <v>2</v>
      </c>
      <c r="B12" s="1418" t="e">
        <f t="shared" si="0"/>
        <v>#N/A</v>
      </c>
      <c r="C12" s="1419"/>
      <c r="D12" s="1416" t="e">
        <f t="shared" si="1"/>
        <v>#N/A</v>
      </c>
      <c r="E12" s="1416" t="e">
        <f t="shared" si="2"/>
        <v>#N/A</v>
      </c>
      <c r="F12" s="1026" t="e">
        <f t="shared" si="3"/>
        <v>#N/A</v>
      </c>
      <c r="G12" s="1026" t="e">
        <f t="shared" si="4"/>
        <v>#N/A</v>
      </c>
      <c r="H12" s="1026" t="e">
        <f t="shared" si="5"/>
        <v>#N/A</v>
      </c>
      <c r="I12" s="1026" t="e">
        <f t="shared" si="6"/>
        <v>#N/A</v>
      </c>
      <c r="J12" s="1101" t="e">
        <f t="shared" si="7"/>
        <v>#N/A</v>
      </c>
      <c r="K12" s="1101" t="e">
        <f t="shared" si="8"/>
        <v>#N/A</v>
      </c>
      <c r="L12" s="1100" t="e">
        <f t="shared" si="9"/>
        <v>#N/A</v>
      </c>
      <c r="M12" s="1027" t="e">
        <f t="shared" si="10"/>
        <v>#N/A</v>
      </c>
      <c r="N12" s="1066" t="str">
        <f>VLOOKUP(Q12,اس!$S$3:$T$31,2,FALSE)</f>
        <v>.</v>
      </c>
      <c r="O12" s="293"/>
      <c r="P12" s="297"/>
      <c r="Q12" s="923">
        <v>5</v>
      </c>
      <c r="R12" s="924"/>
      <c r="S12" s="519" t="s">
        <v>628</v>
      </c>
      <c r="T12" s="293"/>
      <c r="AH12" s="488">
        <v>6</v>
      </c>
      <c r="AI12" s="286" t="s">
        <v>1219</v>
      </c>
      <c r="AJ12" s="287"/>
      <c r="AK12" s="282" t="s">
        <v>262</v>
      </c>
      <c r="AL12" s="768"/>
      <c r="AM12" s="768"/>
      <c r="AN12" s="768"/>
      <c r="AO12" s="768"/>
      <c r="AP12" s="785"/>
      <c r="AQ12" s="282"/>
      <c r="AR12" s="282"/>
      <c r="AS12" s="282"/>
      <c r="AT12" s="274"/>
      <c r="AU12" s="274"/>
      <c r="AV12" s="274"/>
    </row>
    <row r="13" spans="1:54" s="25" customFormat="1" ht="17.100000000000001" customHeight="1" thickBot="1">
      <c r="A13" s="532">
        <v>3</v>
      </c>
      <c r="B13" s="1418" t="e">
        <f t="shared" si="0"/>
        <v>#N/A</v>
      </c>
      <c r="C13" s="1419"/>
      <c r="D13" s="1416" t="e">
        <f t="shared" si="1"/>
        <v>#N/A</v>
      </c>
      <c r="E13" s="1416" t="e">
        <f t="shared" si="2"/>
        <v>#N/A</v>
      </c>
      <c r="F13" s="1131" t="e">
        <f t="shared" si="3"/>
        <v>#N/A</v>
      </c>
      <c r="G13" s="1131" t="e">
        <f t="shared" si="4"/>
        <v>#N/A</v>
      </c>
      <c r="H13" s="1101" t="e">
        <f t="shared" si="5"/>
        <v>#N/A</v>
      </c>
      <c r="I13" s="1101" t="e">
        <f t="shared" si="6"/>
        <v>#N/A</v>
      </c>
      <c r="J13" s="1131" t="e">
        <f t="shared" si="7"/>
        <v>#N/A</v>
      </c>
      <c r="K13" s="1131" t="e">
        <f t="shared" si="8"/>
        <v>#N/A</v>
      </c>
      <c r="L13" s="1100" t="e">
        <f t="shared" si="9"/>
        <v>#N/A</v>
      </c>
      <c r="M13" s="1027" t="e">
        <f t="shared" si="10"/>
        <v>#N/A</v>
      </c>
      <c r="N13" s="1066" t="str">
        <f>VLOOKUP(Q13,اس!$S$3:$T$31,2,FALSE)</f>
        <v>.</v>
      </c>
      <c r="O13" s="293"/>
      <c r="P13" s="297"/>
      <c r="Q13" s="923">
        <v>5</v>
      </c>
      <c r="R13" s="924"/>
      <c r="S13" s="520"/>
      <c r="T13" s="293"/>
      <c r="AH13" s="488">
        <v>7</v>
      </c>
      <c r="AI13" s="286" t="s">
        <v>808</v>
      </c>
      <c r="AJ13" s="287"/>
      <c r="AK13" s="282" t="s">
        <v>270</v>
      </c>
      <c r="AL13" s="282"/>
      <c r="AM13" s="282"/>
      <c r="AN13" s="282"/>
      <c r="AO13" s="282"/>
      <c r="AP13" s="769"/>
      <c r="AQ13" s="282"/>
      <c r="AR13" s="768"/>
      <c r="AS13" s="768"/>
      <c r="AT13" s="281"/>
      <c r="AU13" s="281"/>
      <c r="AV13" s="281"/>
    </row>
    <row r="14" spans="1:54" s="25" customFormat="1" ht="17.25" customHeight="1" thickBot="1">
      <c r="A14" s="533">
        <v>4</v>
      </c>
      <c r="B14" s="1418" t="e">
        <f t="shared" si="0"/>
        <v>#N/A</v>
      </c>
      <c r="C14" s="1419"/>
      <c r="D14" s="1416" t="e">
        <f t="shared" si="1"/>
        <v>#N/A</v>
      </c>
      <c r="E14" s="1416" t="e">
        <f t="shared" si="2"/>
        <v>#N/A</v>
      </c>
      <c r="F14" s="1131" t="e">
        <f t="shared" si="3"/>
        <v>#N/A</v>
      </c>
      <c r="G14" s="1131" t="e">
        <f t="shared" si="4"/>
        <v>#N/A</v>
      </c>
      <c r="H14" s="1131" t="e">
        <f t="shared" si="5"/>
        <v>#N/A</v>
      </c>
      <c r="I14" s="1131" t="e">
        <f t="shared" si="6"/>
        <v>#N/A</v>
      </c>
      <c r="J14" s="1131" t="e">
        <f t="shared" si="7"/>
        <v>#N/A</v>
      </c>
      <c r="K14" s="1131" t="e">
        <f t="shared" si="8"/>
        <v>#N/A</v>
      </c>
      <c r="L14" s="1131" t="e">
        <f t="shared" si="9"/>
        <v>#N/A</v>
      </c>
      <c r="M14" s="1120" t="e">
        <f t="shared" si="10"/>
        <v>#N/A</v>
      </c>
      <c r="N14" s="1066" t="str">
        <f>VLOOKUP(Q14,اس!$S$3:$T$31,2,FALSE)</f>
        <v>.</v>
      </c>
      <c r="O14" s="293"/>
      <c r="P14" s="297"/>
      <c r="Q14" s="923">
        <v>5</v>
      </c>
      <c r="R14" s="924"/>
      <c r="T14" s="293"/>
      <c r="AH14" s="488">
        <v>8</v>
      </c>
      <c r="AI14" s="286" t="s">
        <v>955</v>
      </c>
      <c r="AJ14" s="287"/>
      <c r="AK14" s="282" t="s">
        <v>270</v>
      </c>
      <c r="AL14" s="282"/>
      <c r="AM14" s="282"/>
      <c r="AN14" s="282"/>
      <c r="AO14" s="282"/>
      <c r="AP14" s="769"/>
      <c r="AQ14" s="282"/>
      <c r="AR14" s="282"/>
      <c r="AS14" s="282"/>
      <c r="AT14" s="274"/>
      <c r="AU14" s="274"/>
      <c r="AV14" s="274"/>
    </row>
    <row r="15" spans="1:54" s="25" customFormat="1" ht="17.100000000000001" customHeight="1" thickBot="1">
      <c r="A15" s="533">
        <v>5</v>
      </c>
      <c r="B15" s="1418" t="e">
        <f t="shared" si="0"/>
        <v>#N/A</v>
      </c>
      <c r="C15" s="1419"/>
      <c r="D15" s="1416" t="e">
        <f t="shared" si="1"/>
        <v>#N/A</v>
      </c>
      <c r="E15" s="1416" t="e">
        <f t="shared" si="2"/>
        <v>#N/A</v>
      </c>
      <c r="F15" s="1131" t="e">
        <f t="shared" si="3"/>
        <v>#N/A</v>
      </c>
      <c r="G15" s="1131" t="e">
        <f t="shared" si="4"/>
        <v>#N/A</v>
      </c>
      <c r="H15" s="1131" t="e">
        <f t="shared" si="5"/>
        <v>#N/A</v>
      </c>
      <c r="I15" s="1131" t="e">
        <f t="shared" si="6"/>
        <v>#N/A</v>
      </c>
      <c r="J15" s="1100" t="e">
        <f t="shared" si="7"/>
        <v>#N/A</v>
      </c>
      <c r="K15" s="1100" t="e">
        <f t="shared" si="8"/>
        <v>#N/A</v>
      </c>
      <c r="L15" s="1100" t="e">
        <f t="shared" si="9"/>
        <v>#N/A</v>
      </c>
      <c r="M15" s="1115" t="e">
        <f t="shared" si="10"/>
        <v>#N/A</v>
      </c>
      <c r="N15" s="1066" t="str">
        <f>VLOOKUP(Q15,اس!$S$3:$T$31,2,FALSE)</f>
        <v>.</v>
      </c>
      <c r="O15" s="293"/>
      <c r="P15" s="297"/>
      <c r="Q15" s="923">
        <v>5</v>
      </c>
      <c r="R15" s="924"/>
      <c r="T15" s="293"/>
      <c r="AH15" s="488">
        <v>9</v>
      </c>
      <c r="AI15" s="286" t="s">
        <v>1250</v>
      </c>
      <c r="AJ15" s="513"/>
      <c r="AK15" s="282" t="s">
        <v>270</v>
      </c>
      <c r="AL15" s="768"/>
      <c r="AM15" s="768"/>
      <c r="AN15" s="768"/>
      <c r="AO15" s="768"/>
      <c r="AP15" s="769"/>
      <c r="AQ15" s="282" t="s">
        <v>326</v>
      </c>
      <c r="AR15" s="282" t="s">
        <v>824</v>
      </c>
      <c r="AS15" s="282" t="s">
        <v>1529</v>
      </c>
      <c r="AT15" s="274"/>
      <c r="AU15" s="274"/>
      <c r="AV15" s="274"/>
    </row>
    <row r="16" spans="1:54" s="25" customFormat="1" ht="17.100000000000001" customHeight="1" thickBot="1">
      <c r="A16" s="533">
        <v>6</v>
      </c>
      <c r="B16" s="1420" t="e">
        <f t="shared" si="0"/>
        <v>#N/A</v>
      </c>
      <c r="C16" s="1421"/>
      <c r="D16" s="1438" t="e">
        <f t="shared" si="1"/>
        <v>#N/A</v>
      </c>
      <c r="E16" s="1438" t="e">
        <f t="shared" si="2"/>
        <v>#N/A</v>
      </c>
      <c r="F16" s="1026" t="e">
        <f t="shared" si="3"/>
        <v>#N/A</v>
      </c>
      <c r="G16" s="1026" t="e">
        <f t="shared" si="4"/>
        <v>#N/A</v>
      </c>
      <c r="H16" s="1026" t="e">
        <f t="shared" si="5"/>
        <v>#N/A</v>
      </c>
      <c r="I16" s="1026" t="e">
        <f t="shared" si="6"/>
        <v>#N/A</v>
      </c>
      <c r="J16" s="863" t="e">
        <f t="shared" si="7"/>
        <v>#N/A</v>
      </c>
      <c r="K16" s="863" t="e">
        <f t="shared" si="8"/>
        <v>#N/A</v>
      </c>
      <c r="L16" s="863" t="e">
        <f t="shared" si="9"/>
        <v>#N/A</v>
      </c>
      <c r="M16" s="1027" t="e">
        <f t="shared" si="10"/>
        <v>#N/A</v>
      </c>
      <c r="N16" s="1063" t="str">
        <f>VLOOKUP(Q16,اس!$S$3:$T$31,2,FALSE)</f>
        <v>.</v>
      </c>
      <c r="O16" s="293"/>
      <c r="P16" s="297"/>
      <c r="Q16" s="923">
        <v>5</v>
      </c>
      <c r="R16" s="924"/>
      <c r="T16" s="293"/>
      <c r="AH16" s="488">
        <v>10</v>
      </c>
      <c r="AI16" s="286" t="s">
        <v>1221</v>
      </c>
      <c r="AJ16" s="287"/>
      <c r="AK16" s="282" t="s">
        <v>270</v>
      </c>
      <c r="AL16" s="768" t="s">
        <v>1175</v>
      </c>
      <c r="AM16" s="768" t="s">
        <v>1175</v>
      </c>
      <c r="AN16" s="768" t="s">
        <v>1175</v>
      </c>
      <c r="AO16" s="768" t="s">
        <v>1175</v>
      </c>
      <c r="AP16" s="769"/>
      <c r="AQ16" s="282" t="s">
        <v>2212</v>
      </c>
      <c r="AR16" s="282"/>
      <c r="AS16" s="282"/>
      <c r="AT16" s="274"/>
      <c r="AU16" s="274"/>
      <c r="AV16" s="274"/>
    </row>
    <row r="17" spans="1:49" s="25" customFormat="1" ht="17.100000000000001" customHeight="1" thickBot="1">
      <c r="A17" s="533">
        <v>7</v>
      </c>
      <c r="B17" s="1420" t="e">
        <f t="shared" si="0"/>
        <v>#N/A</v>
      </c>
      <c r="C17" s="1421"/>
      <c r="D17" s="1438" t="e">
        <f t="shared" si="1"/>
        <v>#N/A</v>
      </c>
      <c r="E17" s="1438" t="e">
        <f t="shared" si="2"/>
        <v>#N/A</v>
      </c>
      <c r="F17" s="863" t="e">
        <f t="shared" si="3"/>
        <v>#N/A</v>
      </c>
      <c r="G17" s="863" t="e">
        <f t="shared" si="4"/>
        <v>#N/A</v>
      </c>
      <c r="H17" s="863" t="e">
        <f t="shared" si="5"/>
        <v>#N/A</v>
      </c>
      <c r="I17" s="863" t="e">
        <f t="shared" si="6"/>
        <v>#N/A</v>
      </c>
      <c r="J17" s="863" t="e">
        <f t="shared" si="7"/>
        <v>#N/A</v>
      </c>
      <c r="K17" s="1026" t="e">
        <f t="shared" si="8"/>
        <v>#N/A</v>
      </c>
      <c r="L17" s="1026" t="e">
        <f t="shared" si="9"/>
        <v>#N/A</v>
      </c>
      <c r="M17" s="1027" t="e">
        <f t="shared" si="10"/>
        <v>#N/A</v>
      </c>
      <c r="N17" s="1063" t="str">
        <f>VLOOKUP(Q17,اس!$S$3:$T$31,2,FALSE)</f>
        <v>.</v>
      </c>
      <c r="O17" s="293"/>
      <c r="P17" s="297"/>
      <c r="Q17" s="923">
        <v>5</v>
      </c>
      <c r="R17" s="924"/>
      <c r="T17" s="293"/>
      <c r="AH17" s="488">
        <v>11</v>
      </c>
      <c r="AI17" s="512" t="s">
        <v>941</v>
      </c>
      <c r="AJ17" s="287"/>
      <c r="AK17" s="282" t="s">
        <v>270</v>
      </c>
      <c r="AL17" s="768" t="s">
        <v>819</v>
      </c>
      <c r="AM17" s="768" t="s">
        <v>328</v>
      </c>
      <c r="AN17" s="768"/>
      <c r="AO17" s="768"/>
      <c r="AP17" s="769"/>
      <c r="AQ17" s="282" t="s">
        <v>1248</v>
      </c>
      <c r="AR17" s="282" t="s">
        <v>1248</v>
      </c>
      <c r="AS17" s="282"/>
      <c r="AT17" s="274"/>
      <c r="AU17" s="274"/>
      <c r="AV17" s="274"/>
    </row>
    <row r="18" spans="1:49" s="25" customFormat="1" ht="17.100000000000001" customHeight="1" thickBot="1">
      <c r="A18" s="533">
        <v>8</v>
      </c>
      <c r="B18" s="1420" t="e">
        <f t="shared" si="0"/>
        <v>#N/A</v>
      </c>
      <c r="C18" s="1421"/>
      <c r="D18" s="1438" t="e">
        <f t="shared" si="1"/>
        <v>#N/A</v>
      </c>
      <c r="E18" s="1438" t="e">
        <f t="shared" si="2"/>
        <v>#N/A</v>
      </c>
      <c r="F18" s="863" t="e">
        <f t="shared" si="3"/>
        <v>#N/A</v>
      </c>
      <c r="G18" s="863" t="e">
        <f t="shared" si="4"/>
        <v>#N/A</v>
      </c>
      <c r="H18" s="863" t="e">
        <f t="shared" si="5"/>
        <v>#N/A</v>
      </c>
      <c r="I18" s="1026" t="e">
        <f t="shared" si="6"/>
        <v>#N/A</v>
      </c>
      <c r="J18" s="1026" t="e">
        <f t="shared" si="7"/>
        <v>#N/A</v>
      </c>
      <c r="K18" s="1026" t="e">
        <f t="shared" si="8"/>
        <v>#N/A</v>
      </c>
      <c r="L18" s="1026" t="e">
        <f t="shared" si="9"/>
        <v>#N/A</v>
      </c>
      <c r="M18" s="1030" t="e">
        <f t="shared" si="10"/>
        <v>#N/A</v>
      </c>
      <c r="N18" s="1064" t="str">
        <f>VLOOKUP(Q18,اس!$S$3:$T$31,2,FALSE)</f>
        <v>.</v>
      </c>
      <c r="O18" s="293"/>
      <c r="P18" s="297"/>
      <c r="Q18" s="923">
        <v>5</v>
      </c>
      <c r="R18" s="924"/>
      <c r="T18" s="293"/>
      <c r="AH18" s="488">
        <v>12</v>
      </c>
      <c r="AI18" s="512" t="s">
        <v>811</v>
      </c>
      <c r="AJ18" s="287"/>
      <c r="AK18" s="282" t="s">
        <v>408</v>
      </c>
      <c r="AL18" s="282" t="s">
        <v>1175</v>
      </c>
      <c r="AM18" s="282" t="s">
        <v>1175</v>
      </c>
      <c r="AN18" s="282" t="s">
        <v>1175</v>
      </c>
      <c r="AO18" s="282" t="s">
        <v>1175</v>
      </c>
      <c r="AP18" s="785"/>
      <c r="AQ18" s="282"/>
      <c r="AR18" s="282"/>
      <c r="AS18" s="282"/>
      <c r="AT18" s="274"/>
      <c r="AU18" s="274"/>
      <c r="AV18" s="274"/>
    </row>
    <row r="19" spans="1:49" s="25" customFormat="1" ht="17.100000000000001" customHeight="1" thickBot="1">
      <c r="A19" s="533">
        <v>9</v>
      </c>
      <c r="B19" s="1420" t="e">
        <f t="shared" si="0"/>
        <v>#N/A</v>
      </c>
      <c r="C19" s="1421"/>
      <c r="D19" s="1448" t="e">
        <f t="shared" si="1"/>
        <v>#N/A</v>
      </c>
      <c r="E19" s="1448" t="e">
        <f t="shared" si="2"/>
        <v>#N/A</v>
      </c>
      <c r="F19" s="863" t="e">
        <f t="shared" si="3"/>
        <v>#N/A</v>
      </c>
      <c r="G19" s="863" t="e">
        <f t="shared" si="4"/>
        <v>#N/A</v>
      </c>
      <c r="H19" s="863" t="e">
        <f t="shared" si="5"/>
        <v>#N/A</v>
      </c>
      <c r="I19" s="863" t="e">
        <f t="shared" si="6"/>
        <v>#N/A</v>
      </c>
      <c r="J19" s="863" t="e">
        <f t="shared" si="7"/>
        <v>#N/A</v>
      </c>
      <c r="K19" s="1026" t="e">
        <f t="shared" si="8"/>
        <v>#N/A</v>
      </c>
      <c r="L19" s="1026" t="e">
        <f t="shared" si="9"/>
        <v>#N/A</v>
      </c>
      <c r="M19" s="1027" t="e">
        <f t="shared" si="10"/>
        <v>#N/A</v>
      </c>
      <c r="N19" s="1063" t="str">
        <f>VLOOKUP(Q19,اس!$S$3:$T$31,2,FALSE)</f>
        <v>.</v>
      </c>
      <c r="O19" s="293"/>
      <c r="P19" s="297"/>
      <c r="Q19" s="923">
        <v>5</v>
      </c>
      <c r="R19" s="924"/>
      <c r="T19" s="293"/>
      <c r="AH19" s="488">
        <v>13</v>
      </c>
      <c r="AI19" s="286" t="s">
        <v>1222</v>
      </c>
      <c r="AJ19" s="513"/>
      <c r="AK19" s="282" t="s">
        <v>408</v>
      </c>
      <c r="AL19" s="282" t="s">
        <v>548</v>
      </c>
      <c r="AM19" s="282" t="s">
        <v>548</v>
      </c>
      <c r="AN19" s="282" t="s">
        <v>548</v>
      </c>
      <c r="AO19" s="282" t="s">
        <v>548</v>
      </c>
      <c r="AP19" s="769"/>
      <c r="AQ19" s="789"/>
      <c r="AR19" s="789"/>
      <c r="AS19" s="282"/>
      <c r="AT19" s="274"/>
      <c r="AU19" s="274"/>
      <c r="AV19" s="274"/>
    </row>
    <row r="20" spans="1:49" s="25" customFormat="1" ht="17.100000000000001" customHeight="1" thickBot="1">
      <c r="A20" s="534">
        <v>10</v>
      </c>
      <c r="B20" s="1433" t="e">
        <f t="shared" si="0"/>
        <v>#N/A</v>
      </c>
      <c r="C20" s="1434"/>
      <c r="D20" s="1450" t="e">
        <f t="shared" si="1"/>
        <v>#N/A</v>
      </c>
      <c r="E20" s="1450" t="e">
        <f t="shared" si="2"/>
        <v>#N/A</v>
      </c>
      <c r="F20" s="859" t="e">
        <f t="shared" si="3"/>
        <v>#N/A</v>
      </c>
      <c r="G20" s="859" t="e">
        <f t="shared" si="4"/>
        <v>#N/A</v>
      </c>
      <c r="H20" s="859" t="e">
        <f t="shared" si="5"/>
        <v>#N/A</v>
      </c>
      <c r="I20" s="859" t="e">
        <f t="shared" si="6"/>
        <v>#N/A</v>
      </c>
      <c r="J20" s="859" t="e">
        <f t="shared" si="7"/>
        <v>#N/A</v>
      </c>
      <c r="K20" s="902" t="e">
        <f t="shared" si="8"/>
        <v>#N/A</v>
      </c>
      <c r="L20" s="902" t="e">
        <f t="shared" si="9"/>
        <v>#N/A</v>
      </c>
      <c r="M20" s="903" t="e">
        <f>VLOOKUP(P20,$AH$7:$AW$60,13,FALSE)</f>
        <v>#N/A</v>
      </c>
      <c r="N20" s="1016" t="str">
        <f>VLOOKUP(Q20,اس!$S$3:$T$31,2,FALSE)</f>
        <v>.</v>
      </c>
      <c r="O20" s="293"/>
      <c r="P20" s="297"/>
      <c r="Q20" s="923">
        <v>5</v>
      </c>
      <c r="R20" s="924"/>
      <c r="T20" s="293"/>
      <c r="AH20" s="488">
        <v>14</v>
      </c>
      <c r="AI20" s="286" t="s">
        <v>812</v>
      </c>
      <c r="AJ20" s="287"/>
      <c r="AK20" s="282" t="s">
        <v>408</v>
      </c>
      <c r="AL20" s="768"/>
      <c r="AM20" s="768"/>
      <c r="AN20" s="768"/>
      <c r="AO20" s="768"/>
      <c r="AP20" s="785"/>
      <c r="AQ20" s="282"/>
      <c r="AR20" s="282"/>
      <c r="AS20" s="282"/>
      <c r="AT20" s="281"/>
      <c r="AU20" s="281"/>
      <c r="AV20" s="281"/>
    </row>
    <row r="21" spans="1:49" s="25" customFormat="1" ht="17.100000000000001" customHeight="1" thickBot="1">
      <c r="A21" s="522">
        <v>-2</v>
      </c>
      <c r="B21" s="523" t="s">
        <v>294</v>
      </c>
      <c r="C21" s="523"/>
      <c r="D21" s="523"/>
      <c r="E21" s="524"/>
      <c r="F21" s="525"/>
      <c r="G21" s="525"/>
      <c r="H21" s="525"/>
      <c r="I21" s="525"/>
      <c r="J21" s="565" t="s">
        <v>954</v>
      </c>
      <c r="K21" s="526"/>
      <c r="L21" s="526"/>
      <c r="M21" s="526"/>
      <c r="N21" s="298"/>
      <c r="O21" s="298"/>
      <c r="P21" s="297"/>
      <c r="Q21" s="923">
        <v>5</v>
      </c>
      <c r="R21" s="924"/>
      <c r="T21" s="293"/>
      <c r="AH21" s="488">
        <v>15</v>
      </c>
      <c r="AI21" s="286" t="s">
        <v>1944</v>
      </c>
      <c r="AJ21" s="287"/>
      <c r="AK21" s="282" t="s">
        <v>408</v>
      </c>
      <c r="AL21" s="768"/>
      <c r="AM21" s="768"/>
      <c r="AN21" s="768"/>
      <c r="AO21" s="768"/>
      <c r="AP21" s="785"/>
      <c r="AQ21" s="768"/>
      <c r="AR21" s="282"/>
      <c r="AS21" s="768"/>
      <c r="AT21" s="281"/>
      <c r="AU21" s="274"/>
      <c r="AV21" s="274"/>
    </row>
    <row r="22" spans="1:49" s="25" customFormat="1" ht="17.100000000000001" customHeight="1" thickBot="1">
      <c r="A22" s="529" t="s">
        <v>298</v>
      </c>
      <c r="B22" s="1417" t="s">
        <v>299</v>
      </c>
      <c r="C22" s="1417"/>
      <c r="D22" s="1417" t="s">
        <v>300</v>
      </c>
      <c r="E22" s="1417"/>
      <c r="F22" s="1417" t="s">
        <v>301</v>
      </c>
      <c r="G22" s="1417"/>
      <c r="H22" s="1417" t="s">
        <v>302</v>
      </c>
      <c r="I22" s="1441"/>
      <c r="J22" s="1437" t="s">
        <v>303</v>
      </c>
      <c r="K22" s="1437"/>
      <c r="L22" s="1437"/>
      <c r="M22" s="1006" t="s">
        <v>304</v>
      </c>
      <c r="N22" s="555" t="s">
        <v>541</v>
      </c>
      <c r="O22" s="503"/>
      <c r="P22" s="387" t="s">
        <v>825</v>
      </c>
      <c r="Q22" s="1415" t="s">
        <v>260</v>
      </c>
      <c r="R22" s="1415"/>
      <c r="T22" s="293"/>
      <c r="AH22" s="488">
        <v>16</v>
      </c>
      <c r="AI22" s="286" t="s">
        <v>1964</v>
      </c>
      <c r="AJ22" s="287"/>
      <c r="AK22" s="282" t="s">
        <v>408</v>
      </c>
      <c r="AL22" s="768"/>
      <c r="AM22" s="768"/>
      <c r="AN22" s="768"/>
      <c r="AO22" s="768"/>
      <c r="AP22" s="785"/>
      <c r="AQ22" s="282" t="s">
        <v>1248</v>
      </c>
      <c r="AR22" s="282" t="s">
        <v>1248</v>
      </c>
      <c r="AS22" s="282"/>
      <c r="AT22" s="274"/>
      <c r="AU22" s="274"/>
      <c r="AV22" s="274"/>
    </row>
    <row r="23" spans="1:49" s="25" customFormat="1" ht="17.25" customHeight="1" thickBot="1">
      <c r="A23" s="541" t="s">
        <v>307</v>
      </c>
      <c r="B23" s="1432">
        <f>SUM(C25+B25)</f>
        <v>245</v>
      </c>
      <c r="C23" s="1432"/>
      <c r="D23" s="1432">
        <f>SUM(E25+D25)</f>
        <v>250</v>
      </c>
      <c r="E23" s="1432"/>
      <c r="F23" s="1432">
        <f>SUM(G25+F25)</f>
        <v>72</v>
      </c>
      <c r="G23" s="1432"/>
      <c r="H23" s="1432">
        <f>SUM(I25+H25)</f>
        <v>567</v>
      </c>
      <c r="I23" s="1449"/>
      <c r="J23" s="1451" t="e">
        <f>VLOOKUP(P23,اس!$S$3:$X$31,5,FALSE)</f>
        <v>#N/A</v>
      </c>
      <c r="K23" s="1451"/>
      <c r="L23" s="1451"/>
      <c r="M23" s="774"/>
      <c r="N23" s="775" t="e">
        <f>VLOOKUP(Q23,اس!$S$3:$X$31,2,FALSE)</f>
        <v>#N/A</v>
      </c>
      <c r="O23" s="503"/>
      <c r="P23" s="387">
        <v>0</v>
      </c>
      <c r="Q23" s="1414">
        <v>0</v>
      </c>
      <c r="R23" s="1414"/>
      <c r="T23" s="293"/>
      <c r="AH23" s="488">
        <v>17</v>
      </c>
      <c r="AI23" s="286" t="s">
        <v>283</v>
      </c>
      <c r="AJ23" s="285"/>
      <c r="AK23" s="282" t="s">
        <v>1207</v>
      </c>
      <c r="AL23" s="282"/>
      <c r="AM23" s="282"/>
      <c r="AN23" s="282"/>
      <c r="AO23" s="282"/>
      <c r="AP23" s="769"/>
      <c r="AQ23" s="282"/>
      <c r="AR23" s="282"/>
      <c r="AS23" s="282"/>
      <c r="AT23" s="274"/>
      <c r="AU23" s="274"/>
      <c r="AV23" s="274"/>
    </row>
    <row r="24" spans="1:49" s="25" customFormat="1" ht="17.100000000000001" customHeight="1" thickBot="1">
      <c r="A24" s="530" t="s">
        <v>310</v>
      </c>
      <c r="B24" s="1006" t="s">
        <v>311</v>
      </c>
      <c r="C24" s="1006" t="s">
        <v>312</v>
      </c>
      <c r="D24" s="1006" t="s">
        <v>311</v>
      </c>
      <c r="E24" s="1006" t="s">
        <v>312</v>
      </c>
      <c r="F24" s="1006" t="s">
        <v>311</v>
      </c>
      <c r="G24" s="1006" t="s">
        <v>312</v>
      </c>
      <c r="H24" s="1006" t="s">
        <v>311</v>
      </c>
      <c r="I24" s="608" t="s">
        <v>312</v>
      </c>
      <c r="J24" s="1451" t="e">
        <f>VLOOKUP(P24,اس!$S$3:$X$31,5,FALSE)</f>
        <v>#N/A</v>
      </c>
      <c r="K24" s="1451"/>
      <c r="L24" s="1451"/>
      <c r="M24" s="564"/>
      <c r="N24" s="775" t="e">
        <f>VLOOKUP(Q24,اس!$S$3:$X$31,2,FALSE)</f>
        <v>#N/A</v>
      </c>
      <c r="O24" s="503"/>
      <c r="P24" s="387">
        <v>0</v>
      </c>
      <c r="Q24" s="1414">
        <v>0</v>
      </c>
      <c r="R24" s="1414"/>
      <c r="T24" s="293"/>
      <c r="AH24" s="488">
        <v>18</v>
      </c>
      <c r="AI24" s="284" t="s">
        <v>1965</v>
      </c>
      <c r="AJ24" s="511"/>
      <c r="AK24" s="282" t="s">
        <v>1207</v>
      </c>
      <c r="AL24" s="282"/>
      <c r="AM24" s="789"/>
      <c r="AN24" s="789"/>
      <c r="AO24" s="789"/>
      <c r="AP24" s="769"/>
      <c r="AQ24" s="282"/>
      <c r="AR24" s="282"/>
      <c r="AS24" s="282"/>
      <c r="AT24" s="274"/>
      <c r="AU24" s="274"/>
      <c r="AV24" s="274"/>
    </row>
    <row r="25" spans="1:49" s="25" customFormat="1" ht="17.100000000000001" customHeight="1" thickBot="1">
      <c r="A25" s="537" t="s">
        <v>315</v>
      </c>
      <c r="B25" s="537">
        <f>COUNTIF(etat!$P$9:$P$1136,"ذن/د3")+COUNTIF(etat!$P$9:$P$1136,"ذخ3")</f>
        <v>110</v>
      </c>
      <c r="C25" s="537">
        <f>COUNTIF(etat!$P$9:$P$1136,"ان/د3")+COUNTIF(etat!$P$9:$P$1136,"اخ3")</f>
        <v>135</v>
      </c>
      <c r="D25" s="537">
        <f>COUNTIF(etat!$P$9:$P$1136,"ذن/د2")+COUNTIF(etat!$P$9:$P$1136,"ذخ2")</f>
        <v>93</v>
      </c>
      <c r="E25" s="537">
        <f>COUNTIF(etat!$P$9:$P$1136,"ان/د2")+COUNTIF(etat!$P$9:$P$1136,"اخ2")</f>
        <v>157</v>
      </c>
      <c r="F25" s="537">
        <f>COUNTIF(etat!$P$9:$P$1136,"ذن/د1")+COUNTIF(etat!$P$9:$P$1136,"ذخ1")</f>
        <v>29</v>
      </c>
      <c r="G25" s="537">
        <f>COUNTIF(etat!$P$9:$P$1136,"ان/د1")+COUNTIF(etat!$P$9:$P$1136,"اخ1")</f>
        <v>43</v>
      </c>
      <c r="H25" s="1007">
        <f>SUM(B25+D25+F25)</f>
        <v>232</v>
      </c>
      <c r="I25" s="1008">
        <f>SUM(C25+E25+G25)</f>
        <v>335</v>
      </c>
      <c r="J25" s="1451" t="e">
        <f>VLOOKUP(P25,اس!$S$3:$X$31,5,FALSE)</f>
        <v>#N/A</v>
      </c>
      <c r="K25" s="1451"/>
      <c r="L25" s="1451"/>
      <c r="M25" s="564"/>
      <c r="N25" s="775" t="e">
        <f>VLOOKUP(Q25,اس!$S$3:$X$31,2,FALSE)</f>
        <v>#N/A</v>
      </c>
      <c r="O25" s="503"/>
      <c r="P25" s="387">
        <v>0</v>
      </c>
      <c r="Q25" s="1414">
        <v>0</v>
      </c>
      <c r="R25" s="1414"/>
      <c r="T25" s="293"/>
      <c r="AH25" s="488">
        <v>19</v>
      </c>
      <c r="AI25" s="510" t="s">
        <v>1509</v>
      </c>
      <c r="AJ25" s="511"/>
      <c r="AK25" s="282" t="s">
        <v>1207</v>
      </c>
      <c r="AL25" s="282"/>
      <c r="AM25" s="768"/>
      <c r="AN25" s="768"/>
      <c r="AO25" s="282"/>
      <c r="AP25" s="769"/>
      <c r="AQ25" s="768" t="s">
        <v>1530</v>
      </c>
      <c r="AR25" s="768"/>
      <c r="AS25" s="768" t="s">
        <v>819</v>
      </c>
      <c r="AT25" s="274"/>
      <c r="AU25" s="274"/>
      <c r="AV25" s="274"/>
    </row>
    <row r="26" spans="1:49" s="25" customFormat="1" ht="17.100000000000001" customHeight="1" thickBot="1">
      <c r="A26" s="538" t="s">
        <v>316</v>
      </c>
      <c r="B26" s="539">
        <f t="shared" ref="B26:I26" si="11">SUM(B25-B30)</f>
        <v>109</v>
      </c>
      <c r="C26" s="539">
        <f t="shared" si="11"/>
        <v>134</v>
      </c>
      <c r="D26" s="539">
        <f t="shared" si="11"/>
        <v>93</v>
      </c>
      <c r="E26" s="539">
        <f t="shared" si="11"/>
        <v>157</v>
      </c>
      <c r="F26" s="539">
        <f t="shared" si="11"/>
        <v>29</v>
      </c>
      <c r="G26" s="539">
        <f t="shared" si="11"/>
        <v>43</v>
      </c>
      <c r="H26" s="539">
        <f t="shared" si="11"/>
        <v>231</v>
      </c>
      <c r="I26" s="563">
        <f t="shared" si="11"/>
        <v>334</v>
      </c>
      <c r="J26" s="1451" t="e">
        <f>VLOOKUP(P26,اس!$S$3:$X$31,5,FALSE)</f>
        <v>#N/A</v>
      </c>
      <c r="K26" s="1451"/>
      <c r="L26" s="1451"/>
      <c r="M26" s="774"/>
      <c r="N26" s="775" t="e">
        <f>VLOOKUP(Q26,اس!$S$3:$X$31,2,FALSE)</f>
        <v>#N/A</v>
      </c>
      <c r="O26" s="503"/>
      <c r="P26" s="387">
        <v>0</v>
      </c>
      <c r="Q26" s="1414">
        <v>0</v>
      </c>
      <c r="R26" s="1414"/>
      <c r="T26" s="293"/>
      <c r="AH26" s="488">
        <v>20</v>
      </c>
      <c r="AI26" s="286" t="s">
        <v>942</v>
      </c>
      <c r="AJ26" s="287"/>
      <c r="AK26" s="282" t="s">
        <v>279</v>
      </c>
      <c r="AL26" s="768"/>
      <c r="AM26" s="768"/>
      <c r="AN26" s="282"/>
      <c r="AO26" s="282"/>
      <c r="AP26" s="769"/>
      <c r="AQ26" s="282"/>
      <c r="AR26" s="282"/>
      <c r="AS26" s="282"/>
      <c r="AT26" s="274"/>
      <c r="AU26" s="274"/>
      <c r="AV26" s="274"/>
    </row>
    <row r="27" spans="1:49" s="25" customFormat="1" ht="17.100000000000001" customHeight="1" thickBot="1">
      <c r="A27" s="553">
        <v>-2</v>
      </c>
      <c r="B27" s="551" t="s">
        <v>294</v>
      </c>
      <c r="C27" s="551"/>
      <c r="D27" s="551"/>
      <c r="E27" s="554"/>
      <c r="F27" s="551"/>
      <c r="G27" s="551"/>
      <c r="H27" s="551"/>
      <c r="I27" s="551"/>
      <c r="J27" s="294"/>
      <c r="K27" s="294"/>
      <c r="L27" s="294"/>
      <c r="M27" s="294"/>
      <c r="N27" s="294"/>
      <c r="O27" s="142"/>
      <c r="T27" s="293"/>
      <c r="AH27" s="488">
        <v>21</v>
      </c>
      <c r="AI27" s="510" t="s">
        <v>278</v>
      </c>
      <c r="AJ27" s="513"/>
      <c r="AK27" s="282" t="s">
        <v>279</v>
      </c>
      <c r="AL27" s="768"/>
      <c r="AM27" s="768"/>
      <c r="AN27" s="768"/>
      <c r="AO27" s="282"/>
      <c r="AP27" s="785"/>
      <c r="AQ27" s="282"/>
      <c r="AR27" s="282"/>
      <c r="AS27" s="282"/>
      <c r="AT27" s="274"/>
      <c r="AU27" s="274"/>
      <c r="AV27" s="274"/>
      <c r="AW27" s="150"/>
    </row>
    <row r="28" spans="1:49" s="25" customFormat="1" ht="17.25" customHeight="1" thickBot="1">
      <c r="A28" s="552" t="s">
        <v>827</v>
      </c>
      <c r="B28" s="1430" t="s">
        <v>299</v>
      </c>
      <c r="C28" s="1430"/>
      <c r="D28" s="1424" t="s">
        <v>300</v>
      </c>
      <c r="E28" s="1424"/>
      <c r="F28" s="1424" t="s">
        <v>301</v>
      </c>
      <c r="G28" s="1424"/>
      <c r="H28" s="1424" t="s">
        <v>302</v>
      </c>
      <c r="I28" s="1424"/>
      <c r="J28" s="560" t="s">
        <v>952</v>
      </c>
      <c r="K28" s="741"/>
      <c r="L28" s="741"/>
      <c r="M28" s="741"/>
      <c r="N28" s="741"/>
      <c r="O28" s="142"/>
      <c r="T28" s="293"/>
      <c r="AH28" s="488">
        <v>22</v>
      </c>
      <c r="AI28" s="286" t="s">
        <v>2216</v>
      </c>
      <c r="AJ28" s="513"/>
      <c r="AK28" s="282" t="s">
        <v>279</v>
      </c>
      <c r="AL28" s="282"/>
      <c r="AM28" s="282"/>
      <c r="AN28" s="771"/>
      <c r="AO28" s="282"/>
      <c r="AP28" s="785"/>
      <c r="AQ28" s="768" t="s">
        <v>819</v>
      </c>
      <c r="AR28" s="768" t="s">
        <v>268</v>
      </c>
      <c r="AS28" s="768"/>
      <c r="AT28" s="274"/>
      <c r="AU28" s="274"/>
      <c r="AV28" s="274"/>
      <c r="AW28" s="154"/>
    </row>
    <row r="29" spans="1:49" s="25" customFormat="1" ht="17.25" customHeight="1" thickBot="1">
      <c r="A29" s="921" t="s">
        <v>302</v>
      </c>
      <c r="B29" s="1423">
        <f>SUM(C30+B30)</f>
        <v>2</v>
      </c>
      <c r="C29" s="1423"/>
      <c r="D29" s="1423">
        <f>SUM(E30+D30)</f>
        <v>0</v>
      </c>
      <c r="E29" s="1423"/>
      <c r="F29" s="1423">
        <f>SUM(G30+F30)</f>
        <v>0</v>
      </c>
      <c r="G29" s="1423"/>
      <c r="H29" s="1423">
        <f>SUM(I30+H30)</f>
        <v>2</v>
      </c>
      <c r="I29" s="1423"/>
      <c r="J29" s="738" t="s">
        <v>1247</v>
      </c>
      <c r="K29" s="739"/>
      <c r="L29" s="1086" t="s">
        <v>1247</v>
      </c>
      <c r="M29" s="1085" t="s">
        <v>1545</v>
      </c>
      <c r="N29" s="1087" t="s">
        <v>1546</v>
      </c>
      <c r="O29" s="142"/>
      <c r="P29" s="142"/>
      <c r="Q29" s="29"/>
      <c r="R29" s="142"/>
      <c r="S29" s="299"/>
      <c r="T29" s="293"/>
      <c r="AH29" s="488">
        <v>23</v>
      </c>
      <c r="AI29" s="512" t="s">
        <v>1205</v>
      </c>
      <c r="AJ29" s="509"/>
      <c r="AK29" s="282" t="s">
        <v>1202</v>
      </c>
      <c r="AL29" s="282"/>
      <c r="AM29" s="282"/>
      <c r="AN29" s="768"/>
      <c r="AO29" s="282"/>
      <c r="AP29" s="785"/>
      <c r="AQ29" s="768" t="s">
        <v>820</v>
      </c>
      <c r="AR29" s="768"/>
      <c r="AS29" s="282" t="s">
        <v>6</v>
      </c>
      <c r="AT29" s="274"/>
      <c r="AU29" s="274"/>
      <c r="AV29" s="274"/>
      <c r="AW29" s="154"/>
    </row>
    <row r="30" spans="1:49" s="25" customFormat="1" ht="17.25" customHeight="1" thickBot="1">
      <c r="A30" s="736" t="s">
        <v>317</v>
      </c>
      <c r="B30" s="1010">
        <f t="shared" ref="B30:I30" si="12">SUM(B31:B32)</f>
        <v>1</v>
      </c>
      <c r="C30" s="1010">
        <f t="shared" si="12"/>
        <v>1</v>
      </c>
      <c r="D30" s="1010">
        <f t="shared" si="12"/>
        <v>0</v>
      </c>
      <c r="E30" s="1010">
        <f t="shared" si="12"/>
        <v>0</v>
      </c>
      <c r="F30" s="1010">
        <f t="shared" si="12"/>
        <v>0</v>
      </c>
      <c r="G30" s="1010">
        <f t="shared" si="12"/>
        <v>0</v>
      </c>
      <c r="H30" s="1010">
        <f t="shared" si="12"/>
        <v>1</v>
      </c>
      <c r="I30" s="1010">
        <f t="shared" si="12"/>
        <v>1</v>
      </c>
      <c r="J30" s="737" t="s">
        <v>302</v>
      </c>
      <c r="K30" s="737"/>
      <c r="L30" s="502">
        <f>COUNT(AH7:AH60)</f>
        <v>54</v>
      </c>
      <c r="M30" s="502">
        <f>COUNT(اس!V3:W8)</f>
        <v>6</v>
      </c>
      <c r="N30" s="502">
        <f>COUNT(اس!V1:X3)</f>
        <v>1</v>
      </c>
      <c r="O30" s="142"/>
      <c r="P30" s="142"/>
      <c r="Q30" s="26"/>
      <c r="R30" s="142"/>
      <c r="S30" s="501"/>
      <c r="T30" s="293"/>
      <c r="AH30" s="488">
        <v>24</v>
      </c>
      <c r="AI30" s="512" t="s">
        <v>286</v>
      </c>
      <c r="AJ30" s="513"/>
      <c r="AK30" s="282" t="s">
        <v>1202</v>
      </c>
      <c r="AL30" s="282"/>
      <c r="AM30" s="282"/>
      <c r="AN30" s="772" t="s">
        <v>1248</v>
      </c>
      <c r="AO30" s="772" t="s">
        <v>1248</v>
      </c>
      <c r="AP30" s="769"/>
      <c r="AQ30" s="768"/>
      <c r="AR30" s="768"/>
      <c r="AS30" s="768" t="s">
        <v>326</v>
      </c>
      <c r="AT30" s="281"/>
      <c r="AU30" s="281"/>
      <c r="AV30" s="281"/>
      <c r="AW30" s="154"/>
    </row>
    <row r="31" spans="1:49" s="25" customFormat="1" ht="17.25" customHeight="1" thickBot="1">
      <c r="A31" s="736" t="s">
        <v>318</v>
      </c>
      <c r="B31" s="454">
        <f>COUNTIF($S$50:$S$715,"ذن/د3")</f>
        <v>0</v>
      </c>
      <c r="C31" s="454">
        <f>COUNTIF($S$50:$S$715,"ان/د3")</f>
        <v>0</v>
      </c>
      <c r="D31" s="454">
        <f>COUNTIF($S$50:$S$715,"ذن/د2")</f>
        <v>0</v>
      </c>
      <c r="E31" s="454">
        <f>COUNTIF($S$50:$S$715,"ان/د2")</f>
        <v>0</v>
      </c>
      <c r="F31" s="454">
        <f>COUNTIF($S$50:$S$715,"ذن/د1")</f>
        <v>0</v>
      </c>
      <c r="G31" s="454">
        <f>COUNTIF($S$50:$S$715,"ان/د1")</f>
        <v>0</v>
      </c>
      <c r="H31" s="454">
        <f t="shared" ref="H31:I32" si="13">B31+D31+F31</f>
        <v>0</v>
      </c>
      <c r="I31" s="454">
        <f t="shared" si="13"/>
        <v>0</v>
      </c>
      <c r="J31" s="737" t="s">
        <v>316</v>
      </c>
      <c r="K31" s="737"/>
      <c r="L31" s="502">
        <f>SUM(L30-L32)</f>
        <v>54</v>
      </c>
      <c r="M31" s="502">
        <f>SUM(M30-M32)</f>
        <v>6</v>
      </c>
      <c r="N31" s="502">
        <f t="shared" ref="N31" si="14">SUM(N30-N32)</f>
        <v>1</v>
      </c>
      <c r="O31" s="142"/>
      <c r="P31" s="142"/>
      <c r="Q31" s="142"/>
      <c r="R31" s="142"/>
      <c r="S31" s="142"/>
      <c r="T31" s="293"/>
      <c r="AH31" s="488">
        <v>25</v>
      </c>
      <c r="AI31" s="512" t="s">
        <v>287</v>
      </c>
      <c r="AJ31" s="513"/>
      <c r="AK31" s="282" t="s">
        <v>1202</v>
      </c>
      <c r="AL31" s="792"/>
      <c r="AM31" s="792"/>
      <c r="AN31" s="792"/>
      <c r="AO31" s="792"/>
      <c r="AP31" s="788"/>
      <c r="AQ31" s="783"/>
      <c r="AR31" s="789"/>
      <c r="AS31" s="282"/>
      <c r="AT31" s="274"/>
      <c r="AW31" s="154"/>
    </row>
    <row r="32" spans="1:49" s="25" customFormat="1" ht="17.25" customHeight="1" thickBot="1">
      <c r="A32" s="736" t="s">
        <v>319</v>
      </c>
      <c r="B32" s="454">
        <f>COUNTIF($S$50:$S$715,"ذخ3")</f>
        <v>1</v>
      </c>
      <c r="C32" s="454">
        <f>COUNTIF($S$50:$S$715,"اخ3")</f>
        <v>1</v>
      </c>
      <c r="D32" s="454">
        <f>COUNTIF($S$50:$S$715,"ذخ2")</f>
        <v>0</v>
      </c>
      <c r="E32" s="454">
        <f>COUNTIF($S$50:$S$715,"اخ2")</f>
        <v>0</v>
      </c>
      <c r="F32" s="454">
        <f>COUNTIF($S$50:$S$715,"ذخ1")</f>
        <v>0</v>
      </c>
      <c r="G32" s="454">
        <f>COUNTIF($S$50:$S$715,"اخ1")</f>
        <v>0</v>
      </c>
      <c r="H32" s="454">
        <f>B32+D32+F32</f>
        <v>1</v>
      </c>
      <c r="I32" s="454">
        <f t="shared" si="13"/>
        <v>1</v>
      </c>
      <c r="J32" s="737" t="s">
        <v>321</v>
      </c>
      <c r="K32" s="737"/>
      <c r="L32" s="502">
        <f>COUNT(P11:P21)</f>
        <v>0</v>
      </c>
      <c r="M32" s="502">
        <v>0</v>
      </c>
      <c r="N32" s="502">
        <v>0</v>
      </c>
      <c r="O32" s="142"/>
      <c r="P32" s="142"/>
      <c r="Q32" s="142"/>
      <c r="R32" s="142"/>
      <c r="S32" s="142"/>
      <c r="T32" s="293"/>
      <c r="AH32" s="488">
        <v>26</v>
      </c>
      <c r="AI32" s="512" t="s">
        <v>284</v>
      </c>
      <c r="AJ32" s="513"/>
      <c r="AK32" s="282" t="s">
        <v>1202</v>
      </c>
      <c r="AL32" s="768" t="s">
        <v>1529</v>
      </c>
      <c r="AM32" s="768" t="s">
        <v>1529</v>
      </c>
      <c r="AN32" s="282" t="s">
        <v>1176</v>
      </c>
      <c r="AO32" s="768" t="s">
        <v>2227</v>
      </c>
      <c r="AP32" s="785"/>
      <c r="AQ32" s="282"/>
      <c r="AR32" s="282"/>
      <c r="AS32" s="282"/>
      <c r="AT32" s="274"/>
      <c r="AU32" s="274"/>
      <c r="AV32" s="274"/>
      <c r="AW32" s="154"/>
    </row>
    <row r="33" spans="1:49" s="25" customFormat="1" ht="17.25" customHeight="1" thickBot="1">
      <c r="A33" s="514" t="s">
        <v>320</v>
      </c>
      <c r="B33" s="496">
        <f t="shared" ref="B33:I33" si="15">SUM(B30/B25*100)</f>
        <v>0.90909090909090906</v>
      </c>
      <c r="C33" s="496">
        <f t="shared" si="15"/>
        <v>0.74074074074074081</v>
      </c>
      <c r="D33" s="496">
        <f t="shared" si="15"/>
        <v>0</v>
      </c>
      <c r="E33" s="496">
        <f t="shared" si="15"/>
        <v>0</v>
      </c>
      <c r="F33" s="1146">
        <f t="shared" si="15"/>
        <v>0</v>
      </c>
      <c r="G33" s="496">
        <f t="shared" si="15"/>
        <v>0</v>
      </c>
      <c r="H33" s="496">
        <f t="shared" si="15"/>
        <v>0.43103448275862066</v>
      </c>
      <c r="I33" s="496">
        <f t="shared" si="15"/>
        <v>0.29850746268656719</v>
      </c>
      <c r="J33" s="1449" t="s">
        <v>323</v>
      </c>
      <c r="K33" s="1455"/>
      <c r="L33" s="550">
        <f>SUM(L32/L30*100)</f>
        <v>0</v>
      </c>
      <c r="M33" s="1007">
        <f t="shared" ref="M33:N33" si="16">SUM(M32/M30*100)</f>
        <v>0</v>
      </c>
      <c r="N33" s="1007">
        <f t="shared" si="16"/>
        <v>0</v>
      </c>
      <c r="O33" s="142"/>
      <c r="P33" s="142"/>
      <c r="Q33" s="142"/>
      <c r="R33" s="142"/>
      <c r="S33" s="142"/>
      <c r="T33" s="501"/>
      <c r="AH33" s="488">
        <v>27</v>
      </c>
      <c r="AI33" s="512" t="s">
        <v>1228</v>
      </c>
      <c r="AJ33" s="287"/>
      <c r="AK33" s="282" t="s">
        <v>1202</v>
      </c>
      <c r="AL33" s="771" t="s">
        <v>2228</v>
      </c>
      <c r="AM33" s="771" t="s">
        <v>821</v>
      </c>
      <c r="AN33" s="768" t="s">
        <v>1174</v>
      </c>
      <c r="AO33" s="282" t="s">
        <v>268</v>
      </c>
      <c r="AP33" s="769"/>
      <c r="AQ33" s="768"/>
      <c r="AR33" s="768"/>
      <c r="AS33" s="768"/>
      <c r="AT33" s="281"/>
      <c r="AU33" s="281"/>
      <c r="AV33" s="281"/>
      <c r="AW33" s="154"/>
    </row>
    <row r="34" spans="1:49" s="13" customFormat="1" ht="21.75" customHeight="1" thickBot="1">
      <c r="A34" s="536" t="s">
        <v>322</v>
      </c>
      <c r="B34" s="1426">
        <f>SUM(B29/B23)*100</f>
        <v>0.81632653061224492</v>
      </c>
      <c r="C34" s="1426"/>
      <c r="D34" s="1426">
        <f>SUM(D29/D23)*100</f>
        <v>0</v>
      </c>
      <c r="E34" s="1426"/>
      <c r="F34" s="1431">
        <f>SUM(F29/F23)*100</f>
        <v>0</v>
      </c>
      <c r="G34" s="1431"/>
      <c r="H34" s="1431">
        <f>SUM(H29/H23)*100</f>
        <v>0.35273368606701938</v>
      </c>
      <c r="I34" s="1431"/>
      <c r="J34" s="561"/>
      <c r="K34" s="561"/>
      <c r="L34" s="561"/>
      <c r="M34" s="561"/>
      <c r="N34" s="561"/>
      <c r="O34" s="142"/>
      <c r="P34" s="142"/>
      <c r="Q34" s="142"/>
      <c r="R34" s="142"/>
      <c r="S34" s="142"/>
      <c r="T34" s="1009"/>
      <c r="AH34" s="488">
        <v>28</v>
      </c>
      <c r="AI34" s="512" t="s">
        <v>1510</v>
      </c>
      <c r="AJ34" s="513"/>
      <c r="AK34" s="282" t="s">
        <v>1202</v>
      </c>
      <c r="AL34" s="282"/>
      <c r="AM34" s="282"/>
      <c r="AN34" s="282" t="s">
        <v>1530</v>
      </c>
      <c r="AO34" s="282" t="s">
        <v>1530</v>
      </c>
      <c r="AP34" s="769"/>
      <c r="AQ34" s="282" t="s">
        <v>328</v>
      </c>
      <c r="AR34" s="768" t="s">
        <v>1173</v>
      </c>
      <c r="AS34" s="282"/>
      <c r="AT34" s="318"/>
      <c r="AU34" s="318"/>
      <c r="AV34" s="318"/>
      <c r="AW34" s="319"/>
    </row>
    <row r="35" spans="1:49" s="25" customFormat="1" ht="17.25" customHeight="1" thickBot="1">
      <c r="A35" s="1427"/>
      <c r="B35" s="1428"/>
      <c r="C35" s="1428"/>
      <c r="D35" s="1428"/>
      <c r="E35" s="1428"/>
      <c r="F35" s="1429"/>
      <c r="G35" s="1429"/>
      <c r="H35" s="1429"/>
      <c r="I35" s="1429"/>
      <c r="J35" s="1429"/>
      <c r="K35" s="1429"/>
      <c r="L35" s="1429"/>
      <c r="M35" s="562"/>
      <c r="N35" s="562"/>
      <c r="O35" s="320"/>
      <c r="P35" s="142"/>
      <c r="Q35" s="142"/>
      <c r="R35" s="142"/>
      <c r="S35" s="142"/>
      <c r="T35" s="501"/>
      <c r="AH35" s="488">
        <v>29</v>
      </c>
      <c r="AI35" s="286" t="s">
        <v>271</v>
      </c>
      <c r="AJ35" s="287"/>
      <c r="AK35" s="282" t="s">
        <v>1229</v>
      </c>
      <c r="AL35" s="771"/>
      <c r="AM35" s="768"/>
      <c r="AN35" s="768"/>
      <c r="AO35" s="282"/>
      <c r="AP35" s="769"/>
      <c r="AQ35" s="768"/>
      <c r="AR35" s="768"/>
      <c r="AS35" s="282"/>
      <c r="AT35" s="281"/>
      <c r="AU35" s="281"/>
      <c r="AV35" s="274"/>
      <c r="AW35" s="154"/>
    </row>
    <row r="36" spans="1:49" s="25" customFormat="1" ht="18" customHeight="1" thickBot="1">
      <c r="A36" s="530" t="s">
        <v>324</v>
      </c>
      <c r="B36" s="856" t="s">
        <v>500</v>
      </c>
      <c r="C36" s="856" t="s">
        <v>1519</v>
      </c>
      <c r="D36" s="856" t="s">
        <v>1497</v>
      </c>
      <c r="E36" s="856" t="s">
        <v>820</v>
      </c>
      <c r="F36" s="856" t="s">
        <v>819</v>
      </c>
      <c r="G36" s="856" t="s">
        <v>1850</v>
      </c>
      <c r="H36" s="856" t="s">
        <v>1851</v>
      </c>
      <c r="I36" s="856" t="s">
        <v>1852</v>
      </c>
      <c r="J36" s="856" t="s">
        <v>268</v>
      </c>
      <c r="K36" s="556"/>
      <c r="L36" s="556"/>
      <c r="M36" s="901" t="s">
        <v>302</v>
      </c>
      <c r="N36" s="756" t="s">
        <v>302</v>
      </c>
      <c r="O36" s="300"/>
      <c r="P36" s="300"/>
      <c r="Q36" s="142"/>
      <c r="R36" s="142"/>
      <c r="S36" s="142"/>
      <c r="T36" s="501"/>
      <c r="AH36" s="488">
        <v>30</v>
      </c>
      <c r="AI36" s="286" t="s">
        <v>944</v>
      </c>
      <c r="AJ36" s="287"/>
      <c r="AK36" s="282" t="s">
        <v>1229</v>
      </c>
      <c r="AL36" s="282"/>
      <c r="AM36" s="282"/>
      <c r="AN36" s="282"/>
      <c r="AO36" s="282"/>
      <c r="AP36" s="769"/>
      <c r="AQ36" s="282"/>
      <c r="AR36" s="282"/>
      <c r="AS36" s="282"/>
      <c r="AT36" s="274"/>
      <c r="AU36" s="274"/>
      <c r="AV36" s="274"/>
      <c r="AW36" s="154"/>
    </row>
    <row r="37" spans="1:49" s="25" customFormat="1" ht="17.25" customHeight="1" thickBot="1">
      <c r="A37" s="736" t="s">
        <v>325</v>
      </c>
      <c r="B37" s="454">
        <f>COUNTIF($Q$1:$Q$2297,"3ت ر")</f>
        <v>0</v>
      </c>
      <c r="C37" s="454">
        <f>COUNTIF($Q$1:$Q$2297,"3ت ا ق1")</f>
        <v>0</v>
      </c>
      <c r="D37" s="454">
        <f>COUNTIF($Q$1:$Q$2297,"3ت ا ق2")</f>
        <v>0</v>
      </c>
      <c r="E37" s="454">
        <f>COUNTIF($Q$1:$Q$2297,"3ع ت1")</f>
        <v>0</v>
      </c>
      <c r="F37" s="454">
        <f>COUNTIF($Q$1:$Q$2297,"3ع ت2")</f>
        <v>0</v>
      </c>
      <c r="G37" s="454">
        <f>COUNTIF($Q$1:$Q$2296,"3ع ت3")</f>
        <v>0</v>
      </c>
      <c r="H37" s="454">
        <f>COUNTIF($Q$1:$Q$2297,"3آ ف1")</f>
        <v>0</v>
      </c>
      <c r="I37" s="454">
        <f>COUNTIF($Q$1:$Q$2297,"3آ ف2")</f>
        <v>0</v>
      </c>
      <c r="J37" s="454">
        <f>COUNTIF($Q$1:$Q$2297,"3ل أ")</f>
        <v>0</v>
      </c>
      <c r="K37" s="573"/>
      <c r="L37" s="573"/>
      <c r="M37" s="735">
        <f>SUM(B37:L37)</f>
        <v>0</v>
      </c>
      <c r="N37" s="1452">
        <f>SUM(M37+M39+M41)</f>
        <v>0</v>
      </c>
      <c r="O37" s="300"/>
      <c r="P37" s="300"/>
      <c r="Q37" s="11"/>
      <c r="R37" s="142"/>
      <c r="S37" s="501"/>
      <c r="T37" s="501"/>
      <c r="AH37" s="488">
        <v>31</v>
      </c>
      <c r="AI37" s="286" t="s">
        <v>1218</v>
      </c>
      <c r="AJ37" s="287"/>
      <c r="AK37" s="282" t="s">
        <v>1229</v>
      </c>
      <c r="AL37" s="316"/>
      <c r="AM37" s="316"/>
      <c r="AN37" s="316"/>
      <c r="AO37" s="316"/>
      <c r="AP37" s="769"/>
      <c r="AQ37" s="282"/>
      <c r="AR37" s="282"/>
      <c r="AS37" s="282"/>
      <c r="AT37" s="274"/>
      <c r="AU37" s="274"/>
      <c r="AV37" s="274"/>
      <c r="AW37" s="154"/>
    </row>
    <row r="38" spans="1:49" s="25" customFormat="1" ht="20.25" customHeight="1" thickBot="1">
      <c r="A38" s="736" t="s">
        <v>324</v>
      </c>
      <c r="B38" s="1006" t="s">
        <v>6</v>
      </c>
      <c r="C38" s="1006" t="s">
        <v>1173</v>
      </c>
      <c r="D38" s="1142" t="s">
        <v>1520</v>
      </c>
      <c r="E38" s="1142" t="s">
        <v>1521</v>
      </c>
      <c r="F38" s="1142" t="s">
        <v>1522</v>
      </c>
      <c r="G38" s="1142" t="s">
        <v>2294</v>
      </c>
      <c r="H38" s="1142" t="s">
        <v>2295</v>
      </c>
      <c r="I38" s="1142" t="s">
        <v>4</v>
      </c>
      <c r="J38" s="1006"/>
      <c r="K38" s="1006"/>
      <c r="L38" s="556"/>
      <c r="M38" s="901" t="s">
        <v>302</v>
      </c>
      <c r="N38" s="1453"/>
      <c r="O38" s="300"/>
      <c r="P38" s="300"/>
      <c r="T38" s="501"/>
      <c r="AH38" s="488">
        <v>32</v>
      </c>
      <c r="AI38" s="286" t="s">
        <v>1230</v>
      </c>
      <c r="AJ38" s="287"/>
      <c r="AK38" s="282" t="s">
        <v>1229</v>
      </c>
      <c r="AL38" s="771" t="s">
        <v>828</v>
      </c>
      <c r="AM38" s="282"/>
      <c r="AN38" s="768" t="s">
        <v>326</v>
      </c>
      <c r="AO38" s="282" t="s">
        <v>1529</v>
      </c>
      <c r="AP38" s="785"/>
      <c r="AQ38" s="282"/>
      <c r="AR38" s="282"/>
      <c r="AS38" s="768"/>
      <c r="AT38" s="274"/>
      <c r="AU38" s="274"/>
      <c r="AV38" s="274"/>
      <c r="AW38" s="154"/>
    </row>
    <row r="39" spans="1:49" s="25" customFormat="1" ht="17.25" customHeight="1" thickBot="1">
      <c r="A39" s="736" t="s">
        <v>325</v>
      </c>
      <c r="B39" s="454">
        <f>COUNTIF($Q$1:$Q$2297,"2ت ر")</f>
        <v>0</v>
      </c>
      <c r="C39" s="454">
        <f>COUNTIF($Q$1:$Q$2297,"2ت ا ق1")</f>
        <v>0</v>
      </c>
      <c r="D39" s="454">
        <f>COUNTIF($Q$1:$Q$2297,"2ع ت1")</f>
        <v>0</v>
      </c>
      <c r="E39" s="454">
        <f>COUNTIF($Q$1:$Q$2297,"2ع ت2")</f>
        <v>0</v>
      </c>
      <c r="F39" s="454">
        <f>COUNTIF($Q$1:$Q$2297,"2ع ت3")</f>
        <v>0</v>
      </c>
      <c r="G39" s="454">
        <f>COUNTIF($Q$1:$Q$2297,"2أف1")</f>
        <v>0</v>
      </c>
      <c r="H39" s="454">
        <f>COUNTIF($Q$1:$Q$2297,"2أف2")</f>
        <v>0</v>
      </c>
      <c r="I39" s="454">
        <f>COUNTIF($Q$1:$Q$2297,"2ل أ")</f>
        <v>0</v>
      </c>
      <c r="J39" s="454"/>
      <c r="K39" s="454"/>
      <c r="L39" s="573"/>
      <c r="M39" s="735">
        <f>SUM(B39:L39)</f>
        <v>0</v>
      </c>
      <c r="N39" s="1453"/>
      <c r="O39" s="300"/>
      <c r="P39" s="300"/>
      <c r="Q39" s="11"/>
      <c r="R39" s="142"/>
      <c r="S39" s="501"/>
      <c r="T39" s="501"/>
      <c r="AH39" s="488">
        <v>33</v>
      </c>
      <c r="AI39" s="286" t="s">
        <v>1945</v>
      </c>
      <c r="AJ39" s="287"/>
      <c r="AK39" s="282" t="s">
        <v>1229</v>
      </c>
      <c r="AL39" s="282"/>
      <c r="AM39" s="282"/>
      <c r="AN39" s="282"/>
      <c r="AO39" s="282"/>
      <c r="AP39" s="769"/>
      <c r="AQ39" s="768"/>
      <c r="AR39" s="768"/>
      <c r="AS39" s="768"/>
      <c r="AT39" s="281"/>
      <c r="AU39" s="274"/>
      <c r="AV39" s="274"/>
      <c r="AW39" s="154"/>
    </row>
    <row r="40" spans="1:49" s="25" customFormat="1" ht="17.25" customHeight="1" thickBot="1">
      <c r="A40" s="736" t="s">
        <v>324</v>
      </c>
      <c r="B40" s="1006" t="s">
        <v>326</v>
      </c>
      <c r="C40" s="1006" t="s">
        <v>327</v>
      </c>
      <c r="D40" s="1006" t="s">
        <v>328</v>
      </c>
      <c r="E40" s="1006" t="s">
        <v>1175</v>
      </c>
      <c r="F40" s="1006" t="s">
        <v>1176</v>
      </c>
      <c r="G40" s="1142" t="s">
        <v>2299</v>
      </c>
      <c r="H40" s="1142" t="s">
        <v>329</v>
      </c>
      <c r="I40" s="1142" t="s">
        <v>330</v>
      </c>
      <c r="J40" s="1142" t="s">
        <v>2154</v>
      </c>
      <c r="K40" s="1142" t="s">
        <v>2298</v>
      </c>
      <c r="L40" s="556"/>
      <c r="M40" s="901" t="s">
        <v>302</v>
      </c>
      <c r="N40" s="1453"/>
      <c r="O40" s="300"/>
      <c r="P40" s="300"/>
      <c r="Q40" s="11"/>
      <c r="R40" s="142"/>
      <c r="S40" s="501"/>
      <c r="T40" s="501"/>
      <c r="AH40" s="488">
        <v>34</v>
      </c>
      <c r="AI40" s="286" t="s">
        <v>396</v>
      </c>
      <c r="AJ40" s="513"/>
      <c r="AK40" s="282" t="s">
        <v>290</v>
      </c>
      <c r="AL40" s="768"/>
      <c r="AM40" s="768"/>
      <c r="AN40" s="768"/>
      <c r="AO40" s="768"/>
      <c r="AP40" s="785"/>
      <c r="AQ40" s="768"/>
      <c r="AR40" s="768"/>
      <c r="AS40" s="282"/>
      <c r="AT40" s="274"/>
      <c r="AU40" s="274"/>
      <c r="AV40" s="274"/>
      <c r="AW40" s="154"/>
    </row>
    <row r="41" spans="1:49" s="25" customFormat="1" ht="17.25" customHeight="1" thickBot="1">
      <c r="A41" s="736" t="s">
        <v>325</v>
      </c>
      <c r="B41" s="454">
        <f>COUNTIF($Q$1:$Q$2297,"1ج م ع1")</f>
        <v>0</v>
      </c>
      <c r="C41" s="454">
        <f>COUNTIF($Q$1:$Q$2297,"1ج م ع2")</f>
        <v>0</v>
      </c>
      <c r="D41" s="454">
        <f>COUNTIF($Q$1:$Q$2297,"1ج م ع3")</f>
        <v>0</v>
      </c>
      <c r="E41" s="454">
        <f>COUNTIF($Q$1:$Q$2297,"1ج م ع4")</f>
        <v>0</v>
      </c>
      <c r="F41" s="454">
        <f>COUNTIF($Q$1:$Q$2297,"1ج م ع5")</f>
        <v>0</v>
      </c>
      <c r="G41" s="454">
        <f>COUNTIF($Q$1:$Q$2297,"1ج م ع6")</f>
        <v>0</v>
      </c>
      <c r="H41" s="454">
        <f>COUNTIF($Q$1:$Q$2297,"1ج م ا1")</f>
        <v>0</v>
      </c>
      <c r="I41" s="454">
        <f>COUNTIF($Q$1:$Q$2297,"1ج م ا2")</f>
        <v>0</v>
      </c>
      <c r="J41" s="454">
        <f>COUNTIF($Q$1:$Q$2297,"1ج م ا3")</f>
        <v>0</v>
      </c>
      <c r="K41" s="454">
        <f>COUNTIF($Q$1:$Q$2297,"1ج م ا4")</f>
        <v>0</v>
      </c>
      <c r="L41" s="573"/>
      <c r="M41" s="735">
        <f>SUM(B41:L41)</f>
        <v>0</v>
      </c>
      <c r="N41" s="1454"/>
      <c r="O41" s="300"/>
      <c r="P41" s="300"/>
      <c r="Q41" s="10"/>
      <c r="R41" s="10"/>
      <c r="S41" s="246"/>
      <c r="T41" s="501"/>
      <c r="AH41" s="488">
        <v>35</v>
      </c>
      <c r="AI41" s="286" t="s">
        <v>291</v>
      </c>
      <c r="AJ41" s="513"/>
      <c r="AK41" s="282" t="s">
        <v>290</v>
      </c>
      <c r="AL41" s="771"/>
      <c r="AM41" s="282"/>
      <c r="AN41" s="282"/>
      <c r="AO41" s="768"/>
      <c r="AP41" s="769"/>
      <c r="AQ41" s="768" t="s">
        <v>2227</v>
      </c>
      <c r="AR41" s="768" t="s">
        <v>819</v>
      </c>
      <c r="AS41" s="768" t="s">
        <v>1248</v>
      </c>
      <c r="AT41" s="281"/>
      <c r="AU41" s="274"/>
      <c r="AV41" s="274"/>
      <c r="AW41" s="154"/>
    </row>
    <row r="42" spans="1:49" s="13" customFormat="1" ht="17.100000000000001" customHeight="1" thickBot="1">
      <c r="A42" s="1425" t="s">
        <v>331</v>
      </c>
      <c r="B42" s="1425"/>
      <c r="C42" s="1425"/>
      <c r="D42" s="460"/>
      <c r="E42" s="460"/>
      <c r="F42" s="483"/>
      <c r="G42" s="484" t="s">
        <v>332</v>
      </c>
      <c r="H42" s="485"/>
      <c r="I42" s="367"/>
      <c r="J42" s="461"/>
      <c r="K42" s="461"/>
      <c r="L42" s="462" t="s">
        <v>333</v>
      </c>
      <c r="M42" s="367"/>
      <c r="N42" s="367"/>
      <c r="O42" s="12"/>
      <c r="P42" s="9"/>
      <c r="Q42" s="9"/>
      <c r="R42" s="311"/>
      <c r="S42" s="1009"/>
      <c r="T42" s="1009"/>
      <c r="Z42" s="25"/>
      <c r="AH42" s="488">
        <v>36</v>
      </c>
      <c r="AI42" s="512" t="s">
        <v>2094</v>
      </c>
      <c r="AJ42" s="513"/>
      <c r="AK42" s="282" t="s">
        <v>290</v>
      </c>
      <c r="AL42" s="768"/>
      <c r="AM42" s="768"/>
      <c r="AN42" s="768"/>
      <c r="AO42" s="768"/>
      <c r="AP42" s="785"/>
      <c r="AQ42" s="282"/>
      <c r="AR42" s="282" t="s">
        <v>1530</v>
      </c>
      <c r="AS42" s="282" t="s">
        <v>1175</v>
      </c>
      <c r="AT42" s="282" t="s">
        <v>1963</v>
      </c>
      <c r="AU42" s="318"/>
      <c r="AV42" s="318"/>
      <c r="AW42" s="319"/>
    </row>
    <row r="43" spans="1:49" s="13" customFormat="1" ht="23.25" customHeight="1" thickBot="1">
      <c r="A43" s="1028"/>
      <c r="B43" s="458"/>
      <c r="C43" s="458"/>
      <c r="D43" s="458"/>
      <c r="E43" s="459"/>
      <c r="F43" s="459"/>
      <c r="G43" s="459"/>
      <c r="H43" s="460"/>
      <c r="I43" s="367"/>
      <c r="J43" s="367"/>
      <c r="K43" s="367"/>
      <c r="L43" s="367"/>
      <c r="M43" s="21"/>
      <c r="N43" s="21"/>
      <c r="O43" s="8"/>
      <c r="P43" s="8"/>
      <c r="Q43" s="8"/>
      <c r="R43" s="311"/>
      <c r="S43" s="1009"/>
      <c r="T43" s="1009"/>
      <c r="AH43" s="488">
        <v>37</v>
      </c>
      <c r="AI43" s="512" t="s">
        <v>1958</v>
      </c>
      <c r="AJ43" s="287"/>
      <c r="AK43" s="282" t="s">
        <v>290</v>
      </c>
      <c r="AL43" s="282"/>
      <c r="AM43" s="282"/>
      <c r="AN43" s="282" t="s">
        <v>326</v>
      </c>
      <c r="AO43" s="282" t="s">
        <v>2228</v>
      </c>
      <c r="AP43" s="769"/>
      <c r="AQ43" s="768" t="s">
        <v>268</v>
      </c>
      <c r="AR43" s="768" t="s">
        <v>327</v>
      </c>
      <c r="AS43" s="768"/>
      <c r="AT43" s="318"/>
      <c r="AU43" s="318"/>
      <c r="AV43" s="318"/>
      <c r="AW43" s="319"/>
    </row>
    <row r="44" spans="1:49" s="13" customFormat="1" ht="23.25" customHeight="1" thickBot="1">
      <c r="A44" s="457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367"/>
      <c r="O44" s="12"/>
      <c r="P44" s="12"/>
      <c r="Q44" s="11"/>
      <c r="R44" s="142"/>
      <c r="S44" s="501"/>
      <c r="T44" s="501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488">
        <v>38</v>
      </c>
      <c r="AI44" s="512" t="s">
        <v>1536</v>
      </c>
      <c r="AJ44" s="287"/>
      <c r="AK44" s="282" t="s">
        <v>290</v>
      </c>
      <c r="AL44" s="787"/>
      <c r="AM44" s="792" t="s">
        <v>1505</v>
      </c>
      <c r="AN44" s="789" t="s">
        <v>2231</v>
      </c>
      <c r="AO44" s="787"/>
      <c r="AP44" s="790"/>
      <c r="AQ44" s="783"/>
      <c r="AR44" s="282"/>
      <c r="AS44" s="282"/>
      <c r="AT44" s="274"/>
      <c r="AU44" s="274"/>
      <c r="AV44" s="274"/>
      <c r="AW44" s="154"/>
    </row>
    <row r="45" spans="1:49" s="25" customFormat="1" ht="17.100000000000001" customHeight="1" thickBot="1">
      <c r="A45" s="462" t="s">
        <v>334</v>
      </c>
      <c r="B45" s="462"/>
      <c r="C45" s="462"/>
      <c r="D45" s="461"/>
      <c r="E45" s="460"/>
      <c r="F45" s="460"/>
      <c r="G45" s="461" t="s">
        <v>334</v>
      </c>
      <c r="H45" s="461"/>
      <c r="I45" s="367"/>
      <c r="J45" s="367"/>
      <c r="K45" s="21"/>
      <c r="L45" s="462" t="s">
        <v>334</v>
      </c>
      <c r="M45" s="21"/>
      <c r="N45" s="367"/>
      <c r="O45" s="12"/>
      <c r="P45" s="12"/>
      <c r="Q45" s="11"/>
      <c r="R45" s="142"/>
      <c r="S45" s="501"/>
      <c r="T45" s="501"/>
      <c r="AH45" s="488">
        <v>39</v>
      </c>
      <c r="AI45" s="286" t="s">
        <v>2217</v>
      </c>
      <c r="AJ45" s="287"/>
      <c r="AK45" s="282" t="s">
        <v>290</v>
      </c>
      <c r="AL45" s="768"/>
      <c r="AM45" s="316"/>
      <c r="AN45" s="316"/>
      <c r="AO45" s="316"/>
      <c r="AP45" s="769"/>
      <c r="AQ45" s="282"/>
      <c r="AR45" s="282"/>
      <c r="AS45" s="282"/>
      <c r="AT45" s="274"/>
      <c r="AU45" s="274"/>
      <c r="AV45" s="274"/>
      <c r="AW45" s="154"/>
    </row>
    <row r="46" spans="1:49" s="25" customFormat="1" ht="17.100000000000001" customHeight="1" thickBot="1">
      <c r="A46" s="457"/>
      <c r="N46" s="367"/>
      <c r="O46" s="12"/>
      <c r="P46" s="12"/>
      <c r="Q46" s="11"/>
      <c r="R46" s="142"/>
      <c r="S46" s="501"/>
      <c r="T46" s="501"/>
      <c r="AH46" s="488">
        <v>40</v>
      </c>
      <c r="AI46" s="286" t="s">
        <v>296</v>
      </c>
      <c r="AJ46" s="287"/>
      <c r="AK46" s="282" t="s">
        <v>1206</v>
      </c>
      <c r="AL46" s="768"/>
      <c r="AM46" s="316"/>
      <c r="AN46" s="316"/>
      <c r="AO46" s="316"/>
      <c r="AP46" s="769"/>
      <c r="AQ46" s="282"/>
      <c r="AR46" s="282"/>
      <c r="AS46" s="282"/>
      <c r="AT46" s="274"/>
      <c r="AU46" s="274"/>
      <c r="AV46" s="274"/>
      <c r="AW46" s="154"/>
    </row>
    <row r="47" spans="1:49" s="25" customFormat="1" ht="17.100000000000001" customHeight="1" thickBot="1">
      <c r="N47" s="457"/>
      <c r="O47" s="12"/>
      <c r="P47" s="12"/>
      <c r="Q47" s="11"/>
      <c r="R47" s="142"/>
      <c r="S47" s="501"/>
      <c r="T47" s="501"/>
      <c r="AH47" s="488">
        <v>41</v>
      </c>
      <c r="AI47" s="286" t="s">
        <v>1946</v>
      </c>
      <c r="AJ47" s="287"/>
      <c r="AK47" s="282" t="s">
        <v>1206</v>
      </c>
      <c r="AL47" s="768"/>
      <c r="AM47" s="768"/>
      <c r="AN47" s="282"/>
      <c r="AO47" s="282"/>
      <c r="AP47" s="769"/>
      <c r="AQ47" s="282" t="s">
        <v>2236</v>
      </c>
      <c r="AR47" s="282" t="s">
        <v>820</v>
      </c>
      <c r="AS47" s="282" t="s">
        <v>2215</v>
      </c>
      <c r="AT47" s="282"/>
      <c r="AU47" s="282"/>
      <c r="AV47" s="274"/>
      <c r="AW47" s="24"/>
    </row>
    <row r="48" spans="1:49" s="25" customFormat="1" ht="17.100000000000001" customHeight="1" thickBot="1">
      <c r="L48" s="367"/>
      <c r="M48" s="367"/>
      <c r="O48" s="1055" t="s">
        <v>335</v>
      </c>
      <c r="P48" s="1056"/>
      <c r="Q48" s="1105" t="s">
        <v>2229</v>
      </c>
      <c r="R48" s="1105"/>
      <c r="S48" s="1105"/>
      <c r="T48" s="1107">
        <v>45788</v>
      </c>
      <c r="U48" s="1108"/>
      <c r="V48" s="1106"/>
      <c r="W48" s="304"/>
      <c r="X48" s="1043"/>
      <c r="Y48" s="1044"/>
      <c r="Z48" s="1044"/>
      <c r="AA48" s="304"/>
      <c r="AH48" s="488">
        <v>42</v>
      </c>
      <c r="AI48" s="286" t="s">
        <v>640</v>
      </c>
      <c r="AJ48" s="287"/>
      <c r="AK48" s="282" t="s">
        <v>1206</v>
      </c>
      <c r="AL48" s="768"/>
      <c r="AM48" s="768"/>
      <c r="AN48" s="282"/>
      <c r="AO48" s="282"/>
      <c r="AP48" s="769"/>
      <c r="AQ48" s="282"/>
      <c r="AR48" s="282"/>
      <c r="AS48" s="282"/>
      <c r="AT48" s="282"/>
      <c r="AU48" s="282"/>
      <c r="AV48" s="274"/>
      <c r="AW48" s="24"/>
    </row>
    <row r="49" spans="1:49" s="13" customFormat="1" ht="17.45" customHeight="1" thickBot="1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1021" t="s">
        <v>339</v>
      </c>
      <c r="M49" s="1021"/>
      <c r="N49" s="1021" t="s">
        <v>1564</v>
      </c>
      <c r="O49" s="1103" t="s">
        <v>258</v>
      </c>
      <c r="P49" s="1444" t="s">
        <v>336</v>
      </c>
      <c r="Q49" s="566" t="s">
        <v>5</v>
      </c>
      <c r="R49" s="1444" t="s">
        <v>7</v>
      </c>
      <c r="S49" s="566"/>
      <c r="T49" s="1444" t="s">
        <v>634</v>
      </c>
      <c r="U49" s="1446" t="s">
        <v>356</v>
      </c>
      <c r="V49" s="1444" t="s">
        <v>635</v>
      </c>
      <c r="W49" s="1444" t="s">
        <v>636</v>
      </c>
      <c r="X49" s="1444" t="s">
        <v>337</v>
      </c>
      <c r="Y49" s="1444" t="s">
        <v>338</v>
      </c>
      <c r="Z49" s="1444" t="s">
        <v>339</v>
      </c>
      <c r="AA49" s="1444" t="s">
        <v>2211</v>
      </c>
      <c r="AB49" s="25"/>
      <c r="AC49" s="25"/>
      <c r="AD49" s="25"/>
      <c r="AE49" s="25"/>
      <c r="AF49" s="25"/>
      <c r="AG49" s="25"/>
      <c r="AH49" s="488">
        <v>43</v>
      </c>
      <c r="AI49" s="286" t="s">
        <v>2219</v>
      </c>
      <c r="AJ49" s="287"/>
      <c r="AK49" s="282" t="s">
        <v>270</v>
      </c>
      <c r="AL49" s="768"/>
      <c r="AM49" s="768"/>
      <c r="AN49" s="282"/>
      <c r="AO49" s="282"/>
      <c r="AP49" s="769"/>
      <c r="AQ49" s="282"/>
      <c r="AR49" s="282"/>
      <c r="AS49" s="282" t="s">
        <v>328</v>
      </c>
      <c r="AT49" s="282" t="s">
        <v>327</v>
      </c>
      <c r="AU49" s="282"/>
      <c r="AV49" s="274"/>
      <c r="AW49" s="24"/>
    </row>
    <row r="50" spans="1:49" s="13" customFormat="1" ht="17.45" customHeight="1" thickBot="1">
      <c r="A50" s="25"/>
      <c r="B50" s="25"/>
      <c r="C50" s="25"/>
      <c r="D50" s="295"/>
      <c r="E50" s="295"/>
      <c r="F50" s="295"/>
      <c r="G50" s="295"/>
      <c r="H50" s="295"/>
      <c r="I50" s="25"/>
      <c r="J50" s="25"/>
      <c r="K50" s="25"/>
      <c r="L50" s="1021"/>
      <c r="M50" s="1021"/>
      <c r="N50" s="1021"/>
      <c r="O50" s="1104"/>
      <c r="P50" s="1445"/>
      <c r="Q50" s="567"/>
      <c r="R50" s="1445"/>
      <c r="S50" s="567"/>
      <c r="T50" s="1445"/>
      <c r="U50" s="1447"/>
      <c r="V50" s="1445"/>
      <c r="W50" s="1445"/>
      <c r="X50" s="1445"/>
      <c r="Y50" s="1445"/>
      <c r="Z50" s="1445"/>
      <c r="AA50" s="1445"/>
      <c r="AB50" s="25"/>
      <c r="AC50" s="25"/>
      <c r="AD50" s="25"/>
      <c r="AE50" s="25"/>
      <c r="AF50" s="25"/>
      <c r="AG50" s="25"/>
      <c r="AH50" s="488">
        <v>44</v>
      </c>
      <c r="AI50" s="286" t="s">
        <v>1537</v>
      </c>
      <c r="AJ50" s="285"/>
      <c r="AK50" s="282" t="s">
        <v>1206</v>
      </c>
      <c r="AL50" s="316"/>
      <c r="AM50" s="316"/>
      <c r="AN50" s="316"/>
      <c r="AO50" s="316"/>
      <c r="AP50" s="770"/>
      <c r="AQ50" s="316"/>
      <c r="AR50" s="316"/>
      <c r="AS50" s="316"/>
      <c r="AT50" s="24"/>
      <c r="AU50" s="24"/>
      <c r="AV50" s="24"/>
    </row>
    <row r="51" spans="1:49" s="13" customFormat="1" ht="17.45" customHeight="1" thickBot="1">
      <c r="A51" s="25"/>
      <c r="B51" s="25"/>
      <c r="C51" s="25"/>
      <c r="D51" s="295"/>
      <c r="E51" s="295"/>
      <c r="F51" s="295"/>
      <c r="G51" s="295"/>
      <c r="H51" s="295"/>
      <c r="I51" s="25"/>
      <c r="J51" s="25"/>
      <c r="K51" s="25"/>
      <c r="L51" s="777">
        <v>5</v>
      </c>
      <c r="M51" s="778"/>
      <c r="N51" s="976">
        <v>20</v>
      </c>
      <c r="O51" s="1020">
        <v>1</v>
      </c>
      <c r="P51" s="847">
        <f>VLOOKUP(N51,etat!$A$9:$N$1004,2,FALSE)</f>
        <v>0</v>
      </c>
      <c r="Q51" s="797" t="str">
        <f>VLOOKUP(N51,etat!$A$9:$N$963,7,FALSE)</f>
        <v xml:space="preserve"> 3ت ر مك </v>
      </c>
      <c r="R51" s="797" t="str">
        <f>VLOOKUP(N51,etat!$A$9:$N$1003,9,FALSE)</f>
        <v>خ</v>
      </c>
      <c r="S51" s="866" t="str">
        <f>VLOOKUP(N51,etat!$A$9:$P$905,16,FALSE)</f>
        <v>ذخ3</v>
      </c>
      <c r="T51" s="755"/>
      <c r="U51" s="791"/>
      <c r="V51" s="784"/>
      <c r="W51" s="784"/>
      <c r="X51" s="784"/>
      <c r="Y51" s="975"/>
      <c r="Z51" s="975"/>
      <c r="AA51" s="967"/>
      <c r="AB51" s="25"/>
      <c r="AC51" s="25"/>
      <c r="AD51" s="25"/>
      <c r="AE51" s="25"/>
      <c r="AF51" s="25"/>
      <c r="AG51" s="25"/>
      <c r="AH51" s="488">
        <v>45</v>
      </c>
      <c r="AI51" s="286" t="s">
        <v>1232</v>
      </c>
      <c r="AJ51" s="285"/>
      <c r="AK51" s="282" t="s">
        <v>1206</v>
      </c>
      <c r="AL51" s="282" t="s">
        <v>1530</v>
      </c>
      <c r="AM51" s="24" t="s">
        <v>268</v>
      </c>
      <c r="AN51" s="24" t="s">
        <v>268</v>
      </c>
      <c r="AO51" s="24" t="s">
        <v>1529</v>
      </c>
      <c r="AP51" s="770"/>
      <c r="AQ51" s="282"/>
      <c r="AR51" s="316"/>
      <c r="AS51" s="316"/>
      <c r="AT51" s="24"/>
      <c r="AU51" s="24"/>
      <c r="AV51" s="24"/>
    </row>
    <row r="52" spans="1:49" s="13" customFormat="1" ht="17.45" customHeight="1" thickBot="1">
      <c r="A52" s="25"/>
      <c r="B52" s="25"/>
      <c r="C52" s="25"/>
      <c r="D52" s="295"/>
      <c r="E52" s="295"/>
      <c r="F52" s="295"/>
      <c r="G52" s="295"/>
      <c r="H52" s="295"/>
      <c r="I52" s="25"/>
      <c r="J52" s="25"/>
      <c r="K52" s="25"/>
      <c r="L52" s="777">
        <v>5</v>
      </c>
      <c r="M52" s="778"/>
      <c r="N52" s="976">
        <v>3</v>
      </c>
      <c r="O52" s="1020">
        <v>2</v>
      </c>
      <c r="P52" s="847">
        <f>VLOOKUP(N52,etat!$A$9:$N$1004,2,FALSE)</f>
        <v>0</v>
      </c>
      <c r="Q52" s="797" t="str">
        <f>VLOOKUP(N52,etat!$A$9:$N$963,7,FALSE)</f>
        <v xml:space="preserve"> 3ت ر كه </v>
      </c>
      <c r="R52" s="797" t="str">
        <f>VLOOKUP(N52,etat!$A$9:$N$1003,9,FALSE)</f>
        <v>خ</v>
      </c>
      <c r="S52" s="866" t="str">
        <f>VLOOKUP(N52,etat!$A$9:$P$905,16,FALSE)</f>
        <v>اخ3</v>
      </c>
      <c r="T52" s="755"/>
      <c r="U52" s="791"/>
      <c r="V52" s="784"/>
      <c r="W52" s="784"/>
      <c r="X52" s="784"/>
      <c r="Y52" s="975"/>
      <c r="Z52" s="975"/>
      <c r="AA52" s="967"/>
      <c r="AB52" s="25"/>
      <c r="AC52" s="25"/>
      <c r="AD52" s="25"/>
      <c r="AE52" s="25"/>
      <c r="AF52" s="25"/>
      <c r="AG52" s="25"/>
      <c r="AH52" s="488">
        <v>46</v>
      </c>
      <c r="AI52" s="286" t="s">
        <v>1502</v>
      </c>
      <c r="AJ52" s="285"/>
      <c r="AK52" s="282" t="s">
        <v>1959</v>
      </c>
      <c r="AL52" s="24" t="s">
        <v>2227</v>
      </c>
      <c r="AM52" s="24" t="s">
        <v>1173</v>
      </c>
      <c r="AN52" s="316"/>
      <c r="AO52" s="24" t="s">
        <v>2226</v>
      </c>
      <c r="AP52" s="770"/>
      <c r="AQ52" s="316"/>
      <c r="AR52" s="316"/>
      <c r="AS52" s="768"/>
      <c r="AT52" s="24"/>
      <c r="AU52" s="24"/>
      <c r="AV52" s="24"/>
    </row>
    <row r="53" spans="1:49" s="13" customFormat="1" ht="17.45" customHeight="1" thickBot="1">
      <c r="A53" s="25"/>
      <c r="B53" s="25"/>
      <c r="C53" s="25"/>
      <c r="D53" s="295"/>
      <c r="E53" s="295"/>
      <c r="F53" s="295"/>
      <c r="G53" s="295"/>
      <c r="H53" s="295"/>
      <c r="I53" s="25"/>
      <c r="J53" s="25"/>
      <c r="K53" s="25"/>
      <c r="L53" s="777">
        <v>5</v>
      </c>
      <c r="M53" s="778"/>
      <c r="N53" s="976">
        <v>0</v>
      </c>
      <c r="O53" s="1020">
        <v>3</v>
      </c>
      <c r="P53" s="847" t="e">
        <f>VLOOKUP(N53,etat!$A$9:$N$1004,2,FALSE)</f>
        <v>#N/A</v>
      </c>
      <c r="Q53" s="797" t="e">
        <f>VLOOKUP(N53,etat!$A$9:$N$963,7,FALSE)</f>
        <v>#N/A</v>
      </c>
      <c r="R53" s="797" t="e">
        <f>VLOOKUP(N53,etat!$A$9:$N$1003,9,FALSE)</f>
        <v>#N/A</v>
      </c>
      <c r="S53" s="866" t="e">
        <f>VLOOKUP(N53,etat!$A$9:$P$905,16,FALSE)</f>
        <v>#N/A</v>
      </c>
      <c r="T53" s="755"/>
      <c r="U53" s="791"/>
      <c r="V53" s="784"/>
      <c r="W53" s="784"/>
      <c r="X53" s="784"/>
      <c r="Y53" s="975"/>
      <c r="Z53" s="967"/>
      <c r="AA53" s="967"/>
      <c r="AB53" s="25"/>
      <c r="AC53" s="25"/>
      <c r="AD53" s="25"/>
      <c r="AE53" s="25"/>
      <c r="AF53" s="25"/>
      <c r="AG53" s="25"/>
      <c r="AH53" s="488">
        <v>47</v>
      </c>
      <c r="AI53" s="286" t="s">
        <v>2097</v>
      </c>
      <c r="AJ53" s="285"/>
      <c r="AK53" s="849" t="s">
        <v>1959</v>
      </c>
      <c r="AL53" s="24" t="s">
        <v>1173</v>
      </c>
      <c r="AM53" s="24" t="s">
        <v>2227</v>
      </c>
      <c r="AN53" s="24" t="s">
        <v>2226</v>
      </c>
      <c r="AO53" s="24" t="s">
        <v>1173</v>
      </c>
      <c r="AP53" s="1015"/>
      <c r="AQ53" s="24" t="s">
        <v>1173</v>
      </c>
      <c r="AR53" s="24" t="s">
        <v>1174</v>
      </c>
      <c r="AS53" s="24" t="s">
        <v>2226</v>
      </c>
      <c r="AT53" s="316"/>
      <c r="AU53" s="316"/>
      <c r="AV53" s="316"/>
    </row>
    <row r="54" spans="1:49" s="13" customFormat="1" ht="17.45" customHeight="1" thickBot="1">
      <c r="A54" s="25"/>
      <c r="B54" s="25"/>
      <c r="C54" s="25"/>
      <c r="D54" s="295"/>
      <c r="E54" s="295"/>
      <c r="F54" s="295"/>
      <c r="G54" s="295"/>
      <c r="H54" s="295"/>
      <c r="I54" s="25"/>
      <c r="J54" s="25"/>
      <c r="K54" s="25"/>
      <c r="L54" s="777">
        <v>5</v>
      </c>
      <c r="M54" s="778"/>
      <c r="N54" s="976">
        <v>0</v>
      </c>
      <c r="O54" s="1020">
        <v>4</v>
      </c>
      <c r="P54" s="847" t="e">
        <f>VLOOKUP(N54,etat!$A$9:$N$1004,2,FALSE)</f>
        <v>#N/A</v>
      </c>
      <c r="Q54" s="797" t="e">
        <f>VLOOKUP(N54,etat!$A$9:$N$963,7,FALSE)</f>
        <v>#N/A</v>
      </c>
      <c r="R54" s="797" t="e">
        <f>VLOOKUP(N54,etat!$A$9:$N$1003,9,FALSE)</f>
        <v>#N/A</v>
      </c>
      <c r="S54" s="866" t="e">
        <f>VLOOKUP(N54,etat!$A$9:$P$905,16,FALSE)</f>
        <v>#N/A</v>
      </c>
      <c r="T54" s="755"/>
      <c r="U54" s="791"/>
      <c r="V54" s="784"/>
      <c r="W54" s="784"/>
      <c r="X54" s="784"/>
      <c r="Y54" s="975"/>
      <c r="Z54" s="975"/>
      <c r="AA54" s="967"/>
      <c r="AB54" s="25"/>
      <c r="AC54" s="25"/>
      <c r="AD54" s="25"/>
      <c r="AE54" s="25"/>
      <c r="AF54" s="25"/>
      <c r="AG54" s="25"/>
      <c r="AH54" s="488">
        <v>48</v>
      </c>
      <c r="AI54" s="1077" t="s">
        <v>1947</v>
      </c>
      <c r="AJ54" s="285"/>
      <c r="AK54" s="849" t="s">
        <v>1960</v>
      </c>
      <c r="AL54" s="316"/>
      <c r="AM54" s="316"/>
      <c r="AN54" s="316"/>
      <c r="AO54" s="316"/>
      <c r="AP54" s="770"/>
      <c r="AQ54" s="316"/>
      <c r="AR54" s="316"/>
      <c r="AS54" s="316"/>
      <c r="AT54" s="316"/>
      <c r="AU54" s="316"/>
      <c r="AV54" s="316"/>
    </row>
    <row r="55" spans="1:49" s="13" customFormat="1" ht="17.45" customHeight="1" thickBot="1">
      <c r="A55" s="25"/>
      <c r="B55" s="25"/>
      <c r="C55" s="25"/>
      <c r="D55" s="295"/>
      <c r="E55" s="295"/>
      <c r="F55" s="295"/>
      <c r="G55" s="295"/>
      <c r="H55" s="295"/>
      <c r="I55" s="25"/>
      <c r="J55" s="25"/>
      <c r="K55" s="25"/>
      <c r="L55" s="777">
        <v>5</v>
      </c>
      <c r="M55" s="778"/>
      <c r="N55" s="976">
        <v>0</v>
      </c>
      <c r="O55" s="1020">
        <v>5</v>
      </c>
      <c r="P55" s="847" t="e">
        <f>VLOOKUP(N55,etat!$A$9:$N$1004,2,FALSE)</f>
        <v>#N/A</v>
      </c>
      <c r="Q55" s="797" t="e">
        <f>VLOOKUP(N55,etat!$A$9:$N$963,7,FALSE)</f>
        <v>#N/A</v>
      </c>
      <c r="R55" s="797" t="e">
        <f>VLOOKUP(N55,etat!$A$9:$N$1003,9,FALSE)</f>
        <v>#N/A</v>
      </c>
      <c r="S55" s="866" t="e">
        <f>VLOOKUP(N55,etat!$A$9:$P$905,16,FALSE)</f>
        <v>#N/A</v>
      </c>
      <c r="T55" s="755"/>
      <c r="U55" s="791"/>
      <c r="V55" s="784"/>
      <c r="W55" s="784"/>
      <c r="X55" s="784"/>
      <c r="Y55" s="975"/>
      <c r="Z55" s="967"/>
      <c r="AA55" s="967"/>
      <c r="AB55" s="25"/>
      <c r="AC55" s="25"/>
      <c r="AD55" s="25"/>
      <c r="AE55" s="25"/>
      <c r="AF55" s="25"/>
      <c r="AG55" s="25"/>
      <c r="AH55" s="488">
        <v>49</v>
      </c>
      <c r="AI55" s="1077" t="s">
        <v>1236</v>
      </c>
      <c r="AJ55" s="285"/>
      <c r="AK55" s="849" t="s">
        <v>1238</v>
      </c>
      <c r="AL55" s="316"/>
      <c r="AM55" s="316"/>
      <c r="AN55" s="316"/>
      <c r="AO55" s="316"/>
      <c r="AP55" s="770"/>
      <c r="AQ55" s="24"/>
      <c r="AR55" s="24"/>
      <c r="AS55" s="24"/>
      <c r="AT55" s="24"/>
      <c r="AU55" s="316"/>
      <c r="AV55" s="316"/>
    </row>
    <row r="56" spans="1:49" s="13" customFormat="1" ht="17.45" customHeight="1" thickBot="1">
      <c r="A56" s="25"/>
      <c r="B56" s="25"/>
      <c r="C56" s="25"/>
      <c r="D56" s="295"/>
      <c r="E56" s="295"/>
      <c r="F56" s="295"/>
      <c r="G56" s="295"/>
      <c r="H56" s="295"/>
      <c r="I56" s="25"/>
      <c r="J56" s="25"/>
      <c r="K56" s="25"/>
      <c r="L56" s="777">
        <v>5</v>
      </c>
      <c r="M56" s="778"/>
      <c r="N56" s="976">
        <v>0</v>
      </c>
      <c r="O56" s="1020">
        <v>6</v>
      </c>
      <c r="P56" s="847" t="e">
        <f>VLOOKUP(N56,etat!$A$9:$N$1004,2,FALSE)</f>
        <v>#N/A</v>
      </c>
      <c r="Q56" s="797" t="e">
        <f>VLOOKUP(N56,etat!$A$9:$N$963,7,FALSE)</f>
        <v>#N/A</v>
      </c>
      <c r="R56" s="797" t="e">
        <f>VLOOKUP(N56,etat!$A$9:$N$1003,9,FALSE)</f>
        <v>#N/A</v>
      </c>
      <c r="S56" s="866" t="e">
        <f>VLOOKUP(N56,etat!$A$9:$P$905,16,FALSE)</f>
        <v>#N/A</v>
      </c>
      <c r="T56" s="755"/>
      <c r="U56" s="791"/>
      <c r="V56" s="784"/>
      <c r="W56" s="784"/>
      <c r="X56" s="784"/>
      <c r="Y56" s="975"/>
      <c r="Z56" s="975"/>
      <c r="AA56" s="967"/>
      <c r="AB56" s="25"/>
      <c r="AC56" s="25"/>
      <c r="AD56" s="25"/>
      <c r="AE56" s="25"/>
      <c r="AF56" s="25"/>
      <c r="AG56" s="25"/>
      <c r="AH56" s="488">
        <v>50</v>
      </c>
      <c r="AI56" s="1077" t="s">
        <v>2218</v>
      </c>
      <c r="AJ56" s="285"/>
      <c r="AK56" s="849" t="s">
        <v>1961</v>
      </c>
      <c r="AL56" s="316"/>
      <c r="AM56" s="316"/>
      <c r="AN56" s="316"/>
      <c r="AO56" s="316"/>
      <c r="AP56" s="770"/>
      <c r="AQ56" s="316"/>
      <c r="AR56" s="316"/>
      <c r="AS56" s="24" t="s">
        <v>328</v>
      </c>
      <c r="AT56" s="24" t="s">
        <v>327</v>
      </c>
      <c r="AU56" s="316"/>
      <c r="AV56" s="316"/>
    </row>
    <row r="57" spans="1:49" s="13" customFormat="1" ht="17.45" customHeight="1" thickBot="1">
      <c r="A57" s="25"/>
      <c r="B57" s="25"/>
      <c r="C57" s="25"/>
      <c r="D57" s="295"/>
      <c r="E57" s="295"/>
      <c r="F57" s="295"/>
      <c r="G57" s="295"/>
      <c r="H57" s="295"/>
      <c r="I57" s="25"/>
      <c r="J57" s="25"/>
      <c r="K57" s="25"/>
      <c r="L57" s="777">
        <v>5</v>
      </c>
      <c r="M57" s="778"/>
      <c r="N57" s="976">
        <v>0</v>
      </c>
      <c r="O57" s="1020">
        <v>7</v>
      </c>
      <c r="P57" s="847" t="e">
        <f>VLOOKUP(N57,etat!$A$9:$N$1004,2,FALSE)</f>
        <v>#N/A</v>
      </c>
      <c r="Q57" s="797" t="e">
        <f>VLOOKUP(N57,etat!$A$9:$N$963,7,FALSE)</f>
        <v>#N/A</v>
      </c>
      <c r="R57" s="797" t="e">
        <f>VLOOKUP(N57,etat!$A$9:$N$1003,9,FALSE)</f>
        <v>#N/A</v>
      </c>
      <c r="S57" s="866" t="e">
        <f>VLOOKUP(N57,etat!$A$9:$P$905,16,FALSE)</f>
        <v>#N/A</v>
      </c>
      <c r="T57" s="755"/>
      <c r="U57" s="791"/>
      <c r="V57" s="784"/>
      <c r="W57" s="784"/>
      <c r="X57" s="784"/>
      <c r="Y57" s="975"/>
      <c r="Z57" s="967"/>
      <c r="AA57" s="967"/>
      <c r="AB57" s="25"/>
      <c r="AC57" s="25"/>
      <c r="AD57" s="25"/>
      <c r="AE57" s="25"/>
      <c r="AF57" s="25"/>
      <c r="AG57" s="25"/>
      <c r="AH57" s="488">
        <v>51</v>
      </c>
      <c r="AI57" s="962" t="s">
        <v>1237</v>
      </c>
      <c r="AJ57" s="285"/>
      <c r="AK57" s="849" t="s">
        <v>1238</v>
      </c>
      <c r="AL57" s="316"/>
      <c r="AM57" s="316"/>
      <c r="AN57" s="316"/>
      <c r="AO57" s="316"/>
      <c r="AP57" s="770"/>
      <c r="AQ57" s="316"/>
      <c r="AR57" s="316"/>
      <c r="AS57" s="316"/>
      <c r="AT57" s="316"/>
      <c r="AU57" s="316"/>
      <c r="AV57" s="316"/>
    </row>
    <row r="58" spans="1:49" s="13" customFormat="1" ht="17.45" customHeight="1" thickBot="1">
      <c r="A58" s="25"/>
      <c r="B58" s="25"/>
      <c r="C58" s="25"/>
      <c r="D58" s="295"/>
      <c r="E58" s="295"/>
      <c r="F58" s="295"/>
      <c r="G58" s="295"/>
      <c r="H58" s="295"/>
      <c r="I58" s="25"/>
      <c r="J58" s="25"/>
      <c r="K58" s="25"/>
      <c r="L58" s="777">
        <v>5</v>
      </c>
      <c r="M58" s="778"/>
      <c r="N58" s="976">
        <v>0</v>
      </c>
      <c r="O58" s="1020">
        <v>8</v>
      </c>
      <c r="P58" s="847" t="e">
        <f>VLOOKUP(N58,etat!$A$9:$N$1004,2,FALSE)</f>
        <v>#N/A</v>
      </c>
      <c r="Q58" s="797" t="e">
        <f>VLOOKUP(N58,etat!$A$9:$N$963,7,FALSE)</f>
        <v>#N/A</v>
      </c>
      <c r="R58" s="797" t="e">
        <f>VLOOKUP(N58,etat!$A$9:$N$1003,9,FALSE)</f>
        <v>#N/A</v>
      </c>
      <c r="S58" s="866" t="e">
        <f>VLOOKUP(N58,etat!$A$9:$P$905,16,FALSE)</f>
        <v>#N/A</v>
      </c>
      <c r="T58" s="755"/>
      <c r="U58" s="791"/>
      <c r="V58" s="784"/>
      <c r="W58" s="784"/>
      <c r="X58" s="784"/>
      <c r="Y58" s="975"/>
      <c r="Z58" s="967"/>
      <c r="AA58" s="967"/>
      <c r="AB58" s="25"/>
      <c r="AC58" s="25"/>
      <c r="AD58" s="25"/>
      <c r="AE58" s="25"/>
      <c r="AF58" s="25"/>
      <c r="AG58" s="25"/>
      <c r="AH58" s="488">
        <v>52</v>
      </c>
      <c r="AI58" s="962" t="s">
        <v>1239</v>
      </c>
      <c r="AJ58" s="285"/>
      <c r="AK58" s="849" t="s">
        <v>387</v>
      </c>
      <c r="AL58" s="316"/>
      <c r="AM58" s="316"/>
      <c r="AN58" s="316"/>
      <c r="AO58" s="316"/>
      <c r="AP58" s="770"/>
      <c r="AQ58" s="24" t="s">
        <v>2228</v>
      </c>
      <c r="AR58" s="24" t="s">
        <v>2228</v>
      </c>
      <c r="AS58" s="24" t="s">
        <v>2230</v>
      </c>
      <c r="AT58" s="24" t="s">
        <v>2230</v>
      </c>
      <c r="AU58" s="316"/>
      <c r="AV58" s="316"/>
      <c r="AW58" s="24"/>
    </row>
    <row r="59" spans="1:49" s="13" customFormat="1" ht="17.45" customHeight="1" thickBot="1">
      <c r="A59" s="25"/>
      <c r="B59" s="25"/>
      <c r="C59" s="25"/>
      <c r="D59" s="295"/>
      <c r="E59" s="295"/>
      <c r="F59" s="295"/>
      <c r="G59" s="295"/>
      <c r="H59" s="295"/>
      <c r="I59" s="25"/>
      <c r="J59" s="25"/>
      <c r="K59" s="25"/>
      <c r="L59" s="777">
        <v>5</v>
      </c>
      <c r="M59" s="778"/>
      <c r="N59" s="976">
        <v>0</v>
      </c>
      <c r="O59" s="1020">
        <v>9</v>
      </c>
      <c r="P59" s="847" t="e">
        <f>VLOOKUP(N59,etat!$A$9:$N$1004,2,FALSE)</f>
        <v>#N/A</v>
      </c>
      <c r="Q59" s="797" t="e">
        <f>VLOOKUP(N59,etat!$A$9:$N$963,7,FALSE)</f>
        <v>#N/A</v>
      </c>
      <c r="R59" s="797" t="e">
        <f>VLOOKUP(N59,etat!$A$9:$N$1003,9,FALSE)</f>
        <v>#N/A</v>
      </c>
      <c r="S59" s="866" t="e">
        <f>VLOOKUP(N59,etat!$A$9:$P$905,16,FALSE)</f>
        <v>#N/A</v>
      </c>
      <c r="T59" s="755"/>
      <c r="U59" s="791"/>
      <c r="V59" s="784"/>
      <c r="W59" s="784"/>
      <c r="X59" s="784"/>
      <c r="Y59" s="975"/>
      <c r="Z59" s="975"/>
      <c r="AA59" s="967"/>
      <c r="AB59" s="25"/>
      <c r="AC59" s="25"/>
      <c r="AD59" s="25"/>
      <c r="AE59" s="25"/>
      <c r="AF59" s="25"/>
      <c r="AG59" s="25"/>
      <c r="AH59" s="488">
        <v>53</v>
      </c>
      <c r="AI59" s="962" t="s">
        <v>314</v>
      </c>
      <c r="AJ59" s="285"/>
      <c r="AK59" s="849" t="s">
        <v>387</v>
      </c>
      <c r="AL59" s="316"/>
      <c r="AM59" s="316"/>
      <c r="AN59" s="316"/>
      <c r="AO59" s="316"/>
      <c r="AP59" s="770"/>
      <c r="AQ59" s="316"/>
      <c r="AR59" s="316"/>
      <c r="AS59" s="316"/>
      <c r="AT59" s="316"/>
      <c r="AU59" s="316"/>
      <c r="AV59" s="316"/>
      <c r="AW59" s="24"/>
    </row>
    <row r="60" spans="1:49" s="13" customFormat="1" ht="17.45" customHeight="1" thickBot="1">
      <c r="A60" s="25"/>
      <c r="B60" s="25"/>
      <c r="C60" s="25"/>
      <c r="D60" s="295"/>
      <c r="E60" s="295"/>
      <c r="F60" s="295"/>
      <c r="G60" s="295"/>
      <c r="H60" s="295"/>
      <c r="I60" s="25"/>
      <c r="J60" s="25"/>
      <c r="K60" s="25"/>
      <c r="L60" s="777">
        <v>5</v>
      </c>
      <c r="M60" s="778"/>
      <c r="N60" s="976">
        <v>0</v>
      </c>
      <c r="O60" s="1020">
        <v>10</v>
      </c>
      <c r="P60" s="847" t="e">
        <f>VLOOKUP(N60,etat!$A$9:$N$1004,2,FALSE)</f>
        <v>#N/A</v>
      </c>
      <c r="Q60" s="797" t="e">
        <f>VLOOKUP(N60,etat!$A$9:$N$963,7,FALSE)</f>
        <v>#N/A</v>
      </c>
      <c r="R60" s="797" t="e">
        <f>VLOOKUP(N60,etat!$A$9:$N$1003,9,FALSE)</f>
        <v>#N/A</v>
      </c>
      <c r="S60" s="866" t="e">
        <f>VLOOKUP(N60,etat!$A$9:$P$905,16,FALSE)</f>
        <v>#N/A</v>
      </c>
      <c r="T60" s="755"/>
      <c r="U60" s="791"/>
      <c r="V60" s="784"/>
      <c r="W60" s="784"/>
      <c r="X60" s="784"/>
      <c r="Y60" s="1116"/>
      <c r="Z60" s="975"/>
      <c r="AA60" s="967"/>
      <c r="AB60" s="25"/>
      <c r="AC60" s="25"/>
      <c r="AD60" s="25"/>
      <c r="AE60" s="25"/>
      <c r="AF60" s="25"/>
      <c r="AG60" s="25"/>
      <c r="AH60" s="488">
        <v>54</v>
      </c>
      <c r="AI60" s="962" t="s">
        <v>1240</v>
      </c>
      <c r="AJ60" s="285"/>
      <c r="AK60" s="849" t="s">
        <v>387</v>
      </c>
      <c r="AL60" s="316"/>
      <c r="AM60" s="316"/>
      <c r="AN60" s="316"/>
      <c r="AO60" s="316"/>
      <c r="AP60" s="770"/>
      <c r="AQ60" s="316" t="s">
        <v>13</v>
      </c>
      <c r="AR60" s="316" t="s">
        <v>13</v>
      </c>
      <c r="AS60" s="316" t="s">
        <v>2227</v>
      </c>
      <c r="AT60" s="316" t="s">
        <v>2227</v>
      </c>
      <c r="AU60" s="316"/>
      <c r="AV60" s="316"/>
      <c r="AW60" s="25"/>
    </row>
    <row r="61" spans="1:49" s="13" customFormat="1" ht="17.45" customHeight="1" thickBot="1">
      <c r="A61" s="25"/>
      <c r="B61" s="25"/>
      <c r="C61" s="25"/>
      <c r="D61" s="295"/>
      <c r="E61" s="295"/>
      <c r="F61" s="295"/>
      <c r="G61" s="295"/>
      <c r="H61" s="295"/>
      <c r="I61" s="25"/>
      <c r="J61" s="25"/>
      <c r="K61" s="25"/>
      <c r="L61" s="777">
        <v>5</v>
      </c>
      <c r="M61" s="778"/>
      <c r="N61" s="976">
        <v>0</v>
      </c>
      <c r="O61" s="1020">
        <v>11</v>
      </c>
      <c r="P61" s="847" t="e">
        <f>VLOOKUP(N61,etat!$A$9:$N$1004,2,FALSE)</f>
        <v>#N/A</v>
      </c>
      <c r="Q61" s="797" t="e">
        <f>VLOOKUP(N61,etat!$A$9:$N$963,7,FALSE)</f>
        <v>#N/A</v>
      </c>
      <c r="R61" s="797" t="e">
        <f>VLOOKUP(N61,etat!$A$9:$N$1003,9,FALSE)</f>
        <v>#N/A</v>
      </c>
      <c r="S61" s="866" t="e">
        <f>VLOOKUP(N61,etat!$A$9:$P$905,16,FALSE)</f>
        <v>#N/A</v>
      </c>
      <c r="T61" s="755"/>
      <c r="U61" s="791"/>
      <c r="V61" s="784"/>
      <c r="W61" s="784"/>
      <c r="X61" s="784"/>
      <c r="Y61" s="1117"/>
      <c r="Z61" s="967"/>
      <c r="AA61" s="967"/>
      <c r="AB61" s="25"/>
      <c r="AC61" s="25"/>
      <c r="AD61" s="25"/>
      <c r="AE61" s="25"/>
      <c r="AF61" s="25"/>
      <c r="AG61" s="25"/>
      <c r="AH61" s="488">
        <v>55</v>
      </c>
      <c r="AI61" s="962"/>
      <c r="AJ61" s="285"/>
      <c r="AK61" s="849"/>
      <c r="AL61" s="316"/>
      <c r="AM61" s="316"/>
      <c r="AN61" s="316"/>
      <c r="AO61" s="316"/>
      <c r="AP61" s="770"/>
      <c r="AQ61" s="316"/>
      <c r="AR61" s="316"/>
      <c r="AS61" s="316"/>
      <c r="AT61" s="316"/>
      <c r="AU61" s="316"/>
      <c r="AV61" s="316"/>
      <c r="AW61" s="25"/>
    </row>
    <row r="62" spans="1:49" s="13" customFormat="1" ht="17.45" customHeight="1" thickBot="1">
      <c r="A62" s="25"/>
      <c r="B62" s="25"/>
      <c r="C62" s="25"/>
      <c r="D62" s="295"/>
      <c r="E62" s="295"/>
      <c r="F62" s="295"/>
      <c r="G62" s="295"/>
      <c r="H62" s="295"/>
      <c r="I62" s="25"/>
      <c r="J62" s="25"/>
      <c r="K62" s="25"/>
      <c r="L62" s="777">
        <v>5</v>
      </c>
      <c r="M62" s="778"/>
      <c r="N62" s="976">
        <v>0</v>
      </c>
      <c r="O62" s="1020">
        <v>12</v>
      </c>
      <c r="P62" s="847" t="e">
        <f>VLOOKUP(N62,etat!$A$9:$N$1004,2,FALSE)</f>
        <v>#N/A</v>
      </c>
      <c r="Q62" s="797" t="e">
        <f>VLOOKUP(N62,etat!$A$9:$N$963,7,FALSE)</f>
        <v>#N/A</v>
      </c>
      <c r="R62" s="797" t="e">
        <f>VLOOKUP(N62,etat!$A$9:$N$1003,9,FALSE)</f>
        <v>#N/A</v>
      </c>
      <c r="S62" s="866" t="e">
        <f>VLOOKUP(N62,etat!$A$9:$P$905,16,FALSE)</f>
        <v>#N/A</v>
      </c>
      <c r="T62" s="755"/>
      <c r="U62" s="791"/>
      <c r="V62" s="784"/>
      <c r="W62" s="784"/>
      <c r="X62" s="784"/>
      <c r="Y62" s="975"/>
      <c r="Z62" s="975"/>
      <c r="AA62" s="967"/>
      <c r="AB62" s="25"/>
      <c r="AC62" s="25"/>
      <c r="AD62" s="25"/>
      <c r="AE62" s="25"/>
      <c r="AF62" s="25"/>
      <c r="AG62" s="25"/>
      <c r="AH62" s="488">
        <v>56</v>
      </c>
      <c r="AI62" s="962" t="s">
        <v>497</v>
      </c>
      <c r="AJ62" s="285"/>
      <c r="AK62" s="316"/>
      <c r="AL62" s="316"/>
      <c r="AM62" s="316"/>
      <c r="AN62" s="316"/>
      <c r="AO62" s="316"/>
      <c r="AP62" s="770"/>
      <c r="AQ62" s="316"/>
      <c r="AR62" s="316"/>
      <c r="AS62" s="316"/>
      <c r="AT62" s="316"/>
      <c r="AU62" s="316"/>
      <c r="AV62" s="316"/>
      <c r="AW62" s="25"/>
    </row>
    <row r="63" spans="1:49" s="13" customFormat="1" ht="17.45" customHeight="1" thickBot="1">
      <c r="A63" s="25"/>
      <c r="B63" s="25"/>
      <c r="C63" s="25"/>
      <c r="D63" s="295"/>
      <c r="E63" s="295"/>
      <c r="F63" s="295"/>
      <c r="G63" s="295"/>
      <c r="H63" s="295"/>
      <c r="I63" s="25"/>
      <c r="J63" s="25"/>
      <c r="K63" s="25"/>
      <c r="L63" s="777">
        <v>5</v>
      </c>
      <c r="M63" s="778"/>
      <c r="N63" s="976">
        <v>0</v>
      </c>
      <c r="O63" s="1020">
        <v>13</v>
      </c>
      <c r="P63" s="847" t="e">
        <f>VLOOKUP(N63,etat!$A$9:$N$1004,2,FALSE)</f>
        <v>#N/A</v>
      </c>
      <c r="Q63" s="797" t="e">
        <f>VLOOKUP(N63,etat!$A$9:$N$963,7,FALSE)</f>
        <v>#N/A</v>
      </c>
      <c r="R63" s="797" t="e">
        <f>VLOOKUP(N63,etat!$A$9:$N$1003,9,FALSE)</f>
        <v>#N/A</v>
      </c>
      <c r="S63" s="866" t="e">
        <f>VLOOKUP(N63,etat!$A$9:$P$905,16,FALSE)</f>
        <v>#N/A</v>
      </c>
      <c r="T63" s="755"/>
      <c r="U63" s="791"/>
      <c r="V63" s="784"/>
      <c r="W63" s="784"/>
      <c r="X63" s="784"/>
      <c r="Y63" s="1117"/>
      <c r="Z63" s="967"/>
      <c r="AA63" s="967"/>
      <c r="AB63" s="25"/>
      <c r="AC63" s="25"/>
      <c r="AD63" s="25"/>
      <c r="AE63" s="25"/>
      <c r="AF63" s="25"/>
      <c r="AG63" s="25"/>
      <c r="AH63" s="488">
        <v>57</v>
      </c>
      <c r="AI63" s="962" t="s">
        <v>497</v>
      </c>
      <c r="AJ63" s="285"/>
      <c r="AK63" s="849"/>
      <c r="AL63" s="316"/>
      <c r="AM63" s="316"/>
      <c r="AN63" s="316"/>
      <c r="AO63" s="316"/>
      <c r="AP63" s="770"/>
      <c r="AQ63" s="316"/>
      <c r="AR63" s="316"/>
      <c r="AS63" s="316"/>
      <c r="AT63" s="316"/>
      <c r="AU63" s="316"/>
      <c r="AV63" s="316"/>
      <c r="AW63" s="25"/>
    </row>
    <row r="64" spans="1:49" s="13" customFormat="1" ht="17.45" customHeight="1" thickBot="1">
      <c r="A64" s="25"/>
      <c r="B64" s="25"/>
      <c r="C64" s="25"/>
      <c r="D64" s="295"/>
      <c r="E64" s="295"/>
      <c r="F64" s="295"/>
      <c r="G64" s="295"/>
      <c r="H64" s="295"/>
      <c r="I64" s="25"/>
      <c r="J64" s="25"/>
      <c r="K64" s="25"/>
      <c r="L64" s="777">
        <v>5</v>
      </c>
      <c r="M64" s="778"/>
      <c r="N64" s="976">
        <v>0</v>
      </c>
      <c r="O64" s="1020">
        <v>14</v>
      </c>
      <c r="P64" s="847" t="e">
        <f>VLOOKUP(N64,etat!$A$9:$N$1004,2,FALSE)</f>
        <v>#N/A</v>
      </c>
      <c r="Q64" s="797" t="e">
        <f>VLOOKUP(N64,etat!$A$9:$N$963,7,FALSE)</f>
        <v>#N/A</v>
      </c>
      <c r="R64" s="797" t="e">
        <f>VLOOKUP(N64,etat!$A$9:$N$1003,9,FALSE)</f>
        <v>#N/A</v>
      </c>
      <c r="S64" s="866" t="e">
        <f>VLOOKUP(N64,etat!$A$9:$P$905,16,FALSE)</f>
        <v>#N/A</v>
      </c>
      <c r="T64" s="755"/>
      <c r="U64" s="791"/>
      <c r="V64" s="784"/>
      <c r="W64" s="784"/>
      <c r="X64" s="784"/>
      <c r="Y64" s="1117"/>
      <c r="Z64" s="967"/>
      <c r="AA64" s="967"/>
      <c r="AB64" s="25"/>
      <c r="AC64" s="25"/>
      <c r="AD64" s="25"/>
      <c r="AE64" s="25"/>
      <c r="AF64" s="25"/>
      <c r="AG64" s="25"/>
      <c r="AH64" s="488">
        <v>58</v>
      </c>
      <c r="AI64" s="962" t="s">
        <v>497</v>
      </c>
      <c r="AJ64" s="285"/>
      <c r="AK64" s="316"/>
      <c r="AL64" s="316"/>
      <c r="AM64" s="316"/>
      <c r="AN64" s="316"/>
      <c r="AO64" s="316"/>
      <c r="AP64" s="770"/>
      <c r="AQ64" s="316"/>
      <c r="AR64" s="316"/>
      <c r="AS64" s="316"/>
      <c r="AT64" s="316"/>
      <c r="AU64" s="316"/>
      <c r="AV64" s="316"/>
      <c r="AW64" s="25"/>
    </row>
    <row r="65" spans="1:49" s="13" customFormat="1" ht="17.45" customHeight="1" thickBot="1">
      <c r="A65" s="25"/>
      <c r="B65" s="25"/>
      <c r="C65" s="25"/>
      <c r="D65" s="295"/>
      <c r="E65" s="295"/>
      <c r="F65" s="295"/>
      <c r="G65" s="295"/>
      <c r="H65" s="295"/>
      <c r="I65" s="25"/>
      <c r="J65" s="25"/>
      <c r="K65" s="25"/>
      <c r="L65" s="777">
        <v>5</v>
      </c>
      <c r="M65" s="778"/>
      <c r="N65" s="976">
        <v>0</v>
      </c>
      <c r="O65" s="1020">
        <v>15</v>
      </c>
      <c r="P65" s="847" t="e">
        <f>VLOOKUP(N65,etat!$A$9:$N$1004,2,FALSE)</f>
        <v>#N/A</v>
      </c>
      <c r="Q65" s="797" t="e">
        <f>VLOOKUP(N65,etat!$A$9:$N$963,7,FALSE)</f>
        <v>#N/A</v>
      </c>
      <c r="R65" s="797" t="e">
        <f>VLOOKUP(N65,etat!$A$9:$N$1003,9,FALSE)</f>
        <v>#N/A</v>
      </c>
      <c r="S65" s="866" t="e">
        <f>VLOOKUP(N65,etat!$A$9:$P$905,16,FALSE)</f>
        <v>#N/A</v>
      </c>
      <c r="T65" s="755"/>
      <c r="U65" s="791"/>
      <c r="V65" s="784"/>
      <c r="W65" s="784"/>
      <c r="X65" s="784"/>
      <c r="Y65" s="975"/>
      <c r="Z65" s="967"/>
      <c r="AA65" s="967"/>
      <c r="AB65" s="25"/>
      <c r="AC65" s="25"/>
      <c r="AD65" s="25"/>
      <c r="AE65" s="25"/>
      <c r="AF65" s="25"/>
      <c r="AG65" s="25"/>
      <c r="AH65" s="488"/>
      <c r="AI65" s="962" t="s">
        <v>497</v>
      </c>
      <c r="AJ65" s="285"/>
      <c r="AK65" s="316"/>
      <c r="AL65" s="316"/>
      <c r="AM65" s="316"/>
      <c r="AN65" s="316"/>
      <c r="AO65" s="316"/>
      <c r="AP65" s="770"/>
      <c r="AQ65" s="316"/>
      <c r="AR65" s="316"/>
      <c r="AS65" s="316"/>
      <c r="AT65" s="316"/>
      <c r="AU65" s="316"/>
      <c r="AV65" s="316"/>
      <c r="AW65" s="25"/>
    </row>
    <row r="66" spans="1:49" s="13" customFormat="1" ht="17.45" customHeight="1" thickBot="1">
      <c r="A66" s="25"/>
      <c r="B66" s="25"/>
      <c r="C66" s="25"/>
      <c r="D66" s="295"/>
      <c r="E66" s="295"/>
      <c r="F66" s="295"/>
      <c r="G66" s="295"/>
      <c r="H66" s="295"/>
      <c r="I66" s="25"/>
      <c r="J66" s="25"/>
      <c r="K66" s="25"/>
      <c r="L66" s="777">
        <v>5</v>
      </c>
      <c r="M66" s="778"/>
      <c r="N66" s="976">
        <v>0</v>
      </c>
      <c r="O66" s="1020">
        <v>16</v>
      </c>
      <c r="P66" s="847" t="e">
        <f>VLOOKUP(N66,etat!$A$9:$N$1004,2,FALSE)</f>
        <v>#N/A</v>
      </c>
      <c r="Q66" s="797" t="e">
        <f>VLOOKUP(N66,etat!$A$9:$N$963,7,FALSE)</f>
        <v>#N/A</v>
      </c>
      <c r="R66" s="797" t="e">
        <f>VLOOKUP(N66,etat!$A$9:$N$1003,9,FALSE)</f>
        <v>#N/A</v>
      </c>
      <c r="S66" s="866" t="e">
        <f>VLOOKUP(N66,etat!$A$9:$P$905,16,FALSE)</f>
        <v>#N/A</v>
      </c>
      <c r="T66" s="755"/>
      <c r="U66" s="791"/>
      <c r="V66" s="784"/>
      <c r="W66" s="784"/>
      <c r="X66" s="784"/>
      <c r="Y66" s="1118"/>
      <c r="Z66" s="975"/>
      <c r="AA66" s="967"/>
      <c r="AB66" s="25"/>
      <c r="AC66" s="25"/>
      <c r="AD66" s="25"/>
      <c r="AE66" s="25"/>
      <c r="AF66" s="25"/>
      <c r="AG66" s="25"/>
      <c r="AH66" s="488"/>
      <c r="AI66" s="962" t="s">
        <v>497</v>
      </c>
      <c r="AJ66" s="285"/>
      <c r="AK66" s="282"/>
      <c r="AL66" s="316"/>
      <c r="AM66" s="316"/>
      <c r="AN66" s="316"/>
      <c r="AO66" s="316"/>
      <c r="AP66" s="770"/>
      <c r="AQ66" s="316"/>
      <c r="AR66" s="316"/>
      <c r="AS66" s="316"/>
      <c r="AT66" s="24"/>
      <c r="AU66" s="24"/>
      <c r="AV66" s="24"/>
      <c r="AW66" s="25"/>
    </row>
    <row r="67" spans="1:49" s="13" customFormat="1" ht="17.45" customHeight="1" thickBot="1">
      <c r="A67" s="25"/>
      <c r="B67" s="25"/>
      <c r="C67" s="25"/>
      <c r="D67" s="295"/>
      <c r="E67" s="295"/>
      <c r="F67" s="295"/>
      <c r="G67" s="295"/>
      <c r="H67" s="295"/>
      <c r="I67" s="25"/>
      <c r="J67" s="25"/>
      <c r="K67" s="25"/>
      <c r="L67" s="777">
        <v>5</v>
      </c>
      <c r="M67" s="778"/>
      <c r="N67" s="976">
        <v>0</v>
      </c>
      <c r="O67" s="1020">
        <v>17</v>
      </c>
      <c r="P67" s="847" t="e">
        <f>VLOOKUP(N67,etat!$A$9:$N$1004,2,FALSE)</f>
        <v>#N/A</v>
      </c>
      <c r="Q67" s="797" t="e">
        <f>VLOOKUP(N67,etat!$A$9:$N$963,7,FALSE)</f>
        <v>#N/A</v>
      </c>
      <c r="R67" s="797" t="e">
        <f>VLOOKUP(N67,etat!$A$9:$N$1003,9,FALSE)</f>
        <v>#N/A</v>
      </c>
      <c r="S67" s="866" t="e">
        <f>VLOOKUP(N67,etat!$A$9:$P$905,16,FALSE)</f>
        <v>#N/A</v>
      </c>
      <c r="T67" s="755"/>
      <c r="U67" s="791"/>
      <c r="V67" s="784"/>
      <c r="W67" s="784"/>
      <c r="X67" s="784"/>
      <c r="Y67" s="1118"/>
      <c r="Z67" s="975"/>
      <c r="AA67" s="967"/>
      <c r="AB67" s="25"/>
      <c r="AC67" s="25"/>
      <c r="AD67" s="25"/>
      <c r="AE67" s="25"/>
      <c r="AF67" s="25"/>
      <c r="AG67" s="25"/>
      <c r="AH67" s="488"/>
      <c r="AI67" s="962" t="s">
        <v>497</v>
      </c>
      <c r="AJ67" s="285"/>
      <c r="AK67" s="282"/>
      <c r="AL67" s="316"/>
      <c r="AM67" s="316"/>
      <c r="AN67" s="316"/>
      <c r="AO67" s="316"/>
      <c r="AP67" s="770"/>
      <c r="AQ67" s="316"/>
      <c r="AR67" s="316"/>
      <c r="AS67" s="316"/>
      <c r="AT67" s="24"/>
      <c r="AU67" s="24"/>
      <c r="AV67" s="24"/>
      <c r="AW67" s="25"/>
    </row>
    <row r="68" spans="1:49" s="13" customFormat="1" ht="17.45" customHeight="1" thickBot="1">
      <c r="A68" s="25"/>
      <c r="B68" s="25"/>
      <c r="C68" s="25"/>
      <c r="D68" s="295"/>
      <c r="E68" s="295"/>
      <c r="F68" s="295"/>
      <c r="G68" s="295"/>
      <c r="H68" s="295"/>
      <c r="I68" s="25"/>
      <c r="J68" s="25"/>
      <c r="K68" s="25"/>
      <c r="L68" s="777">
        <v>5</v>
      </c>
      <c r="M68" s="778"/>
      <c r="N68" s="976">
        <v>0</v>
      </c>
      <c r="O68" s="1020">
        <v>18</v>
      </c>
      <c r="P68" s="847" t="e">
        <f>VLOOKUP(N68,etat!$A$9:$N$1004,2,FALSE)</f>
        <v>#N/A</v>
      </c>
      <c r="Q68" s="797" t="e">
        <f>VLOOKUP(N68,etat!$A$9:$N$963,7,FALSE)</f>
        <v>#N/A</v>
      </c>
      <c r="R68" s="797" t="e">
        <f>VLOOKUP(N68,etat!$A$9:$N$1003,9,FALSE)</f>
        <v>#N/A</v>
      </c>
      <c r="S68" s="866" t="e">
        <f>VLOOKUP(N68,etat!$A$9:$P$905,16,FALSE)</f>
        <v>#N/A</v>
      </c>
      <c r="T68" s="755"/>
      <c r="U68" s="791"/>
      <c r="V68" s="784"/>
      <c r="W68" s="784"/>
      <c r="X68" s="784"/>
      <c r="Y68" s="1117"/>
      <c r="Z68" s="967"/>
      <c r="AA68" s="967"/>
      <c r="AB68" s="25"/>
      <c r="AC68" s="25"/>
      <c r="AD68" s="25"/>
      <c r="AE68" s="25"/>
      <c r="AF68" s="25"/>
      <c r="AG68" s="25"/>
      <c r="AH68" s="488"/>
      <c r="AI68" s="962" t="s">
        <v>497</v>
      </c>
      <c r="AJ68" s="285"/>
      <c r="AK68" s="861"/>
      <c r="AL68" s="316"/>
      <c r="AM68" s="316"/>
      <c r="AN68" s="316"/>
      <c r="AO68" s="316"/>
      <c r="AP68" s="770"/>
      <c r="AQ68" s="316"/>
      <c r="AR68" s="316"/>
      <c r="AS68" s="316"/>
      <c r="AT68" s="24"/>
      <c r="AU68" s="24"/>
      <c r="AV68" s="24"/>
      <c r="AW68" s="25"/>
    </row>
    <row r="69" spans="1:49" s="13" customFormat="1" ht="17.45" customHeight="1" thickBot="1">
      <c r="A69" s="25"/>
      <c r="B69" s="25"/>
      <c r="C69" s="25"/>
      <c r="D69" s="295"/>
      <c r="E69" s="295"/>
      <c r="F69" s="295"/>
      <c r="G69" s="295"/>
      <c r="H69" s="295"/>
      <c r="I69" s="25"/>
      <c r="J69" s="25"/>
      <c r="K69" s="25"/>
      <c r="L69" s="777">
        <v>5</v>
      </c>
      <c r="M69" s="778"/>
      <c r="N69" s="976">
        <v>0</v>
      </c>
      <c r="O69" s="1020">
        <v>19</v>
      </c>
      <c r="P69" s="847" t="e">
        <f>VLOOKUP(N69,etat!$A$9:$N$1004,2,FALSE)</f>
        <v>#N/A</v>
      </c>
      <c r="Q69" s="797" t="e">
        <f>VLOOKUP(N69,etat!$A$9:$N$963,7,FALSE)</f>
        <v>#N/A</v>
      </c>
      <c r="R69" s="797" t="e">
        <f>VLOOKUP(N69,etat!$A$9:$N$1003,9,FALSE)</f>
        <v>#N/A</v>
      </c>
      <c r="S69" s="866" t="e">
        <f>VLOOKUP(N69,etat!$A$9:$P$905,16,FALSE)</f>
        <v>#N/A</v>
      </c>
      <c r="T69" s="755"/>
      <c r="U69" s="791"/>
      <c r="V69" s="784"/>
      <c r="W69" s="784"/>
      <c r="X69" s="784"/>
      <c r="Y69" s="975"/>
      <c r="Z69" s="967"/>
      <c r="AA69" s="967"/>
      <c r="AB69" s="25"/>
      <c r="AC69" s="25"/>
      <c r="AD69" s="25"/>
      <c r="AE69" s="25"/>
      <c r="AF69" s="25"/>
      <c r="AG69" s="25"/>
      <c r="AH69" s="910"/>
      <c r="AI69" s="962" t="s">
        <v>497</v>
      </c>
      <c r="AJ69" s="285"/>
      <c r="AK69" s="488"/>
      <c r="AL69" s="316"/>
      <c r="AM69" s="316"/>
      <c r="AN69" s="316"/>
      <c r="AO69" s="316"/>
      <c r="AP69" s="770"/>
      <c r="AQ69" s="316"/>
      <c r="AR69" s="316"/>
      <c r="AS69" s="316"/>
      <c r="AT69" s="24"/>
      <c r="AU69" s="24"/>
      <c r="AV69" s="24"/>
      <c r="AW69" s="25"/>
    </row>
    <row r="70" spans="1:49" s="13" customFormat="1" ht="17.45" customHeight="1">
      <c r="A70" s="25"/>
      <c r="B70" s="25"/>
      <c r="C70" s="25"/>
      <c r="D70" s="295"/>
      <c r="E70" s="295"/>
      <c r="F70" s="295"/>
      <c r="G70" s="295"/>
      <c r="H70" s="295"/>
      <c r="I70" s="25"/>
      <c r="J70" s="25"/>
      <c r="K70" s="25"/>
      <c r="L70" s="777">
        <v>5</v>
      </c>
      <c r="M70" s="778"/>
      <c r="N70" s="976">
        <v>0</v>
      </c>
      <c r="O70" s="1020">
        <v>20</v>
      </c>
      <c r="P70" s="847" t="e">
        <f>VLOOKUP(N70,etat!$A$9:$N$1004,2,FALSE)</f>
        <v>#N/A</v>
      </c>
      <c r="Q70" s="797" t="e">
        <f>VLOOKUP(N70,etat!$A$9:$N$963,7,FALSE)</f>
        <v>#N/A</v>
      </c>
      <c r="R70" s="797" t="e">
        <f>VLOOKUP(N70,etat!$A$9:$N$1003,9,FALSE)</f>
        <v>#N/A</v>
      </c>
      <c r="S70" s="866" t="e">
        <f>VLOOKUP(N70,etat!$A$9:$P$905,16,FALSE)</f>
        <v>#N/A</v>
      </c>
      <c r="T70" s="755"/>
      <c r="U70" s="791"/>
      <c r="V70" s="784"/>
      <c r="W70" s="784"/>
      <c r="X70" s="784"/>
      <c r="Y70" s="975"/>
      <c r="Z70" s="975"/>
      <c r="AA70" s="967"/>
      <c r="AB70" s="25"/>
      <c r="AC70" s="25"/>
      <c r="AD70" s="25"/>
      <c r="AE70" s="25"/>
      <c r="AF70" s="25"/>
      <c r="AG70" s="25"/>
      <c r="AH70" s="910"/>
      <c r="AI70" s="862"/>
      <c r="AJ70" s="302"/>
      <c r="AK70" s="910"/>
      <c r="AL70" s="911"/>
      <c r="AM70" s="911"/>
      <c r="AN70" s="911"/>
      <c r="AO70" s="911"/>
      <c r="AP70" s="912"/>
      <c r="AQ70" s="911"/>
      <c r="AR70" s="911"/>
      <c r="AS70" s="911"/>
      <c r="AT70" s="26"/>
      <c r="AU70" s="26"/>
      <c r="AV70" s="26"/>
      <c r="AW70" s="25"/>
    </row>
    <row r="71" spans="1:49" s="13" customFormat="1" ht="17.45" customHeight="1">
      <c r="A71" s="25"/>
      <c r="B71" s="25"/>
      <c r="C71" s="25"/>
      <c r="D71" s="295"/>
      <c r="E71" s="295"/>
      <c r="F71" s="295"/>
      <c r="G71" s="295"/>
      <c r="H71" s="295"/>
      <c r="I71" s="25"/>
      <c r="J71" s="25"/>
      <c r="K71" s="25"/>
      <c r="L71" s="777">
        <v>5</v>
      </c>
      <c r="M71" s="778"/>
      <c r="N71" s="976">
        <v>0</v>
      </c>
      <c r="O71" s="1020">
        <v>21</v>
      </c>
      <c r="P71" s="847" t="e">
        <f>VLOOKUP(N71,etat!$A$9:$N$1004,2,FALSE)</f>
        <v>#N/A</v>
      </c>
      <c r="Q71" s="797" t="e">
        <f>VLOOKUP(N71,etat!$A$9:$N$963,7,FALSE)</f>
        <v>#N/A</v>
      </c>
      <c r="R71" s="797" t="e">
        <f>VLOOKUP(N71,etat!$A$9:$N$1003,9,FALSE)</f>
        <v>#N/A</v>
      </c>
      <c r="S71" s="866" t="e">
        <f>VLOOKUP(N71,etat!$A$9:$P$905,16,FALSE)</f>
        <v>#N/A</v>
      </c>
      <c r="T71" s="755"/>
      <c r="U71" s="791"/>
      <c r="V71" s="784"/>
      <c r="W71" s="784"/>
      <c r="X71" s="784"/>
      <c r="Y71" s="975"/>
      <c r="Z71" s="975"/>
      <c r="AA71" s="967"/>
      <c r="AB71" s="25"/>
      <c r="AC71" s="25"/>
      <c r="AD71" s="25"/>
      <c r="AE71" s="25"/>
      <c r="AF71" s="25"/>
      <c r="AG71" s="25"/>
      <c r="AH71" s="910"/>
      <c r="AI71" s="862"/>
      <c r="AJ71" s="302"/>
      <c r="AK71" s="910"/>
      <c r="AL71" s="911"/>
      <c r="AM71" s="911"/>
      <c r="AN71" s="911"/>
      <c r="AO71" s="911"/>
      <c r="AP71" s="912"/>
      <c r="AQ71" s="911"/>
      <c r="AR71" s="911"/>
      <c r="AS71" s="911"/>
      <c r="AT71" s="26"/>
      <c r="AU71" s="26"/>
      <c r="AV71" s="26"/>
      <c r="AW71" s="25"/>
    </row>
    <row r="72" spans="1:49" s="13" customFormat="1" ht="17.45" customHeight="1">
      <c r="A72" s="25"/>
      <c r="B72" s="25"/>
      <c r="C72" s="25"/>
      <c r="D72" s="295"/>
      <c r="E72" s="295"/>
      <c r="F72" s="295"/>
      <c r="G72" s="295"/>
      <c r="H72" s="295"/>
      <c r="I72" s="25"/>
      <c r="J72" s="25"/>
      <c r="K72" s="25"/>
      <c r="L72" s="777">
        <v>5</v>
      </c>
      <c r="M72" s="778"/>
      <c r="N72" s="976">
        <v>0</v>
      </c>
      <c r="O72" s="1020">
        <v>22</v>
      </c>
      <c r="P72" s="847" t="e">
        <f>VLOOKUP(N72,etat!$A$9:$N$1004,2,FALSE)</f>
        <v>#N/A</v>
      </c>
      <c r="Q72" s="797" t="e">
        <f>VLOOKUP(N72,etat!$A$9:$N$963,7,FALSE)</f>
        <v>#N/A</v>
      </c>
      <c r="R72" s="797" t="e">
        <f>VLOOKUP(N72,etat!$A$9:$N$1003,9,FALSE)</f>
        <v>#N/A</v>
      </c>
      <c r="S72" s="866" t="e">
        <f>VLOOKUP(N72,etat!$A$9:$P$905,16,FALSE)</f>
        <v>#N/A</v>
      </c>
      <c r="T72" s="755"/>
      <c r="U72" s="791"/>
      <c r="V72" s="784"/>
      <c r="W72" s="784"/>
      <c r="X72" s="784"/>
      <c r="Y72" s="975"/>
      <c r="Z72" s="967"/>
      <c r="AA72" s="967"/>
      <c r="AB72" s="25"/>
      <c r="AC72" s="25"/>
      <c r="AD72" s="25"/>
      <c r="AE72" s="25"/>
      <c r="AF72" s="25"/>
      <c r="AG72" s="25"/>
      <c r="AH72" s="910"/>
      <c r="AI72" s="862"/>
      <c r="AJ72" s="302"/>
      <c r="AK72" s="910"/>
      <c r="AL72" s="911"/>
      <c r="AM72" s="911"/>
      <c r="AN72" s="911"/>
      <c r="AO72" s="911"/>
      <c r="AP72" s="912"/>
      <c r="AQ72" s="911"/>
      <c r="AR72" s="911"/>
      <c r="AS72" s="911"/>
      <c r="AT72" s="26"/>
      <c r="AU72" s="26"/>
      <c r="AV72" s="26"/>
      <c r="AW72" s="25"/>
    </row>
    <row r="73" spans="1:49" s="13" customFormat="1" ht="17.45" customHeight="1">
      <c r="A73" s="25"/>
      <c r="B73" s="25"/>
      <c r="C73" s="25"/>
      <c r="D73" s="295"/>
      <c r="E73" s="295"/>
      <c r="F73" s="295"/>
      <c r="G73" s="295"/>
      <c r="H73" s="295"/>
      <c r="I73" s="25"/>
      <c r="J73" s="25"/>
      <c r="K73" s="25"/>
      <c r="L73" s="777">
        <v>5</v>
      </c>
      <c r="M73" s="778"/>
      <c r="N73" s="976">
        <v>0</v>
      </c>
      <c r="O73" s="1020">
        <v>23</v>
      </c>
      <c r="P73" s="847" t="e">
        <f>VLOOKUP(N73,etat!$A$9:$N$1004,2,FALSE)</f>
        <v>#N/A</v>
      </c>
      <c r="Q73" s="797" t="e">
        <f>VLOOKUP(N73,etat!$A$9:$N$963,7,FALSE)</f>
        <v>#N/A</v>
      </c>
      <c r="R73" s="797" t="e">
        <f>VLOOKUP(N73,etat!$A$9:$N$1003,9,FALSE)</f>
        <v>#N/A</v>
      </c>
      <c r="S73" s="866" t="e">
        <f>VLOOKUP(N73,etat!$A$9:$P$905,16,FALSE)</f>
        <v>#N/A</v>
      </c>
      <c r="T73" s="755"/>
      <c r="U73" s="791"/>
      <c r="V73" s="784"/>
      <c r="W73" s="784"/>
      <c r="X73" s="784"/>
      <c r="Y73" s="975"/>
      <c r="Z73" s="975"/>
      <c r="AA73" s="967"/>
      <c r="AB73" s="25"/>
      <c r="AC73" s="25"/>
      <c r="AD73" s="25"/>
      <c r="AE73" s="25"/>
      <c r="AF73" s="25"/>
      <c r="AG73" s="25"/>
      <c r="AH73" s="910"/>
      <c r="AI73" s="862"/>
      <c r="AJ73" s="302"/>
      <c r="AK73" s="910"/>
      <c r="AL73" s="911"/>
      <c r="AM73" s="911"/>
      <c r="AN73" s="911"/>
      <c r="AO73" s="911"/>
      <c r="AP73" s="912"/>
      <c r="AQ73" s="911"/>
      <c r="AR73" s="911"/>
      <c r="AS73" s="911"/>
      <c r="AT73" s="26"/>
      <c r="AU73" s="26"/>
      <c r="AV73" s="26"/>
      <c r="AW73" s="25"/>
    </row>
    <row r="74" spans="1:49" s="13" customFormat="1" ht="17.45" customHeight="1">
      <c r="A74" s="25"/>
      <c r="B74" s="25"/>
      <c r="C74" s="25"/>
      <c r="D74" s="295"/>
      <c r="E74" s="295"/>
      <c r="F74" s="295"/>
      <c r="G74" s="295"/>
      <c r="H74" s="295"/>
      <c r="I74" s="25"/>
      <c r="J74" s="25"/>
      <c r="K74" s="25"/>
      <c r="L74" s="777">
        <v>5</v>
      </c>
      <c r="M74" s="778"/>
      <c r="N74" s="976">
        <v>0</v>
      </c>
      <c r="O74" s="1020">
        <v>24</v>
      </c>
      <c r="P74" s="847" t="e">
        <f>VLOOKUP(N74,etat!$A$9:$N$1004,2,FALSE)</f>
        <v>#N/A</v>
      </c>
      <c r="Q74" s="797" t="e">
        <f>VLOOKUP(N74,etat!$A$9:$N$963,7,FALSE)</f>
        <v>#N/A</v>
      </c>
      <c r="R74" s="797" t="e">
        <f>VLOOKUP(N74,etat!$A$9:$N$1003,9,FALSE)</f>
        <v>#N/A</v>
      </c>
      <c r="S74" s="866" t="e">
        <f>VLOOKUP(N74,etat!$A$9:$P$905,16,FALSE)</f>
        <v>#N/A</v>
      </c>
      <c r="T74" s="755"/>
      <c r="U74" s="791"/>
      <c r="V74" s="784"/>
      <c r="W74" s="784"/>
      <c r="X74" s="784"/>
      <c r="Y74" s="975"/>
      <c r="Z74" s="967"/>
      <c r="AA74" s="967"/>
      <c r="AB74" s="25"/>
      <c r="AC74" s="25"/>
      <c r="AD74" s="25"/>
      <c r="AE74" s="25"/>
      <c r="AF74" s="25"/>
      <c r="AG74" s="25"/>
      <c r="AH74" s="910"/>
      <c r="AI74" s="862"/>
      <c r="AJ74" s="302"/>
      <c r="AK74" s="910"/>
      <c r="AL74" s="911"/>
      <c r="AM74" s="911"/>
      <c r="AN74" s="911"/>
      <c r="AO74" s="911"/>
      <c r="AP74" s="912"/>
      <c r="AQ74" s="911"/>
      <c r="AR74" s="911"/>
      <c r="AS74" s="911"/>
      <c r="AT74" s="26"/>
      <c r="AU74" s="26"/>
      <c r="AV74" s="26"/>
      <c r="AW74" s="25"/>
    </row>
    <row r="75" spans="1:49" s="13" customFormat="1" ht="17.45" customHeight="1">
      <c r="A75" s="25"/>
      <c r="B75" s="25"/>
      <c r="C75" s="25"/>
      <c r="D75" s="295"/>
      <c r="E75" s="295"/>
      <c r="F75" s="295"/>
      <c r="G75" s="295"/>
      <c r="H75" s="295"/>
      <c r="I75" s="25"/>
      <c r="J75" s="25"/>
      <c r="K75" s="25"/>
      <c r="L75" s="777">
        <v>5</v>
      </c>
      <c r="M75" s="778"/>
      <c r="N75" s="976">
        <v>0</v>
      </c>
      <c r="O75" s="1020">
        <v>25</v>
      </c>
      <c r="P75" s="847" t="e">
        <f>VLOOKUP(N75,etat!$A$9:$N$1004,2,FALSE)</f>
        <v>#N/A</v>
      </c>
      <c r="Q75" s="797" t="e">
        <f>VLOOKUP(N75,etat!$A$9:$N$963,7,FALSE)</f>
        <v>#N/A</v>
      </c>
      <c r="R75" s="797" t="e">
        <f>VLOOKUP(N75,etat!$A$9:$N$1003,9,FALSE)</f>
        <v>#N/A</v>
      </c>
      <c r="S75" s="866" t="e">
        <f>VLOOKUP(N75,etat!$A$9:$P$905,16,FALSE)</f>
        <v>#N/A</v>
      </c>
      <c r="T75" s="755"/>
      <c r="U75" s="791"/>
      <c r="V75" s="784"/>
      <c r="W75" s="784"/>
      <c r="X75" s="784"/>
      <c r="Y75" s="1117"/>
      <c r="Z75" s="975"/>
      <c r="AA75" s="967"/>
      <c r="AB75" s="25"/>
      <c r="AC75" s="25"/>
      <c r="AD75" s="25"/>
      <c r="AE75" s="25"/>
      <c r="AF75" s="25"/>
      <c r="AG75" s="25"/>
      <c r="AH75" s="910"/>
      <c r="AI75" s="862"/>
      <c r="AJ75" s="302"/>
      <c r="AK75" s="910"/>
      <c r="AL75" s="911"/>
      <c r="AM75" s="911"/>
      <c r="AN75" s="911"/>
      <c r="AO75" s="911"/>
      <c r="AP75" s="912"/>
      <c r="AQ75" s="911"/>
      <c r="AR75" s="911"/>
      <c r="AS75" s="911"/>
      <c r="AT75" s="26"/>
      <c r="AU75" s="26"/>
      <c r="AV75" s="26"/>
      <c r="AW75" s="25"/>
    </row>
    <row r="76" spans="1:49" s="13" customFormat="1" ht="17.45" customHeight="1">
      <c r="A76" s="25"/>
      <c r="B76" s="25"/>
      <c r="C76" s="25"/>
      <c r="D76" s="295"/>
      <c r="E76" s="295"/>
      <c r="F76" s="295"/>
      <c r="G76" s="295"/>
      <c r="H76" s="295"/>
      <c r="I76" s="25"/>
      <c r="J76" s="25"/>
      <c r="K76" s="25"/>
      <c r="L76" s="777">
        <v>5</v>
      </c>
      <c r="M76" s="778"/>
      <c r="N76" s="976">
        <v>0</v>
      </c>
      <c r="O76" s="1020">
        <v>26</v>
      </c>
      <c r="P76" s="847" t="e">
        <f>VLOOKUP(N76,etat!$A$9:$N$1004,2,FALSE)</f>
        <v>#N/A</v>
      </c>
      <c r="Q76" s="797" t="e">
        <f>VLOOKUP(N76,etat!$A$9:$N$963,7,FALSE)</f>
        <v>#N/A</v>
      </c>
      <c r="R76" s="797" t="e">
        <f>VLOOKUP(N76,etat!$A$9:$N$1003,9,FALSE)</f>
        <v>#N/A</v>
      </c>
      <c r="S76" s="866" t="e">
        <f>VLOOKUP(N76,etat!$A$9:$P$905,16,FALSE)</f>
        <v>#N/A</v>
      </c>
      <c r="T76" s="755"/>
      <c r="U76" s="791"/>
      <c r="V76" s="784"/>
      <c r="W76" s="784"/>
      <c r="X76" s="784"/>
      <c r="Y76" s="975"/>
      <c r="Z76" s="975"/>
      <c r="AA76" s="967"/>
      <c r="AB76" s="25"/>
      <c r="AC76" s="25"/>
      <c r="AD76" s="25"/>
      <c r="AE76" s="25"/>
      <c r="AF76" s="25"/>
      <c r="AG76" s="25"/>
      <c r="AH76" s="910"/>
      <c r="AI76" s="862"/>
      <c r="AJ76" s="302"/>
      <c r="AK76" s="910"/>
      <c r="AL76" s="911"/>
      <c r="AM76" s="911"/>
      <c r="AN76" s="911"/>
      <c r="AO76" s="911"/>
      <c r="AP76" s="912"/>
      <c r="AQ76" s="911"/>
      <c r="AR76" s="911"/>
      <c r="AS76" s="911"/>
      <c r="AT76" s="26"/>
      <c r="AU76" s="26"/>
      <c r="AV76" s="26"/>
      <c r="AW76" s="25"/>
    </row>
    <row r="77" spans="1:49" s="13" customFormat="1" ht="17.45" customHeight="1">
      <c r="A77" s="25"/>
      <c r="B77" s="25"/>
      <c r="C77" s="25"/>
      <c r="D77" s="295"/>
      <c r="E77" s="295"/>
      <c r="F77" s="295"/>
      <c r="G77" s="295"/>
      <c r="H77" s="295"/>
      <c r="I77" s="25"/>
      <c r="J77" s="25"/>
      <c r="K77" s="25"/>
      <c r="L77" s="777">
        <v>5</v>
      </c>
      <c r="M77" s="778"/>
      <c r="N77" s="976">
        <v>0</v>
      </c>
      <c r="O77" s="1020">
        <v>27</v>
      </c>
      <c r="P77" s="847" t="e">
        <f>VLOOKUP(N77,etat!$A$9:$N$1004,2,FALSE)</f>
        <v>#N/A</v>
      </c>
      <c r="Q77" s="797" t="e">
        <f>VLOOKUP(N77,etat!$A$9:$N$963,7,FALSE)</f>
        <v>#N/A</v>
      </c>
      <c r="R77" s="797" t="e">
        <f>VLOOKUP(N77,etat!$A$9:$N$1003,9,FALSE)</f>
        <v>#N/A</v>
      </c>
      <c r="S77" s="866" t="e">
        <f>VLOOKUP(N77,etat!$A$9:$P$905,16,FALSE)</f>
        <v>#N/A</v>
      </c>
      <c r="T77" s="755"/>
      <c r="U77" s="791"/>
      <c r="V77" s="784"/>
      <c r="W77" s="784"/>
      <c r="X77" s="784"/>
      <c r="Y77" s="1118"/>
      <c r="Z77" s="975"/>
      <c r="AA77" s="967"/>
      <c r="AB77" s="25"/>
      <c r="AC77" s="25"/>
      <c r="AD77" s="25"/>
      <c r="AE77" s="25"/>
      <c r="AF77" s="25"/>
      <c r="AG77" s="25"/>
      <c r="AH77" s="910"/>
      <c r="AI77" s="862"/>
      <c r="AJ77" s="302"/>
      <c r="AK77" s="910"/>
      <c r="AL77" s="911"/>
      <c r="AM77" s="911"/>
      <c r="AN77" s="911"/>
      <c r="AO77" s="911"/>
      <c r="AP77" s="912"/>
      <c r="AQ77" s="911"/>
      <c r="AR77" s="911"/>
      <c r="AS77" s="911"/>
      <c r="AT77" s="26"/>
      <c r="AU77" s="26"/>
      <c r="AV77" s="26"/>
      <c r="AW77" s="25"/>
    </row>
    <row r="78" spans="1:49" s="13" customFormat="1" ht="17.45" customHeight="1">
      <c r="A78" s="25"/>
      <c r="B78" s="25"/>
      <c r="C78" s="25"/>
      <c r="D78" s="295"/>
      <c r="E78" s="295"/>
      <c r="F78" s="295"/>
      <c r="G78" s="295"/>
      <c r="H78" s="295"/>
      <c r="I78" s="25"/>
      <c r="J78" s="25"/>
      <c r="K78" s="25"/>
      <c r="L78" s="777">
        <v>5</v>
      </c>
      <c r="M78" s="778"/>
      <c r="N78" s="976">
        <v>0</v>
      </c>
      <c r="O78" s="1020">
        <v>28</v>
      </c>
      <c r="P78" s="847" t="e">
        <f>VLOOKUP(N78,etat!$A$9:$N$1004,2,FALSE)</f>
        <v>#N/A</v>
      </c>
      <c r="Q78" s="797" t="e">
        <f>VLOOKUP(N78,etat!$A$9:$N$963,7,FALSE)</f>
        <v>#N/A</v>
      </c>
      <c r="R78" s="797" t="e">
        <f>VLOOKUP(N78,etat!$A$9:$N$1003,9,FALSE)</f>
        <v>#N/A</v>
      </c>
      <c r="S78" s="866" t="e">
        <f>VLOOKUP(N78,etat!$A$9:$P$905,16,FALSE)</f>
        <v>#N/A</v>
      </c>
      <c r="T78" s="755"/>
      <c r="U78" s="791"/>
      <c r="V78" s="784"/>
      <c r="W78" s="784"/>
      <c r="X78" s="784"/>
      <c r="Y78" s="975"/>
      <c r="Z78" s="975"/>
      <c r="AA78" s="967"/>
      <c r="AB78" s="25"/>
      <c r="AC78" s="25"/>
      <c r="AD78" s="25"/>
      <c r="AE78" s="25"/>
      <c r="AF78" s="25"/>
      <c r="AG78" s="25"/>
      <c r="AH78" s="910"/>
      <c r="AI78" s="862"/>
      <c r="AJ78" s="302"/>
      <c r="AK78" s="910"/>
      <c r="AL78" s="911"/>
      <c r="AM78" s="911"/>
      <c r="AN78" s="911"/>
      <c r="AO78" s="911"/>
      <c r="AP78" s="912"/>
      <c r="AQ78" s="911"/>
      <c r="AR78" s="911"/>
      <c r="AS78" s="911"/>
      <c r="AT78" s="26"/>
      <c r="AU78" s="26"/>
      <c r="AV78" s="26"/>
      <c r="AW78" s="25"/>
    </row>
    <row r="79" spans="1:49" s="13" customFormat="1" ht="17.45" customHeight="1">
      <c r="A79" s="25"/>
      <c r="B79" s="25"/>
      <c r="C79" s="25"/>
      <c r="D79" s="295"/>
      <c r="E79" s="295"/>
      <c r="F79" s="295"/>
      <c r="G79" s="295"/>
      <c r="H79" s="295"/>
      <c r="I79" s="25"/>
      <c r="J79" s="25"/>
      <c r="K79" s="25"/>
      <c r="L79" s="777">
        <v>5</v>
      </c>
      <c r="M79" s="778"/>
      <c r="N79" s="976">
        <v>0</v>
      </c>
      <c r="O79" s="1020">
        <v>29</v>
      </c>
      <c r="P79" s="847" t="e">
        <f>VLOOKUP(N79,etat!$A$9:$N$1004,2,FALSE)</f>
        <v>#N/A</v>
      </c>
      <c r="Q79" s="797" t="e">
        <f>VLOOKUP(N79,etat!$A$9:$N$963,7,FALSE)</f>
        <v>#N/A</v>
      </c>
      <c r="R79" s="797" t="e">
        <f>VLOOKUP(N79,etat!$A$9:$N$1003,9,FALSE)</f>
        <v>#N/A</v>
      </c>
      <c r="S79" s="866" t="e">
        <f>VLOOKUP(N79,etat!$A$9:$P$905,16,FALSE)</f>
        <v>#N/A</v>
      </c>
      <c r="T79" s="755"/>
      <c r="U79" s="791"/>
      <c r="V79" s="784"/>
      <c r="W79" s="784"/>
      <c r="X79" s="784"/>
      <c r="Y79" s="975"/>
      <c r="Z79" s="975"/>
      <c r="AA79" s="967"/>
      <c r="AB79" s="25"/>
      <c r="AC79" s="25"/>
      <c r="AD79" s="25"/>
      <c r="AE79" s="25"/>
      <c r="AF79" s="25"/>
      <c r="AG79" s="25"/>
      <c r="AH79" s="910"/>
      <c r="AI79" s="862"/>
      <c r="AJ79" s="302"/>
      <c r="AK79" s="910"/>
      <c r="AL79" s="911"/>
      <c r="AM79" s="911"/>
      <c r="AN79" s="911"/>
      <c r="AO79" s="911"/>
      <c r="AP79" s="912"/>
      <c r="AQ79" s="911"/>
      <c r="AR79" s="911"/>
      <c r="AS79" s="911"/>
      <c r="AT79" s="26"/>
      <c r="AU79" s="26"/>
      <c r="AV79" s="26"/>
      <c r="AW79" s="25"/>
    </row>
    <row r="80" spans="1:49" s="13" customFormat="1" ht="17.45" customHeight="1">
      <c r="A80" s="25"/>
      <c r="B80" s="25"/>
      <c r="C80" s="25"/>
      <c r="D80" s="295"/>
      <c r="E80" s="295"/>
      <c r="F80" s="295"/>
      <c r="G80" s="295"/>
      <c r="H80" s="295"/>
      <c r="I80" s="25"/>
      <c r="J80" s="25"/>
      <c r="K80" s="25"/>
      <c r="L80" s="777">
        <v>5</v>
      </c>
      <c r="M80" s="778"/>
      <c r="N80" s="976">
        <v>0</v>
      </c>
      <c r="O80" s="1020">
        <v>30</v>
      </c>
      <c r="P80" s="847" t="e">
        <f>VLOOKUP(N80,etat!$A$9:$N$1004,2,FALSE)</f>
        <v>#N/A</v>
      </c>
      <c r="Q80" s="797" t="e">
        <f>VLOOKUP(N80,etat!$A$9:$N$963,7,FALSE)</f>
        <v>#N/A</v>
      </c>
      <c r="R80" s="797" t="e">
        <f>VLOOKUP(N80,etat!$A$9:$N$1003,9,FALSE)</f>
        <v>#N/A</v>
      </c>
      <c r="S80" s="866" t="e">
        <f>VLOOKUP(N80,etat!$A$9:$P$905,16,FALSE)</f>
        <v>#N/A</v>
      </c>
      <c r="T80" s="755"/>
      <c r="U80" s="791"/>
      <c r="V80" s="784"/>
      <c r="W80" s="784"/>
      <c r="X80" s="784"/>
      <c r="Y80" s="975"/>
      <c r="Z80" s="975"/>
      <c r="AA80" s="967"/>
      <c r="AB80" s="25"/>
      <c r="AC80" s="25"/>
      <c r="AD80" s="25"/>
      <c r="AE80" s="25"/>
      <c r="AF80" s="25"/>
      <c r="AG80" s="25"/>
      <c r="AH80" s="910"/>
      <c r="AI80" s="862"/>
      <c r="AJ80" s="302"/>
      <c r="AK80" s="910"/>
      <c r="AL80" s="911"/>
      <c r="AM80" s="911"/>
      <c r="AN80" s="911"/>
      <c r="AO80" s="911"/>
      <c r="AP80" s="912"/>
      <c r="AQ80" s="911"/>
      <c r="AR80" s="911"/>
      <c r="AS80" s="911"/>
      <c r="AT80" s="26"/>
      <c r="AU80" s="26"/>
      <c r="AV80" s="26"/>
      <c r="AW80" s="25"/>
    </row>
    <row r="81" spans="1:49" s="13" customFormat="1" ht="17.45" customHeight="1">
      <c r="A81" s="25"/>
      <c r="B81" s="25"/>
      <c r="C81" s="25"/>
      <c r="D81" s="295"/>
      <c r="E81" s="295"/>
      <c r="F81" s="295"/>
      <c r="G81" s="295"/>
      <c r="H81" s="295"/>
      <c r="I81" s="25"/>
      <c r="J81" s="25"/>
      <c r="K81" s="25"/>
      <c r="L81" s="777">
        <v>5</v>
      </c>
      <c r="M81" s="778"/>
      <c r="N81" s="976">
        <v>0</v>
      </c>
      <c r="O81" s="1020">
        <v>31</v>
      </c>
      <c r="P81" s="847" t="e">
        <f>VLOOKUP(N81,etat!$A$9:$N$1004,2,FALSE)</f>
        <v>#N/A</v>
      </c>
      <c r="Q81" s="797" t="e">
        <f>VLOOKUP(N81,etat!$A$9:$N$963,7,FALSE)</f>
        <v>#N/A</v>
      </c>
      <c r="R81" s="797" t="e">
        <f>VLOOKUP(N81,etat!$A$9:$N$1003,9,FALSE)</f>
        <v>#N/A</v>
      </c>
      <c r="S81" s="866" t="e">
        <f>VLOOKUP(N81,etat!$A$9:$P$905,16,FALSE)</f>
        <v>#N/A</v>
      </c>
      <c r="T81" s="755"/>
      <c r="U81" s="791"/>
      <c r="V81" s="784"/>
      <c r="W81" s="784"/>
      <c r="X81" s="784"/>
      <c r="Y81" s="975"/>
      <c r="Z81" s="975"/>
      <c r="AA81" s="967"/>
      <c r="AB81" s="25"/>
      <c r="AC81" s="25"/>
      <c r="AD81" s="25"/>
      <c r="AE81" s="25"/>
      <c r="AF81" s="25"/>
      <c r="AG81" s="25"/>
      <c r="AH81" s="910"/>
      <c r="AI81" s="862"/>
      <c r="AJ81" s="302"/>
      <c r="AK81" s="910"/>
      <c r="AL81" s="911"/>
      <c r="AM81" s="911"/>
      <c r="AN81" s="911"/>
      <c r="AO81" s="911"/>
      <c r="AP81" s="912"/>
      <c r="AQ81" s="911"/>
      <c r="AR81" s="911"/>
      <c r="AS81" s="911"/>
      <c r="AT81" s="26"/>
      <c r="AU81" s="26"/>
      <c r="AV81" s="26"/>
      <c r="AW81" s="25"/>
    </row>
    <row r="82" spans="1:49" s="13" customFormat="1" ht="17.45" customHeight="1">
      <c r="A82" s="25"/>
      <c r="B82" s="25"/>
      <c r="C82" s="25"/>
      <c r="D82" s="295"/>
      <c r="E82" s="295"/>
      <c r="F82" s="295"/>
      <c r="G82" s="295"/>
      <c r="H82" s="295"/>
      <c r="I82" s="25"/>
      <c r="J82" s="25"/>
      <c r="K82" s="25"/>
      <c r="L82" s="777">
        <v>5</v>
      </c>
      <c r="M82" s="778"/>
      <c r="N82" s="976">
        <v>0</v>
      </c>
      <c r="O82" s="1020">
        <v>32</v>
      </c>
      <c r="P82" s="847" t="e">
        <f>VLOOKUP(N82,etat!$A$9:$N$1004,2,FALSE)</f>
        <v>#N/A</v>
      </c>
      <c r="Q82" s="797" t="e">
        <f>VLOOKUP(N82,etat!$A$9:$N$963,7,FALSE)</f>
        <v>#N/A</v>
      </c>
      <c r="R82" s="797" t="e">
        <f>VLOOKUP(N82,etat!$A$9:$N$1003,9,FALSE)</f>
        <v>#N/A</v>
      </c>
      <c r="S82" s="866" t="e">
        <f>VLOOKUP(N82,etat!$A$9:$P$905,16,FALSE)</f>
        <v>#N/A</v>
      </c>
      <c r="T82" s="755"/>
      <c r="U82" s="791"/>
      <c r="V82" s="784"/>
      <c r="W82" s="784"/>
      <c r="X82" s="784"/>
      <c r="Y82" s="975"/>
      <c r="Z82" s="975"/>
      <c r="AA82" s="967"/>
      <c r="AB82" s="25"/>
      <c r="AC82" s="25"/>
      <c r="AD82" s="25"/>
      <c r="AE82" s="25"/>
      <c r="AF82" s="25"/>
      <c r="AG82" s="25"/>
      <c r="AH82" s="910"/>
      <c r="AI82" s="862"/>
      <c r="AJ82" s="302"/>
      <c r="AK82" s="910"/>
      <c r="AL82" s="911"/>
      <c r="AM82" s="911"/>
      <c r="AN82" s="911"/>
      <c r="AO82" s="911"/>
      <c r="AP82" s="912"/>
      <c r="AQ82" s="911"/>
      <c r="AR82" s="911"/>
      <c r="AS82" s="911"/>
      <c r="AT82" s="26"/>
      <c r="AU82" s="26"/>
      <c r="AV82" s="26"/>
      <c r="AW82" s="25"/>
    </row>
    <row r="83" spans="1:49" s="13" customFormat="1" ht="17.45" customHeight="1">
      <c r="A83" s="25"/>
      <c r="B83" s="25"/>
      <c r="C83" s="25"/>
      <c r="D83" s="295"/>
      <c r="E83" s="295"/>
      <c r="F83" s="295"/>
      <c r="G83" s="295"/>
      <c r="H83" s="295"/>
      <c r="I83" s="25"/>
      <c r="J83" s="25"/>
      <c r="K83" s="25"/>
      <c r="L83" s="777">
        <v>5</v>
      </c>
      <c r="M83" s="778"/>
      <c r="N83" s="976">
        <v>0</v>
      </c>
      <c r="O83" s="1020">
        <v>33</v>
      </c>
      <c r="P83" s="847" t="e">
        <f>VLOOKUP(N83,etat!$A$9:$N$1004,2,FALSE)</f>
        <v>#N/A</v>
      </c>
      <c r="Q83" s="797" t="e">
        <f>VLOOKUP(N83,etat!$A$9:$N$963,7,FALSE)</f>
        <v>#N/A</v>
      </c>
      <c r="R83" s="797" t="e">
        <f>VLOOKUP(N83,etat!$A$9:$N$1003,9,FALSE)</f>
        <v>#N/A</v>
      </c>
      <c r="S83" s="866" t="e">
        <f>VLOOKUP(N83,etat!$A$9:$P$905,16,FALSE)</f>
        <v>#N/A</v>
      </c>
      <c r="T83" s="755"/>
      <c r="U83" s="791"/>
      <c r="V83" s="784"/>
      <c r="W83" s="784"/>
      <c r="X83" s="784"/>
      <c r="Y83" s="1116"/>
      <c r="Z83" s="975"/>
      <c r="AA83" s="967"/>
      <c r="AB83" s="25"/>
      <c r="AC83" s="25"/>
      <c r="AD83" s="25"/>
      <c r="AE83" s="25"/>
      <c r="AF83" s="25"/>
      <c r="AG83" s="25"/>
      <c r="AH83" s="910"/>
      <c r="AI83" s="862"/>
      <c r="AJ83" s="302"/>
      <c r="AK83" s="910"/>
      <c r="AL83" s="911"/>
      <c r="AM83" s="911"/>
      <c r="AN83" s="911"/>
      <c r="AO83" s="911"/>
      <c r="AP83" s="912"/>
      <c r="AQ83" s="911"/>
      <c r="AR83" s="911"/>
      <c r="AS83" s="911"/>
      <c r="AT83" s="26"/>
      <c r="AU83" s="26"/>
      <c r="AV83" s="26"/>
      <c r="AW83" s="25"/>
    </row>
    <row r="84" spans="1:49" s="13" customFormat="1" ht="17.45" customHeight="1">
      <c r="A84" s="25"/>
      <c r="B84" s="25"/>
      <c r="C84" s="25"/>
      <c r="D84" s="295"/>
      <c r="E84" s="295"/>
      <c r="F84" s="295"/>
      <c r="G84" s="295"/>
      <c r="H84" s="295"/>
      <c r="I84" s="25"/>
      <c r="J84" s="25"/>
      <c r="K84" s="25"/>
      <c r="L84" s="777">
        <v>5</v>
      </c>
      <c r="M84" s="778"/>
      <c r="N84" s="976">
        <v>0</v>
      </c>
      <c r="O84" s="1020">
        <v>34</v>
      </c>
      <c r="P84" s="847" t="e">
        <f>VLOOKUP(N84,etat!$A$9:$N$1004,2,FALSE)</f>
        <v>#N/A</v>
      </c>
      <c r="Q84" s="797" t="e">
        <f>VLOOKUP(N84,etat!$A$9:$N$963,7,FALSE)</f>
        <v>#N/A</v>
      </c>
      <c r="R84" s="797" t="e">
        <f>VLOOKUP(N84,etat!$A$9:$N$1003,9,FALSE)</f>
        <v>#N/A</v>
      </c>
      <c r="S84" s="866" t="e">
        <f>VLOOKUP(N84,etat!$A$9:$P$905,16,FALSE)</f>
        <v>#N/A</v>
      </c>
      <c r="T84" s="755"/>
      <c r="U84" s="791"/>
      <c r="V84" s="784"/>
      <c r="W84" s="784"/>
      <c r="X84" s="784"/>
      <c r="Y84" s="975"/>
      <c r="Z84" s="975"/>
      <c r="AA84" s="967"/>
      <c r="AB84" s="25"/>
      <c r="AC84" s="25"/>
      <c r="AD84" s="25"/>
      <c r="AE84" s="25"/>
      <c r="AF84" s="25"/>
      <c r="AG84" s="25"/>
      <c r="AH84" s="910"/>
      <c r="AI84" s="862"/>
      <c r="AJ84" s="302"/>
      <c r="AK84" s="910"/>
      <c r="AL84" s="911"/>
      <c r="AM84" s="911"/>
      <c r="AN84" s="911"/>
      <c r="AO84" s="911"/>
      <c r="AP84" s="912"/>
      <c r="AQ84" s="911"/>
      <c r="AR84" s="911"/>
      <c r="AS84" s="911"/>
      <c r="AT84" s="26"/>
      <c r="AU84" s="26"/>
      <c r="AV84" s="26"/>
      <c r="AW84" s="25"/>
    </row>
    <row r="85" spans="1:49" s="13" customFormat="1" ht="17.45" customHeight="1">
      <c r="A85" s="25"/>
      <c r="B85" s="25"/>
      <c r="C85" s="25"/>
      <c r="D85" s="295"/>
      <c r="E85" s="295"/>
      <c r="F85" s="295"/>
      <c r="G85" s="295"/>
      <c r="H85" s="295"/>
      <c r="I85" s="25"/>
      <c r="J85" s="25"/>
      <c r="K85" s="25"/>
      <c r="L85" s="777">
        <v>5</v>
      </c>
      <c r="M85" s="778"/>
      <c r="N85" s="976">
        <v>0</v>
      </c>
      <c r="O85" s="1020">
        <v>35</v>
      </c>
      <c r="P85" s="847" t="e">
        <f>VLOOKUP(N85,etat!$A$9:$N$1004,2,FALSE)</f>
        <v>#N/A</v>
      </c>
      <c r="Q85" s="797" t="e">
        <f>VLOOKUP(N85,etat!$A$9:$N$963,7,FALSE)</f>
        <v>#N/A</v>
      </c>
      <c r="R85" s="797" t="e">
        <f>VLOOKUP(N85,etat!$A$9:$N$1003,9,FALSE)</f>
        <v>#N/A</v>
      </c>
      <c r="S85" s="866" t="e">
        <f>VLOOKUP(N85,etat!$A$9:$P$905,16,FALSE)</f>
        <v>#N/A</v>
      </c>
      <c r="T85" s="755"/>
      <c r="U85" s="791"/>
      <c r="V85" s="784"/>
      <c r="W85" s="784"/>
      <c r="X85" s="784"/>
      <c r="Y85" s="1117"/>
      <c r="Z85" s="967"/>
      <c r="AA85" s="967"/>
      <c r="AB85" s="25"/>
      <c r="AC85" s="25"/>
      <c r="AD85" s="25"/>
      <c r="AE85" s="25"/>
      <c r="AF85" s="25"/>
      <c r="AG85" s="25"/>
      <c r="AH85" s="910"/>
      <c r="AI85" s="862"/>
      <c r="AJ85" s="302"/>
      <c r="AK85" s="910"/>
      <c r="AL85" s="911"/>
      <c r="AM85" s="911"/>
      <c r="AN85" s="911"/>
      <c r="AO85" s="911"/>
      <c r="AP85" s="912"/>
      <c r="AQ85" s="911"/>
      <c r="AR85" s="911"/>
      <c r="AS85" s="911"/>
      <c r="AT85" s="26"/>
      <c r="AU85" s="26"/>
      <c r="AV85" s="26"/>
      <c r="AW85" s="25"/>
    </row>
    <row r="86" spans="1:49" s="13" customFormat="1" ht="17.45" customHeight="1">
      <c r="A86" s="25"/>
      <c r="B86" s="25"/>
      <c r="C86" s="25"/>
      <c r="D86" s="295"/>
      <c r="E86" s="295"/>
      <c r="F86" s="295"/>
      <c r="G86" s="295"/>
      <c r="H86" s="295"/>
      <c r="I86" s="25"/>
      <c r="J86" s="25"/>
      <c r="K86" s="25"/>
      <c r="L86" s="777">
        <v>5</v>
      </c>
      <c r="M86" s="864"/>
      <c r="N86" s="976">
        <v>0</v>
      </c>
      <c r="O86" s="1020">
        <v>36</v>
      </c>
      <c r="P86" s="847" t="e">
        <f>VLOOKUP(N86,etat!$A$9:$N$1004,2,FALSE)</f>
        <v>#N/A</v>
      </c>
      <c r="Q86" s="797" t="e">
        <f>VLOOKUP(N86,etat!$A$9:$N$963,7,FALSE)</f>
        <v>#N/A</v>
      </c>
      <c r="R86" s="797" t="e">
        <f>VLOOKUP(N86,etat!$A$9:$N$1003,9,FALSE)</f>
        <v>#N/A</v>
      </c>
      <c r="S86" s="866" t="e">
        <f>VLOOKUP(N86,etat!$A$9:$P$905,16,FALSE)</f>
        <v>#N/A</v>
      </c>
      <c r="T86" s="755"/>
      <c r="U86" s="791"/>
      <c r="V86" s="784"/>
      <c r="W86" s="784"/>
      <c r="X86" s="784"/>
      <c r="Y86" s="975"/>
      <c r="Z86" s="975"/>
      <c r="AA86" s="967"/>
      <c r="AB86" s="25"/>
      <c r="AC86" s="25"/>
      <c r="AD86" s="25"/>
      <c r="AE86" s="25"/>
      <c r="AF86" s="25"/>
      <c r="AG86" s="25"/>
      <c r="AH86" s="910"/>
      <c r="AI86" s="862"/>
      <c r="AJ86" s="302"/>
      <c r="AK86" s="910"/>
      <c r="AL86" s="911"/>
      <c r="AM86" s="911"/>
      <c r="AN86" s="911"/>
      <c r="AO86" s="911"/>
      <c r="AP86" s="912"/>
      <c r="AQ86" s="911"/>
      <c r="AR86" s="911"/>
      <c r="AS86" s="911"/>
      <c r="AT86" s="26"/>
      <c r="AU86" s="26"/>
      <c r="AV86" s="26"/>
      <c r="AW86" s="25"/>
    </row>
    <row r="87" spans="1:49" s="13" customFormat="1" ht="17.45" customHeight="1">
      <c r="A87" s="25"/>
      <c r="B87" s="25"/>
      <c r="C87" s="25"/>
      <c r="D87" s="295"/>
      <c r="E87" s="295"/>
      <c r="F87" s="295"/>
      <c r="G87" s="295"/>
      <c r="H87" s="295"/>
      <c r="I87" s="25"/>
      <c r="J87" s="25"/>
      <c r="K87" s="25"/>
      <c r="L87" s="777">
        <v>5</v>
      </c>
      <c r="M87" s="864"/>
      <c r="N87" s="976">
        <v>0</v>
      </c>
      <c r="O87" s="1020">
        <v>37</v>
      </c>
      <c r="P87" s="847" t="e">
        <f>VLOOKUP(N87,etat!$A$9:$N$1004,2,FALSE)</f>
        <v>#N/A</v>
      </c>
      <c r="Q87" s="797" t="e">
        <f>VLOOKUP(N87,etat!$A$9:$N$963,7,FALSE)</f>
        <v>#N/A</v>
      </c>
      <c r="R87" s="797" t="e">
        <f>VLOOKUP(N87,etat!$A$9:$N$1003,9,FALSE)</f>
        <v>#N/A</v>
      </c>
      <c r="S87" s="866" t="e">
        <f>VLOOKUP(N87,etat!$A$9:$P$905,16,FALSE)</f>
        <v>#N/A</v>
      </c>
      <c r="T87" s="755"/>
      <c r="U87" s="791"/>
      <c r="V87" s="784"/>
      <c r="W87" s="784"/>
      <c r="X87" s="784"/>
      <c r="Y87" s="975"/>
      <c r="Z87" s="975"/>
      <c r="AA87" s="967"/>
      <c r="AB87" s="25"/>
      <c r="AC87" s="25"/>
      <c r="AD87" s="25"/>
      <c r="AE87" s="25"/>
      <c r="AF87" s="25"/>
      <c r="AG87" s="25"/>
      <c r="AH87" s="910"/>
      <c r="AI87" s="862"/>
      <c r="AJ87" s="302"/>
      <c r="AK87" s="910"/>
      <c r="AL87" s="911"/>
      <c r="AM87" s="911"/>
      <c r="AN87" s="911"/>
      <c r="AO87" s="911"/>
      <c r="AP87" s="912"/>
      <c r="AQ87" s="911"/>
      <c r="AR87" s="911"/>
      <c r="AS87" s="911"/>
      <c r="AT87" s="26"/>
      <c r="AU87" s="26"/>
      <c r="AV87" s="26"/>
      <c r="AW87" s="25"/>
    </row>
    <row r="88" spans="1:49" s="13" customFormat="1" ht="17.45" customHeight="1">
      <c r="A88" s="25"/>
      <c r="B88" s="25"/>
      <c r="C88" s="25"/>
      <c r="D88" s="295"/>
      <c r="E88" s="295"/>
      <c r="F88" s="295"/>
      <c r="G88" s="295"/>
      <c r="H88" s="295"/>
      <c r="I88" s="25"/>
      <c r="J88" s="25"/>
      <c r="K88" s="25"/>
      <c r="L88" s="777">
        <v>5</v>
      </c>
      <c r="M88" s="864"/>
      <c r="N88" s="976">
        <v>0</v>
      </c>
      <c r="O88" s="1020">
        <v>38</v>
      </c>
      <c r="P88" s="847" t="e">
        <f>VLOOKUP(N88,etat!$A$9:$N$1004,2,FALSE)</f>
        <v>#N/A</v>
      </c>
      <c r="Q88" s="797" t="e">
        <f>VLOOKUP(N88,etat!$A$9:$N$963,7,FALSE)</f>
        <v>#N/A</v>
      </c>
      <c r="R88" s="797" t="e">
        <f>VLOOKUP(N88,etat!$A$9:$N$1003,9,FALSE)</f>
        <v>#N/A</v>
      </c>
      <c r="S88" s="866" t="e">
        <f>VLOOKUP(N88,etat!$A$9:$P$905,16,FALSE)</f>
        <v>#N/A</v>
      </c>
      <c r="T88" s="755"/>
      <c r="U88" s="791"/>
      <c r="V88" s="784"/>
      <c r="W88" s="784"/>
      <c r="X88" s="784"/>
      <c r="Y88" s="975"/>
      <c r="Z88" s="975"/>
      <c r="AA88" s="967"/>
      <c r="AB88" s="25"/>
      <c r="AC88" s="25"/>
      <c r="AD88" s="25"/>
      <c r="AE88" s="25"/>
      <c r="AF88" s="25"/>
      <c r="AG88" s="25"/>
      <c r="AH88" s="910"/>
      <c r="AI88" s="862"/>
      <c r="AJ88" s="302"/>
      <c r="AK88" s="910"/>
      <c r="AL88" s="911"/>
      <c r="AM88" s="911"/>
      <c r="AN88" s="911"/>
      <c r="AO88" s="911"/>
      <c r="AP88" s="912"/>
      <c r="AQ88" s="911"/>
      <c r="AR88" s="911"/>
      <c r="AS88" s="911"/>
      <c r="AT88" s="26"/>
      <c r="AU88" s="26"/>
      <c r="AV88" s="26"/>
      <c r="AW88" s="25"/>
    </row>
    <row r="89" spans="1:49" s="13" customFormat="1" ht="17.45" customHeight="1">
      <c r="A89" s="25"/>
      <c r="B89" s="25"/>
      <c r="C89" s="25"/>
      <c r="D89" s="295"/>
      <c r="E89" s="295"/>
      <c r="F89" s="295"/>
      <c r="G89" s="295"/>
      <c r="H89" s="295"/>
      <c r="I89" s="25"/>
      <c r="J89" s="25"/>
      <c r="K89" s="25"/>
      <c r="L89" s="777">
        <v>5</v>
      </c>
      <c r="M89" s="778"/>
      <c r="N89" s="976">
        <v>0</v>
      </c>
      <c r="O89" s="1020">
        <v>39</v>
      </c>
      <c r="P89" s="847" t="e">
        <f>VLOOKUP(N89,etat!$A$9:$N$1004,2,FALSE)</f>
        <v>#N/A</v>
      </c>
      <c r="Q89" s="797" t="e">
        <f>VLOOKUP(N89,etat!$A$9:$N$963,7,FALSE)</f>
        <v>#N/A</v>
      </c>
      <c r="R89" s="797" t="e">
        <f>VLOOKUP(N89,etat!$A$9:$N$1003,9,FALSE)</f>
        <v>#N/A</v>
      </c>
      <c r="S89" s="866" t="e">
        <f>VLOOKUP(N89,etat!$A$9:$P$905,16,FALSE)</f>
        <v>#N/A</v>
      </c>
      <c r="T89" s="755"/>
      <c r="U89" s="791"/>
      <c r="V89" s="784"/>
      <c r="W89" s="784"/>
      <c r="X89" s="784"/>
      <c r="Y89" s="975"/>
      <c r="Z89" s="975"/>
      <c r="AA89" s="967"/>
      <c r="AB89" s="25"/>
      <c r="AC89" s="25"/>
      <c r="AD89" s="25"/>
      <c r="AE89" s="25"/>
      <c r="AF89" s="25"/>
      <c r="AG89" s="25"/>
      <c r="AH89" s="910"/>
      <c r="AI89" s="862"/>
      <c r="AJ89" s="302"/>
      <c r="AK89" s="910"/>
      <c r="AL89" s="911"/>
      <c r="AM89" s="911"/>
      <c r="AN89" s="911"/>
      <c r="AO89" s="911"/>
      <c r="AP89" s="912"/>
      <c r="AQ89" s="911"/>
      <c r="AR89" s="911"/>
      <c r="AS89" s="911"/>
      <c r="AT89" s="26"/>
      <c r="AU89" s="26"/>
      <c r="AV89" s="26"/>
      <c r="AW89" s="25"/>
    </row>
    <row r="90" spans="1:49" s="13" customFormat="1" ht="17.45" customHeight="1">
      <c r="A90" s="25"/>
      <c r="B90" s="25"/>
      <c r="C90" s="25"/>
      <c r="D90" s="295"/>
      <c r="E90" s="295"/>
      <c r="F90" s="295"/>
      <c r="G90" s="295"/>
      <c r="H90" s="295"/>
      <c r="I90" s="25"/>
      <c r="J90" s="25"/>
      <c r="K90" s="25"/>
      <c r="L90" s="777">
        <v>5</v>
      </c>
      <c r="M90" s="778"/>
      <c r="N90" s="976">
        <v>0</v>
      </c>
      <c r="O90" s="1020">
        <v>40</v>
      </c>
      <c r="P90" s="847" t="e">
        <f>VLOOKUP(N90,etat!$A$9:$N$1004,2,FALSE)</f>
        <v>#N/A</v>
      </c>
      <c r="Q90" s="797" t="e">
        <f>VLOOKUP(N90,etat!$A$9:$N$963,7,FALSE)</f>
        <v>#N/A</v>
      </c>
      <c r="R90" s="797" t="e">
        <f>VLOOKUP(N90,etat!$A$9:$N$1003,9,FALSE)</f>
        <v>#N/A</v>
      </c>
      <c r="S90" s="866" t="e">
        <f>VLOOKUP(N90,etat!$A$9:$P$905,16,FALSE)</f>
        <v>#N/A</v>
      </c>
      <c r="T90" s="755"/>
      <c r="U90" s="784"/>
      <c r="V90" s="784"/>
      <c r="W90" s="784"/>
      <c r="X90" s="784"/>
      <c r="Y90" s="1117"/>
      <c r="Z90" s="967"/>
      <c r="AA90" s="967"/>
      <c r="AB90" s="25"/>
      <c r="AC90" s="25"/>
      <c r="AD90" s="25"/>
      <c r="AE90" s="25"/>
      <c r="AF90" s="25"/>
      <c r="AG90" s="25"/>
      <c r="AH90" s="910"/>
      <c r="AI90" s="862"/>
      <c r="AJ90" s="302"/>
      <c r="AK90" s="910"/>
      <c r="AL90" s="911"/>
      <c r="AM90" s="911"/>
      <c r="AN90" s="911"/>
      <c r="AO90" s="911"/>
      <c r="AP90" s="912"/>
      <c r="AQ90" s="911"/>
      <c r="AR90" s="911"/>
      <c r="AS90" s="911"/>
      <c r="AT90" s="26"/>
      <c r="AU90" s="26"/>
      <c r="AV90" s="26"/>
      <c r="AW90" s="25"/>
    </row>
    <row r="91" spans="1:49" s="13" customFormat="1" ht="17.45" customHeight="1">
      <c r="A91" s="25"/>
      <c r="B91" s="25"/>
      <c r="C91" s="25"/>
      <c r="D91" s="295"/>
      <c r="E91" s="295"/>
      <c r="F91" s="295"/>
      <c r="G91" s="295"/>
      <c r="H91" s="295"/>
      <c r="I91" s="25"/>
      <c r="J91" s="25"/>
      <c r="K91" s="25"/>
      <c r="L91" s="777">
        <v>5</v>
      </c>
      <c r="M91" s="778"/>
      <c r="N91" s="976">
        <v>0</v>
      </c>
      <c r="O91" s="1020">
        <v>41</v>
      </c>
      <c r="P91" s="847" t="e">
        <f>VLOOKUP(N91,etat!$A$9:$N$1004,2,FALSE)</f>
        <v>#N/A</v>
      </c>
      <c r="Q91" s="797" t="e">
        <f>VLOOKUP(N91,etat!$A$9:$N$963,7,FALSE)</f>
        <v>#N/A</v>
      </c>
      <c r="R91" s="797" t="e">
        <f>VLOOKUP(N91,etat!$A$9:$N$1003,9,FALSE)</f>
        <v>#N/A</v>
      </c>
      <c r="S91" s="866" t="e">
        <f>VLOOKUP(N91,etat!$A$9:$P$905,16,FALSE)</f>
        <v>#N/A</v>
      </c>
      <c r="T91" s="755"/>
      <c r="U91" s="791"/>
      <c r="V91" s="784"/>
      <c r="W91" s="784"/>
      <c r="X91" s="784"/>
      <c r="Y91" s="975"/>
      <c r="Z91" s="975"/>
      <c r="AA91" s="967"/>
      <c r="AB91" s="25"/>
      <c r="AC91" s="25"/>
      <c r="AD91" s="25"/>
      <c r="AE91" s="25"/>
      <c r="AF91" s="25"/>
      <c r="AG91" s="25"/>
      <c r="AH91" s="910"/>
      <c r="AI91" s="862"/>
      <c r="AJ91" s="302"/>
      <c r="AK91" s="910"/>
      <c r="AL91" s="911"/>
      <c r="AM91" s="911"/>
      <c r="AN91" s="911"/>
      <c r="AO91" s="911"/>
      <c r="AP91" s="912"/>
      <c r="AQ91" s="911"/>
      <c r="AR91" s="911"/>
      <c r="AS91" s="911"/>
      <c r="AT91" s="26"/>
      <c r="AU91" s="26"/>
      <c r="AV91" s="26"/>
      <c r="AW91" s="25"/>
    </row>
    <row r="92" spans="1:49" s="13" customFormat="1" ht="17.45" customHeight="1">
      <c r="A92" s="25"/>
      <c r="B92" s="25"/>
      <c r="C92" s="25"/>
      <c r="D92" s="295"/>
      <c r="E92" s="295"/>
      <c r="F92" s="295"/>
      <c r="G92" s="295"/>
      <c r="H92" s="295"/>
      <c r="I92" s="25"/>
      <c r="J92" s="25"/>
      <c r="K92" s="25"/>
      <c r="L92" s="777">
        <v>5</v>
      </c>
      <c r="M92" s="778"/>
      <c r="N92" s="976">
        <v>0</v>
      </c>
      <c r="O92" s="1020">
        <v>42</v>
      </c>
      <c r="P92" s="847" t="e">
        <f>VLOOKUP(N92,etat!$A$9:$N$1004,2,FALSE)</f>
        <v>#N/A</v>
      </c>
      <c r="Q92" s="797" t="e">
        <f>VLOOKUP(N92,etat!$A$9:$N$963,7,FALSE)</f>
        <v>#N/A</v>
      </c>
      <c r="R92" s="797" t="e">
        <f>VLOOKUP(N92,etat!$A$9:$N$1003,9,FALSE)</f>
        <v>#N/A</v>
      </c>
      <c r="S92" s="866" t="e">
        <f>VLOOKUP(N92,etat!$A$9:$P$905,16,FALSE)</f>
        <v>#N/A</v>
      </c>
      <c r="T92" s="755"/>
      <c r="U92" s="791"/>
      <c r="V92" s="784"/>
      <c r="W92" s="784"/>
      <c r="X92" s="784"/>
      <c r="Y92" s="1116"/>
      <c r="Z92" s="975"/>
      <c r="AA92" s="967"/>
      <c r="AB92" s="25"/>
      <c r="AC92" s="25"/>
      <c r="AD92" s="25"/>
      <c r="AE92" s="25"/>
      <c r="AF92" s="25"/>
      <c r="AG92" s="25"/>
      <c r="AH92" s="910"/>
      <c r="AI92" s="862"/>
      <c r="AJ92" s="302"/>
      <c r="AK92" s="910"/>
      <c r="AL92" s="911"/>
      <c r="AM92" s="911"/>
      <c r="AN92" s="911"/>
      <c r="AO92" s="911"/>
      <c r="AP92" s="912"/>
      <c r="AQ92" s="911"/>
      <c r="AR92" s="911"/>
      <c r="AS92" s="911"/>
      <c r="AT92" s="26"/>
      <c r="AU92" s="26"/>
      <c r="AV92" s="26"/>
      <c r="AW92" s="25"/>
    </row>
    <row r="93" spans="1:49" s="13" customFormat="1" ht="17.45" customHeight="1">
      <c r="A93" s="25"/>
      <c r="B93" s="25"/>
      <c r="C93" s="25"/>
      <c r="D93" s="295"/>
      <c r="E93" s="295"/>
      <c r="F93" s="295"/>
      <c r="G93" s="295"/>
      <c r="H93" s="295"/>
      <c r="I93" s="25"/>
      <c r="J93" s="25"/>
      <c r="K93" s="25"/>
      <c r="L93" s="777">
        <v>5</v>
      </c>
      <c r="M93" s="778"/>
      <c r="N93" s="976">
        <v>0</v>
      </c>
      <c r="O93" s="1020">
        <v>43</v>
      </c>
      <c r="P93" s="847" t="e">
        <f>VLOOKUP(N93,etat!$A$9:$N$1004,2,FALSE)</f>
        <v>#N/A</v>
      </c>
      <c r="Q93" s="797" t="e">
        <f>VLOOKUP(N93,etat!$A$9:$N$963,7,FALSE)</f>
        <v>#N/A</v>
      </c>
      <c r="R93" s="797" t="e">
        <f>VLOOKUP(N93,etat!$A$9:$N$1003,9,FALSE)</f>
        <v>#N/A</v>
      </c>
      <c r="S93" s="866" t="e">
        <f>VLOOKUP(N93,etat!$A$9:$P$905,16,FALSE)</f>
        <v>#N/A</v>
      </c>
      <c r="T93" s="755"/>
      <c r="U93" s="784"/>
      <c r="V93" s="784"/>
      <c r="W93" s="784"/>
      <c r="X93" s="784"/>
      <c r="Y93" s="1117"/>
      <c r="Z93" s="967"/>
      <c r="AA93" s="967"/>
      <c r="AB93" s="25"/>
      <c r="AC93" s="25"/>
      <c r="AD93" s="25"/>
      <c r="AE93" s="25"/>
      <c r="AF93" s="25"/>
      <c r="AG93" s="25"/>
      <c r="AH93" s="910"/>
      <c r="AI93" s="862"/>
      <c r="AJ93" s="302"/>
      <c r="AK93" s="910"/>
      <c r="AL93" s="911"/>
      <c r="AM93" s="911"/>
      <c r="AN93" s="911"/>
      <c r="AO93" s="911"/>
      <c r="AP93" s="912"/>
      <c r="AQ93" s="911"/>
      <c r="AR93" s="911"/>
      <c r="AS93" s="911"/>
      <c r="AT93" s="26"/>
      <c r="AU93" s="26"/>
      <c r="AV93" s="26"/>
      <c r="AW93" s="25"/>
    </row>
    <row r="94" spans="1:49" s="13" customFormat="1" ht="17.45" customHeight="1">
      <c r="A94" s="25"/>
      <c r="B94" s="25"/>
      <c r="C94" s="25"/>
      <c r="D94" s="295"/>
      <c r="E94" s="295"/>
      <c r="F94" s="295"/>
      <c r="G94" s="295"/>
      <c r="H94" s="295"/>
      <c r="I94" s="25"/>
      <c r="J94" s="25"/>
      <c r="K94" s="25"/>
      <c r="L94" s="777">
        <v>5</v>
      </c>
      <c r="M94" s="778"/>
      <c r="N94" s="976">
        <v>0</v>
      </c>
      <c r="O94" s="1020">
        <v>44</v>
      </c>
      <c r="P94" s="847" t="e">
        <f>VLOOKUP(N94,etat!$A$9:$N$1004,2,FALSE)</f>
        <v>#N/A</v>
      </c>
      <c r="Q94" s="797" t="e">
        <f>VLOOKUP(N94,etat!$A$9:$N$963,7,FALSE)</f>
        <v>#N/A</v>
      </c>
      <c r="R94" s="797" t="e">
        <f>VLOOKUP(N94,etat!$A$9:$N$1003,9,FALSE)</f>
        <v>#N/A</v>
      </c>
      <c r="S94" s="866" t="e">
        <f>VLOOKUP(N94,etat!$A$9:$P$905,16,FALSE)</f>
        <v>#N/A</v>
      </c>
      <c r="T94" s="755"/>
      <c r="U94" s="784"/>
      <c r="V94" s="784"/>
      <c r="W94" s="784"/>
      <c r="X94" s="784"/>
      <c r="Y94" s="1117"/>
      <c r="Z94" s="967"/>
      <c r="AA94" s="967"/>
      <c r="AB94" s="25"/>
      <c r="AC94" s="25"/>
      <c r="AD94" s="25"/>
      <c r="AE94" s="25"/>
      <c r="AF94" s="25"/>
      <c r="AG94" s="25"/>
      <c r="AH94" s="910"/>
      <c r="AI94" s="862"/>
      <c r="AJ94" s="302"/>
      <c r="AK94" s="910"/>
      <c r="AL94" s="911"/>
      <c r="AM94" s="911"/>
      <c r="AN94" s="911"/>
      <c r="AO94" s="911"/>
      <c r="AP94" s="912"/>
      <c r="AQ94" s="911"/>
      <c r="AR94" s="911"/>
      <c r="AS94" s="911"/>
      <c r="AT94" s="26"/>
      <c r="AU94" s="26"/>
      <c r="AV94" s="26"/>
      <c r="AW94" s="25"/>
    </row>
    <row r="95" spans="1:49" s="13" customFormat="1" ht="17.45" customHeight="1">
      <c r="A95" s="25"/>
      <c r="B95" s="25"/>
      <c r="C95" s="25"/>
      <c r="D95" s="295"/>
      <c r="E95" s="295"/>
      <c r="F95" s="295"/>
      <c r="G95" s="295"/>
      <c r="H95" s="295"/>
      <c r="I95" s="25"/>
      <c r="J95" s="25"/>
      <c r="K95" s="25"/>
      <c r="L95" s="777">
        <v>5</v>
      </c>
      <c r="M95" s="778"/>
      <c r="N95" s="976">
        <v>0</v>
      </c>
      <c r="O95" s="1020">
        <v>45</v>
      </c>
      <c r="P95" s="847" t="e">
        <f>VLOOKUP(N95,etat!$A$9:$N$1004,2,FALSE)</f>
        <v>#N/A</v>
      </c>
      <c r="Q95" s="797" t="e">
        <f>VLOOKUP(N95,etat!$A$9:$N$963,7,FALSE)</f>
        <v>#N/A</v>
      </c>
      <c r="R95" s="797" t="e">
        <f>VLOOKUP(N95,etat!$A$9:$N$1003,9,FALSE)</f>
        <v>#N/A</v>
      </c>
      <c r="S95" s="866" t="e">
        <f>VLOOKUP(N95,etat!$A$9:$P$905,16,FALSE)</f>
        <v>#N/A</v>
      </c>
      <c r="T95" s="755"/>
      <c r="U95" s="784"/>
      <c r="V95" s="784"/>
      <c r="W95" s="784"/>
      <c r="X95" s="784"/>
      <c r="Y95" s="975"/>
      <c r="Z95" s="975"/>
      <c r="AA95" s="967"/>
      <c r="AB95" s="25"/>
      <c r="AC95" s="25"/>
      <c r="AD95" s="25"/>
      <c r="AE95" s="25"/>
      <c r="AF95" s="25"/>
      <c r="AG95" s="25"/>
      <c r="AH95" s="910"/>
      <c r="AI95" s="862"/>
      <c r="AJ95" s="302"/>
      <c r="AK95" s="910"/>
      <c r="AL95" s="911"/>
      <c r="AM95" s="911"/>
      <c r="AN95" s="911"/>
      <c r="AO95" s="911"/>
      <c r="AP95" s="912"/>
      <c r="AQ95" s="911"/>
      <c r="AR95" s="911"/>
      <c r="AS95" s="911"/>
      <c r="AT95" s="26"/>
      <c r="AU95" s="26"/>
      <c r="AV95" s="26"/>
      <c r="AW95" s="25"/>
    </row>
    <row r="96" spans="1:49" s="13" customFormat="1" ht="17.45" customHeight="1">
      <c r="A96" s="25"/>
      <c r="B96" s="25"/>
      <c r="C96" s="25"/>
      <c r="D96" s="295"/>
      <c r="E96" s="295"/>
      <c r="F96" s="295"/>
      <c r="G96" s="295"/>
      <c r="H96" s="295"/>
      <c r="I96" s="25"/>
      <c r="J96" s="25"/>
      <c r="K96" s="25"/>
      <c r="L96" s="777">
        <v>5</v>
      </c>
      <c r="M96" s="778"/>
      <c r="N96" s="976">
        <v>0</v>
      </c>
      <c r="O96" s="1020">
        <v>46</v>
      </c>
      <c r="P96" s="847" t="e">
        <f>VLOOKUP(N96,etat!$A$9:$N$1004,2,FALSE)</f>
        <v>#N/A</v>
      </c>
      <c r="Q96" s="797" t="e">
        <f>VLOOKUP(N96,etat!$A$9:$N$963,7,FALSE)</f>
        <v>#N/A</v>
      </c>
      <c r="R96" s="797" t="e">
        <f>VLOOKUP(N96,etat!$A$9:$N$1003,9,FALSE)</f>
        <v>#N/A</v>
      </c>
      <c r="S96" s="866" t="e">
        <f>VLOOKUP(N96,etat!$A$9:$P$905,16,FALSE)</f>
        <v>#N/A</v>
      </c>
      <c r="T96" s="755"/>
      <c r="U96" s="784"/>
      <c r="V96" s="784"/>
      <c r="W96" s="784"/>
      <c r="X96" s="784"/>
      <c r="Y96" s="975"/>
      <c r="Z96" s="975"/>
      <c r="AA96" s="967"/>
      <c r="AB96" s="25"/>
      <c r="AC96" s="25"/>
      <c r="AD96" s="25"/>
      <c r="AE96" s="25"/>
      <c r="AF96" s="25"/>
      <c r="AG96" s="25"/>
      <c r="AH96" s="910"/>
      <c r="AI96" s="862"/>
      <c r="AJ96" s="302"/>
      <c r="AK96" s="910"/>
      <c r="AL96" s="911"/>
      <c r="AM96" s="911"/>
      <c r="AN96" s="911"/>
      <c r="AO96" s="911"/>
      <c r="AP96" s="912"/>
      <c r="AQ96" s="911"/>
      <c r="AR96" s="911"/>
      <c r="AS96" s="911"/>
      <c r="AT96" s="26"/>
      <c r="AU96" s="26"/>
      <c r="AV96" s="26"/>
      <c r="AW96" s="25"/>
    </row>
    <row r="97" spans="1:49" s="13" customFormat="1" ht="17.45" customHeight="1">
      <c r="A97" s="25"/>
      <c r="B97" s="25"/>
      <c r="C97" s="25"/>
      <c r="D97" s="295"/>
      <c r="E97" s="295"/>
      <c r="F97" s="295"/>
      <c r="G97" s="295"/>
      <c r="H97" s="295"/>
      <c r="I97" s="25"/>
      <c r="J97" s="25"/>
      <c r="K97" s="25"/>
      <c r="L97" s="777">
        <v>5</v>
      </c>
      <c r="M97" s="778"/>
      <c r="N97" s="976">
        <v>0</v>
      </c>
      <c r="O97" s="1020">
        <v>47</v>
      </c>
      <c r="P97" s="847" t="e">
        <f>VLOOKUP(N97,etat!$A$9:$N$1004,2,FALSE)</f>
        <v>#N/A</v>
      </c>
      <c r="Q97" s="797" t="e">
        <f>VLOOKUP(N97,etat!$A$9:$N$963,7,FALSE)</f>
        <v>#N/A</v>
      </c>
      <c r="R97" s="797" t="e">
        <f>VLOOKUP(N97,etat!$A$9:$N$1003,9,FALSE)</f>
        <v>#N/A</v>
      </c>
      <c r="S97" s="866" t="e">
        <f>VLOOKUP(N97,etat!$A$9:$P$905,16,FALSE)</f>
        <v>#N/A</v>
      </c>
      <c r="T97" s="755"/>
      <c r="U97" s="784"/>
      <c r="V97" s="784"/>
      <c r="W97" s="784"/>
      <c r="X97" s="784"/>
      <c r="Y97" s="975"/>
      <c r="Z97" s="975"/>
      <c r="AA97" s="967"/>
      <c r="AB97" s="25"/>
      <c r="AC97" s="25"/>
      <c r="AD97" s="25"/>
      <c r="AE97" s="25"/>
      <c r="AF97" s="25"/>
      <c r="AG97" s="25"/>
      <c r="AH97" s="910"/>
      <c r="AI97" s="862"/>
      <c r="AJ97" s="302"/>
      <c r="AK97" s="910"/>
      <c r="AL97" s="911"/>
      <c r="AM97" s="911"/>
      <c r="AN97" s="911"/>
      <c r="AO97" s="911"/>
      <c r="AP97" s="912"/>
      <c r="AQ97" s="911"/>
      <c r="AR97" s="911"/>
      <c r="AS97" s="911"/>
      <c r="AT97" s="26"/>
      <c r="AU97" s="26"/>
      <c r="AV97" s="26"/>
      <c r="AW97" s="25"/>
    </row>
    <row r="98" spans="1:49" s="13" customFormat="1" ht="17.45" customHeight="1">
      <c r="A98" s="25"/>
      <c r="B98" s="25"/>
      <c r="C98" s="25"/>
      <c r="D98" s="295"/>
      <c r="E98" s="295"/>
      <c r="F98" s="295"/>
      <c r="G98" s="295"/>
      <c r="H98" s="295"/>
      <c r="I98" s="25"/>
      <c r="J98" s="25"/>
      <c r="K98" s="25"/>
      <c r="L98" s="777">
        <v>5</v>
      </c>
      <c r="M98" s="778"/>
      <c r="N98" s="976">
        <v>0</v>
      </c>
      <c r="O98" s="1020">
        <v>48</v>
      </c>
      <c r="P98" s="847" t="e">
        <f>VLOOKUP(N98,etat!$A$9:$N$1004,2,FALSE)</f>
        <v>#N/A</v>
      </c>
      <c r="Q98" s="797" t="e">
        <f>VLOOKUP(N98,etat!$A$9:$N$963,7,FALSE)</f>
        <v>#N/A</v>
      </c>
      <c r="R98" s="797" t="e">
        <f>VLOOKUP(N98,etat!$A$9:$N$1003,9,FALSE)</f>
        <v>#N/A</v>
      </c>
      <c r="S98" s="866" t="e">
        <f>VLOOKUP(N98,etat!$A$9:$P$905,16,FALSE)</f>
        <v>#N/A</v>
      </c>
      <c r="T98" s="755"/>
      <c r="U98" s="784"/>
      <c r="V98" s="784"/>
      <c r="W98" s="784"/>
      <c r="X98" s="784"/>
      <c r="Y98" s="975"/>
      <c r="Z98" s="967"/>
      <c r="AA98" s="967"/>
      <c r="AB98" s="25"/>
      <c r="AC98" s="25"/>
      <c r="AD98" s="25"/>
      <c r="AE98" s="25"/>
      <c r="AF98" s="25"/>
      <c r="AG98" s="25"/>
      <c r="AH98" s="910"/>
      <c r="AI98" s="862"/>
      <c r="AJ98" s="302"/>
      <c r="AK98" s="910"/>
      <c r="AL98" s="911"/>
      <c r="AM98" s="911"/>
      <c r="AN98" s="911"/>
      <c r="AO98" s="911"/>
      <c r="AP98" s="912"/>
      <c r="AQ98" s="911"/>
      <c r="AR98" s="911"/>
      <c r="AS98" s="911"/>
      <c r="AT98" s="26"/>
      <c r="AU98" s="26"/>
      <c r="AV98" s="26"/>
      <c r="AW98" s="25"/>
    </row>
    <row r="99" spans="1:49" s="13" customFormat="1" ht="17.45" customHeight="1">
      <c r="A99" s="25"/>
      <c r="B99" s="25"/>
      <c r="C99" s="25"/>
      <c r="D99" s="295"/>
      <c r="E99" s="295"/>
      <c r="F99" s="295"/>
      <c r="G99" s="295"/>
      <c r="H99" s="295"/>
      <c r="I99" s="25"/>
      <c r="J99" s="25"/>
      <c r="K99" s="25"/>
      <c r="L99" s="777">
        <v>5</v>
      </c>
      <c r="M99" s="778"/>
      <c r="N99" s="976">
        <v>0</v>
      </c>
      <c r="O99" s="1020">
        <v>49</v>
      </c>
      <c r="P99" s="847" t="e">
        <f>VLOOKUP(N99,etat!$A$9:$N$1004,2,FALSE)</f>
        <v>#N/A</v>
      </c>
      <c r="Q99" s="797" t="e">
        <f>VLOOKUP(N99,etat!$A$9:$N$963,7,FALSE)</f>
        <v>#N/A</v>
      </c>
      <c r="R99" s="797" t="e">
        <f>VLOOKUP(N99,etat!$A$9:$N$1003,9,FALSE)</f>
        <v>#N/A</v>
      </c>
      <c r="S99" s="866" t="e">
        <f>VLOOKUP(N99,etat!$A$9:$P$905,16,FALSE)</f>
        <v>#N/A</v>
      </c>
      <c r="T99" s="755"/>
      <c r="U99" s="791"/>
      <c r="V99" s="784"/>
      <c r="W99" s="784"/>
      <c r="X99" s="784"/>
      <c r="Y99" s="975"/>
      <c r="Z99" s="975"/>
      <c r="AA99" s="967"/>
      <c r="AB99" s="25"/>
      <c r="AC99" s="25"/>
      <c r="AD99" s="25"/>
      <c r="AE99" s="25"/>
      <c r="AF99" s="25"/>
      <c r="AG99" s="25"/>
      <c r="AH99" s="910"/>
      <c r="AI99" s="862"/>
      <c r="AJ99" s="302"/>
      <c r="AK99" s="910"/>
      <c r="AL99" s="911"/>
      <c r="AM99" s="911"/>
      <c r="AN99" s="911"/>
      <c r="AO99" s="911"/>
      <c r="AP99" s="912"/>
      <c r="AQ99" s="911"/>
      <c r="AR99" s="911"/>
      <c r="AS99" s="911"/>
      <c r="AT99" s="26"/>
      <c r="AU99" s="26"/>
      <c r="AV99" s="26"/>
      <c r="AW99" s="25"/>
    </row>
    <row r="100" spans="1:49" s="13" customFormat="1" ht="17.45" customHeight="1">
      <c r="A100" s="25"/>
      <c r="B100" s="25"/>
      <c r="C100" s="25"/>
      <c r="D100" s="295"/>
      <c r="E100" s="295"/>
      <c r="F100" s="295"/>
      <c r="G100" s="295"/>
      <c r="H100" s="295"/>
      <c r="I100" s="25"/>
      <c r="J100" s="25"/>
      <c r="K100" s="25"/>
      <c r="L100" s="777">
        <v>5</v>
      </c>
      <c r="M100" s="778"/>
      <c r="N100" s="976">
        <v>0</v>
      </c>
      <c r="O100" s="1020">
        <v>50</v>
      </c>
      <c r="P100" s="847" t="e">
        <f>VLOOKUP(N100,etat!$A$9:$N$1004,2,FALSE)</f>
        <v>#N/A</v>
      </c>
      <c r="Q100" s="797" t="e">
        <f>VLOOKUP(N100,etat!$A$9:$N$963,7,FALSE)</f>
        <v>#N/A</v>
      </c>
      <c r="R100" s="797" t="e">
        <f>VLOOKUP(N100,etat!$A$9:$N$1003,9,FALSE)</f>
        <v>#N/A</v>
      </c>
      <c r="S100" s="866" t="e">
        <f>VLOOKUP(N100,etat!$A$9:$P$905,16,FALSE)</f>
        <v>#N/A</v>
      </c>
      <c r="T100" s="755"/>
      <c r="U100" s="791"/>
      <c r="V100" s="784"/>
      <c r="W100" s="784"/>
      <c r="X100" s="784"/>
      <c r="Y100" s="975"/>
      <c r="Z100" s="975"/>
      <c r="AA100" s="967"/>
      <c r="AB100" s="25"/>
      <c r="AC100" s="25"/>
      <c r="AD100" s="25"/>
      <c r="AE100" s="25"/>
      <c r="AF100" s="25"/>
      <c r="AG100" s="25"/>
      <c r="AH100" s="910"/>
      <c r="AI100" s="862"/>
      <c r="AJ100" s="302"/>
      <c r="AK100" s="910"/>
      <c r="AL100" s="911"/>
      <c r="AM100" s="911"/>
      <c r="AN100" s="911"/>
      <c r="AO100" s="911"/>
      <c r="AP100" s="912"/>
      <c r="AQ100" s="911"/>
      <c r="AR100" s="911"/>
      <c r="AS100" s="911"/>
      <c r="AT100" s="26"/>
      <c r="AU100" s="26"/>
      <c r="AV100" s="26"/>
      <c r="AW100" s="25"/>
    </row>
    <row r="101" spans="1:49" s="13" customFormat="1" ht="17.45" customHeight="1">
      <c r="A101" s="25"/>
      <c r="B101" s="25"/>
      <c r="C101" s="25"/>
      <c r="D101" s="295"/>
      <c r="E101" s="295"/>
      <c r="F101" s="295"/>
      <c r="G101" s="295"/>
      <c r="H101" s="295"/>
      <c r="I101" s="25"/>
      <c r="J101" s="25"/>
      <c r="K101" s="25"/>
      <c r="L101" s="777">
        <v>5</v>
      </c>
      <c r="M101" s="778"/>
      <c r="N101" s="976">
        <v>0</v>
      </c>
      <c r="O101" s="1020">
        <v>51</v>
      </c>
      <c r="P101" s="847" t="e">
        <f>VLOOKUP(N101,etat!$A$9:$N$1004,2,FALSE)</f>
        <v>#N/A</v>
      </c>
      <c r="Q101" s="797" t="e">
        <f>VLOOKUP(N101,etat!$A$9:$N$963,7,FALSE)</f>
        <v>#N/A</v>
      </c>
      <c r="R101" s="797" t="e">
        <f>VLOOKUP(N101,etat!$A$9:$N$1003,9,FALSE)</f>
        <v>#N/A</v>
      </c>
      <c r="S101" s="866" t="e">
        <f>VLOOKUP(N101,etat!$A$9:$P$905,16,FALSE)</f>
        <v>#N/A</v>
      </c>
      <c r="T101" s="755"/>
      <c r="U101" s="791"/>
      <c r="V101" s="784"/>
      <c r="W101" s="784"/>
      <c r="X101" s="784"/>
      <c r="Y101" s="975"/>
      <c r="Z101" s="975"/>
      <c r="AA101" s="967"/>
      <c r="AB101" s="25"/>
      <c r="AC101" s="25"/>
      <c r="AD101" s="25"/>
      <c r="AE101" s="25"/>
      <c r="AF101" s="25"/>
      <c r="AG101" s="25"/>
      <c r="AH101" s="910"/>
      <c r="AI101" s="862"/>
      <c r="AJ101" s="302"/>
      <c r="AK101" s="910"/>
      <c r="AL101" s="911"/>
      <c r="AM101" s="911"/>
      <c r="AN101" s="911"/>
      <c r="AO101" s="911"/>
      <c r="AP101" s="912"/>
      <c r="AQ101" s="911"/>
      <c r="AR101" s="911"/>
      <c r="AS101" s="911"/>
      <c r="AT101" s="26"/>
      <c r="AU101" s="26"/>
      <c r="AV101" s="26"/>
      <c r="AW101" s="25"/>
    </row>
    <row r="102" spans="1:49" s="13" customFormat="1" ht="17.45" customHeight="1">
      <c r="A102" s="25"/>
      <c r="B102" s="25"/>
      <c r="C102" s="25"/>
      <c r="D102" s="295"/>
      <c r="E102" s="295"/>
      <c r="F102" s="295"/>
      <c r="G102" s="295"/>
      <c r="H102" s="295"/>
      <c r="I102" s="25"/>
      <c r="J102" s="25"/>
      <c r="K102" s="25"/>
      <c r="L102" s="777">
        <v>5</v>
      </c>
      <c r="M102" s="778"/>
      <c r="N102" s="976">
        <v>0</v>
      </c>
      <c r="O102" s="1020">
        <v>52</v>
      </c>
      <c r="P102" s="847" t="e">
        <f>VLOOKUP(N102,etat!$A$9:$N$1004,2,FALSE)</f>
        <v>#N/A</v>
      </c>
      <c r="Q102" s="797" t="e">
        <f>VLOOKUP(N102,etat!$A$9:$N$963,7,FALSE)</f>
        <v>#N/A</v>
      </c>
      <c r="R102" s="797" t="e">
        <f>VLOOKUP(N102,etat!$A$9:$N$1003,9,FALSE)</f>
        <v>#N/A</v>
      </c>
      <c r="S102" s="866" t="e">
        <f>VLOOKUP(N102,etat!$A$9:$P$905,16,FALSE)</f>
        <v>#N/A</v>
      </c>
      <c r="T102" s="755"/>
      <c r="U102" s="791"/>
      <c r="V102" s="784"/>
      <c r="W102" s="784"/>
      <c r="X102" s="784"/>
      <c r="Y102" s="975"/>
      <c r="Z102" s="975"/>
      <c r="AA102" s="967"/>
      <c r="AB102" s="25"/>
      <c r="AC102" s="25"/>
      <c r="AD102" s="25"/>
      <c r="AE102" s="25"/>
      <c r="AF102" s="25"/>
      <c r="AG102" s="25"/>
      <c r="AH102" s="910"/>
      <c r="AI102" s="862"/>
      <c r="AJ102" s="302"/>
      <c r="AK102" s="910"/>
      <c r="AL102" s="911"/>
      <c r="AM102" s="911"/>
      <c r="AN102" s="911"/>
      <c r="AO102" s="911"/>
      <c r="AP102" s="912"/>
      <c r="AQ102" s="911"/>
      <c r="AR102" s="911"/>
      <c r="AS102" s="911"/>
      <c r="AT102" s="26"/>
      <c r="AU102" s="26"/>
      <c r="AV102" s="26"/>
      <c r="AW102" s="25"/>
    </row>
    <row r="103" spans="1:49" s="13" customFormat="1" ht="17.45" customHeight="1">
      <c r="A103" s="25"/>
      <c r="B103" s="25"/>
      <c r="C103" s="25"/>
      <c r="D103" s="295"/>
      <c r="E103" s="295"/>
      <c r="F103" s="295"/>
      <c r="G103" s="295"/>
      <c r="H103" s="295"/>
      <c r="I103" s="25"/>
      <c r="J103" s="25"/>
      <c r="K103" s="25"/>
      <c r="L103" s="777">
        <v>5</v>
      </c>
      <c r="M103" s="778"/>
      <c r="N103" s="976">
        <v>0</v>
      </c>
      <c r="O103" s="1020">
        <v>53</v>
      </c>
      <c r="P103" s="847" t="e">
        <f>VLOOKUP(N103,etat!$A$9:$N$1004,2,FALSE)</f>
        <v>#N/A</v>
      </c>
      <c r="Q103" s="797" t="e">
        <f>VLOOKUP(N103,etat!$A$9:$N$963,7,FALSE)</f>
        <v>#N/A</v>
      </c>
      <c r="R103" s="797" t="e">
        <f>VLOOKUP(N103,etat!$A$9:$N$1003,9,FALSE)</f>
        <v>#N/A</v>
      </c>
      <c r="S103" s="866" t="e">
        <f>VLOOKUP(N103,etat!$A$9:$P$905,16,FALSE)</f>
        <v>#N/A</v>
      </c>
      <c r="T103" s="755"/>
      <c r="U103" s="791"/>
      <c r="V103" s="784"/>
      <c r="W103" s="784"/>
      <c r="X103" s="784"/>
      <c r="Y103" s="975"/>
      <c r="Z103" s="975"/>
      <c r="AA103" s="967"/>
      <c r="AB103" s="25"/>
      <c r="AC103" s="25"/>
      <c r="AD103" s="25"/>
      <c r="AE103" s="25"/>
      <c r="AF103" s="25"/>
      <c r="AG103" s="25"/>
      <c r="AH103" s="910"/>
      <c r="AI103" s="862"/>
      <c r="AJ103" s="302"/>
      <c r="AK103" s="910"/>
      <c r="AL103" s="911"/>
      <c r="AM103" s="911"/>
      <c r="AN103" s="911"/>
      <c r="AO103" s="911"/>
      <c r="AP103" s="912"/>
      <c r="AQ103" s="911"/>
      <c r="AR103" s="911"/>
      <c r="AS103" s="911"/>
      <c r="AT103" s="26"/>
      <c r="AU103" s="26"/>
      <c r="AV103" s="26"/>
      <c r="AW103" s="25"/>
    </row>
    <row r="104" spans="1:49" s="13" customFormat="1" ht="17.45" customHeight="1">
      <c r="A104" s="25"/>
      <c r="B104" s="25"/>
      <c r="C104" s="25"/>
      <c r="D104" s="295"/>
      <c r="E104" s="295"/>
      <c r="F104" s="295"/>
      <c r="G104" s="295"/>
      <c r="H104" s="295"/>
      <c r="I104" s="25"/>
      <c r="J104" s="25"/>
      <c r="K104" s="25"/>
      <c r="L104" s="777">
        <v>5</v>
      </c>
      <c r="M104" s="778"/>
      <c r="N104" s="976">
        <v>0</v>
      </c>
      <c r="O104" s="1020">
        <v>54</v>
      </c>
      <c r="P104" s="847" t="e">
        <f>VLOOKUP(N104,etat!$A$9:$N$1004,2,FALSE)</f>
        <v>#N/A</v>
      </c>
      <c r="Q104" s="797" t="e">
        <f>VLOOKUP(N104,etat!$A$9:$N$963,7,FALSE)</f>
        <v>#N/A</v>
      </c>
      <c r="R104" s="797" t="e">
        <f>VLOOKUP(N104,etat!$A$9:$N$1003,9,FALSE)</f>
        <v>#N/A</v>
      </c>
      <c r="S104" s="866" t="e">
        <f>VLOOKUP(N104,etat!$A$9:$P$905,16,FALSE)</f>
        <v>#N/A</v>
      </c>
      <c r="T104" s="755"/>
      <c r="U104" s="791"/>
      <c r="V104" s="784"/>
      <c r="W104" s="784"/>
      <c r="X104" s="784"/>
      <c r="Y104" s="975"/>
      <c r="Z104" s="975"/>
      <c r="AA104" s="967"/>
      <c r="AB104" s="25"/>
      <c r="AC104" s="25"/>
      <c r="AD104" s="25"/>
      <c r="AE104" s="25"/>
      <c r="AF104" s="25"/>
      <c r="AG104" s="25"/>
      <c r="AH104" s="910"/>
      <c r="AI104" s="862"/>
      <c r="AJ104" s="302"/>
      <c r="AK104" s="910"/>
      <c r="AL104" s="911"/>
      <c r="AM104" s="911"/>
      <c r="AN104" s="911"/>
      <c r="AO104" s="911"/>
      <c r="AP104" s="912"/>
      <c r="AQ104" s="911"/>
      <c r="AR104" s="911"/>
      <c r="AS104" s="911"/>
      <c r="AT104" s="26"/>
      <c r="AU104" s="26"/>
      <c r="AV104" s="26"/>
      <c r="AW104" s="25"/>
    </row>
    <row r="105" spans="1:49" s="13" customFormat="1" ht="17.45" customHeight="1">
      <c r="A105" s="25"/>
      <c r="B105" s="25"/>
      <c r="C105" s="25"/>
      <c r="D105" s="295"/>
      <c r="E105" s="295"/>
      <c r="F105" s="295"/>
      <c r="G105" s="295"/>
      <c r="H105" s="295"/>
      <c r="I105" s="25"/>
      <c r="J105" s="25"/>
      <c r="K105" s="25"/>
      <c r="L105" s="777">
        <v>5</v>
      </c>
      <c r="M105" s="778"/>
      <c r="N105" s="976">
        <v>0</v>
      </c>
      <c r="O105" s="1020">
        <v>55</v>
      </c>
      <c r="P105" s="847" t="e">
        <f>VLOOKUP(N105,etat!$A$9:$N$1004,2,FALSE)</f>
        <v>#N/A</v>
      </c>
      <c r="Q105" s="797" t="e">
        <f>VLOOKUP(N105,etat!$A$9:$N$963,7,FALSE)</f>
        <v>#N/A</v>
      </c>
      <c r="R105" s="797" t="e">
        <f>VLOOKUP(N105,etat!$A$9:$N$1003,9,FALSE)</f>
        <v>#N/A</v>
      </c>
      <c r="S105" s="866" t="e">
        <f>VLOOKUP(N105,etat!$A$9:$P$905,16,FALSE)</f>
        <v>#N/A</v>
      </c>
      <c r="T105" s="755"/>
      <c r="U105" s="791"/>
      <c r="V105" s="784"/>
      <c r="W105" s="784"/>
      <c r="X105" s="784"/>
      <c r="Y105" s="975"/>
      <c r="Z105" s="967"/>
      <c r="AA105" s="967"/>
      <c r="AB105" s="25"/>
      <c r="AC105" s="25"/>
      <c r="AD105" s="25"/>
      <c r="AE105" s="25"/>
      <c r="AF105" s="25"/>
      <c r="AG105" s="25"/>
      <c r="AH105" s="910"/>
      <c r="AI105" s="862"/>
      <c r="AJ105" s="302"/>
      <c r="AK105" s="910"/>
      <c r="AL105" s="911"/>
      <c r="AM105" s="911"/>
      <c r="AN105" s="911"/>
      <c r="AO105" s="911"/>
      <c r="AP105" s="912"/>
      <c r="AQ105" s="911"/>
      <c r="AR105" s="911"/>
      <c r="AS105" s="911"/>
      <c r="AT105" s="26"/>
      <c r="AU105" s="26"/>
      <c r="AV105" s="26"/>
      <c r="AW105" s="25"/>
    </row>
    <row r="106" spans="1:49" s="13" customFormat="1" ht="17.45" customHeight="1">
      <c r="A106" s="25"/>
      <c r="B106" s="25"/>
      <c r="C106" s="25"/>
      <c r="D106" s="295"/>
      <c r="E106" s="295"/>
      <c r="F106" s="295"/>
      <c r="G106" s="295"/>
      <c r="H106" s="295"/>
      <c r="I106" s="25"/>
      <c r="J106" s="25"/>
      <c r="K106" s="25"/>
      <c r="L106" s="777">
        <v>5</v>
      </c>
      <c r="M106" s="778"/>
      <c r="N106" s="976">
        <v>0</v>
      </c>
      <c r="O106" s="1020">
        <v>56</v>
      </c>
      <c r="P106" s="847" t="e">
        <f>VLOOKUP(N106,etat!$A$9:$N$1004,2,FALSE)</f>
        <v>#N/A</v>
      </c>
      <c r="Q106" s="797" t="e">
        <f>VLOOKUP(N106,etat!$A$9:$N$963,7,FALSE)</f>
        <v>#N/A</v>
      </c>
      <c r="R106" s="797" t="e">
        <f>VLOOKUP(N106,etat!$A$9:$N$1003,9,FALSE)</f>
        <v>#N/A</v>
      </c>
      <c r="S106" s="866" t="e">
        <f>VLOOKUP(N106,etat!$A$9:$P$905,16,FALSE)</f>
        <v>#N/A</v>
      </c>
      <c r="T106" s="755"/>
      <c r="U106" s="791"/>
      <c r="V106" s="784"/>
      <c r="W106" s="784"/>
      <c r="X106" s="784"/>
      <c r="Y106" s="975"/>
      <c r="Z106" s="975"/>
      <c r="AA106" s="967"/>
      <c r="AB106" s="25"/>
      <c r="AC106" s="25"/>
      <c r="AD106" s="25"/>
      <c r="AE106" s="25"/>
      <c r="AF106" s="25"/>
      <c r="AG106" s="25"/>
      <c r="AH106" s="910"/>
      <c r="AI106" s="862"/>
      <c r="AJ106" s="302"/>
      <c r="AK106" s="910"/>
      <c r="AL106" s="911"/>
      <c r="AM106" s="911"/>
      <c r="AN106" s="911"/>
      <c r="AO106" s="911"/>
      <c r="AP106" s="912"/>
      <c r="AQ106" s="911"/>
      <c r="AR106" s="911"/>
      <c r="AS106" s="911"/>
      <c r="AT106" s="26"/>
      <c r="AU106" s="26"/>
      <c r="AV106" s="26"/>
      <c r="AW106" s="25"/>
    </row>
    <row r="107" spans="1:49" s="13" customFormat="1" ht="17.45" customHeight="1">
      <c r="A107" s="25"/>
      <c r="B107" s="25"/>
      <c r="C107" s="25"/>
      <c r="D107" s="295"/>
      <c r="E107" s="295"/>
      <c r="F107" s="295"/>
      <c r="G107" s="295"/>
      <c r="H107" s="295"/>
      <c r="I107" s="25"/>
      <c r="J107" s="25"/>
      <c r="K107" s="25"/>
      <c r="L107" s="777">
        <v>5</v>
      </c>
      <c r="M107" s="778"/>
      <c r="N107" s="976">
        <v>0</v>
      </c>
      <c r="O107" s="1020">
        <v>57</v>
      </c>
      <c r="P107" s="847" t="e">
        <f>VLOOKUP(N107,etat!$A$9:$N$1004,2,FALSE)</f>
        <v>#N/A</v>
      </c>
      <c r="Q107" s="797" t="e">
        <f>VLOOKUP(N107,etat!$A$9:$N$963,7,FALSE)</f>
        <v>#N/A</v>
      </c>
      <c r="R107" s="797" t="e">
        <f>VLOOKUP(N107,etat!$A$9:$N$1003,9,FALSE)</f>
        <v>#N/A</v>
      </c>
      <c r="S107" s="866" t="e">
        <f>VLOOKUP(N107,etat!$A$9:$P$905,16,FALSE)</f>
        <v>#N/A</v>
      </c>
      <c r="T107" s="755"/>
      <c r="U107" s="791"/>
      <c r="V107" s="784"/>
      <c r="W107" s="784"/>
      <c r="X107" s="784"/>
      <c r="Y107" s="1116"/>
      <c r="Z107" s="975"/>
      <c r="AA107" s="967"/>
      <c r="AB107" s="25"/>
      <c r="AC107" s="25"/>
      <c r="AD107" s="25"/>
      <c r="AE107" s="25"/>
      <c r="AF107" s="25"/>
      <c r="AG107" s="25"/>
      <c r="AH107" s="910"/>
      <c r="AI107" s="862"/>
      <c r="AJ107" s="302"/>
      <c r="AK107" s="910"/>
      <c r="AL107" s="911"/>
      <c r="AM107" s="911"/>
      <c r="AN107" s="911"/>
      <c r="AO107" s="911"/>
      <c r="AP107" s="912"/>
      <c r="AQ107" s="911"/>
      <c r="AR107" s="911"/>
      <c r="AS107" s="911"/>
      <c r="AT107" s="26"/>
      <c r="AU107" s="26"/>
      <c r="AV107" s="26"/>
      <c r="AW107" s="25"/>
    </row>
    <row r="108" spans="1:49" s="13" customFormat="1" ht="17.45" customHeight="1">
      <c r="A108" s="25"/>
      <c r="B108" s="25"/>
      <c r="C108" s="25"/>
      <c r="D108" s="295"/>
      <c r="E108" s="295"/>
      <c r="F108" s="295"/>
      <c r="G108" s="295"/>
      <c r="H108" s="295"/>
      <c r="I108" s="25"/>
      <c r="J108" s="25"/>
      <c r="K108" s="25"/>
      <c r="L108" s="777">
        <v>5</v>
      </c>
      <c r="M108" s="778"/>
      <c r="N108" s="976">
        <v>0</v>
      </c>
      <c r="O108" s="1020">
        <v>58</v>
      </c>
      <c r="P108" s="847" t="e">
        <f>VLOOKUP(N108,etat!$A$9:$N$1004,2,FALSE)</f>
        <v>#N/A</v>
      </c>
      <c r="Q108" s="797" t="e">
        <f>VLOOKUP(N108,etat!$A$9:$N$963,7,FALSE)</f>
        <v>#N/A</v>
      </c>
      <c r="R108" s="797" t="e">
        <f>VLOOKUP(N108,etat!$A$9:$N$1003,9,FALSE)</f>
        <v>#N/A</v>
      </c>
      <c r="S108" s="866" t="e">
        <f>VLOOKUP(N108,etat!$A$9:$P$905,16,FALSE)</f>
        <v>#N/A</v>
      </c>
      <c r="T108" s="755"/>
      <c r="U108" s="1125"/>
      <c r="V108" s="784"/>
      <c r="W108" s="784"/>
      <c r="X108" s="784"/>
      <c r="Y108" s="975"/>
      <c r="Z108" s="975"/>
      <c r="AA108" s="967"/>
      <c r="AB108" s="25"/>
      <c r="AC108" s="25"/>
      <c r="AD108" s="25"/>
      <c r="AE108" s="25"/>
      <c r="AF108" s="25"/>
      <c r="AG108" s="25"/>
      <c r="AH108" s="910"/>
      <c r="AI108" s="862"/>
      <c r="AJ108" s="302"/>
      <c r="AK108" s="910"/>
      <c r="AL108" s="911"/>
      <c r="AM108" s="911"/>
      <c r="AN108" s="911"/>
      <c r="AO108" s="911"/>
      <c r="AP108" s="912"/>
      <c r="AQ108" s="911"/>
      <c r="AR108" s="911"/>
      <c r="AS108" s="911"/>
      <c r="AT108" s="26"/>
      <c r="AU108" s="26"/>
      <c r="AV108" s="26"/>
      <c r="AW108" s="25"/>
    </row>
    <row r="109" spans="1:49" s="13" customFormat="1" ht="17.45" customHeight="1">
      <c r="A109" s="25"/>
      <c r="B109" s="25"/>
      <c r="C109" s="25"/>
      <c r="D109" s="295"/>
      <c r="E109" s="295"/>
      <c r="F109" s="295"/>
      <c r="G109" s="295"/>
      <c r="H109" s="295"/>
      <c r="I109" s="25"/>
      <c r="J109" s="25"/>
      <c r="K109" s="25"/>
      <c r="L109" s="777">
        <v>5</v>
      </c>
      <c r="M109" s="778"/>
      <c r="N109" s="976">
        <v>0</v>
      </c>
      <c r="O109" s="1020">
        <v>59</v>
      </c>
      <c r="P109" s="847" t="e">
        <f>VLOOKUP(N109,etat!$A$9:$N$1004,2,FALSE)</f>
        <v>#N/A</v>
      </c>
      <c r="Q109" s="797" t="e">
        <f>VLOOKUP(N109,etat!$A$9:$N$963,7,FALSE)</f>
        <v>#N/A</v>
      </c>
      <c r="R109" s="797" t="e">
        <f>VLOOKUP(N109,etat!$A$9:$N$1003,9,FALSE)</f>
        <v>#N/A</v>
      </c>
      <c r="S109" s="866" t="e">
        <f>VLOOKUP(N109,etat!$A$9:$P$905,16,FALSE)</f>
        <v>#N/A</v>
      </c>
      <c r="T109" s="755"/>
      <c r="U109" s="1129"/>
      <c r="V109" s="784"/>
      <c r="W109" s="784"/>
      <c r="X109" s="784"/>
      <c r="Y109" s="975"/>
      <c r="Z109" s="975"/>
      <c r="AA109" s="967"/>
      <c r="AB109" s="25"/>
      <c r="AC109" s="25"/>
      <c r="AD109" s="25"/>
      <c r="AE109" s="25"/>
      <c r="AF109" s="25"/>
      <c r="AG109" s="25"/>
      <c r="AH109" s="910"/>
      <c r="AI109" s="862"/>
      <c r="AJ109" s="302"/>
      <c r="AK109" s="910"/>
      <c r="AL109" s="911"/>
      <c r="AM109" s="911"/>
      <c r="AN109" s="911"/>
      <c r="AO109" s="911"/>
      <c r="AP109" s="912"/>
      <c r="AQ109" s="911"/>
      <c r="AR109" s="911"/>
      <c r="AS109" s="911"/>
      <c r="AT109" s="26"/>
      <c r="AU109" s="26"/>
      <c r="AV109" s="26"/>
      <c r="AW109" s="25"/>
    </row>
    <row r="110" spans="1:49" s="13" customFormat="1" ht="17.45" customHeight="1">
      <c r="A110" s="25"/>
      <c r="B110" s="25"/>
      <c r="C110" s="25"/>
      <c r="D110" s="295"/>
      <c r="E110" s="295"/>
      <c r="F110" s="295"/>
      <c r="G110" s="295"/>
      <c r="H110" s="295"/>
      <c r="I110" s="25"/>
      <c r="J110" s="25"/>
      <c r="K110" s="25"/>
      <c r="L110" s="777">
        <v>5</v>
      </c>
      <c r="M110" s="778"/>
      <c r="N110" s="976">
        <v>0</v>
      </c>
      <c r="O110" s="1020">
        <v>60</v>
      </c>
      <c r="P110" s="847" t="e">
        <f>VLOOKUP(N110,etat!$A$9:$N$1004,2,FALSE)</f>
        <v>#N/A</v>
      </c>
      <c r="Q110" s="797" t="e">
        <f>VLOOKUP(N110,etat!$A$9:$N$963,7,FALSE)</f>
        <v>#N/A</v>
      </c>
      <c r="R110" s="797" t="e">
        <f>VLOOKUP(N110,etat!$A$9:$N$1003,9,FALSE)</f>
        <v>#N/A</v>
      </c>
      <c r="S110" s="866" t="e">
        <f>VLOOKUP(N110,etat!$A$9:$P$905,16,FALSE)</f>
        <v>#N/A</v>
      </c>
      <c r="T110" s="755"/>
      <c r="U110" s="791"/>
      <c r="V110" s="784"/>
      <c r="W110" s="784"/>
      <c r="X110" s="784"/>
      <c r="Y110" s="975"/>
      <c r="Z110" s="975"/>
      <c r="AA110" s="967"/>
      <c r="AB110" s="25"/>
      <c r="AC110" s="25"/>
      <c r="AD110" s="25"/>
      <c r="AE110" s="25"/>
      <c r="AF110" s="25"/>
      <c r="AG110" s="25"/>
      <c r="AH110" s="910"/>
      <c r="AI110" s="862"/>
      <c r="AJ110" s="302"/>
      <c r="AK110" s="910"/>
      <c r="AL110" s="911"/>
      <c r="AM110" s="911"/>
      <c r="AN110" s="911"/>
      <c r="AO110" s="911"/>
      <c r="AP110" s="912"/>
      <c r="AQ110" s="911"/>
      <c r="AR110" s="911"/>
      <c r="AS110" s="911"/>
      <c r="AT110" s="26"/>
      <c r="AU110" s="26"/>
      <c r="AV110" s="26"/>
      <c r="AW110" s="25"/>
    </row>
    <row r="111" spans="1:49" s="13" customFormat="1" ht="17.45" customHeight="1">
      <c r="A111" s="25"/>
      <c r="B111" s="25"/>
      <c r="C111" s="25"/>
      <c r="D111" s="295"/>
      <c r="E111" s="295"/>
      <c r="F111" s="295"/>
      <c r="G111" s="295"/>
      <c r="H111" s="295"/>
      <c r="I111" s="25"/>
      <c r="J111" s="25"/>
      <c r="K111" s="25"/>
      <c r="L111" s="777">
        <v>5</v>
      </c>
      <c r="M111" s="778"/>
      <c r="N111" s="976">
        <v>0</v>
      </c>
      <c r="O111" s="1020">
        <v>61</v>
      </c>
      <c r="P111" s="847" t="e">
        <f>VLOOKUP(N111,etat!$A$9:$N$1004,2,FALSE)</f>
        <v>#N/A</v>
      </c>
      <c r="Q111" s="797" t="e">
        <f>VLOOKUP(N111,etat!$A$9:$N$963,7,FALSE)</f>
        <v>#N/A</v>
      </c>
      <c r="R111" s="797" t="e">
        <f>VLOOKUP(N111,etat!$A$9:$N$1003,9,FALSE)</f>
        <v>#N/A</v>
      </c>
      <c r="S111" s="866" t="e">
        <f>VLOOKUP(N111,etat!$A$9:$P$905,16,FALSE)</f>
        <v>#N/A</v>
      </c>
      <c r="T111" s="755"/>
      <c r="U111" s="791"/>
      <c r="V111" s="784"/>
      <c r="W111" s="784"/>
      <c r="X111" s="784"/>
      <c r="Y111" s="1118"/>
      <c r="Z111" s="975"/>
      <c r="AA111" s="967"/>
      <c r="AB111" s="25"/>
      <c r="AC111" s="25"/>
      <c r="AD111" s="25"/>
      <c r="AE111" s="25"/>
      <c r="AF111" s="25"/>
      <c r="AG111" s="25"/>
      <c r="AH111" s="910"/>
      <c r="AI111" s="862"/>
      <c r="AJ111" s="302"/>
      <c r="AK111" s="910"/>
      <c r="AL111" s="911"/>
      <c r="AM111" s="911"/>
      <c r="AN111" s="911"/>
      <c r="AO111" s="911"/>
      <c r="AP111" s="912"/>
      <c r="AQ111" s="911"/>
      <c r="AR111" s="911"/>
      <c r="AS111" s="911"/>
      <c r="AT111" s="26"/>
      <c r="AU111" s="26"/>
      <c r="AV111" s="26"/>
      <c r="AW111" s="25"/>
    </row>
    <row r="112" spans="1:49" s="13" customFormat="1" ht="17.45" customHeight="1">
      <c r="A112" s="25"/>
      <c r="B112" s="25"/>
      <c r="C112" s="25"/>
      <c r="D112" s="295"/>
      <c r="E112" s="295"/>
      <c r="F112" s="295"/>
      <c r="G112" s="295"/>
      <c r="H112" s="295"/>
      <c r="I112" s="25"/>
      <c r="J112" s="25"/>
      <c r="K112" s="25"/>
      <c r="L112" s="777">
        <v>5</v>
      </c>
      <c r="M112" s="778"/>
      <c r="N112" s="976">
        <v>0</v>
      </c>
      <c r="O112" s="1020">
        <v>62</v>
      </c>
      <c r="P112" s="847" t="e">
        <f>VLOOKUP(N112,etat!$A$9:$N$1004,2,FALSE)</f>
        <v>#N/A</v>
      </c>
      <c r="Q112" s="797" t="e">
        <f>VLOOKUP(N112,etat!$A$9:$N$963,7,FALSE)</f>
        <v>#N/A</v>
      </c>
      <c r="R112" s="797" t="e">
        <f>VLOOKUP(N112,etat!$A$9:$N$1003,9,FALSE)</f>
        <v>#N/A</v>
      </c>
      <c r="S112" s="866" t="e">
        <f>VLOOKUP(N112,etat!$A$9:$P$905,16,FALSE)</f>
        <v>#N/A</v>
      </c>
      <c r="T112" s="755"/>
      <c r="U112" s="1125"/>
      <c r="V112" s="784"/>
      <c r="W112" s="784"/>
      <c r="X112" s="784"/>
      <c r="Y112" s="1118"/>
      <c r="Z112" s="975"/>
      <c r="AA112" s="967"/>
      <c r="AB112" s="25"/>
      <c r="AC112" s="25"/>
      <c r="AD112" s="25"/>
      <c r="AE112" s="25"/>
      <c r="AF112" s="25"/>
      <c r="AG112" s="25"/>
      <c r="AH112" s="910"/>
      <c r="AI112" s="862"/>
      <c r="AJ112" s="302"/>
      <c r="AK112" s="910"/>
      <c r="AL112" s="911"/>
      <c r="AM112" s="911"/>
      <c r="AN112" s="911"/>
      <c r="AO112" s="911"/>
      <c r="AP112" s="912"/>
      <c r="AQ112" s="911"/>
      <c r="AR112" s="911"/>
      <c r="AS112" s="911"/>
      <c r="AT112" s="26"/>
      <c r="AU112" s="26"/>
      <c r="AV112" s="26"/>
      <c r="AW112" s="25"/>
    </row>
    <row r="113" spans="1:49" s="13" customFormat="1" ht="17.45" customHeight="1">
      <c r="A113" s="25"/>
      <c r="B113" s="25"/>
      <c r="C113" s="25"/>
      <c r="D113" s="295"/>
      <c r="E113" s="295"/>
      <c r="F113" s="295"/>
      <c r="G113" s="295"/>
      <c r="H113" s="295"/>
      <c r="I113" s="25"/>
      <c r="J113" s="25"/>
      <c r="K113" s="25"/>
      <c r="L113" s="777">
        <v>5</v>
      </c>
      <c r="M113" s="778"/>
      <c r="N113" s="976">
        <v>0</v>
      </c>
      <c r="O113" s="1020">
        <v>63</v>
      </c>
      <c r="P113" s="847" t="e">
        <f>VLOOKUP(N113,etat!$A$9:$N$1004,2,FALSE)</f>
        <v>#N/A</v>
      </c>
      <c r="Q113" s="797" t="e">
        <f>VLOOKUP(N113,etat!$A$9:$N$963,7,FALSE)</f>
        <v>#N/A</v>
      </c>
      <c r="R113" s="797" t="e">
        <f>VLOOKUP(N113,etat!$A$9:$N$1003,9,FALSE)</f>
        <v>#N/A</v>
      </c>
      <c r="S113" s="866" t="e">
        <f>VLOOKUP(N113,etat!$A$9:$P$905,16,FALSE)</f>
        <v>#N/A</v>
      </c>
      <c r="T113" s="755"/>
      <c r="U113" s="791"/>
      <c r="V113" s="784"/>
      <c r="W113" s="784"/>
      <c r="X113" s="869"/>
      <c r="Y113" s="975"/>
      <c r="Z113" s="967"/>
      <c r="AA113" s="967"/>
      <c r="AB113" s="25"/>
      <c r="AC113" s="25"/>
      <c r="AD113" s="25"/>
      <c r="AE113" s="25"/>
      <c r="AF113" s="25"/>
      <c r="AG113" s="25"/>
      <c r="AH113" s="910"/>
      <c r="AI113" s="862"/>
      <c r="AJ113" s="302"/>
      <c r="AK113" s="910"/>
      <c r="AL113" s="911"/>
      <c r="AM113" s="911"/>
      <c r="AN113" s="911"/>
      <c r="AO113" s="911"/>
      <c r="AP113" s="912"/>
      <c r="AQ113" s="911"/>
      <c r="AR113" s="911"/>
      <c r="AS113" s="911"/>
      <c r="AT113" s="26"/>
      <c r="AU113" s="26"/>
      <c r="AV113" s="26"/>
      <c r="AW113" s="25"/>
    </row>
    <row r="114" spans="1:49" s="13" customFormat="1" ht="17.45" customHeight="1">
      <c r="A114" s="25"/>
      <c r="B114" s="25"/>
      <c r="C114" s="25"/>
      <c r="D114" s="295"/>
      <c r="E114" s="295"/>
      <c r="F114" s="295"/>
      <c r="G114" s="295"/>
      <c r="H114" s="295"/>
      <c r="I114" s="25"/>
      <c r="J114" s="25"/>
      <c r="K114" s="25"/>
      <c r="L114" s="777">
        <v>5</v>
      </c>
      <c r="M114" s="778"/>
      <c r="N114" s="976">
        <v>0</v>
      </c>
      <c r="O114" s="1020">
        <v>64</v>
      </c>
      <c r="P114" s="847" t="e">
        <f>VLOOKUP(N114,etat!$A$9:$N$1004,2,FALSE)</f>
        <v>#N/A</v>
      </c>
      <c r="Q114" s="797" t="e">
        <f>VLOOKUP(N114,etat!$A$9:$N$963,7,FALSE)</f>
        <v>#N/A</v>
      </c>
      <c r="R114" s="797" t="e">
        <f>VLOOKUP(N114,etat!$A$9:$N$1003,9,FALSE)</f>
        <v>#N/A</v>
      </c>
      <c r="S114" s="866" t="e">
        <f>VLOOKUP(N114,etat!$A$9:$P$905,16,FALSE)</f>
        <v>#N/A</v>
      </c>
      <c r="T114" s="755"/>
      <c r="U114" s="791"/>
      <c r="V114" s="784"/>
      <c r="W114" s="784"/>
      <c r="X114" s="784"/>
      <c r="Y114" s="975"/>
      <c r="Z114" s="975"/>
      <c r="AA114" s="967"/>
      <c r="AB114" s="25"/>
      <c r="AC114" s="25"/>
      <c r="AD114" s="25"/>
      <c r="AE114" s="25"/>
      <c r="AF114" s="25"/>
      <c r="AG114" s="25"/>
      <c r="AH114" s="910"/>
      <c r="AI114" s="862"/>
      <c r="AJ114" s="302"/>
      <c r="AK114" s="910"/>
      <c r="AL114" s="911"/>
      <c r="AM114" s="911"/>
      <c r="AN114" s="911"/>
      <c r="AO114" s="911"/>
      <c r="AP114" s="912"/>
      <c r="AQ114" s="911"/>
      <c r="AR114" s="911"/>
      <c r="AS114" s="911"/>
      <c r="AT114" s="26"/>
      <c r="AU114" s="26"/>
      <c r="AV114" s="26"/>
      <c r="AW114" s="25"/>
    </row>
    <row r="115" spans="1:49" s="13" customFormat="1" ht="17.45" customHeight="1">
      <c r="A115" s="25"/>
      <c r="B115" s="25"/>
      <c r="C115" s="25"/>
      <c r="D115" s="295"/>
      <c r="E115" s="295"/>
      <c r="F115" s="295"/>
      <c r="G115" s="295"/>
      <c r="H115" s="295"/>
      <c r="I115" s="25"/>
      <c r="J115" s="25"/>
      <c r="K115" s="25"/>
      <c r="L115" s="777">
        <v>5</v>
      </c>
      <c r="M115" s="778"/>
      <c r="N115" s="976">
        <v>0</v>
      </c>
      <c r="O115" s="1020">
        <v>65</v>
      </c>
      <c r="P115" s="847" t="e">
        <f>VLOOKUP(N115,etat!$A$9:$N$1004,2,FALSE)</f>
        <v>#N/A</v>
      </c>
      <c r="Q115" s="797" t="e">
        <f>VLOOKUP(N115,etat!$A$9:$N$963,7,FALSE)</f>
        <v>#N/A</v>
      </c>
      <c r="R115" s="797" t="e">
        <f>VLOOKUP(N115,etat!$A$9:$N$1003,9,FALSE)</f>
        <v>#N/A</v>
      </c>
      <c r="S115" s="866" t="e">
        <f>VLOOKUP(N115,etat!$A$9:$P$905,16,FALSE)</f>
        <v>#N/A</v>
      </c>
      <c r="T115" s="755"/>
      <c r="U115" s="791"/>
      <c r="V115" s="784"/>
      <c r="W115" s="784"/>
      <c r="X115" s="784"/>
      <c r="Y115" s="975"/>
      <c r="Z115" s="975"/>
      <c r="AA115" s="967"/>
      <c r="AB115" s="25"/>
      <c r="AC115" s="25"/>
      <c r="AD115" s="25"/>
      <c r="AE115" s="25"/>
      <c r="AF115" s="25"/>
      <c r="AG115" s="25"/>
      <c r="AH115" s="910"/>
      <c r="AI115" s="862"/>
      <c r="AJ115" s="302"/>
      <c r="AK115" s="910"/>
      <c r="AL115" s="911"/>
      <c r="AM115" s="911"/>
      <c r="AN115" s="911"/>
      <c r="AO115" s="911"/>
      <c r="AP115" s="912"/>
      <c r="AQ115" s="911"/>
      <c r="AR115" s="911"/>
      <c r="AS115" s="911"/>
      <c r="AT115" s="26"/>
      <c r="AU115" s="26"/>
      <c r="AV115" s="26"/>
      <c r="AW115" s="25"/>
    </row>
    <row r="116" spans="1:49" s="13" customFormat="1" ht="17.45" customHeight="1">
      <c r="A116" s="25"/>
      <c r="B116" s="25"/>
      <c r="C116" s="25"/>
      <c r="D116" s="295"/>
      <c r="E116" s="295"/>
      <c r="F116" s="295"/>
      <c r="G116" s="295"/>
      <c r="H116" s="295"/>
      <c r="I116" s="25"/>
      <c r="J116" s="25"/>
      <c r="K116" s="25"/>
      <c r="L116" s="777">
        <v>5</v>
      </c>
      <c r="M116" s="778"/>
      <c r="N116" s="976">
        <v>0</v>
      </c>
      <c r="O116" s="1020">
        <v>66</v>
      </c>
      <c r="P116" s="847" t="e">
        <f>VLOOKUP(N116,etat!$A$9:$N$1004,2,FALSE)</f>
        <v>#N/A</v>
      </c>
      <c r="Q116" s="797" t="e">
        <f>VLOOKUP(N116,etat!$A$9:$N$963,7,FALSE)</f>
        <v>#N/A</v>
      </c>
      <c r="R116" s="797" t="e">
        <f>VLOOKUP(N116,etat!$A$9:$N$1003,9,FALSE)</f>
        <v>#N/A</v>
      </c>
      <c r="S116" s="866" t="e">
        <f>VLOOKUP(N116,etat!$A$9:$P$905,16,FALSE)</f>
        <v>#N/A</v>
      </c>
      <c r="T116" s="755"/>
      <c r="U116" s="791"/>
      <c r="V116" s="784"/>
      <c r="W116" s="784"/>
      <c r="X116" s="784"/>
      <c r="Y116" s="1117"/>
      <c r="Z116" s="975"/>
      <c r="AA116" s="967"/>
      <c r="AB116" s="25"/>
      <c r="AC116" s="25"/>
      <c r="AD116" s="25"/>
      <c r="AE116" s="25"/>
      <c r="AF116" s="25"/>
      <c r="AG116" s="25"/>
      <c r="AH116" s="910"/>
      <c r="AI116" s="862"/>
      <c r="AJ116" s="302"/>
      <c r="AK116" s="910"/>
      <c r="AL116" s="911"/>
      <c r="AM116" s="911"/>
      <c r="AN116" s="911"/>
      <c r="AO116" s="911"/>
      <c r="AP116" s="912"/>
      <c r="AQ116" s="911"/>
      <c r="AR116" s="911"/>
      <c r="AS116" s="911"/>
      <c r="AT116" s="26"/>
      <c r="AU116" s="26"/>
      <c r="AV116" s="26"/>
      <c r="AW116" s="25"/>
    </row>
    <row r="117" spans="1:49" s="13" customFormat="1" ht="17.45" customHeight="1">
      <c r="A117" s="25"/>
      <c r="B117" s="25"/>
      <c r="C117" s="25"/>
      <c r="D117" s="295"/>
      <c r="E117" s="295"/>
      <c r="F117" s="295"/>
      <c r="G117" s="295"/>
      <c r="H117" s="295"/>
      <c r="I117" s="25"/>
      <c r="J117" s="25"/>
      <c r="K117" s="25"/>
      <c r="L117" s="777">
        <v>5</v>
      </c>
      <c r="M117" s="778"/>
      <c r="N117" s="976">
        <v>0</v>
      </c>
      <c r="O117" s="1020">
        <v>67</v>
      </c>
      <c r="P117" s="847" t="e">
        <f>VLOOKUP(N117,etat!$A$9:$N$1004,2,FALSE)</f>
        <v>#N/A</v>
      </c>
      <c r="Q117" s="797" t="e">
        <f>VLOOKUP(N117,etat!$A$9:$N$963,7,FALSE)</f>
        <v>#N/A</v>
      </c>
      <c r="R117" s="797" t="e">
        <f>VLOOKUP(N117,etat!$A$9:$N$1003,9,FALSE)</f>
        <v>#N/A</v>
      </c>
      <c r="S117" s="866" t="e">
        <f>VLOOKUP(N117,etat!$A$9:$P$905,16,FALSE)</f>
        <v>#N/A</v>
      </c>
      <c r="T117" s="755"/>
      <c r="U117" s="791"/>
      <c r="V117" s="784"/>
      <c r="W117" s="784"/>
      <c r="X117" s="784"/>
      <c r="Y117" s="975"/>
      <c r="Z117" s="975"/>
      <c r="AA117" s="967"/>
      <c r="AB117" s="25"/>
      <c r="AC117" s="25"/>
      <c r="AD117" s="25"/>
      <c r="AE117" s="25"/>
      <c r="AF117" s="25"/>
      <c r="AG117" s="25"/>
      <c r="AH117" s="910"/>
      <c r="AI117" s="862"/>
      <c r="AJ117" s="302"/>
      <c r="AK117" s="910"/>
      <c r="AL117" s="911"/>
      <c r="AM117" s="911"/>
      <c r="AN117" s="911"/>
      <c r="AO117" s="911"/>
      <c r="AP117" s="912"/>
      <c r="AQ117" s="911"/>
      <c r="AR117" s="911"/>
      <c r="AS117" s="911"/>
      <c r="AT117" s="26"/>
      <c r="AU117" s="26"/>
      <c r="AV117" s="26"/>
      <c r="AW117" s="25"/>
    </row>
    <row r="118" spans="1:49" s="13" customFormat="1" ht="17.45" customHeight="1">
      <c r="A118" s="25"/>
      <c r="B118" s="25"/>
      <c r="C118" s="25"/>
      <c r="D118" s="295"/>
      <c r="E118" s="295"/>
      <c r="F118" s="295"/>
      <c r="G118" s="295"/>
      <c r="H118" s="295"/>
      <c r="I118" s="25"/>
      <c r="J118" s="25"/>
      <c r="K118" s="25"/>
      <c r="L118" s="777">
        <v>5</v>
      </c>
      <c r="M118" s="778"/>
      <c r="N118" s="976">
        <v>0</v>
      </c>
      <c r="O118" s="1020">
        <v>68</v>
      </c>
      <c r="P118" s="847" t="e">
        <f>VLOOKUP(N118,etat!$A$9:$N$1004,2,FALSE)</f>
        <v>#N/A</v>
      </c>
      <c r="Q118" s="797" t="e">
        <f>VLOOKUP(N118,etat!$A$9:$N$963,7,FALSE)</f>
        <v>#N/A</v>
      </c>
      <c r="R118" s="797" t="e">
        <f>VLOOKUP(N118,etat!$A$9:$N$1003,9,FALSE)</f>
        <v>#N/A</v>
      </c>
      <c r="S118" s="866" t="e">
        <f>VLOOKUP(N118,etat!$A$9:$P$905,16,FALSE)</f>
        <v>#N/A</v>
      </c>
      <c r="T118" s="755"/>
      <c r="U118" s="791"/>
      <c r="V118" s="784"/>
      <c r="W118" s="784"/>
      <c r="X118" s="784"/>
      <c r="Y118" s="975"/>
      <c r="Z118" s="975"/>
      <c r="AA118" s="967"/>
      <c r="AB118" s="25"/>
      <c r="AC118" s="25"/>
      <c r="AD118" s="25"/>
      <c r="AE118" s="25"/>
      <c r="AF118" s="25"/>
      <c r="AG118" s="25"/>
      <c r="AH118" s="910"/>
      <c r="AI118" s="862"/>
      <c r="AJ118" s="302"/>
      <c r="AK118" s="910"/>
      <c r="AL118" s="911"/>
      <c r="AM118" s="911"/>
      <c r="AN118" s="911"/>
      <c r="AO118" s="911"/>
      <c r="AP118" s="912"/>
      <c r="AQ118" s="911"/>
      <c r="AR118" s="911"/>
      <c r="AS118" s="911"/>
      <c r="AT118" s="26"/>
      <c r="AU118" s="26"/>
      <c r="AV118" s="26"/>
      <c r="AW118" s="25"/>
    </row>
    <row r="119" spans="1:49" s="13" customFormat="1" ht="17.45" customHeight="1">
      <c r="A119" s="25"/>
      <c r="B119" s="25"/>
      <c r="C119" s="25"/>
      <c r="D119" s="295"/>
      <c r="E119" s="295"/>
      <c r="F119" s="295"/>
      <c r="G119" s="295"/>
      <c r="H119" s="295"/>
      <c r="I119" s="25"/>
      <c r="J119" s="25"/>
      <c r="K119" s="25"/>
      <c r="L119" s="777">
        <v>5</v>
      </c>
      <c r="M119" s="778"/>
      <c r="N119" s="976">
        <v>0</v>
      </c>
      <c r="O119" s="1020">
        <v>69</v>
      </c>
      <c r="P119" s="847" t="e">
        <f>VLOOKUP(N119,etat!$A$9:$N$1004,2,FALSE)</f>
        <v>#N/A</v>
      </c>
      <c r="Q119" s="797" t="e">
        <f>VLOOKUP(N119,etat!$A$9:$N$963,7,FALSE)</f>
        <v>#N/A</v>
      </c>
      <c r="R119" s="797" t="e">
        <f>VLOOKUP(N119,etat!$A$9:$N$1003,9,FALSE)</f>
        <v>#N/A</v>
      </c>
      <c r="S119" s="866" t="e">
        <f>VLOOKUP(N119,etat!$A$9:$P$905,16,FALSE)</f>
        <v>#N/A</v>
      </c>
      <c r="T119" s="755"/>
      <c r="U119" s="791"/>
      <c r="V119" s="784"/>
      <c r="W119" s="784"/>
      <c r="X119" s="784"/>
      <c r="Y119" s="975"/>
      <c r="Z119" s="975"/>
      <c r="AA119" s="967"/>
      <c r="AB119" s="25"/>
      <c r="AC119" s="25"/>
      <c r="AD119" s="25"/>
      <c r="AE119" s="25"/>
      <c r="AF119" s="25"/>
      <c r="AG119" s="25"/>
      <c r="AH119" s="910"/>
      <c r="AI119" s="862"/>
      <c r="AJ119" s="302"/>
      <c r="AK119" s="910"/>
      <c r="AL119" s="911"/>
      <c r="AM119" s="911"/>
      <c r="AN119" s="911"/>
      <c r="AO119" s="911"/>
      <c r="AP119" s="912"/>
      <c r="AQ119" s="911"/>
      <c r="AR119" s="911"/>
      <c r="AS119" s="911"/>
      <c r="AT119" s="26"/>
      <c r="AU119" s="26"/>
      <c r="AV119" s="26"/>
      <c r="AW119" s="25"/>
    </row>
    <row r="120" spans="1:49" s="13" customFormat="1" ht="17.45" customHeight="1">
      <c r="A120" s="25"/>
      <c r="B120" s="25"/>
      <c r="C120" s="25"/>
      <c r="D120" s="295"/>
      <c r="E120" s="295"/>
      <c r="F120" s="295"/>
      <c r="G120" s="295"/>
      <c r="H120" s="295"/>
      <c r="I120" s="25"/>
      <c r="J120" s="25"/>
      <c r="K120" s="25"/>
      <c r="L120" s="777">
        <v>5</v>
      </c>
      <c r="M120" s="778"/>
      <c r="N120" s="976">
        <v>0</v>
      </c>
      <c r="O120" s="1020">
        <v>70</v>
      </c>
      <c r="P120" s="847" t="e">
        <f>VLOOKUP(N120,etat!$A$9:$N$1004,2,FALSE)</f>
        <v>#N/A</v>
      </c>
      <c r="Q120" s="797" t="e">
        <f>VLOOKUP(N120,etat!$A$9:$N$963,7,FALSE)</f>
        <v>#N/A</v>
      </c>
      <c r="R120" s="797" t="e">
        <f>VLOOKUP(N120,etat!$A$9:$N$1003,9,FALSE)</f>
        <v>#N/A</v>
      </c>
      <c r="S120" s="866" t="e">
        <f>VLOOKUP(N120,etat!$A$9:$P$905,16,FALSE)</f>
        <v>#N/A</v>
      </c>
      <c r="T120" s="755"/>
      <c r="U120" s="1129"/>
      <c r="V120" s="784"/>
      <c r="W120" s="784"/>
      <c r="X120" s="784"/>
      <c r="Y120" s="975"/>
      <c r="Z120" s="975"/>
      <c r="AA120" s="967"/>
      <c r="AB120" s="25"/>
      <c r="AC120" s="25"/>
      <c r="AD120" s="25"/>
      <c r="AE120" s="25"/>
      <c r="AF120" s="25"/>
      <c r="AG120" s="25"/>
      <c r="AH120" s="910"/>
      <c r="AI120" s="862"/>
      <c r="AJ120" s="302"/>
      <c r="AK120" s="910"/>
      <c r="AL120" s="911"/>
      <c r="AM120" s="911"/>
      <c r="AN120" s="911"/>
      <c r="AO120" s="911"/>
      <c r="AP120" s="912"/>
      <c r="AQ120" s="911"/>
      <c r="AR120" s="911"/>
      <c r="AS120" s="911"/>
      <c r="AT120" s="26"/>
      <c r="AU120" s="26"/>
      <c r="AV120" s="26"/>
      <c r="AW120" s="25"/>
    </row>
    <row r="121" spans="1:49" s="13" customFormat="1" ht="17.45" customHeight="1">
      <c r="A121" s="25"/>
      <c r="B121" s="25"/>
      <c r="C121" s="25"/>
      <c r="D121" s="295"/>
      <c r="E121" s="295"/>
      <c r="F121" s="295"/>
      <c r="G121" s="295"/>
      <c r="H121" s="295"/>
      <c r="I121" s="25"/>
      <c r="J121" s="25"/>
      <c r="K121" s="25"/>
      <c r="L121" s="777">
        <v>5</v>
      </c>
      <c r="M121" s="778"/>
      <c r="N121" s="976">
        <v>0</v>
      </c>
      <c r="O121" s="1020">
        <v>1</v>
      </c>
      <c r="P121" s="847" t="e">
        <f>VLOOKUP(N121,etat!$A$9:$N$1004,2,FALSE)</f>
        <v>#N/A</v>
      </c>
      <c r="Q121" s="797" t="e">
        <f>VLOOKUP(N121,etat!$A$9:$N$963,7,FALSE)</f>
        <v>#N/A</v>
      </c>
      <c r="R121" s="797" t="e">
        <f>VLOOKUP(N121,etat!$A$9:$N$1003,9,FALSE)</f>
        <v>#N/A</v>
      </c>
      <c r="S121" s="866" t="e">
        <f>VLOOKUP(N121,etat!$A$9:$P$905,16,FALSE)</f>
        <v>#N/A</v>
      </c>
      <c r="T121" s="755"/>
      <c r="U121" s="791"/>
      <c r="V121" s="784"/>
      <c r="W121" s="784"/>
      <c r="X121" s="784"/>
      <c r="Y121" s="975"/>
      <c r="Z121" s="975"/>
      <c r="AA121" s="967"/>
      <c r="AB121" s="25"/>
      <c r="AC121" s="25"/>
      <c r="AD121" s="25"/>
      <c r="AE121" s="25"/>
      <c r="AF121" s="25"/>
      <c r="AG121" s="25"/>
      <c r="AH121" s="910"/>
      <c r="AI121" s="862"/>
      <c r="AJ121" s="302"/>
      <c r="AK121" s="910"/>
      <c r="AL121" s="911"/>
      <c r="AM121" s="911"/>
      <c r="AN121" s="911"/>
      <c r="AO121" s="911"/>
      <c r="AP121" s="912"/>
      <c r="AQ121" s="911"/>
      <c r="AR121" s="911"/>
      <c r="AS121" s="911"/>
      <c r="AT121" s="26"/>
      <c r="AU121" s="26"/>
      <c r="AV121" s="26"/>
      <c r="AW121" s="25"/>
    </row>
    <row r="122" spans="1:49" s="13" customFormat="1" ht="17.45" customHeight="1">
      <c r="A122" s="25"/>
      <c r="B122" s="25"/>
      <c r="C122" s="25"/>
      <c r="D122" s="295"/>
      <c r="E122" s="295"/>
      <c r="F122" s="295"/>
      <c r="G122" s="295"/>
      <c r="H122" s="295"/>
      <c r="I122" s="25"/>
      <c r="J122" s="25"/>
      <c r="K122" s="25"/>
      <c r="L122" s="777">
        <v>5</v>
      </c>
      <c r="M122" s="778"/>
      <c r="N122" s="976">
        <v>0</v>
      </c>
      <c r="O122" s="1020">
        <v>2</v>
      </c>
      <c r="P122" s="847" t="e">
        <f>VLOOKUP(N122,etat!$A$9:$N$1004,2,FALSE)</f>
        <v>#N/A</v>
      </c>
      <c r="Q122" s="797" t="e">
        <f>VLOOKUP(N122,etat!$A$9:$N$963,7,FALSE)</f>
        <v>#N/A</v>
      </c>
      <c r="R122" s="797" t="e">
        <f>VLOOKUP(N122,etat!$A$9:$N$1003,9,FALSE)</f>
        <v>#N/A</v>
      </c>
      <c r="S122" s="866" t="e">
        <f>VLOOKUP(N122,etat!$A$9:$P$905,16,FALSE)</f>
        <v>#N/A</v>
      </c>
      <c r="T122" s="755"/>
      <c r="U122" s="791"/>
      <c r="V122" s="784"/>
      <c r="W122" s="784"/>
      <c r="X122" s="784"/>
      <c r="Y122" s="975"/>
      <c r="Z122" s="975"/>
      <c r="AA122" s="967"/>
      <c r="AB122" s="25"/>
      <c r="AC122" s="25"/>
      <c r="AD122" s="25"/>
      <c r="AE122" s="25"/>
      <c r="AF122" s="25"/>
      <c r="AG122" s="25"/>
      <c r="AH122" s="910"/>
      <c r="AI122" s="862"/>
      <c r="AJ122" s="302"/>
      <c r="AK122" s="910"/>
      <c r="AL122" s="911"/>
      <c r="AM122" s="911"/>
      <c r="AN122" s="911"/>
      <c r="AO122" s="911"/>
      <c r="AP122" s="912"/>
      <c r="AQ122" s="911"/>
      <c r="AR122" s="911"/>
      <c r="AS122" s="911"/>
      <c r="AT122" s="26"/>
      <c r="AU122" s="26"/>
      <c r="AV122" s="26"/>
      <c r="AW122" s="25"/>
    </row>
    <row r="123" spans="1:49" s="13" customFormat="1" ht="17.45" customHeight="1">
      <c r="A123" s="25"/>
      <c r="B123" s="25"/>
      <c r="C123" s="25"/>
      <c r="D123" s="295"/>
      <c r="E123" s="295"/>
      <c r="F123" s="295"/>
      <c r="G123" s="295"/>
      <c r="H123" s="295"/>
      <c r="I123" s="25"/>
      <c r="J123" s="25"/>
      <c r="K123" s="25"/>
      <c r="L123" s="777">
        <v>5</v>
      </c>
      <c r="M123" s="778"/>
      <c r="N123" s="976">
        <v>0</v>
      </c>
      <c r="O123" s="1020">
        <v>3</v>
      </c>
      <c r="P123" s="847" t="e">
        <f>VLOOKUP(N123,etat!$A$9:$N$1004,2,FALSE)</f>
        <v>#N/A</v>
      </c>
      <c r="Q123" s="797" t="e">
        <f>VLOOKUP(N123,etat!$A$9:$N$963,7,FALSE)</f>
        <v>#N/A</v>
      </c>
      <c r="R123" s="797" t="e">
        <f>VLOOKUP(N123,etat!$A$9:$N$1003,9,FALSE)</f>
        <v>#N/A</v>
      </c>
      <c r="S123" s="866" t="e">
        <f>VLOOKUP(N123,etat!$A$9:$P$905,16,FALSE)</f>
        <v>#N/A</v>
      </c>
      <c r="T123" s="755"/>
      <c r="U123" s="791"/>
      <c r="V123" s="784"/>
      <c r="W123" s="784"/>
      <c r="X123" s="784"/>
      <c r="Y123" s="975"/>
      <c r="Z123" s="967"/>
      <c r="AA123" s="967"/>
      <c r="AB123" s="25"/>
      <c r="AC123" s="25"/>
      <c r="AD123" s="25"/>
      <c r="AE123" s="25"/>
      <c r="AF123" s="25"/>
      <c r="AG123" s="25"/>
      <c r="AH123" s="910"/>
      <c r="AI123" s="862"/>
      <c r="AJ123" s="302"/>
      <c r="AK123" s="910"/>
      <c r="AL123" s="911"/>
      <c r="AM123" s="911"/>
      <c r="AN123" s="911"/>
      <c r="AO123" s="911"/>
      <c r="AP123" s="912"/>
      <c r="AQ123" s="911"/>
      <c r="AR123" s="911"/>
      <c r="AS123" s="911"/>
      <c r="AT123" s="26"/>
      <c r="AU123" s="26"/>
      <c r="AV123" s="26"/>
      <c r="AW123" s="25"/>
    </row>
    <row r="124" spans="1:49" s="13" customFormat="1" ht="17.45" customHeight="1">
      <c r="A124" s="25"/>
      <c r="B124" s="25"/>
      <c r="C124" s="25"/>
      <c r="D124" s="295"/>
      <c r="E124" s="295"/>
      <c r="F124" s="295"/>
      <c r="G124" s="295"/>
      <c r="H124" s="295"/>
      <c r="I124" s="25"/>
      <c r="J124" s="25"/>
      <c r="K124" s="25"/>
      <c r="L124" s="777">
        <v>5</v>
      </c>
      <c r="M124" s="778"/>
      <c r="N124" s="976">
        <v>0</v>
      </c>
      <c r="O124" s="1020">
        <v>4</v>
      </c>
      <c r="P124" s="847" t="e">
        <f>VLOOKUP(N124,etat!$A$9:$N$1004,2,FALSE)</f>
        <v>#N/A</v>
      </c>
      <c r="Q124" s="797" t="e">
        <f>VLOOKUP(N124,etat!$A$9:$N$963,7,FALSE)</f>
        <v>#N/A</v>
      </c>
      <c r="R124" s="797" t="e">
        <f>VLOOKUP(N124,etat!$A$9:$N$1003,9,FALSE)</f>
        <v>#N/A</v>
      </c>
      <c r="S124" s="866" t="e">
        <f>VLOOKUP(N124,etat!$A$9:$P$905,16,FALSE)</f>
        <v>#N/A</v>
      </c>
      <c r="T124" s="755"/>
      <c r="U124" s="791"/>
      <c r="V124" s="784"/>
      <c r="W124" s="784"/>
      <c r="X124" s="784"/>
      <c r="Y124" s="975"/>
      <c r="Z124" s="975"/>
      <c r="AA124" s="967"/>
      <c r="AB124" s="25"/>
      <c r="AC124" s="25"/>
      <c r="AD124" s="25"/>
      <c r="AE124" s="25"/>
      <c r="AF124" s="25"/>
      <c r="AG124" s="25"/>
      <c r="AH124" s="910"/>
      <c r="AI124" s="862"/>
      <c r="AJ124" s="302"/>
      <c r="AK124" s="910"/>
      <c r="AL124" s="911"/>
      <c r="AM124" s="911"/>
      <c r="AN124" s="911"/>
      <c r="AO124" s="911"/>
      <c r="AP124" s="912"/>
      <c r="AQ124" s="911"/>
      <c r="AR124" s="911"/>
      <c r="AS124" s="911"/>
      <c r="AT124" s="26"/>
      <c r="AU124" s="26"/>
      <c r="AV124" s="26"/>
      <c r="AW124" s="25"/>
    </row>
    <row r="125" spans="1:49" s="13" customFormat="1" ht="17.45" customHeight="1">
      <c r="A125" s="25"/>
      <c r="B125" s="25"/>
      <c r="C125" s="25"/>
      <c r="D125" s="295"/>
      <c r="E125" s="295"/>
      <c r="F125" s="295"/>
      <c r="G125" s="295"/>
      <c r="H125" s="295"/>
      <c r="I125" s="25"/>
      <c r="J125" s="25"/>
      <c r="K125" s="25"/>
      <c r="L125" s="777">
        <v>5</v>
      </c>
      <c r="M125" s="778"/>
      <c r="N125" s="976">
        <v>0</v>
      </c>
      <c r="O125" s="1020">
        <v>5</v>
      </c>
      <c r="P125" s="847" t="e">
        <f>VLOOKUP(N125,etat!$A$9:$N$1004,2,FALSE)</f>
        <v>#N/A</v>
      </c>
      <c r="Q125" s="797" t="e">
        <f>VLOOKUP(N125,etat!$A$9:$N$963,7,FALSE)</f>
        <v>#N/A</v>
      </c>
      <c r="R125" s="797" t="e">
        <f>VLOOKUP(N125,etat!$A$9:$N$1003,9,FALSE)</f>
        <v>#N/A</v>
      </c>
      <c r="S125" s="866" t="e">
        <f>VLOOKUP(N125,etat!$A$9:$P$905,16,FALSE)</f>
        <v>#N/A</v>
      </c>
      <c r="T125" s="755"/>
      <c r="U125" s="791"/>
      <c r="V125" s="784"/>
      <c r="W125" s="784"/>
      <c r="X125" s="784"/>
      <c r="Y125" s="975"/>
      <c r="Z125" s="967"/>
      <c r="AA125" s="967"/>
      <c r="AB125" s="25"/>
      <c r="AC125" s="25"/>
      <c r="AD125" s="25"/>
      <c r="AE125" s="25"/>
      <c r="AF125" s="25"/>
      <c r="AG125" s="25"/>
      <c r="AH125" s="910"/>
      <c r="AI125" s="862"/>
      <c r="AJ125" s="302"/>
      <c r="AK125" s="910"/>
      <c r="AL125" s="911"/>
      <c r="AM125" s="911"/>
      <c r="AN125" s="911"/>
      <c r="AO125" s="911"/>
      <c r="AP125" s="912"/>
      <c r="AQ125" s="911"/>
      <c r="AR125" s="911"/>
      <c r="AS125" s="911"/>
      <c r="AT125" s="26"/>
      <c r="AU125" s="26"/>
      <c r="AV125" s="26"/>
      <c r="AW125" s="25"/>
    </row>
    <row r="126" spans="1:49" s="13" customFormat="1" ht="17.45" customHeight="1">
      <c r="A126" s="25"/>
      <c r="B126" s="25"/>
      <c r="C126" s="25"/>
      <c r="D126" s="295"/>
      <c r="E126" s="295"/>
      <c r="F126" s="295"/>
      <c r="G126" s="295"/>
      <c r="H126" s="295"/>
      <c r="I126" s="25"/>
      <c r="J126" s="25"/>
      <c r="K126" s="25"/>
      <c r="L126" s="777">
        <v>5</v>
      </c>
      <c r="M126" s="864"/>
      <c r="N126" s="976">
        <v>0</v>
      </c>
      <c r="O126" s="1020">
        <v>6</v>
      </c>
      <c r="P126" s="847" t="e">
        <f>VLOOKUP(N126,etat!$A$9:$N$1004,2,FALSE)</f>
        <v>#N/A</v>
      </c>
      <c r="Q126" s="797" t="e">
        <f>VLOOKUP(N126,etat!$A$9:$N$963,7,FALSE)</f>
        <v>#N/A</v>
      </c>
      <c r="R126" s="797" t="e">
        <f>VLOOKUP(N126,etat!$A$9:$N$1003,9,FALSE)</f>
        <v>#N/A</v>
      </c>
      <c r="S126" s="866" t="e">
        <f>VLOOKUP(N126,etat!$A$9:$P$905,16,FALSE)</f>
        <v>#N/A</v>
      </c>
      <c r="T126" s="755"/>
      <c r="U126" s="791"/>
      <c r="V126" s="784"/>
      <c r="W126" s="784"/>
      <c r="X126" s="784"/>
      <c r="Y126" s="975"/>
      <c r="Z126" s="975"/>
      <c r="AA126" s="967"/>
      <c r="AB126" s="25"/>
      <c r="AC126" s="25"/>
      <c r="AD126" s="25"/>
      <c r="AE126" s="25"/>
      <c r="AF126" s="25"/>
      <c r="AG126" s="25"/>
      <c r="AH126" s="910"/>
      <c r="AI126" s="862"/>
      <c r="AJ126" s="302"/>
      <c r="AK126" s="910"/>
      <c r="AL126" s="911"/>
      <c r="AM126" s="911"/>
      <c r="AN126" s="911"/>
      <c r="AO126" s="911"/>
      <c r="AP126" s="912"/>
      <c r="AQ126" s="911"/>
      <c r="AR126" s="911"/>
      <c r="AS126" s="911"/>
      <c r="AT126" s="26"/>
      <c r="AU126" s="26"/>
      <c r="AV126" s="26"/>
      <c r="AW126" s="25"/>
    </row>
    <row r="127" spans="1:49" s="13" customFormat="1" ht="17.45" customHeight="1">
      <c r="A127" s="25"/>
      <c r="B127" s="25"/>
      <c r="C127" s="25"/>
      <c r="D127" s="295"/>
      <c r="E127" s="295"/>
      <c r="F127" s="295"/>
      <c r="G127" s="295"/>
      <c r="H127" s="295"/>
      <c r="I127" s="25"/>
      <c r="J127" s="25"/>
      <c r="K127" s="25"/>
      <c r="L127" s="777">
        <v>5</v>
      </c>
      <c r="M127" s="864"/>
      <c r="N127" s="976">
        <v>0</v>
      </c>
      <c r="O127" s="1020">
        <v>7</v>
      </c>
      <c r="P127" s="847" t="e">
        <f>VLOOKUP(N127,etat!$A$9:$N$1004,2,FALSE)</f>
        <v>#N/A</v>
      </c>
      <c r="Q127" s="797" t="e">
        <f>VLOOKUP(N127,etat!$A$9:$N$963,7,FALSE)</f>
        <v>#N/A</v>
      </c>
      <c r="R127" s="797" t="e">
        <f>VLOOKUP(N127,etat!$A$9:$N$1003,9,FALSE)</f>
        <v>#N/A</v>
      </c>
      <c r="S127" s="866" t="e">
        <f>VLOOKUP(N127,etat!$A$9:$P$905,16,FALSE)</f>
        <v>#N/A</v>
      </c>
      <c r="T127" s="755"/>
      <c r="U127" s="791"/>
      <c r="V127" s="784"/>
      <c r="W127" s="784"/>
      <c r="X127" s="784"/>
      <c r="Y127" s="975"/>
      <c r="Z127" s="967"/>
      <c r="AA127" s="967"/>
      <c r="AB127" s="25"/>
      <c r="AC127" s="25"/>
      <c r="AD127" s="25"/>
      <c r="AE127" s="25"/>
      <c r="AF127" s="25"/>
      <c r="AG127" s="25"/>
      <c r="AH127" s="910"/>
      <c r="AI127" s="862"/>
      <c r="AJ127" s="302"/>
      <c r="AK127" s="910"/>
      <c r="AL127" s="911"/>
      <c r="AM127" s="911"/>
      <c r="AN127" s="911"/>
      <c r="AO127" s="911"/>
      <c r="AP127" s="912"/>
      <c r="AQ127" s="911"/>
      <c r="AR127" s="911"/>
      <c r="AS127" s="911"/>
      <c r="AT127" s="26"/>
      <c r="AU127" s="26"/>
      <c r="AV127" s="26"/>
      <c r="AW127" s="25"/>
    </row>
    <row r="128" spans="1:49" s="13" customFormat="1" ht="17.45" customHeight="1">
      <c r="A128" s="25"/>
      <c r="B128" s="25"/>
      <c r="C128" s="25"/>
      <c r="D128" s="295"/>
      <c r="E128" s="295"/>
      <c r="F128" s="295"/>
      <c r="G128" s="295"/>
      <c r="H128" s="295"/>
      <c r="I128" s="25"/>
      <c r="J128" s="25"/>
      <c r="K128" s="25"/>
      <c r="L128" s="777">
        <v>5</v>
      </c>
      <c r="M128" s="864"/>
      <c r="N128" s="976">
        <v>0</v>
      </c>
      <c r="O128" s="1020">
        <v>8</v>
      </c>
      <c r="P128" s="847" t="e">
        <f>VLOOKUP(N128,etat!$A$9:$N$1004,2,FALSE)</f>
        <v>#N/A</v>
      </c>
      <c r="Q128" s="797" t="e">
        <f>VLOOKUP(N128,etat!$A$9:$N$963,7,FALSE)</f>
        <v>#N/A</v>
      </c>
      <c r="R128" s="797" t="e">
        <f>VLOOKUP(N128,etat!$A$9:$N$1003,9,FALSE)</f>
        <v>#N/A</v>
      </c>
      <c r="S128" s="866" t="e">
        <f>VLOOKUP(N128,etat!$A$9:$P$905,16,FALSE)</f>
        <v>#N/A</v>
      </c>
      <c r="T128" s="755"/>
      <c r="U128" s="791"/>
      <c r="V128" s="784"/>
      <c r="W128" s="784"/>
      <c r="X128" s="784"/>
      <c r="Y128" s="975"/>
      <c r="Z128" s="967"/>
      <c r="AA128" s="967"/>
      <c r="AB128" s="25"/>
      <c r="AC128" s="25"/>
      <c r="AD128" s="25"/>
      <c r="AE128" s="25"/>
      <c r="AF128" s="25"/>
      <c r="AG128" s="25"/>
      <c r="AH128" s="910"/>
      <c r="AI128" s="862"/>
      <c r="AJ128" s="302"/>
      <c r="AK128" s="910"/>
      <c r="AL128" s="911"/>
      <c r="AM128" s="911"/>
      <c r="AN128" s="911"/>
      <c r="AO128" s="911"/>
      <c r="AP128" s="912"/>
      <c r="AQ128" s="911"/>
      <c r="AR128" s="911"/>
      <c r="AS128" s="911"/>
      <c r="AT128" s="26"/>
      <c r="AU128" s="26"/>
      <c r="AV128" s="26"/>
      <c r="AW128" s="25"/>
    </row>
    <row r="129" spans="1:49" s="13" customFormat="1" ht="17.45" customHeight="1">
      <c r="A129" s="25"/>
      <c r="B129" s="25"/>
      <c r="C129" s="25"/>
      <c r="D129" s="295"/>
      <c r="E129" s="295"/>
      <c r="F129" s="295"/>
      <c r="G129" s="295"/>
      <c r="H129" s="295"/>
      <c r="I129" s="25"/>
      <c r="J129" s="25"/>
      <c r="K129" s="25"/>
      <c r="L129" s="777">
        <v>5</v>
      </c>
      <c r="M129" s="778"/>
      <c r="N129" s="976">
        <v>0</v>
      </c>
      <c r="O129" s="1020">
        <v>9</v>
      </c>
      <c r="P129" s="847" t="e">
        <f>VLOOKUP(N129,etat!$A$9:$N$1004,2,FALSE)</f>
        <v>#N/A</v>
      </c>
      <c r="Q129" s="797" t="e">
        <f>VLOOKUP(N129,etat!$A$9:$N$963,7,FALSE)</f>
        <v>#N/A</v>
      </c>
      <c r="R129" s="797" t="e">
        <f>VLOOKUP(N129,etat!$A$9:$N$1003,9,FALSE)</f>
        <v>#N/A</v>
      </c>
      <c r="S129" s="866" t="e">
        <f>VLOOKUP(N129,etat!$A$9:$P$905,16,FALSE)</f>
        <v>#N/A</v>
      </c>
      <c r="T129" s="755"/>
      <c r="U129" s="791"/>
      <c r="V129" s="784"/>
      <c r="W129" s="784"/>
      <c r="X129" s="784"/>
      <c r="Y129" s="975"/>
      <c r="Z129" s="975"/>
      <c r="AA129" s="967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</row>
    <row r="130" spans="1:49" s="13" customFormat="1" ht="17.45" customHeight="1">
      <c r="A130" s="25"/>
      <c r="B130" s="25"/>
      <c r="C130" s="25"/>
      <c r="D130" s="295"/>
      <c r="E130" s="295"/>
      <c r="F130" s="295"/>
      <c r="G130" s="295"/>
      <c r="H130" s="295"/>
      <c r="I130" s="25"/>
      <c r="J130" s="25"/>
      <c r="K130" s="25"/>
      <c r="L130" s="777">
        <v>5</v>
      </c>
      <c r="M130" s="778"/>
      <c r="N130" s="976">
        <v>0</v>
      </c>
      <c r="O130" s="1020">
        <v>10</v>
      </c>
      <c r="P130" s="847" t="e">
        <f>VLOOKUP(N130,etat!$A$9:$N$1004,2,FALSE)</f>
        <v>#N/A</v>
      </c>
      <c r="Q130" s="797" t="e">
        <f>VLOOKUP(N130,etat!$A$9:$N$963,7,FALSE)</f>
        <v>#N/A</v>
      </c>
      <c r="R130" s="797" t="e">
        <f>VLOOKUP(N130,etat!$A$9:$N$1003,9,FALSE)</f>
        <v>#N/A</v>
      </c>
      <c r="S130" s="866" t="e">
        <f>VLOOKUP(N130,etat!$A$9:$P$905,16,FALSE)</f>
        <v>#N/A</v>
      </c>
      <c r="T130" s="755"/>
      <c r="U130" s="791"/>
      <c r="V130" s="784"/>
      <c r="W130" s="784"/>
      <c r="X130" s="784"/>
      <c r="Y130" s="1116"/>
      <c r="Z130" s="975"/>
      <c r="AA130" s="967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</row>
    <row r="131" spans="1:49" s="13" customFormat="1" ht="17.45" customHeight="1">
      <c r="A131" s="25"/>
      <c r="B131" s="25"/>
      <c r="C131" s="25"/>
      <c r="D131" s="295"/>
      <c r="E131" s="295"/>
      <c r="F131" s="295"/>
      <c r="G131" s="295"/>
      <c r="H131" s="295"/>
      <c r="I131" s="25"/>
      <c r="J131" s="25"/>
      <c r="K131" s="25"/>
      <c r="L131" s="777">
        <v>5</v>
      </c>
      <c r="M131" s="778"/>
      <c r="N131" s="976">
        <v>0</v>
      </c>
      <c r="O131" s="1020">
        <v>11</v>
      </c>
      <c r="P131" s="847" t="e">
        <f>VLOOKUP(N131,etat!$A$9:$N$1004,2,FALSE)</f>
        <v>#N/A</v>
      </c>
      <c r="Q131" s="797" t="e">
        <f>VLOOKUP(N131,etat!$A$9:$N$963,7,FALSE)</f>
        <v>#N/A</v>
      </c>
      <c r="R131" s="797" t="e">
        <f>VLOOKUP(N131,etat!$A$9:$N$1003,9,FALSE)</f>
        <v>#N/A</v>
      </c>
      <c r="S131" s="866" t="e">
        <f>VLOOKUP(N131,etat!$A$9:$P$905,16,FALSE)</f>
        <v>#N/A</v>
      </c>
      <c r="T131" s="755"/>
      <c r="U131" s="791"/>
      <c r="V131" s="784"/>
      <c r="W131" s="784"/>
      <c r="X131" s="784"/>
      <c r="Y131" s="1117"/>
      <c r="Z131" s="967"/>
      <c r="AA131" s="967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</row>
    <row r="132" spans="1:49" s="13" customFormat="1" ht="17.45" customHeight="1">
      <c r="A132" s="25"/>
      <c r="B132" s="25"/>
      <c r="C132" s="25"/>
      <c r="D132" s="295"/>
      <c r="E132" s="295"/>
      <c r="F132" s="295"/>
      <c r="G132" s="295"/>
      <c r="H132" s="295"/>
      <c r="I132" s="25"/>
      <c r="J132" s="25"/>
      <c r="K132" s="25"/>
      <c r="L132" s="777">
        <v>5</v>
      </c>
      <c r="M132" s="778"/>
      <c r="N132" s="976">
        <v>0</v>
      </c>
      <c r="O132" s="1020">
        <v>12</v>
      </c>
      <c r="P132" s="847" t="e">
        <f>VLOOKUP(N132,etat!$A$9:$N$1004,2,FALSE)</f>
        <v>#N/A</v>
      </c>
      <c r="Q132" s="797" t="e">
        <f>VLOOKUP(N132,etat!$A$9:$N$963,7,FALSE)</f>
        <v>#N/A</v>
      </c>
      <c r="R132" s="797" t="e">
        <f>VLOOKUP(N132,etat!$A$9:$N$1003,9,FALSE)</f>
        <v>#N/A</v>
      </c>
      <c r="S132" s="866" t="e">
        <f>VLOOKUP(N132,etat!$A$9:$P$905,16,FALSE)</f>
        <v>#N/A</v>
      </c>
      <c r="T132" s="755"/>
      <c r="U132" s="791"/>
      <c r="V132" s="784"/>
      <c r="W132" s="784"/>
      <c r="X132" s="784"/>
      <c r="Y132" s="975"/>
      <c r="Z132" s="975"/>
      <c r="AA132" s="967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</row>
    <row r="133" spans="1:49" s="13" customFormat="1" ht="17.45" customHeight="1">
      <c r="A133" s="25"/>
      <c r="B133" s="25"/>
      <c r="C133" s="25"/>
      <c r="D133" s="295"/>
      <c r="E133" s="295"/>
      <c r="F133" s="295"/>
      <c r="G133" s="295"/>
      <c r="H133" s="295"/>
      <c r="I133" s="25"/>
      <c r="J133" s="25"/>
      <c r="K133" s="25"/>
      <c r="L133" s="777">
        <v>5</v>
      </c>
      <c r="M133" s="778"/>
      <c r="N133" s="976">
        <v>0</v>
      </c>
      <c r="O133" s="1020">
        <v>13</v>
      </c>
      <c r="P133" s="847" t="e">
        <f>VLOOKUP(N133,etat!$A$9:$N$1004,2,FALSE)</f>
        <v>#N/A</v>
      </c>
      <c r="Q133" s="797" t="e">
        <f>VLOOKUP(N133,etat!$A$9:$N$963,7,FALSE)</f>
        <v>#N/A</v>
      </c>
      <c r="R133" s="797" t="e">
        <f>VLOOKUP(N133,etat!$A$9:$N$1003,9,FALSE)</f>
        <v>#N/A</v>
      </c>
      <c r="S133" s="866" t="e">
        <f>VLOOKUP(N133,etat!$A$9:$P$905,16,FALSE)</f>
        <v>#N/A</v>
      </c>
      <c r="T133" s="755"/>
      <c r="U133" s="791"/>
      <c r="V133" s="784"/>
      <c r="W133" s="784"/>
      <c r="X133" s="784"/>
      <c r="Y133" s="1117"/>
      <c r="Z133" s="967"/>
      <c r="AA133" s="967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</row>
    <row r="134" spans="1:49" s="13" customFormat="1" ht="17.45" customHeight="1">
      <c r="A134" s="25"/>
      <c r="B134" s="25"/>
      <c r="C134" s="25"/>
      <c r="D134" s="295"/>
      <c r="E134" s="295"/>
      <c r="F134" s="295"/>
      <c r="G134" s="295"/>
      <c r="H134" s="295"/>
      <c r="I134" s="25"/>
      <c r="J134" s="25"/>
      <c r="K134" s="25"/>
      <c r="L134" s="777">
        <v>5</v>
      </c>
      <c r="M134" s="778"/>
      <c r="N134" s="976">
        <v>0</v>
      </c>
      <c r="O134" s="1020">
        <v>14</v>
      </c>
      <c r="P134" s="847" t="e">
        <f>VLOOKUP(N134,etat!$A$9:$N$1004,2,FALSE)</f>
        <v>#N/A</v>
      </c>
      <c r="Q134" s="797" t="e">
        <f>VLOOKUP(N134,etat!$A$9:$N$963,7,FALSE)</f>
        <v>#N/A</v>
      </c>
      <c r="R134" s="797" t="e">
        <f>VLOOKUP(N134,etat!$A$9:$N$1003,9,FALSE)</f>
        <v>#N/A</v>
      </c>
      <c r="S134" s="866" t="e">
        <f>VLOOKUP(N134,etat!$A$9:$P$905,16,FALSE)</f>
        <v>#N/A</v>
      </c>
      <c r="T134" s="755"/>
      <c r="U134" s="791"/>
      <c r="V134" s="784"/>
      <c r="W134" s="784"/>
      <c r="X134" s="784"/>
      <c r="Y134" s="1117"/>
      <c r="Z134" s="967"/>
      <c r="AA134" s="967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</row>
    <row r="135" spans="1:49" s="13" customFormat="1" ht="17.45" customHeight="1">
      <c r="A135" s="25"/>
      <c r="B135" s="25"/>
      <c r="C135" s="25"/>
      <c r="D135" s="295"/>
      <c r="E135" s="295"/>
      <c r="F135" s="295"/>
      <c r="G135" s="295"/>
      <c r="H135" s="295"/>
      <c r="I135" s="25"/>
      <c r="J135" s="25"/>
      <c r="K135" s="25"/>
      <c r="L135" s="777">
        <v>5</v>
      </c>
      <c r="M135" s="778"/>
      <c r="N135" s="976">
        <v>0</v>
      </c>
      <c r="O135" s="1020">
        <v>15</v>
      </c>
      <c r="P135" s="847" t="e">
        <f>VLOOKUP(N135,etat!$A$9:$N$1004,2,FALSE)</f>
        <v>#N/A</v>
      </c>
      <c r="Q135" s="797" t="e">
        <f>VLOOKUP(N135,etat!$A$9:$N$963,7,FALSE)</f>
        <v>#N/A</v>
      </c>
      <c r="R135" s="797" t="e">
        <f>VLOOKUP(N135,etat!$A$9:$N$1003,9,FALSE)</f>
        <v>#N/A</v>
      </c>
      <c r="S135" s="866" t="e">
        <f>VLOOKUP(N135,etat!$A$9:$P$905,16,FALSE)</f>
        <v>#N/A</v>
      </c>
      <c r="T135" s="755"/>
      <c r="U135" s="791"/>
      <c r="V135" s="784"/>
      <c r="W135" s="784"/>
      <c r="X135" s="784"/>
      <c r="Y135" s="975"/>
      <c r="Z135" s="967"/>
      <c r="AA135" s="967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</row>
    <row r="136" spans="1:49" s="13" customFormat="1" ht="17.45" customHeight="1">
      <c r="A136" s="25"/>
      <c r="B136" s="25"/>
      <c r="C136" s="25"/>
      <c r="D136" s="295"/>
      <c r="E136" s="295"/>
      <c r="F136" s="295"/>
      <c r="G136" s="295"/>
      <c r="H136" s="295"/>
      <c r="I136" s="25"/>
      <c r="J136" s="25"/>
      <c r="K136" s="25"/>
      <c r="L136" s="777">
        <v>5</v>
      </c>
      <c r="M136" s="778"/>
      <c r="N136" s="976">
        <v>0</v>
      </c>
      <c r="O136" s="1020">
        <v>16</v>
      </c>
      <c r="P136" s="847" t="e">
        <f>VLOOKUP(N136,etat!$A$9:$N$1004,2,FALSE)</f>
        <v>#N/A</v>
      </c>
      <c r="Q136" s="797" t="e">
        <f>VLOOKUP(N136,etat!$A$9:$N$963,7,FALSE)</f>
        <v>#N/A</v>
      </c>
      <c r="R136" s="797" t="e">
        <f>VLOOKUP(N136,etat!$A$9:$N$1003,9,FALSE)</f>
        <v>#N/A</v>
      </c>
      <c r="S136" s="866" t="e">
        <f>VLOOKUP(N136,etat!$A$9:$P$905,16,FALSE)</f>
        <v>#N/A</v>
      </c>
      <c r="T136" s="755"/>
      <c r="U136" s="791"/>
      <c r="V136" s="784"/>
      <c r="W136" s="784"/>
      <c r="X136" s="784"/>
      <c r="Y136" s="1118"/>
      <c r="Z136" s="975"/>
      <c r="AA136" s="967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</row>
    <row r="137" spans="1:49" s="13" customFormat="1" ht="17.45" customHeight="1">
      <c r="A137" s="25"/>
      <c r="B137" s="25"/>
      <c r="C137" s="25"/>
      <c r="D137" s="295"/>
      <c r="E137" s="295"/>
      <c r="F137" s="295"/>
      <c r="G137" s="295"/>
      <c r="H137" s="295"/>
      <c r="I137" s="25"/>
      <c r="J137" s="25"/>
      <c r="K137" s="25"/>
      <c r="L137" s="777">
        <v>5</v>
      </c>
      <c r="M137" s="778"/>
      <c r="N137" s="976">
        <v>0</v>
      </c>
      <c r="O137" s="1020">
        <v>17</v>
      </c>
      <c r="P137" s="847" t="e">
        <f>VLOOKUP(N137,etat!$A$9:$N$1004,2,FALSE)</f>
        <v>#N/A</v>
      </c>
      <c r="Q137" s="797" t="e">
        <f>VLOOKUP(N137,etat!$A$9:$N$963,7,FALSE)</f>
        <v>#N/A</v>
      </c>
      <c r="R137" s="797" t="e">
        <f>VLOOKUP(N137,etat!$A$9:$N$1003,9,FALSE)</f>
        <v>#N/A</v>
      </c>
      <c r="S137" s="866" t="e">
        <f>VLOOKUP(N137,etat!$A$9:$P$905,16,FALSE)</f>
        <v>#N/A</v>
      </c>
      <c r="T137" s="755"/>
      <c r="U137" s="791"/>
      <c r="V137" s="784"/>
      <c r="W137" s="784"/>
      <c r="X137" s="784"/>
      <c r="Y137" s="1118"/>
      <c r="Z137" s="975"/>
      <c r="AA137" s="967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</row>
    <row r="138" spans="1:49" s="13" customFormat="1" ht="17.45" customHeight="1">
      <c r="A138" s="25"/>
      <c r="B138" s="25"/>
      <c r="C138" s="25"/>
      <c r="D138" s="295"/>
      <c r="E138" s="295"/>
      <c r="F138" s="295"/>
      <c r="G138" s="295"/>
      <c r="H138" s="295"/>
      <c r="I138" s="25"/>
      <c r="J138" s="25"/>
      <c r="K138" s="25"/>
      <c r="L138" s="777">
        <v>5</v>
      </c>
      <c r="M138" s="778"/>
      <c r="N138" s="976">
        <v>0</v>
      </c>
      <c r="O138" s="1020">
        <v>18</v>
      </c>
      <c r="P138" s="847" t="e">
        <f>VLOOKUP(N138,etat!$A$9:$N$1004,2,FALSE)</f>
        <v>#N/A</v>
      </c>
      <c r="Q138" s="797" t="e">
        <f>VLOOKUP(N138,etat!$A$9:$N$963,7,FALSE)</f>
        <v>#N/A</v>
      </c>
      <c r="R138" s="797" t="e">
        <f>VLOOKUP(N138,etat!$A$9:$N$1003,9,FALSE)</f>
        <v>#N/A</v>
      </c>
      <c r="S138" s="866" t="e">
        <f>VLOOKUP(N138,etat!$A$9:$P$905,16,FALSE)</f>
        <v>#N/A</v>
      </c>
      <c r="T138" s="755"/>
      <c r="U138" s="791"/>
      <c r="V138" s="784"/>
      <c r="W138" s="784"/>
      <c r="X138" s="784"/>
      <c r="Y138" s="1117"/>
      <c r="Z138" s="967"/>
      <c r="AA138" s="967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</row>
    <row r="139" spans="1:49" s="13" customFormat="1" ht="17.45" customHeight="1">
      <c r="A139" s="25"/>
      <c r="B139" s="25"/>
      <c r="C139" s="25"/>
      <c r="D139" s="295"/>
      <c r="E139" s="295"/>
      <c r="F139" s="295"/>
      <c r="G139" s="295"/>
      <c r="H139" s="295"/>
      <c r="I139" s="25"/>
      <c r="J139" s="25"/>
      <c r="K139" s="25"/>
      <c r="L139" s="777">
        <v>5</v>
      </c>
      <c r="M139" s="778"/>
      <c r="N139" s="976">
        <v>0</v>
      </c>
      <c r="O139" s="1020">
        <v>19</v>
      </c>
      <c r="P139" s="847" t="e">
        <f>VLOOKUP(N139,etat!$A$9:$N$1004,2,FALSE)</f>
        <v>#N/A</v>
      </c>
      <c r="Q139" s="797" t="e">
        <f>VLOOKUP(N139,etat!$A$9:$N$963,7,FALSE)</f>
        <v>#N/A</v>
      </c>
      <c r="R139" s="797" t="e">
        <f>VLOOKUP(N139,etat!$A$9:$N$1003,9,FALSE)</f>
        <v>#N/A</v>
      </c>
      <c r="S139" s="866" t="e">
        <f>VLOOKUP(N139,etat!$A$9:$P$905,16,FALSE)</f>
        <v>#N/A</v>
      </c>
      <c r="T139" s="755"/>
      <c r="U139" s="791"/>
      <c r="V139" s="784"/>
      <c r="W139" s="784"/>
      <c r="X139" s="784"/>
      <c r="Y139" s="975"/>
      <c r="Z139" s="967"/>
      <c r="AA139" s="967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</row>
    <row r="140" spans="1:49" s="13" customFormat="1" ht="17.45" customHeight="1">
      <c r="A140" s="25"/>
      <c r="B140" s="25"/>
      <c r="C140" s="25"/>
      <c r="D140" s="295"/>
      <c r="E140" s="295"/>
      <c r="F140" s="295"/>
      <c r="G140" s="295"/>
      <c r="H140" s="295"/>
      <c r="I140" s="25"/>
      <c r="J140" s="25"/>
      <c r="K140" s="25"/>
      <c r="L140" s="777">
        <v>5</v>
      </c>
      <c r="M140" s="778"/>
      <c r="N140" s="976">
        <v>0</v>
      </c>
      <c r="O140" s="1020">
        <v>20</v>
      </c>
      <c r="P140" s="847" t="e">
        <f>VLOOKUP(N140,etat!$A$9:$N$1004,2,FALSE)</f>
        <v>#N/A</v>
      </c>
      <c r="Q140" s="797" t="e">
        <f>VLOOKUP(N140,etat!$A$9:$N$963,7,FALSE)</f>
        <v>#N/A</v>
      </c>
      <c r="R140" s="797" t="e">
        <f>VLOOKUP(N140,etat!$A$9:$N$1003,9,FALSE)</f>
        <v>#N/A</v>
      </c>
      <c r="S140" s="866" t="e">
        <f>VLOOKUP(N140,etat!$A$9:$P$905,16,FALSE)</f>
        <v>#N/A</v>
      </c>
      <c r="T140" s="755"/>
      <c r="U140" s="791"/>
      <c r="V140" s="784"/>
      <c r="W140" s="784"/>
      <c r="X140" s="784"/>
      <c r="Y140" s="975"/>
      <c r="Z140" s="975"/>
      <c r="AA140" s="967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</row>
    <row r="141" spans="1:49" s="13" customFormat="1" ht="17.45" customHeight="1">
      <c r="A141" s="25"/>
      <c r="B141" s="25"/>
      <c r="C141" s="25"/>
      <c r="D141" s="295"/>
      <c r="E141" s="295"/>
      <c r="F141" s="295"/>
      <c r="G141" s="295"/>
      <c r="H141" s="295"/>
      <c r="I141" s="25"/>
      <c r="J141" s="25"/>
      <c r="K141" s="25"/>
      <c r="L141" s="777">
        <v>5</v>
      </c>
      <c r="M141" s="778"/>
      <c r="N141" s="976">
        <v>0</v>
      </c>
      <c r="O141" s="1020">
        <v>21</v>
      </c>
      <c r="P141" s="847" t="e">
        <f>VLOOKUP(N141,etat!$A$9:$N$1004,2,FALSE)</f>
        <v>#N/A</v>
      </c>
      <c r="Q141" s="797" t="e">
        <f>VLOOKUP(N141,etat!$A$9:$N$963,7,FALSE)</f>
        <v>#N/A</v>
      </c>
      <c r="R141" s="797" t="e">
        <f>VLOOKUP(N141,etat!$A$9:$N$1003,9,FALSE)</f>
        <v>#N/A</v>
      </c>
      <c r="S141" s="866" t="e">
        <f>VLOOKUP(N141,etat!$A$9:$P$905,16,FALSE)</f>
        <v>#N/A</v>
      </c>
      <c r="T141" s="755"/>
      <c r="U141" s="791"/>
      <c r="V141" s="784"/>
      <c r="W141" s="784"/>
      <c r="X141" s="784"/>
      <c r="Y141" s="975"/>
      <c r="Z141" s="975"/>
      <c r="AA141" s="967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</row>
    <row r="142" spans="1:49" s="13" customFormat="1" ht="17.45" customHeight="1">
      <c r="A142" s="25"/>
      <c r="B142" s="25"/>
      <c r="C142" s="25"/>
      <c r="D142" s="295"/>
      <c r="E142" s="295"/>
      <c r="F142" s="295"/>
      <c r="G142" s="295"/>
      <c r="H142" s="295"/>
      <c r="I142" s="25"/>
      <c r="J142" s="25"/>
      <c r="K142" s="25"/>
      <c r="L142" s="777">
        <v>5</v>
      </c>
      <c r="M142" s="778"/>
      <c r="N142" s="976">
        <v>0</v>
      </c>
      <c r="O142" s="1020">
        <v>22</v>
      </c>
      <c r="P142" s="847" t="e">
        <f>VLOOKUP(N142,etat!$A$9:$N$1004,2,FALSE)</f>
        <v>#N/A</v>
      </c>
      <c r="Q142" s="797" t="e">
        <f>VLOOKUP(N142,etat!$A$9:$N$963,7,FALSE)</f>
        <v>#N/A</v>
      </c>
      <c r="R142" s="797" t="e">
        <f>VLOOKUP(N142,etat!$A$9:$N$1003,9,FALSE)</f>
        <v>#N/A</v>
      </c>
      <c r="S142" s="866" t="e">
        <f>VLOOKUP(N142,etat!$A$9:$P$905,16,FALSE)</f>
        <v>#N/A</v>
      </c>
      <c r="T142" s="755"/>
      <c r="U142" s="791"/>
      <c r="V142" s="784"/>
      <c r="W142" s="784"/>
      <c r="X142" s="784"/>
      <c r="Y142" s="975"/>
      <c r="Z142" s="967"/>
      <c r="AA142" s="967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</row>
    <row r="143" spans="1:49" s="13" customFormat="1" ht="17.45" customHeight="1">
      <c r="A143" s="25"/>
      <c r="B143" s="25"/>
      <c r="C143" s="25"/>
      <c r="D143" s="295"/>
      <c r="E143" s="295"/>
      <c r="F143" s="295"/>
      <c r="G143" s="295"/>
      <c r="H143" s="295"/>
      <c r="I143" s="25"/>
      <c r="J143" s="25"/>
      <c r="K143" s="25"/>
      <c r="L143" s="777">
        <v>5</v>
      </c>
      <c r="M143" s="778"/>
      <c r="N143" s="976">
        <v>0</v>
      </c>
      <c r="O143" s="1020">
        <v>23</v>
      </c>
      <c r="P143" s="847" t="e">
        <f>VLOOKUP(N143,etat!$A$9:$N$1004,2,FALSE)</f>
        <v>#N/A</v>
      </c>
      <c r="Q143" s="797" t="e">
        <f>VLOOKUP(N143,etat!$A$9:$N$963,7,FALSE)</f>
        <v>#N/A</v>
      </c>
      <c r="R143" s="797" t="e">
        <f>VLOOKUP(N143,etat!$A$9:$N$1003,9,FALSE)</f>
        <v>#N/A</v>
      </c>
      <c r="S143" s="866" t="e">
        <f>VLOOKUP(N143,etat!$A$9:$P$905,16,FALSE)</f>
        <v>#N/A</v>
      </c>
      <c r="T143" s="755"/>
      <c r="U143" s="791"/>
      <c r="V143" s="784"/>
      <c r="W143" s="784"/>
      <c r="X143" s="784"/>
      <c r="Y143" s="975"/>
      <c r="Z143" s="975"/>
      <c r="AA143" s="967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</row>
    <row r="144" spans="1:49" s="13" customFormat="1" ht="17.45" customHeight="1">
      <c r="A144" s="25"/>
      <c r="B144" s="25"/>
      <c r="C144" s="25"/>
      <c r="D144" s="295"/>
      <c r="E144" s="295"/>
      <c r="F144" s="295"/>
      <c r="G144" s="295"/>
      <c r="H144" s="295"/>
      <c r="I144" s="25"/>
      <c r="J144" s="25"/>
      <c r="K144" s="25"/>
      <c r="L144" s="777">
        <v>5</v>
      </c>
      <c r="M144" s="778"/>
      <c r="N144" s="976">
        <v>0</v>
      </c>
      <c r="O144" s="1020">
        <v>24</v>
      </c>
      <c r="P144" s="847" t="e">
        <f>VLOOKUP(N144,etat!$A$9:$N$1004,2,FALSE)</f>
        <v>#N/A</v>
      </c>
      <c r="Q144" s="797" t="e">
        <f>VLOOKUP(N144,etat!$A$9:$N$963,7,FALSE)</f>
        <v>#N/A</v>
      </c>
      <c r="R144" s="797" t="e">
        <f>VLOOKUP(N144,etat!$A$9:$N$1003,9,FALSE)</f>
        <v>#N/A</v>
      </c>
      <c r="S144" s="866" t="e">
        <f>VLOOKUP(N144,etat!$A$9:$P$905,16,FALSE)</f>
        <v>#N/A</v>
      </c>
      <c r="T144" s="755"/>
      <c r="U144" s="791"/>
      <c r="V144" s="784"/>
      <c r="W144" s="784"/>
      <c r="X144" s="784"/>
      <c r="Y144" s="975"/>
      <c r="Z144" s="967"/>
      <c r="AA144" s="967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</row>
    <row r="145" spans="1:49" s="13" customFormat="1" ht="17.45" customHeight="1">
      <c r="A145" s="25"/>
      <c r="B145" s="25"/>
      <c r="C145" s="25"/>
      <c r="D145" s="295"/>
      <c r="E145" s="295"/>
      <c r="F145" s="295"/>
      <c r="G145" s="295"/>
      <c r="H145" s="295"/>
      <c r="I145" s="25"/>
      <c r="J145" s="25"/>
      <c r="K145" s="25"/>
      <c r="L145" s="777">
        <v>5</v>
      </c>
      <c r="M145" s="778"/>
      <c r="N145" s="976">
        <v>0</v>
      </c>
      <c r="O145" s="1020">
        <v>25</v>
      </c>
      <c r="P145" s="847" t="e">
        <f>VLOOKUP(N145,etat!$A$9:$N$1004,2,FALSE)</f>
        <v>#N/A</v>
      </c>
      <c r="Q145" s="797" t="e">
        <f>VLOOKUP(N145,etat!$A$9:$N$963,7,FALSE)</f>
        <v>#N/A</v>
      </c>
      <c r="R145" s="797" t="e">
        <f>VLOOKUP(N145,etat!$A$9:$N$1003,9,FALSE)</f>
        <v>#N/A</v>
      </c>
      <c r="S145" s="866" t="e">
        <f>VLOOKUP(N145,etat!$A$9:$P$905,16,FALSE)</f>
        <v>#N/A</v>
      </c>
      <c r="T145" s="755"/>
      <c r="U145" s="791"/>
      <c r="V145" s="784"/>
      <c r="W145" s="784"/>
      <c r="X145" s="784"/>
      <c r="Y145" s="1117"/>
      <c r="Z145" s="975"/>
      <c r="AA145" s="967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</row>
    <row r="146" spans="1:49" s="13" customFormat="1" ht="17.45" customHeight="1">
      <c r="A146" s="25"/>
      <c r="B146" s="25"/>
      <c r="C146" s="25"/>
      <c r="D146" s="295"/>
      <c r="E146" s="295"/>
      <c r="F146" s="295"/>
      <c r="G146" s="295"/>
      <c r="H146" s="295"/>
      <c r="I146" s="25"/>
      <c r="J146" s="25"/>
      <c r="K146" s="25"/>
      <c r="L146" s="777">
        <v>5</v>
      </c>
      <c r="M146" s="778"/>
      <c r="N146" s="976">
        <v>0</v>
      </c>
      <c r="O146" s="1020">
        <v>26</v>
      </c>
      <c r="P146" s="847" t="e">
        <f>VLOOKUP(N146,etat!$A$9:$N$1004,2,FALSE)</f>
        <v>#N/A</v>
      </c>
      <c r="Q146" s="797" t="e">
        <f>VLOOKUP(N146,etat!$A$9:$N$963,7,FALSE)</f>
        <v>#N/A</v>
      </c>
      <c r="R146" s="797" t="e">
        <f>VLOOKUP(N146,etat!$A$9:$N$1003,9,FALSE)</f>
        <v>#N/A</v>
      </c>
      <c r="S146" s="866" t="e">
        <f>VLOOKUP(N146,etat!$A$9:$P$905,16,FALSE)</f>
        <v>#N/A</v>
      </c>
      <c r="T146" s="755"/>
      <c r="U146" s="791"/>
      <c r="V146" s="784"/>
      <c r="W146" s="784"/>
      <c r="X146" s="784"/>
      <c r="Y146" s="975"/>
      <c r="Z146" s="975"/>
      <c r="AA146" s="967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</row>
    <row r="147" spans="1:49" s="13" customFormat="1" ht="17.45" customHeight="1">
      <c r="A147" s="25"/>
      <c r="B147" s="25"/>
      <c r="C147" s="25"/>
      <c r="D147" s="295"/>
      <c r="E147" s="295"/>
      <c r="F147" s="295"/>
      <c r="G147" s="295"/>
      <c r="H147" s="295"/>
      <c r="I147" s="25"/>
      <c r="J147" s="25"/>
      <c r="K147" s="25"/>
      <c r="L147" s="777">
        <v>5</v>
      </c>
      <c r="M147" s="778"/>
      <c r="N147" s="976">
        <v>0</v>
      </c>
      <c r="O147" s="1020">
        <v>27</v>
      </c>
      <c r="P147" s="847" t="e">
        <f>VLOOKUP(N147,etat!$A$9:$N$1004,2,FALSE)</f>
        <v>#N/A</v>
      </c>
      <c r="Q147" s="797" t="e">
        <f>VLOOKUP(N147,etat!$A$9:$N$963,7,FALSE)</f>
        <v>#N/A</v>
      </c>
      <c r="R147" s="797" t="e">
        <f>VLOOKUP(N147,etat!$A$9:$N$1003,9,FALSE)</f>
        <v>#N/A</v>
      </c>
      <c r="S147" s="866" t="e">
        <f>VLOOKUP(N147,etat!$A$9:$P$905,16,FALSE)</f>
        <v>#N/A</v>
      </c>
      <c r="T147" s="755"/>
      <c r="U147" s="791"/>
      <c r="V147" s="784"/>
      <c r="W147" s="784"/>
      <c r="X147" s="784"/>
      <c r="Y147" s="1118"/>
      <c r="Z147" s="975"/>
      <c r="AA147" s="967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</row>
    <row r="148" spans="1:49" s="13" customFormat="1" ht="17.45" customHeight="1">
      <c r="A148" s="25"/>
      <c r="B148" s="25"/>
      <c r="C148" s="25"/>
      <c r="D148" s="295"/>
      <c r="E148" s="295"/>
      <c r="F148" s="295"/>
      <c r="G148" s="295"/>
      <c r="H148" s="295"/>
      <c r="I148" s="25"/>
      <c r="J148" s="25"/>
      <c r="K148" s="25"/>
      <c r="L148" s="777">
        <v>5</v>
      </c>
      <c r="M148" s="778"/>
      <c r="N148" s="976">
        <v>0</v>
      </c>
      <c r="O148" s="1020">
        <v>28</v>
      </c>
      <c r="P148" s="847" t="e">
        <f>VLOOKUP(N148,etat!$A$9:$N$1004,2,FALSE)</f>
        <v>#N/A</v>
      </c>
      <c r="Q148" s="797" t="e">
        <f>VLOOKUP(N148,etat!$A$9:$N$963,7,FALSE)</f>
        <v>#N/A</v>
      </c>
      <c r="R148" s="797" t="e">
        <f>VLOOKUP(N148,etat!$A$9:$N$1003,9,FALSE)</f>
        <v>#N/A</v>
      </c>
      <c r="S148" s="866" t="e">
        <f>VLOOKUP(N148,etat!$A$9:$P$905,16,FALSE)</f>
        <v>#N/A</v>
      </c>
      <c r="T148" s="755"/>
      <c r="U148" s="791"/>
      <c r="V148" s="784"/>
      <c r="W148" s="784"/>
      <c r="X148" s="784"/>
      <c r="Y148" s="975"/>
      <c r="Z148" s="975"/>
      <c r="AA148" s="967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</row>
    <row r="149" spans="1:49" s="13" customFormat="1" ht="17.45" customHeight="1">
      <c r="A149" s="25"/>
      <c r="B149" s="25"/>
      <c r="C149" s="25"/>
      <c r="D149" s="295"/>
      <c r="E149" s="295"/>
      <c r="F149" s="295"/>
      <c r="G149" s="295"/>
      <c r="H149" s="295"/>
      <c r="I149" s="25"/>
      <c r="J149" s="25"/>
      <c r="K149" s="25"/>
      <c r="L149" s="777">
        <v>5</v>
      </c>
      <c r="M149" s="778"/>
      <c r="N149" s="976">
        <v>0</v>
      </c>
      <c r="O149" s="1020">
        <v>29</v>
      </c>
      <c r="P149" s="847" t="e">
        <f>VLOOKUP(N149,etat!$A$9:$N$1004,2,FALSE)</f>
        <v>#N/A</v>
      </c>
      <c r="Q149" s="797" t="e">
        <f>VLOOKUP(N149,etat!$A$9:$N$963,7,FALSE)</f>
        <v>#N/A</v>
      </c>
      <c r="R149" s="797" t="e">
        <f>VLOOKUP(N149,etat!$A$9:$N$1003,9,FALSE)</f>
        <v>#N/A</v>
      </c>
      <c r="S149" s="866" t="e">
        <f>VLOOKUP(N149,etat!$A$9:$P$905,16,FALSE)</f>
        <v>#N/A</v>
      </c>
      <c r="T149" s="755"/>
      <c r="U149" s="791"/>
      <c r="V149" s="784"/>
      <c r="W149" s="784"/>
      <c r="X149" s="784"/>
      <c r="Y149" s="975"/>
      <c r="Z149" s="975"/>
      <c r="AA149" s="967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</row>
    <row r="150" spans="1:49" s="13" customFormat="1" ht="17.45" customHeight="1">
      <c r="A150" s="25"/>
      <c r="B150" s="25"/>
      <c r="C150" s="25"/>
      <c r="D150" s="295"/>
      <c r="E150" s="295"/>
      <c r="F150" s="295"/>
      <c r="G150" s="295"/>
      <c r="H150" s="295"/>
      <c r="I150" s="25"/>
      <c r="J150" s="25"/>
      <c r="K150" s="25"/>
      <c r="L150" s="777">
        <v>5</v>
      </c>
      <c r="M150" s="778"/>
      <c r="N150" s="976">
        <v>0</v>
      </c>
      <c r="O150" s="1020">
        <v>30</v>
      </c>
      <c r="P150" s="847" t="e">
        <f>VLOOKUP(N150,etat!$A$9:$N$1004,2,FALSE)</f>
        <v>#N/A</v>
      </c>
      <c r="Q150" s="797" t="e">
        <f>VLOOKUP(N150,etat!$A$9:$N$963,7,FALSE)</f>
        <v>#N/A</v>
      </c>
      <c r="R150" s="797" t="e">
        <f>VLOOKUP(N150,etat!$A$9:$N$1003,9,FALSE)</f>
        <v>#N/A</v>
      </c>
      <c r="S150" s="866" t="e">
        <f>VLOOKUP(N150,etat!$A$9:$P$905,16,FALSE)</f>
        <v>#N/A</v>
      </c>
      <c r="T150" s="755"/>
      <c r="U150" s="791"/>
      <c r="V150" s="784"/>
      <c r="W150" s="784"/>
      <c r="X150" s="784"/>
      <c r="Y150" s="975"/>
      <c r="Z150" s="975"/>
      <c r="AA150" s="967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</row>
    <row r="151" spans="1:49" s="13" customFormat="1" ht="17.45" customHeight="1">
      <c r="A151" s="25"/>
      <c r="B151" s="25"/>
      <c r="C151" s="25"/>
      <c r="D151" s="295"/>
      <c r="E151" s="295"/>
      <c r="F151" s="295"/>
      <c r="G151" s="295"/>
      <c r="H151" s="295"/>
      <c r="I151" s="25"/>
      <c r="J151" s="25"/>
      <c r="K151" s="25"/>
      <c r="L151" s="777">
        <v>5</v>
      </c>
      <c r="M151" s="778"/>
      <c r="N151" s="976">
        <v>0</v>
      </c>
      <c r="O151" s="1020">
        <v>31</v>
      </c>
      <c r="P151" s="847" t="e">
        <f>VLOOKUP(N151,etat!$A$9:$N$1004,2,FALSE)</f>
        <v>#N/A</v>
      </c>
      <c r="Q151" s="797" t="e">
        <f>VLOOKUP(N151,etat!$A$9:$N$963,7,FALSE)</f>
        <v>#N/A</v>
      </c>
      <c r="R151" s="797" t="e">
        <f>VLOOKUP(N151,etat!$A$9:$N$1003,9,FALSE)</f>
        <v>#N/A</v>
      </c>
      <c r="S151" s="866" t="e">
        <f>VLOOKUP(N151,etat!$A$9:$P$905,16,FALSE)</f>
        <v>#N/A</v>
      </c>
      <c r="T151" s="755"/>
      <c r="U151" s="791"/>
      <c r="V151" s="784"/>
      <c r="W151" s="784"/>
      <c r="X151" s="784"/>
      <c r="Y151" s="975"/>
      <c r="Z151" s="975"/>
      <c r="AA151" s="967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</row>
    <row r="152" spans="1:49" s="13" customFormat="1" ht="17.45" customHeight="1">
      <c r="A152" s="25"/>
      <c r="B152" s="25"/>
      <c r="C152" s="25"/>
      <c r="D152" s="295"/>
      <c r="E152" s="295"/>
      <c r="F152" s="295"/>
      <c r="G152" s="295"/>
      <c r="H152" s="295"/>
      <c r="I152" s="25"/>
      <c r="J152" s="25"/>
      <c r="K152" s="25"/>
      <c r="L152" s="777">
        <v>5</v>
      </c>
      <c r="M152" s="778"/>
      <c r="N152" s="976">
        <v>0</v>
      </c>
      <c r="O152" s="1020">
        <v>32</v>
      </c>
      <c r="P152" s="847" t="e">
        <f>VLOOKUP(N152,etat!$A$9:$N$1004,2,FALSE)</f>
        <v>#N/A</v>
      </c>
      <c r="Q152" s="797" t="e">
        <f>VLOOKUP(N152,etat!$A$9:$N$963,7,FALSE)</f>
        <v>#N/A</v>
      </c>
      <c r="R152" s="797" t="e">
        <f>VLOOKUP(N152,etat!$A$9:$N$1003,9,FALSE)</f>
        <v>#N/A</v>
      </c>
      <c r="S152" s="866" t="e">
        <f>VLOOKUP(N152,etat!$A$9:$P$905,16,FALSE)</f>
        <v>#N/A</v>
      </c>
      <c r="T152" s="755"/>
      <c r="U152" s="791"/>
      <c r="V152" s="784"/>
      <c r="W152" s="784"/>
      <c r="X152" s="784"/>
      <c r="Y152" s="975"/>
      <c r="Z152" s="975"/>
      <c r="AA152" s="967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</row>
    <row r="153" spans="1:49" s="13" customFormat="1" ht="17.45" customHeight="1">
      <c r="A153" s="25"/>
      <c r="B153" s="25"/>
      <c r="C153" s="25"/>
      <c r="D153" s="295"/>
      <c r="E153" s="295"/>
      <c r="F153" s="295"/>
      <c r="G153" s="295"/>
      <c r="H153" s="295"/>
      <c r="I153" s="25"/>
      <c r="J153" s="25"/>
      <c r="K153" s="25"/>
      <c r="L153" s="777">
        <v>5</v>
      </c>
      <c r="M153" s="778"/>
      <c r="N153" s="976">
        <v>0</v>
      </c>
      <c r="O153" s="1020">
        <v>33</v>
      </c>
      <c r="P153" s="847" t="e">
        <f>VLOOKUP(N153,etat!$A$9:$N$1004,2,FALSE)</f>
        <v>#N/A</v>
      </c>
      <c r="Q153" s="797" t="e">
        <f>VLOOKUP(N153,etat!$A$9:$N$963,7,FALSE)</f>
        <v>#N/A</v>
      </c>
      <c r="R153" s="797" t="e">
        <f>VLOOKUP(N153,etat!$A$9:$N$1003,9,FALSE)</f>
        <v>#N/A</v>
      </c>
      <c r="S153" s="866" t="e">
        <f>VLOOKUP(N153,etat!$A$9:$P$905,16,FALSE)</f>
        <v>#N/A</v>
      </c>
      <c r="T153" s="755"/>
      <c r="U153" s="791"/>
      <c r="V153" s="784"/>
      <c r="W153" s="784"/>
      <c r="X153" s="784"/>
      <c r="Y153" s="1116"/>
      <c r="Z153" s="975"/>
      <c r="AA153" s="967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</row>
    <row r="154" spans="1:49" s="13" customFormat="1" ht="17.45" customHeight="1">
      <c r="A154" s="25"/>
      <c r="B154" s="25"/>
      <c r="C154" s="25"/>
      <c r="D154" s="295"/>
      <c r="E154" s="295"/>
      <c r="F154" s="295"/>
      <c r="G154" s="295"/>
      <c r="H154" s="295"/>
      <c r="I154" s="25"/>
      <c r="J154" s="25"/>
      <c r="K154" s="25"/>
      <c r="L154" s="777">
        <v>5</v>
      </c>
      <c r="M154" s="778"/>
      <c r="N154" s="976">
        <v>0</v>
      </c>
      <c r="O154" s="1020">
        <v>34</v>
      </c>
      <c r="P154" s="847" t="e">
        <f>VLOOKUP(N154,etat!$A$9:$N$1004,2,FALSE)</f>
        <v>#N/A</v>
      </c>
      <c r="Q154" s="797" t="e">
        <f>VLOOKUP(N154,etat!$A$9:$N$963,7,FALSE)</f>
        <v>#N/A</v>
      </c>
      <c r="R154" s="797" t="e">
        <f>VLOOKUP(N154,etat!$A$9:$N$1003,9,FALSE)</f>
        <v>#N/A</v>
      </c>
      <c r="S154" s="866" t="e">
        <f>VLOOKUP(N154,etat!$A$9:$P$905,16,FALSE)</f>
        <v>#N/A</v>
      </c>
      <c r="T154" s="755"/>
      <c r="U154" s="791"/>
      <c r="V154" s="784"/>
      <c r="W154" s="784"/>
      <c r="X154" s="784"/>
      <c r="Y154" s="975"/>
      <c r="Z154" s="975"/>
      <c r="AA154" s="967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</row>
    <row r="155" spans="1:49" s="13" customFormat="1" ht="17.45" customHeight="1">
      <c r="A155" s="25"/>
      <c r="B155" s="25"/>
      <c r="C155" s="25"/>
      <c r="D155" s="295"/>
      <c r="E155" s="295"/>
      <c r="F155" s="295"/>
      <c r="G155" s="295"/>
      <c r="H155" s="295"/>
      <c r="I155" s="25"/>
      <c r="J155" s="25"/>
      <c r="K155" s="25"/>
      <c r="L155" s="777">
        <v>5</v>
      </c>
      <c r="M155" s="864"/>
      <c r="N155" s="976">
        <v>0</v>
      </c>
      <c r="O155" s="1020">
        <v>35</v>
      </c>
      <c r="P155" s="847" t="e">
        <f>VLOOKUP(N155,etat!$A$9:$N$1004,2,FALSE)</f>
        <v>#N/A</v>
      </c>
      <c r="Q155" s="797" t="e">
        <f>VLOOKUP(N155,etat!$A$9:$N$963,7,FALSE)</f>
        <v>#N/A</v>
      </c>
      <c r="R155" s="797" t="e">
        <f>VLOOKUP(N155,etat!$A$9:$N$1003,9,FALSE)</f>
        <v>#N/A</v>
      </c>
      <c r="S155" s="866" t="e">
        <f>VLOOKUP(N155,etat!$A$9:$P$905,16,FALSE)</f>
        <v>#N/A</v>
      </c>
      <c r="T155" s="755"/>
      <c r="U155" s="791"/>
      <c r="V155" s="784"/>
      <c r="W155" s="784"/>
      <c r="X155" s="784"/>
      <c r="Y155" s="1117"/>
      <c r="Z155" s="967"/>
      <c r="AA155" s="967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</row>
    <row r="156" spans="1:49" s="13" customFormat="1" ht="17.45" customHeight="1">
      <c r="A156" s="25"/>
      <c r="B156" s="25"/>
      <c r="C156" s="25"/>
      <c r="D156" s="295"/>
      <c r="E156" s="295"/>
      <c r="F156" s="295"/>
      <c r="G156" s="295"/>
      <c r="H156" s="295"/>
      <c r="I156" s="25"/>
      <c r="J156" s="25"/>
      <c r="K156" s="25"/>
      <c r="L156" s="777">
        <v>5</v>
      </c>
      <c r="M156" s="864"/>
      <c r="N156" s="976">
        <v>0</v>
      </c>
      <c r="O156" s="1020">
        <v>36</v>
      </c>
      <c r="P156" s="847" t="e">
        <f>VLOOKUP(N156,etat!$A$9:$N$1004,2,FALSE)</f>
        <v>#N/A</v>
      </c>
      <c r="Q156" s="797" t="e">
        <f>VLOOKUP(N156,etat!$A$9:$N$963,7,FALSE)</f>
        <v>#N/A</v>
      </c>
      <c r="R156" s="797" t="e">
        <f>VLOOKUP(N156,etat!$A$9:$N$1003,9,FALSE)</f>
        <v>#N/A</v>
      </c>
      <c r="S156" s="866" t="e">
        <f>VLOOKUP(N156,etat!$A$9:$P$905,16,FALSE)</f>
        <v>#N/A</v>
      </c>
      <c r="T156" s="755"/>
      <c r="U156" s="791"/>
      <c r="V156" s="784"/>
      <c r="W156" s="784"/>
      <c r="X156" s="784"/>
      <c r="Y156" s="975"/>
      <c r="Z156" s="975"/>
      <c r="AA156" s="967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</row>
    <row r="157" spans="1:49" s="13" customFormat="1" ht="17.45" customHeight="1">
      <c r="A157" s="25"/>
      <c r="B157" s="25"/>
      <c r="C157" s="25"/>
      <c r="D157" s="295"/>
      <c r="E157" s="295"/>
      <c r="F157" s="295"/>
      <c r="G157" s="295"/>
      <c r="H157" s="295"/>
      <c r="I157" s="25"/>
      <c r="J157" s="25"/>
      <c r="K157" s="25"/>
      <c r="L157" s="777">
        <v>5</v>
      </c>
      <c r="M157" s="778"/>
      <c r="N157" s="976">
        <v>0</v>
      </c>
      <c r="O157" s="1020">
        <v>37</v>
      </c>
      <c r="P157" s="847" t="e">
        <f>VLOOKUP(N157,etat!$A$9:$N$1004,2,FALSE)</f>
        <v>#N/A</v>
      </c>
      <c r="Q157" s="797" t="e">
        <f>VLOOKUP(N157,etat!$A$9:$N$963,7,FALSE)</f>
        <v>#N/A</v>
      </c>
      <c r="R157" s="797" t="e">
        <f>VLOOKUP(N157,etat!$A$9:$N$1003,9,FALSE)</f>
        <v>#N/A</v>
      </c>
      <c r="S157" s="866" t="e">
        <f>VLOOKUP(N157,etat!$A$9:$P$905,16,FALSE)</f>
        <v>#N/A</v>
      </c>
      <c r="T157" s="755"/>
      <c r="U157" s="791"/>
      <c r="V157" s="784"/>
      <c r="W157" s="784"/>
      <c r="X157" s="784"/>
      <c r="Y157" s="975"/>
      <c r="Z157" s="975"/>
      <c r="AA157" s="967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</row>
    <row r="158" spans="1:49" s="13" customFormat="1" ht="17.45" customHeight="1">
      <c r="A158" s="25"/>
      <c r="B158" s="25"/>
      <c r="C158" s="25"/>
      <c r="D158" s="295"/>
      <c r="E158" s="295"/>
      <c r="F158" s="295"/>
      <c r="G158" s="295"/>
      <c r="H158" s="295"/>
      <c r="I158" s="25"/>
      <c r="J158" s="25"/>
      <c r="K158" s="25"/>
      <c r="L158" s="777">
        <v>5</v>
      </c>
      <c r="M158" s="778"/>
      <c r="N158" s="976">
        <v>0</v>
      </c>
      <c r="O158" s="1020">
        <v>38</v>
      </c>
      <c r="P158" s="847" t="e">
        <f>VLOOKUP(N158,etat!$A$9:$N$1004,2,FALSE)</f>
        <v>#N/A</v>
      </c>
      <c r="Q158" s="797" t="e">
        <f>VLOOKUP(N158,etat!$A$9:$N$963,7,FALSE)</f>
        <v>#N/A</v>
      </c>
      <c r="R158" s="797" t="e">
        <f>VLOOKUP(N158,etat!$A$9:$N$1003,9,FALSE)</f>
        <v>#N/A</v>
      </c>
      <c r="S158" s="866" t="e">
        <f>VLOOKUP(N158,etat!$A$9:$P$905,16,FALSE)</f>
        <v>#N/A</v>
      </c>
      <c r="T158" s="755"/>
      <c r="U158" s="791"/>
      <c r="V158" s="784"/>
      <c r="W158" s="784"/>
      <c r="X158" s="784"/>
      <c r="Y158" s="975"/>
      <c r="Z158" s="975"/>
      <c r="AA158" s="967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</row>
    <row r="159" spans="1:49" s="13" customFormat="1" ht="17.45" customHeight="1">
      <c r="A159" s="25"/>
      <c r="B159" s="25"/>
      <c r="C159" s="25"/>
      <c r="D159" s="295"/>
      <c r="E159" s="295"/>
      <c r="F159" s="295"/>
      <c r="G159" s="295"/>
      <c r="H159" s="295"/>
      <c r="I159" s="25"/>
      <c r="J159" s="25"/>
      <c r="K159" s="25"/>
      <c r="L159" s="777">
        <v>5</v>
      </c>
      <c r="M159" s="778"/>
      <c r="N159" s="976">
        <v>0</v>
      </c>
      <c r="O159" s="1020">
        <v>39</v>
      </c>
      <c r="P159" s="847" t="e">
        <f>VLOOKUP(N159,etat!$A$9:$N$1004,2,FALSE)</f>
        <v>#N/A</v>
      </c>
      <c r="Q159" s="797" t="e">
        <f>VLOOKUP(N159,etat!$A$9:$N$963,7,FALSE)</f>
        <v>#N/A</v>
      </c>
      <c r="R159" s="797" t="e">
        <f>VLOOKUP(N159,etat!$A$9:$N$1003,9,FALSE)</f>
        <v>#N/A</v>
      </c>
      <c r="S159" s="866" t="e">
        <f>VLOOKUP(N159,etat!$A$9:$P$905,16,FALSE)</f>
        <v>#N/A</v>
      </c>
      <c r="T159" s="755"/>
      <c r="U159" s="791"/>
      <c r="V159" s="784"/>
      <c r="W159" s="784"/>
      <c r="X159" s="784"/>
      <c r="Y159" s="975"/>
      <c r="Z159" s="975"/>
      <c r="AA159" s="967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</row>
    <row r="160" spans="1:49" s="13" customFormat="1" ht="17.45" customHeight="1">
      <c r="A160" s="25"/>
      <c r="B160" s="25"/>
      <c r="C160" s="25"/>
      <c r="D160" s="295"/>
      <c r="E160" s="295"/>
      <c r="F160" s="295"/>
      <c r="G160" s="295"/>
      <c r="H160" s="295"/>
      <c r="I160" s="25"/>
      <c r="J160" s="25"/>
      <c r="K160" s="25"/>
      <c r="L160" s="777">
        <v>5</v>
      </c>
      <c r="M160" s="778"/>
      <c r="N160" s="976">
        <v>0</v>
      </c>
      <c r="O160" s="1020">
        <v>40</v>
      </c>
      <c r="P160" s="847" t="e">
        <f>VLOOKUP(N160,etat!$A$9:$N$1004,2,FALSE)</f>
        <v>#N/A</v>
      </c>
      <c r="Q160" s="797" t="e">
        <f>VLOOKUP(N160,etat!$A$9:$N$963,7,FALSE)</f>
        <v>#N/A</v>
      </c>
      <c r="R160" s="797" t="e">
        <f>VLOOKUP(N160,etat!$A$9:$N$1003,9,FALSE)</f>
        <v>#N/A</v>
      </c>
      <c r="S160" s="866" t="e">
        <f>VLOOKUP(N160,etat!$A$9:$P$905,16,FALSE)</f>
        <v>#N/A</v>
      </c>
      <c r="T160" s="755"/>
      <c r="U160" s="784"/>
      <c r="V160" s="784"/>
      <c r="W160" s="784"/>
      <c r="X160" s="784"/>
      <c r="Y160" s="1117"/>
      <c r="Z160" s="967"/>
      <c r="AA160" s="967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</row>
    <row r="161" spans="1:49" s="13" customFormat="1" ht="17.45" customHeight="1">
      <c r="A161" s="25"/>
      <c r="B161" s="25"/>
      <c r="C161" s="25"/>
      <c r="D161" s="295"/>
      <c r="E161" s="295"/>
      <c r="F161" s="295"/>
      <c r="G161" s="295"/>
      <c r="H161" s="295"/>
      <c r="I161" s="25"/>
      <c r="J161" s="25"/>
      <c r="K161" s="25"/>
      <c r="L161" s="777">
        <v>5</v>
      </c>
      <c r="M161" s="778"/>
      <c r="N161" s="976">
        <v>0</v>
      </c>
      <c r="O161" s="1020">
        <v>41</v>
      </c>
      <c r="P161" s="847" t="e">
        <f>VLOOKUP(N161,etat!$A$9:$N$1004,2,FALSE)</f>
        <v>#N/A</v>
      </c>
      <c r="Q161" s="797" t="e">
        <f>VLOOKUP(N161,etat!$A$9:$N$963,7,FALSE)</f>
        <v>#N/A</v>
      </c>
      <c r="R161" s="797" t="e">
        <f>VLOOKUP(N161,etat!$A$9:$N$1003,9,FALSE)</f>
        <v>#N/A</v>
      </c>
      <c r="S161" s="866" t="e">
        <f>VLOOKUP(N161,etat!$A$9:$P$905,16,FALSE)</f>
        <v>#N/A</v>
      </c>
      <c r="T161" s="755"/>
      <c r="U161" s="791"/>
      <c r="V161" s="784"/>
      <c r="W161" s="784"/>
      <c r="X161" s="784"/>
      <c r="Y161" s="975"/>
      <c r="Z161" s="975"/>
      <c r="AA161" s="967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</row>
    <row r="162" spans="1:49" s="13" customFormat="1" ht="17.100000000000001" customHeight="1">
      <c r="A162" s="25"/>
      <c r="B162" s="25"/>
      <c r="C162" s="25"/>
      <c r="D162" s="295"/>
      <c r="E162" s="295"/>
      <c r="F162" s="295"/>
      <c r="G162" s="295"/>
      <c r="H162" s="295"/>
      <c r="I162" s="25"/>
      <c r="J162" s="25"/>
      <c r="K162" s="25"/>
      <c r="L162" s="777">
        <v>5</v>
      </c>
      <c r="M162" s="778"/>
      <c r="N162" s="976">
        <v>0</v>
      </c>
      <c r="O162" s="1020">
        <v>42</v>
      </c>
      <c r="P162" s="847" t="e">
        <f>VLOOKUP(N162,etat!$A$9:$N$1004,2,FALSE)</f>
        <v>#N/A</v>
      </c>
      <c r="Q162" s="797" t="e">
        <f>VLOOKUP(N162,etat!$A$9:$N$963,7,FALSE)</f>
        <v>#N/A</v>
      </c>
      <c r="R162" s="797" t="e">
        <f>VLOOKUP(N162,etat!$A$9:$N$1003,9,FALSE)</f>
        <v>#N/A</v>
      </c>
      <c r="S162" s="866" t="e">
        <f>VLOOKUP(N162,etat!$A$9:$P$905,16,FALSE)</f>
        <v>#N/A</v>
      </c>
      <c r="T162" s="755"/>
      <c r="U162" s="791"/>
      <c r="V162" s="784"/>
      <c r="W162" s="784"/>
      <c r="X162" s="784"/>
      <c r="Y162" s="1116"/>
      <c r="Z162" s="975"/>
      <c r="AA162" s="967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</row>
    <row r="163" spans="1:49" s="13" customFormat="1" ht="17.100000000000001" customHeight="1">
      <c r="A163" s="25"/>
      <c r="B163" s="25"/>
      <c r="C163" s="25"/>
      <c r="D163" s="295"/>
      <c r="E163" s="295"/>
      <c r="F163" s="295"/>
      <c r="G163" s="295"/>
      <c r="H163" s="295"/>
      <c r="I163" s="25"/>
      <c r="J163" s="25"/>
      <c r="K163" s="25"/>
      <c r="L163" s="777">
        <v>5</v>
      </c>
      <c r="M163" s="778"/>
      <c r="N163" s="976">
        <v>0</v>
      </c>
      <c r="O163" s="1020">
        <v>43</v>
      </c>
      <c r="P163" s="847" t="e">
        <f>VLOOKUP(N163,etat!$A$9:$N$1004,2,FALSE)</f>
        <v>#N/A</v>
      </c>
      <c r="Q163" s="797" t="e">
        <f>VLOOKUP(N163,etat!$A$9:$N$963,7,FALSE)</f>
        <v>#N/A</v>
      </c>
      <c r="R163" s="797" t="e">
        <f>VLOOKUP(N163,etat!$A$9:$N$1003,9,FALSE)</f>
        <v>#N/A</v>
      </c>
      <c r="S163" s="866" t="e">
        <f>VLOOKUP(N163,etat!$A$9:$P$905,16,FALSE)</f>
        <v>#N/A</v>
      </c>
      <c r="T163" s="755"/>
      <c r="U163" s="784"/>
      <c r="V163" s="784"/>
      <c r="W163" s="784"/>
      <c r="X163" s="784"/>
      <c r="Y163" s="1117"/>
      <c r="Z163" s="967"/>
      <c r="AA163" s="967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</row>
    <row r="164" spans="1:49" s="13" customFormat="1" ht="17.100000000000001" customHeight="1">
      <c r="A164" s="25"/>
      <c r="B164" s="25"/>
      <c r="C164" s="25"/>
      <c r="D164" s="295"/>
      <c r="E164" s="295"/>
      <c r="F164" s="295"/>
      <c r="G164" s="295"/>
      <c r="H164" s="295"/>
      <c r="I164" s="25"/>
      <c r="J164" s="25"/>
      <c r="K164" s="25"/>
      <c r="L164" s="777">
        <v>5</v>
      </c>
      <c r="M164" s="778"/>
      <c r="N164" s="976">
        <v>0</v>
      </c>
      <c r="O164" s="1020">
        <v>44</v>
      </c>
      <c r="P164" s="847" t="e">
        <f>VLOOKUP(N164,etat!$A$9:$N$1004,2,FALSE)</f>
        <v>#N/A</v>
      </c>
      <c r="Q164" s="797" t="e">
        <f>VLOOKUP(N164,etat!$A$9:$N$963,7,FALSE)</f>
        <v>#N/A</v>
      </c>
      <c r="R164" s="797" t="e">
        <f>VLOOKUP(N164,etat!$A$9:$N$1003,9,FALSE)</f>
        <v>#N/A</v>
      </c>
      <c r="S164" s="866" t="e">
        <f>VLOOKUP(N164,etat!$A$9:$P$905,16,FALSE)</f>
        <v>#N/A</v>
      </c>
      <c r="T164" s="755"/>
      <c r="U164" s="784"/>
      <c r="V164" s="784"/>
      <c r="W164" s="784"/>
      <c r="X164" s="784"/>
      <c r="Y164" s="1117"/>
      <c r="Z164" s="967"/>
      <c r="AA164" s="967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</row>
    <row r="165" spans="1:49" s="13" customFormat="1" ht="17.100000000000001" customHeight="1">
      <c r="A165" s="25"/>
      <c r="B165" s="25"/>
      <c r="C165" s="25"/>
      <c r="D165" s="295"/>
      <c r="E165" s="295"/>
      <c r="F165" s="295"/>
      <c r="G165" s="295"/>
      <c r="H165" s="295"/>
      <c r="I165" s="25"/>
      <c r="J165" s="25"/>
      <c r="K165" s="25"/>
      <c r="L165" s="777">
        <v>5</v>
      </c>
      <c r="M165" s="778"/>
      <c r="N165" s="976">
        <v>0</v>
      </c>
      <c r="O165" s="1020">
        <v>45</v>
      </c>
      <c r="P165" s="847" t="e">
        <f>VLOOKUP(N165,etat!$A$9:$N$1004,2,FALSE)</f>
        <v>#N/A</v>
      </c>
      <c r="Q165" s="797" t="e">
        <f>VLOOKUP(N165,etat!$A$9:$N$963,7,FALSE)</f>
        <v>#N/A</v>
      </c>
      <c r="R165" s="797" t="e">
        <f>VLOOKUP(N165,etat!$A$9:$N$1003,9,FALSE)</f>
        <v>#N/A</v>
      </c>
      <c r="S165" s="866" t="e">
        <f>VLOOKUP(N165,etat!$A$9:$P$905,16,FALSE)</f>
        <v>#N/A</v>
      </c>
      <c r="T165" s="755"/>
      <c r="U165" s="784"/>
      <c r="V165" s="784"/>
      <c r="W165" s="784"/>
      <c r="X165" s="784"/>
      <c r="Y165" s="975"/>
      <c r="Z165" s="975"/>
      <c r="AA165" s="967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</row>
    <row r="166" spans="1:49" s="13" customFormat="1" ht="17.100000000000001" customHeight="1">
      <c r="A166" s="25"/>
      <c r="B166" s="25"/>
      <c r="C166" s="25"/>
      <c r="D166" s="295"/>
      <c r="E166" s="295"/>
      <c r="F166" s="295"/>
      <c r="G166" s="295"/>
      <c r="H166" s="295"/>
      <c r="I166" s="25"/>
      <c r="J166" s="25"/>
      <c r="K166" s="25"/>
      <c r="L166" s="777">
        <v>5</v>
      </c>
      <c r="M166" s="778"/>
      <c r="N166" s="976">
        <v>0</v>
      </c>
      <c r="O166" s="1020">
        <v>46</v>
      </c>
      <c r="P166" s="847" t="e">
        <f>VLOOKUP(N166,etat!$A$9:$N$1004,2,FALSE)</f>
        <v>#N/A</v>
      </c>
      <c r="Q166" s="797" t="e">
        <f>VLOOKUP(N166,etat!$A$9:$N$963,7,FALSE)</f>
        <v>#N/A</v>
      </c>
      <c r="R166" s="797" t="e">
        <f>VLOOKUP(N166,etat!$A$9:$N$1003,9,FALSE)</f>
        <v>#N/A</v>
      </c>
      <c r="S166" s="866" t="e">
        <f>VLOOKUP(N166,etat!$A$9:$P$905,16,FALSE)</f>
        <v>#N/A</v>
      </c>
      <c r="T166" s="755"/>
      <c r="U166" s="784"/>
      <c r="V166" s="784"/>
      <c r="W166" s="784"/>
      <c r="X166" s="784"/>
      <c r="Y166" s="975"/>
      <c r="Z166" s="975"/>
      <c r="AA166" s="967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</row>
    <row r="167" spans="1:49" s="13" customFormat="1" ht="17.100000000000001" customHeight="1">
      <c r="A167" s="25"/>
      <c r="B167" s="25"/>
      <c r="C167" s="25"/>
      <c r="D167" s="295"/>
      <c r="E167" s="295"/>
      <c r="F167" s="295"/>
      <c r="G167" s="295"/>
      <c r="H167" s="295"/>
      <c r="I167" s="25"/>
      <c r="J167" s="25"/>
      <c r="K167" s="25"/>
      <c r="L167" s="777">
        <v>5</v>
      </c>
      <c r="M167" s="778"/>
      <c r="N167" s="976">
        <v>0</v>
      </c>
      <c r="O167" s="1020">
        <v>47</v>
      </c>
      <c r="P167" s="847" t="e">
        <f>VLOOKUP(N167,etat!$A$9:$N$1004,2,FALSE)</f>
        <v>#N/A</v>
      </c>
      <c r="Q167" s="797" t="e">
        <f>VLOOKUP(N167,etat!$A$9:$N$963,7,FALSE)</f>
        <v>#N/A</v>
      </c>
      <c r="R167" s="797" t="e">
        <f>VLOOKUP(N167,etat!$A$9:$N$1003,9,FALSE)</f>
        <v>#N/A</v>
      </c>
      <c r="S167" s="866" t="e">
        <f>VLOOKUP(N167,etat!$A$9:$P$905,16,FALSE)</f>
        <v>#N/A</v>
      </c>
      <c r="T167" s="755"/>
      <c r="U167" s="784"/>
      <c r="V167" s="784"/>
      <c r="W167" s="784"/>
      <c r="X167" s="784"/>
      <c r="Y167" s="975"/>
      <c r="Z167" s="975"/>
      <c r="AA167" s="967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</row>
    <row r="168" spans="1:49" s="13" customFormat="1" ht="17.100000000000001" customHeight="1">
      <c r="A168" s="25"/>
      <c r="B168" s="25"/>
      <c r="C168" s="25"/>
      <c r="D168" s="295"/>
      <c r="E168" s="295"/>
      <c r="F168" s="295"/>
      <c r="G168" s="295"/>
      <c r="H168" s="295"/>
      <c r="I168" s="25"/>
      <c r="J168" s="25"/>
      <c r="K168" s="25"/>
      <c r="L168" s="777">
        <v>5</v>
      </c>
      <c r="M168" s="778"/>
      <c r="N168" s="976">
        <v>0</v>
      </c>
      <c r="O168" s="1020">
        <v>48</v>
      </c>
      <c r="P168" s="847" t="e">
        <f>VLOOKUP(N168,etat!$A$9:$N$1004,2,FALSE)</f>
        <v>#N/A</v>
      </c>
      <c r="Q168" s="797" t="e">
        <f>VLOOKUP(N168,etat!$A$9:$N$963,7,FALSE)</f>
        <v>#N/A</v>
      </c>
      <c r="R168" s="797" t="e">
        <f>VLOOKUP(N168,etat!$A$9:$N$1003,9,FALSE)</f>
        <v>#N/A</v>
      </c>
      <c r="S168" s="866" t="e">
        <f>VLOOKUP(N168,etat!$A$9:$P$905,16,FALSE)</f>
        <v>#N/A</v>
      </c>
      <c r="T168" s="755"/>
      <c r="U168" s="784"/>
      <c r="V168" s="784"/>
      <c r="W168" s="784"/>
      <c r="X168" s="784"/>
      <c r="Y168" s="975"/>
      <c r="Z168" s="967"/>
      <c r="AA168" s="967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</row>
    <row r="169" spans="1:49" s="13" customFormat="1" ht="17.100000000000001" customHeight="1">
      <c r="A169" s="25"/>
      <c r="B169" s="25"/>
      <c r="C169" s="25"/>
      <c r="D169" s="295"/>
      <c r="E169" s="295"/>
      <c r="F169" s="295"/>
      <c r="G169" s="295"/>
      <c r="H169" s="295"/>
      <c r="I169" s="25"/>
      <c r="J169" s="25"/>
      <c r="K169" s="25"/>
      <c r="L169" s="777">
        <v>5</v>
      </c>
      <c r="M169" s="778"/>
      <c r="N169" s="976">
        <v>0</v>
      </c>
      <c r="O169" s="1020">
        <v>49</v>
      </c>
      <c r="P169" s="847" t="e">
        <f>VLOOKUP(N169,etat!$A$9:$N$1004,2,FALSE)</f>
        <v>#N/A</v>
      </c>
      <c r="Q169" s="797" t="e">
        <f>VLOOKUP(N169,etat!$A$9:$N$963,7,FALSE)</f>
        <v>#N/A</v>
      </c>
      <c r="R169" s="797" t="e">
        <f>VLOOKUP(N169,etat!$A$9:$N$1003,9,FALSE)</f>
        <v>#N/A</v>
      </c>
      <c r="S169" s="866" t="e">
        <f>VLOOKUP(N169,etat!$A$9:$P$905,16,FALSE)</f>
        <v>#N/A</v>
      </c>
      <c r="T169" s="755"/>
      <c r="U169" s="791"/>
      <c r="V169" s="784"/>
      <c r="W169" s="784"/>
      <c r="X169" s="784"/>
      <c r="Y169" s="975"/>
      <c r="Z169" s="975"/>
      <c r="AA169" s="967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</row>
    <row r="170" spans="1:49" s="13" customFormat="1" ht="17.100000000000001" customHeight="1">
      <c r="A170" s="25"/>
      <c r="B170" s="25"/>
      <c r="C170" s="25"/>
      <c r="D170" s="295"/>
      <c r="E170" s="295"/>
      <c r="F170" s="295"/>
      <c r="G170" s="295"/>
      <c r="H170" s="295"/>
      <c r="I170" s="25"/>
      <c r="J170" s="25"/>
      <c r="K170" s="25"/>
      <c r="L170" s="777">
        <v>5</v>
      </c>
      <c r="M170" s="778"/>
      <c r="N170" s="976">
        <v>0</v>
      </c>
      <c r="O170" s="1020">
        <v>50</v>
      </c>
      <c r="P170" s="847" t="e">
        <f>VLOOKUP(N170,etat!$A$9:$N$1004,2,FALSE)</f>
        <v>#N/A</v>
      </c>
      <c r="Q170" s="797" t="e">
        <f>VLOOKUP(N170,etat!$A$9:$N$963,7,FALSE)</f>
        <v>#N/A</v>
      </c>
      <c r="R170" s="797" t="e">
        <f>VLOOKUP(N170,etat!$A$9:$N$1003,9,FALSE)</f>
        <v>#N/A</v>
      </c>
      <c r="S170" s="866" t="e">
        <f>VLOOKUP(N170,etat!$A$9:$P$905,16,FALSE)</f>
        <v>#N/A</v>
      </c>
      <c r="T170" s="755"/>
      <c r="U170" s="791"/>
      <c r="V170" s="784"/>
      <c r="W170" s="784"/>
      <c r="X170" s="784"/>
      <c r="Y170" s="975"/>
      <c r="Z170" s="975"/>
      <c r="AA170" s="967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</row>
    <row r="171" spans="1:49" s="13" customFormat="1" ht="17.100000000000001" customHeight="1">
      <c r="A171" s="25"/>
      <c r="B171" s="25"/>
      <c r="C171" s="25"/>
      <c r="D171" s="295"/>
      <c r="E171" s="295"/>
      <c r="F171" s="295"/>
      <c r="G171" s="295"/>
      <c r="H171" s="295"/>
      <c r="I171" s="25"/>
      <c r="J171" s="25"/>
      <c r="K171" s="25"/>
      <c r="L171" s="777">
        <v>5</v>
      </c>
      <c r="M171" s="778"/>
      <c r="N171" s="976">
        <v>0</v>
      </c>
      <c r="O171" s="1020">
        <v>51</v>
      </c>
      <c r="P171" s="847" t="e">
        <f>VLOOKUP(N171,etat!$A$9:$N$1004,2,FALSE)</f>
        <v>#N/A</v>
      </c>
      <c r="Q171" s="797" t="e">
        <f>VLOOKUP(N171,etat!$A$9:$N$963,7,FALSE)</f>
        <v>#N/A</v>
      </c>
      <c r="R171" s="797" t="e">
        <f>VLOOKUP(N171,etat!$A$9:$N$1003,9,FALSE)</f>
        <v>#N/A</v>
      </c>
      <c r="S171" s="866" t="e">
        <f>VLOOKUP(N171,etat!$A$9:$P$905,16,FALSE)</f>
        <v>#N/A</v>
      </c>
      <c r="T171" s="755"/>
      <c r="U171" s="791"/>
      <c r="V171" s="784"/>
      <c r="W171" s="784"/>
      <c r="X171" s="784"/>
      <c r="Y171" s="975"/>
      <c r="Z171" s="975"/>
      <c r="AA171" s="967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</row>
    <row r="172" spans="1:49" s="13" customFormat="1" ht="17.100000000000001" customHeight="1">
      <c r="A172" s="25"/>
      <c r="B172" s="25"/>
      <c r="C172" s="25"/>
      <c r="D172" s="295"/>
      <c r="E172" s="295"/>
      <c r="F172" s="295"/>
      <c r="G172" s="295"/>
      <c r="H172" s="295"/>
      <c r="I172" s="25"/>
      <c r="J172" s="25"/>
      <c r="K172" s="25"/>
      <c r="L172" s="777">
        <v>5</v>
      </c>
      <c r="M172" s="778"/>
      <c r="N172" s="976">
        <v>0</v>
      </c>
      <c r="O172" s="1020">
        <v>52</v>
      </c>
      <c r="P172" s="847" t="e">
        <f>VLOOKUP(N172,etat!$A$9:$N$1004,2,FALSE)</f>
        <v>#N/A</v>
      </c>
      <c r="Q172" s="797" t="e">
        <f>VLOOKUP(N172,etat!$A$9:$N$963,7,FALSE)</f>
        <v>#N/A</v>
      </c>
      <c r="R172" s="797" t="e">
        <f>VLOOKUP(N172,etat!$A$9:$N$1003,9,FALSE)</f>
        <v>#N/A</v>
      </c>
      <c r="S172" s="866" t="e">
        <f>VLOOKUP(N172,etat!$A$9:$P$905,16,FALSE)</f>
        <v>#N/A</v>
      </c>
      <c r="T172" s="755"/>
      <c r="U172" s="791"/>
      <c r="V172" s="784"/>
      <c r="W172" s="784"/>
      <c r="X172" s="784"/>
      <c r="Y172" s="975"/>
      <c r="Z172" s="975"/>
      <c r="AA172" s="967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</row>
    <row r="173" spans="1:49" s="13" customFormat="1" ht="17.100000000000001" customHeight="1">
      <c r="A173" s="25"/>
      <c r="B173" s="25"/>
      <c r="C173" s="25"/>
      <c r="D173" s="295"/>
      <c r="E173" s="295"/>
      <c r="F173" s="295"/>
      <c r="G173" s="295"/>
      <c r="H173" s="295"/>
      <c r="I173" s="25"/>
      <c r="J173" s="25"/>
      <c r="K173" s="25"/>
      <c r="L173" s="777">
        <v>5</v>
      </c>
      <c r="M173" s="778"/>
      <c r="N173" s="976">
        <v>0</v>
      </c>
      <c r="O173" s="1020">
        <v>53</v>
      </c>
      <c r="P173" s="847" t="e">
        <f>VLOOKUP(N173,etat!$A$9:$N$1004,2,FALSE)</f>
        <v>#N/A</v>
      </c>
      <c r="Q173" s="797" t="e">
        <f>VLOOKUP(N173,etat!$A$9:$N$963,7,FALSE)</f>
        <v>#N/A</v>
      </c>
      <c r="R173" s="797" t="e">
        <f>VLOOKUP(N173,etat!$A$9:$N$1003,9,FALSE)</f>
        <v>#N/A</v>
      </c>
      <c r="S173" s="866" t="e">
        <f>VLOOKUP(N173,etat!$A$9:$P$905,16,FALSE)</f>
        <v>#N/A</v>
      </c>
      <c r="T173" s="755"/>
      <c r="U173" s="791"/>
      <c r="V173" s="784"/>
      <c r="W173" s="784"/>
      <c r="X173" s="784"/>
      <c r="Y173" s="975"/>
      <c r="Z173" s="975"/>
      <c r="AA173" s="967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</row>
    <row r="174" spans="1:49" s="13" customFormat="1" ht="17.100000000000001" customHeight="1">
      <c r="A174" s="25"/>
      <c r="B174" s="25"/>
      <c r="C174" s="25"/>
      <c r="D174" s="295"/>
      <c r="E174" s="295"/>
      <c r="F174" s="295"/>
      <c r="G174" s="295"/>
      <c r="H174" s="295"/>
      <c r="I174" s="25"/>
      <c r="J174" s="25"/>
      <c r="K174" s="25"/>
      <c r="L174" s="777">
        <v>5</v>
      </c>
      <c r="M174" s="778"/>
      <c r="N174" s="976">
        <v>0</v>
      </c>
      <c r="O174" s="1020">
        <v>54</v>
      </c>
      <c r="P174" s="847" t="e">
        <f>VLOOKUP(N174,etat!$A$9:$N$1004,2,FALSE)</f>
        <v>#N/A</v>
      </c>
      <c r="Q174" s="797" t="e">
        <f>VLOOKUP(N174,etat!$A$9:$N$963,7,FALSE)</f>
        <v>#N/A</v>
      </c>
      <c r="R174" s="797" t="e">
        <f>VLOOKUP(N174,etat!$A$9:$N$1003,9,FALSE)</f>
        <v>#N/A</v>
      </c>
      <c r="S174" s="866" t="e">
        <f>VLOOKUP(N174,etat!$A$9:$P$905,16,FALSE)</f>
        <v>#N/A</v>
      </c>
      <c r="T174" s="755"/>
      <c r="U174" s="791"/>
      <c r="V174" s="784"/>
      <c r="W174" s="784"/>
      <c r="X174" s="784"/>
      <c r="Y174" s="975"/>
      <c r="Z174" s="975"/>
      <c r="AA174" s="967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</row>
    <row r="175" spans="1:49" s="13" customFormat="1" ht="17.100000000000001" customHeight="1">
      <c r="A175" s="25"/>
      <c r="B175" s="25"/>
      <c r="C175" s="25"/>
      <c r="D175" s="295"/>
      <c r="E175" s="295"/>
      <c r="F175" s="295"/>
      <c r="G175" s="295"/>
      <c r="H175" s="295"/>
      <c r="I175" s="25"/>
      <c r="J175" s="25"/>
      <c r="K175" s="25"/>
      <c r="L175" s="777">
        <v>5</v>
      </c>
      <c r="M175" s="778"/>
      <c r="N175" s="976">
        <v>0</v>
      </c>
      <c r="O175" s="1020">
        <v>55</v>
      </c>
      <c r="P175" s="847" t="e">
        <f>VLOOKUP(N175,etat!$A$9:$N$1004,2,FALSE)</f>
        <v>#N/A</v>
      </c>
      <c r="Q175" s="797" t="e">
        <f>VLOOKUP(N175,etat!$A$9:$N$963,7,FALSE)</f>
        <v>#N/A</v>
      </c>
      <c r="R175" s="797" t="e">
        <f>VLOOKUP(N175,etat!$A$9:$N$1003,9,FALSE)</f>
        <v>#N/A</v>
      </c>
      <c r="S175" s="866" t="e">
        <f>VLOOKUP(N175,etat!$A$9:$P$905,16,FALSE)</f>
        <v>#N/A</v>
      </c>
      <c r="T175" s="755"/>
      <c r="U175" s="791"/>
      <c r="V175" s="784"/>
      <c r="W175" s="784"/>
      <c r="X175" s="784"/>
      <c r="Y175" s="975"/>
      <c r="Z175" s="967"/>
      <c r="AA175" s="967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</row>
    <row r="176" spans="1:49" s="13" customFormat="1" ht="17.100000000000001" customHeight="1">
      <c r="A176" s="25"/>
      <c r="B176" s="25"/>
      <c r="C176" s="25"/>
      <c r="D176" s="295"/>
      <c r="E176" s="295"/>
      <c r="F176" s="295"/>
      <c r="G176" s="295"/>
      <c r="H176" s="295"/>
      <c r="I176" s="25"/>
      <c r="J176" s="25"/>
      <c r="K176" s="25"/>
      <c r="L176" s="777">
        <v>5</v>
      </c>
      <c r="M176" s="778"/>
      <c r="N176" s="976">
        <v>0</v>
      </c>
      <c r="O176" s="1020">
        <v>56</v>
      </c>
      <c r="P176" s="847" t="e">
        <f>VLOOKUP(N176,etat!$A$9:$N$1004,2,FALSE)</f>
        <v>#N/A</v>
      </c>
      <c r="Q176" s="797" t="e">
        <f>VLOOKUP(N176,etat!$A$9:$N$963,7,FALSE)</f>
        <v>#N/A</v>
      </c>
      <c r="R176" s="797" t="e">
        <f>VLOOKUP(N176,etat!$A$9:$N$1003,9,FALSE)</f>
        <v>#N/A</v>
      </c>
      <c r="S176" s="866" t="e">
        <f>VLOOKUP(N176,etat!$A$9:$P$905,16,FALSE)</f>
        <v>#N/A</v>
      </c>
      <c r="T176" s="755"/>
      <c r="U176" s="791"/>
      <c r="V176" s="784"/>
      <c r="W176" s="784"/>
      <c r="X176" s="784"/>
      <c r="Y176" s="975"/>
      <c r="Z176" s="975"/>
      <c r="AA176" s="967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</row>
    <row r="177" spans="1:49" s="13" customFormat="1" ht="17.100000000000001" customHeight="1">
      <c r="A177" s="25"/>
      <c r="B177" s="25"/>
      <c r="C177" s="25"/>
      <c r="D177" s="295"/>
      <c r="E177" s="295"/>
      <c r="F177" s="295"/>
      <c r="G177" s="295"/>
      <c r="H177" s="295"/>
      <c r="I177" s="25"/>
      <c r="J177" s="25"/>
      <c r="K177" s="25"/>
      <c r="L177" s="777">
        <v>5</v>
      </c>
      <c r="M177" s="778"/>
      <c r="N177" s="976">
        <v>0</v>
      </c>
      <c r="O177" s="1020">
        <v>57</v>
      </c>
      <c r="P177" s="847" t="e">
        <f>VLOOKUP(N177,etat!$A$9:$N$1004,2,FALSE)</f>
        <v>#N/A</v>
      </c>
      <c r="Q177" s="797" t="e">
        <f>VLOOKUP(N177,etat!$A$9:$N$963,7,FALSE)</f>
        <v>#N/A</v>
      </c>
      <c r="R177" s="797" t="e">
        <f>VLOOKUP(N177,etat!$A$9:$N$1003,9,FALSE)</f>
        <v>#N/A</v>
      </c>
      <c r="S177" s="866" t="e">
        <f>VLOOKUP(N177,etat!$A$9:$P$905,16,FALSE)</f>
        <v>#N/A</v>
      </c>
      <c r="T177" s="755"/>
      <c r="U177" s="791"/>
      <c r="V177" s="784"/>
      <c r="W177" s="784"/>
      <c r="X177" s="784"/>
      <c r="Y177" s="1116"/>
      <c r="Z177" s="975"/>
      <c r="AA177" s="967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</row>
    <row r="178" spans="1:49" s="13" customFormat="1" ht="17.100000000000001" customHeight="1">
      <c r="A178" s="25"/>
      <c r="B178" s="25"/>
      <c r="C178" s="25"/>
      <c r="D178" s="295"/>
      <c r="E178" s="295"/>
      <c r="F178" s="295"/>
      <c r="G178" s="295"/>
      <c r="H178" s="295"/>
      <c r="I178" s="25"/>
      <c r="J178" s="25"/>
      <c r="K178" s="25"/>
      <c r="L178" s="777">
        <v>5</v>
      </c>
      <c r="M178" s="778"/>
      <c r="N178" s="976">
        <v>0</v>
      </c>
      <c r="O178" s="1020">
        <v>58</v>
      </c>
      <c r="P178" s="847" t="e">
        <f>VLOOKUP(N178,etat!$A$9:$N$1004,2,FALSE)</f>
        <v>#N/A</v>
      </c>
      <c r="Q178" s="797" t="e">
        <f>VLOOKUP(N178,etat!$A$9:$N$963,7,FALSE)</f>
        <v>#N/A</v>
      </c>
      <c r="R178" s="797" t="e">
        <f>VLOOKUP(N178,etat!$A$9:$N$1003,9,FALSE)</f>
        <v>#N/A</v>
      </c>
      <c r="S178" s="866" t="e">
        <f>VLOOKUP(N178,etat!$A$9:$P$905,16,FALSE)</f>
        <v>#N/A</v>
      </c>
      <c r="T178" s="755"/>
      <c r="U178" s="791"/>
      <c r="V178" s="784"/>
      <c r="W178" s="784"/>
      <c r="X178" s="784"/>
      <c r="Y178" s="975"/>
      <c r="Z178" s="975"/>
      <c r="AA178" s="967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</row>
    <row r="179" spans="1:49" s="13" customFormat="1" ht="17.100000000000001" customHeight="1">
      <c r="A179" s="25"/>
      <c r="B179" s="25"/>
      <c r="C179" s="25"/>
      <c r="D179" s="295"/>
      <c r="E179" s="295"/>
      <c r="F179" s="295"/>
      <c r="G179" s="295"/>
      <c r="H179" s="295"/>
      <c r="I179" s="25"/>
      <c r="J179" s="25"/>
      <c r="K179" s="25"/>
      <c r="L179" s="777">
        <v>5</v>
      </c>
      <c r="M179" s="778"/>
      <c r="N179" s="976">
        <v>0</v>
      </c>
      <c r="O179" s="1020">
        <v>59</v>
      </c>
      <c r="P179" s="847" t="e">
        <f>VLOOKUP(N179,etat!$A$9:$N$1004,2,FALSE)</f>
        <v>#N/A</v>
      </c>
      <c r="Q179" s="797" t="e">
        <f>VLOOKUP(N179,etat!$A$9:$N$963,7,FALSE)</f>
        <v>#N/A</v>
      </c>
      <c r="R179" s="797" t="e">
        <f>VLOOKUP(N179,etat!$A$9:$N$1003,9,FALSE)</f>
        <v>#N/A</v>
      </c>
      <c r="S179" s="866" t="e">
        <f>VLOOKUP(N179,etat!$A$9:$P$905,16,FALSE)</f>
        <v>#N/A</v>
      </c>
      <c r="T179" s="755"/>
      <c r="U179" s="1129"/>
      <c r="V179" s="784"/>
      <c r="W179" s="784"/>
      <c r="X179" s="784"/>
      <c r="Y179" s="975"/>
      <c r="Z179" s="975"/>
      <c r="AA179" s="967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</row>
    <row r="180" spans="1:49" s="13" customFormat="1" ht="17.100000000000001" customHeight="1">
      <c r="A180" s="25"/>
      <c r="B180" s="25"/>
      <c r="C180" s="25"/>
      <c r="D180" s="295"/>
      <c r="E180" s="295"/>
      <c r="F180" s="295"/>
      <c r="G180" s="295"/>
      <c r="H180" s="295"/>
      <c r="I180" s="25"/>
      <c r="J180" s="25"/>
      <c r="K180" s="25"/>
      <c r="L180" s="777">
        <v>5</v>
      </c>
      <c r="M180" s="778"/>
      <c r="N180" s="976">
        <v>0</v>
      </c>
      <c r="O180" s="1020">
        <v>60</v>
      </c>
      <c r="P180" s="847" t="e">
        <f>VLOOKUP(N180,etat!$A$9:$N$1004,2,FALSE)</f>
        <v>#N/A</v>
      </c>
      <c r="Q180" s="797" t="e">
        <f>VLOOKUP(N180,etat!$A$9:$N$963,7,FALSE)</f>
        <v>#N/A</v>
      </c>
      <c r="R180" s="797" t="e">
        <f>VLOOKUP(N180,etat!$A$9:$N$1003,9,FALSE)</f>
        <v>#N/A</v>
      </c>
      <c r="S180" s="866" t="e">
        <f>VLOOKUP(N180,etat!$A$9:$P$905,16,FALSE)</f>
        <v>#N/A</v>
      </c>
      <c r="T180" s="755"/>
      <c r="U180" s="791"/>
      <c r="V180" s="784"/>
      <c r="W180" s="784"/>
      <c r="X180" s="784"/>
      <c r="Y180" s="975"/>
      <c r="Z180" s="975"/>
      <c r="AA180" s="967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</row>
    <row r="181" spans="1:49" s="13" customFormat="1" ht="17.100000000000001" customHeight="1">
      <c r="A181" s="25"/>
      <c r="B181" s="25"/>
      <c r="C181" s="25"/>
      <c r="D181" s="295"/>
      <c r="E181" s="295"/>
      <c r="F181" s="295"/>
      <c r="G181" s="295"/>
      <c r="H181" s="295"/>
      <c r="I181" s="25"/>
      <c r="J181" s="25"/>
      <c r="K181" s="25"/>
      <c r="L181" s="777">
        <v>5</v>
      </c>
      <c r="M181" s="778"/>
      <c r="N181" s="976">
        <v>0</v>
      </c>
      <c r="O181" s="1020">
        <v>61</v>
      </c>
      <c r="P181" s="847" t="e">
        <f>VLOOKUP(N181,etat!$A$9:$N$1004,2,FALSE)</f>
        <v>#N/A</v>
      </c>
      <c r="Q181" s="797" t="e">
        <f>VLOOKUP(N181,etat!$A$9:$N$963,7,FALSE)</f>
        <v>#N/A</v>
      </c>
      <c r="R181" s="797" t="e">
        <f>VLOOKUP(N181,etat!$A$9:$N$1003,9,FALSE)</f>
        <v>#N/A</v>
      </c>
      <c r="S181" s="866" t="e">
        <f>VLOOKUP(N181,etat!$A$9:$P$905,16,FALSE)</f>
        <v>#N/A</v>
      </c>
      <c r="T181" s="755"/>
      <c r="U181" s="791"/>
      <c r="V181" s="784"/>
      <c r="W181" s="784"/>
      <c r="X181" s="784"/>
      <c r="Y181" s="1118"/>
      <c r="Z181" s="975"/>
      <c r="AA181" s="967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</row>
    <row r="182" spans="1:49" s="13" customFormat="1" ht="17.100000000000001" customHeight="1">
      <c r="A182" s="25"/>
      <c r="B182" s="25"/>
      <c r="C182" s="25"/>
      <c r="D182" s="295"/>
      <c r="E182" s="295"/>
      <c r="F182" s="295"/>
      <c r="G182" s="295"/>
      <c r="H182" s="295"/>
      <c r="I182" s="25"/>
      <c r="J182" s="25"/>
      <c r="K182" s="25"/>
      <c r="L182" s="777">
        <v>5</v>
      </c>
      <c r="M182" s="778"/>
      <c r="N182" s="976">
        <v>0</v>
      </c>
      <c r="O182" s="1020">
        <v>62</v>
      </c>
      <c r="P182" s="847" t="e">
        <f>VLOOKUP(N182,etat!$A$9:$N$1004,2,FALSE)</f>
        <v>#N/A</v>
      </c>
      <c r="Q182" s="797" t="e">
        <f>VLOOKUP(N182,etat!$A$9:$N$963,7,FALSE)</f>
        <v>#N/A</v>
      </c>
      <c r="R182" s="797" t="e">
        <f>VLOOKUP(N182,etat!$A$9:$N$1003,9,FALSE)</f>
        <v>#N/A</v>
      </c>
      <c r="S182" s="866" t="e">
        <f>VLOOKUP(N182,etat!$A$9:$P$905,16,FALSE)</f>
        <v>#N/A</v>
      </c>
      <c r="T182" s="755"/>
      <c r="U182" s="791"/>
      <c r="V182" s="784"/>
      <c r="W182" s="784"/>
      <c r="X182" s="784"/>
      <c r="Y182" s="1118"/>
      <c r="Z182" s="975"/>
      <c r="AA182" s="967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</row>
    <row r="183" spans="1:49" s="13" customFormat="1" ht="17.100000000000001" customHeight="1">
      <c r="A183" s="25"/>
      <c r="B183" s="25"/>
      <c r="C183" s="25"/>
      <c r="D183" s="295"/>
      <c r="E183" s="295"/>
      <c r="F183" s="295"/>
      <c r="G183" s="295"/>
      <c r="H183" s="295"/>
      <c r="I183" s="25"/>
      <c r="J183" s="25"/>
      <c r="K183" s="25"/>
      <c r="L183" s="777">
        <v>5</v>
      </c>
      <c r="M183" s="778"/>
      <c r="N183" s="976">
        <v>0</v>
      </c>
      <c r="O183" s="1020">
        <v>63</v>
      </c>
      <c r="P183" s="847" t="e">
        <f>VLOOKUP(N183,etat!$A$9:$N$1004,2,FALSE)</f>
        <v>#N/A</v>
      </c>
      <c r="Q183" s="797" t="e">
        <f>VLOOKUP(N183,etat!$A$9:$N$963,7,FALSE)</f>
        <v>#N/A</v>
      </c>
      <c r="R183" s="797" t="e">
        <f>VLOOKUP(N183,etat!$A$9:$N$1003,9,FALSE)</f>
        <v>#N/A</v>
      </c>
      <c r="S183" s="866" t="e">
        <f>VLOOKUP(N183,etat!$A$9:$P$905,16,FALSE)</f>
        <v>#N/A</v>
      </c>
      <c r="T183" s="755"/>
      <c r="U183" s="791"/>
      <c r="V183" s="784"/>
      <c r="W183" s="784"/>
      <c r="X183" s="869"/>
      <c r="Y183" s="975"/>
      <c r="Z183" s="967"/>
      <c r="AA183" s="967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</row>
    <row r="184" spans="1:49" s="13" customFormat="1" ht="17.100000000000001" customHeight="1">
      <c r="A184" s="25"/>
      <c r="B184" s="25"/>
      <c r="C184" s="25"/>
      <c r="D184" s="295"/>
      <c r="E184" s="295"/>
      <c r="F184" s="295"/>
      <c r="G184" s="295"/>
      <c r="H184" s="295"/>
      <c r="I184" s="25"/>
      <c r="J184" s="25"/>
      <c r="K184" s="25"/>
      <c r="L184" s="777">
        <v>5</v>
      </c>
      <c r="M184" s="778"/>
      <c r="N184" s="976">
        <v>0</v>
      </c>
      <c r="O184" s="1020">
        <v>64</v>
      </c>
      <c r="P184" s="847" t="e">
        <f>VLOOKUP(N184,etat!$A$9:$N$1004,2,FALSE)</f>
        <v>#N/A</v>
      </c>
      <c r="Q184" s="797" t="e">
        <f>VLOOKUP(N184,etat!$A$9:$N$963,7,FALSE)</f>
        <v>#N/A</v>
      </c>
      <c r="R184" s="797" t="e">
        <f>VLOOKUP(N184,etat!$A$9:$N$1003,9,FALSE)</f>
        <v>#N/A</v>
      </c>
      <c r="S184" s="866" t="e">
        <f>VLOOKUP(N184,etat!$A$9:$P$905,16,FALSE)</f>
        <v>#N/A</v>
      </c>
      <c r="T184" s="755"/>
      <c r="U184" s="791"/>
      <c r="V184" s="784"/>
      <c r="W184" s="784"/>
      <c r="X184" s="784"/>
      <c r="Y184" s="975"/>
      <c r="Z184" s="975"/>
      <c r="AA184" s="967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</row>
    <row r="185" spans="1:49" s="13" customFormat="1" ht="17.100000000000001" customHeight="1">
      <c r="A185" s="25"/>
      <c r="B185" s="25"/>
      <c r="C185" s="25"/>
      <c r="D185" s="295"/>
      <c r="E185" s="295"/>
      <c r="F185" s="295"/>
      <c r="G185" s="295"/>
      <c r="H185" s="295"/>
      <c r="I185" s="25"/>
      <c r="J185" s="25"/>
      <c r="K185" s="25"/>
      <c r="L185" s="777">
        <v>5</v>
      </c>
      <c r="M185" s="778"/>
      <c r="N185" s="976">
        <v>0</v>
      </c>
      <c r="O185" s="1020">
        <v>65</v>
      </c>
      <c r="P185" s="847" t="e">
        <f>VLOOKUP(N185,etat!$A$9:$N$1004,2,FALSE)</f>
        <v>#N/A</v>
      </c>
      <c r="Q185" s="797" t="e">
        <f>VLOOKUP(N185,etat!$A$9:$N$963,7,FALSE)</f>
        <v>#N/A</v>
      </c>
      <c r="R185" s="797" t="e">
        <f>VLOOKUP(N185,etat!$A$9:$N$1003,9,FALSE)</f>
        <v>#N/A</v>
      </c>
      <c r="S185" s="866" t="e">
        <f>VLOOKUP(N185,etat!$A$9:$P$905,16,FALSE)</f>
        <v>#N/A</v>
      </c>
      <c r="T185" s="755"/>
      <c r="U185" s="791"/>
      <c r="V185" s="784"/>
      <c r="W185" s="784"/>
      <c r="X185" s="784"/>
      <c r="Y185" s="975"/>
      <c r="Z185" s="975"/>
      <c r="AA185" s="967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</row>
    <row r="186" spans="1:49" s="13" customFormat="1" ht="17.100000000000001" customHeight="1">
      <c r="A186" s="25"/>
      <c r="B186" s="25"/>
      <c r="C186" s="25"/>
      <c r="D186" s="295"/>
      <c r="E186" s="295"/>
      <c r="F186" s="295"/>
      <c r="G186" s="295"/>
      <c r="H186" s="295"/>
      <c r="I186" s="25"/>
      <c r="J186" s="25"/>
      <c r="K186" s="25"/>
      <c r="L186" s="777">
        <v>5</v>
      </c>
      <c r="M186" s="778"/>
      <c r="N186" s="976">
        <v>0</v>
      </c>
      <c r="O186" s="1020">
        <v>66</v>
      </c>
      <c r="P186" s="847" t="e">
        <f>VLOOKUP(N186,etat!$A$9:$N$1004,2,FALSE)</f>
        <v>#N/A</v>
      </c>
      <c r="Q186" s="797" t="e">
        <f>VLOOKUP(N186,etat!$A$9:$N$963,7,FALSE)</f>
        <v>#N/A</v>
      </c>
      <c r="R186" s="797" t="e">
        <f>VLOOKUP(N186,etat!$A$9:$N$1003,9,FALSE)</f>
        <v>#N/A</v>
      </c>
      <c r="S186" s="866" t="e">
        <f>VLOOKUP(N186,etat!$A$9:$P$905,16,FALSE)</f>
        <v>#N/A</v>
      </c>
      <c r="T186" s="755"/>
      <c r="U186" s="791"/>
      <c r="V186" s="784"/>
      <c r="W186" s="784"/>
      <c r="X186" s="784"/>
      <c r="Y186" s="1117"/>
      <c r="Z186" s="975"/>
      <c r="AA186" s="967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</row>
    <row r="187" spans="1:49" s="13" customFormat="1" ht="17.100000000000001" customHeight="1">
      <c r="A187" s="25"/>
      <c r="B187" s="25"/>
      <c r="C187" s="25"/>
      <c r="D187" s="295"/>
      <c r="E187" s="295"/>
      <c r="F187" s="295"/>
      <c r="G187" s="295"/>
      <c r="H187" s="295"/>
      <c r="I187" s="25"/>
      <c r="J187" s="25"/>
      <c r="K187" s="25"/>
      <c r="L187" s="777">
        <v>5</v>
      </c>
      <c r="M187" s="778"/>
      <c r="N187" s="976">
        <v>0</v>
      </c>
      <c r="O187" s="1020">
        <v>67</v>
      </c>
      <c r="P187" s="847" t="e">
        <f>VLOOKUP(N187,etat!$A$9:$N$1004,2,FALSE)</f>
        <v>#N/A</v>
      </c>
      <c r="Q187" s="797" t="e">
        <f>VLOOKUP(N187,etat!$A$9:$N$963,7,FALSE)</f>
        <v>#N/A</v>
      </c>
      <c r="R187" s="797" t="e">
        <f>VLOOKUP(N187,etat!$A$9:$N$1003,9,FALSE)</f>
        <v>#N/A</v>
      </c>
      <c r="S187" s="866" t="e">
        <f>VLOOKUP(N187,etat!$A$9:$P$905,16,FALSE)</f>
        <v>#N/A</v>
      </c>
      <c r="T187" s="755"/>
      <c r="U187" s="791"/>
      <c r="V187" s="784"/>
      <c r="W187" s="784"/>
      <c r="X187" s="784"/>
      <c r="Y187" s="975"/>
      <c r="Z187" s="975"/>
      <c r="AA187" s="967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</row>
    <row r="188" spans="1:49" s="13" customFormat="1" ht="17.100000000000001" customHeight="1">
      <c r="A188" s="25"/>
      <c r="B188" s="25"/>
      <c r="C188" s="25"/>
      <c r="D188" s="295"/>
      <c r="E188" s="295"/>
      <c r="F188" s="295"/>
      <c r="G188" s="295"/>
      <c r="H188" s="295"/>
      <c r="I188" s="25"/>
      <c r="J188" s="25"/>
      <c r="K188" s="25"/>
      <c r="L188" s="777">
        <v>5</v>
      </c>
      <c r="M188" s="778"/>
      <c r="N188" s="976">
        <v>0</v>
      </c>
      <c r="O188" s="1020">
        <v>68</v>
      </c>
      <c r="P188" s="847" t="e">
        <f>VLOOKUP(N188,etat!$A$9:$N$1004,2,FALSE)</f>
        <v>#N/A</v>
      </c>
      <c r="Q188" s="797" t="e">
        <f>VLOOKUP(N188,etat!$A$9:$N$963,7,FALSE)</f>
        <v>#N/A</v>
      </c>
      <c r="R188" s="797" t="e">
        <f>VLOOKUP(N188,etat!$A$9:$N$1003,9,FALSE)</f>
        <v>#N/A</v>
      </c>
      <c r="S188" s="866" t="e">
        <f>VLOOKUP(N188,etat!$A$9:$P$905,16,FALSE)</f>
        <v>#N/A</v>
      </c>
      <c r="T188" s="755"/>
      <c r="U188" s="791"/>
      <c r="V188" s="784"/>
      <c r="W188" s="784"/>
      <c r="X188" s="784"/>
      <c r="Y188" s="975"/>
      <c r="Z188" s="975"/>
      <c r="AA188" s="967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</row>
    <row r="189" spans="1:49" s="13" customFormat="1" ht="17.100000000000001" customHeight="1">
      <c r="A189" s="25"/>
      <c r="B189" s="25"/>
      <c r="C189" s="25"/>
      <c r="D189" s="295"/>
      <c r="E189" s="295"/>
      <c r="F189" s="295"/>
      <c r="G189" s="295"/>
      <c r="H189" s="295"/>
      <c r="I189" s="25"/>
      <c r="J189" s="25"/>
      <c r="K189" s="25"/>
      <c r="L189" s="777">
        <v>5</v>
      </c>
      <c r="M189" s="778"/>
      <c r="N189" s="976">
        <v>0</v>
      </c>
      <c r="O189" s="1020">
        <v>69</v>
      </c>
      <c r="P189" s="847" t="e">
        <f>VLOOKUP(N189,etat!$A$9:$N$1004,2,FALSE)</f>
        <v>#N/A</v>
      </c>
      <c r="Q189" s="797" t="e">
        <f>VLOOKUP(N189,etat!$A$9:$N$963,7,FALSE)</f>
        <v>#N/A</v>
      </c>
      <c r="R189" s="797" t="e">
        <f>VLOOKUP(N189,etat!$A$9:$N$1003,9,FALSE)</f>
        <v>#N/A</v>
      </c>
      <c r="S189" s="866" t="e">
        <f>VLOOKUP(N189,etat!$A$9:$P$905,16,FALSE)</f>
        <v>#N/A</v>
      </c>
      <c r="T189" s="755"/>
      <c r="U189" s="791"/>
      <c r="V189" s="784"/>
      <c r="W189" s="784"/>
      <c r="X189" s="784"/>
      <c r="Y189" s="975"/>
      <c r="Z189" s="975"/>
      <c r="AA189" s="967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</row>
    <row r="190" spans="1:49" s="13" customFormat="1" ht="17.100000000000001" customHeight="1">
      <c r="A190" s="25"/>
      <c r="B190" s="25"/>
      <c r="C190" s="25"/>
      <c r="D190" s="295"/>
      <c r="E190" s="295"/>
      <c r="F190" s="295"/>
      <c r="G190" s="295"/>
      <c r="H190" s="295"/>
      <c r="I190" s="25"/>
      <c r="J190" s="25"/>
      <c r="K190" s="25"/>
      <c r="L190" s="777">
        <v>5</v>
      </c>
      <c r="M190" s="778"/>
      <c r="N190" s="976">
        <v>0</v>
      </c>
      <c r="O190" s="1020">
        <v>70</v>
      </c>
      <c r="P190" s="847" t="e">
        <f>VLOOKUP(N190,etat!$A$9:$N$1004,2,FALSE)</f>
        <v>#N/A</v>
      </c>
      <c r="Q190" s="797" t="e">
        <f>VLOOKUP(N190,etat!$A$9:$N$963,7,FALSE)</f>
        <v>#N/A</v>
      </c>
      <c r="R190" s="797" t="e">
        <f>VLOOKUP(N190,etat!$A$9:$N$1003,9,FALSE)</f>
        <v>#N/A</v>
      </c>
      <c r="S190" s="866" t="e">
        <f>VLOOKUP(N190,etat!$A$9:$P$905,16,FALSE)</f>
        <v>#N/A</v>
      </c>
      <c r="T190" s="755"/>
      <c r="U190" s="1129"/>
      <c r="V190" s="784"/>
      <c r="W190" s="784"/>
      <c r="X190" s="784"/>
      <c r="Y190" s="975"/>
      <c r="Z190" s="975"/>
      <c r="AA190" s="967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</row>
    <row r="191" spans="1:49" s="13" customFormat="1" ht="17.100000000000001" customHeight="1">
      <c r="A191" s="25"/>
      <c r="B191" s="25"/>
      <c r="C191" s="25"/>
      <c r="D191" s="295"/>
      <c r="E191" s="295"/>
      <c r="F191" s="295"/>
      <c r="G191" s="295"/>
      <c r="H191" s="295"/>
      <c r="I191" s="25"/>
      <c r="J191" s="25"/>
      <c r="K191" s="25"/>
      <c r="L191" s="777">
        <v>5</v>
      </c>
      <c r="M191" s="778"/>
      <c r="N191" s="976">
        <v>0</v>
      </c>
      <c r="O191" s="1020">
        <v>71</v>
      </c>
      <c r="P191" s="847" t="e">
        <f>VLOOKUP(N191,etat!$A$9:$N$1004,2,FALSE)</f>
        <v>#N/A</v>
      </c>
      <c r="Q191" s="797" t="e">
        <f>VLOOKUP(N191,etat!$A$9:$N$963,7,FALSE)</f>
        <v>#N/A</v>
      </c>
      <c r="R191" s="797" t="e">
        <f>VLOOKUP(N191,etat!$A$9:$N$1003,9,FALSE)</f>
        <v>#N/A</v>
      </c>
      <c r="S191" s="866" t="e">
        <f>VLOOKUP(N191,etat!$A$9:$P$905,16,FALSE)</f>
        <v>#N/A</v>
      </c>
      <c r="T191" s="755"/>
      <c r="U191" s="1129"/>
      <c r="V191" s="784"/>
      <c r="W191" s="784"/>
      <c r="X191" s="784"/>
      <c r="Y191" s="1117"/>
      <c r="Z191" s="967"/>
      <c r="AA191" s="967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</row>
    <row r="192" spans="1:49" s="13" customFormat="1" ht="17.100000000000001" customHeight="1">
      <c r="A192" s="25"/>
      <c r="B192" s="25"/>
      <c r="C192" s="25"/>
      <c r="D192" s="295"/>
      <c r="E192" s="295"/>
      <c r="F192" s="295"/>
      <c r="G192" s="295"/>
      <c r="H192" s="295"/>
      <c r="I192" s="25"/>
      <c r="J192" s="25"/>
      <c r="K192" s="25"/>
      <c r="L192" s="777">
        <v>5</v>
      </c>
      <c r="M192" s="778"/>
      <c r="N192" s="976">
        <v>0</v>
      </c>
      <c r="O192" s="1020">
        <v>72</v>
      </c>
      <c r="P192" s="847" t="e">
        <f>VLOOKUP(N192,etat!$A$9:$N$1004,2,FALSE)</f>
        <v>#N/A</v>
      </c>
      <c r="Q192" s="797" t="e">
        <f>VLOOKUP(N192,etat!$A$9:$N$963,7,FALSE)</f>
        <v>#N/A</v>
      </c>
      <c r="R192" s="797" t="e">
        <f>VLOOKUP(N192,etat!$A$9:$N$1003,9,FALSE)</f>
        <v>#N/A</v>
      </c>
      <c r="S192" s="866" t="e">
        <f>VLOOKUP(N192,etat!$A$9:$P$905,16,FALSE)</f>
        <v>#N/A</v>
      </c>
      <c r="T192" s="755"/>
      <c r="U192" s="791"/>
      <c r="V192" s="784"/>
      <c r="W192" s="784"/>
      <c r="X192" s="784"/>
      <c r="Y192" s="1117"/>
      <c r="Z192" s="967"/>
      <c r="AA192" s="967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</row>
    <row r="193" spans="1:49" s="13" customFormat="1" ht="17.100000000000001" customHeight="1">
      <c r="A193" s="25"/>
      <c r="B193" s="25"/>
      <c r="C193" s="25"/>
      <c r="D193" s="295"/>
      <c r="E193" s="295"/>
      <c r="F193" s="295"/>
      <c r="G193" s="295"/>
      <c r="H193" s="295"/>
      <c r="I193" s="25"/>
      <c r="J193" s="25"/>
      <c r="K193" s="25"/>
      <c r="L193" s="777">
        <v>5</v>
      </c>
      <c r="M193" s="778"/>
      <c r="N193" s="976">
        <v>0</v>
      </c>
      <c r="O193" s="1020">
        <v>73</v>
      </c>
      <c r="P193" s="847" t="e">
        <f>VLOOKUP(N193,etat!$A$9:$N$1004,2,FALSE)</f>
        <v>#N/A</v>
      </c>
      <c r="Q193" s="797" t="e">
        <f>VLOOKUP(N193,etat!$A$9:$N$963,7,FALSE)</f>
        <v>#N/A</v>
      </c>
      <c r="R193" s="797" t="e">
        <f>VLOOKUP(N193,etat!$A$9:$N$1003,9,FALSE)</f>
        <v>#N/A</v>
      </c>
      <c r="S193" s="866" t="e">
        <f>VLOOKUP(N193,etat!$A$9:$P$905,16,FALSE)</f>
        <v>#N/A</v>
      </c>
      <c r="T193" s="755"/>
      <c r="U193" s="1129"/>
      <c r="V193" s="784"/>
      <c r="W193" s="784"/>
      <c r="X193" s="784"/>
      <c r="Y193" s="1116"/>
      <c r="Z193" s="975"/>
      <c r="AA193" s="967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</row>
    <row r="194" spans="1:49" s="13" customFormat="1" ht="17.100000000000001" customHeight="1">
      <c r="A194" s="25"/>
      <c r="B194" s="25"/>
      <c r="C194" s="25"/>
      <c r="D194" s="295"/>
      <c r="E194" s="295"/>
      <c r="F194" s="295"/>
      <c r="G194" s="295"/>
      <c r="H194" s="295"/>
      <c r="I194" s="25"/>
      <c r="J194" s="25"/>
      <c r="K194" s="25"/>
      <c r="L194" s="777">
        <v>5</v>
      </c>
      <c r="M194" s="778"/>
      <c r="N194" s="976">
        <v>0</v>
      </c>
      <c r="O194" s="1020">
        <v>74</v>
      </c>
      <c r="P194" s="847" t="e">
        <f>VLOOKUP(N194,etat!$A$9:$N$1004,2,FALSE)</f>
        <v>#N/A</v>
      </c>
      <c r="Q194" s="797" t="e">
        <f>VLOOKUP(N194,etat!$A$9:$N$963,7,FALSE)</f>
        <v>#N/A</v>
      </c>
      <c r="R194" s="797" t="e">
        <f>VLOOKUP(N194,etat!$A$9:$N$1003,9,FALSE)</f>
        <v>#N/A</v>
      </c>
      <c r="S194" s="866" t="e">
        <f>VLOOKUP(N194,etat!$A$9:$P$905,16,FALSE)</f>
        <v>#N/A</v>
      </c>
      <c r="T194" s="755"/>
      <c r="U194" s="1129"/>
      <c r="V194" s="784"/>
      <c r="W194" s="784"/>
      <c r="X194" s="784"/>
      <c r="Y194" s="975"/>
      <c r="Z194" s="975"/>
      <c r="AA194" s="967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</row>
    <row r="195" spans="1:49" s="13" customFormat="1" ht="17.100000000000001" customHeight="1">
      <c r="A195" s="25"/>
      <c r="B195" s="25"/>
      <c r="C195" s="25"/>
      <c r="D195" s="295"/>
      <c r="E195" s="295"/>
      <c r="F195" s="295"/>
      <c r="G195" s="295"/>
      <c r="H195" s="295"/>
      <c r="I195" s="25"/>
      <c r="J195" s="25"/>
      <c r="K195" s="25"/>
      <c r="L195" s="777">
        <v>5</v>
      </c>
      <c r="M195" s="778"/>
      <c r="N195" s="976">
        <v>0</v>
      </c>
      <c r="O195" s="1020">
        <v>75</v>
      </c>
      <c r="P195" s="847" t="e">
        <f>VLOOKUP(N195,etat!$A$9:$N$1004,2,FALSE)</f>
        <v>#N/A</v>
      </c>
      <c r="Q195" s="797" t="e">
        <f>VLOOKUP(N195,etat!$A$9:$N$963,7,FALSE)</f>
        <v>#N/A</v>
      </c>
      <c r="R195" s="797" t="e">
        <f>VLOOKUP(N195,etat!$A$9:$N$1003,9,FALSE)</f>
        <v>#N/A</v>
      </c>
      <c r="S195" s="866" t="e">
        <f>VLOOKUP(N195,etat!$A$9:$P$905,16,FALSE)</f>
        <v>#N/A</v>
      </c>
      <c r="T195" s="755"/>
      <c r="U195" s="791"/>
      <c r="V195" s="784"/>
      <c r="W195" s="784"/>
      <c r="X195" s="784"/>
      <c r="Y195" s="975"/>
      <c r="Z195" s="975"/>
      <c r="AA195" s="967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</row>
    <row r="196" spans="1:49" s="13" customFormat="1" ht="17.100000000000001" customHeight="1">
      <c r="A196" s="25"/>
      <c r="B196" s="25"/>
      <c r="C196" s="25"/>
      <c r="D196" s="295"/>
      <c r="E196" s="295"/>
      <c r="F196" s="295"/>
      <c r="G196" s="295"/>
      <c r="H196" s="295"/>
      <c r="I196" s="25"/>
      <c r="J196" s="25"/>
      <c r="K196" s="25"/>
      <c r="L196" s="777">
        <v>5</v>
      </c>
      <c r="M196" s="778"/>
      <c r="N196" s="976">
        <v>0</v>
      </c>
      <c r="O196" s="1020">
        <v>76</v>
      </c>
      <c r="P196" s="847" t="e">
        <f>VLOOKUP(N196,etat!$A$9:$N$1004,2,FALSE)</f>
        <v>#N/A</v>
      </c>
      <c r="Q196" s="797" t="e">
        <f>VLOOKUP(N196,etat!$A$9:$N$963,7,FALSE)</f>
        <v>#N/A</v>
      </c>
      <c r="R196" s="797" t="e">
        <f>VLOOKUP(N196,etat!$A$9:$N$1003,9,FALSE)</f>
        <v>#N/A</v>
      </c>
      <c r="S196" s="866" t="e">
        <f>VLOOKUP(N196,etat!$A$9:$P$905,16,FALSE)</f>
        <v>#N/A</v>
      </c>
      <c r="T196" s="755"/>
      <c r="U196" s="1129"/>
      <c r="V196" s="784"/>
      <c r="W196" s="784"/>
      <c r="X196" s="784"/>
      <c r="Y196" s="975"/>
      <c r="Z196" s="975"/>
      <c r="AA196" s="967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</row>
    <row r="197" spans="1:49" s="13" customFormat="1" ht="17.100000000000001" customHeight="1">
      <c r="A197" s="25"/>
      <c r="B197" s="25"/>
      <c r="C197" s="25"/>
      <c r="D197" s="295"/>
      <c r="E197" s="295"/>
      <c r="F197" s="295"/>
      <c r="G197" s="295"/>
      <c r="H197" s="295"/>
      <c r="I197" s="25"/>
      <c r="J197" s="25"/>
      <c r="K197" s="25"/>
      <c r="L197" s="777">
        <v>5</v>
      </c>
      <c r="M197" s="778"/>
      <c r="N197" s="976">
        <v>0</v>
      </c>
      <c r="O197" s="1020">
        <v>77</v>
      </c>
      <c r="P197" s="847" t="e">
        <f>VLOOKUP(N197,etat!$A$9:$N$1004,2,FALSE)</f>
        <v>#N/A</v>
      </c>
      <c r="Q197" s="797" t="e">
        <f>VLOOKUP(N197,etat!$A$9:$N$963,7,FALSE)</f>
        <v>#N/A</v>
      </c>
      <c r="R197" s="797" t="e">
        <f>VLOOKUP(N197,etat!$A$9:$N$1003,9,FALSE)</f>
        <v>#N/A</v>
      </c>
      <c r="S197" s="866" t="e">
        <f>VLOOKUP(N197,etat!$A$9:$P$905,16,FALSE)</f>
        <v>#N/A</v>
      </c>
      <c r="T197" s="755"/>
      <c r="U197" s="791"/>
      <c r="V197" s="784"/>
      <c r="W197" s="784"/>
      <c r="X197" s="784"/>
      <c r="Y197" s="975"/>
      <c r="Z197" s="975"/>
      <c r="AA197" s="967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</row>
    <row r="198" spans="1:49" s="13" customFormat="1" ht="17.100000000000001" customHeight="1">
      <c r="A198" s="25"/>
      <c r="B198" s="25"/>
      <c r="C198" s="25"/>
      <c r="D198" s="295"/>
      <c r="E198" s="295"/>
      <c r="F198" s="295"/>
      <c r="G198" s="295"/>
      <c r="H198" s="295"/>
      <c r="I198" s="25"/>
      <c r="J198" s="25"/>
      <c r="K198" s="25"/>
      <c r="L198" s="777">
        <v>5</v>
      </c>
      <c r="M198" s="778"/>
      <c r="N198" s="976">
        <v>0</v>
      </c>
      <c r="O198" s="1020">
        <v>78</v>
      </c>
      <c r="P198" s="847" t="e">
        <f>VLOOKUP(N198,etat!$A$9:$N$1004,2,FALSE)</f>
        <v>#N/A</v>
      </c>
      <c r="Q198" s="797" t="e">
        <f>VLOOKUP(N198,etat!$A$9:$N$963,7,FALSE)</f>
        <v>#N/A</v>
      </c>
      <c r="R198" s="797" t="e">
        <f>VLOOKUP(N198,etat!$A$9:$N$1003,9,FALSE)</f>
        <v>#N/A</v>
      </c>
      <c r="S198" s="866" t="e">
        <f>VLOOKUP(N198,etat!$A$9:$P$905,16,FALSE)</f>
        <v>#N/A</v>
      </c>
      <c r="T198" s="755"/>
      <c r="U198" s="791"/>
      <c r="V198" s="784"/>
      <c r="W198" s="784"/>
      <c r="X198" s="784"/>
      <c r="Y198" s="975"/>
      <c r="Z198" s="975"/>
      <c r="AA198" s="967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</row>
    <row r="199" spans="1:49" s="13" customFormat="1" ht="17.100000000000001" customHeight="1">
      <c r="A199" s="25"/>
      <c r="B199" s="25"/>
      <c r="C199" s="25"/>
      <c r="D199" s="295"/>
      <c r="E199" s="295"/>
      <c r="F199" s="295"/>
      <c r="G199" s="295"/>
      <c r="H199" s="295"/>
      <c r="I199" s="25"/>
      <c r="J199" s="25"/>
      <c r="K199" s="25"/>
      <c r="L199" s="777">
        <v>5</v>
      </c>
      <c r="M199" s="778"/>
      <c r="N199" s="976">
        <v>0</v>
      </c>
      <c r="O199" s="1020">
        <v>79</v>
      </c>
      <c r="P199" s="847" t="e">
        <f>VLOOKUP(N199,etat!$A$9:$N$1004,2,FALSE)</f>
        <v>#N/A</v>
      </c>
      <c r="Q199" s="797" t="e">
        <f>VLOOKUP(N199,etat!$A$9:$N$963,7,FALSE)</f>
        <v>#N/A</v>
      </c>
      <c r="R199" s="797" t="e">
        <f>VLOOKUP(N199,etat!$A$9:$N$1003,9,FALSE)</f>
        <v>#N/A</v>
      </c>
      <c r="S199" s="866" t="e">
        <f>VLOOKUP(N199,etat!$A$9:$P$905,16,FALSE)</f>
        <v>#N/A</v>
      </c>
      <c r="T199" s="755"/>
      <c r="U199" s="791"/>
      <c r="V199" s="784"/>
      <c r="W199" s="784"/>
      <c r="X199" s="784"/>
      <c r="Y199" s="975"/>
      <c r="Z199" s="975"/>
      <c r="AA199" s="967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</row>
    <row r="200" spans="1:49" s="13" customFormat="1" ht="17.100000000000001" customHeight="1">
      <c r="A200" s="25"/>
      <c r="B200" s="25"/>
      <c r="C200" s="25"/>
      <c r="D200" s="295"/>
      <c r="E200" s="295"/>
      <c r="F200" s="295"/>
      <c r="G200" s="295"/>
      <c r="H200" s="295"/>
      <c r="I200" s="25"/>
      <c r="J200" s="25"/>
      <c r="K200" s="25"/>
      <c r="L200" s="777">
        <v>5</v>
      </c>
      <c r="M200" s="778"/>
      <c r="N200" s="976">
        <v>0</v>
      </c>
      <c r="O200" s="1020">
        <v>80</v>
      </c>
      <c r="P200" s="847" t="e">
        <f>VLOOKUP(N200,etat!$A$9:$N$1004,2,FALSE)</f>
        <v>#N/A</v>
      </c>
      <c r="Q200" s="797" t="e">
        <f>VLOOKUP(N200,etat!$A$9:$N$963,7,FALSE)</f>
        <v>#N/A</v>
      </c>
      <c r="R200" s="797" t="e">
        <f>VLOOKUP(N200,etat!$A$9:$N$1003,9,FALSE)</f>
        <v>#N/A</v>
      </c>
      <c r="S200" s="866" t="e">
        <f>VLOOKUP(N200,etat!$A$9:$P$905,16,FALSE)</f>
        <v>#N/A</v>
      </c>
      <c r="T200" s="755"/>
      <c r="U200" s="1125"/>
      <c r="V200" s="784"/>
      <c r="W200" s="784"/>
      <c r="X200" s="869"/>
      <c r="Y200" s="975"/>
      <c r="Z200" s="975"/>
      <c r="AA200" s="967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</row>
    <row r="201" spans="1:49" s="13" customFormat="1" ht="17.100000000000001" customHeight="1">
      <c r="A201" s="25"/>
      <c r="B201" s="25"/>
      <c r="C201" s="25"/>
      <c r="D201" s="295"/>
      <c r="E201" s="295"/>
      <c r="F201" s="295"/>
      <c r="G201" s="295"/>
      <c r="H201" s="295"/>
      <c r="I201" s="25"/>
      <c r="J201" s="25"/>
      <c r="K201" s="25"/>
      <c r="L201" s="777">
        <v>5</v>
      </c>
      <c r="M201" s="778"/>
      <c r="N201" s="976">
        <v>0</v>
      </c>
      <c r="O201" s="1020">
        <v>81</v>
      </c>
      <c r="P201" s="847" t="e">
        <f>VLOOKUP(N201,etat!$A$9:$N$1004,2,FALSE)</f>
        <v>#N/A</v>
      </c>
      <c r="Q201" s="797" t="e">
        <f>VLOOKUP(N201,etat!$A$9:$N$963,7,FALSE)</f>
        <v>#N/A</v>
      </c>
      <c r="R201" s="797" t="e">
        <f>VLOOKUP(N201,etat!$A$9:$N$1003,9,FALSE)</f>
        <v>#N/A</v>
      </c>
      <c r="S201" s="866" t="e">
        <f>VLOOKUP(N201,etat!$A$9:$P$905,16,FALSE)</f>
        <v>#N/A</v>
      </c>
      <c r="T201" s="755"/>
      <c r="U201" s="784"/>
      <c r="V201" s="784"/>
      <c r="W201" s="784"/>
      <c r="X201" s="784"/>
      <c r="Y201" s="975"/>
      <c r="Z201" s="975"/>
      <c r="AA201" s="967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</row>
    <row r="202" spans="1:49" s="13" customFormat="1" ht="17.100000000000001" customHeight="1">
      <c r="A202" s="25"/>
      <c r="B202" s="25"/>
      <c r="C202" s="25"/>
      <c r="D202" s="295"/>
      <c r="E202" s="295"/>
      <c r="F202" s="295"/>
      <c r="G202" s="295"/>
      <c r="H202" s="295"/>
      <c r="I202" s="25"/>
      <c r="J202" s="25"/>
      <c r="K202" s="25"/>
      <c r="L202" s="777">
        <v>5</v>
      </c>
      <c r="M202" s="778"/>
      <c r="N202" s="976">
        <v>0</v>
      </c>
      <c r="O202" s="1020">
        <v>82</v>
      </c>
      <c r="P202" s="847" t="e">
        <f>VLOOKUP(N202,etat!$A$9:$N$1004,2,FALSE)</f>
        <v>#N/A</v>
      </c>
      <c r="Q202" s="797" t="e">
        <f>VLOOKUP(N202,etat!$A$9:$N$963,7,FALSE)</f>
        <v>#N/A</v>
      </c>
      <c r="R202" s="797" t="e">
        <f>VLOOKUP(N202,etat!$A$9:$N$1003,9,FALSE)</f>
        <v>#N/A</v>
      </c>
      <c r="S202" s="866" t="e">
        <f>VLOOKUP(N202,etat!$A$9:$P$905,16,FALSE)</f>
        <v>#N/A</v>
      </c>
      <c r="T202" s="755"/>
      <c r="U202" s="784"/>
      <c r="V202" s="784"/>
      <c r="W202" s="784"/>
      <c r="X202" s="784"/>
      <c r="Y202" s="975"/>
      <c r="Z202" s="975"/>
      <c r="AA202" s="967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</row>
    <row r="203" spans="1:49" s="13" customFormat="1" ht="17.100000000000001" customHeight="1">
      <c r="A203" s="25"/>
      <c r="B203" s="25"/>
      <c r="C203" s="25"/>
      <c r="D203" s="295"/>
      <c r="E203" s="295"/>
      <c r="F203" s="295"/>
      <c r="G203" s="295"/>
      <c r="H203" s="295"/>
      <c r="I203" s="25"/>
      <c r="J203" s="25"/>
      <c r="K203" s="25"/>
      <c r="L203" s="777">
        <v>5</v>
      </c>
      <c r="M203" s="778"/>
      <c r="N203" s="976">
        <v>0</v>
      </c>
      <c r="O203" s="1020">
        <v>83</v>
      </c>
      <c r="P203" s="847" t="e">
        <f>VLOOKUP(N203,etat!$A$9:$N$1004,2,FALSE)</f>
        <v>#N/A</v>
      </c>
      <c r="Q203" s="797" t="e">
        <f>VLOOKUP(N203,etat!$A$9:$N$963,7,FALSE)</f>
        <v>#N/A</v>
      </c>
      <c r="R203" s="797" t="e">
        <f>VLOOKUP(N203,etat!$A$9:$N$1003,9,FALSE)</f>
        <v>#N/A</v>
      </c>
      <c r="S203" s="866" t="e">
        <f>VLOOKUP(N203,etat!$A$9:$P$905,16,FALSE)</f>
        <v>#N/A</v>
      </c>
      <c r="T203" s="755"/>
      <c r="U203" s="791"/>
      <c r="V203" s="784"/>
      <c r="W203" s="784"/>
      <c r="X203" s="784"/>
      <c r="Y203" s="975"/>
      <c r="Z203" s="967"/>
      <c r="AA203" s="967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</row>
    <row r="204" spans="1:49" s="13" customFormat="1" ht="17.100000000000001" customHeight="1">
      <c r="A204" s="25"/>
      <c r="B204" s="25"/>
      <c r="C204" s="25"/>
      <c r="D204" s="295"/>
      <c r="E204" s="295"/>
      <c r="F204" s="295"/>
      <c r="G204" s="295"/>
      <c r="H204" s="295"/>
      <c r="I204" s="25"/>
      <c r="J204" s="25"/>
      <c r="K204" s="25"/>
      <c r="L204" s="777">
        <v>5</v>
      </c>
      <c r="M204" s="778"/>
      <c r="N204" s="976">
        <v>0</v>
      </c>
      <c r="O204" s="1020">
        <v>84</v>
      </c>
      <c r="P204" s="847" t="e">
        <f>VLOOKUP(N204,etat!$A$9:$N$1004,2,FALSE)</f>
        <v>#N/A</v>
      </c>
      <c r="Q204" s="797" t="e">
        <f>VLOOKUP(N204,etat!$A$9:$N$963,7,FALSE)</f>
        <v>#N/A</v>
      </c>
      <c r="R204" s="797" t="e">
        <f>VLOOKUP(N204,etat!$A$9:$N$1003,9,FALSE)</f>
        <v>#N/A</v>
      </c>
      <c r="S204" s="866" t="e">
        <f>VLOOKUP(N204,etat!$A$9:$P$905,16,FALSE)</f>
        <v>#N/A</v>
      </c>
      <c r="T204" s="755"/>
      <c r="U204" s="791"/>
      <c r="V204" s="784"/>
      <c r="W204" s="784"/>
      <c r="X204" s="784"/>
      <c r="Y204" s="975"/>
      <c r="Z204" s="975"/>
      <c r="AA204" s="967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</row>
    <row r="205" spans="1:49" s="13" customFormat="1" ht="17.100000000000001" customHeight="1">
      <c r="A205" s="25"/>
      <c r="B205" s="25"/>
      <c r="C205" s="25"/>
      <c r="D205" s="295"/>
      <c r="E205" s="295"/>
      <c r="F205" s="295"/>
      <c r="G205" s="295"/>
      <c r="H205" s="295"/>
      <c r="I205" s="25"/>
      <c r="J205" s="25"/>
      <c r="K205" s="25"/>
      <c r="L205" s="777">
        <v>5</v>
      </c>
      <c r="M205" s="778"/>
      <c r="N205" s="976">
        <v>0</v>
      </c>
      <c r="O205" s="1020">
        <v>85</v>
      </c>
      <c r="P205" s="847" t="e">
        <f>VLOOKUP(N205,etat!$A$9:$N$1004,2,FALSE)</f>
        <v>#N/A</v>
      </c>
      <c r="Q205" s="797" t="e">
        <f>VLOOKUP(N205,etat!$A$9:$N$963,7,FALSE)</f>
        <v>#N/A</v>
      </c>
      <c r="R205" s="797" t="e">
        <f>VLOOKUP(N205,etat!$A$9:$N$1003,9,FALSE)</f>
        <v>#N/A</v>
      </c>
      <c r="S205" s="866" t="e">
        <f>VLOOKUP(N205,etat!$A$9:$P$905,16,FALSE)</f>
        <v>#N/A</v>
      </c>
      <c r="T205" s="755"/>
      <c r="U205" s="791"/>
      <c r="V205" s="784"/>
      <c r="W205" s="784"/>
      <c r="X205" s="784"/>
      <c r="Y205" s="1118"/>
      <c r="Z205" s="975"/>
      <c r="AA205" s="967"/>
      <c r="AB205" s="302"/>
      <c r="AC205" s="302"/>
      <c r="AD205" s="302"/>
      <c r="AE205" s="302"/>
      <c r="AF205" s="302"/>
      <c r="AG205" s="302"/>
      <c r="AH205" s="302"/>
      <c r="AI205" s="302"/>
      <c r="AJ205" s="302"/>
      <c r="AK205" s="302"/>
      <c r="AL205" s="302"/>
      <c r="AM205" s="302"/>
      <c r="AN205" s="302"/>
      <c r="AO205" s="302"/>
      <c r="AP205" s="302"/>
      <c r="AQ205" s="302"/>
      <c r="AR205" s="302"/>
      <c r="AS205" s="302"/>
      <c r="AT205" s="302"/>
      <c r="AU205" s="302"/>
      <c r="AV205" s="302"/>
      <c r="AW205" s="302"/>
    </row>
    <row r="206" spans="1:49" s="13" customFormat="1" ht="17.100000000000001" customHeight="1">
      <c r="A206" s="25"/>
      <c r="B206" s="25"/>
      <c r="C206" s="25"/>
      <c r="D206" s="295"/>
      <c r="E206" s="295"/>
      <c r="F206" s="295"/>
      <c r="G206" s="295"/>
      <c r="H206" s="295"/>
      <c r="I206" s="25"/>
      <c r="J206" s="25"/>
      <c r="K206" s="25"/>
      <c r="L206" s="777">
        <v>5</v>
      </c>
      <c r="M206" s="778"/>
      <c r="N206" s="976">
        <v>0</v>
      </c>
      <c r="O206" s="1020">
        <v>86</v>
      </c>
      <c r="P206" s="847" t="e">
        <f>VLOOKUP(N206,etat!$A$9:$N$1004,2,FALSE)</f>
        <v>#N/A</v>
      </c>
      <c r="Q206" s="797" t="e">
        <f>VLOOKUP(N206,etat!$A$9:$N$963,7,FALSE)</f>
        <v>#N/A</v>
      </c>
      <c r="R206" s="797" t="e">
        <f>VLOOKUP(N206,etat!$A$9:$N$1003,9,FALSE)</f>
        <v>#N/A</v>
      </c>
      <c r="S206" s="866" t="e">
        <f>VLOOKUP(N206,etat!$A$9:$P$905,16,FALSE)</f>
        <v>#N/A</v>
      </c>
      <c r="T206" s="755"/>
      <c r="U206" s="791"/>
      <c r="V206" s="784"/>
      <c r="W206" s="784"/>
      <c r="X206" s="784"/>
      <c r="Y206" s="975"/>
      <c r="Z206" s="967"/>
      <c r="AA206" s="967"/>
      <c r="AB206" s="302"/>
      <c r="AC206" s="302"/>
      <c r="AD206" s="302"/>
      <c r="AE206" s="302"/>
      <c r="AF206" s="302"/>
      <c r="AG206" s="302"/>
      <c r="AH206" s="302"/>
      <c r="AI206" s="302"/>
      <c r="AJ206" s="302"/>
      <c r="AK206" s="302"/>
      <c r="AL206" s="302"/>
      <c r="AM206" s="302"/>
      <c r="AN206" s="302"/>
      <c r="AO206" s="302"/>
      <c r="AP206" s="302"/>
      <c r="AQ206" s="302"/>
      <c r="AR206" s="302"/>
      <c r="AS206" s="302"/>
      <c r="AT206" s="302"/>
      <c r="AU206" s="302"/>
      <c r="AV206" s="302"/>
      <c r="AW206" s="302"/>
    </row>
    <row r="207" spans="1:49" s="13" customFormat="1" ht="17.100000000000001" customHeight="1">
      <c r="A207" s="25"/>
      <c r="B207" s="25"/>
      <c r="C207" s="25"/>
      <c r="D207" s="295"/>
      <c r="E207" s="295"/>
      <c r="F207" s="295"/>
      <c r="G207" s="295"/>
      <c r="H207" s="295"/>
      <c r="I207" s="25"/>
      <c r="J207" s="25"/>
      <c r="K207" s="25"/>
      <c r="L207" s="777">
        <v>5</v>
      </c>
      <c r="M207" s="778"/>
      <c r="N207" s="976">
        <v>0</v>
      </c>
      <c r="O207" s="1020">
        <v>87</v>
      </c>
      <c r="P207" s="847" t="e">
        <f>VLOOKUP(N207,etat!$A$9:$N$1004,2,FALSE)</f>
        <v>#N/A</v>
      </c>
      <c r="Q207" s="797" t="e">
        <f>VLOOKUP(N207,etat!$A$9:$N$963,7,FALSE)</f>
        <v>#N/A</v>
      </c>
      <c r="R207" s="797" t="e">
        <f>VLOOKUP(N207,etat!$A$9:$N$1003,9,FALSE)</f>
        <v>#N/A</v>
      </c>
      <c r="S207" s="866" t="e">
        <f>VLOOKUP(N207,etat!$A$9:$P$905,16,FALSE)</f>
        <v>#N/A</v>
      </c>
      <c r="T207" s="755"/>
      <c r="U207" s="784"/>
      <c r="V207" s="784"/>
      <c r="W207" s="784"/>
      <c r="X207" s="784"/>
      <c r="Y207" s="1118"/>
      <c r="Z207" s="967"/>
      <c r="AA207" s="967"/>
      <c r="AB207" s="302"/>
      <c r="AC207" s="302"/>
      <c r="AD207" s="302"/>
      <c r="AE207" s="302"/>
      <c r="AF207" s="302"/>
      <c r="AG207" s="302"/>
      <c r="AH207" s="302"/>
      <c r="AI207" s="302"/>
      <c r="AJ207" s="302"/>
      <c r="AK207" s="302"/>
      <c r="AL207" s="302"/>
      <c r="AM207" s="302"/>
      <c r="AN207" s="302"/>
      <c r="AO207" s="302"/>
      <c r="AP207" s="302"/>
      <c r="AQ207" s="302"/>
      <c r="AR207" s="302"/>
      <c r="AS207" s="302"/>
      <c r="AT207" s="302"/>
      <c r="AU207" s="302"/>
      <c r="AV207" s="302"/>
      <c r="AW207" s="302"/>
    </row>
    <row r="208" spans="1:49" s="13" customFormat="1" ht="17.100000000000001" customHeight="1">
      <c r="A208" s="25"/>
      <c r="B208" s="25"/>
      <c r="C208" s="25"/>
      <c r="D208" s="295"/>
      <c r="E208" s="295"/>
      <c r="F208" s="295"/>
      <c r="G208" s="295"/>
      <c r="H208" s="295"/>
      <c r="I208" s="25"/>
      <c r="J208" s="25"/>
      <c r="K208" s="25"/>
      <c r="L208" s="777">
        <v>5</v>
      </c>
      <c r="M208" s="778"/>
      <c r="N208" s="976">
        <v>0</v>
      </c>
      <c r="O208" s="1020">
        <v>88</v>
      </c>
      <c r="P208" s="847" t="e">
        <f>VLOOKUP(N208,etat!$A$9:$N$1004,2,FALSE)</f>
        <v>#N/A</v>
      </c>
      <c r="Q208" s="797" t="e">
        <f>VLOOKUP(N208,etat!$A$9:$N$963,7,FALSE)</f>
        <v>#N/A</v>
      </c>
      <c r="R208" s="797" t="e">
        <f>VLOOKUP(N208,etat!$A$9:$N$1003,9,FALSE)</f>
        <v>#N/A</v>
      </c>
      <c r="S208" s="866" t="e">
        <f>VLOOKUP(N208,etat!$A$9:$P$905,16,FALSE)</f>
        <v>#N/A</v>
      </c>
      <c r="T208" s="755"/>
      <c r="U208" s="784"/>
      <c r="V208" s="784"/>
      <c r="W208" s="784"/>
      <c r="X208" s="784"/>
      <c r="Y208" s="1134"/>
      <c r="Z208" s="967"/>
      <c r="AA208" s="967"/>
      <c r="AB208" s="302"/>
      <c r="AC208" s="302"/>
      <c r="AD208" s="302"/>
      <c r="AE208" s="302"/>
      <c r="AF208" s="302"/>
      <c r="AG208" s="302"/>
      <c r="AH208" s="302"/>
      <c r="AI208" s="302"/>
      <c r="AJ208" s="302"/>
      <c r="AK208" s="302"/>
      <c r="AL208" s="302"/>
      <c r="AM208" s="302"/>
      <c r="AN208" s="302"/>
      <c r="AO208" s="302"/>
      <c r="AP208" s="302"/>
      <c r="AQ208" s="302"/>
      <c r="AR208" s="302"/>
      <c r="AS208" s="302"/>
      <c r="AT208" s="302"/>
      <c r="AU208" s="302"/>
      <c r="AV208" s="302"/>
      <c r="AW208" s="302"/>
    </row>
    <row r="209" spans="1:49" s="13" customFormat="1" ht="17.100000000000001" customHeight="1">
      <c r="A209" s="25"/>
      <c r="B209" s="25"/>
      <c r="C209" s="25"/>
      <c r="D209" s="295"/>
      <c r="E209" s="295"/>
      <c r="F209" s="295"/>
      <c r="G209" s="295"/>
      <c r="H209" s="295"/>
      <c r="I209" s="25"/>
      <c r="J209" s="25"/>
      <c r="K209" s="25"/>
      <c r="L209" s="777">
        <v>5</v>
      </c>
      <c r="M209" s="778"/>
      <c r="N209" s="976">
        <v>0</v>
      </c>
      <c r="O209" s="1020">
        <v>89</v>
      </c>
      <c r="P209" s="847" t="e">
        <f>VLOOKUP(N209,etat!$A$9:$N$1004,2,FALSE)</f>
        <v>#N/A</v>
      </c>
      <c r="Q209" s="797" t="e">
        <f>VLOOKUP(N209,etat!$A$9:$N$963,7,FALSE)</f>
        <v>#N/A</v>
      </c>
      <c r="R209" s="797" t="e">
        <f>VLOOKUP(N209,etat!$A$9:$N$1003,9,FALSE)</f>
        <v>#N/A</v>
      </c>
      <c r="S209" s="866" t="e">
        <f>VLOOKUP(N209,etat!$A$9:$P$905,16,FALSE)</f>
        <v>#N/A</v>
      </c>
      <c r="T209" s="755"/>
      <c r="U209" s="791"/>
      <c r="V209" s="784"/>
      <c r="W209" s="784"/>
      <c r="X209" s="784"/>
      <c r="Y209" s="975"/>
      <c r="Z209" s="975"/>
      <c r="AA209" s="967"/>
      <c r="AB209" s="302"/>
      <c r="AC209" s="302"/>
      <c r="AD209" s="302"/>
      <c r="AE209" s="302"/>
      <c r="AF209" s="302"/>
      <c r="AG209" s="302"/>
      <c r="AH209" s="302"/>
      <c r="AI209" s="302"/>
      <c r="AJ209" s="302"/>
      <c r="AK209" s="302"/>
      <c r="AL209" s="302"/>
      <c r="AM209" s="302"/>
      <c r="AN209" s="302"/>
      <c r="AO209" s="302"/>
      <c r="AP209" s="302"/>
      <c r="AQ209" s="302"/>
      <c r="AR209" s="302"/>
      <c r="AS209" s="302"/>
      <c r="AT209" s="302"/>
      <c r="AU209" s="302"/>
      <c r="AV209" s="302"/>
      <c r="AW209" s="302"/>
    </row>
    <row r="210" spans="1:49" s="13" customFormat="1" ht="17.100000000000001" customHeight="1">
      <c r="A210" s="25"/>
      <c r="B210" s="25"/>
      <c r="C210" s="25"/>
      <c r="D210" s="295"/>
      <c r="E210" s="295"/>
      <c r="F210" s="295"/>
      <c r="G210" s="295"/>
      <c r="H210" s="295"/>
      <c r="I210" s="25"/>
      <c r="J210" s="25"/>
      <c r="K210" s="25"/>
      <c r="L210" s="777">
        <v>5</v>
      </c>
      <c r="M210" s="778"/>
      <c r="N210" s="976">
        <v>0</v>
      </c>
      <c r="O210" s="1020">
        <v>90</v>
      </c>
      <c r="P210" s="847" t="e">
        <f>VLOOKUP(N210,etat!$A$9:$N$1004,2,FALSE)</f>
        <v>#N/A</v>
      </c>
      <c r="Q210" s="797" t="e">
        <f>VLOOKUP(N210,etat!$A$9:$N$963,7,FALSE)</f>
        <v>#N/A</v>
      </c>
      <c r="R210" s="797" t="e">
        <f>VLOOKUP(N210,etat!$A$9:$N$1003,9,FALSE)</f>
        <v>#N/A</v>
      </c>
      <c r="S210" s="866" t="e">
        <f>VLOOKUP(N210,etat!$A$9:$P$905,16,FALSE)</f>
        <v>#N/A</v>
      </c>
      <c r="T210" s="755"/>
      <c r="U210" s="791"/>
      <c r="V210" s="784"/>
      <c r="W210" s="784"/>
      <c r="X210" s="784"/>
      <c r="Y210" s="1117"/>
      <c r="Z210" s="967"/>
      <c r="AA210" s="967"/>
      <c r="AB210" s="302"/>
      <c r="AC210" s="302"/>
      <c r="AD210" s="302"/>
      <c r="AE210" s="302"/>
      <c r="AF210" s="302"/>
      <c r="AG210" s="302"/>
      <c r="AH210" s="302"/>
      <c r="AI210" s="302"/>
      <c r="AJ210" s="302"/>
      <c r="AK210" s="302"/>
      <c r="AL210" s="302"/>
      <c r="AM210" s="302"/>
      <c r="AN210" s="302"/>
      <c r="AO210" s="302"/>
      <c r="AP210" s="302"/>
      <c r="AQ210" s="302"/>
      <c r="AR210" s="302"/>
      <c r="AS210" s="302"/>
      <c r="AT210" s="302"/>
      <c r="AU210" s="302"/>
      <c r="AV210" s="302"/>
      <c r="AW210" s="302"/>
    </row>
    <row r="211" spans="1:49" s="13" customFormat="1" ht="17.100000000000001" customHeight="1">
      <c r="A211" s="25"/>
      <c r="B211" s="25"/>
      <c r="C211" s="25"/>
      <c r="D211" s="295"/>
      <c r="E211" s="295"/>
      <c r="F211" s="295"/>
      <c r="G211" s="295"/>
      <c r="H211" s="295"/>
      <c r="I211" s="25"/>
      <c r="J211" s="25"/>
      <c r="K211" s="25"/>
      <c r="L211" s="777">
        <v>5</v>
      </c>
      <c r="M211" s="778"/>
      <c r="N211" s="976">
        <v>0</v>
      </c>
      <c r="O211" s="1020">
        <v>91</v>
      </c>
      <c r="P211" s="847" t="e">
        <f>VLOOKUP(N211,etat!$A$9:$N$1004,2,FALSE)</f>
        <v>#N/A</v>
      </c>
      <c r="Q211" s="797" t="e">
        <f>VLOOKUP(N211,etat!$A$9:$N$963,7,FALSE)</f>
        <v>#N/A</v>
      </c>
      <c r="R211" s="797" t="e">
        <f>VLOOKUP(N211,etat!$A$9:$N$1003,9,FALSE)</f>
        <v>#N/A</v>
      </c>
      <c r="S211" s="866" t="e">
        <f>VLOOKUP(N211,etat!$A$9:$P$905,16,FALSE)</f>
        <v>#N/A</v>
      </c>
      <c r="T211" s="755"/>
      <c r="U211" s="791"/>
      <c r="V211" s="784"/>
      <c r="W211" s="784"/>
      <c r="X211" s="784"/>
      <c r="Y211" s="1116"/>
      <c r="Z211" s="975"/>
      <c r="AA211" s="967"/>
      <c r="AB211" s="302"/>
      <c r="AC211" s="302"/>
      <c r="AD211" s="302"/>
      <c r="AE211" s="302"/>
      <c r="AF211" s="302"/>
      <c r="AG211" s="302"/>
      <c r="AH211" s="302"/>
      <c r="AI211" s="302"/>
      <c r="AJ211" s="302"/>
      <c r="AK211" s="302"/>
      <c r="AL211" s="302"/>
      <c r="AM211" s="302"/>
      <c r="AN211" s="302"/>
      <c r="AO211" s="302"/>
      <c r="AP211" s="302"/>
      <c r="AQ211" s="302"/>
      <c r="AR211" s="302"/>
      <c r="AS211" s="302"/>
      <c r="AT211" s="302"/>
      <c r="AU211" s="302"/>
      <c r="AV211" s="302"/>
      <c r="AW211" s="302"/>
    </row>
    <row r="212" spans="1:49" s="13" customFormat="1" ht="17.100000000000001" customHeight="1">
      <c r="A212" s="25"/>
      <c r="B212" s="25"/>
      <c r="C212" s="25"/>
      <c r="D212" s="295"/>
      <c r="E212" s="295"/>
      <c r="F212" s="295"/>
      <c r="G212" s="295"/>
      <c r="H212" s="295"/>
      <c r="I212" s="25"/>
      <c r="J212" s="25"/>
      <c r="K212" s="25"/>
      <c r="L212" s="777">
        <v>5</v>
      </c>
      <c r="M212" s="778"/>
      <c r="N212" s="976">
        <v>0</v>
      </c>
      <c r="O212" s="1020">
        <v>92</v>
      </c>
      <c r="P212" s="847" t="e">
        <f>VLOOKUP(N212,etat!$A$9:$N$1004,2,FALSE)</f>
        <v>#N/A</v>
      </c>
      <c r="Q212" s="797" t="e">
        <f>VLOOKUP(N212,etat!$A$9:$N$963,7,FALSE)</f>
        <v>#N/A</v>
      </c>
      <c r="R212" s="797" t="e">
        <f>VLOOKUP(N212,etat!$A$9:$N$1003,9,FALSE)</f>
        <v>#N/A</v>
      </c>
      <c r="S212" s="866" t="e">
        <f>VLOOKUP(N212,etat!$A$9:$P$905,16,FALSE)</f>
        <v>#N/A</v>
      </c>
      <c r="T212" s="755"/>
      <c r="U212" s="791"/>
      <c r="V212" s="784"/>
      <c r="W212" s="784"/>
      <c r="X212" s="784"/>
      <c r="Y212" s="1116"/>
      <c r="Z212" s="967"/>
      <c r="AA212" s="967"/>
      <c r="AB212" s="302"/>
      <c r="AC212" s="302"/>
      <c r="AD212" s="302"/>
      <c r="AE212" s="302"/>
      <c r="AF212" s="302"/>
      <c r="AG212" s="302"/>
      <c r="AH212" s="302"/>
      <c r="AI212" s="302"/>
      <c r="AJ212" s="302"/>
      <c r="AK212" s="302"/>
      <c r="AL212" s="302"/>
      <c r="AM212" s="302"/>
      <c r="AN212" s="302"/>
      <c r="AO212" s="302"/>
      <c r="AP212" s="302"/>
      <c r="AQ212" s="302"/>
      <c r="AR212" s="302"/>
      <c r="AS212" s="302"/>
      <c r="AT212" s="302"/>
      <c r="AU212" s="302"/>
      <c r="AV212" s="302"/>
      <c r="AW212" s="302"/>
    </row>
    <row r="213" spans="1:49" s="13" customFormat="1" ht="17.100000000000001" customHeight="1">
      <c r="A213" s="25"/>
      <c r="B213" s="25"/>
      <c r="C213" s="25"/>
      <c r="D213" s="295"/>
      <c r="E213" s="295"/>
      <c r="F213" s="295"/>
      <c r="G213" s="295"/>
      <c r="H213" s="295"/>
      <c r="I213" s="25"/>
      <c r="J213" s="25"/>
      <c r="K213" s="25"/>
      <c r="L213" s="777">
        <v>5</v>
      </c>
      <c r="M213" s="778"/>
      <c r="N213" s="976">
        <v>0</v>
      </c>
      <c r="O213" s="1020">
        <v>93</v>
      </c>
      <c r="P213" s="847" t="e">
        <f>VLOOKUP(N213,etat!$A$9:$N$1004,2,FALSE)</f>
        <v>#N/A</v>
      </c>
      <c r="Q213" s="797" t="e">
        <f>VLOOKUP(N213,etat!$A$9:$N$963,7,FALSE)</f>
        <v>#N/A</v>
      </c>
      <c r="R213" s="797" t="e">
        <f>VLOOKUP(N213,etat!$A$9:$N$1003,9,FALSE)</f>
        <v>#N/A</v>
      </c>
      <c r="S213" s="866" t="e">
        <f>VLOOKUP(N213,etat!$A$9:$P$905,16,FALSE)</f>
        <v>#N/A</v>
      </c>
      <c r="T213" s="755"/>
      <c r="U213" s="791"/>
      <c r="V213" s="784"/>
      <c r="W213" s="784"/>
      <c r="X213" s="784"/>
      <c r="Y213" s="975"/>
      <c r="Z213" s="967"/>
      <c r="AA213" s="967"/>
      <c r="AB213" s="302"/>
      <c r="AC213" s="302"/>
      <c r="AD213" s="302"/>
      <c r="AE213" s="302"/>
      <c r="AF213" s="302"/>
      <c r="AG213" s="302"/>
      <c r="AH213" s="302"/>
      <c r="AI213" s="302"/>
      <c r="AJ213" s="302"/>
      <c r="AK213" s="302"/>
      <c r="AL213" s="302"/>
      <c r="AM213" s="302"/>
      <c r="AN213" s="302"/>
      <c r="AO213" s="302"/>
      <c r="AP213" s="302"/>
      <c r="AQ213" s="302"/>
      <c r="AR213" s="302"/>
      <c r="AS213" s="302"/>
      <c r="AT213" s="302"/>
      <c r="AU213" s="302"/>
      <c r="AV213" s="302"/>
      <c r="AW213" s="302"/>
    </row>
    <row r="214" spans="1:49" s="13" customFormat="1" ht="17.100000000000001" customHeight="1">
      <c r="A214" s="25"/>
      <c r="B214" s="25"/>
      <c r="C214" s="25"/>
      <c r="D214" s="295"/>
      <c r="E214" s="295"/>
      <c r="F214" s="295"/>
      <c r="G214" s="295"/>
      <c r="H214" s="295"/>
      <c r="I214" s="25"/>
      <c r="J214" s="25"/>
      <c r="K214" s="25"/>
      <c r="L214" s="777">
        <v>5</v>
      </c>
      <c r="M214" s="778"/>
      <c r="N214" s="976">
        <v>0</v>
      </c>
      <c r="O214" s="1020">
        <v>94</v>
      </c>
      <c r="P214" s="847" t="e">
        <f>VLOOKUP(N214,etat!$A$9:$N$1004,2,FALSE)</f>
        <v>#N/A</v>
      </c>
      <c r="Q214" s="797" t="e">
        <f>VLOOKUP(N214,etat!$A$9:$N$963,7,FALSE)</f>
        <v>#N/A</v>
      </c>
      <c r="R214" s="797" t="e">
        <f>VLOOKUP(N214,etat!$A$9:$N$1003,9,FALSE)</f>
        <v>#N/A</v>
      </c>
      <c r="S214" s="866" t="e">
        <f>VLOOKUP(N214,etat!$A$9:$P$905,16,FALSE)</f>
        <v>#N/A</v>
      </c>
      <c r="T214" s="755"/>
      <c r="U214" s="791"/>
      <c r="V214" s="784"/>
      <c r="W214" s="784"/>
      <c r="X214" s="869"/>
      <c r="Y214" s="1118"/>
      <c r="Z214" s="975"/>
      <c r="AA214" s="967"/>
      <c r="AB214" s="302"/>
      <c r="AC214" s="302"/>
      <c r="AD214" s="302"/>
      <c r="AE214" s="302"/>
      <c r="AF214" s="302"/>
      <c r="AG214" s="302"/>
      <c r="AH214" s="302"/>
      <c r="AI214" s="302"/>
      <c r="AJ214" s="302"/>
      <c r="AK214" s="302"/>
      <c r="AL214" s="302"/>
      <c r="AM214" s="302"/>
      <c r="AN214" s="302"/>
      <c r="AO214" s="302"/>
      <c r="AP214" s="302"/>
      <c r="AQ214" s="302"/>
      <c r="AR214" s="302"/>
      <c r="AS214" s="302"/>
      <c r="AT214" s="302"/>
      <c r="AU214" s="302"/>
      <c r="AV214" s="302"/>
      <c r="AW214" s="302"/>
    </row>
    <row r="215" spans="1:49" s="13" customFormat="1" ht="17.100000000000001" customHeight="1">
      <c r="A215" s="25"/>
      <c r="B215" s="25"/>
      <c r="C215" s="25"/>
      <c r="D215" s="295"/>
      <c r="E215" s="295"/>
      <c r="F215" s="295"/>
      <c r="G215" s="295"/>
      <c r="H215" s="295"/>
      <c r="I215" s="25"/>
      <c r="J215" s="25"/>
      <c r="K215" s="25"/>
      <c r="L215" s="777">
        <v>5</v>
      </c>
      <c r="M215" s="778"/>
      <c r="N215" s="976">
        <v>0</v>
      </c>
      <c r="O215" s="1020">
        <v>95</v>
      </c>
      <c r="P215" s="847" t="e">
        <f>VLOOKUP(N215,etat!$A$9:$N$1004,2,FALSE)</f>
        <v>#N/A</v>
      </c>
      <c r="Q215" s="797" t="e">
        <f>VLOOKUP(N215,etat!$A$9:$N$963,7,FALSE)</f>
        <v>#N/A</v>
      </c>
      <c r="R215" s="797" t="e">
        <f>VLOOKUP(N215,etat!$A$9:$N$1003,9,FALSE)</f>
        <v>#N/A</v>
      </c>
      <c r="S215" s="866" t="e">
        <f>VLOOKUP(N215,etat!$A$9:$P$905,16,FALSE)</f>
        <v>#N/A</v>
      </c>
      <c r="T215" s="755"/>
      <c r="U215" s="791"/>
      <c r="V215" s="784"/>
      <c r="W215" s="784"/>
      <c r="X215" s="784"/>
      <c r="Y215" s="975"/>
      <c r="Z215" s="975"/>
      <c r="AA215" s="967"/>
      <c r="AB215" s="302"/>
      <c r="AC215" s="302"/>
      <c r="AD215" s="302"/>
      <c r="AE215" s="302"/>
      <c r="AF215" s="302"/>
      <c r="AG215" s="302"/>
      <c r="AH215" s="302"/>
      <c r="AI215" s="302"/>
      <c r="AJ215" s="302"/>
      <c r="AK215" s="302"/>
      <c r="AL215" s="302"/>
      <c r="AM215" s="302"/>
      <c r="AN215" s="302"/>
      <c r="AO215" s="302"/>
      <c r="AP215" s="302"/>
      <c r="AQ215" s="302"/>
      <c r="AR215" s="302"/>
      <c r="AS215" s="302"/>
      <c r="AT215" s="302"/>
      <c r="AU215" s="302"/>
      <c r="AV215" s="302"/>
      <c r="AW215" s="302"/>
    </row>
    <row r="216" spans="1:49" s="13" customFormat="1" ht="17.100000000000001" customHeight="1">
      <c r="A216" s="25"/>
      <c r="B216" s="25"/>
      <c r="C216" s="25"/>
      <c r="D216" s="295"/>
      <c r="E216" s="295"/>
      <c r="F216" s="295"/>
      <c r="G216" s="295"/>
      <c r="H216" s="295"/>
      <c r="I216" s="25"/>
      <c r="J216" s="25"/>
      <c r="K216" s="25"/>
      <c r="L216" s="777">
        <v>5</v>
      </c>
      <c r="M216" s="778"/>
      <c r="N216" s="976">
        <v>0</v>
      </c>
      <c r="O216" s="1020">
        <v>96</v>
      </c>
      <c r="P216" s="847" t="e">
        <f>VLOOKUP(N216,etat!$A$9:$N$1004,2,FALSE)</f>
        <v>#N/A</v>
      </c>
      <c r="Q216" s="797" t="e">
        <f>VLOOKUP(N216,etat!$A$9:$N$963,7,FALSE)</f>
        <v>#N/A</v>
      </c>
      <c r="R216" s="797" t="e">
        <f>VLOOKUP(N216,etat!$A$9:$N$1003,9,FALSE)</f>
        <v>#N/A</v>
      </c>
      <c r="S216" s="866" t="e">
        <f>VLOOKUP(N216,etat!$A$9:$P$905,16,FALSE)</f>
        <v>#N/A</v>
      </c>
      <c r="T216" s="755"/>
      <c r="U216" s="784"/>
      <c r="V216" s="784"/>
      <c r="W216" s="784"/>
      <c r="X216" s="784"/>
      <c r="Y216" s="975"/>
      <c r="Z216" s="975"/>
      <c r="AA216" s="967"/>
      <c r="AB216" s="302"/>
      <c r="AC216" s="302"/>
      <c r="AD216" s="302"/>
      <c r="AE216" s="302"/>
      <c r="AF216" s="302"/>
      <c r="AG216" s="302"/>
      <c r="AH216" s="302"/>
      <c r="AI216" s="302"/>
      <c r="AJ216" s="302"/>
      <c r="AK216" s="302"/>
      <c r="AL216" s="302"/>
      <c r="AM216" s="302"/>
      <c r="AN216" s="302"/>
      <c r="AO216" s="302"/>
      <c r="AP216" s="302"/>
      <c r="AQ216" s="302"/>
      <c r="AR216" s="302"/>
      <c r="AS216" s="302"/>
      <c r="AT216" s="302"/>
      <c r="AU216" s="302"/>
      <c r="AV216" s="302"/>
      <c r="AW216" s="302"/>
    </row>
    <row r="217" spans="1:49" s="13" customFormat="1" ht="17.100000000000001" customHeight="1">
      <c r="A217" s="25"/>
      <c r="B217" s="25"/>
      <c r="C217" s="25"/>
      <c r="D217" s="295"/>
      <c r="E217" s="295"/>
      <c r="F217" s="295"/>
      <c r="G217" s="295"/>
      <c r="H217" s="295"/>
      <c r="I217" s="25"/>
      <c r="J217" s="25"/>
      <c r="K217" s="25"/>
      <c r="L217" s="777">
        <v>5</v>
      </c>
      <c r="M217" s="778"/>
      <c r="N217" s="976">
        <v>0</v>
      </c>
      <c r="O217" s="1020">
        <v>97</v>
      </c>
      <c r="P217" s="847" t="e">
        <f>VLOOKUP(N217,etat!$A$9:$N$1004,2,FALSE)</f>
        <v>#N/A</v>
      </c>
      <c r="Q217" s="797" t="e">
        <f>VLOOKUP(N217,etat!$A$9:$N$963,7,FALSE)</f>
        <v>#N/A</v>
      </c>
      <c r="R217" s="797" t="e">
        <f>VLOOKUP(N217,etat!$A$9:$N$1003,9,FALSE)</f>
        <v>#N/A</v>
      </c>
      <c r="S217" s="866" t="e">
        <f>VLOOKUP(N217,etat!$A$9:$P$905,16,FALSE)</f>
        <v>#N/A</v>
      </c>
      <c r="T217" s="755"/>
      <c r="U217" s="784"/>
      <c r="V217" s="784"/>
      <c r="W217" s="784"/>
      <c r="X217" s="869"/>
      <c r="Y217" s="975"/>
      <c r="Z217" s="975"/>
      <c r="AA217" s="967"/>
      <c r="AB217" s="302"/>
      <c r="AC217" s="302"/>
      <c r="AD217" s="302"/>
      <c r="AE217" s="302"/>
      <c r="AF217" s="302"/>
      <c r="AG217" s="302"/>
      <c r="AH217" s="302"/>
      <c r="AI217" s="302"/>
      <c r="AJ217" s="302"/>
      <c r="AK217" s="302"/>
      <c r="AL217" s="302"/>
      <c r="AM217" s="302"/>
      <c r="AN217" s="302"/>
      <c r="AO217" s="302"/>
      <c r="AP217" s="302"/>
      <c r="AQ217" s="302"/>
      <c r="AR217" s="302"/>
      <c r="AS217" s="302"/>
      <c r="AT217" s="302"/>
      <c r="AU217" s="302"/>
      <c r="AV217" s="302"/>
      <c r="AW217" s="302"/>
    </row>
    <row r="218" spans="1:49" s="13" customFormat="1" ht="17.100000000000001" customHeight="1">
      <c r="A218" s="25"/>
      <c r="B218" s="25"/>
      <c r="C218" s="25"/>
      <c r="D218" s="295"/>
      <c r="E218" s="295"/>
      <c r="F218" s="295"/>
      <c r="G218" s="295"/>
      <c r="H218" s="295"/>
      <c r="I218" s="25"/>
      <c r="J218" s="25"/>
      <c r="K218" s="25"/>
      <c r="L218" s="777">
        <v>5</v>
      </c>
      <c r="M218" s="778"/>
      <c r="N218" s="976">
        <v>0</v>
      </c>
      <c r="O218" s="1020">
        <v>98</v>
      </c>
      <c r="P218" s="847" t="e">
        <f>VLOOKUP(N218,etat!$A$9:$N$1004,2,FALSE)</f>
        <v>#N/A</v>
      </c>
      <c r="Q218" s="797" t="e">
        <f>VLOOKUP(N218,etat!$A$9:$N$963,7,FALSE)</f>
        <v>#N/A</v>
      </c>
      <c r="R218" s="797" t="e">
        <f>VLOOKUP(N218,etat!$A$9:$N$1003,9,FALSE)</f>
        <v>#N/A</v>
      </c>
      <c r="S218" s="866" t="e">
        <f>VLOOKUP(N218,etat!$A$9:$P$905,16,FALSE)</f>
        <v>#N/A</v>
      </c>
      <c r="T218" s="755"/>
      <c r="U218" s="784"/>
      <c r="V218" s="784"/>
      <c r="W218" s="784"/>
      <c r="X218" s="784"/>
      <c r="Y218" s="975"/>
      <c r="Z218" s="967"/>
      <c r="AA218" s="967"/>
      <c r="AB218" s="302"/>
      <c r="AC218" s="302"/>
      <c r="AD218" s="302"/>
      <c r="AE218" s="302"/>
      <c r="AF218" s="302"/>
      <c r="AG218" s="302"/>
      <c r="AH218" s="302"/>
      <c r="AI218" s="302"/>
      <c r="AJ218" s="302"/>
      <c r="AK218" s="302"/>
      <c r="AL218" s="302"/>
      <c r="AM218" s="302"/>
      <c r="AN218" s="302"/>
      <c r="AO218" s="302"/>
      <c r="AP218" s="302"/>
      <c r="AQ218" s="302"/>
      <c r="AR218" s="302"/>
      <c r="AS218" s="302"/>
      <c r="AT218" s="302"/>
      <c r="AU218" s="302"/>
      <c r="AV218" s="302"/>
      <c r="AW218" s="302"/>
    </row>
    <row r="219" spans="1:49" s="13" customFormat="1" ht="17.100000000000001" customHeight="1">
      <c r="A219" s="302"/>
      <c r="B219" s="302"/>
      <c r="C219" s="302"/>
      <c r="D219" s="303"/>
      <c r="E219" s="303"/>
      <c r="F219" s="303"/>
      <c r="G219" s="303"/>
      <c r="H219" s="303"/>
      <c r="I219" s="302"/>
      <c r="J219" s="302"/>
      <c r="K219" s="302"/>
      <c r="L219" s="777">
        <v>5</v>
      </c>
      <c r="M219" s="778"/>
      <c r="N219" s="976">
        <v>0</v>
      </c>
      <c r="O219" s="1020">
        <v>99</v>
      </c>
      <c r="P219" s="847" t="e">
        <f>VLOOKUP(N219,etat!$A$9:$N$1004,2,FALSE)</f>
        <v>#N/A</v>
      </c>
      <c r="Q219" s="797" t="e">
        <f>VLOOKUP(N219,etat!$A$9:$N$963,7,FALSE)</f>
        <v>#N/A</v>
      </c>
      <c r="R219" s="797" t="e">
        <f>VLOOKUP(N219,etat!$A$9:$N$1003,9,FALSE)</f>
        <v>#N/A</v>
      </c>
      <c r="S219" s="866" t="e">
        <f>VLOOKUP(N219,etat!$A$9:$P$905,16,FALSE)</f>
        <v>#N/A</v>
      </c>
      <c r="T219" s="755"/>
      <c r="U219" s="791"/>
      <c r="V219" s="784"/>
      <c r="W219" s="784"/>
      <c r="X219" s="784"/>
      <c r="Y219" s="975"/>
      <c r="Z219" s="975"/>
      <c r="AA219" s="967"/>
      <c r="AB219" s="302"/>
      <c r="AC219" s="302"/>
      <c r="AD219" s="302"/>
      <c r="AE219" s="302"/>
      <c r="AF219" s="302"/>
      <c r="AG219" s="302"/>
      <c r="AH219" s="302"/>
      <c r="AI219" s="302"/>
      <c r="AJ219" s="302"/>
      <c r="AK219" s="302"/>
      <c r="AL219" s="302"/>
      <c r="AM219" s="302"/>
      <c r="AN219" s="302"/>
      <c r="AO219" s="302"/>
      <c r="AP219" s="302"/>
      <c r="AQ219" s="302"/>
      <c r="AR219" s="302"/>
      <c r="AS219" s="302"/>
      <c r="AT219" s="302"/>
      <c r="AU219" s="302"/>
      <c r="AV219" s="302"/>
      <c r="AW219" s="302"/>
    </row>
    <row r="220" spans="1:49" s="13" customFormat="1" ht="17.100000000000001" customHeight="1">
      <c r="A220" s="302"/>
      <c r="B220" s="302"/>
      <c r="C220" s="302"/>
      <c r="D220" s="303"/>
      <c r="E220" s="303"/>
      <c r="F220" s="303"/>
      <c r="G220" s="303"/>
      <c r="H220" s="303"/>
      <c r="I220" s="302"/>
      <c r="J220" s="302"/>
      <c r="K220" s="302"/>
      <c r="L220" s="777">
        <v>5</v>
      </c>
      <c r="M220" s="778"/>
      <c r="N220" s="976">
        <v>0</v>
      </c>
      <c r="O220" s="1020">
        <v>100</v>
      </c>
      <c r="P220" s="847" t="e">
        <f>VLOOKUP(N220,etat!$A$9:$N$1004,2,FALSE)</f>
        <v>#N/A</v>
      </c>
      <c r="Q220" s="797" t="e">
        <f>VLOOKUP(N220,etat!$A$9:$N$963,7,FALSE)</f>
        <v>#N/A</v>
      </c>
      <c r="R220" s="797" t="e">
        <f>VLOOKUP(N220,etat!$A$9:$N$1003,9,FALSE)</f>
        <v>#N/A</v>
      </c>
      <c r="S220" s="866" t="e">
        <f>VLOOKUP(N220,etat!$A$9:$P$905,16,FALSE)</f>
        <v>#N/A</v>
      </c>
      <c r="T220" s="755"/>
      <c r="U220" s="791"/>
      <c r="V220" s="784"/>
      <c r="W220" s="784"/>
      <c r="X220" s="784"/>
      <c r="Y220" s="975"/>
      <c r="Z220" s="975"/>
      <c r="AA220" s="967"/>
      <c r="AB220" s="302"/>
      <c r="AC220" s="302"/>
      <c r="AD220" s="302"/>
      <c r="AE220" s="302"/>
      <c r="AF220" s="302"/>
      <c r="AG220" s="302"/>
      <c r="AH220" s="302"/>
      <c r="AI220" s="302"/>
      <c r="AJ220" s="302"/>
      <c r="AK220" s="302"/>
      <c r="AL220" s="302"/>
      <c r="AM220" s="302"/>
      <c r="AN220" s="302"/>
      <c r="AO220" s="302"/>
      <c r="AP220" s="302"/>
      <c r="AQ220" s="302"/>
      <c r="AR220" s="302"/>
      <c r="AS220" s="302"/>
      <c r="AT220" s="302"/>
      <c r="AU220" s="302"/>
      <c r="AV220" s="302"/>
      <c r="AW220" s="302"/>
    </row>
    <row r="221" spans="1:49" s="13" customFormat="1" ht="17.100000000000001" customHeight="1">
      <c r="A221" s="302"/>
      <c r="B221" s="302"/>
      <c r="C221" s="302"/>
      <c r="D221" s="303"/>
      <c r="E221" s="303"/>
      <c r="F221" s="303"/>
      <c r="G221" s="303"/>
      <c r="H221" s="303"/>
      <c r="I221" s="302"/>
      <c r="J221" s="302"/>
      <c r="K221" s="302"/>
      <c r="L221" s="777">
        <v>5</v>
      </c>
      <c r="M221" s="778"/>
      <c r="N221" s="976">
        <v>0</v>
      </c>
      <c r="O221" s="1020">
        <v>101</v>
      </c>
      <c r="P221" s="847" t="e">
        <f>VLOOKUP(N221,etat!$A$9:$N$1004,2,FALSE)</f>
        <v>#N/A</v>
      </c>
      <c r="Q221" s="797" t="e">
        <f>VLOOKUP(N221,etat!$A$9:$N$963,7,FALSE)</f>
        <v>#N/A</v>
      </c>
      <c r="R221" s="797" t="e">
        <f>VLOOKUP(N221,etat!$A$9:$N$1003,9,FALSE)</f>
        <v>#N/A</v>
      </c>
      <c r="S221" s="866" t="e">
        <f>VLOOKUP(N221,etat!$A$9:$P$905,16,FALSE)</f>
        <v>#N/A</v>
      </c>
      <c r="T221" s="755"/>
      <c r="U221" s="791"/>
      <c r="V221" s="784"/>
      <c r="W221" s="784"/>
      <c r="X221" s="784"/>
      <c r="Y221" s="975"/>
      <c r="Z221" s="975"/>
      <c r="AA221" s="967"/>
      <c r="AB221" s="302"/>
      <c r="AC221" s="302"/>
      <c r="AD221" s="302"/>
      <c r="AE221" s="302"/>
      <c r="AF221" s="302"/>
      <c r="AG221" s="302"/>
      <c r="AH221" s="302"/>
      <c r="AI221" s="302"/>
      <c r="AJ221" s="302"/>
      <c r="AK221" s="302"/>
      <c r="AL221" s="302"/>
      <c r="AM221" s="302"/>
      <c r="AN221" s="302"/>
      <c r="AO221" s="302"/>
      <c r="AP221" s="302"/>
      <c r="AQ221" s="302"/>
      <c r="AR221" s="302"/>
      <c r="AS221" s="302"/>
      <c r="AT221" s="302"/>
      <c r="AU221" s="302"/>
      <c r="AV221" s="302"/>
      <c r="AW221" s="302"/>
    </row>
    <row r="222" spans="1:49" s="13" customFormat="1" ht="17.100000000000001" customHeight="1">
      <c r="A222" s="302"/>
      <c r="B222" s="302"/>
      <c r="C222" s="302"/>
      <c r="D222" s="303"/>
      <c r="E222" s="303"/>
      <c r="F222" s="303"/>
      <c r="G222" s="303"/>
      <c r="H222" s="303"/>
      <c r="I222" s="302"/>
      <c r="J222" s="302"/>
      <c r="K222" s="302"/>
      <c r="L222" s="777">
        <v>5</v>
      </c>
      <c r="M222" s="778"/>
      <c r="N222" s="976">
        <v>0</v>
      </c>
      <c r="O222" s="1020">
        <v>102</v>
      </c>
      <c r="P222" s="847" t="e">
        <f>VLOOKUP(N222,etat!$A$9:$N$1004,2,FALSE)</f>
        <v>#N/A</v>
      </c>
      <c r="Q222" s="797" t="e">
        <f>VLOOKUP(N222,etat!$A$9:$N$963,7,FALSE)</f>
        <v>#N/A</v>
      </c>
      <c r="R222" s="797" t="e">
        <f>VLOOKUP(N222,etat!$A$9:$N$1003,9,FALSE)</f>
        <v>#N/A</v>
      </c>
      <c r="S222" s="866" t="e">
        <f>VLOOKUP(N222,etat!$A$9:$P$905,16,FALSE)</f>
        <v>#N/A</v>
      </c>
      <c r="T222" s="755"/>
      <c r="U222" s="791"/>
      <c r="V222" s="784"/>
      <c r="W222" s="784"/>
      <c r="X222" s="784"/>
      <c r="Y222" s="975"/>
      <c r="Z222" s="975"/>
      <c r="AA222" s="967"/>
      <c r="AB222" s="302"/>
      <c r="AC222" s="302"/>
      <c r="AD222" s="302"/>
      <c r="AE222" s="302"/>
      <c r="AF222" s="302"/>
      <c r="AG222" s="302"/>
      <c r="AH222" s="302"/>
      <c r="AI222" s="302"/>
      <c r="AJ222" s="302"/>
      <c r="AK222" s="302"/>
      <c r="AL222" s="302"/>
      <c r="AM222" s="302"/>
      <c r="AN222" s="302"/>
      <c r="AO222" s="302"/>
      <c r="AP222" s="302"/>
      <c r="AQ222" s="302"/>
      <c r="AR222" s="302"/>
      <c r="AS222" s="302"/>
      <c r="AT222" s="302"/>
      <c r="AU222" s="302"/>
      <c r="AV222" s="302"/>
      <c r="AW222" s="302"/>
    </row>
    <row r="223" spans="1:49" s="13" customFormat="1" ht="17.100000000000001" customHeight="1">
      <c r="A223" s="302"/>
      <c r="B223" s="302"/>
      <c r="C223" s="302"/>
      <c r="D223" s="303"/>
      <c r="E223" s="303"/>
      <c r="F223" s="303"/>
      <c r="G223" s="303"/>
      <c r="H223" s="303"/>
      <c r="I223" s="302"/>
      <c r="J223" s="302"/>
      <c r="K223" s="302"/>
      <c r="L223" s="777">
        <v>5</v>
      </c>
      <c r="M223" s="778"/>
      <c r="N223" s="976">
        <v>0</v>
      </c>
      <c r="O223" s="1020">
        <v>103</v>
      </c>
      <c r="P223" s="847" t="e">
        <f>VLOOKUP(N223,etat!$A$9:$N$1004,2,FALSE)</f>
        <v>#N/A</v>
      </c>
      <c r="Q223" s="797" t="e">
        <f>VLOOKUP(N223,etat!$A$9:$N$963,7,FALSE)</f>
        <v>#N/A</v>
      </c>
      <c r="R223" s="797" t="e">
        <f>VLOOKUP(N223,etat!$A$9:$N$1003,9,FALSE)</f>
        <v>#N/A</v>
      </c>
      <c r="S223" s="866" t="e">
        <f>VLOOKUP(N223,etat!$A$9:$P$905,16,FALSE)</f>
        <v>#N/A</v>
      </c>
      <c r="T223" s="755"/>
      <c r="U223" s="791"/>
      <c r="V223" s="784"/>
      <c r="W223" s="784"/>
      <c r="X223" s="784"/>
      <c r="Y223" s="975"/>
      <c r="Z223" s="975"/>
      <c r="AA223" s="967"/>
      <c r="AB223" s="302"/>
      <c r="AC223" s="302"/>
      <c r="AD223" s="302"/>
      <c r="AE223" s="302"/>
      <c r="AF223" s="302"/>
      <c r="AG223" s="302"/>
      <c r="AH223" s="302"/>
      <c r="AI223" s="302"/>
      <c r="AJ223" s="302"/>
      <c r="AK223" s="302"/>
      <c r="AL223" s="302"/>
      <c r="AM223" s="302"/>
      <c r="AN223" s="302"/>
      <c r="AO223" s="302"/>
      <c r="AP223" s="302"/>
      <c r="AQ223" s="302"/>
      <c r="AR223" s="302"/>
      <c r="AS223" s="302"/>
      <c r="AT223" s="302"/>
      <c r="AU223" s="302"/>
      <c r="AV223" s="302"/>
      <c r="AW223" s="302"/>
    </row>
    <row r="224" spans="1:49" s="13" customFormat="1" ht="17.100000000000001" customHeight="1">
      <c r="A224" s="302"/>
      <c r="B224" s="302"/>
      <c r="C224" s="302"/>
      <c r="D224" s="303"/>
      <c r="E224" s="303"/>
      <c r="F224" s="303"/>
      <c r="G224" s="303"/>
      <c r="H224" s="303"/>
      <c r="I224" s="302"/>
      <c r="J224" s="302"/>
      <c r="K224" s="302"/>
      <c r="L224" s="777">
        <v>5</v>
      </c>
      <c r="M224" s="864"/>
      <c r="N224" s="976">
        <v>0</v>
      </c>
      <c r="O224" s="1020">
        <v>104</v>
      </c>
      <c r="P224" s="847" t="e">
        <f>VLOOKUP(N224,etat!$A$9:$N$1004,2,FALSE)</f>
        <v>#N/A</v>
      </c>
      <c r="Q224" s="797" t="e">
        <f>VLOOKUP(N224,etat!$A$9:$N$963,7,FALSE)</f>
        <v>#N/A</v>
      </c>
      <c r="R224" s="797" t="e">
        <f>VLOOKUP(N224,etat!$A$9:$N$1003,9,FALSE)</f>
        <v>#N/A</v>
      </c>
      <c r="S224" s="866" t="e">
        <f>VLOOKUP(N224,etat!$A$9:$P$905,16,FALSE)</f>
        <v>#N/A</v>
      </c>
      <c r="T224" s="755"/>
      <c r="U224" s="791"/>
      <c r="V224" s="784"/>
      <c r="W224" s="784"/>
      <c r="X224" s="784"/>
      <c r="Y224" s="975"/>
      <c r="Z224" s="975"/>
      <c r="AA224" s="967"/>
      <c r="AB224" s="302"/>
      <c r="AC224" s="302"/>
      <c r="AD224" s="302"/>
      <c r="AE224" s="302"/>
      <c r="AF224" s="302"/>
      <c r="AG224" s="302"/>
      <c r="AH224" s="302"/>
      <c r="AI224" s="302"/>
      <c r="AJ224" s="302"/>
      <c r="AK224" s="302"/>
      <c r="AL224" s="302"/>
      <c r="AM224" s="302"/>
      <c r="AN224" s="302"/>
      <c r="AO224" s="302"/>
      <c r="AP224" s="302"/>
      <c r="AQ224" s="302"/>
      <c r="AR224" s="302"/>
      <c r="AS224" s="302"/>
      <c r="AT224" s="302"/>
      <c r="AU224" s="302"/>
      <c r="AV224" s="302"/>
      <c r="AW224" s="302"/>
    </row>
    <row r="225" spans="1:49" s="13" customFormat="1" ht="17.100000000000001" customHeight="1">
      <c r="A225" s="302"/>
      <c r="B225" s="302"/>
      <c r="C225" s="302"/>
      <c r="D225" s="303"/>
      <c r="E225" s="303"/>
      <c r="F225" s="303"/>
      <c r="G225" s="303"/>
      <c r="H225" s="303"/>
      <c r="I225" s="302"/>
      <c r="J225" s="302"/>
      <c r="K225" s="302"/>
      <c r="L225" s="777">
        <v>5</v>
      </c>
      <c r="M225" s="864"/>
      <c r="N225" s="976">
        <v>0</v>
      </c>
      <c r="O225" s="1020">
        <v>105</v>
      </c>
      <c r="P225" s="268" t="e">
        <f>VLOOKUP(N225,etat!$A$9:$N$1004,2,FALSE)</f>
        <v>#N/A</v>
      </c>
      <c r="Q225" s="797" t="e">
        <f>VLOOKUP(N225,etat!$A$9:$N$963,7,FALSE)</f>
        <v>#N/A</v>
      </c>
      <c r="R225" s="797" t="e">
        <f>VLOOKUP(N225,etat!$A$9:$N$1003,9,FALSE)</f>
        <v>#N/A</v>
      </c>
      <c r="S225" s="866" t="e">
        <f>VLOOKUP(N225,etat!$A$9:$P$905,16,FALSE)</f>
        <v>#N/A</v>
      </c>
      <c r="T225" s="755"/>
      <c r="U225" s="784"/>
      <c r="V225" s="784"/>
      <c r="W225" s="784"/>
      <c r="X225" s="784"/>
      <c r="Y225" s="975"/>
      <c r="Z225" s="975"/>
      <c r="AA225" s="967"/>
      <c r="AB225" s="302"/>
      <c r="AC225" s="302"/>
      <c r="AD225" s="302"/>
      <c r="AE225" s="302"/>
      <c r="AF225" s="302"/>
      <c r="AG225" s="302"/>
      <c r="AH225" s="302"/>
      <c r="AI225" s="302"/>
      <c r="AJ225" s="302"/>
      <c r="AK225" s="302"/>
      <c r="AL225" s="302"/>
      <c r="AM225" s="302"/>
      <c r="AN225" s="302"/>
      <c r="AO225" s="302"/>
      <c r="AP225" s="302"/>
      <c r="AQ225" s="302"/>
      <c r="AR225" s="302"/>
      <c r="AS225" s="302"/>
      <c r="AT225" s="302"/>
      <c r="AU225" s="302"/>
      <c r="AV225" s="302"/>
      <c r="AW225" s="302"/>
    </row>
    <row r="226" spans="1:49" s="13" customFormat="1" ht="17.100000000000001" customHeight="1">
      <c r="A226" s="302"/>
      <c r="B226" s="302"/>
      <c r="C226" s="302"/>
      <c r="D226" s="303"/>
      <c r="E226" s="303"/>
      <c r="F226" s="303"/>
      <c r="G226" s="303"/>
      <c r="H226" s="303"/>
      <c r="I226" s="302"/>
      <c r="J226" s="302"/>
      <c r="K226" s="302"/>
      <c r="L226" s="777">
        <v>5</v>
      </c>
      <c r="M226" s="864"/>
      <c r="N226" s="976">
        <v>0</v>
      </c>
      <c r="O226" s="1020">
        <v>106</v>
      </c>
      <c r="P226" s="847" t="e">
        <f>VLOOKUP(N226,etat!$A$9:$N$1004,2,FALSE)</f>
        <v>#N/A</v>
      </c>
      <c r="Q226" s="797" t="e">
        <f>VLOOKUP(N226,etat!$A$9:$N$963,7,FALSE)</f>
        <v>#N/A</v>
      </c>
      <c r="R226" s="797" t="e">
        <f>VLOOKUP(N226,etat!$A$9:$N$1003,9,FALSE)</f>
        <v>#N/A</v>
      </c>
      <c r="S226" s="866" t="e">
        <f>VLOOKUP(N226,etat!$A$9:$P$905,16,FALSE)</f>
        <v>#N/A</v>
      </c>
      <c r="T226" s="755"/>
      <c r="U226" s="791"/>
      <c r="V226" s="784"/>
      <c r="W226" s="784"/>
      <c r="X226" s="784"/>
      <c r="Y226" s="975"/>
      <c r="Z226" s="975"/>
      <c r="AA226" s="967"/>
      <c r="AB226" s="302"/>
      <c r="AC226" s="302"/>
      <c r="AD226" s="302"/>
      <c r="AE226" s="302"/>
      <c r="AF226" s="302"/>
      <c r="AG226" s="302"/>
      <c r="AH226" s="302"/>
      <c r="AI226" s="302"/>
      <c r="AJ226" s="302"/>
      <c r="AK226" s="302"/>
      <c r="AL226" s="302"/>
      <c r="AM226" s="302"/>
      <c r="AN226" s="302"/>
      <c r="AO226" s="302"/>
      <c r="AP226" s="302"/>
      <c r="AQ226" s="302"/>
      <c r="AR226" s="302"/>
      <c r="AS226" s="302"/>
      <c r="AT226" s="302"/>
      <c r="AU226" s="302"/>
      <c r="AV226" s="302"/>
      <c r="AW226" s="302"/>
    </row>
    <row r="227" spans="1:49" s="13" customFormat="1" ht="17.100000000000001" customHeight="1">
      <c r="A227" s="302"/>
      <c r="B227" s="302"/>
      <c r="C227" s="302"/>
      <c r="D227" s="303"/>
      <c r="E227" s="303"/>
      <c r="F227" s="303"/>
      <c r="G227" s="303"/>
      <c r="H227" s="303"/>
      <c r="I227" s="302"/>
      <c r="J227" s="302"/>
      <c r="K227" s="302"/>
      <c r="L227" s="777">
        <v>5</v>
      </c>
      <c r="M227" s="778"/>
      <c r="N227" s="976">
        <v>0</v>
      </c>
      <c r="O227" s="1020">
        <v>107</v>
      </c>
      <c r="P227" s="847" t="e">
        <f>VLOOKUP(N227,etat!$A$9:$N$1004,2,FALSE)</f>
        <v>#N/A</v>
      </c>
      <c r="Q227" s="797" t="e">
        <f>VLOOKUP(N227,etat!$A$9:$N$963,7,FALSE)</f>
        <v>#N/A</v>
      </c>
      <c r="R227" s="797" t="e">
        <f>VLOOKUP(N227,etat!$A$9:$N$1003,9,FALSE)</f>
        <v>#N/A</v>
      </c>
      <c r="S227" s="866" t="e">
        <f>VLOOKUP(N227,etat!$A$9:$P$905,16,FALSE)</f>
        <v>#N/A</v>
      </c>
      <c r="T227" s="755"/>
      <c r="U227" s="791"/>
      <c r="V227" s="784"/>
      <c r="W227" s="784"/>
      <c r="X227" s="784"/>
      <c r="Y227" s="1116"/>
      <c r="Z227" s="975"/>
      <c r="AA227" s="967"/>
      <c r="AB227" s="302"/>
      <c r="AC227" s="302"/>
      <c r="AD227" s="302"/>
      <c r="AE227" s="302"/>
      <c r="AF227" s="302"/>
      <c r="AG227" s="302"/>
      <c r="AH227" s="302"/>
      <c r="AI227" s="302"/>
      <c r="AJ227" s="302"/>
      <c r="AK227" s="302"/>
      <c r="AL227" s="302"/>
      <c r="AM227" s="302"/>
      <c r="AN227" s="302"/>
      <c r="AO227" s="302"/>
      <c r="AP227" s="302"/>
      <c r="AQ227" s="302"/>
      <c r="AR227" s="302"/>
      <c r="AS227" s="302"/>
      <c r="AT227" s="302"/>
      <c r="AU227" s="302"/>
      <c r="AV227" s="302"/>
      <c r="AW227" s="302"/>
    </row>
    <row r="228" spans="1:49" s="13" customFormat="1" ht="17.100000000000001" customHeight="1">
      <c r="A228" s="302"/>
      <c r="B228" s="302"/>
      <c r="C228" s="302"/>
      <c r="D228" s="303"/>
      <c r="E228" s="303"/>
      <c r="F228" s="303"/>
      <c r="G228" s="303"/>
      <c r="H228" s="303"/>
      <c r="I228" s="302"/>
      <c r="J228" s="302"/>
      <c r="K228" s="302"/>
      <c r="L228" s="777">
        <v>5</v>
      </c>
      <c r="M228" s="778"/>
      <c r="N228" s="976">
        <v>0</v>
      </c>
      <c r="O228" s="1020">
        <v>108</v>
      </c>
      <c r="P228" s="847" t="e">
        <f>VLOOKUP(N228,etat!$A$9:$N$1004,2,FALSE)</f>
        <v>#N/A</v>
      </c>
      <c r="Q228" s="797" t="e">
        <f>VLOOKUP(N228,etat!$A$9:$N$963,7,FALSE)</f>
        <v>#N/A</v>
      </c>
      <c r="R228" s="797" t="e">
        <f>VLOOKUP(N228,etat!$A$9:$N$1003,9,FALSE)</f>
        <v>#N/A</v>
      </c>
      <c r="S228" s="866" t="e">
        <f>VLOOKUP(N228,etat!$A$9:$P$905,16,FALSE)</f>
        <v>#N/A</v>
      </c>
      <c r="T228" s="755"/>
      <c r="U228" s="791"/>
      <c r="V228" s="784"/>
      <c r="W228" s="784"/>
      <c r="X228" s="869"/>
      <c r="Y228" s="975"/>
      <c r="Z228" s="975"/>
      <c r="AA228" s="967"/>
      <c r="AB228" s="302"/>
      <c r="AC228" s="302"/>
      <c r="AD228" s="302"/>
      <c r="AE228" s="302"/>
      <c r="AF228" s="302"/>
      <c r="AG228" s="302"/>
      <c r="AH228" s="302"/>
      <c r="AI228" s="302"/>
      <c r="AJ228" s="302"/>
      <c r="AK228" s="302"/>
      <c r="AL228" s="302"/>
      <c r="AM228" s="302"/>
      <c r="AN228" s="302"/>
      <c r="AO228" s="302"/>
      <c r="AP228" s="302"/>
      <c r="AQ228" s="302"/>
      <c r="AR228" s="302"/>
      <c r="AS228" s="302"/>
      <c r="AT228" s="302"/>
      <c r="AU228" s="302"/>
      <c r="AV228" s="302"/>
      <c r="AW228" s="302"/>
    </row>
    <row r="229" spans="1:49" s="13" customFormat="1" ht="17.45" customHeight="1">
      <c r="A229" s="302"/>
      <c r="B229" s="302"/>
      <c r="C229" s="302"/>
      <c r="D229" s="303"/>
      <c r="E229" s="303"/>
      <c r="F229" s="303"/>
      <c r="G229" s="303"/>
      <c r="H229" s="303"/>
      <c r="I229" s="302"/>
      <c r="J229" s="302"/>
      <c r="K229" s="302"/>
      <c r="L229" s="777">
        <v>5</v>
      </c>
      <c r="M229" s="778"/>
      <c r="N229" s="976">
        <v>0</v>
      </c>
      <c r="O229" s="1020">
        <v>109</v>
      </c>
      <c r="P229" s="268" t="e">
        <f>VLOOKUP(N229,etat!$A$9:$N$1004,2,FALSE)</f>
        <v>#N/A</v>
      </c>
      <c r="Q229" s="797" t="e">
        <f>VLOOKUP(N229,etat!$A$9:$N$963,7,FALSE)</f>
        <v>#N/A</v>
      </c>
      <c r="R229" s="797" t="e">
        <f>VLOOKUP(N229,etat!$A$9:$N$1003,9,FALSE)</f>
        <v>#N/A</v>
      </c>
      <c r="S229" s="866" t="e">
        <f>VLOOKUP(N229,etat!$A$9:$P$905,16,FALSE)</f>
        <v>#N/A</v>
      </c>
      <c r="T229" s="755"/>
      <c r="U229" s="791"/>
      <c r="V229" s="784"/>
      <c r="W229" s="784"/>
      <c r="X229" s="784"/>
      <c r="Y229" s="975"/>
      <c r="Z229" s="967"/>
      <c r="AA229" s="967"/>
      <c r="AB229" s="302"/>
      <c r="AC229" s="302"/>
      <c r="AD229" s="302"/>
      <c r="AE229" s="302"/>
      <c r="AF229" s="302"/>
      <c r="AG229" s="302"/>
      <c r="AH229" s="302"/>
      <c r="AI229" s="302"/>
      <c r="AJ229" s="302"/>
      <c r="AK229" s="302"/>
      <c r="AL229" s="302"/>
      <c r="AM229" s="302"/>
      <c r="AN229" s="302"/>
      <c r="AO229" s="302"/>
      <c r="AP229" s="302"/>
      <c r="AQ229" s="302"/>
      <c r="AR229" s="302"/>
      <c r="AS229" s="302"/>
      <c r="AT229" s="302"/>
      <c r="AU229" s="302"/>
      <c r="AV229" s="302"/>
      <c r="AW229" s="302"/>
    </row>
    <row r="230" spans="1:49" s="13" customFormat="1" ht="17.45" customHeight="1">
      <c r="A230" s="302"/>
      <c r="B230" s="302"/>
      <c r="C230" s="302"/>
      <c r="D230" s="303"/>
      <c r="E230" s="303"/>
      <c r="F230" s="303"/>
      <c r="G230" s="303"/>
      <c r="H230" s="303"/>
      <c r="I230" s="302"/>
      <c r="J230" s="302"/>
      <c r="K230" s="302"/>
      <c r="L230" s="777">
        <v>5</v>
      </c>
      <c r="M230" s="778"/>
      <c r="N230" s="976">
        <v>0</v>
      </c>
      <c r="O230" s="1020">
        <v>110</v>
      </c>
      <c r="P230" s="847" t="e">
        <f>VLOOKUP(N230,etat!$A$9:$N$1004,2,FALSE)</f>
        <v>#N/A</v>
      </c>
      <c r="Q230" s="797" t="e">
        <f>VLOOKUP(N230,etat!$A$9:$N$963,7,FALSE)</f>
        <v>#N/A</v>
      </c>
      <c r="R230" s="797" t="e">
        <f>VLOOKUP(N230,etat!$A$9:$N$1003,9,FALSE)</f>
        <v>#N/A</v>
      </c>
      <c r="S230" s="866" t="e">
        <f>VLOOKUP(N230,etat!$A$9:$P$905,16,FALSE)</f>
        <v>#N/A</v>
      </c>
      <c r="T230" s="755"/>
      <c r="U230" s="791"/>
      <c r="V230" s="784"/>
      <c r="W230" s="784"/>
      <c r="X230" s="784"/>
      <c r="Y230" s="975"/>
      <c r="Z230" s="975"/>
      <c r="AA230" s="967"/>
      <c r="AB230" s="1005"/>
      <c r="AC230" s="1005"/>
      <c r="AD230" s="1005"/>
      <c r="AE230" s="1005"/>
      <c r="AF230" s="1005"/>
      <c r="AG230" s="1004"/>
      <c r="AH230" s="1004"/>
      <c r="AI230" s="1004"/>
      <c r="AJ230" s="1004"/>
      <c r="AK230" s="1004"/>
      <c r="AL230" s="1004"/>
      <c r="AM230" s="1004"/>
      <c r="AN230" s="1004"/>
      <c r="AO230" s="1004"/>
      <c r="AP230" s="1004"/>
      <c r="AQ230" s="1004"/>
      <c r="AR230" s="1004"/>
      <c r="AS230" s="1004"/>
      <c r="AT230" s="1004"/>
      <c r="AU230" s="1004"/>
      <c r="AV230" s="1004"/>
      <c r="AW230" s="1004"/>
    </row>
    <row r="231" spans="1:49" ht="17.25">
      <c r="A231" s="302"/>
      <c r="B231" s="302"/>
      <c r="C231" s="302"/>
      <c r="D231" s="303"/>
      <c r="E231" s="303"/>
      <c r="F231" s="303"/>
      <c r="G231" s="303"/>
      <c r="H231" s="303"/>
      <c r="I231" s="302"/>
      <c r="J231" s="302"/>
      <c r="K231" s="302"/>
      <c r="L231" s="777">
        <v>5</v>
      </c>
      <c r="M231" s="778"/>
      <c r="N231" s="976">
        <v>0</v>
      </c>
      <c r="O231" s="1020">
        <v>111</v>
      </c>
      <c r="P231" s="268" t="e">
        <f>VLOOKUP(N231,etat!$A$9:$N$1004,2,FALSE)</f>
        <v>#N/A</v>
      </c>
      <c r="Q231" s="797" t="e">
        <f>VLOOKUP(N231,etat!$A$9:$N$963,7,FALSE)</f>
        <v>#N/A</v>
      </c>
      <c r="R231" s="797" t="e">
        <f>VLOOKUP(N231,etat!$A$9:$N$1003,9,FALSE)</f>
        <v>#N/A</v>
      </c>
      <c r="S231" s="866" t="e">
        <f>VLOOKUP(N231,etat!$A$9:$P$905,16,FALSE)</f>
        <v>#N/A</v>
      </c>
      <c r="T231" s="755"/>
      <c r="U231" s="791"/>
      <c r="V231" s="784"/>
      <c r="W231" s="784"/>
      <c r="X231" s="784"/>
      <c r="Y231" s="975"/>
      <c r="Z231" s="967"/>
      <c r="AA231" s="967"/>
      <c r="AB231" s="1005"/>
      <c r="AC231" s="1005"/>
      <c r="AD231" s="1005"/>
      <c r="AE231" s="1005"/>
      <c r="AF231" s="1005"/>
      <c r="AG231" s="1004"/>
      <c r="AH231" s="1004"/>
      <c r="AI231" s="1004"/>
      <c r="AJ231" s="1004"/>
      <c r="AK231" s="1004"/>
      <c r="AL231" s="1004"/>
      <c r="AM231" s="1004"/>
      <c r="AN231" s="1004"/>
      <c r="AO231" s="1004"/>
      <c r="AP231" s="1004"/>
      <c r="AQ231" s="1004"/>
      <c r="AR231" s="1004"/>
      <c r="AS231" s="1004"/>
      <c r="AT231" s="1004"/>
      <c r="AU231" s="1004"/>
      <c r="AV231" s="1004"/>
      <c r="AW231" s="1004"/>
    </row>
    <row r="232" spans="1:49" s="920" customFormat="1" ht="17.25">
      <c r="A232" s="302"/>
      <c r="B232" s="302"/>
      <c r="C232" s="302"/>
      <c r="D232" s="303"/>
      <c r="E232" s="303"/>
      <c r="F232" s="303"/>
      <c r="G232" s="303"/>
      <c r="H232" s="303"/>
      <c r="I232" s="302"/>
      <c r="J232" s="302"/>
      <c r="K232" s="302"/>
      <c r="L232" s="777">
        <v>5</v>
      </c>
      <c r="M232" s="778"/>
      <c r="N232" s="976">
        <v>0</v>
      </c>
      <c r="O232" s="1020">
        <v>112</v>
      </c>
      <c r="P232" s="847" t="e">
        <f>VLOOKUP(N232,etat!$A$9:$N$1004,2,FALSE)</f>
        <v>#N/A</v>
      </c>
      <c r="Q232" s="797" t="e">
        <f>VLOOKUP(N232,etat!$A$9:$N$963,7,FALSE)</f>
        <v>#N/A</v>
      </c>
      <c r="R232" s="797" t="e">
        <f>VLOOKUP(N232,etat!$A$9:$N$1003,9,FALSE)</f>
        <v>#N/A</v>
      </c>
      <c r="S232" s="866" t="e">
        <f>VLOOKUP(N232,etat!$A$9:$P$905,16,FALSE)</f>
        <v>#N/A</v>
      </c>
      <c r="T232" s="755"/>
      <c r="U232" s="791"/>
      <c r="V232" s="784"/>
      <c r="W232" s="784"/>
      <c r="X232" s="784"/>
      <c r="Y232" s="975"/>
      <c r="Z232" s="975"/>
      <c r="AA232" s="967"/>
      <c r="AB232" s="1005"/>
      <c r="AC232" s="1005"/>
      <c r="AD232" s="1005"/>
      <c r="AE232" s="1005"/>
      <c r="AF232" s="1005"/>
      <c r="AG232" s="1004"/>
      <c r="AH232" s="1004"/>
      <c r="AI232" s="1004"/>
      <c r="AJ232" s="1004"/>
      <c r="AK232" s="1004"/>
      <c r="AL232" s="1004"/>
      <c r="AM232" s="1004"/>
      <c r="AN232" s="1004"/>
      <c r="AO232" s="1004"/>
      <c r="AP232" s="1004"/>
      <c r="AQ232" s="1004"/>
      <c r="AR232" s="1004"/>
      <c r="AS232" s="1004"/>
      <c r="AT232" s="1004"/>
      <c r="AU232" s="1004"/>
      <c r="AV232" s="1004"/>
      <c r="AW232" s="1004"/>
    </row>
    <row r="233" spans="1:49" s="920" customFormat="1" ht="17.25">
      <c r="A233" s="302"/>
      <c r="B233" s="302"/>
      <c r="C233" s="302"/>
      <c r="D233" s="303"/>
      <c r="E233" s="303"/>
      <c r="F233" s="303"/>
      <c r="G233" s="303"/>
      <c r="H233" s="303"/>
      <c r="I233" s="302"/>
      <c r="J233" s="302"/>
      <c r="K233" s="302"/>
      <c r="L233" s="777">
        <v>5</v>
      </c>
      <c r="M233" s="864"/>
      <c r="N233" s="976">
        <v>0</v>
      </c>
      <c r="O233" s="1020">
        <v>113</v>
      </c>
      <c r="P233" s="847" t="e">
        <f>VLOOKUP(N233,etat!$A$9:$N$1004,2,FALSE)</f>
        <v>#N/A</v>
      </c>
      <c r="Q233" s="797" t="e">
        <f>VLOOKUP(N233,etat!$A$9:$N$963,7,FALSE)</f>
        <v>#N/A</v>
      </c>
      <c r="R233" s="797" t="e">
        <f>VLOOKUP(N233,etat!$A$9:$N$1003,9,FALSE)</f>
        <v>#N/A</v>
      </c>
      <c r="S233" s="866" t="e">
        <f>VLOOKUP(N233,etat!$A$9:$P$905,16,FALSE)</f>
        <v>#N/A</v>
      </c>
      <c r="T233" s="755"/>
      <c r="U233" s="791"/>
      <c r="V233" s="784"/>
      <c r="W233" s="784"/>
      <c r="X233" s="784"/>
      <c r="Y233" s="975"/>
      <c r="Z233" s="975"/>
      <c r="AA233" s="967"/>
      <c r="AB233" s="1005"/>
      <c r="AC233" s="1005"/>
      <c r="AD233" s="1005"/>
      <c r="AE233" s="1005"/>
      <c r="AF233" s="1005"/>
      <c r="AG233" s="1004"/>
      <c r="AH233" s="1004"/>
      <c r="AI233" s="1004"/>
      <c r="AJ233" s="1004"/>
      <c r="AK233" s="1004"/>
      <c r="AL233" s="1004"/>
      <c r="AM233" s="1004"/>
      <c r="AN233" s="1004"/>
      <c r="AO233" s="1004"/>
      <c r="AP233" s="1004"/>
      <c r="AQ233" s="1004"/>
      <c r="AR233" s="1004"/>
      <c r="AS233" s="1004"/>
      <c r="AT233" s="1004"/>
      <c r="AU233" s="1004"/>
      <c r="AV233" s="1004"/>
      <c r="AW233" s="1004"/>
    </row>
    <row r="234" spans="1:49" s="920" customFormat="1" ht="17.25">
      <c r="A234" s="302"/>
      <c r="B234" s="302"/>
      <c r="C234" s="302"/>
      <c r="D234" s="303"/>
      <c r="E234" s="303"/>
      <c r="F234" s="303"/>
      <c r="G234" s="303"/>
      <c r="H234" s="303"/>
      <c r="I234" s="302"/>
      <c r="J234" s="302"/>
      <c r="K234" s="302"/>
      <c r="L234" s="777">
        <v>5</v>
      </c>
      <c r="M234" s="864"/>
      <c r="N234" s="976">
        <v>0</v>
      </c>
      <c r="O234" s="1020">
        <v>114</v>
      </c>
      <c r="P234" s="847" t="e">
        <f>VLOOKUP(N234,etat!$A$9:$N$1004,2,FALSE)</f>
        <v>#N/A</v>
      </c>
      <c r="Q234" s="797" t="e">
        <f>VLOOKUP(N234,etat!$A$9:$N$963,7,FALSE)</f>
        <v>#N/A</v>
      </c>
      <c r="R234" s="797" t="e">
        <f>VLOOKUP(N234,etat!$A$9:$N$1003,9,FALSE)</f>
        <v>#N/A</v>
      </c>
      <c r="S234" s="866" t="e">
        <f>VLOOKUP(N234,etat!$A$9:$P$905,16,FALSE)</f>
        <v>#N/A</v>
      </c>
      <c r="T234" s="755"/>
      <c r="U234" s="791"/>
      <c r="V234" s="784"/>
      <c r="W234" s="784"/>
      <c r="X234" s="784"/>
      <c r="Y234" s="975"/>
      <c r="Z234" s="975"/>
      <c r="AA234" s="967"/>
      <c r="AB234" s="1005"/>
      <c r="AC234" s="1005"/>
      <c r="AD234" s="1005"/>
      <c r="AE234" s="1005"/>
      <c r="AF234" s="1005"/>
      <c r="AG234" s="1004"/>
      <c r="AH234" s="1004"/>
      <c r="AI234" s="1004"/>
      <c r="AJ234" s="1004"/>
      <c r="AK234" s="1004"/>
      <c r="AL234" s="1004"/>
      <c r="AM234" s="1004"/>
      <c r="AN234" s="1004"/>
      <c r="AO234" s="1004"/>
      <c r="AP234" s="1004"/>
      <c r="AQ234" s="1004"/>
      <c r="AR234" s="1004"/>
      <c r="AS234" s="1004"/>
      <c r="AT234" s="1004"/>
      <c r="AU234" s="1004"/>
      <c r="AV234" s="1004"/>
      <c r="AW234" s="1004"/>
    </row>
    <row r="235" spans="1:49" ht="17.25">
      <c r="A235" s="302"/>
      <c r="B235" s="302"/>
      <c r="C235" s="302"/>
      <c r="D235" s="303"/>
      <c r="E235" s="303"/>
      <c r="F235" s="303"/>
      <c r="G235" s="303"/>
      <c r="H235" s="303"/>
      <c r="I235" s="302"/>
      <c r="J235" s="302"/>
      <c r="K235" s="302"/>
      <c r="L235" s="777">
        <v>5</v>
      </c>
      <c r="M235" s="778"/>
      <c r="N235" s="976">
        <v>0</v>
      </c>
      <c r="O235" s="1020">
        <v>115</v>
      </c>
      <c r="P235" s="847" t="e">
        <f>VLOOKUP(N235,etat!$A$9:$N$1004,2,FALSE)</f>
        <v>#N/A</v>
      </c>
      <c r="Q235" s="797" t="e">
        <f>VLOOKUP(N235,etat!$A$9:$N$963,7,FALSE)</f>
        <v>#N/A</v>
      </c>
      <c r="R235" s="797" t="e">
        <f>VLOOKUP(N235,etat!$A$9:$N$1003,9,FALSE)</f>
        <v>#N/A</v>
      </c>
      <c r="S235" s="866" t="e">
        <f>VLOOKUP(N235,etat!$A$9:$P$905,16,FALSE)</f>
        <v>#N/A</v>
      </c>
      <c r="T235" s="755"/>
      <c r="U235" s="791"/>
      <c r="V235" s="784"/>
      <c r="W235" s="784"/>
      <c r="X235" s="784"/>
      <c r="Y235" s="975"/>
      <c r="Z235" s="975"/>
      <c r="AA235" s="967"/>
      <c r="AB235" s="1005"/>
      <c r="AC235" s="1005"/>
      <c r="AD235" s="1005"/>
      <c r="AE235" s="1005"/>
      <c r="AF235" s="1005"/>
      <c r="AG235" s="1004"/>
      <c r="AH235" s="1004"/>
      <c r="AI235" s="1004"/>
      <c r="AJ235" s="1004"/>
      <c r="AK235" s="1004"/>
      <c r="AL235" s="1004"/>
      <c r="AM235" s="1004"/>
      <c r="AN235" s="1004"/>
      <c r="AO235" s="1004"/>
      <c r="AP235" s="1004"/>
      <c r="AQ235" s="1004"/>
      <c r="AR235" s="1004"/>
      <c r="AS235" s="1004"/>
      <c r="AT235" s="1004"/>
      <c r="AU235" s="1004"/>
      <c r="AV235" s="1004"/>
      <c r="AW235" s="1004"/>
    </row>
    <row r="236" spans="1:49" ht="17.25">
      <c r="A236" s="302"/>
      <c r="B236" s="302"/>
      <c r="C236" s="302"/>
      <c r="D236" s="303"/>
      <c r="E236" s="303"/>
      <c r="F236" s="303"/>
      <c r="G236" s="303"/>
      <c r="H236" s="303"/>
      <c r="I236" s="302"/>
      <c r="J236" s="302"/>
      <c r="K236" s="302"/>
      <c r="L236" s="777">
        <v>5</v>
      </c>
      <c r="M236" s="778"/>
      <c r="N236" s="976">
        <v>0</v>
      </c>
      <c r="O236" s="1020">
        <v>116</v>
      </c>
      <c r="P236" s="1121" t="e">
        <f>VLOOKUP(N236,etat!$A$9:$N$1004,2,FALSE)</f>
        <v>#N/A</v>
      </c>
      <c r="Q236" s="797" t="e">
        <f>VLOOKUP(N236,etat!$A$9:$N$963,7,FALSE)</f>
        <v>#N/A</v>
      </c>
      <c r="R236" s="797" t="e">
        <f>VLOOKUP(N236,etat!$A$9:$N$1003,9,FALSE)</f>
        <v>#N/A</v>
      </c>
      <c r="S236" s="866" t="e">
        <f>VLOOKUP(N236,etat!$A$9:$P$905,16,FALSE)</f>
        <v>#N/A</v>
      </c>
      <c r="T236" s="755"/>
      <c r="U236" s="791"/>
      <c r="V236" s="784"/>
      <c r="W236" s="784"/>
      <c r="X236" s="784"/>
      <c r="Y236" s="975"/>
      <c r="Z236" s="975"/>
      <c r="AA236" s="967"/>
      <c r="AB236" s="1005"/>
      <c r="AC236" s="1005"/>
      <c r="AD236" s="1005"/>
      <c r="AE236" s="1005"/>
      <c r="AF236" s="1005"/>
      <c r="AG236" s="1004"/>
      <c r="AH236" s="1004"/>
      <c r="AI236" s="1004"/>
      <c r="AJ236" s="1004"/>
      <c r="AK236" s="1004"/>
      <c r="AL236" s="1004"/>
      <c r="AM236" s="1004"/>
      <c r="AN236" s="1004"/>
      <c r="AO236" s="1004"/>
      <c r="AP236" s="1004"/>
      <c r="AQ236" s="1004"/>
      <c r="AR236" s="1004"/>
      <c r="AS236" s="1004"/>
      <c r="AT236" s="1004"/>
      <c r="AU236" s="1004"/>
      <c r="AV236" s="1004"/>
      <c r="AW236" s="1004"/>
    </row>
    <row r="237" spans="1:49" s="952" customFormat="1" ht="17.25">
      <c r="A237" s="302"/>
      <c r="B237" s="302"/>
      <c r="C237" s="302"/>
      <c r="D237" s="303"/>
      <c r="E237" s="303"/>
      <c r="F237" s="303"/>
      <c r="G237" s="303"/>
      <c r="H237" s="303"/>
      <c r="I237" s="302"/>
      <c r="J237" s="302"/>
      <c r="K237" s="302"/>
      <c r="L237" s="777">
        <v>5</v>
      </c>
      <c r="M237" s="864"/>
      <c r="N237" s="976">
        <v>0</v>
      </c>
      <c r="O237" s="1020">
        <v>117</v>
      </c>
      <c r="P237" s="858" t="e">
        <f>VLOOKUP(N237,etat!$A$9:$N$1004,2,FALSE)</f>
        <v>#N/A</v>
      </c>
      <c r="Q237" s="797" t="e">
        <f>VLOOKUP(N237,etat!$A$9:$N$963,7,FALSE)</f>
        <v>#N/A</v>
      </c>
      <c r="R237" s="797" t="e">
        <f>VLOOKUP(N237,etat!$A$9:$N$1003,9,FALSE)</f>
        <v>#N/A</v>
      </c>
      <c r="S237" s="866" t="e">
        <f>VLOOKUP(N237,etat!$A$9:$P$905,16,FALSE)</f>
        <v>#N/A</v>
      </c>
      <c r="T237" s="755"/>
      <c r="U237" s="791"/>
      <c r="V237" s="784"/>
      <c r="W237" s="784"/>
      <c r="X237" s="784"/>
      <c r="Y237" s="975"/>
      <c r="Z237" s="975"/>
      <c r="AA237" s="967"/>
      <c r="AB237" s="1005"/>
      <c r="AC237" s="1005"/>
      <c r="AD237" s="1005"/>
      <c r="AE237" s="1005"/>
      <c r="AF237" s="1005"/>
      <c r="AG237" s="1004"/>
      <c r="AH237" s="1004"/>
      <c r="AI237" s="1004"/>
      <c r="AJ237" s="1004"/>
      <c r="AK237" s="1004"/>
      <c r="AL237" s="1004"/>
      <c r="AM237" s="1004"/>
      <c r="AN237" s="1004"/>
      <c r="AO237" s="1004"/>
      <c r="AP237" s="1004"/>
      <c r="AQ237" s="1004"/>
      <c r="AR237" s="1004"/>
      <c r="AS237" s="1004"/>
      <c r="AT237" s="1004"/>
      <c r="AU237" s="1004"/>
      <c r="AV237" s="1004"/>
      <c r="AW237" s="1004"/>
    </row>
    <row r="238" spans="1:49" ht="17.25">
      <c r="A238" s="302"/>
      <c r="B238" s="302"/>
      <c r="C238" s="302"/>
      <c r="D238" s="303"/>
      <c r="E238" s="303"/>
      <c r="F238" s="303"/>
      <c r="G238" s="303"/>
      <c r="H238" s="303"/>
      <c r="I238" s="302"/>
      <c r="J238" s="302"/>
      <c r="K238" s="302"/>
      <c r="L238" s="777">
        <v>5</v>
      </c>
      <c r="M238" s="778"/>
      <c r="N238" s="976">
        <v>0</v>
      </c>
      <c r="O238" s="1020">
        <v>118</v>
      </c>
      <c r="P238" s="847" t="e">
        <f>VLOOKUP(N238,etat!$A$9:$N$1004,2,FALSE)</f>
        <v>#N/A</v>
      </c>
      <c r="Q238" s="797" t="e">
        <f>VLOOKUP(N238,etat!$A$9:$N$963,7,FALSE)</f>
        <v>#N/A</v>
      </c>
      <c r="R238" s="797" t="e">
        <f>VLOOKUP(N238,etat!$A$9:$N$1003,9,FALSE)</f>
        <v>#N/A</v>
      </c>
      <c r="S238" s="866" t="e">
        <f>VLOOKUP(N238,etat!$A$9:$P$905,16,FALSE)</f>
        <v>#N/A</v>
      </c>
      <c r="T238" s="755"/>
      <c r="U238" s="791"/>
      <c r="V238" s="784"/>
      <c r="W238" s="784"/>
      <c r="X238" s="784"/>
      <c r="Y238" s="975"/>
      <c r="Z238" s="975"/>
      <c r="AA238" s="967"/>
      <c r="AB238" s="1005"/>
      <c r="AC238" s="1005"/>
      <c r="AD238" s="1005"/>
      <c r="AE238" s="1005"/>
      <c r="AF238" s="1005"/>
      <c r="AG238" s="1004"/>
      <c r="AH238" s="1004"/>
      <c r="AI238" s="1004"/>
      <c r="AJ238" s="1004"/>
      <c r="AK238" s="1004"/>
      <c r="AL238" s="1004"/>
      <c r="AM238" s="1004"/>
      <c r="AN238" s="1004"/>
      <c r="AO238" s="1004"/>
      <c r="AP238" s="1004"/>
      <c r="AQ238" s="1004"/>
      <c r="AR238" s="1004"/>
      <c r="AS238" s="1004"/>
      <c r="AT238" s="1004"/>
      <c r="AU238" s="1004"/>
      <c r="AV238" s="1004"/>
      <c r="AW238" s="1004"/>
    </row>
    <row r="239" spans="1:49" ht="17.25">
      <c r="A239" s="302"/>
      <c r="B239" s="302"/>
      <c r="C239" s="302"/>
      <c r="D239" s="303"/>
      <c r="E239" s="303"/>
      <c r="F239" s="303"/>
      <c r="G239" s="303"/>
      <c r="H239" s="303"/>
      <c r="I239" s="302"/>
      <c r="J239" s="302"/>
      <c r="K239" s="302"/>
      <c r="L239" s="777">
        <v>5</v>
      </c>
      <c r="M239" s="778"/>
      <c r="N239" s="976">
        <v>0</v>
      </c>
      <c r="O239" s="1020">
        <v>119</v>
      </c>
      <c r="P239" s="268" t="e">
        <f>VLOOKUP(N239,etat!$A$9:$N$1004,2,FALSE)</f>
        <v>#N/A</v>
      </c>
      <c r="Q239" s="797" t="e">
        <f>VLOOKUP(N239,etat!$A$9:$N$963,7,FALSE)</f>
        <v>#N/A</v>
      </c>
      <c r="R239" s="797" t="e">
        <f>VLOOKUP(N239,etat!$A$9:$N$1003,9,FALSE)</f>
        <v>#N/A</v>
      </c>
      <c r="S239" s="866" t="e">
        <f>VLOOKUP(N239,etat!$A$9:$P$905,16,FALSE)</f>
        <v>#N/A</v>
      </c>
      <c r="T239" s="755"/>
      <c r="U239" s="791"/>
      <c r="V239" s="784"/>
      <c r="W239" s="784"/>
      <c r="X239" s="784"/>
      <c r="Y239" s="975"/>
      <c r="Z239" s="975"/>
      <c r="AA239" s="967"/>
      <c r="AB239" s="1005"/>
      <c r="AC239" s="1005"/>
      <c r="AD239" s="1005"/>
      <c r="AE239" s="1005"/>
      <c r="AF239" s="1005"/>
      <c r="AG239" s="1004"/>
      <c r="AH239" s="1004"/>
      <c r="AI239" s="1004"/>
      <c r="AJ239" s="1004"/>
      <c r="AK239" s="1004"/>
      <c r="AL239" s="1004"/>
      <c r="AM239" s="1004"/>
      <c r="AN239" s="1004"/>
      <c r="AO239" s="1004"/>
      <c r="AP239" s="1004"/>
      <c r="AQ239" s="1004"/>
      <c r="AR239" s="1004"/>
      <c r="AS239" s="1004"/>
      <c r="AT239" s="1004"/>
      <c r="AU239" s="1004"/>
      <c r="AV239" s="1004"/>
      <c r="AW239" s="1004"/>
    </row>
    <row r="240" spans="1:49" s="941" customFormat="1" ht="17.25">
      <c r="A240" s="302"/>
      <c r="B240" s="302"/>
      <c r="C240" s="302"/>
      <c r="D240" s="303"/>
      <c r="E240" s="303"/>
      <c r="F240" s="303"/>
      <c r="G240" s="303"/>
      <c r="H240" s="303"/>
      <c r="I240" s="302"/>
      <c r="J240" s="302"/>
      <c r="K240" s="302"/>
      <c r="L240" s="777">
        <v>5</v>
      </c>
      <c r="M240" s="778"/>
      <c r="N240" s="976">
        <v>0</v>
      </c>
      <c r="O240" s="1020">
        <v>120</v>
      </c>
      <c r="P240" s="847" t="e">
        <f>VLOOKUP(N240,etat!$A$9:$N$1004,2,FALSE)</f>
        <v>#N/A</v>
      </c>
      <c r="Q240" s="797" t="e">
        <f>VLOOKUP(N240,etat!$A$9:$N$963,7,FALSE)</f>
        <v>#N/A</v>
      </c>
      <c r="R240" s="797" t="e">
        <f>VLOOKUP(N240,etat!$A$9:$N$1003,9,FALSE)</f>
        <v>#N/A</v>
      </c>
      <c r="S240" s="866" t="e">
        <f>VLOOKUP(N240,etat!$A$9:$P$905,16,FALSE)</f>
        <v>#N/A</v>
      </c>
      <c r="T240" s="755"/>
      <c r="U240" s="791"/>
      <c r="V240" s="784"/>
      <c r="W240" s="784"/>
      <c r="X240" s="784"/>
      <c r="Y240" s="975"/>
      <c r="Z240" s="975"/>
      <c r="AA240" s="967"/>
      <c r="AB240" s="1005"/>
      <c r="AC240" s="1005"/>
      <c r="AD240" s="1005"/>
      <c r="AE240" s="1005"/>
      <c r="AF240" s="1005"/>
      <c r="AG240" s="1004"/>
      <c r="AH240" s="1004"/>
      <c r="AI240" s="1004"/>
      <c r="AJ240" s="1004"/>
      <c r="AK240" s="1004"/>
      <c r="AL240" s="1004"/>
      <c r="AM240" s="1004"/>
      <c r="AN240" s="1004"/>
      <c r="AO240" s="1004"/>
      <c r="AP240" s="1004"/>
      <c r="AQ240" s="1004"/>
      <c r="AR240" s="1004"/>
      <c r="AS240" s="1004"/>
      <c r="AT240" s="1004"/>
      <c r="AU240" s="1004"/>
      <c r="AV240" s="1004"/>
      <c r="AW240" s="1004"/>
    </row>
    <row r="241" spans="1:49" s="941" customFormat="1" ht="17.25">
      <c r="A241" s="302"/>
      <c r="B241" s="302"/>
      <c r="C241" s="302"/>
      <c r="D241" s="303"/>
      <c r="E241" s="303"/>
      <c r="F241" s="303"/>
      <c r="G241" s="303"/>
      <c r="H241" s="303"/>
      <c r="I241" s="302"/>
      <c r="J241" s="302"/>
      <c r="K241" s="302"/>
      <c r="L241" s="777">
        <v>5</v>
      </c>
      <c r="M241" s="778"/>
      <c r="N241" s="976">
        <v>0</v>
      </c>
      <c r="O241" s="1020">
        <v>121</v>
      </c>
      <c r="P241" s="847" t="e">
        <f>VLOOKUP(N241,etat!$A$9:$N$1004,2,FALSE)</f>
        <v>#N/A</v>
      </c>
      <c r="Q241" s="797" t="e">
        <f>VLOOKUP(N241,etat!$A$9:$N$963,7,FALSE)</f>
        <v>#N/A</v>
      </c>
      <c r="R241" s="797" t="e">
        <f>VLOOKUP(N241,etat!$A$9:$N$1003,9,FALSE)</f>
        <v>#N/A</v>
      </c>
      <c r="S241" s="866" t="e">
        <f>VLOOKUP(N241,etat!$A$9:$P$905,16,FALSE)</f>
        <v>#N/A</v>
      </c>
      <c r="T241" s="755"/>
      <c r="U241" s="791"/>
      <c r="V241" s="784"/>
      <c r="W241" s="784"/>
      <c r="X241" s="784"/>
      <c r="Y241" s="975"/>
      <c r="Z241" s="975"/>
      <c r="AA241" s="967"/>
      <c r="AB241" s="1005"/>
      <c r="AC241" s="1005"/>
      <c r="AD241" s="1005"/>
      <c r="AE241" s="1005"/>
      <c r="AF241" s="1005"/>
      <c r="AG241" s="1004"/>
      <c r="AH241" s="1004"/>
      <c r="AI241" s="1004"/>
      <c r="AJ241" s="1004"/>
      <c r="AK241" s="1004"/>
      <c r="AL241" s="1004"/>
      <c r="AM241" s="1004"/>
      <c r="AN241" s="1004"/>
      <c r="AO241" s="1004"/>
      <c r="AP241" s="1004"/>
      <c r="AQ241" s="1004"/>
      <c r="AR241" s="1004"/>
      <c r="AS241" s="1004"/>
      <c r="AT241" s="1004"/>
      <c r="AU241" s="1004"/>
      <c r="AV241" s="1004"/>
      <c r="AW241" s="1004"/>
    </row>
    <row r="242" spans="1:49" ht="17.25">
      <c r="A242" s="302"/>
      <c r="B242" s="302"/>
      <c r="C242" s="302"/>
      <c r="D242" s="303"/>
      <c r="E242" s="303"/>
      <c r="F242" s="303"/>
      <c r="G242" s="303"/>
      <c r="H242" s="303"/>
      <c r="I242" s="302"/>
      <c r="J242" s="302"/>
      <c r="K242" s="302"/>
      <c r="L242" s="777">
        <v>5</v>
      </c>
      <c r="M242" s="778"/>
      <c r="N242" s="976">
        <v>0</v>
      </c>
      <c r="O242" s="1020">
        <v>122</v>
      </c>
      <c r="P242" s="847" t="e">
        <f>VLOOKUP(N242,etat!$A$9:$N$1004,2,FALSE)</f>
        <v>#N/A</v>
      </c>
      <c r="Q242" s="797" t="e">
        <f>VLOOKUP(N242,etat!$A$9:$N$963,7,FALSE)</f>
        <v>#N/A</v>
      </c>
      <c r="R242" s="797" t="e">
        <f>VLOOKUP(N242,etat!$A$9:$N$1003,9,FALSE)</f>
        <v>#N/A</v>
      </c>
      <c r="S242" s="866" t="e">
        <f>VLOOKUP(N242,etat!$A$9:$P$905,16,FALSE)</f>
        <v>#N/A</v>
      </c>
      <c r="T242" s="755"/>
      <c r="U242" s="791"/>
      <c r="V242" s="784"/>
      <c r="W242" s="784"/>
      <c r="X242" s="784"/>
      <c r="Y242" s="975"/>
      <c r="Z242" s="975"/>
      <c r="AA242" s="967"/>
      <c r="AB242" s="1005"/>
      <c r="AC242" s="1005"/>
      <c r="AD242" s="1005"/>
      <c r="AE242" s="1005"/>
      <c r="AF242" s="1005"/>
      <c r="AG242" s="1004"/>
      <c r="AH242" s="1004"/>
      <c r="AI242" s="1004"/>
      <c r="AJ242" s="1004"/>
      <c r="AK242" s="1004"/>
      <c r="AL242" s="1004"/>
      <c r="AM242" s="1004"/>
      <c r="AN242" s="1004"/>
      <c r="AO242" s="1004"/>
      <c r="AP242" s="1004"/>
      <c r="AQ242" s="1004"/>
      <c r="AR242" s="1004"/>
      <c r="AS242" s="1004"/>
      <c r="AT242" s="1004"/>
      <c r="AU242" s="1004"/>
      <c r="AV242" s="1004"/>
      <c r="AW242" s="1004"/>
    </row>
    <row r="243" spans="1:49" s="920" customFormat="1" ht="17.25">
      <c r="A243" s="302"/>
      <c r="B243" s="302"/>
      <c r="C243" s="302"/>
      <c r="D243" s="303"/>
      <c r="E243" s="303"/>
      <c r="F243" s="303"/>
      <c r="G243" s="303"/>
      <c r="H243" s="303"/>
      <c r="I243" s="302"/>
      <c r="J243" s="302"/>
      <c r="K243" s="302"/>
      <c r="L243" s="777">
        <v>5</v>
      </c>
      <c r="M243" s="778"/>
      <c r="N243" s="976">
        <v>0</v>
      </c>
      <c r="O243" s="1020">
        <v>123</v>
      </c>
      <c r="P243" s="847" t="e">
        <f>VLOOKUP(N243,etat!$A$9:$N$1004,2,FALSE)</f>
        <v>#N/A</v>
      </c>
      <c r="Q243" s="797" t="e">
        <f>VLOOKUP(N243,etat!$A$9:$N$963,7,FALSE)</f>
        <v>#N/A</v>
      </c>
      <c r="R243" s="797" t="e">
        <f>VLOOKUP(N243,etat!$A$9:$N$1003,9,FALSE)</f>
        <v>#N/A</v>
      </c>
      <c r="S243" s="866" t="e">
        <f>VLOOKUP(N243,etat!$A$9:$P$905,16,FALSE)</f>
        <v>#N/A</v>
      </c>
      <c r="T243" s="755"/>
      <c r="U243" s="791"/>
      <c r="V243" s="784"/>
      <c r="W243" s="784"/>
      <c r="X243" s="784"/>
      <c r="Y243" s="975"/>
      <c r="Z243" s="975"/>
      <c r="AA243" s="967"/>
      <c r="AB243" s="1005"/>
      <c r="AC243" s="1005"/>
      <c r="AD243" s="1005"/>
      <c r="AE243" s="1005"/>
      <c r="AF243" s="1005"/>
      <c r="AG243" s="1004"/>
      <c r="AH243" s="1004"/>
      <c r="AI243" s="1004"/>
      <c r="AJ243" s="1004"/>
      <c r="AK243" s="1004"/>
      <c r="AL243" s="1004"/>
      <c r="AM243" s="1004"/>
      <c r="AN243" s="1004"/>
      <c r="AO243" s="1004"/>
      <c r="AP243" s="1004"/>
      <c r="AQ243" s="1004"/>
      <c r="AR243" s="1004"/>
      <c r="AS243" s="1004"/>
      <c r="AT243" s="1004"/>
      <c r="AU243" s="1004"/>
      <c r="AV243" s="1004"/>
      <c r="AW243" s="1004"/>
    </row>
    <row r="244" spans="1:49" ht="17.25">
      <c r="A244" s="302"/>
      <c r="B244" s="302"/>
      <c r="C244" s="302"/>
      <c r="D244" s="303"/>
      <c r="E244" s="303"/>
      <c r="F244" s="303"/>
      <c r="G244" s="303"/>
      <c r="H244" s="303"/>
      <c r="I244" s="302"/>
      <c r="J244" s="302"/>
      <c r="K244" s="302"/>
      <c r="L244" s="777">
        <v>5</v>
      </c>
      <c r="M244" s="778"/>
      <c r="N244" s="976">
        <v>0</v>
      </c>
      <c r="O244" s="1020">
        <v>124</v>
      </c>
      <c r="P244" s="1121" t="e">
        <f>VLOOKUP(N244,etat!$A$9:$N$1004,2,FALSE)</f>
        <v>#N/A</v>
      </c>
      <c r="Q244" s="797" t="e">
        <f>VLOOKUP(N244,etat!$A$9:$N$963,7,FALSE)</f>
        <v>#N/A</v>
      </c>
      <c r="R244" s="797" t="e">
        <f>VLOOKUP(N244,etat!$A$9:$N$1003,9,FALSE)</f>
        <v>#N/A</v>
      </c>
      <c r="S244" s="866" t="e">
        <f>VLOOKUP(N244,etat!$A$9:$P$905,16,FALSE)</f>
        <v>#N/A</v>
      </c>
      <c r="T244" s="755"/>
      <c r="U244" s="791"/>
      <c r="V244" s="784"/>
      <c r="W244" s="784"/>
      <c r="X244" s="784"/>
      <c r="Y244" s="975"/>
      <c r="Z244" s="975"/>
      <c r="AA244" s="967"/>
      <c r="AB244" s="1005"/>
      <c r="AC244" s="1005"/>
      <c r="AD244" s="1005"/>
      <c r="AE244" s="1005"/>
      <c r="AF244" s="1005"/>
      <c r="AG244" s="1004"/>
      <c r="AH244" s="1004"/>
      <c r="AI244" s="1004"/>
      <c r="AJ244" s="1004"/>
      <c r="AK244" s="1004"/>
      <c r="AL244" s="1004"/>
      <c r="AM244" s="1004"/>
      <c r="AN244" s="1004"/>
      <c r="AO244" s="1004"/>
      <c r="AP244" s="1004"/>
      <c r="AQ244" s="1004"/>
      <c r="AR244" s="1004"/>
      <c r="AS244" s="1004"/>
      <c r="AT244" s="1004"/>
      <c r="AU244" s="1004"/>
      <c r="AV244" s="1004"/>
      <c r="AW244" s="1004"/>
    </row>
    <row r="245" spans="1:49" ht="17.25">
      <c r="A245" s="302"/>
      <c r="B245" s="302"/>
      <c r="C245" s="302"/>
      <c r="D245" s="303"/>
      <c r="E245" s="303"/>
      <c r="F245" s="303"/>
      <c r="G245" s="303"/>
      <c r="H245" s="303"/>
      <c r="I245" s="302"/>
      <c r="J245" s="302"/>
      <c r="K245" s="302"/>
      <c r="L245" s="777">
        <v>5</v>
      </c>
      <c r="M245" s="778"/>
      <c r="N245" s="976">
        <v>0</v>
      </c>
      <c r="O245" s="1020">
        <v>125</v>
      </c>
      <c r="P245" s="268" t="e">
        <f>VLOOKUP(N245,etat!$A$9:$N$1004,2,FALSE)</f>
        <v>#N/A</v>
      </c>
      <c r="Q245" s="797" t="e">
        <f>VLOOKUP(N245,etat!$A$9:$N$963,7,FALSE)</f>
        <v>#N/A</v>
      </c>
      <c r="R245" s="797" t="e">
        <f>VLOOKUP(N245,etat!$A$9:$N$1003,9,FALSE)</f>
        <v>#N/A</v>
      </c>
      <c r="S245" s="866" t="e">
        <f>VLOOKUP(N245,etat!$A$9:$P$905,16,FALSE)</f>
        <v>#N/A</v>
      </c>
      <c r="T245" s="755"/>
      <c r="U245" s="791"/>
      <c r="V245" s="784"/>
      <c r="W245" s="784"/>
      <c r="X245" s="784"/>
      <c r="Y245" s="975"/>
      <c r="Z245" s="967"/>
      <c r="AA245" s="967"/>
      <c r="AB245" s="1005"/>
      <c r="AC245" s="1005"/>
      <c r="AD245" s="1005"/>
      <c r="AE245" s="1005"/>
      <c r="AF245" s="1005"/>
      <c r="AG245" s="1004"/>
      <c r="AH245" s="1004"/>
      <c r="AI245" s="1004"/>
      <c r="AJ245" s="1004"/>
      <c r="AK245" s="1004"/>
      <c r="AL245" s="1004"/>
      <c r="AM245" s="1004"/>
      <c r="AN245" s="1004"/>
      <c r="AO245" s="1004"/>
      <c r="AP245" s="1004"/>
      <c r="AQ245" s="1004"/>
      <c r="AR245" s="1004"/>
      <c r="AS245" s="1004"/>
      <c r="AT245" s="1004"/>
      <c r="AU245" s="1004"/>
      <c r="AV245" s="1004"/>
      <c r="AW245" s="1004"/>
    </row>
    <row r="246" spans="1:49" ht="17.25">
      <c r="A246" s="302"/>
      <c r="B246" s="302"/>
      <c r="C246" s="302"/>
      <c r="D246" s="303"/>
      <c r="E246" s="303"/>
      <c r="F246" s="303"/>
      <c r="G246" s="303"/>
      <c r="H246" s="303"/>
      <c r="I246" s="302"/>
      <c r="J246" s="302"/>
      <c r="K246" s="302"/>
      <c r="L246" s="777">
        <v>5</v>
      </c>
      <c r="M246" s="778"/>
      <c r="N246" s="976">
        <v>0</v>
      </c>
      <c r="O246" s="1020">
        <v>126</v>
      </c>
      <c r="P246" s="847" t="e">
        <f>VLOOKUP(N246,etat!$A$9:$N$1004,2,FALSE)</f>
        <v>#N/A</v>
      </c>
      <c r="Q246" s="797" t="e">
        <f>VLOOKUP(N246,etat!$A$9:$N$963,7,FALSE)</f>
        <v>#N/A</v>
      </c>
      <c r="R246" s="797" t="e">
        <f>VLOOKUP(N246,etat!$A$9:$N$1003,9,FALSE)</f>
        <v>#N/A</v>
      </c>
      <c r="S246" s="866" t="e">
        <f>VLOOKUP(N246,etat!$A$9:$P$905,16,FALSE)</f>
        <v>#N/A</v>
      </c>
      <c r="T246" s="755"/>
      <c r="U246" s="791"/>
      <c r="V246" s="784"/>
      <c r="W246" s="784"/>
      <c r="X246" s="784"/>
      <c r="Y246" s="975"/>
      <c r="Z246" s="975"/>
      <c r="AA246" s="967"/>
      <c r="AB246" s="1005"/>
      <c r="AC246" s="1005"/>
      <c r="AD246" s="1005"/>
      <c r="AE246" s="1005"/>
      <c r="AF246" s="1005"/>
      <c r="AG246" s="1004"/>
      <c r="AH246" s="1004"/>
      <c r="AI246" s="1004"/>
      <c r="AJ246" s="1004"/>
      <c r="AK246" s="1004"/>
      <c r="AL246" s="1004"/>
      <c r="AM246" s="1004"/>
      <c r="AN246" s="1004"/>
      <c r="AO246" s="1004"/>
      <c r="AP246" s="1004"/>
      <c r="AQ246" s="1004"/>
      <c r="AR246" s="1004"/>
      <c r="AS246" s="1004"/>
      <c r="AT246" s="1004"/>
      <c r="AU246" s="1004"/>
      <c r="AV246" s="1004"/>
      <c r="AW246" s="1004"/>
    </row>
    <row r="247" spans="1:49" ht="17.25">
      <c r="A247" s="302"/>
      <c r="B247" s="302"/>
      <c r="C247" s="302"/>
      <c r="D247" s="303"/>
      <c r="E247" s="303"/>
      <c r="F247" s="303"/>
      <c r="G247" s="303"/>
      <c r="H247" s="303"/>
      <c r="I247" s="302"/>
      <c r="J247" s="302"/>
      <c r="K247" s="302"/>
      <c r="L247" s="777">
        <v>5</v>
      </c>
      <c r="M247" s="778"/>
      <c r="N247" s="976">
        <v>0</v>
      </c>
      <c r="O247" s="1020">
        <v>127</v>
      </c>
      <c r="P247" s="847" t="e">
        <f>VLOOKUP(N247,etat!$A$9:$N$1004,2,FALSE)</f>
        <v>#N/A</v>
      </c>
      <c r="Q247" s="797" t="e">
        <f>VLOOKUP(N247,etat!$A$9:$N$963,7,FALSE)</f>
        <v>#N/A</v>
      </c>
      <c r="R247" s="797" t="e">
        <f>VLOOKUP(N247,etat!$A$9:$N$1003,9,FALSE)</f>
        <v>#N/A</v>
      </c>
      <c r="S247" s="866" t="e">
        <f>VLOOKUP(N247,etat!$A$9:$P$905,16,FALSE)</f>
        <v>#N/A</v>
      </c>
      <c r="T247" s="755"/>
      <c r="U247" s="791"/>
      <c r="V247" s="784"/>
      <c r="W247" s="784"/>
      <c r="X247" s="784"/>
      <c r="Y247" s="975"/>
      <c r="Z247" s="975"/>
      <c r="AA247" s="967"/>
      <c r="AB247" s="1005"/>
      <c r="AC247" s="1005"/>
      <c r="AD247" s="1005"/>
      <c r="AE247" s="1005"/>
      <c r="AF247" s="1005"/>
      <c r="AG247" s="1004"/>
      <c r="AH247" s="1004"/>
      <c r="AI247" s="1004"/>
      <c r="AJ247" s="1004"/>
      <c r="AK247" s="1004"/>
      <c r="AL247" s="1004"/>
      <c r="AM247" s="1004"/>
      <c r="AN247" s="1004"/>
      <c r="AO247" s="1004"/>
      <c r="AP247" s="1004"/>
      <c r="AQ247" s="1004"/>
      <c r="AR247" s="1004"/>
      <c r="AS247" s="1004"/>
      <c r="AT247" s="1004"/>
      <c r="AU247" s="1004"/>
      <c r="AV247" s="1004"/>
      <c r="AW247" s="1004"/>
    </row>
    <row r="248" spans="1:49" s="920" customFormat="1" ht="17.25">
      <c r="A248" s="302"/>
      <c r="B248" s="302"/>
      <c r="C248" s="302"/>
      <c r="D248" s="303"/>
      <c r="E248" s="303"/>
      <c r="F248" s="303"/>
      <c r="G248" s="303"/>
      <c r="H248" s="303"/>
      <c r="I248" s="302"/>
      <c r="J248" s="302"/>
      <c r="K248" s="302"/>
      <c r="L248" s="777">
        <v>5</v>
      </c>
      <c r="M248" s="778"/>
      <c r="N248" s="976">
        <v>0</v>
      </c>
      <c r="O248" s="1020">
        <v>128</v>
      </c>
      <c r="P248" s="847" t="e">
        <f>VLOOKUP(N248,etat!$A$9:$N$1004,2,FALSE)</f>
        <v>#N/A</v>
      </c>
      <c r="Q248" s="797" t="e">
        <f>VLOOKUP(N248,etat!$A$9:$N$963,7,FALSE)</f>
        <v>#N/A</v>
      </c>
      <c r="R248" s="797" t="e">
        <f>VLOOKUP(N248,etat!$A$9:$N$1003,9,FALSE)</f>
        <v>#N/A</v>
      </c>
      <c r="S248" s="866" t="e">
        <f>VLOOKUP(N248,etat!$A$9:$P$905,16,FALSE)</f>
        <v>#N/A</v>
      </c>
      <c r="T248" s="755"/>
      <c r="U248" s="791"/>
      <c r="V248" s="784"/>
      <c r="W248" s="784"/>
      <c r="X248" s="784"/>
      <c r="Y248" s="975"/>
      <c r="Z248" s="975"/>
      <c r="AA248" s="967"/>
      <c r="AB248" s="1005"/>
      <c r="AC248" s="1005"/>
      <c r="AD248" s="1005"/>
      <c r="AE248" s="1005"/>
      <c r="AF248" s="1005"/>
      <c r="AG248" s="1004"/>
      <c r="AH248" s="1004"/>
      <c r="AI248" s="1004"/>
      <c r="AJ248" s="1004"/>
      <c r="AK248" s="1004"/>
      <c r="AL248" s="1004"/>
      <c r="AM248" s="1004"/>
      <c r="AN248" s="1004"/>
      <c r="AO248" s="1004"/>
      <c r="AP248" s="1004"/>
      <c r="AQ248" s="1004"/>
      <c r="AR248" s="1004"/>
      <c r="AS248" s="1004"/>
      <c r="AT248" s="1004"/>
      <c r="AU248" s="1004"/>
      <c r="AV248" s="1004"/>
      <c r="AW248" s="1004"/>
    </row>
    <row r="249" spans="1:49" s="920" customFormat="1" ht="17.25">
      <c r="A249" s="302"/>
      <c r="B249" s="302"/>
      <c r="C249" s="302"/>
      <c r="D249" s="303"/>
      <c r="E249" s="303"/>
      <c r="F249" s="303"/>
      <c r="G249" s="303"/>
      <c r="H249" s="303"/>
      <c r="I249" s="302"/>
      <c r="J249" s="302"/>
      <c r="K249" s="302"/>
      <c r="L249" s="777">
        <v>5</v>
      </c>
      <c r="M249" s="778"/>
      <c r="N249" s="976">
        <v>0</v>
      </c>
      <c r="O249" s="1020">
        <v>129</v>
      </c>
      <c r="P249" s="847" t="e">
        <f>VLOOKUP(N249,etat!$A$9:$N$1004,2,FALSE)</f>
        <v>#N/A</v>
      </c>
      <c r="Q249" s="797" t="e">
        <f>VLOOKUP(N249,etat!$A$9:$N$963,7,FALSE)</f>
        <v>#N/A</v>
      </c>
      <c r="R249" s="797" t="e">
        <f>VLOOKUP(N249,etat!$A$9:$N$1003,9,FALSE)</f>
        <v>#N/A</v>
      </c>
      <c r="S249" s="866" t="e">
        <f>VLOOKUP(N249,etat!$A$9:$P$905,16,FALSE)</f>
        <v>#N/A</v>
      </c>
      <c r="T249" s="755"/>
      <c r="U249" s="791"/>
      <c r="V249" s="784"/>
      <c r="W249" s="784"/>
      <c r="X249" s="784"/>
      <c r="Y249" s="975"/>
      <c r="Z249" s="975"/>
      <c r="AA249" s="967"/>
      <c r="AB249" s="1005"/>
      <c r="AC249" s="1005"/>
      <c r="AD249" s="1005"/>
      <c r="AE249" s="1005"/>
      <c r="AF249" s="1005"/>
      <c r="AG249" s="1004"/>
      <c r="AH249" s="1004"/>
      <c r="AI249" s="1004"/>
      <c r="AJ249" s="1004"/>
      <c r="AK249" s="1004"/>
      <c r="AL249" s="1004"/>
      <c r="AM249" s="1004"/>
      <c r="AN249" s="1004"/>
      <c r="AO249" s="1004"/>
      <c r="AP249" s="1004"/>
      <c r="AQ249" s="1004"/>
      <c r="AR249" s="1004"/>
      <c r="AS249" s="1004"/>
      <c r="AT249" s="1004"/>
      <c r="AU249" s="1004"/>
      <c r="AV249" s="1004"/>
      <c r="AW249" s="1004"/>
    </row>
    <row r="250" spans="1:49" s="920" customFormat="1" ht="17.25">
      <c r="A250" s="302"/>
      <c r="B250" s="302"/>
      <c r="C250" s="302"/>
      <c r="D250" s="303"/>
      <c r="E250" s="303"/>
      <c r="F250" s="303"/>
      <c r="G250" s="303"/>
      <c r="H250" s="303"/>
      <c r="I250" s="302"/>
      <c r="J250" s="302"/>
      <c r="K250" s="302"/>
      <c r="L250" s="777">
        <v>5</v>
      </c>
      <c r="M250" s="778"/>
      <c r="N250" s="976">
        <v>0</v>
      </c>
      <c r="O250" s="1020">
        <v>130</v>
      </c>
      <c r="P250" s="1121" t="e">
        <f>VLOOKUP(N250,etat!$A$9:$N$1004,2,FALSE)</f>
        <v>#N/A</v>
      </c>
      <c r="Q250" s="797" t="e">
        <f>VLOOKUP(N250,etat!$A$9:$N$963,7,FALSE)</f>
        <v>#N/A</v>
      </c>
      <c r="R250" s="797" t="e">
        <f>VLOOKUP(N250,etat!$A$9:$N$1003,9,FALSE)</f>
        <v>#N/A</v>
      </c>
      <c r="S250" s="866" t="e">
        <f>VLOOKUP(N250,etat!$A$9:$P$905,16,FALSE)</f>
        <v>#N/A</v>
      </c>
      <c r="T250" s="755"/>
      <c r="U250" s="791"/>
      <c r="V250" s="784"/>
      <c r="W250" s="784"/>
      <c r="X250" s="784"/>
      <c r="Y250" s="975"/>
      <c r="Z250" s="967"/>
      <c r="AA250" s="967"/>
      <c r="AB250" s="1005"/>
      <c r="AC250" s="1005"/>
      <c r="AD250" s="1005"/>
      <c r="AE250" s="1005"/>
      <c r="AF250" s="1005"/>
      <c r="AG250" s="1004"/>
      <c r="AH250" s="1004"/>
      <c r="AI250" s="1004"/>
      <c r="AJ250" s="1004"/>
      <c r="AK250" s="1004"/>
      <c r="AL250" s="1004"/>
      <c r="AM250" s="1004"/>
      <c r="AN250" s="1004"/>
      <c r="AO250" s="1004"/>
      <c r="AP250" s="1004"/>
      <c r="AQ250" s="1004"/>
      <c r="AR250" s="1004"/>
      <c r="AS250" s="1004"/>
      <c r="AT250" s="1004"/>
      <c r="AU250" s="1004"/>
      <c r="AV250" s="1004"/>
      <c r="AW250" s="1004"/>
    </row>
    <row r="251" spans="1:49" ht="15.75">
      <c r="A251" s="1004"/>
      <c r="B251" s="1004"/>
      <c r="C251" s="1004"/>
      <c r="I251" s="1004"/>
      <c r="J251" s="1004"/>
      <c r="K251" s="1004"/>
      <c r="L251" s="777">
        <v>5</v>
      </c>
      <c r="M251" s="778"/>
      <c r="N251" s="976">
        <v>0</v>
      </c>
      <c r="O251" s="1020">
        <v>131</v>
      </c>
      <c r="P251" s="858" t="e">
        <f>VLOOKUP(N251,etat!$A$9:$N$1004,2,FALSE)</f>
        <v>#N/A</v>
      </c>
      <c r="Q251" s="797" t="e">
        <f>VLOOKUP(N251,etat!$A$9:$N$963,7,FALSE)</f>
        <v>#N/A</v>
      </c>
      <c r="R251" s="797" t="e">
        <f>VLOOKUP(N251,etat!$A$9:$N$1003,9,FALSE)</f>
        <v>#N/A</v>
      </c>
      <c r="S251" s="866" t="e">
        <f>VLOOKUP(N251,etat!$A$9:$P$905,16,FALSE)</f>
        <v>#N/A</v>
      </c>
      <c r="T251" s="755"/>
      <c r="U251" s="791"/>
      <c r="V251" s="784"/>
      <c r="W251" s="784"/>
      <c r="X251" s="784"/>
      <c r="Y251" s="975"/>
      <c r="Z251" s="975"/>
      <c r="AA251" s="967"/>
      <c r="AB251" s="1005"/>
      <c r="AC251" s="1005"/>
      <c r="AD251" s="1005"/>
      <c r="AE251" s="1005"/>
      <c r="AF251" s="1005"/>
      <c r="AG251" s="1004"/>
      <c r="AH251" s="1004"/>
      <c r="AI251" s="1004"/>
      <c r="AJ251" s="1004"/>
      <c r="AK251" s="1004"/>
      <c r="AL251" s="1004"/>
      <c r="AM251" s="1004"/>
      <c r="AN251" s="1004"/>
      <c r="AO251" s="1004"/>
      <c r="AP251" s="1004"/>
      <c r="AQ251" s="1004"/>
      <c r="AR251" s="1004"/>
      <c r="AS251" s="1004"/>
      <c r="AT251" s="1004"/>
      <c r="AU251" s="1004"/>
      <c r="AV251" s="1004"/>
      <c r="AW251" s="1004"/>
    </row>
    <row r="252" spans="1:49" ht="15.75">
      <c r="A252" s="1004"/>
      <c r="B252" s="1004"/>
      <c r="C252" s="1004"/>
      <c r="I252" s="1004"/>
      <c r="J252" s="1004"/>
      <c r="K252" s="1004"/>
      <c r="L252" s="777">
        <v>5</v>
      </c>
      <c r="M252" s="778"/>
      <c r="N252" s="976">
        <v>0</v>
      </c>
      <c r="O252" s="1020">
        <v>132</v>
      </c>
      <c r="P252" s="847" t="e">
        <f>VLOOKUP(N252,etat!$A$9:$N$1004,2,FALSE)</f>
        <v>#N/A</v>
      </c>
      <c r="Q252" s="797" t="e">
        <f>VLOOKUP(N252,etat!$A$9:$N$963,7,FALSE)</f>
        <v>#N/A</v>
      </c>
      <c r="R252" s="797" t="e">
        <f>VLOOKUP(N252,etat!$A$9:$N$1003,9,FALSE)</f>
        <v>#N/A</v>
      </c>
      <c r="S252" s="866" t="e">
        <f>VLOOKUP(N252,etat!$A$9:$P$905,16,FALSE)</f>
        <v>#N/A</v>
      </c>
      <c r="T252" s="755"/>
      <c r="U252" s="791"/>
      <c r="V252" s="784"/>
      <c r="W252" s="784"/>
      <c r="X252" s="784"/>
      <c r="Y252" s="975"/>
      <c r="Z252" s="967"/>
      <c r="AA252" s="967"/>
      <c r="AB252" s="1005"/>
      <c r="AC252" s="1005"/>
      <c r="AD252" s="1005"/>
      <c r="AE252" s="1005"/>
      <c r="AF252" s="1005"/>
      <c r="AG252" s="1004"/>
      <c r="AH252" s="1004"/>
      <c r="AI252" s="1004"/>
      <c r="AJ252" s="1004"/>
      <c r="AK252" s="1004"/>
      <c r="AL252" s="1004"/>
      <c r="AM252" s="1004"/>
      <c r="AN252" s="1004"/>
      <c r="AO252" s="1004"/>
      <c r="AP252" s="1004"/>
      <c r="AQ252" s="1004"/>
      <c r="AR252" s="1004"/>
      <c r="AS252" s="1004"/>
      <c r="AT252" s="1004"/>
      <c r="AU252" s="1004"/>
      <c r="AV252" s="1004"/>
      <c r="AW252" s="1004"/>
    </row>
    <row r="253" spans="1:49" ht="15.75">
      <c r="A253" s="1004"/>
      <c r="B253" s="1004"/>
      <c r="C253" s="1004"/>
      <c r="I253" s="1004"/>
      <c r="J253" s="1004"/>
      <c r="K253" s="1004"/>
      <c r="L253" s="777">
        <v>5</v>
      </c>
      <c r="M253" s="778"/>
      <c r="N253" s="976">
        <v>0</v>
      </c>
      <c r="O253" s="1020">
        <v>133</v>
      </c>
      <c r="P253" s="268" t="e">
        <f>VLOOKUP(N253,etat!$A$9:$N$1004,2,FALSE)</f>
        <v>#N/A</v>
      </c>
      <c r="Q253" s="797" t="e">
        <f>VLOOKUP(N253,etat!$A$9:$N$963,7,FALSE)</f>
        <v>#N/A</v>
      </c>
      <c r="R253" s="797" t="e">
        <f>VLOOKUP(N253,etat!$A$9:$N$1003,9,FALSE)</f>
        <v>#N/A</v>
      </c>
      <c r="S253" s="866" t="e">
        <f>VLOOKUP(N253,etat!$A$9:$P$905,16,FALSE)</f>
        <v>#N/A</v>
      </c>
      <c r="T253" s="755"/>
      <c r="U253" s="791"/>
      <c r="V253" s="784"/>
      <c r="W253" s="784"/>
      <c r="X253" s="784"/>
      <c r="Y253" s="975"/>
      <c r="Z253" s="975"/>
      <c r="AA253" s="967"/>
      <c r="AB253" s="1005"/>
      <c r="AC253" s="1005"/>
      <c r="AD253" s="1005"/>
      <c r="AE253" s="1005"/>
      <c r="AF253" s="1005"/>
      <c r="AG253" s="1004"/>
      <c r="AH253" s="1004"/>
      <c r="AI253" s="1004"/>
      <c r="AJ253" s="1004"/>
      <c r="AK253" s="1004"/>
      <c r="AL253" s="1004"/>
      <c r="AM253" s="1004"/>
      <c r="AN253" s="1004"/>
      <c r="AO253" s="1004"/>
      <c r="AP253" s="1004"/>
      <c r="AQ253" s="1004"/>
      <c r="AR253" s="1004"/>
      <c r="AS253" s="1004"/>
      <c r="AT253" s="1004"/>
      <c r="AU253" s="1004"/>
      <c r="AV253" s="1004"/>
      <c r="AW253" s="1004"/>
    </row>
    <row r="254" spans="1:49" ht="15.75">
      <c r="A254" s="1004"/>
      <c r="B254" s="1004"/>
      <c r="C254" s="1004"/>
      <c r="I254" s="1004"/>
      <c r="J254" s="1004"/>
      <c r="K254" s="1004"/>
      <c r="L254" s="777">
        <v>5</v>
      </c>
      <c r="M254" s="778"/>
      <c r="N254" s="976">
        <v>0</v>
      </c>
      <c r="O254" s="1020">
        <v>134</v>
      </c>
      <c r="P254" s="847" t="e">
        <f>VLOOKUP(N254,etat!$A$9:$N$1004,2,FALSE)</f>
        <v>#N/A</v>
      </c>
      <c r="Q254" s="797" t="e">
        <f>VLOOKUP(N254,etat!$A$9:$N$963,7,FALSE)</f>
        <v>#N/A</v>
      </c>
      <c r="R254" s="797" t="e">
        <f>VLOOKUP(N254,etat!$A$9:$N$1003,9,FALSE)</f>
        <v>#N/A</v>
      </c>
      <c r="S254" s="866" t="e">
        <f>VLOOKUP(N254,etat!$A$9:$P$905,16,FALSE)</f>
        <v>#N/A</v>
      </c>
      <c r="T254" s="755"/>
      <c r="U254" s="791"/>
      <c r="V254" s="784"/>
      <c r="W254" s="869"/>
      <c r="X254" s="869"/>
      <c r="Y254" s="975"/>
      <c r="Z254" s="975"/>
      <c r="AA254" s="967"/>
      <c r="AB254" s="1005"/>
      <c r="AC254" s="1005"/>
      <c r="AD254" s="1005"/>
      <c r="AE254" s="1005"/>
      <c r="AF254" s="1005"/>
      <c r="AG254" s="1004"/>
      <c r="AH254" s="1004"/>
      <c r="AI254" s="1004"/>
      <c r="AJ254" s="1004"/>
      <c r="AK254" s="1004"/>
      <c r="AL254" s="1004"/>
      <c r="AM254" s="1004"/>
      <c r="AN254" s="1004"/>
      <c r="AO254" s="1004"/>
      <c r="AP254" s="1004"/>
      <c r="AQ254" s="1004"/>
      <c r="AR254" s="1004"/>
      <c r="AS254" s="1004"/>
      <c r="AT254" s="1004"/>
      <c r="AU254" s="1004"/>
      <c r="AV254" s="1004"/>
      <c r="AW254" s="1004"/>
    </row>
    <row r="255" spans="1:49" ht="15.75">
      <c r="A255" s="1004"/>
      <c r="B255" s="1004"/>
      <c r="C255" s="1004"/>
      <c r="I255" s="1004"/>
      <c r="J255" s="1004"/>
      <c r="K255" s="1004"/>
      <c r="L255" s="777">
        <v>5</v>
      </c>
      <c r="M255" s="778"/>
      <c r="N255" s="976">
        <v>0</v>
      </c>
      <c r="O255" s="1020">
        <v>135</v>
      </c>
      <c r="P255" s="847" t="e">
        <f>VLOOKUP(N255,etat!$A$9:$N$1004,2,FALSE)</f>
        <v>#N/A</v>
      </c>
      <c r="Q255" s="797" t="e">
        <f>VLOOKUP(N255,etat!$A$9:$N$963,7,FALSE)</f>
        <v>#N/A</v>
      </c>
      <c r="R255" s="797" t="e">
        <f>VLOOKUP(N255,etat!$A$9:$N$1003,9,FALSE)</f>
        <v>#N/A</v>
      </c>
      <c r="S255" s="866" t="e">
        <f>VLOOKUP(N255,etat!$A$9:$P$905,16,FALSE)</f>
        <v>#N/A</v>
      </c>
      <c r="T255" s="755"/>
      <c r="U255" s="791"/>
      <c r="V255" s="784"/>
      <c r="W255" s="784"/>
      <c r="X255" s="784"/>
      <c r="Y255" s="975"/>
      <c r="Z255" s="975"/>
      <c r="AA255" s="967"/>
      <c r="AB255" s="1005"/>
      <c r="AC255" s="1005"/>
      <c r="AD255" s="1005"/>
      <c r="AE255" s="1005"/>
      <c r="AF255" s="1005"/>
      <c r="AG255" s="1004"/>
      <c r="AH255" s="1004"/>
      <c r="AI255" s="1004"/>
      <c r="AJ255" s="1004"/>
      <c r="AK255" s="1004"/>
      <c r="AL255" s="1004"/>
      <c r="AM255" s="1004"/>
      <c r="AN255" s="1004"/>
      <c r="AO255" s="1004"/>
      <c r="AP255" s="1004"/>
      <c r="AQ255" s="1004"/>
      <c r="AR255" s="1004"/>
      <c r="AS255" s="1004"/>
      <c r="AT255" s="1004"/>
      <c r="AU255" s="1004"/>
      <c r="AV255" s="1004"/>
      <c r="AW255" s="1004"/>
    </row>
    <row r="256" spans="1:49" s="952" customFormat="1" ht="15.75">
      <c r="A256" s="1004"/>
      <c r="B256" s="1004"/>
      <c r="C256" s="1004"/>
      <c r="D256" s="166"/>
      <c r="E256" s="166"/>
      <c r="F256" s="166"/>
      <c r="G256" s="166"/>
      <c r="H256" s="166"/>
      <c r="I256" s="1004"/>
      <c r="J256" s="1004"/>
      <c r="K256" s="1004"/>
      <c r="L256" s="777">
        <v>5</v>
      </c>
      <c r="M256" s="778"/>
      <c r="N256" s="976">
        <v>0</v>
      </c>
      <c r="O256" s="1020">
        <v>136</v>
      </c>
      <c r="P256" s="847" t="e">
        <f>VLOOKUP(N256,etat!$A$9:$N$1004,2,FALSE)</f>
        <v>#N/A</v>
      </c>
      <c r="Q256" s="797" t="e">
        <f>VLOOKUP(N256,etat!$A$9:$N$963,7,FALSE)</f>
        <v>#N/A</v>
      </c>
      <c r="R256" s="797" t="e">
        <f>VLOOKUP(N256,etat!$A$9:$N$1003,9,FALSE)</f>
        <v>#N/A</v>
      </c>
      <c r="S256" s="866" t="e">
        <f>VLOOKUP(N256,etat!$A$9:$P$905,16,FALSE)</f>
        <v>#N/A</v>
      </c>
      <c r="T256" s="755"/>
      <c r="U256" s="791"/>
      <c r="V256" s="784"/>
      <c r="W256" s="784"/>
      <c r="X256" s="784"/>
      <c r="Y256" s="975"/>
      <c r="Z256" s="967"/>
      <c r="AA256" s="967"/>
      <c r="AB256" s="1005"/>
      <c r="AC256" s="1005"/>
      <c r="AD256" s="1005"/>
      <c r="AE256" s="1005"/>
      <c r="AF256" s="1005"/>
      <c r="AG256" s="1004"/>
      <c r="AH256" s="1004"/>
      <c r="AI256" s="1004"/>
      <c r="AJ256" s="1004"/>
      <c r="AK256" s="1004"/>
      <c r="AL256" s="1004"/>
      <c r="AM256" s="1004"/>
      <c r="AN256" s="1004"/>
      <c r="AO256" s="1004"/>
      <c r="AP256" s="1004"/>
      <c r="AQ256" s="1004"/>
      <c r="AR256" s="1004"/>
      <c r="AS256" s="1004"/>
      <c r="AT256" s="1004"/>
      <c r="AU256" s="1004"/>
      <c r="AV256" s="1004"/>
      <c r="AW256" s="1004"/>
    </row>
    <row r="257" spans="1:49" ht="15.75">
      <c r="A257" s="1004"/>
      <c r="B257" s="1004"/>
      <c r="C257" s="1004"/>
      <c r="I257" s="1004"/>
      <c r="J257" s="1004"/>
      <c r="K257" s="1004"/>
      <c r="L257" s="777">
        <v>5</v>
      </c>
      <c r="M257" s="778"/>
      <c r="N257" s="976">
        <v>0</v>
      </c>
      <c r="O257" s="1020">
        <v>137</v>
      </c>
      <c r="P257" s="847" t="e">
        <f>VLOOKUP(N257,etat!$A$9:$N$1004,2,FALSE)</f>
        <v>#N/A</v>
      </c>
      <c r="Q257" s="797" t="e">
        <f>VLOOKUP(N257,etat!$A$9:$N$963,7,FALSE)</f>
        <v>#N/A</v>
      </c>
      <c r="R257" s="797" t="e">
        <f>VLOOKUP(N257,etat!$A$9:$N$1003,9,FALSE)</f>
        <v>#N/A</v>
      </c>
      <c r="S257" s="866" t="e">
        <f>VLOOKUP(N257,etat!$A$9:$P$905,16,FALSE)</f>
        <v>#N/A</v>
      </c>
      <c r="T257" s="755"/>
      <c r="U257" s="791"/>
      <c r="V257" s="784"/>
      <c r="W257" s="784"/>
      <c r="X257" s="784"/>
      <c r="Y257" s="975"/>
      <c r="Z257" s="975"/>
      <c r="AA257" s="967"/>
      <c r="AB257" s="1005"/>
      <c r="AC257" s="1005"/>
      <c r="AD257" s="1005"/>
      <c r="AE257" s="1005"/>
      <c r="AF257" s="1005"/>
      <c r="AG257" s="1004"/>
      <c r="AH257" s="1004"/>
      <c r="AI257" s="1004"/>
      <c r="AJ257" s="1004"/>
      <c r="AK257" s="1004"/>
      <c r="AL257" s="1004"/>
      <c r="AM257" s="1004"/>
      <c r="AN257" s="1004"/>
      <c r="AO257" s="1004"/>
      <c r="AP257" s="1004"/>
      <c r="AQ257" s="1004"/>
      <c r="AR257" s="1004"/>
      <c r="AS257" s="1004"/>
      <c r="AT257" s="1004"/>
      <c r="AU257" s="1004"/>
      <c r="AV257" s="1004"/>
      <c r="AW257" s="1004"/>
    </row>
    <row r="258" spans="1:49" s="941" customFormat="1" ht="15.75">
      <c r="A258" s="1004"/>
      <c r="B258" s="1004"/>
      <c r="C258" s="1004"/>
      <c r="D258" s="166"/>
      <c r="E258" s="166"/>
      <c r="F258" s="166"/>
      <c r="G258" s="166"/>
      <c r="H258" s="166"/>
      <c r="I258" s="1004"/>
      <c r="J258" s="1004"/>
      <c r="K258" s="1004"/>
      <c r="L258" s="777">
        <v>5</v>
      </c>
      <c r="M258" s="778"/>
      <c r="N258" s="976">
        <v>0</v>
      </c>
      <c r="O258" s="1020">
        <v>138</v>
      </c>
      <c r="P258" s="847" t="e">
        <f>VLOOKUP(N258,etat!$A$9:$N$1004,2,FALSE)</f>
        <v>#N/A</v>
      </c>
      <c r="Q258" s="797" t="e">
        <f>VLOOKUP(N258,etat!$A$9:$N$963,7,FALSE)</f>
        <v>#N/A</v>
      </c>
      <c r="R258" s="797" t="e">
        <f>VLOOKUP(N258,etat!$A$9:$N$1003,9,FALSE)</f>
        <v>#N/A</v>
      </c>
      <c r="S258" s="866" t="e">
        <f>VLOOKUP(N258,etat!$A$9:$P$905,16,FALSE)</f>
        <v>#N/A</v>
      </c>
      <c r="T258" s="755"/>
      <c r="U258" s="791"/>
      <c r="V258" s="784"/>
      <c r="W258" s="784"/>
      <c r="X258" s="784"/>
      <c r="Y258" s="975"/>
      <c r="Z258" s="975"/>
      <c r="AA258" s="967"/>
      <c r="AB258" s="1005"/>
      <c r="AC258" s="1005"/>
      <c r="AD258" s="1005"/>
      <c r="AE258" s="1005"/>
      <c r="AF258" s="1005"/>
      <c r="AG258" s="1004"/>
      <c r="AH258" s="1004"/>
      <c r="AI258" s="1004"/>
      <c r="AJ258" s="1004"/>
      <c r="AK258" s="1004"/>
      <c r="AL258" s="1004"/>
      <c r="AM258" s="1004"/>
      <c r="AN258" s="1004"/>
      <c r="AO258" s="1004"/>
      <c r="AP258" s="1004"/>
      <c r="AQ258" s="1004"/>
      <c r="AR258" s="1004"/>
      <c r="AS258" s="1004"/>
      <c r="AT258" s="1004"/>
      <c r="AU258" s="1004"/>
      <c r="AV258" s="1004"/>
      <c r="AW258" s="1004"/>
    </row>
    <row r="259" spans="1:49" ht="15.75">
      <c r="A259" s="1004"/>
      <c r="B259" s="1004"/>
      <c r="C259" s="1004"/>
      <c r="I259" s="1004"/>
      <c r="J259" s="1004"/>
      <c r="K259" s="1004"/>
      <c r="L259" s="777">
        <v>5</v>
      </c>
      <c r="M259" s="778"/>
      <c r="N259" s="976">
        <v>0</v>
      </c>
      <c r="O259" s="1020">
        <v>139</v>
      </c>
      <c r="P259" s="268" t="e">
        <f>VLOOKUP(N259,etat!$A$9:$N$1004,2,FALSE)</f>
        <v>#N/A</v>
      </c>
      <c r="Q259" s="797" t="e">
        <f>VLOOKUP(N259,etat!$A$9:$N$963,7,FALSE)</f>
        <v>#N/A</v>
      </c>
      <c r="R259" s="797" t="e">
        <f>VLOOKUP(N259,etat!$A$9:$N$1003,9,FALSE)</f>
        <v>#N/A</v>
      </c>
      <c r="S259" s="866" t="e">
        <f>VLOOKUP(N259,etat!$A$9:$P$905,16,FALSE)</f>
        <v>#N/A</v>
      </c>
      <c r="T259" s="755"/>
      <c r="U259" s="791"/>
      <c r="V259" s="784"/>
      <c r="W259" s="784"/>
      <c r="X259" s="784"/>
      <c r="Y259" s="975"/>
      <c r="Z259" s="975"/>
      <c r="AA259" s="967"/>
      <c r="AB259" s="1005"/>
      <c r="AC259" s="1005"/>
      <c r="AD259" s="1005"/>
      <c r="AE259" s="1005"/>
      <c r="AF259" s="1005"/>
      <c r="AG259" s="1004"/>
      <c r="AH259" s="1004"/>
      <c r="AI259" s="1004"/>
      <c r="AJ259" s="1004"/>
      <c r="AK259" s="1004"/>
      <c r="AL259" s="1004"/>
      <c r="AM259" s="1004"/>
      <c r="AN259" s="1004"/>
      <c r="AO259" s="1004"/>
      <c r="AP259" s="1004"/>
      <c r="AQ259" s="1004"/>
      <c r="AR259" s="1004"/>
      <c r="AS259" s="1004"/>
      <c r="AT259" s="1004"/>
      <c r="AU259" s="1004"/>
      <c r="AV259" s="1004"/>
      <c r="AW259" s="1004"/>
    </row>
    <row r="260" spans="1:49" s="942" customFormat="1" ht="15.75">
      <c r="A260" s="1004"/>
      <c r="B260" s="1004"/>
      <c r="C260" s="1004"/>
      <c r="D260" s="166"/>
      <c r="E260" s="166"/>
      <c r="F260" s="166"/>
      <c r="G260" s="166"/>
      <c r="H260" s="166"/>
      <c r="I260" s="1004"/>
      <c r="J260" s="1004"/>
      <c r="K260" s="1004"/>
      <c r="L260" s="777">
        <v>5</v>
      </c>
      <c r="M260" s="778"/>
      <c r="N260" s="976">
        <v>0</v>
      </c>
      <c r="O260" s="1020">
        <v>140</v>
      </c>
      <c r="P260" s="847" t="e">
        <f>VLOOKUP(N260,etat!$A$9:$N$1004,2,FALSE)</f>
        <v>#N/A</v>
      </c>
      <c r="Q260" s="797" t="e">
        <f>VLOOKUP(N260,etat!$A$9:$N$963,7,FALSE)</f>
        <v>#N/A</v>
      </c>
      <c r="R260" s="797" t="e">
        <f>VLOOKUP(N260,etat!$A$9:$N$1003,9,FALSE)</f>
        <v>#N/A</v>
      </c>
      <c r="S260" s="866" t="e">
        <f>VLOOKUP(N260,etat!$A$9:$P$905,16,FALSE)</f>
        <v>#N/A</v>
      </c>
      <c r="T260" s="755"/>
      <c r="U260" s="791"/>
      <c r="V260" s="784"/>
      <c r="W260" s="784"/>
      <c r="X260" s="784"/>
      <c r="Y260" s="975"/>
      <c r="Z260" s="975"/>
      <c r="AA260" s="967"/>
      <c r="AB260" s="1005"/>
      <c r="AC260" s="1005"/>
      <c r="AD260" s="1005"/>
      <c r="AE260" s="1005"/>
      <c r="AF260" s="1005"/>
      <c r="AG260" s="1004"/>
      <c r="AH260" s="1004"/>
      <c r="AI260" s="1004"/>
      <c r="AJ260" s="1004"/>
      <c r="AK260" s="1004"/>
      <c r="AL260" s="1004"/>
      <c r="AM260" s="1004"/>
      <c r="AN260" s="1004"/>
      <c r="AO260" s="1004"/>
      <c r="AP260" s="1004"/>
      <c r="AQ260" s="1004"/>
      <c r="AR260" s="1004"/>
      <c r="AS260" s="1004"/>
      <c r="AT260" s="1004"/>
      <c r="AU260" s="1004"/>
      <c r="AV260" s="1004"/>
      <c r="AW260" s="1004"/>
    </row>
    <row r="261" spans="1:49" ht="15.75">
      <c r="A261" s="1004"/>
      <c r="B261" s="1004"/>
      <c r="C261" s="1004"/>
      <c r="I261" s="1004"/>
      <c r="J261" s="1004"/>
      <c r="K261" s="1004"/>
      <c r="L261" s="777">
        <v>5</v>
      </c>
      <c r="M261" s="778"/>
      <c r="N261" s="976">
        <v>0</v>
      </c>
      <c r="O261" s="1020">
        <v>141</v>
      </c>
      <c r="P261" s="847" t="e">
        <f>VLOOKUP(N261,etat!$A$9:$N$1004,2,FALSE)</f>
        <v>#N/A</v>
      </c>
      <c r="Q261" s="797" t="e">
        <f>VLOOKUP(N261,etat!$A$9:$N$963,7,FALSE)</f>
        <v>#N/A</v>
      </c>
      <c r="R261" s="797" t="e">
        <f>VLOOKUP(N261,etat!$A$9:$N$1003,9,FALSE)</f>
        <v>#N/A</v>
      </c>
      <c r="S261" s="866" t="e">
        <f>VLOOKUP(N261,etat!$A$9:$P$905,16,FALSE)</f>
        <v>#N/A</v>
      </c>
      <c r="T261" s="755"/>
      <c r="U261" s="791"/>
      <c r="V261" s="784"/>
      <c r="W261" s="784"/>
      <c r="X261" s="869"/>
      <c r="Y261" s="975"/>
      <c r="Z261" s="975"/>
      <c r="AA261" s="967"/>
      <c r="AB261" s="1005"/>
      <c r="AC261" s="1005"/>
      <c r="AD261" s="1005"/>
      <c r="AE261" s="1005"/>
      <c r="AF261" s="1005"/>
      <c r="AG261" s="1004"/>
      <c r="AH261" s="1004"/>
      <c r="AI261" s="1004"/>
      <c r="AJ261" s="1004"/>
      <c r="AK261" s="1004"/>
      <c r="AL261" s="1004"/>
      <c r="AM261" s="1004"/>
      <c r="AN261" s="1004"/>
      <c r="AO261" s="1004"/>
      <c r="AP261" s="1004"/>
      <c r="AQ261" s="1004"/>
      <c r="AR261" s="1004"/>
      <c r="AS261" s="1004"/>
      <c r="AT261" s="1004"/>
      <c r="AU261" s="1004"/>
      <c r="AV261" s="1004"/>
      <c r="AW261" s="1004"/>
    </row>
    <row r="262" spans="1:49" s="942" customFormat="1" ht="15.75">
      <c r="A262" s="1004"/>
      <c r="B262" s="1004"/>
      <c r="C262" s="1004"/>
      <c r="D262" s="166"/>
      <c r="E262" s="166"/>
      <c r="F262" s="166"/>
      <c r="G262" s="166"/>
      <c r="H262" s="166"/>
      <c r="I262" s="1004"/>
      <c r="J262" s="1004"/>
      <c r="K262" s="1004"/>
      <c r="L262" s="777">
        <v>5</v>
      </c>
      <c r="M262" s="778"/>
      <c r="N262" s="976">
        <v>0</v>
      </c>
      <c r="O262" s="1020">
        <v>142</v>
      </c>
      <c r="P262" s="847" t="e">
        <f>VLOOKUP(N262,etat!$A$9:$N$1004,2,FALSE)</f>
        <v>#N/A</v>
      </c>
      <c r="Q262" s="797" t="e">
        <f>VLOOKUP(N262,etat!$A$9:$N$963,7,FALSE)</f>
        <v>#N/A</v>
      </c>
      <c r="R262" s="797" t="e">
        <f>VLOOKUP(N262,etat!$A$9:$N$1003,9,FALSE)</f>
        <v>#N/A</v>
      </c>
      <c r="S262" s="866" t="e">
        <f>VLOOKUP(N262,etat!$A$9:$P$905,16,FALSE)</f>
        <v>#N/A</v>
      </c>
      <c r="T262" s="755"/>
      <c r="U262" s="791"/>
      <c r="V262" s="784"/>
      <c r="W262" s="784"/>
      <c r="X262" s="869"/>
      <c r="Y262" s="975"/>
      <c r="Z262" s="975"/>
      <c r="AA262" s="967"/>
      <c r="AB262" s="1005"/>
      <c r="AC262" s="1005"/>
      <c r="AD262" s="1005"/>
      <c r="AE262" s="1005"/>
      <c r="AF262" s="1005"/>
      <c r="AG262" s="1004"/>
      <c r="AH262" s="1004"/>
      <c r="AI262" s="1004"/>
      <c r="AJ262" s="1004"/>
      <c r="AK262" s="1004"/>
      <c r="AL262" s="1004"/>
      <c r="AM262" s="1004"/>
      <c r="AN262" s="1004"/>
      <c r="AO262" s="1004"/>
      <c r="AP262" s="1004"/>
      <c r="AQ262" s="1004"/>
      <c r="AR262" s="1004"/>
      <c r="AS262" s="1004"/>
      <c r="AT262" s="1004"/>
      <c r="AU262" s="1004"/>
      <c r="AV262" s="1004"/>
      <c r="AW262" s="1004"/>
    </row>
    <row r="263" spans="1:49" s="942" customFormat="1" ht="15.75">
      <c r="A263" s="1004"/>
      <c r="B263" s="1004"/>
      <c r="C263" s="1004"/>
      <c r="D263" s="166"/>
      <c r="E263" s="166"/>
      <c r="F263" s="166"/>
      <c r="G263" s="166"/>
      <c r="H263" s="166"/>
      <c r="I263" s="1004"/>
      <c r="J263" s="1004"/>
      <c r="K263" s="1004"/>
      <c r="L263" s="777">
        <v>5</v>
      </c>
      <c r="M263" s="778"/>
      <c r="N263" s="976">
        <v>0</v>
      </c>
      <c r="O263" s="1020">
        <v>143</v>
      </c>
      <c r="P263" s="847" t="e">
        <f>VLOOKUP(N263,etat!$A$9:$N$1004,2,FALSE)</f>
        <v>#N/A</v>
      </c>
      <c r="Q263" s="797" t="e">
        <f>VLOOKUP(N263,etat!$A$9:$N$963,7,FALSE)</f>
        <v>#N/A</v>
      </c>
      <c r="R263" s="797" t="e">
        <f>VLOOKUP(N263,etat!$A$9:$N$1003,9,FALSE)</f>
        <v>#N/A</v>
      </c>
      <c r="S263" s="866" t="e">
        <f>VLOOKUP(N263,etat!$A$9:$P$905,16,FALSE)</f>
        <v>#N/A</v>
      </c>
      <c r="T263" s="755"/>
      <c r="U263" s="791"/>
      <c r="V263" s="784"/>
      <c r="W263" s="784"/>
      <c r="X263" s="869"/>
      <c r="Y263" s="975"/>
      <c r="Z263" s="975"/>
      <c r="AA263" s="967"/>
      <c r="AB263" s="1005"/>
      <c r="AC263" s="1005"/>
      <c r="AD263" s="1005"/>
      <c r="AE263" s="1005"/>
      <c r="AF263" s="1005"/>
      <c r="AG263" s="1004"/>
      <c r="AH263" s="1004"/>
      <c r="AI263" s="1004"/>
      <c r="AJ263" s="1004"/>
      <c r="AK263" s="1004"/>
      <c r="AL263" s="1004"/>
      <c r="AM263" s="1004"/>
      <c r="AN263" s="1004"/>
      <c r="AO263" s="1004"/>
      <c r="AP263" s="1004"/>
      <c r="AQ263" s="1004"/>
      <c r="AR263" s="1004"/>
      <c r="AS263" s="1004"/>
      <c r="AT263" s="1004"/>
      <c r="AU263" s="1004"/>
      <c r="AV263" s="1004"/>
      <c r="AW263" s="1004"/>
    </row>
    <row r="264" spans="1:49" s="942" customFormat="1" ht="15.75">
      <c r="A264" s="1004"/>
      <c r="B264" s="1004"/>
      <c r="C264" s="1004"/>
      <c r="D264" s="166"/>
      <c r="E264" s="166"/>
      <c r="F264" s="166"/>
      <c r="G264" s="166"/>
      <c r="H264" s="166"/>
      <c r="I264" s="1004"/>
      <c r="J264" s="1004"/>
      <c r="K264" s="1004"/>
      <c r="L264" s="777">
        <v>5</v>
      </c>
      <c r="M264" s="778"/>
      <c r="N264" s="976">
        <v>0</v>
      </c>
      <c r="O264" s="1020">
        <v>144</v>
      </c>
      <c r="P264" s="847" t="e">
        <f>VLOOKUP(N264,etat!$A$9:$N$1004,2,FALSE)</f>
        <v>#N/A</v>
      </c>
      <c r="Q264" s="797" t="e">
        <f>VLOOKUP(N264,etat!$A$9:$N$963,7,FALSE)</f>
        <v>#N/A</v>
      </c>
      <c r="R264" s="797" t="e">
        <f>VLOOKUP(N264,etat!$A$9:$N$1003,9,FALSE)</f>
        <v>#N/A</v>
      </c>
      <c r="S264" s="866" t="e">
        <f>VLOOKUP(N264,etat!$A$9:$P$905,16,FALSE)</f>
        <v>#N/A</v>
      </c>
      <c r="T264" s="755"/>
      <c r="U264" s="791"/>
      <c r="V264" s="784"/>
      <c r="W264" s="784"/>
      <c r="X264" s="784"/>
      <c r="Y264" s="975"/>
      <c r="Z264" s="975"/>
      <c r="AA264" s="967"/>
      <c r="AB264" s="1005"/>
      <c r="AC264" s="1005"/>
      <c r="AD264" s="1005"/>
      <c r="AE264" s="1005"/>
      <c r="AF264" s="1005"/>
      <c r="AG264" s="1004"/>
      <c r="AH264" s="1004"/>
      <c r="AI264" s="1004"/>
      <c r="AJ264" s="1004"/>
      <c r="AK264" s="1004"/>
      <c r="AL264" s="1004"/>
      <c r="AM264" s="1004"/>
      <c r="AN264" s="1004"/>
      <c r="AO264" s="1004"/>
      <c r="AP264" s="1004"/>
      <c r="AQ264" s="1004"/>
      <c r="AR264" s="1004"/>
      <c r="AS264" s="1004"/>
      <c r="AT264" s="1004"/>
      <c r="AU264" s="1004"/>
      <c r="AV264" s="1004"/>
      <c r="AW264" s="1004"/>
    </row>
    <row r="265" spans="1:49" ht="15.75">
      <c r="A265" s="1004"/>
      <c r="B265" s="1004"/>
      <c r="C265" s="1004"/>
      <c r="I265" s="1004"/>
      <c r="J265" s="1004"/>
      <c r="K265" s="1004"/>
      <c r="L265" s="777">
        <v>5</v>
      </c>
      <c r="M265" s="778"/>
      <c r="N265" s="976">
        <v>0</v>
      </c>
      <c r="O265" s="1020">
        <v>145</v>
      </c>
      <c r="P265" s="847" t="e">
        <f>VLOOKUP(N265,etat!$A$9:$N$1004,2,FALSE)</f>
        <v>#N/A</v>
      </c>
      <c r="Q265" s="797" t="e">
        <f>VLOOKUP(N265,etat!$A$9:$N$963,7,FALSE)</f>
        <v>#N/A</v>
      </c>
      <c r="R265" s="797" t="e">
        <f>VLOOKUP(N265,etat!$A$9:$N$1003,9,FALSE)</f>
        <v>#N/A</v>
      </c>
      <c r="S265" s="866" t="e">
        <f>VLOOKUP(N265,etat!$A$9:$P$905,16,FALSE)</f>
        <v>#N/A</v>
      </c>
      <c r="T265" s="755"/>
      <c r="U265" s="791"/>
      <c r="V265" s="784"/>
      <c r="W265" s="784"/>
      <c r="X265" s="784"/>
      <c r="Y265" s="975"/>
      <c r="Z265" s="967"/>
      <c r="AA265" s="967"/>
      <c r="AB265" s="1005"/>
      <c r="AC265" s="1005"/>
      <c r="AD265" s="1005"/>
      <c r="AE265" s="1005"/>
      <c r="AF265" s="1005"/>
      <c r="AG265" s="1004"/>
      <c r="AH265" s="1004"/>
      <c r="AI265" s="1004"/>
      <c r="AJ265" s="1004"/>
      <c r="AK265" s="1004"/>
      <c r="AL265" s="1004"/>
      <c r="AM265" s="1004"/>
      <c r="AN265" s="1004"/>
      <c r="AO265" s="1004"/>
      <c r="AP265" s="1004"/>
      <c r="AQ265" s="1004"/>
      <c r="AR265" s="1004"/>
      <c r="AS265" s="1004"/>
      <c r="AT265" s="1004"/>
      <c r="AU265" s="1004"/>
      <c r="AV265" s="1004"/>
      <c r="AW265" s="1004"/>
    </row>
    <row r="266" spans="1:49" ht="15.75">
      <c r="A266" s="1004"/>
      <c r="B266" s="1004"/>
      <c r="C266" s="1004"/>
      <c r="I266" s="1004"/>
      <c r="J266" s="1004"/>
      <c r="K266" s="1004"/>
      <c r="L266" s="777">
        <v>5</v>
      </c>
      <c r="M266" s="778"/>
      <c r="N266" s="976">
        <v>0</v>
      </c>
      <c r="O266" s="1020">
        <v>146</v>
      </c>
      <c r="P266" s="847" t="e">
        <f>VLOOKUP(N266,etat!$A$9:$N$1004,2,FALSE)</f>
        <v>#N/A</v>
      </c>
      <c r="Q266" s="797" t="e">
        <f>VLOOKUP(N266,etat!$A$9:$N$963,7,FALSE)</f>
        <v>#N/A</v>
      </c>
      <c r="R266" s="797" t="e">
        <f>VLOOKUP(N266,etat!$A$9:$N$1003,9,FALSE)</f>
        <v>#N/A</v>
      </c>
      <c r="S266" s="866" t="e">
        <f>VLOOKUP(N266,etat!$A$9:$P$905,16,FALSE)</f>
        <v>#N/A</v>
      </c>
      <c r="T266" s="755"/>
      <c r="U266" s="791"/>
      <c r="V266" s="784"/>
      <c r="W266" s="784"/>
      <c r="X266" s="784"/>
      <c r="Y266" s="975"/>
      <c r="Z266" s="975"/>
      <c r="AA266" s="967"/>
      <c r="AB266" s="1005"/>
      <c r="AC266" s="1005"/>
      <c r="AD266" s="1005"/>
      <c r="AE266" s="1005"/>
      <c r="AF266" s="1005"/>
      <c r="AG266" s="1004"/>
      <c r="AH266" s="1004"/>
      <c r="AI266" s="1004"/>
      <c r="AJ266" s="1004"/>
      <c r="AK266" s="1004"/>
      <c r="AL266" s="1004"/>
      <c r="AM266" s="1004"/>
      <c r="AN266" s="1004"/>
      <c r="AO266" s="1004"/>
      <c r="AP266" s="1004"/>
      <c r="AQ266" s="1004"/>
      <c r="AR266" s="1004"/>
      <c r="AS266" s="1004"/>
      <c r="AT266" s="1004"/>
      <c r="AU266" s="1004"/>
      <c r="AV266" s="1004"/>
      <c r="AW266" s="1004"/>
    </row>
    <row r="267" spans="1:49" ht="15.75">
      <c r="A267" s="1004"/>
      <c r="B267" s="1004"/>
      <c r="C267" s="1004"/>
      <c r="I267" s="1004"/>
      <c r="J267" s="1004"/>
      <c r="K267" s="1004"/>
      <c r="L267" s="777">
        <v>5</v>
      </c>
      <c r="M267" s="778"/>
      <c r="N267" s="976">
        <v>0</v>
      </c>
      <c r="O267" s="1020">
        <v>147</v>
      </c>
      <c r="P267" s="847" t="e">
        <f>VLOOKUP(N267,etat!$A$9:$N$1004,2,FALSE)</f>
        <v>#N/A</v>
      </c>
      <c r="Q267" s="797" t="e">
        <f>VLOOKUP(N267,etat!$A$9:$N$963,7,FALSE)</f>
        <v>#N/A</v>
      </c>
      <c r="R267" s="797" t="e">
        <f>VLOOKUP(N267,etat!$A$9:$N$1003,9,FALSE)</f>
        <v>#N/A</v>
      </c>
      <c r="S267" s="866" t="e">
        <f>VLOOKUP(N267,etat!$A$9:$P$905,16,FALSE)</f>
        <v>#N/A</v>
      </c>
      <c r="T267" s="755"/>
      <c r="U267" s="791"/>
      <c r="V267" s="784"/>
      <c r="W267" s="784"/>
      <c r="X267" s="869"/>
      <c r="Y267" s="975"/>
      <c r="Z267" s="975"/>
      <c r="AA267" s="967"/>
      <c r="AB267" s="1005"/>
      <c r="AC267" s="1005"/>
      <c r="AD267" s="1005"/>
      <c r="AE267" s="1005"/>
      <c r="AF267" s="1005"/>
      <c r="AG267" s="1004"/>
      <c r="AH267" s="1004"/>
      <c r="AI267" s="1004"/>
      <c r="AJ267" s="1004"/>
      <c r="AK267" s="1004"/>
      <c r="AL267" s="1004"/>
      <c r="AM267" s="1004"/>
      <c r="AN267" s="1004"/>
      <c r="AO267" s="1004"/>
      <c r="AP267" s="1004"/>
      <c r="AQ267" s="1004"/>
      <c r="AR267" s="1004"/>
      <c r="AS267" s="1004"/>
      <c r="AT267" s="1004"/>
      <c r="AU267" s="1004"/>
      <c r="AV267" s="1004"/>
      <c r="AW267" s="1004"/>
    </row>
    <row r="268" spans="1:49" ht="15.75">
      <c r="A268" s="1004"/>
      <c r="B268" s="1004"/>
      <c r="C268" s="1004"/>
      <c r="I268" s="1004"/>
      <c r="J268" s="1004"/>
      <c r="K268" s="1004"/>
      <c r="L268" s="777">
        <v>5</v>
      </c>
      <c r="M268" s="778"/>
      <c r="N268" s="976">
        <v>0</v>
      </c>
      <c r="O268" s="1020">
        <v>148</v>
      </c>
      <c r="P268" s="847" t="e">
        <f>VLOOKUP(N268,etat!$A$9:$N$1004,2,FALSE)</f>
        <v>#N/A</v>
      </c>
      <c r="Q268" s="797" t="e">
        <f>VLOOKUP(N268,etat!$A$9:$N$963,7,FALSE)</f>
        <v>#N/A</v>
      </c>
      <c r="R268" s="797" t="e">
        <f>VLOOKUP(N268,etat!$A$9:$N$1003,9,FALSE)</f>
        <v>#N/A</v>
      </c>
      <c r="S268" s="866" t="e">
        <f>VLOOKUP(N268,etat!$A$9:$P$905,16,FALSE)</f>
        <v>#N/A</v>
      </c>
      <c r="T268" s="755"/>
      <c r="U268" s="791"/>
      <c r="V268" s="784"/>
      <c r="W268" s="784"/>
      <c r="X268" s="784"/>
      <c r="Y268" s="975"/>
      <c r="Z268" s="967"/>
      <c r="AA268" s="967"/>
      <c r="AB268" s="1005"/>
      <c r="AC268" s="1005"/>
      <c r="AD268" s="1005"/>
      <c r="AE268" s="1005"/>
      <c r="AF268" s="1005"/>
      <c r="AG268" s="1004"/>
      <c r="AH268" s="1004"/>
      <c r="AI268" s="1004"/>
      <c r="AJ268" s="1004"/>
      <c r="AK268" s="1004"/>
      <c r="AL268" s="1004"/>
      <c r="AM268" s="1004"/>
      <c r="AN268" s="1004"/>
      <c r="AO268" s="1004"/>
      <c r="AP268" s="1004"/>
      <c r="AQ268" s="1004"/>
      <c r="AR268" s="1004"/>
      <c r="AS268" s="1004"/>
      <c r="AT268" s="1004"/>
      <c r="AU268" s="1004"/>
      <c r="AV268" s="1004"/>
      <c r="AW268" s="1004"/>
    </row>
    <row r="269" spans="1:49" ht="15.75">
      <c r="A269" s="1004"/>
      <c r="B269" s="1004"/>
      <c r="C269" s="1004"/>
      <c r="I269" s="1004"/>
      <c r="J269" s="1004"/>
      <c r="K269" s="1004"/>
      <c r="L269" s="777">
        <v>5</v>
      </c>
      <c r="M269" s="778"/>
      <c r="N269" s="976">
        <v>0</v>
      </c>
      <c r="O269" s="1020">
        <v>149</v>
      </c>
      <c r="P269" s="847" t="e">
        <f>VLOOKUP(N269,etat!$A$9:$N$1004,2,FALSE)</f>
        <v>#N/A</v>
      </c>
      <c r="Q269" s="797" t="e">
        <f>VLOOKUP(N269,etat!$A$9:$N$963,7,FALSE)</f>
        <v>#N/A</v>
      </c>
      <c r="R269" s="797" t="e">
        <f>VLOOKUP(N269,etat!$A$9:$N$1003,9,FALSE)</f>
        <v>#N/A</v>
      </c>
      <c r="S269" s="866" t="e">
        <f>VLOOKUP(N269,etat!$A$9:$P$905,16,FALSE)</f>
        <v>#N/A</v>
      </c>
      <c r="T269" s="755"/>
      <c r="U269" s="791"/>
      <c r="V269" s="784"/>
      <c r="W269" s="784"/>
      <c r="X269" s="869"/>
      <c r="Y269" s="975"/>
      <c r="Z269" s="975"/>
      <c r="AA269" s="967"/>
      <c r="AB269" s="1005"/>
      <c r="AC269" s="1005"/>
      <c r="AD269" s="1005"/>
      <c r="AE269" s="1005"/>
      <c r="AF269" s="1005"/>
      <c r="AG269" s="1004"/>
      <c r="AH269" s="1004"/>
      <c r="AI269" s="1004"/>
      <c r="AJ269" s="1004"/>
      <c r="AK269" s="1004"/>
      <c r="AL269" s="1004"/>
      <c r="AM269" s="1004"/>
      <c r="AN269" s="1004"/>
      <c r="AO269" s="1004"/>
      <c r="AP269" s="1004"/>
      <c r="AQ269" s="1004"/>
      <c r="AR269" s="1004"/>
      <c r="AS269" s="1004"/>
      <c r="AT269" s="1004"/>
      <c r="AU269" s="1004"/>
      <c r="AV269" s="1004"/>
      <c r="AW269" s="1004"/>
    </row>
    <row r="270" spans="1:49" s="942" customFormat="1" ht="15.75">
      <c r="A270" s="1004"/>
      <c r="B270" s="1004"/>
      <c r="C270" s="1004"/>
      <c r="D270" s="166"/>
      <c r="E270" s="166"/>
      <c r="F270" s="166"/>
      <c r="G270" s="166"/>
      <c r="H270" s="166"/>
      <c r="I270" s="1004"/>
      <c r="J270" s="1004"/>
      <c r="K270" s="1004"/>
      <c r="L270" s="777">
        <v>5</v>
      </c>
      <c r="M270" s="778"/>
      <c r="N270" s="976">
        <v>0</v>
      </c>
      <c r="O270" s="1020">
        <v>150</v>
      </c>
      <c r="P270" s="847" t="e">
        <f>VLOOKUP(N270,etat!$A$9:$N$1004,2,FALSE)</f>
        <v>#N/A</v>
      </c>
      <c r="Q270" s="797" t="e">
        <f>VLOOKUP(N270,etat!$A$9:$N$963,7,FALSE)</f>
        <v>#N/A</v>
      </c>
      <c r="R270" s="797" t="e">
        <f>VLOOKUP(N270,etat!$A$9:$N$1003,9,FALSE)</f>
        <v>#N/A</v>
      </c>
      <c r="S270" s="866" t="e">
        <f>VLOOKUP(N270,etat!$A$9:$P$905,16,FALSE)</f>
        <v>#N/A</v>
      </c>
      <c r="T270" s="755"/>
      <c r="U270" s="791"/>
      <c r="V270" s="784"/>
      <c r="W270" s="784"/>
      <c r="X270" s="784"/>
      <c r="Y270" s="1117"/>
      <c r="Z270" s="967"/>
      <c r="AA270" s="967"/>
      <c r="AB270" s="1005"/>
      <c r="AC270" s="1005"/>
      <c r="AD270" s="1005"/>
      <c r="AE270" s="1005"/>
      <c r="AF270" s="1005"/>
      <c r="AG270" s="1004"/>
      <c r="AH270" s="1004"/>
      <c r="AI270" s="1004"/>
      <c r="AJ270" s="1004"/>
      <c r="AK270" s="1004"/>
      <c r="AL270" s="1004"/>
      <c r="AM270" s="1004"/>
      <c r="AN270" s="1004"/>
      <c r="AO270" s="1004"/>
      <c r="AP270" s="1004"/>
      <c r="AQ270" s="1004"/>
      <c r="AR270" s="1004"/>
      <c r="AS270" s="1004"/>
      <c r="AT270" s="1004"/>
      <c r="AU270" s="1004"/>
      <c r="AV270" s="1004"/>
      <c r="AW270" s="1004"/>
    </row>
    <row r="271" spans="1:49" s="942" customFormat="1" ht="15.75">
      <c r="A271" s="1004"/>
      <c r="B271" s="1004"/>
      <c r="C271" s="1004"/>
      <c r="D271" s="166"/>
      <c r="E271" s="166"/>
      <c r="F271" s="166"/>
      <c r="G271" s="166"/>
      <c r="H271" s="166"/>
      <c r="I271" s="1004"/>
      <c r="J271" s="1004"/>
      <c r="K271" s="1004"/>
      <c r="L271" s="777">
        <v>5</v>
      </c>
      <c r="M271" s="778"/>
      <c r="N271" s="976">
        <v>0</v>
      </c>
      <c r="O271" s="1020">
        <v>151</v>
      </c>
      <c r="P271" s="847" t="e">
        <f>VLOOKUP(N271,etat!$A$9:$N$1004,2,FALSE)</f>
        <v>#N/A</v>
      </c>
      <c r="Q271" s="797" t="e">
        <f>VLOOKUP(N271,etat!$A$9:$N$963,7,FALSE)</f>
        <v>#N/A</v>
      </c>
      <c r="R271" s="797" t="e">
        <f>VLOOKUP(N271,etat!$A$9:$N$1003,9,FALSE)</f>
        <v>#N/A</v>
      </c>
      <c r="S271" s="866" t="e">
        <f>VLOOKUP(N271,etat!$A$9:$P$905,16,FALSE)</f>
        <v>#N/A</v>
      </c>
      <c r="T271" s="755"/>
      <c r="U271" s="791"/>
      <c r="V271" s="784"/>
      <c r="W271" s="784"/>
      <c r="X271" s="784"/>
      <c r="Y271" s="975"/>
      <c r="Z271" s="975"/>
      <c r="AA271" s="967"/>
      <c r="AB271" s="1005"/>
      <c r="AC271" s="1005"/>
      <c r="AD271" s="1005"/>
      <c r="AE271" s="1005"/>
      <c r="AF271" s="1005"/>
      <c r="AG271" s="1004"/>
      <c r="AH271" s="1004"/>
      <c r="AI271" s="1004"/>
      <c r="AJ271" s="1004"/>
      <c r="AK271" s="1004"/>
      <c r="AL271" s="1004"/>
      <c r="AM271" s="1004"/>
      <c r="AN271" s="1004"/>
      <c r="AO271" s="1004"/>
      <c r="AP271" s="1004"/>
      <c r="AQ271" s="1004"/>
      <c r="AR271" s="1004"/>
      <c r="AS271" s="1004"/>
      <c r="AT271" s="1004"/>
      <c r="AU271" s="1004"/>
      <c r="AV271" s="1004"/>
      <c r="AW271" s="1004"/>
    </row>
    <row r="272" spans="1:49" s="942" customFormat="1" ht="15.75">
      <c r="A272" s="1004"/>
      <c r="B272" s="1004"/>
      <c r="C272" s="1004"/>
      <c r="D272" s="166"/>
      <c r="E272" s="166"/>
      <c r="F272" s="166"/>
      <c r="G272" s="166"/>
      <c r="H272" s="166"/>
      <c r="I272" s="1004"/>
      <c r="J272" s="1004"/>
      <c r="K272" s="1004"/>
      <c r="L272" s="777">
        <v>5</v>
      </c>
      <c r="M272" s="778"/>
      <c r="N272" s="976">
        <v>0</v>
      </c>
      <c r="O272" s="1020">
        <v>152</v>
      </c>
      <c r="P272" s="847" t="e">
        <f>VLOOKUP(N272,etat!$A$9:$N$1004,2,FALSE)</f>
        <v>#N/A</v>
      </c>
      <c r="Q272" s="797" t="e">
        <f>VLOOKUP(N272,etat!$A$9:$N$963,7,FALSE)</f>
        <v>#N/A</v>
      </c>
      <c r="R272" s="797" t="e">
        <f>VLOOKUP(N272,etat!$A$9:$N$1003,9,FALSE)</f>
        <v>#N/A</v>
      </c>
      <c r="S272" s="866" t="e">
        <f>VLOOKUP(N272,etat!$A$9:$P$905,16,FALSE)</f>
        <v>#N/A</v>
      </c>
      <c r="T272" s="755"/>
      <c r="U272" s="791"/>
      <c r="V272" s="784"/>
      <c r="W272" s="784"/>
      <c r="X272" s="784"/>
      <c r="Y272" s="975"/>
      <c r="Z272" s="967"/>
      <c r="AA272" s="967"/>
      <c r="AB272" s="1005"/>
      <c r="AC272" s="1005"/>
      <c r="AD272" s="1005"/>
      <c r="AE272" s="1005"/>
      <c r="AF272" s="1005"/>
      <c r="AG272" s="1004"/>
      <c r="AH272" s="1004"/>
      <c r="AI272" s="1004"/>
      <c r="AJ272" s="1004"/>
      <c r="AK272" s="1004"/>
      <c r="AL272" s="1004"/>
      <c r="AM272" s="1004"/>
      <c r="AN272" s="1004"/>
      <c r="AO272" s="1004"/>
      <c r="AP272" s="1004"/>
      <c r="AQ272" s="1004"/>
      <c r="AR272" s="1004"/>
      <c r="AS272" s="1004"/>
      <c r="AT272" s="1004"/>
      <c r="AU272" s="1004"/>
      <c r="AV272" s="1004"/>
      <c r="AW272" s="1004"/>
    </row>
    <row r="273" spans="1:49" ht="15.75">
      <c r="A273" s="1004"/>
      <c r="B273" s="1004"/>
      <c r="C273" s="1004"/>
      <c r="I273" s="1004"/>
      <c r="J273" s="1004"/>
      <c r="K273" s="1004"/>
      <c r="L273" s="777">
        <v>5</v>
      </c>
      <c r="M273" s="778"/>
      <c r="N273" s="976">
        <v>0</v>
      </c>
      <c r="O273" s="1020">
        <v>153</v>
      </c>
      <c r="P273" s="847" t="e">
        <f>VLOOKUP(N273,etat!$A$9:$N$1004,2,FALSE)</f>
        <v>#N/A</v>
      </c>
      <c r="Q273" s="797" t="e">
        <f>VLOOKUP(N273,etat!$A$9:$N$963,7,FALSE)</f>
        <v>#N/A</v>
      </c>
      <c r="R273" s="797" t="e">
        <f>VLOOKUP(N273,etat!$A$9:$N$1003,9,FALSE)</f>
        <v>#N/A</v>
      </c>
      <c r="S273" s="866" t="e">
        <f>VLOOKUP(N273,etat!$A$9:$P$905,16,FALSE)</f>
        <v>#N/A</v>
      </c>
      <c r="T273" s="755"/>
      <c r="U273" s="791"/>
      <c r="V273" s="784"/>
      <c r="W273" s="784"/>
      <c r="X273" s="869"/>
      <c r="Y273" s="975"/>
      <c r="Z273" s="975"/>
      <c r="AA273" s="967"/>
      <c r="AB273" s="1005"/>
      <c r="AC273" s="1005"/>
      <c r="AD273" s="1005"/>
      <c r="AE273" s="1005"/>
      <c r="AF273" s="1005"/>
      <c r="AG273" s="1004"/>
      <c r="AH273" s="1004"/>
      <c r="AI273" s="1004"/>
      <c r="AJ273" s="1004"/>
      <c r="AK273" s="1004"/>
      <c r="AL273" s="1004"/>
      <c r="AM273" s="1004"/>
      <c r="AN273" s="1004"/>
      <c r="AO273" s="1004"/>
      <c r="AP273" s="1004"/>
      <c r="AQ273" s="1004"/>
      <c r="AR273" s="1004"/>
      <c r="AS273" s="1004"/>
      <c r="AT273" s="1004"/>
      <c r="AU273" s="1004"/>
      <c r="AV273" s="1004"/>
      <c r="AW273" s="1004"/>
    </row>
    <row r="274" spans="1:49" ht="15.75">
      <c r="A274" s="1004"/>
      <c r="B274" s="1004"/>
      <c r="C274" s="1004"/>
      <c r="I274" s="1004"/>
      <c r="J274" s="1004"/>
      <c r="K274" s="1004"/>
      <c r="L274" s="777">
        <v>5</v>
      </c>
      <c r="M274" s="778"/>
      <c r="N274" s="976">
        <v>0</v>
      </c>
      <c r="O274" s="1020">
        <v>154</v>
      </c>
      <c r="P274" s="847" t="e">
        <f>VLOOKUP(N274,etat!$A$9:$N$1004,2,FALSE)</f>
        <v>#N/A</v>
      </c>
      <c r="Q274" s="797" t="e">
        <f>VLOOKUP(N274,etat!$A$9:$N$963,7,FALSE)</f>
        <v>#N/A</v>
      </c>
      <c r="R274" s="797" t="e">
        <f>VLOOKUP(N274,etat!$A$9:$N$1003,9,FALSE)</f>
        <v>#N/A</v>
      </c>
      <c r="S274" s="866" t="e">
        <f>VLOOKUP(N274,etat!$A$9:$P$905,16,FALSE)</f>
        <v>#N/A</v>
      </c>
      <c r="T274" s="755"/>
      <c r="U274" s="791"/>
      <c r="V274" s="784"/>
      <c r="W274" s="784"/>
      <c r="X274" s="869"/>
      <c r="Y274" s="975"/>
      <c r="Z274" s="975"/>
      <c r="AA274" s="967"/>
      <c r="AB274" s="1005"/>
      <c r="AC274" s="1005"/>
      <c r="AD274" s="1005"/>
      <c r="AE274" s="1005"/>
      <c r="AF274" s="1005"/>
      <c r="AG274" s="1004"/>
      <c r="AH274" s="1004"/>
      <c r="AI274" s="1004"/>
      <c r="AJ274" s="1004"/>
      <c r="AK274" s="1004"/>
      <c r="AL274" s="1004"/>
      <c r="AM274" s="1004"/>
      <c r="AN274" s="1004"/>
      <c r="AO274" s="1004"/>
      <c r="AP274" s="1004"/>
      <c r="AQ274" s="1004"/>
      <c r="AR274" s="1004"/>
      <c r="AS274" s="1004"/>
      <c r="AT274" s="1004"/>
      <c r="AU274" s="1004"/>
      <c r="AV274" s="1004"/>
      <c r="AW274" s="1004"/>
    </row>
    <row r="275" spans="1:49" ht="15.75">
      <c r="A275" s="1004"/>
      <c r="B275" s="1004"/>
      <c r="C275" s="1004"/>
      <c r="I275" s="1004"/>
      <c r="J275" s="1004"/>
      <c r="K275" s="1004"/>
      <c r="L275" s="777">
        <v>5</v>
      </c>
      <c r="M275" s="778"/>
      <c r="N275" s="976">
        <v>0</v>
      </c>
      <c r="O275" s="1020">
        <v>155</v>
      </c>
      <c r="P275" s="847" t="e">
        <f>VLOOKUP(N275,etat!$A$9:$N$1004,2,FALSE)</f>
        <v>#N/A</v>
      </c>
      <c r="Q275" s="797" t="e">
        <f>VLOOKUP(N275,etat!$A$9:$N$963,7,FALSE)</f>
        <v>#N/A</v>
      </c>
      <c r="R275" s="797" t="e">
        <f>VLOOKUP(N275,etat!$A$9:$N$1003,9,FALSE)</f>
        <v>#N/A</v>
      </c>
      <c r="S275" s="866" t="e">
        <f>VLOOKUP(N275,etat!$A$9:$P$905,16,FALSE)</f>
        <v>#N/A</v>
      </c>
      <c r="T275" s="755"/>
      <c r="U275" s="791"/>
      <c r="V275" s="784"/>
      <c r="W275" s="784"/>
      <c r="X275" s="869"/>
      <c r="Y275" s="975"/>
      <c r="Z275" s="975"/>
      <c r="AA275" s="967"/>
      <c r="AB275" s="1005"/>
      <c r="AC275" s="1005"/>
      <c r="AD275" s="1005"/>
      <c r="AE275" s="1005"/>
      <c r="AF275" s="1005"/>
      <c r="AG275" s="1004"/>
      <c r="AH275" s="1004"/>
      <c r="AI275" s="1004"/>
      <c r="AJ275" s="1004"/>
      <c r="AK275" s="1004"/>
      <c r="AL275" s="1004"/>
      <c r="AM275" s="1004"/>
      <c r="AN275" s="1004"/>
      <c r="AO275" s="1004"/>
      <c r="AP275" s="1004"/>
      <c r="AQ275" s="1004"/>
      <c r="AR275" s="1004"/>
      <c r="AS275" s="1004"/>
      <c r="AT275" s="1004"/>
      <c r="AU275" s="1004"/>
      <c r="AV275" s="1004"/>
      <c r="AW275" s="1004"/>
    </row>
    <row r="276" spans="1:49" ht="15.75">
      <c r="A276" s="1004"/>
      <c r="B276" s="1004"/>
      <c r="C276" s="1004"/>
      <c r="I276" s="1004"/>
      <c r="J276" s="1004"/>
      <c r="K276" s="1004"/>
      <c r="L276" s="777">
        <v>5</v>
      </c>
      <c r="M276" s="778"/>
      <c r="N276" s="976">
        <v>0</v>
      </c>
      <c r="O276" s="1020">
        <v>156</v>
      </c>
      <c r="P276" s="847" t="e">
        <f>VLOOKUP(N276,etat!$A$9:$N$1004,2,FALSE)</f>
        <v>#N/A</v>
      </c>
      <c r="Q276" s="797" t="e">
        <f>VLOOKUP(N276,etat!$A$9:$N$963,7,FALSE)</f>
        <v>#N/A</v>
      </c>
      <c r="R276" s="797" t="e">
        <f>VLOOKUP(N276,etat!$A$9:$N$1003,9,FALSE)</f>
        <v>#N/A</v>
      </c>
      <c r="S276" s="866" t="e">
        <f>VLOOKUP(N276,etat!$A$9:$P$905,16,FALSE)</f>
        <v>#N/A</v>
      </c>
      <c r="T276" s="755"/>
      <c r="U276" s="791"/>
      <c r="V276" s="784"/>
      <c r="W276" s="784"/>
      <c r="X276" s="784"/>
      <c r="Y276" s="975"/>
      <c r="Z276" s="975"/>
      <c r="AA276" s="967"/>
      <c r="AB276" s="1005"/>
      <c r="AC276" s="1005"/>
      <c r="AD276" s="1005"/>
      <c r="AE276" s="1005"/>
      <c r="AF276" s="1005"/>
      <c r="AG276" s="1004"/>
      <c r="AH276" s="1004"/>
      <c r="AI276" s="1004"/>
      <c r="AJ276" s="1004"/>
      <c r="AK276" s="1004"/>
      <c r="AL276" s="1004"/>
      <c r="AM276" s="1004"/>
      <c r="AN276" s="1004"/>
      <c r="AO276" s="1004"/>
      <c r="AP276" s="1004"/>
      <c r="AQ276" s="1004"/>
      <c r="AR276" s="1004"/>
      <c r="AS276" s="1004"/>
      <c r="AT276" s="1004"/>
      <c r="AU276" s="1004"/>
      <c r="AV276" s="1004"/>
      <c r="AW276" s="1004"/>
    </row>
    <row r="277" spans="1:49" ht="15.75">
      <c r="A277" s="1004"/>
      <c r="B277" s="1004"/>
      <c r="C277" s="1004"/>
      <c r="I277" s="1004"/>
      <c r="J277" s="1004"/>
      <c r="K277" s="1004"/>
      <c r="L277" s="777">
        <v>5</v>
      </c>
      <c r="M277" s="778"/>
      <c r="N277" s="976">
        <v>0</v>
      </c>
      <c r="O277" s="1020">
        <v>157</v>
      </c>
      <c r="P277" s="847" t="e">
        <f>VLOOKUP(N277,etat!$A$9:$N$1004,2,FALSE)</f>
        <v>#N/A</v>
      </c>
      <c r="Q277" s="797" t="e">
        <f>VLOOKUP(N277,etat!$A$9:$N$963,7,FALSE)</f>
        <v>#N/A</v>
      </c>
      <c r="R277" s="797" t="e">
        <f>VLOOKUP(N277,etat!$A$9:$N$1003,9,FALSE)</f>
        <v>#N/A</v>
      </c>
      <c r="S277" s="866" t="e">
        <f>VLOOKUP(N277,etat!$A$9:$P$905,16,FALSE)</f>
        <v>#N/A</v>
      </c>
      <c r="T277" s="755"/>
      <c r="U277" s="791"/>
      <c r="V277" s="784"/>
      <c r="W277" s="784"/>
      <c r="X277" s="869"/>
      <c r="Y277" s="975"/>
      <c r="Z277" s="975"/>
      <c r="AA277" s="967"/>
      <c r="AB277" s="1005"/>
      <c r="AC277" s="1005"/>
      <c r="AD277" s="1005"/>
      <c r="AE277" s="1005"/>
      <c r="AF277" s="1005"/>
      <c r="AG277" s="1004"/>
      <c r="AH277" s="1004"/>
      <c r="AI277" s="1004"/>
      <c r="AJ277" s="1004"/>
      <c r="AK277" s="1004"/>
      <c r="AL277" s="1004"/>
      <c r="AM277" s="1004"/>
      <c r="AN277" s="1004"/>
      <c r="AO277" s="1004"/>
      <c r="AP277" s="1004"/>
      <c r="AQ277" s="1004"/>
      <c r="AR277" s="1004"/>
      <c r="AS277" s="1004"/>
      <c r="AT277" s="1004"/>
      <c r="AU277" s="1004"/>
      <c r="AV277" s="1004"/>
      <c r="AW277" s="1004"/>
    </row>
    <row r="278" spans="1:49" s="1128" customFormat="1" ht="15.75">
      <c r="D278" s="166"/>
      <c r="E278" s="166"/>
      <c r="F278" s="166"/>
      <c r="G278" s="166"/>
      <c r="H278" s="166"/>
      <c r="L278" s="777"/>
      <c r="M278" s="778"/>
      <c r="N278" s="976">
        <v>0</v>
      </c>
      <c r="O278" s="1020">
        <v>158</v>
      </c>
      <c r="P278" s="847" t="e">
        <f>VLOOKUP(N278,etat!$A$9:$N$1004,2,FALSE)</f>
        <v>#N/A</v>
      </c>
      <c r="Q278" s="797" t="e">
        <f>VLOOKUP(N278,etat!$A$9:$N$963,7,FALSE)</f>
        <v>#N/A</v>
      </c>
      <c r="R278" s="797" t="e">
        <f>VLOOKUP(N278,etat!$A$9:$N$1003,9,FALSE)</f>
        <v>#N/A</v>
      </c>
      <c r="S278" s="866" t="e">
        <f>VLOOKUP(N278,etat!$A$9:$P$905,16,FALSE)</f>
        <v>#N/A</v>
      </c>
      <c r="T278" s="755"/>
      <c r="U278" s="791"/>
      <c r="V278" s="784"/>
      <c r="W278" s="784"/>
      <c r="X278" s="784"/>
      <c r="Y278" s="975"/>
      <c r="Z278" s="975"/>
      <c r="AA278" s="967"/>
      <c r="AB278" s="1127"/>
      <c r="AC278" s="1127"/>
      <c r="AD278" s="1127"/>
      <c r="AE278" s="1127"/>
      <c r="AF278" s="1127"/>
    </row>
    <row r="279" spans="1:49" ht="15.75">
      <c r="A279" s="1004"/>
      <c r="B279" s="1004"/>
      <c r="C279" s="1004"/>
      <c r="I279" s="1004"/>
      <c r="J279" s="1004"/>
      <c r="K279" s="1004"/>
      <c r="L279" s="777">
        <v>5</v>
      </c>
      <c r="M279" s="778"/>
      <c r="N279" s="976">
        <v>0</v>
      </c>
      <c r="O279" s="1020">
        <v>159</v>
      </c>
      <c r="P279" s="1121" t="e">
        <f>VLOOKUP(N279,etat!$A$9:$N$1004,2,FALSE)</f>
        <v>#N/A</v>
      </c>
      <c r="Q279" s="797" t="e">
        <f>VLOOKUP(N279,etat!$A$9:$N$963,7,FALSE)</f>
        <v>#N/A</v>
      </c>
      <c r="R279" s="797" t="e">
        <f>VLOOKUP(N279,etat!$A$9:$N$1003,9,FALSE)</f>
        <v>#N/A</v>
      </c>
      <c r="S279" s="866" t="e">
        <f>VLOOKUP(N279,etat!$A$9:$P$905,16,FALSE)</f>
        <v>#N/A</v>
      </c>
      <c r="T279" s="755"/>
      <c r="U279" s="791"/>
      <c r="V279" s="784"/>
      <c r="W279" s="784"/>
      <c r="X279" s="784"/>
      <c r="Y279" s="975"/>
      <c r="Z279" s="975"/>
      <c r="AA279" s="967"/>
      <c r="AB279" s="1005"/>
      <c r="AC279" s="1005"/>
      <c r="AD279" s="1005"/>
      <c r="AE279" s="1005"/>
      <c r="AF279" s="1005"/>
      <c r="AG279" s="1004"/>
      <c r="AH279" s="1004"/>
      <c r="AI279" s="1004"/>
      <c r="AJ279" s="1004"/>
      <c r="AK279" s="1004"/>
      <c r="AL279" s="1004"/>
      <c r="AM279" s="1004"/>
      <c r="AN279" s="1004"/>
      <c r="AO279" s="1004"/>
      <c r="AP279" s="1004"/>
      <c r="AQ279" s="1004"/>
      <c r="AR279" s="1004"/>
      <c r="AS279" s="1004"/>
      <c r="AT279" s="1004"/>
      <c r="AU279" s="1004"/>
      <c r="AV279" s="1004"/>
      <c r="AW279" s="1004"/>
    </row>
    <row r="280" spans="1:49" ht="15.75">
      <c r="A280" s="1004"/>
      <c r="B280" s="1004"/>
      <c r="C280" s="1004"/>
      <c r="I280" s="1004"/>
      <c r="J280" s="1004"/>
      <c r="K280" s="1004"/>
      <c r="L280" s="777">
        <v>5</v>
      </c>
      <c r="M280" s="778"/>
      <c r="N280" s="976">
        <v>0</v>
      </c>
      <c r="O280" s="1020">
        <v>160</v>
      </c>
      <c r="P280" s="847" t="e">
        <f>VLOOKUP(N280,etat!$A$9:$N$1004,2,FALSE)</f>
        <v>#N/A</v>
      </c>
      <c r="Q280" s="797" t="e">
        <f>VLOOKUP(N280,etat!$A$9:$N$963,7,FALSE)</f>
        <v>#N/A</v>
      </c>
      <c r="R280" s="797" t="e">
        <f>VLOOKUP(N280,etat!$A$9:$N$1003,9,FALSE)</f>
        <v>#N/A</v>
      </c>
      <c r="S280" s="866" t="e">
        <f>VLOOKUP(N280,etat!$A$9:$P$905,16,FALSE)</f>
        <v>#N/A</v>
      </c>
      <c r="T280" s="755"/>
      <c r="U280" s="791"/>
      <c r="V280" s="784"/>
      <c r="W280" s="784"/>
      <c r="X280" s="784"/>
      <c r="Y280" s="975"/>
      <c r="Z280" s="975"/>
      <c r="AA280" s="967"/>
      <c r="AB280" s="1005"/>
      <c r="AC280" s="1005"/>
      <c r="AD280" s="1005"/>
      <c r="AE280" s="1005"/>
      <c r="AF280" s="1005"/>
      <c r="AG280" s="1004"/>
      <c r="AH280" s="1004"/>
      <c r="AI280" s="1004"/>
      <c r="AJ280" s="1004"/>
      <c r="AK280" s="1004"/>
      <c r="AL280" s="1004"/>
      <c r="AM280" s="1004"/>
      <c r="AN280" s="1004"/>
      <c r="AO280" s="1004"/>
      <c r="AP280" s="1004"/>
      <c r="AQ280" s="1004"/>
      <c r="AR280" s="1004"/>
      <c r="AS280" s="1004"/>
      <c r="AT280" s="1004"/>
      <c r="AU280" s="1004"/>
      <c r="AV280" s="1004"/>
      <c r="AW280" s="1004"/>
    </row>
    <row r="281" spans="1:49" ht="15.75">
      <c r="A281" s="1004"/>
      <c r="B281" s="1004"/>
      <c r="C281" s="1004"/>
      <c r="I281" s="1004"/>
      <c r="J281" s="1004"/>
      <c r="K281" s="1004"/>
      <c r="L281" s="777">
        <v>5</v>
      </c>
      <c r="M281" s="778"/>
      <c r="N281" s="976">
        <v>0</v>
      </c>
      <c r="O281" s="1020">
        <v>161</v>
      </c>
      <c r="P281" s="847" t="e">
        <f>VLOOKUP(N281,etat!$A$9:$N$1004,2,FALSE)</f>
        <v>#N/A</v>
      </c>
      <c r="Q281" s="797" t="e">
        <f>VLOOKUP(N281,etat!$A$9:$N$963,7,FALSE)</f>
        <v>#N/A</v>
      </c>
      <c r="R281" s="797" t="e">
        <f>VLOOKUP(N281,etat!$A$9:$N$1003,9,FALSE)</f>
        <v>#N/A</v>
      </c>
      <c r="S281" s="866" t="e">
        <f>VLOOKUP(N281,etat!$A$9:$P$905,16,FALSE)</f>
        <v>#N/A</v>
      </c>
      <c r="T281" s="755"/>
      <c r="U281" s="791"/>
      <c r="V281" s="784"/>
      <c r="W281" s="784"/>
      <c r="X281" s="784"/>
      <c r="Y281" s="975"/>
      <c r="Z281" s="975"/>
      <c r="AA281" s="967"/>
      <c r="AB281" s="1005"/>
      <c r="AC281" s="1005"/>
      <c r="AD281" s="1005"/>
      <c r="AE281" s="1005"/>
      <c r="AF281" s="1005"/>
      <c r="AG281" s="1004"/>
      <c r="AH281" s="1004"/>
      <c r="AI281" s="1004"/>
      <c r="AJ281" s="1004"/>
      <c r="AK281" s="1004"/>
      <c r="AL281" s="1004"/>
      <c r="AM281" s="1004"/>
      <c r="AN281" s="1004"/>
      <c r="AO281" s="1004"/>
      <c r="AP281" s="1004"/>
      <c r="AQ281" s="1004"/>
      <c r="AR281" s="1004"/>
      <c r="AS281" s="1004"/>
      <c r="AT281" s="1004"/>
      <c r="AU281" s="1004"/>
      <c r="AV281" s="1004"/>
      <c r="AW281" s="1004"/>
    </row>
    <row r="282" spans="1:49" s="952" customFormat="1" ht="15.75">
      <c r="A282" s="1004"/>
      <c r="B282" s="1004"/>
      <c r="C282" s="1004"/>
      <c r="D282" s="166"/>
      <c r="E282" s="166"/>
      <c r="F282" s="166"/>
      <c r="G282" s="166"/>
      <c r="H282" s="166"/>
      <c r="I282" s="1004"/>
      <c r="J282" s="1004"/>
      <c r="K282" s="1004"/>
      <c r="L282" s="777">
        <v>5</v>
      </c>
      <c r="M282" s="778"/>
      <c r="N282" s="976">
        <v>0</v>
      </c>
      <c r="O282" s="1020">
        <v>162</v>
      </c>
      <c r="P282" s="847" t="e">
        <f>VLOOKUP(N282,etat!$A$9:$N$1004,2,FALSE)</f>
        <v>#N/A</v>
      </c>
      <c r="Q282" s="797" t="e">
        <f>VLOOKUP(N282,etat!$A$9:$N$963,7,FALSE)</f>
        <v>#N/A</v>
      </c>
      <c r="R282" s="797" t="e">
        <f>VLOOKUP(N282,etat!$A$9:$N$1003,9,FALSE)</f>
        <v>#N/A</v>
      </c>
      <c r="S282" s="866" t="e">
        <f>VLOOKUP(N282,etat!$A$9:$P$905,16,FALSE)</f>
        <v>#N/A</v>
      </c>
      <c r="T282" s="755"/>
      <c r="U282" s="791"/>
      <c r="V282" s="784"/>
      <c r="W282" s="784"/>
      <c r="X282" s="869"/>
      <c r="Y282" s="975"/>
      <c r="Z282" s="975"/>
      <c r="AA282" s="967"/>
      <c r="AB282" s="1005"/>
      <c r="AC282" s="1005"/>
      <c r="AD282" s="1005"/>
      <c r="AE282" s="1005"/>
      <c r="AF282" s="1005"/>
      <c r="AG282" s="1004"/>
      <c r="AH282" s="1004"/>
      <c r="AI282" s="1004"/>
      <c r="AJ282" s="1004"/>
      <c r="AK282" s="1004"/>
      <c r="AL282" s="1004"/>
      <c r="AM282" s="1004"/>
      <c r="AN282" s="1004"/>
      <c r="AO282" s="1004"/>
      <c r="AP282" s="1004"/>
      <c r="AQ282" s="1004"/>
      <c r="AR282" s="1004"/>
      <c r="AS282" s="1004"/>
      <c r="AT282" s="1004"/>
      <c r="AU282" s="1004"/>
      <c r="AV282" s="1004"/>
      <c r="AW282" s="1004"/>
    </row>
    <row r="283" spans="1:49" ht="15.75">
      <c r="A283" s="1004"/>
      <c r="B283" s="1004"/>
      <c r="C283" s="1004"/>
      <c r="I283" s="1004"/>
      <c r="J283" s="1004"/>
      <c r="K283" s="1004"/>
      <c r="L283" s="777">
        <v>5</v>
      </c>
      <c r="M283" s="778"/>
      <c r="N283" s="976">
        <v>0</v>
      </c>
      <c r="O283" s="1020">
        <v>163</v>
      </c>
      <c r="P283" s="847" t="e">
        <f>VLOOKUP(N283,etat!$A$9:$N$1004,2,FALSE)</f>
        <v>#N/A</v>
      </c>
      <c r="Q283" s="797" t="e">
        <f>VLOOKUP(N283,etat!$A$9:$N$963,7,FALSE)</f>
        <v>#N/A</v>
      </c>
      <c r="R283" s="797" t="e">
        <f>VLOOKUP(N283,etat!$A$9:$N$1003,9,FALSE)</f>
        <v>#N/A</v>
      </c>
      <c r="S283" s="866" t="e">
        <f>VLOOKUP(N283,etat!$A$9:$P$905,16,FALSE)</f>
        <v>#N/A</v>
      </c>
      <c r="T283" s="755"/>
      <c r="U283" s="791"/>
      <c r="V283" s="784"/>
      <c r="W283" s="784"/>
      <c r="X283" s="784"/>
      <c r="Y283" s="975"/>
      <c r="Z283" s="975"/>
      <c r="AA283" s="967"/>
      <c r="AB283" s="1005"/>
      <c r="AC283" s="1005"/>
      <c r="AD283" s="1005"/>
      <c r="AE283" s="1005"/>
      <c r="AF283" s="1005"/>
      <c r="AG283" s="1004"/>
      <c r="AH283" s="1004"/>
      <c r="AI283" s="1004"/>
      <c r="AJ283" s="1004"/>
      <c r="AK283" s="1004"/>
      <c r="AL283" s="1004"/>
      <c r="AM283" s="1004"/>
      <c r="AN283" s="1004"/>
      <c r="AO283" s="1004"/>
      <c r="AP283" s="1004"/>
      <c r="AQ283" s="1004"/>
      <c r="AR283" s="1004"/>
      <c r="AS283" s="1004"/>
      <c r="AT283" s="1004"/>
      <c r="AU283" s="1004"/>
      <c r="AV283" s="1004"/>
      <c r="AW283" s="1004"/>
    </row>
    <row r="284" spans="1:49" ht="15.75">
      <c r="A284" s="1004"/>
      <c r="B284" s="1004"/>
      <c r="C284" s="1004"/>
      <c r="I284" s="1004"/>
      <c r="J284" s="1004"/>
      <c r="K284" s="1004"/>
      <c r="L284" s="777">
        <v>5</v>
      </c>
      <c r="M284" s="778"/>
      <c r="N284" s="976">
        <v>0</v>
      </c>
      <c r="O284" s="1020">
        <v>164</v>
      </c>
      <c r="P284" s="847" t="e">
        <f>VLOOKUP(N284,etat!$A$9:$N$1004,2,FALSE)</f>
        <v>#N/A</v>
      </c>
      <c r="Q284" s="797" t="e">
        <f>VLOOKUP(N284,etat!$A$9:$N$963,7,FALSE)</f>
        <v>#N/A</v>
      </c>
      <c r="R284" s="797" t="e">
        <f>VLOOKUP(N284,etat!$A$9:$N$1003,9,FALSE)</f>
        <v>#N/A</v>
      </c>
      <c r="S284" s="866" t="e">
        <f>VLOOKUP(N284,etat!$A$9:$P$905,16,FALSE)</f>
        <v>#N/A</v>
      </c>
      <c r="T284" s="755"/>
      <c r="U284" s="791"/>
      <c r="V284" s="784"/>
      <c r="W284" s="784"/>
      <c r="X284" s="784"/>
      <c r="Y284" s="975"/>
      <c r="Z284" s="975"/>
      <c r="AA284" s="967"/>
      <c r="AB284" s="1005"/>
      <c r="AC284" s="1005"/>
      <c r="AD284" s="1005"/>
      <c r="AE284" s="1005"/>
      <c r="AF284" s="1005"/>
      <c r="AG284" s="1004"/>
      <c r="AH284" s="1004"/>
      <c r="AI284" s="1004"/>
      <c r="AJ284" s="1004"/>
      <c r="AK284" s="1004"/>
      <c r="AL284" s="1004"/>
      <c r="AM284" s="1004"/>
      <c r="AN284" s="1004"/>
      <c r="AO284" s="1004"/>
      <c r="AP284" s="1004"/>
      <c r="AQ284" s="1004"/>
      <c r="AR284" s="1004"/>
      <c r="AS284" s="1004"/>
      <c r="AT284" s="1004"/>
      <c r="AU284" s="1004"/>
      <c r="AV284" s="1004"/>
      <c r="AW284" s="1004"/>
    </row>
    <row r="285" spans="1:49" ht="15.75">
      <c r="A285" s="1004"/>
      <c r="B285" s="1004"/>
      <c r="C285" s="1004"/>
      <c r="I285" s="1004"/>
      <c r="J285" s="1004"/>
      <c r="K285" s="1004"/>
      <c r="L285" s="777">
        <v>5</v>
      </c>
      <c r="M285" s="778"/>
      <c r="N285" s="976">
        <v>0</v>
      </c>
      <c r="O285" s="1020">
        <v>165</v>
      </c>
      <c r="P285" s="847" t="e">
        <f>VLOOKUP(N285,etat!$A$9:$N$1004,2,FALSE)</f>
        <v>#N/A</v>
      </c>
      <c r="Q285" s="797" t="e">
        <f>VLOOKUP(N285,etat!$A$9:$N$963,7,FALSE)</f>
        <v>#N/A</v>
      </c>
      <c r="R285" s="797" t="e">
        <f>VLOOKUP(N285,etat!$A$9:$N$1003,9,FALSE)</f>
        <v>#N/A</v>
      </c>
      <c r="S285" s="866" t="e">
        <f>VLOOKUP(N285,etat!$A$9:$P$905,16,FALSE)</f>
        <v>#N/A</v>
      </c>
      <c r="T285" s="755"/>
      <c r="U285" s="791"/>
      <c r="V285" s="784"/>
      <c r="W285" s="784"/>
      <c r="X285" s="784"/>
      <c r="Y285" s="975"/>
      <c r="Z285" s="975"/>
      <c r="AA285" s="967"/>
      <c r="AB285" s="1005"/>
      <c r="AC285" s="1005"/>
      <c r="AD285" s="1005"/>
      <c r="AE285" s="1005"/>
      <c r="AF285" s="1005"/>
      <c r="AG285" s="1004"/>
      <c r="AH285" s="1004"/>
      <c r="AI285" s="1004"/>
      <c r="AJ285" s="1004"/>
      <c r="AK285" s="1004"/>
      <c r="AL285" s="1004"/>
      <c r="AM285" s="1004"/>
      <c r="AN285" s="1004"/>
      <c r="AO285" s="1004"/>
      <c r="AP285" s="1004"/>
      <c r="AQ285" s="1004"/>
      <c r="AR285" s="1004"/>
      <c r="AS285" s="1004"/>
      <c r="AT285" s="1004"/>
      <c r="AU285" s="1004"/>
      <c r="AV285" s="1004"/>
      <c r="AW285" s="1004"/>
    </row>
    <row r="286" spans="1:49" s="952" customFormat="1" ht="15.75">
      <c r="A286" s="1004"/>
      <c r="B286" s="1004"/>
      <c r="C286" s="1004"/>
      <c r="D286" s="166"/>
      <c r="E286" s="166"/>
      <c r="F286" s="166"/>
      <c r="G286" s="166"/>
      <c r="H286" s="166"/>
      <c r="I286" s="1004"/>
      <c r="J286" s="1004"/>
      <c r="K286" s="1004"/>
      <c r="L286" s="777">
        <v>5</v>
      </c>
      <c r="M286" s="778"/>
      <c r="N286" s="976">
        <v>0</v>
      </c>
      <c r="O286" s="1020">
        <v>166</v>
      </c>
      <c r="P286" s="847" t="e">
        <f>VLOOKUP(N286,etat!$A$9:$N$1004,2,FALSE)</f>
        <v>#N/A</v>
      </c>
      <c r="Q286" s="797" t="e">
        <f>VLOOKUP(N286,etat!$A$9:$N$963,7,FALSE)</f>
        <v>#N/A</v>
      </c>
      <c r="R286" s="797" t="e">
        <f>VLOOKUP(N286,etat!$A$9:$N$1003,9,FALSE)</f>
        <v>#N/A</v>
      </c>
      <c r="S286" s="866" t="e">
        <f>VLOOKUP(N286,etat!$A$9:$P$905,16,FALSE)</f>
        <v>#N/A</v>
      </c>
      <c r="T286" s="755"/>
      <c r="U286" s="791"/>
      <c r="V286" s="784"/>
      <c r="W286" s="784"/>
      <c r="X286" s="784"/>
      <c r="Y286" s="975"/>
      <c r="Z286" s="975"/>
      <c r="AA286" s="967"/>
      <c r="AB286" s="1005"/>
      <c r="AC286" s="1005"/>
      <c r="AD286" s="1005"/>
      <c r="AE286" s="1005"/>
      <c r="AF286" s="1005"/>
      <c r="AG286" s="1004"/>
      <c r="AH286" s="1004"/>
      <c r="AI286" s="1004"/>
      <c r="AJ286" s="1004"/>
      <c r="AK286" s="1004"/>
      <c r="AL286" s="1004"/>
      <c r="AM286" s="1004"/>
      <c r="AN286" s="1004"/>
      <c r="AO286" s="1004"/>
      <c r="AP286" s="1004"/>
      <c r="AQ286" s="1004"/>
      <c r="AR286" s="1004"/>
      <c r="AS286" s="1004"/>
      <c r="AT286" s="1004"/>
      <c r="AU286" s="1004"/>
      <c r="AV286" s="1004"/>
      <c r="AW286" s="1004"/>
    </row>
    <row r="287" spans="1:49" s="952" customFormat="1" ht="15.75">
      <c r="A287" s="1004"/>
      <c r="B287" s="1004"/>
      <c r="C287" s="1004"/>
      <c r="D287" s="166"/>
      <c r="E287" s="166"/>
      <c r="F287" s="166"/>
      <c r="G287" s="166"/>
      <c r="H287" s="166"/>
      <c r="I287" s="1004"/>
      <c r="J287" s="1004"/>
      <c r="K287" s="1004"/>
      <c r="L287" s="777">
        <v>5</v>
      </c>
      <c r="M287" s="778"/>
      <c r="N287" s="976">
        <v>0</v>
      </c>
      <c r="O287" s="1020">
        <v>167</v>
      </c>
      <c r="P287" s="847" t="e">
        <f>VLOOKUP(N287,etat!$A$9:$N$1004,2,FALSE)</f>
        <v>#N/A</v>
      </c>
      <c r="Q287" s="797" t="e">
        <f>VLOOKUP(N287,etat!$A$9:$N$963,7,FALSE)</f>
        <v>#N/A</v>
      </c>
      <c r="R287" s="797" t="e">
        <f>VLOOKUP(N287,etat!$A$9:$N$1003,9,FALSE)</f>
        <v>#N/A</v>
      </c>
      <c r="S287" s="866" t="e">
        <f>VLOOKUP(N287,etat!$A$9:$P$905,16,FALSE)</f>
        <v>#N/A</v>
      </c>
      <c r="T287" s="755"/>
      <c r="U287" s="791"/>
      <c r="V287" s="784"/>
      <c r="W287" s="784"/>
      <c r="X287" s="784"/>
      <c r="Y287" s="975"/>
      <c r="Z287" s="975"/>
      <c r="AA287" s="967"/>
      <c r="AB287" s="1005"/>
      <c r="AC287" s="1005"/>
      <c r="AD287" s="1005"/>
      <c r="AE287" s="1005"/>
      <c r="AF287" s="1005"/>
      <c r="AG287" s="1004"/>
      <c r="AH287" s="1004"/>
      <c r="AI287" s="1004"/>
      <c r="AJ287" s="1004"/>
      <c r="AK287" s="1004"/>
      <c r="AL287" s="1004"/>
      <c r="AM287" s="1004"/>
      <c r="AN287" s="1004"/>
      <c r="AO287" s="1004"/>
      <c r="AP287" s="1004"/>
      <c r="AQ287" s="1004"/>
      <c r="AR287" s="1004"/>
      <c r="AS287" s="1004"/>
      <c r="AT287" s="1004"/>
      <c r="AU287" s="1004"/>
      <c r="AV287" s="1004"/>
      <c r="AW287" s="1004"/>
    </row>
    <row r="288" spans="1:49" ht="15.75">
      <c r="A288" s="1004"/>
      <c r="B288" s="1004"/>
      <c r="C288" s="1004"/>
      <c r="I288" s="1004"/>
      <c r="J288" s="1004"/>
      <c r="K288" s="1004"/>
      <c r="L288" s="777">
        <v>5</v>
      </c>
      <c r="M288" s="778"/>
      <c r="N288" s="976">
        <v>0</v>
      </c>
      <c r="O288" s="1020">
        <v>168</v>
      </c>
      <c r="P288" s="847" t="e">
        <f>VLOOKUP(N288,etat!$A$9:$N$1004,2,FALSE)</f>
        <v>#N/A</v>
      </c>
      <c r="Q288" s="797" t="e">
        <f>VLOOKUP(N288,etat!$A$9:$N$963,7,FALSE)</f>
        <v>#N/A</v>
      </c>
      <c r="R288" s="797" t="e">
        <f>VLOOKUP(N288,etat!$A$9:$N$1003,9,FALSE)</f>
        <v>#N/A</v>
      </c>
      <c r="S288" s="866" t="e">
        <f>VLOOKUP(N288,etat!$A$9:$P$905,16,FALSE)</f>
        <v>#N/A</v>
      </c>
      <c r="T288" s="755"/>
      <c r="U288" s="791"/>
      <c r="V288" s="784"/>
      <c r="W288" s="784"/>
      <c r="X288" s="784"/>
      <c r="Y288" s="975"/>
      <c r="Z288" s="975"/>
      <c r="AA288" s="967"/>
      <c r="AB288" s="1005"/>
      <c r="AC288" s="1005"/>
      <c r="AD288" s="1005"/>
      <c r="AE288" s="1005"/>
      <c r="AF288" s="1005"/>
      <c r="AG288" s="1004"/>
      <c r="AH288" s="1004"/>
      <c r="AI288" s="1004"/>
      <c r="AJ288" s="1004"/>
      <c r="AK288" s="1004"/>
      <c r="AL288" s="1004"/>
      <c r="AM288" s="1004"/>
      <c r="AN288" s="1004"/>
      <c r="AO288" s="1004"/>
      <c r="AP288" s="1004"/>
      <c r="AQ288" s="1004"/>
      <c r="AR288" s="1004"/>
      <c r="AS288" s="1004"/>
      <c r="AT288" s="1004"/>
      <c r="AU288" s="1004"/>
      <c r="AV288" s="1004"/>
      <c r="AW288" s="1004"/>
    </row>
    <row r="289" spans="1:49" ht="15.75">
      <c r="A289" s="1004"/>
      <c r="B289" s="1004"/>
      <c r="C289" s="1004"/>
      <c r="I289" s="1004"/>
      <c r="J289" s="1004"/>
      <c r="K289" s="1004"/>
      <c r="L289" s="777">
        <v>5</v>
      </c>
      <c r="M289" s="778"/>
      <c r="N289" s="976">
        <v>0</v>
      </c>
      <c r="O289" s="1020">
        <v>169</v>
      </c>
      <c r="P289" s="847" t="e">
        <f>VLOOKUP(N289,etat!$A$9:$N$1004,2,FALSE)</f>
        <v>#N/A</v>
      </c>
      <c r="Q289" s="797" t="e">
        <f>VLOOKUP(N289,etat!$A$9:$N$963,7,FALSE)</f>
        <v>#N/A</v>
      </c>
      <c r="R289" s="797" t="e">
        <f>VLOOKUP(N289,etat!$A$9:$N$1003,9,FALSE)</f>
        <v>#N/A</v>
      </c>
      <c r="S289" s="866" t="e">
        <f>VLOOKUP(N289,etat!$A$9:$P$905,16,FALSE)</f>
        <v>#N/A</v>
      </c>
      <c r="T289" s="755"/>
      <c r="U289" s="791"/>
      <c r="V289" s="784"/>
      <c r="W289" s="784"/>
      <c r="X289" s="784"/>
      <c r="Y289" s="975"/>
      <c r="Z289" s="975"/>
      <c r="AA289" s="967"/>
      <c r="AB289" s="1005"/>
      <c r="AC289" s="1005"/>
      <c r="AD289" s="1005"/>
      <c r="AE289" s="1005"/>
      <c r="AF289" s="1005"/>
      <c r="AG289" s="1004"/>
      <c r="AH289" s="1004"/>
      <c r="AI289" s="1004"/>
      <c r="AJ289" s="1004"/>
      <c r="AK289" s="1004"/>
      <c r="AL289" s="1004"/>
      <c r="AM289" s="1004"/>
      <c r="AN289" s="1004"/>
      <c r="AO289" s="1004"/>
      <c r="AP289" s="1004"/>
      <c r="AQ289" s="1004"/>
      <c r="AR289" s="1004"/>
      <c r="AS289" s="1004"/>
      <c r="AT289" s="1004"/>
      <c r="AU289" s="1004"/>
      <c r="AV289" s="1004"/>
      <c r="AW289" s="1004"/>
    </row>
    <row r="290" spans="1:49" s="952" customFormat="1" ht="15.75">
      <c r="A290" s="1004"/>
      <c r="B290" s="1004"/>
      <c r="C290" s="1004"/>
      <c r="D290" s="166"/>
      <c r="E290" s="166"/>
      <c r="F290" s="166"/>
      <c r="G290" s="166"/>
      <c r="H290" s="166"/>
      <c r="I290" s="1004"/>
      <c r="J290" s="1004"/>
      <c r="K290" s="1004"/>
      <c r="L290" s="777">
        <v>5</v>
      </c>
      <c r="M290" s="778"/>
      <c r="N290" s="976">
        <v>0</v>
      </c>
      <c r="O290" s="1020">
        <v>170</v>
      </c>
      <c r="P290" s="847" t="e">
        <f>VLOOKUP(N290,etat!$A$9:$N$1004,2,FALSE)</f>
        <v>#N/A</v>
      </c>
      <c r="Q290" s="797" t="e">
        <f>VLOOKUP(N290,etat!$A$9:$N$963,7,FALSE)</f>
        <v>#N/A</v>
      </c>
      <c r="R290" s="797" t="e">
        <f>VLOOKUP(N290,etat!$A$9:$N$1003,9,FALSE)</f>
        <v>#N/A</v>
      </c>
      <c r="S290" s="866" t="e">
        <f>VLOOKUP(N290,etat!$A$9:$P$905,16,FALSE)</f>
        <v>#N/A</v>
      </c>
      <c r="T290" s="755"/>
      <c r="U290" s="791"/>
      <c r="V290" s="784"/>
      <c r="W290" s="784"/>
      <c r="X290" s="784"/>
      <c r="Y290" s="975"/>
      <c r="Z290" s="975"/>
      <c r="AA290" s="967"/>
      <c r="AB290" s="1005"/>
      <c r="AC290" s="1005"/>
      <c r="AD290" s="1005"/>
      <c r="AE290" s="1005"/>
      <c r="AF290" s="1005"/>
      <c r="AG290" s="1004"/>
      <c r="AH290" s="1004"/>
      <c r="AI290" s="1004"/>
      <c r="AJ290" s="1004"/>
      <c r="AK290" s="1004"/>
      <c r="AL290" s="1004"/>
      <c r="AM290" s="1004"/>
      <c r="AN290" s="1004"/>
      <c r="AO290" s="1004"/>
      <c r="AP290" s="1004"/>
      <c r="AQ290" s="1004"/>
      <c r="AR290" s="1004"/>
      <c r="AS290" s="1004"/>
      <c r="AT290" s="1004"/>
      <c r="AU290" s="1004"/>
      <c r="AV290" s="1004"/>
      <c r="AW290" s="1004"/>
    </row>
    <row r="291" spans="1:49" ht="15.75">
      <c r="A291" s="1004"/>
      <c r="B291" s="1004"/>
      <c r="C291" s="1004"/>
      <c r="I291" s="1004"/>
      <c r="J291" s="1004"/>
      <c r="K291" s="1004"/>
      <c r="L291" s="777">
        <v>5</v>
      </c>
      <c r="M291" s="778"/>
      <c r="N291" s="976">
        <v>0</v>
      </c>
      <c r="O291" s="1020">
        <v>171</v>
      </c>
      <c r="P291" s="847" t="e">
        <f>VLOOKUP(N291,etat!$A$9:$N$1004,2,FALSE)</f>
        <v>#N/A</v>
      </c>
      <c r="Q291" s="797" t="e">
        <f>VLOOKUP(N291,etat!$A$9:$N$963,7,FALSE)</f>
        <v>#N/A</v>
      </c>
      <c r="R291" s="797" t="e">
        <f>VLOOKUP(N291,etat!$A$9:$N$1003,9,FALSE)</f>
        <v>#N/A</v>
      </c>
      <c r="S291" s="866" t="e">
        <f>VLOOKUP(N291,etat!$A$9:$P$905,16,FALSE)</f>
        <v>#N/A</v>
      </c>
      <c r="T291" s="755"/>
      <c r="U291" s="791"/>
      <c r="V291" s="784"/>
      <c r="W291" s="784"/>
      <c r="X291" s="784"/>
      <c r="Y291" s="975"/>
      <c r="Z291" s="975"/>
      <c r="AA291" s="967"/>
      <c r="AB291" s="1005"/>
      <c r="AC291" s="1005"/>
      <c r="AD291" s="1005"/>
      <c r="AE291" s="1005"/>
      <c r="AF291" s="1005"/>
      <c r="AG291" s="1004"/>
      <c r="AH291" s="1004"/>
      <c r="AI291" s="1004"/>
      <c r="AJ291" s="1004"/>
      <c r="AK291" s="1004"/>
      <c r="AL291" s="1004"/>
      <c r="AM291" s="1004"/>
      <c r="AN291" s="1004"/>
      <c r="AO291" s="1004"/>
      <c r="AP291" s="1004"/>
      <c r="AQ291" s="1004"/>
      <c r="AR291" s="1004"/>
      <c r="AS291" s="1004"/>
      <c r="AT291" s="1004"/>
      <c r="AU291" s="1004"/>
      <c r="AV291" s="1004"/>
      <c r="AW291" s="1004"/>
    </row>
    <row r="292" spans="1:49" ht="15.75">
      <c r="A292" s="1004"/>
      <c r="B292" s="1004"/>
      <c r="C292" s="1004"/>
      <c r="I292" s="1004"/>
      <c r="J292" s="1004"/>
      <c r="K292" s="1004"/>
      <c r="L292" s="777">
        <v>5</v>
      </c>
      <c r="M292" s="778"/>
      <c r="N292" s="976">
        <v>0</v>
      </c>
      <c r="O292" s="1020">
        <v>172</v>
      </c>
      <c r="P292" s="847" t="e">
        <f>VLOOKUP(N292,etat!$A$9:$N$1004,2,FALSE)</f>
        <v>#N/A</v>
      </c>
      <c r="Q292" s="797" t="e">
        <f>VLOOKUP(N292,etat!$A$9:$N$963,7,FALSE)</f>
        <v>#N/A</v>
      </c>
      <c r="R292" s="797" t="e">
        <f>VLOOKUP(N292,etat!$A$9:$N$1003,9,FALSE)</f>
        <v>#N/A</v>
      </c>
      <c r="S292" s="866" t="e">
        <f>VLOOKUP(N292,etat!$A$9:$P$905,16,FALSE)</f>
        <v>#N/A</v>
      </c>
      <c r="T292" s="755"/>
      <c r="U292" s="791"/>
      <c r="V292" s="784"/>
      <c r="W292" s="784"/>
      <c r="X292" s="784"/>
      <c r="Y292" s="975"/>
      <c r="Z292" s="975"/>
      <c r="AA292" s="967"/>
      <c r="AB292" s="1005"/>
      <c r="AC292" s="1005"/>
      <c r="AD292" s="1005"/>
      <c r="AE292" s="1005"/>
      <c r="AF292" s="1005"/>
      <c r="AG292" s="1004"/>
      <c r="AH292" s="1004"/>
      <c r="AI292" s="1004"/>
      <c r="AJ292" s="1004"/>
      <c r="AK292" s="1004"/>
      <c r="AL292" s="1004"/>
      <c r="AM292" s="1004"/>
      <c r="AN292" s="1004"/>
      <c r="AO292" s="1004"/>
      <c r="AP292" s="1004"/>
      <c r="AQ292" s="1004"/>
      <c r="AR292" s="1004"/>
      <c r="AS292" s="1004"/>
      <c r="AT292" s="1004"/>
      <c r="AU292" s="1004"/>
      <c r="AV292" s="1004"/>
      <c r="AW292" s="1004"/>
    </row>
    <row r="293" spans="1:49" ht="15.75">
      <c r="A293" s="1004"/>
      <c r="B293" s="1004"/>
      <c r="C293" s="1004"/>
      <c r="I293" s="1004"/>
      <c r="J293" s="1004"/>
      <c r="K293" s="1004"/>
      <c r="L293" s="777">
        <v>5</v>
      </c>
      <c r="M293" s="778"/>
      <c r="N293" s="976">
        <v>0</v>
      </c>
      <c r="O293" s="1020">
        <v>173</v>
      </c>
      <c r="P293" s="847" t="e">
        <f>VLOOKUP(N293,etat!$A$9:$N$1004,2,FALSE)</f>
        <v>#N/A</v>
      </c>
      <c r="Q293" s="797" t="e">
        <f>VLOOKUP(N293,etat!$A$9:$N$963,7,FALSE)</f>
        <v>#N/A</v>
      </c>
      <c r="R293" s="797" t="e">
        <f>VLOOKUP(N293,etat!$A$9:$N$1003,9,FALSE)</f>
        <v>#N/A</v>
      </c>
      <c r="S293" s="866" t="e">
        <f>VLOOKUP(N293,etat!$A$9:$P$905,16,FALSE)</f>
        <v>#N/A</v>
      </c>
      <c r="T293" s="755"/>
      <c r="U293" s="791"/>
      <c r="V293" s="784"/>
      <c r="W293" s="784"/>
      <c r="X293" s="784"/>
      <c r="Y293" s="975"/>
      <c r="Z293" s="975"/>
      <c r="AA293" s="967"/>
      <c r="AB293" s="1005"/>
      <c r="AC293" s="1005"/>
      <c r="AD293" s="1005"/>
      <c r="AE293" s="1005"/>
      <c r="AF293" s="1005"/>
      <c r="AG293" s="1004"/>
      <c r="AH293" s="1004"/>
      <c r="AI293" s="1004"/>
      <c r="AJ293" s="1004"/>
      <c r="AK293" s="1004"/>
      <c r="AL293" s="1004"/>
      <c r="AM293" s="1004"/>
      <c r="AN293" s="1004"/>
      <c r="AO293" s="1004"/>
      <c r="AP293" s="1004"/>
      <c r="AQ293" s="1004"/>
      <c r="AR293" s="1004"/>
      <c r="AS293" s="1004"/>
      <c r="AT293" s="1004"/>
      <c r="AU293" s="1004"/>
      <c r="AV293" s="1004"/>
      <c r="AW293" s="1004"/>
    </row>
    <row r="294" spans="1:49" ht="15.75">
      <c r="A294" s="1004"/>
      <c r="B294" s="1004"/>
      <c r="C294" s="1004"/>
      <c r="I294" s="1004"/>
      <c r="J294" s="1004"/>
      <c r="K294" s="1004"/>
      <c r="L294" s="777">
        <v>5</v>
      </c>
      <c r="M294" s="778"/>
      <c r="N294" s="976">
        <v>0</v>
      </c>
      <c r="O294" s="1020">
        <v>174</v>
      </c>
      <c r="P294" s="847" t="e">
        <f>VLOOKUP(N294,etat!$A$9:$N$1004,2,FALSE)</f>
        <v>#N/A</v>
      </c>
      <c r="Q294" s="797" t="e">
        <f>VLOOKUP(N294,etat!$A$9:$N$963,7,FALSE)</f>
        <v>#N/A</v>
      </c>
      <c r="R294" s="797" t="e">
        <f>VLOOKUP(N294,etat!$A$9:$N$1003,9,FALSE)</f>
        <v>#N/A</v>
      </c>
      <c r="S294" s="866" t="e">
        <f>VLOOKUP(N294,etat!$A$9:$P$905,16,FALSE)</f>
        <v>#N/A</v>
      </c>
      <c r="T294" s="755"/>
      <c r="U294" s="791"/>
      <c r="V294" s="784"/>
      <c r="W294" s="784"/>
      <c r="X294" s="784"/>
      <c r="Y294" s="975"/>
      <c r="Z294" s="975"/>
      <c r="AA294" s="967"/>
      <c r="AB294" s="1005"/>
      <c r="AC294" s="1005"/>
      <c r="AD294" s="1005"/>
      <c r="AE294" s="1005"/>
      <c r="AF294" s="1005"/>
      <c r="AG294" s="1004"/>
      <c r="AH294" s="1004"/>
      <c r="AI294" s="1004"/>
      <c r="AJ294" s="1004"/>
      <c r="AK294" s="1004"/>
      <c r="AL294" s="1004"/>
      <c r="AM294" s="1004"/>
      <c r="AN294" s="1004"/>
      <c r="AO294" s="1004"/>
      <c r="AP294" s="1004"/>
      <c r="AQ294" s="1004"/>
      <c r="AR294" s="1004"/>
      <c r="AS294" s="1004"/>
      <c r="AT294" s="1004"/>
      <c r="AU294" s="1004"/>
      <c r="AV294" s="1004"/>
      <c r="AW294" s="1004"/>
    </row>
    <row r="295" spans="1:49" ht="15.75">
      <c r="A295" s="1004"/>
      <c r="B295" s="1004"/>
      <c r="C295" s="1004"/>
      <c r="I295" s="1004"/>
      <c r="J295" s="1004"/>
      <c r="K295" s="1004"/>
      <c r="L295" s="777">
        <v>5</v>
      </c>
      <c r="M295" s="778"/>
      <c r="N295" s="976">
        <v>0</v>
      </c>
      <c r="O295" s="1020">
        <v>175</v>
      </c>
      <c r="P295" s="847" t="e">
        <f>VLOOKUP(N295,etat!$A$9:$N$1004,2,FALSE)</f>
        <v>#N/A</v>
      </c>
      <c r="Q295" s="797" t="e">
        <f>VLOOKUP(N295,etat!$A$9:$N$963,7,FALSE)</f>
        <v>#N/A</v>
      </c>
      <c r="R295" s="797" t="e">
        <f>VLOOKUP(N295,etat!$A$9:$N$1003,9,FALSE)</f>
        <v>#N/A</v>
      </c>
      <c r="S295" s="866" t="e">
        <f>VLOOKUP(N295,etat!$A$9:$P$905,16,FALSE)</f>
        <v>#N/A</v>
      </c>
      <c r="T295" s="755"/>
      <c r="U295" s="791"/>
      <c r="V295" s="784"/>
      <c r="W295" s="784"/>
      <c r="X295" s="784"/>
      <c r="Y295" s="975"/>
      <c r="Z295" s="975"/>
      <c r="AA295" s="967"/>
      <c r="AB295" s="1005"/>
      <c r="AC295" s="1005"/>
      <c r="AD295" s="1005"/>
      <c r="AE295" s="1005"/>
      <c r="AF295" s="1005"/>
      <c r="AG295" s="1004"/>
      <c r="AH295" s="1004"/>
      <c r="AI295" s="1004"/>
      <c r="AJ295" s="1004"/>
      <c r="AK295" s="1004"/>
      <c r="AL295" s="1004"/>
      <c r="AM295" s="1004"/>
      <c r="AN295" s="1004"/>
      <c r="AO295" s="1004"/>
      <c r="AP295" s="1004"/>
      <c r="AQ295" s="1004"/>
      <c r="AR295" s="1004"/>
      <c r="AS295" s="1004"/>
      <c r="AT295" s="1004"/>
      <c r="AU295" s="1004"/>
      <c r="AV295" s="1004"/>
      <c r="AW295" s="1004"/>
    </row>
    <row r="296" spans="1:49" ht="15.75">
      <c r="A296" s="1004"/>
      <c r="B296" s="1004"/>
      <c r="C296" s="1004"/>
      <c r="I296" s="1004"/>
      <c r="J296" s="1004"/>
      <c r="K296" s="1004"/>
      <c r="L296" s="777">
        <v>5</v>
      </c>
      <c r="M296" s="778"/>
      <c r="N296" s="976">
        <v>0</v>
      </c>
      <c r="O296" s="1020">
        <v>176</v>
      </c>
      <c r="P296" s="847" t="e">
        <f>VLOOKUP(N296,etat!$A$9:$N$1004,2,FALSE)</f>
        <v>#N/A</v>
      </c>
      <c r="Q296" s="797" t="e">
        <f>VLOOKUP(N296,etat!$A$9:$N$963,7,FALSE)</f>
        <v>#N/A</v>
      </c>
      <c r="R296" s="797" t="e">
        <f>VLOOKUP(N296,etat!$A$9:$N$1003,9,FALSE)</f>
        <v>#N/A</v>
      </c>
      <c r="S296" s="866" t="e">
        <f>VLOOKUP(N296,etat!$A$9:$P$905,16,FALSE)</f>
        <v>#N/A</v>
      </c>
      <c r="T296" s="755"/>
      <c r="U296" s="791"/>
      <c r="V296" s="784"/>
      <c r="W296" s="784"/>
      <c r="X296" s="784"/>
      <c r="Y296" s="975"/>
      <c r="Z296" s="975"/>
      <c r="AA296" s="967"/>
      <c r="AB296" s="1005"/>
      <c r="AC296" s="1005"/>
      <c r="AD296" s="1005"/>
      <c r="AE296" s="1005"/>
      <c r="AF296" s="1005"/>
      <c r="AG296" s="1004"/>
      <c r="AH296" s="1004"/>
      <c r="AI296" s="1004"/>
      <c r="AJ296" s="1004"/>
      <c r="AK296" s="1004"/>
      <c r="AL296" s="1004"/>
      <c r="AM296" s="1004"/>
      <c r="AN296" s="1004"/>
      <c r="AO296" s="1004"/>
      <c r="AP296" s="1004"/>
      <c r="AQ296" s="1004"/>
      <c r="AR296" s="1004"/>
      <c r="AS296" s="1004"/>
      <c r="AT296" s="1004"/>
      <c r="AU296" s="1004"/>
      <c r="AV296" s="1004"/>
      <c r="AW296" s="1004"/>
    </row>
    <row r="297" spans="1:49" ht="15.75">
      <c r="A297" s="1004"/>
      <c r="B297" s="1004"/>
      <c r="C297" s="1004"/>
      <c r="I297" s="1004"/>
      <c r="J297" s="1004"/>
      <c r="K297" s="1004"/>
      <c r="L297" s="777">
        <v>5</v>
      </c>
      <c r="M297" s="778"/>
      <c r="N297" s="976">
        <v>0</v>
      </c>
      <c r="O297" s="1020">
        <v>177</v>
      </c>
      <c r="P297" s="847" t="e">
        <f>VLOOKUP(N297,etat!$A$9:$N$1004,2,FALSE)</f>
        <v>#N/A</v>
      </c>
      <c r="Q297" s="797" t="e">
        <f>VLOOKUP(N297,etat!$A$9:$N$963,7,FALSE)</f>
        <v>#N/A</v>
      </c>
      <c r="R297" s="797" t="e">
        <f>VLOOKUP(N297,etat!$A$9:$N$1003,9,FALSE)</f>
        <v>#N/A</v>
      </c>
      <c r="S297" s="866" t="e">
        <f>VLOOKUP(N297,etat!$A$9:$P$905,16,FALSE)</f>
        <v>#N/A</v>
      </c>
      <c r="T297" s="755"/>
      <c r="U297" s="791"/>
      <c r="V297" s="784"/>
      <c r="W297" s="784"/>
      <c r="X297" s="784"/>
      <c r="Y297" s="975"/>
      <c r="Z297" s="975"/>
      <c r="AA297" s="967"/>
      <c r="AB297" s="1005"/>
      <c r="AC297" s="1005"/>
      <c r="AD297" s="1005"/>
      <c r="AE297" s="1005"/>
      <c r="AF297" s="1005"/>
      <c r="AG297" s="1004"/>
      <c r="AH297" s="1004"/>
      <c r="AI297" s="1004"/>
      <c r="AJ297" s="1004"/>
      <c r="AK297" s="1004"/>
      <c r="AL297" s="1004"/>
      <c r="AM297" s="1004"/>
      <c r="AN297" s="1004"/>
      <c r="AO297" s="1004"/>
      <c r="AP297" s="1004"/>
      <c r="AQ297" s="1004"/>
      <c r="AR297" s="1004"/>
      <c r="AS297" s="1004"/>
      <c r="AT297" s="1004"/>
      <c r="AU297" s="1004"/>
      <c r="AV297" s="1004"/>
      <c r="AW297" s="1004"/>
    </row>
    <row r="298" spans="1:49" ht="15.75">
      <c r="A298" s="1004"/>
      <c r="B298" s="1004"/>
      <c r="C298" s="1004"/>
      <c r="I298" s="1004"/>
      <c r="J298" s="1004"/>
      <c r="K298" s="1004"/>
      <c r="L298" s="777">
        <v>5</v>
      </c>
      <c r="M298" s="778"/>
      <c r="N298" s="976">
        <v>0</v>
      </c>
      <c r="O298" s="1020">
        <v>178</v>
      </c>
      <c r="P298" s="847" t="e">
        <f>VLOOKUP(N298,etat!$A$9:$N$1004,2,FALSE)</f>
        <v>#N/A</v>
      </c>
      <c r="Q298" s="797" t="e">
        <f>VLOOKUP(N298,etat!$A$9:$N$963,7,FALSE)</f>
        <v>#N/A</v>
      </c>
      <c r="R298" s="797" t="e">
        <f>VLOOKUP(N298,etat!$A$9:$N$1003,9,FALSE)</f>
        <v>#N/A</v>
      </c>
      <c r="S298" s="866" t="e">
        <f>VLOOKUP(N298,etat!$A$9:$P$905,16,FALSE)</f>
        <v>#N/A</v>
      </c>
      <c r="T298" s="755"/>
      <c r="U298" s="791"/>
      <c r="V298" s="784"/>
      <c r="W298" s="784"/>
      <c r="X298" s="784"/>
      <c r="Y298" s="975"/>
      <c r="Z298" s="975"/>
      <c r="AA298" s="967"/>
      <c r="AB298" s="1005"/>
      <c r="AC298" s="1005"/>
      <c r="AD298" s="1005"/>
      <c r="AE298" s="1005"/>
      <c r="AF298" s="1005"/>
      <c r="AG298" s="1004"/>
      <c r="AH298" s="1004"/>
      <c r="AI298" s="1004"/>
      <c r="AJ298" s="1004"/>
      <c r="AK298" s="1004"/>
      <c r="AL298" s="1004"/>
      <c r="AM298" s="1004"/>
      <c r="AN298" s="1004"/>
      <c r="AO298" s="1004"/>
      <c r="AP298" s="1004"/>
      <c r="AQ298" s="1004"/>
      <c r="AR298" s="1004"/>
      <c r="AS298" s="1004"/>
      <c r="AT298" s="1004"/>
      <c r="AU298" s="1004"/>
      <c r="AV298" s="1004"/>
      <c r="AW298" s="1004"/>
    </row>
    <row r="299" spans="1:49" ht="15.75">
      <c r="A299" s="1004"/>
      <c r="B299" s="1004"/>
      <c r="C299" s="1004"/>
      <c r="I299" s="1004"/>
      <c r="J299" s="1004"/>
      <c r="K299" s="1004"/>
      <c r="L299" s="777">
        <v>5</v>
      </c>
      <c r="M299" s="778"/>
      <c r="N299" s="976">
        <v>0</v>
      </c>
      <c r="O299" s="1020">
        <v>179</v>
      </c>
      <c r="P299" s="847" t="e">
        <f>VLOOKUP(N299,etat!$A$9:$N$1004,2,FALSE)</f>
        <v>#N/A</v>
      </c>
      <c r="Q299" s="797" t="e">
        <f>VLOOKUP(N299,etat!$A$9:$N$963,7,FALSE)</f>
        <v>#N/A</v>
      </c>
      <c r="R299" s="797" t="e">
        <f>VLOOKUP(N299,etat!$A$9:$N$1003,9,FALSE)</f>
        <v>#N/A</v>
      </c>
      <c r="S299" s="866" t="e">
        <f>VLOOKUP(N299,etat!$A$9:$P$905,16,FALSE)</f>
        <v>#N/A</v>
      </c>
      <c r="T299" s="755"/>
      <c r="U299" s="791"/>
      <c r="V299" s="784"/>
      <c r="W299" s="784"/>
      <c r="X299" s="784"/>
      <c r="Y299" s="975"/>
      <c r="Z299" s="975"/>
      <c r="AA299" s="967"/>
      <c r="AB299" s="1005"/>
      <c r="AC299" s="1005"/>
      <c r="AD299" s="1005"/>
      <c r="AE299" s="1005"/>
      <c r="AF299" s="1005"/>
      <c r="AG299" s="1004"/>
      <c r="AH299" s="1004"/>
      <c r="AI299" s="1004"/>
      <c r="AJ299" s="1004"/>
      <c r="AK299" s="1004"/>
      <c r="AL299" s="1004"/>
      <c r="AM299" s="1004"/>
      <c r="AN299" s="1004"/>
      <c r="AO299" s="1004"/>
      <c r="AP299" s="1004"/>
      <c r="AQ299" s="1004"/>
      <c r="AR299" s="1004"/>
      <c r="AS299" s="1004"/>
      <c r="AT299" s="1004"/>
      <c r="AU299" s="1004"/>
      <c r="AV299" s="1004"/>
      <c r="AW299" s="1004"/>
    </row>
    <row r="300" spans="1:49" ht="15.75">
      <c r="A300" s="1004"/>
      <c r="B300" s="1004"/>
      <c r="C300" s="1004"/>
      <c r="I300" s="1004"/>
      <c r="J300" s="1004"/>
      <c r="K300" s="1004"/>
      <c r="L300" s="777">
        <v>5</v>
      </c>
      <c r="M300" s="778"/>
      <c r="N300" s="976">
        <v>0</v>
      </c>
      <c r="O300" s="1020">
        <v>180</v>
      </c>
      <c r="P300" s="847" t="e">
        <f>VLOOKUP(N300,etat!$A$9:$N$1004,2,FALSE)</f>
        <v>#N/A</v>
      </c>
      <c r="Q300" s="797" t="e">
        <f>VLOOKUP(N300,etat!$A$9:$N$963,7,FALSE)</f>
        <v>#N/A</v>
      </c>
      <c r="R300" s="797" t="e">
        <f>VLOOKUP(N300,etat!$A$9:$N$1003,9,FALSE)</f>
        <v>#N/A</v>
      </c>
      <c r="S300" s="866" t="e">
        <f>VLOOKUP(N300,etat!$A$9:$P$905,16,FALSE)</f>
        <v>#N/A</v>
      </c>
      <c r="T300" s="755"/>
      <c r="U300" s="791"/>
      <c r="V300" s="784"/>
      <c r="W300" s="784"/>
      <c r="X300" s="784"/>
      <c r="Y300" s="1116"/>
      <c r="Z300" s="975"/>
      <c r="AA300" s="967"/>
      <c r="AB300" s="1005"/>
      <c r="AC300" s="1005"/>
      <c r="AD300" s="1005"/>
      <c r="AE300" s="1005"/>
      <c r="AF300" s="1005"/>
      <c r="AG300" s="1004"/>
      <c r="AH300" s="1004"/>
      <c r="AI300" s="1004"/>
      <c r="AJ300" s="1004"/>
      <c r="AK300" s="1004"/>
      <c r="AL300" s="1004"/>
      <c r="AM300" s="1004"/>
      <c r="AN300" s="1004"/>
      <c r="AO300" s="1004"/>
      <c r="AP300" s="1004"/>
      <c r="AQ300" s="1004"/>
      <c r="AR300" s="1004"/>
      <c r="AS300" s="1004"/>
      <c r="AT300" s="1004"/>
      <c r="AU300" s="1004"/>
      <c r="AV300" s="1004"/>
      <c r="AW300" s="1004"/>
    </row>
    <row r="301" spans="1:49" ht="15.75">
      <c r="A301" s="1004"/>
      <c r="B301" s="1004"/>
      <c r="C301" s="1004"/>
      <c r="I301" s="1004"/>
      <c r="J301" s="1004"/>
      <c r="K301" s="1004"/>
      <c r="L301" s="777">
        <v>5</v>
      </c>
      <c r="M301" s="778"/>
      <c r="N301" s="976">
        <v>0</v>
      </c>
      <c r="O301" s="1020">
        <v>181</v>
      </c>
      <c r="P301" s="847" t="e">
        <f>VLOOKUP(N301,etat!$A$9:$N$1004,2,FALSE)</f>
        <v>#N/A</v>
      </c>
      <c r="Q301" s="797" t="e">
        <f>VLOOKUP(N301,etat!$A$9:$N$963,7,FALSE)</f>
        <v>#N/A</v>
      </c>
      <c r="R301" s="797" t="e">
        <f>VLOOKUP(N301,etat!$A$9:$N$1003,9,FALSE)</f>
        <v>#N/A</v>
      </c>
      <c r="S301" s="866" t="e">
        <f>VLOOKUP(N301,etat!$A$9:$P$905,16,FALSE)</f>
        <v>#N/A</v>
      </c>
      <c r="T301" s="755"/>
      <c r="U301" s="791"/>
      <c r="V301" s="784"/>
      <c r="W301" s="784"/>
      <c r="X301" s="784"/>
      <c r="Y301" s="975"/>
      <c r="Z301" s="975"/>
      <c r="AA301" s="967"/>
      <c r="AB301" s="1005"/>
      <c r="AC301" s="1005"/>
      <c r="AD301" s="1005"/>
      <c r="AE301" s="1005"/>
      <c r="AF301" s="1005"/>
      <c r="AG301" s="1004"/>
      <c r="AH301" s="1004"/>
      <c r="AI301" s="1004"/>
      <c r="AJ301" s="1004"/>
      <c r="AK301" s="1004"/>
      <c r="AL301" s="1004"/>
      <c r="AM301" s="1004"/>
      <c r="AN301" s="1004"/>
      <c r="AO301" s="1004"/>
      <c r="AP301" s="1004"/>
      <c r="AQ301" s="1004"/>
      <c r="AR301" s="1004"/>
      <c r="AS301" s="1004"/>
      <c r="AT301" s="1004"/>
      <c r="AU301" s="1004"/>
      <c r="AV301" s="1004"/>
      <c r="AW301" s="1004"/>
    </row>
    <row r="302" spans="1:49" ht="15.75">
      <c r="A302" s="1004"/>
      <c r="B302" s="1004"/>
      <c r="C302" s="1004"/>
      <c r="I302" s="1004"/>
      <c r="J302" s="1004"/>
      <c r="K302" s="1004"/>
      <c r="L302" s="777">
        <v>5</v>
      </c>
      <c r="M302" s="778"/>
      <c r="N302" s="976">
        <v>0</v>
      </c>
      <c r="O302" s="1020">
        <v>182</v>
      </c>
      <c r="P302" s="847" t="e">
        <f>VLOOKUP(N302,etat!$A$9:$N$1004,2,FALSE)</f>
        <v>#N/A</v>
      </c>
      <c r="Q302" s="797" t="e">
        <f>VLOOKUP(N302,etat!$A$9:$N$963,7,FALSE)</f>
        <v>#N/A</v>
      </c>
      <c r="R302" s="797" t="e">
        <f>VLOOKUP(N302,etat!$A$9:$N$1003,9,FALSE)</f>
        <v>#N/A</v>
      </c>
      <c r="S302" s="866" t="e">
        <f>VLOOKUP(N302,etat!$A$9:$P$905,16,FALSE)</f>
        <v>#N/A</v>
      </c>
      <c r="T302" s="755"/>
      <c r="U302" s="791"/>
      <c r="V302" s="784"/>
      <c r="W302" s="784"/>
      <c r="X302" s="784"/>
      <c r="Y302" s="975"/>
      <c r="Z302" s="975"/>
      <c r="AA302" s="967"/>
      <c r="AB302" s="1005"/>
      <c r="AC302" s="1005"/>
      <c r="AD302" s="1005"/>
      <c r="AE302" s="1005"/>
      <c r="AF302" s="1005"/>
      <c r="AG302" s="1004"/>
      <c r="AH302" s="1004"/>
      <c r="AI302" s="1004"/>
      <c r="AJ302" s="1004"/>
      <c r="AK302" s="1004"/>
      <c r="AL302" s="1004"/>
      <c r="AM302" s="1004"/>
      <c r="AN302" s="1004"/>
      <c r="AO302" s="1004"/>
      <c r="AP302" s="1004"/>
      <c r="AQ302" s="1004"/>
      <c r="AR302" s="1004"/>
      <c r="AS302" s="1004"/>
      <c r="AT302" s="1004"/>
      <c r="AU302" s="1004"/>
      <c r="AV302" s="1004"/>
      <c r="AW302" s="1004"/>
    </row>
    <row r="303" spans="1:49" ht="15.75">
      <c r="A303" s="1004"/>
      <c r="B303" s="1004"/>
      <c r="C303" s="1004"/>
      <c r="I303" s="1004"/>
      <c r="J303" s="1004"/>
      <c r="K303" s="1004"/>
      <c r="L303" s="777">
        <v>5</v>
      </c>
      <c r="M303" s="778"/>
      <c r="N303" s="976">
        <v>0</v>
      </c>
      <c r="O303" s="1020">
        <v>183</v>
      </c>
      <c r="P303" s="847" t="e">
        <f>VLOOKUP(N303,etat!$A$9:$N$1004,2,FALSE)</f>
        <v>#N/A</v>
      </c>
      <c r="Q303" s="797" t="e">
        <f>VLOOKUP(N303,etat!$A$9:$N$963,7,FALSE)</f>
        <v>#N/A</v>
      </c>
      <c r="R303" s="797" t="e">
        <f>VLOOKUP(N303,etat!$A$9:$N$1003,9,FALSE)</f>
        <v>#N/A</v>
      </c>
      <c r="S303" s="866" t="e">
        <f>VLOOKUP(N303,etat!$A$9:$P$905,16,FALSE)</f>
        <v>#N/A</v>
      </c>
      <c r="T303" s="755"/>
      <c r="U303" s="791"/>
      <c r="V303" s="784"/>
      <c r="W303" s="784"/>
      <c r="X303" s="784"/>
      <c r="Y303" s="975"/>
      <c r="Z303" s="975"/>
      <c r="AA303" s="967"/>
      <c r="AB303" s="1005"/>
      <c r="AC303" s="1005"/>
      <c r="AD303" s="1005"/>
      <c r="AE303" s="1005"/>
      <c r="AF303" s="1005"/>
      <c r="AG303" s="1004"/>
      <c r="AH303" s="1004"/>
      <c r="AI303" s="1004"/>
      <c r="AJ303" s="1004"/>
      <c r="AK303" s="1004"/>
      <c r="AL303" s="1004"/>
      <c r="AM303" s="1004"/>
      <c r="AN303" s="1004"/>
      <c r="AO303" s="1004"/>
      <c r="AP303" s="1004"/>
      <c r="AQ303" s="1004"/>
      <c r="AR303" s="1004"/>
      <c r="AS303" s="1004"/>
      <c r="AT303" s="1004"/>
      <c r="AU303" s="1004"/>
      <c r="AV303" s="1004"/>
      <c r="AW303" s="1004"/>
    </row>
    <row r="304" spans="1:49" ht="15.75">
      <c r="A304" s="1004"/>
      <c r="B304" s="1004"/>
      <c r="C304" s="1004"/>
      <c r="I304" s="1004"/>
      <c r="J304" s="1004"/>
      <c r="K304" s="1004"/>
      <c r="L304" s="777">
        <v>5</v>
      </c>
      <c r="M304" s="778"/>
      <c r="N304" s="976">
        <v>0</v>
      </c>
      <c r="O304" s="1020">
        <v>184</v>
      </c>
      <c r="P304" s="847" t="e">
        <f>VLOOKUP(N304,etat!$A$9:$N$1004,2,FALSE)</f>
        <v>#N/A</v>
      </c>
      <c r="Q304" s="797" t="e">
        <f>VLOOKUP(N304,etat!$A$9:$N$963,7,FALSE)</f>
        <v>#N/A</v>
      </c>
      <c r="R304" s="797" t="e">
        <f>VLOOKUP(N304,etat!$A$9:$N$1003,9,FALSE)</f>
        <v>#N/A</v>
      </c>
      <c r="S304" s="866" t="e">
        <f>VLOOKUP(N304,etat!$A$9:$P$905,16,FALSE)</f>
        <v>#N/A</v>
      </c>
      <c r="T304" s="755"/>
      <c r="U304" s="791"/>
      <c r="V304" s="784"/>
      <c r="W304" s="784"/>
      <c r="X304" s="784"/>
      <c r="Y304" s="1117"/>
      <c r="Z304" s="975"/>
      <c r="AA304" s="967"/>
      <c r="AB304" s="1005"/>
      <c r="AC304" s="1005"/>
      <c r="AD304" s="1005"/>
      <c r="AE304" s="1005"/>
      <c r="AF304" s="1005"/>
      <c r="AG304" s="1004"/>
      <c r="AH304" s="1004"/>
      <c r="AI304" s="1004"/>
      <c r="AJ304" s="1004"/>
      <c r="AK304" s="1004"/>
      <c r="AL304" s="1004"/>
      <c r="AM304" s="1004"/>
      <c r="AN304" s="1004"/>
      <c r="AO304" s="1004"/>
      <c r="AP304" s="1004"/>
      <c r="AQ304" s="1004"/>
      <c r="AR304" s="1004"/>
      <c r="AS304" s="1004"/>
      <c r="AT304" s="1004"/>
      <c r="AU304" s="1004"/>
      <c r="AV304" s="1004"/>
      <c r="AW304" s="1004"/>
    </row>
    <row r="305" spans="1:49" ht="15.75">
      <c r="A305" s="1004"/>
      <c r="B305" s="1004"/>
      <c r="C305" s="1004"/>
      <c r="I305" s="1004"/>
      <c r="J305" s="1004"/>
      <c r="K305" s="1004"/>
      <c r="L305" s="777">
        <v>5</v>
      </c>
      <c r="M305" s="778"/>
      <c r="N305" s="976">
        <v>0</v>
      </c>
      <c r="O305" s="1020">
        <v>185</v>
      </c>
      <c r="P305" s="847" t="e">
        <f>VLOOKUP(N305,etat!$A$9:$N$1004,2,FALSE)</f>
        <v>#N/A</v>
      </c>
      <c r="Q305" s="797" t="e">
        <f>VLOOKUP(N305,etat!$A$9:$N$963,7,FALSE)</f>
        <v>#N/A</v>
      </c>
      <c r="R305" s="797" t="e">
        <f>VLOOKUP(N305,etat!$A$9:$N$1003,9,FALSE)</f>
        <v>#N/A</v>
      </c>
      <c r="S305" s="866" t="e">
        <f>VLOOKUP(N305,etat!$A$9:$P$905,16,FALSE)</f>
        <v>#N/A</v>
      </c>
      <c r="T305" s="755"/>
      <c r="U305" s="791"/>
      <c r="V305" s="784"/>
      <c r="W305" s="784"/>
      <c r="X305" s="869"/>
      <c r="Y305" s="975"/>
      <c r="Z305" s="975"/>
      <c r="AA305" s="967"/>
      <c r="AB305" s="1005"/>
      <c r="AC305" s="1005"/>
      <c r="AD305" s="1005"/>
      <c r="AE305" s="1005"/>
      <c r="AF305" s="1005"/>
      <c r="AG305" s="1004"/>
      <c r="AH305" s="1004"/>
      <c r="AI305" s="1004"/>
      <c r="AJ305" s="1004"/>
      <c r="AK305" s="1004"/>
      <c r="AL305" s="1004"/>
      <c r="AM305" s="1004"/>
      <c r="AN305" s="1004"/>
      <c r="AO305" s="1004"/>
      <c r="AP305" s="1004"/>
      <c r="AQ305" s="1004"/>
      <c r="AR305" s="1004"/>
      <c r="AS305" s="1004"/>
      <c r="AT305" s="1004"/>
      <c r="AU305" s="1004"/>
      <c r="AV305" s="1004"/>
      <c r="AW305" s="1004"/>
    </row>
    <row r="306" spans="1:49" ht="15.75">
      <c r="A306" s="1004"/>
      <c r="B306" s="1004"/>
      <c r="C306" s="1004"/>
      <c r="I306" s="1004"/>
      <c r="J306" s="1004"/>
      <c r="K306" s="1004"/>
      <c r="L306" s="777">
        <v>5</v>
      </c>
      <c r="M306" s="778"/>
      <c r="N306" s="976">
        <v>0</v>
      </c>
      <c r="O306" s="1020">
        <v>186</v>
      </c>
      <c r="P306" s="847" t="e">
        <f>VLOOKUP(N306,etat!$A$9:$N$1004,2,FALSE)</f>
        <v>#N/A</v>
      </c>
      <c r="Q306" s="797" t="e">
        <f>VLOOKUP(N306,etat!$A$9:$N$963,7,FALSE)</f>
        <v>#N/A</v>
      </c>
      <c r="R306" s="797" t="e">
        <f>VLOOKUP(N306,etat!$A$9:$N$1003,9,FALSE)</f>
        <v>#N/A</v>
      </c>
      <c r="S306" s="866" t="e">
        <f>VLOOKUP(N306,etat!$A$9:$P$905,16,FALSE)</f>
        <v>#N/A</v>
      </c>
      <c r="T306" s="755"/>
      <c r="U306" s="791"/>
      <c r="V306" s="784"/>
      <c r="W306" s="784"/>
      <c r="X306" s="784"/>
      <c r="Y306" s="1116"/>
      <c r="Z306" s="975"/>
      <c r="AA306" s="967"/>
      <c r="AB306" s="1005"/>
      <c r="AC306" s="1005"/>
      <c r="AD306" s="1005"/>
      <c r="AE306" s="1005"/>
      <c r="AF306" s="1005"/>
      <c r="AG306" s="1004"/>
      <c r="AH306" s="1004"/>
      <c r="AI306" s="1004"/>
      <c r="AJ306" s="1004"/>
      <c r="AK306" s="1004"/>
      <c r="AL306" s="1004"/>
      <c r="AM306" s="1004"/>
      <c r="AN306" s="1004"/>
      <c r="AO306" s="1004"/>
      <c r="AP306" s="1004"/>
      <c r="AQ306" s="1004"/>
      <c r="AR306" s="1004"/>
      <c r="AS306" s="1004"/>
      <c r="AT306" s="1004"/>
      <c r="AU306" s="1004"/>
      <c r="AV306" s="1004"/>
      <c r="AW306" s="1004"/>
    </row>
    <row r="307" spans="1:49" ht="15.75">
      <c r="A307" s="1004"/>
      <c r="B307" s="1004"/>
      <c r="C307" s="1004"/>
      <c r="I307" s="1004"/>
      <c r="J307" s="1004"/>
      <c r="K307" s="1004"/>
      <c r="L307" s="777">
        <v>5</v>
      </c>
      <c r="M307" s="778"/>
      <c r="N307" s="976">
        <v>0</v>
      </c>
      <c r="O307" s="1020">
        <v>187</v>
      </c>
      <c r="P307" s="847" t="e">
        <f>VLOOKUP(N307,etat!$A$9:$N$1004,2,FALSE)</f>
        <v>#N/A</v>
      </c>
      <c r="Q307" s="797" t="e">
        <f>VLOOKUP(N307,etat!$A$9:$N$963,7,FALSE)</f>
        <v>#N/A</v>
      </c>
      <c r="R307" s="797" t="e">
        <f>VLOOKUP(N307,etat!$A$9:$N$1003,9,FALSE)</f>
        <v>#N/A</v>
      </c>
      <c r="S307" s="866" t="e">
        <f>VLOOKUP(N307,etat!$A$9:$P$905,16,FALSE)</f>
        <v>#N/A</v>
      </c>
      <c r="T307" s="755"/>
      <c r="U307" s="791"/>
      <c r="V307" s="784"/>
      <c r="W307" s="784"/>
      <c r="X307" s="784"/>
      <c r="Y307" s="1117"/>
      <c r="Z307" s="975"/>
      <c r="AA307" s="967"/>
      <c r="AB307" s="1005"/>
      <c r="AC307" s="1005"/>
      <c r="AD307" s="1005"/>
      <c r="AE307" s="1005"/>
      <c r="AF307" s="1005"/>
      <c r="AG307" s="1004"/>
      <c r="AH307" s="1004"/>
      <c r="AI307" s="1004"/>
      <c r="AJ307" s="1004"/>
      <c r="AK307" s="1004"/>
      <c r="AL307" s="1004"/>
      <c r="AM307" s="1004"/>
      <c r="AN307" s="1004"/>
      <c r="AO307" s="1004"/>
      <c r="AP307" s="1004"/>
      <c r="AQ307" s="1004"/>
      <c r="AR307" s="1004"/>
      <c r="AS307" s="1004"/>
      <c r="AT307" s="1004"/>
      <c r="AU307" s="1004"/>
      <c r="AV307" s="1004"/>
      <c r="AW307" s="1004"/>
    </row>
    <row r="308" spans="1:49" ht="15.75">
      <c r="A308" s="1004"/>
      <c r="B308" s="1004"/>
      <c r="C308" s="1004"/>
      <c r="I308" s="1004"/>
      <c r="J308" s="1004"/>
      <c r="K308" s="1004"/>
      <c r="L308" s="777">
        <v>5</v>
      </c>
      <c r="M308" s="778"/>
      <c r="N308" s="976">
        <v>0</v>
      </c>
      <c r="O308" s="1020">
        <v>188</v>
      </c>
      <c r="P308" s="847" t="e">
        <f>VLOOKUP(N308,etat!$A$9:$N$1004,2,FALSE)</f>
        <v>#N/A</v>
      </c>
      <c r="Q308" s="797" t="e">
        <f>VLOOKUP(N308,etat!$A$9:$N$963,7,FALSE)</f>
        <v>#N/A</v>
      </c>
      <c r="R308" s="797" t="e">
        <f>VLOOKUP(N308,etat!$A$9:$N$1003,9,FALSE)</f>
        <v>#N/A</v>
      </c>
      <c r="S308" s="866" t="e">
        <f>VLOOKUP(N308,etat!$A$9:$P$905,16,FALSE)</f>
        <v>#N/A</v>
      </c>
      <c r="T308" s="755"/>
      <c r="U308" s="791"/>
      <c r="V308" s="784"/>
      <c r="W308" s="784"/>
      <c r="X308" s="784"/>
      <c r="Y308" s="1116"/>
      <c r="Z308" s="975"/>
      <c r="AA308" s="967"/>
      <c r="AB308" s="1005"/>
      <c r="AC308" s="1005"/>
      <c r="AD308" s="1005"/>
      <c r="AE308" s="1005"/>
      <c r="AF308" s="1005"/>
      <c r="AG308" s="1004"/>
      <c r="AH308" s="1004"/>
      <c r="AI308" s="1004"/>
      <c r="AJ308" s="1004"/>
      <c r="AK308" s="1004"/>
      <c r="AL308" s="1004"/>
      <c r="AM308" s="1004"/>
      <c r="AN308" s="1004"/>
      <c r="AO308" s="1004"/>
      <c r="AP308" s="1004"/>
      <c r="AQ308" s="1004"/>
      <c r="AR308" s="1004"/>
      <c r="AS308" s="1004"/>
      <c r="AT308" s="1004"/>
      <c r="AU308" s="1004"/>
      <c r="AV308" s="1004"/>
      <c r="AW308" s="1004"/>
    </row>
    <row r="309" spans="1:49" s="952" customFormat="1" ht="15.75">
      <c r="A309" s="1004"/>
      <c r="B309" s="1004"/>
      <c r="C309" s="1004"/>
      <c r="D309" s="166"/>
      <c r="E309" s="166"/>
      <c r="F309" s="166"/>
      <c r="G309" s="166"/>
      <c r="H309" s="166"/>
      <c r="I309" s="1004"/>
      <c r="J309" s="1004"/>
      <c r="K309" s="1004"/>
      <c r="L309" s="777">
        <v>5</v>
      </c>
      <c r="M309" s="778"/>
      <c r="N309" s="976">
        <v>0</v>
      </c>
      <c r="O309" s="1020">
        <v>189</v>
      </c>
      <c r="P309" s="847" t="e">
        <f>VLOOKUP(N309,etat!$A$9:$N$1004,2,FALSE)</f>
        <v>#N/A</v>
      </c>
      <c r="Q309" s="797" t="e">
        <f>VLOOKUP(N309,etat!$A$9:$N$963,7,FALSE)</f>
        <v>#N/A</v>
      </c>
      <c r="R309" s="797" t="e">
        <f>VLOOKUP(N309,etat!$A$9:$N$1003,9,FALSE)</f>
        <v>#N/A</v>
      </c>
      <c r="S309" s="866" t="e">
        <f>VLOOKUP(N309,etat!$A$9:$P$905,16,FALSE)</f>
        <v>#N/A</v>
      </c>
      <c r="T309" s="755"/>
      <c r="U309" s="791"/>
      <c r="V309" s="784"/>
      <c r="W309" s="784"/>
      <c r="X309" s="784"/>
      <c r="Y309" s="1116"/>
      <c r="Z309" s="975"/>
      <c r="AA309" s="967"/>
      <c r="AB309" s="1005"/>
      <c r="AC309" s="1005"/>
      <c r="AD309" s="1005"/>
      <c r="AE309" s="1005"/>
      <c r="AF309" s="1005"/>
      <c r="AG309" s="1004"/>
      <c r="AH309" s="1004"/>
      <c r="AI309" s="1004"/>
      <c r="AJ309" s="1004"/>
      <c r="AK309" s="1004"/>
      <c r="AL309" s="1004"/>
      <c r="AM309" s="1004"/>
      <c r="AN309" s="1004"/>
      <c r="AO309" s="1004"/>
      <c r="AP309" s="1004"/>
      <c r="AQ309" s="1004"/>
      <c r="AR309" s="1004"/>
      <c r="AS309" s="1004"/>
      <c r="AT309" s="1004"/>
      <c r="AU309" s="1004"/>
      <c r="AV309" s="1004"/>
      <c r="AW309" s="1004"/>
    </row>
    <row r="310" spans="1:49" ht="15.75">
      <c r="A310" s="1004"/>
      <c r="B310" s="1004"/>
      <c r="C310" s="1004"/>
      <c r="I310" s="1004"/>
      <c r="J310" s="1004"/>
      <c r="K310" s="1004"/>
      <c r="L310" s="777">
        <v>5</v>
      </c>
      <c r="M310" s="778"/>
      <c r="N310" s="976">
        <v>0</v>
      </c>
      <c r="O310" s="1020">
        <v>190</v>
      </c>
      <c r="P310" s="847" t="e">
        <f>VLOOKUP(N310,etat!$A$9:$N$1004,2,FALSE)</f>
        <v>#N/A</v>
      </c>
      <c r="Q310" s="797" t="e">
        <f>VLOOKUP(N310,etat!$A$9:$N$963,7,FALSE)</f>
        <v>#N/A</v>
      </c>
      <c r="R310" s="797" t="e">
        <f>VLOOKUP(N310,etat!$A$9:$N$1003,9,FALSE)</f>
        <v>#N/A</v>
      </c>
      <c r="S310" s="866" t="e">
        <f>VLOOKUP(N310,etat!$A$9:$P$905,16,FALSE)</f>
        <v>#N/A</v>
      </c>
      <c r="T310" s="755"/>
      <c r="U310" s="791"/>
      <c r="V310" s="784"/>
      <c r="W310" s="784"/>
      <c r="X310" s="784"/>
      <c r="Y310" s="975"/>
      <c r="Z310" s="975"/>
      <c r="AA310" s="967"/>
      <c r="AB310" s="1005"/>
      <c r="AC310" s="1005"/>
      <c r="AD310" s="1005"/>
      <c r="AE310" s="1005"/>
      <c r="AF310" s="1005"/>
      <c r="AG310" s="1004"/>
      <c r="AH310" s="1004"/>
      <c r="AI310" s="1004"/>
      <c r="AJ310" s="1004"/>
      <c r="AK310" s="1004"/>
      <c r="AL310" s="1004"/>
      <c r="AM310" s="1004"/>
      <c r="AN310" s="1004"/>
      <c r="AO310" s="1004"/>
      <c r="AP310" s="1004"/>
      <c r="AQ310" s="1004"/>
      <c r="AR310" s="1004"/>
      <c r="AS310" s="1004"/>
      <c r="AT310" s="1004"/>
      <c r="AU310" s="1004"/>
      <c r="AV310" s="1004"/>
      <c r="AW310" s="1004"/>
    </row>
    <row r="311" spans="1:49" s="952" customFormat="1" ht="15.75">
      <c r="A311" s="1004"/>
      <c r="B311" s="1004"/>
      <c r="C311" s="1004"/>
      <c r="D311" s="166"/>
      <c r="E311" s="166"/>
      <c r="F311" s="166"/>
      <c r="G311" s="166"/>
      <c r="H311" s="166"/>
      <c r="I311" s="1004"/>
      <c r="J311" s="1004"/>
      <c r="K311" s="1004"/>
      <c r="L311" s="777">
        <v>5</v>
      </c>
      <c r="M311" s="778"/>
      <c r="N311" s="976">
        <v>0</v>
      </c>
      <c r="O311" s="1020">
        <v>191</v>
      </c>
      <c r="P311" s="847" t="e">
        <f>VLOOKUP(N311,etat!$A$9:$N$1004,2,FALSE)</f>
        <v>#N/A</v>
      </c>
      <c r="Q311" s="797" t="e">
        <f>VLOOKUP(N311,etat!$A$9:$N$963,7,FALSE)</f>
        <v>#N/A</v>
      </c>
      <c r="R311" s="797" t="e">
        <f>VLOOKUP(N311,etat!$A$9:$N$1003,9,FALSE)</f>
        <v>#N/A</v>
      </c>
      <c r="S311" s="866" t="e">
        <f>VLOOKUP(N311,etat!$A$9:$P$905,16,FALSE)</f>
        <v>#N/A</v>
      </c>
      <c r="T311" s="755"/>
      <c r="U311" s="791"/>
      <c r="V311" s="784"/>
      <c r="W311" s="784"/>
      <c r="X311" s="784"/>
      <c r="Y311" s="975"/>
      <c r="Z311" s="975"/>
      <c r="AA311" s="967"/>
      <c r="AB311" s="1005"/>
      <c r="AC311" s="1005"/>
      <c r="AD311" s="1005"/>
      <c r="AE311" s="1005"/>
      <c r="AF311" s="1005"/>
      <c r="AG311" s="1004"/>
      <c r="AH311" s="1004"/>
      <c r="AI311" s="1004"/>
      <c r="AJ311" s="1004"/>
      <c r="AK311" s="1004"/>
      <c r="AL311" s="1004"/>
      <c r="AM311" s="1004"/>
      <c r="AN311" s="1004"/>
      <c r="AO311" s="1004"/>
      <c r="AP311" s="1004"/>
      <c r="AQ311" s="1004"/>
      <c r="AR311" s="1004"/>
      <c r="AS311" s="1004"/>
      <c r="AT311" s="1004"/>
      <c r="AU311" s="1004"/>
      <c r="AV311" s="1004"/>
      <c r="AW311" s="1004"/>
    </row>
    <row r="312" spans="1:49" ht="15.75">
      <c r="A312" s="1004"/>
      <c r="B312" s="1004"/>
      <c r="C312" s="1004"/>
      <c r="I312" s="1004"/>
      <c r="J312" s="1004"/>
      <c r="K312" s="1004"/>
      <c r="L312" s="777">
        <v>5</v>
      </c>
      <c r="M312" s="778"/>
      <c r="N312" s="976">
        <v>0</v>
      </c>
      <c r="O312" s="1020">
        <v>192</v>
      </c>
      <c r="P312" s="847" t="e">
        <f>VLOOKUP(N312,etat!$A$9:$N$1004,2,FALSE)</f>
        <v>#N/A</v>
      </c>
      <c r="Q312" s="797" t="e">
        <f>VLOOKUP(N312,etat!$A$9:$N$963,7,FALSE)</f>
        <v>#N/A</v>
      </c>
      <c r="R312" s="797" t="e">
        <f>VLOOKUP(N312,etat!$A$9:$N$1003,9,FALSE)</f>
        <v>#N/A</v>
      </c>
      <c r="S312" s="866" t="e">
        <f>VLOOKUP(N312,etat!$A$9:$P$905,16,FALSE)</f>
        <v>#N/A</v>
      </c>
      <c r="T312" s="755"/>
      <c r="U312" s="791"/>
      <c r="V312" s="784"/>
      <c r="W312" s="784"/>
      <c r="X312" s="869"/>
      <c r="Y312" s="975"/>
      <c r="Z312" s="975"/>
      <c r="AA312" s="967"/>
      <c r="AB312" s="1005"/>
      <c r="AC312" s="1005"/>
      <c r="AD312" s="1005"/>
      <c r="AE312" s="1005"/>
      <c r="AF312" s="1005"/>
      <c r="AG312" s="1004"/>
      <c r="AH312" s="1004"/>
      <c r="AI312" s="1004"/>
      <c r="AJ312" s="1004"/>
      <c r="AK312" s="1004"/>
      <c r="AL312" s="1004"/>
      <c r="AM312" s="1004"/>
      <c r="AN312" s="1004"/>
      <c r="AO312" s="1004"/>
      <c r="AP312" s="1004"/>
      <c r="AQ312" s="1004"/>
      <c r="AR312" s="1004"/>
      <c r="AS312" s="1004"/>
      <c r="AT312" s="1004"/>
      <c r="AU312" s="1004"/>
      <c r="AV312" s="1004"/>
      <c r="AW312" s="1004"/>
    </row>
    <row r="313" spans="1:49" ht="15.75">
      <c r="A313" s="1004"/>
      <c r="B313" s="1004"/>
      <c r="C313" s="1004"/>
      <c r="I313" s="1004"/>
      <c r="J313" s="1004"/>
      <c r="K313" s="1004"/>
      <c r="L313" s="777">
        <v>5</v>
      </c>
      <c r="M313" s="778"/>
      <c r="N313" s="976">
        <v>0</v>
      </c>
      <c r="O313" s="1020">
        <v>193</v>
      </c>
      <c r="P313" s="847" t="e">
        <f>VLOOKUP(N313,etat!$A$9:$N$1004,2,FALSE)</f>
        <v>#N/A</v>
      </c>
      <c r="Q313" s="797" t="e">
        <f>VLOOKUP(N313,etat!$A$9:$N$963,7,FALSE)</f>
        <v>#N/A</v>
      </c>
      <c r="R313" s="797" t="e">
        <f>VLOOKUP(N313,etat!$A$9:$N$1003,9,FALSE)</f>
        <v>#N/A</v>
      </c>
      <c r="S313" s="866" t="e">
        <f>VLOOKUP(N313,etat!$A$9:$P$905,16,FALSE)</f>
        <v>#N/A</v>
      </c>
      <c r="T313" s="755"/>
      <c r="U313" s="791"/>
      <c r="V313" s="784"/>
      <c r="W313" s="784"/>
      <c r="X313" s="784"/>
      <c r="Y313" s="848"/>
      <c r="Z313" s="975"/>
      <c r="AA313" s="967"/>
      <c r="AB313" s="1005"/>
      <c r="AC313" s="1005"/>
      <c r="AD313" s="1005"/>
      <c r="AE313" s="1005"/>
      <c r="AF313" s="1005"/>
      <c r="AG313" s="1004"/>
      <c r="AH313" s="1004"/>
      <c r="AI313" s="1004"/>
      <c r="AJ313" s="1004"/>
      <c r="AK313" s="1004"/>
      <c r="AL313" s="1004"/>
      <c r="AM313" s="1004"/>
      <c r="AN313" s="1004"/>
      <c r="AO313" s="1004"/>
      <c r="AP313" s="1004"/>
      <c r="AQ313" s="1004"/>
      <c r="AR313" s="1004"/>
      <c r="AS313" s="1004"/>
      <c r="AT313" s="1004"/>
      <c r="AU313" s="1004"/>
      <c r="AV313" s="1004"/>
      <c r="AW313" s="1004"/>
    </row>
    <row r="314" spans="1:49" ht="15.75">
      <c r="A314" s="1004"/>
      <c r="B314" s="1004"/>
      <c r="C314" s="1004"/>
      <c r="I314" s="1004"/>
      <c r="J314" s="1004"/>
      <c r="K314" s="1004"/>
      <c r="L314" s="777">
        <v>5</v>
      </c>
      <c r="M314" s="778"/>
      <c r="N314" s="976">
        <v>0</v>
      </c>
      <c r="O314" s="1020">
        <v>194</v>
      </c>
      <c r="P314" s="847" t="e">
        <f>VLOOKUP(N314,etat!$A$9:$N$1004,2,FALSE)</f>
        <v>#N/A</v>
      </c>
      <c r="Q314" s="797" t="e">
        <f>VLOOKUP(N314,etat!$A$9:$N$963,7,FALSE)</f>
        <v>#N/A</v>
      </c>
      <c r="R314" s="797" t="e">
        <f>VLOOKUP(N314,etat!$A$9:$N$1003,9,FALSE)</f>
        <v>#N/A</v>
      </c>
      <c r="S314" s="866" t="e">
        <f>VLOOKUP(N314,etat!$A$9:$P$905,16,FALSE)</f>
        <v>#N/A</v>
      </c>
      <c r="T314" s="755"/>
      <c r="U314" s="791"/>
      <c r="V314" s="784"/>
      <c r="W314" s="784"/>
      <c r="X314" s="784"/>
      <c r="Y314" s="1116"/>
      <c r="Z314" s="967"/>
      <c r="AA314" s="967"/>
      <c r="AB314" s="1005"/>
      <c r="AC314" s="1005"/>
      <c r="AD314" s="1005"/>
      <c r="AE314" s="1005"/>
      <c r="AF314" s="1005"/>
      <c r="AG314" s="1004"/>
      <c r="AH314" s="1004"/>
      <c r="AI314" s="1004"/>
      <c r="AJ314" s="1004"/>
      <c r="AK314" s="1004"/>
      <c r="AL314" s="1004"/>
      <c r="AM314" s="1004"/>
      <c r="AN314" s="1004"/>
      <c r="AO314" s="1004"/>
      <c r="AP314" s="1004"/>
      <c r="AQ314" s="1004"/>
      <c r="AR314" s="1004"/>
      <c r="AS314" s="1004"/>
      <c r="AT314" s="1004"/>
      <c r="AU314" s="1004"/>
      <c r="AV314" s="1004"/>
      <c r="AW314" s="1004"/>
    </row>
    <row r="315" spans="1:49" ht="15.75">
      <c r="A315" s="1004"/>
      <c r="B315" s="1004"/>
      <c r="C315" s="1004"/>
      <c r="I315" s="1004"/>
      <c r="J315" s="1004"/>
      <c r="K315" s="1004"/>
      <c r="L315" s="777">
        <v>5</v>
      </c>
      <c r="M315" s="778"/>
      <c r="N315" s="976">
        <v>0</v>
      </c>
      <c r="O315" s="1020">
        <v>195</v>
      </c>
      <c r="P315" s="847" t="e">
        <f>VLOOKUP(N315,etat!$A$9:$N$1004,2,FALSE)</f>
        <v>#N/A</v>
      </c>
      <c r="Q315" s="797" t="e">
        <f>VLOOKUP(N315,etat!$A$9:$N$963,7,FALSE)</f>
        <v>#N/A</v>
      </c>
      <c r="R315" s="797" t="e">
        <f>VLOOKUP(N315,etat!$A$9:$N$1003,9,FALSE)</f>
        <v>#N/A</v>
      </c>
      <c r="S315" s="866" t="e">
        <f>VLOOKUP(N315,etat!$A$9:$P$905,16,FALSE)</f>
        <v>#N/A</v>
      </c>
      <c r="T315" s="755"/>
      <c r="U315" s="791"/>
      <c r="V315" s="784"/>
      <c r="W315" s="784"/>
      <c r="X315" s="784"/>
      <c r="Y315" s="1116"/>
      <c r="Z315" s="967"/>
      <c r="AA315" s="967"/>
      <c r="AB315" s="1005"/>
      <c r="AC315" s="1005"/>
      <c r="AD315" s="1005"/>
      <c r="AE315" s="1005"/>
      <c r="AF315" s="1005"/>
      <c r="AG315" s="1004"/>
      <c r="AH315" s="1004"/>
      <c r="AI315" s="1004"/>
      <c r="AJ315" s="1004"/>
      <c r="AK315" s="1004"/>
      <c r="AL315" s="1004"/>
      <c r="AM315" s="1004"/>
      <c r="AN315" s="1004"/>
      <c r="AO315" s="1004"/>
      <c r="AP315" s="1004"/>
      <c r="AQ315" s="1004"/>
      <c r="AR315" s="1004"/>
      <c r="AS315" s="1004"/>
      <c r="AT315" s="1004"/>
      <c r="AU315" s="1004"/>
      <c r="AV315" s="1004"/>
      <c r="AW315" s="1004"/>
    </row>
    <row r="316" spans="1:49" s="952" customFormat="1" ht="15.75">
      <c r="A316" s="1004"/>
      <c r="B316" s="1004"/>
      <c r="C316" s="1004"/>
      <c r="D316" s="166"/>
      <c r="E316" s="166"/>
      <c r="F316" s="166"/>
      <c r="G316" s="166"/>
      <c r="H316" s="166"/>
      <c r="I316" s="1004"/>
      <c r="J316" s="1004"/>
      <c r="K316" s="1004"/>
      <c r="L316" s="777">
        <v>5</v>
      </c>
      <c r="M316" s="778"/>
      <c r="N316" s="976">
        <v>0</v>
      </c>
      <c r="O316" s="1020">
        <v>196</v>
      </c>
      <c r="P316" s="847" t="e">
        <f>VLOOKUP(N316,etat!$A$9:$N$1004,2,FALSE)</f>
        <v>#N/A</v>
      </c>
      <c r="Q316" s="797" t="e">
        <f>VLOOKUP(N316,etat!$A$9:$N$963,7,FALSE)</f>
        <v>#N/A</v>
      </c>
      <c r="R316" s="797" t="e">
        <f>VLOOKUP(N316,etat!$A$9:$N$1003,9,FALSE)</f>
        <v>#N/A</v>
      </c>
      <c r="S316" s="866" t="e">
        <f>VLOOKUP(N316,etat!$A$9:$P$905,16,FALSE)</f>
        <v>#N/A</v>
      </c>
      <c r="T316" s="755"/>
      <c r="U316" s="791"/>
      <c r="V316" s="784"/>
      <c r="W316" s="784"/>
      <c r="X316" s="784"/>
      <c r="Y316" s="1116"/>
      <c r="Z316" s="967"/>
      <c r="AA316" s="967"/>
      <c r="AB316" s="1005"/>
      <c r="AC316" s="1005"/>
      <c r="AD316" s="1005"/>
      <c r="AE316" s="1005"/>
      <c r="AF316" s="1005"/>
      <c r="AG316" s="1004"/>
      <c r="AH316" s="1004"/>
      <c r="AI316" s="1004"/>
      <c r="AJ316" s="1004"/>
      <c r="AK316" s="1004"/>
      <c r="AL316" s="1004"/>
      <c r="AM316" s="1004"/>
      <c r="AN316" s="1004"/>
      <c r="AO316" s="1004"/>
      <c r="AP316" s="1004"/>
      <c r="AQ316" s="1004"/>
      <c r="AR316" s="1004"/>
      <c r="AS316" s="1004"/>
      <c r="AT316" s="1004"/>
      <c r="AU316" s="1004"/>
      <c r="AV316" s="1004"/>
      <c r="AW316" s="1004"/>
    </row>
    <row r="317" spans="1:49" ht="15.75">
      <c r="A317" s="1004"/>
      <c r="B317" s="1004"/>
      <c r="C317" s="1004"/>
      <c r="I317" s="1004"/>
      <c r="J317" s="1004"/>
      <c r="K317" s="1004"/>
      <c r="L317" s="777">
        <v>5</v>
      </c>
      <c r="M317" s="778"/>
      <c r="N317" s="976">
        <v>0</v>
      </c>
      <c r="O317" s="1020">
        <v>197</v>
      </c>
      <c r="P317" s="847" t="e">
        <f>VLOOKUP(N317,etat!$A$9:$N$1004,2,FALSE)</f>
        <v>#N/A</v>
      </c>
      <c r="Q317" s="797" t="e">
        <f>VLOOKUP(N317,etat!$A$9:$N$963,7,FALSE)</f>
        <v>#N/A</v>
      </c>
      <c r="R317" s="797" t="e">
        <f>VLOOKUP(N317,etat!$A$9:$N$1003,9,FALSE)</f>
        <v>#N/A</v>
      </c>
      <c r="S317" s="866" t="e">
        <f>VLOOKUP(N317,etat!$A$9:$P$905,16,FALSE)</f>
        <v>#N/A</v>
      </c>
      <c r="T317" s="755"/>
      <c r="U317" s="791"/>
      <c r="V317" s="784"/>
      <c r="W317" s="784"/>
      <c r="X317" s="784"/>
      <c r="Y317" s="975"/>
      <c r="Z317" s="975"/>
      <c r="AA317" s="967"/>
      <c r="AB317" s="1005"/>
      <c r="AC317" s="1005"/>
      <c r="AD317" s="1005"/>
      <c r="AE317" s="1005"/>
      <c r="AF317" s="1005"/>
      <c r="AG317" s="1004"/>
      <c r="AH317" s="1004"/>
      <c r="AI317" s="1004"/>
      <c r="AJ317" s="1004"/>
      <c r="AK317" s="1004"/>
      <c r="AL317" s="1004"/>
      <c r="AM317" s="1004"/>
      <c r="AN317" s="1004"/>
      <c r="AO317" s="1004"/>
      <c r="AP317" s="1004"/>
      <c r="AQ317" s="1004"/>
      <c r="AR317" s="1004"/>
      <c r="AS317" s="1004"/>
      <c r="AT317" s="1004"/>
      <c r="AU317" s="1004"/>
      <c r="AV317" s="1004"/>
      <c r="AW317" s="1004"/>
    </row>
    <row r="318" spans="1:49" s="953" customFormat="1" ht="15.75">
      <c r="A318" s="1004"/>
      <c r="B318" s="1004"/>
      <c r="C318" s="1004"/>
      <c r="D318" s="166"/>
      <c r="E318" s="166"/>
      <c r="F318" s="166"/>
      <c r="G318" s="166"/>
      <c r="H318" s="166"/>
      <c r="I318" s="1004"/>
      <c r="J318" s="1004"/>
      <c r="K318" s="1004"/>
      <c r="L318" s="777">
        <v>5</v>
      </c>
      <c r="M318" s="778"/>
      <c r="N318" s="976">
        <v>0</v>
      </c>
      <c r="O318" s="1020">
        <v>198</v>
      </c>
      <c r="P318" s="847" t="e">
        <f>VLOOKUP(N318,etat!$A$9:$N$1004,2,FALSE)</f>
        <v>#N/A</v>
      </c>
      <c r="Q318" s="797" t="e">
        <f>VLOOKUP(N318,etat!$A$9:$N$963,7,FALSE)</f>
        <v>#N/A</v>
      </c>
      <c r="R318" s="797" t="e">
        <f>VLOOKUP(N318,etat!$A$9:$N$1003,9,FALSE)</f>
        <v>#N/A</v>
      </c>
      <c r="S318" s="866" t="e">
        <f>VLOOKUP(N318,etat!$A$9:$P$905,16,FALSE)</f>
        <v>#N/A</v>
      </c>
      <c r="T318" s="755"/>
      <c r="U318" s="791"/>
      <c r="V318" s="784"/>
      <c r="W318" s="784"/>
      <c r="X318" s="784"/>
      <c r="Y318" s="1116"/>
      <c r="Z318" s="967"/>
      <c r="AA318" s="967"/>
      <c r="AB318" s="1005"/>
      <c r="AC318" s="1005"/>
      <c r="AD318" s="1005"/>
      <c r="AE318" s="1005"/>
      <c r="AF318" s="1005"/>
      <c r="AG318" s="1004"/>
      <c r="AH318" s="1004"/>
      <c r="AI318" s="1004"/>
      <c r="AJ318" s="1004"/>
      <c r="AK318" s="1004"/>
      <c r="AL318" s="1004"/>
      <c r="AM318" s="1004"/>
      <c r="AN318" s="1004"/>
      <c r="AO318" s="1004"/>
      <c r="AP318" s="1004"/>
      <c r="AQ318" s="1004"/>
      <c r="AR318" s="1004"/>
      <c r="AS318" s="1004"/>
      <c r="AT318" s="1004"/>
      <c r="AU318" s="1004"/>
      <c r="AV318" s="1004"/>
      <c r="AW318" s="1004"/>
    </row>
    <row r="319" spans="1:49" s="953" customFormat="1" ht="15.75">
      <c r="A319" s="1004"/>
      <c r="B319" s="1004"/>
      <c r="C319" s="1004"/>
      <c r="D319" s="166"/>
      <c r="E319" s="166"/>
      <c r="F319" s="166"/>
      <c r="G319" s="166"/>
      <c r="H319" s="166"/>
      <c r="I319" s="1004"/>
      <c r="J319" s="1004"/>
      <c r="K319" s="1004"/>
      <c r="L319" s="777">
        <v>5</v>
      </c>
      <c r="M319" s="778"/>
      <c r="N319" s="976">
        <v>0</v>
      </c>
      <c r="O319" s="1020">
        <v>199</v>
      </c>
      <c r="P319" s="847" t="e">
        <f>VLOOKUP(N319,etat!$A$9:$N$1004,2,FALSE)</f>
        <v>#N/A</v>
      </c>
      <c r="Q319" s="797" t="e">
        <f>VLOOKUP(N319,etat!$A$9:$N$963,7,FALSE)</f>
        <v>#N/A</v>
      </c>
      <c r="R319" s="797" t="e">
        <f>VLOOKUP(N319,etat!$A$9:$N$1003,9,FALSE)</f>
        <v>#N/A</v>
      </c>
      <c r="S319" s="866" t="e">
        <f>VLOOKUP(N319,etat!$A$9:$P$905,16,FALSE)</f>
        <v>#N/A</v>
      </c>
      <c r="T319" s="755"/>
      <c r="U319" s="791"/>
      <c r="V319" s="784"/>
      <c r="W319" s="784"/>
      <c r="X319" s="784"/>
      <c r="Y319" s="975"/>
      <c r="Z319" s="975"/>
      <c r="AA319" s="967"/>
      <c r="AB319" s="1005"/>
      <c r="AC319" s="1005"/>
      <c r="AD319" s="1005"/>
      <c r="AE319" s="1005"/>
      <c r="AF319" s="1005"/>
      <c r="AG319" s="1004"/>
      <c r="AH319" s="1004"/>
      <c r="AI319" s="1004"/>
      <c r="AJ319" s="1004"/>
      <c r="AK319" s="1004"/>
      <c r="AL319" s="1004"/>
      <c r="AM319" s="1004"/>
      <c r="AN319" s="1004"/>
      <c r="AO319" s="1004"/>
      <c r="AP319" s="1004"/>
      <c r="AQ319" s="1004"/>
      <c r="AR319" s="1004"/>
      <c r="AS319" s="1004"/>
      <c r="AT319" s="1004"/>
      <c r="AU319" s="1004"/>
      <c r="AV319" s="1004"/>
      <c r="AW319" s="1004"/>
    </row>
    <row r="320" spans="1:49" ht="15.75">
      <c r="A320" s="1004"/>
      <c r="B320" s="1004"/>
      <c r="C320" s="1004"/>
      <c r="I320" s="1004"/>
      <c r="J320" s="1004"/>
      <c r="K320" s="1004"/>
      <c r="L320" s="777">
        <v>5</v>
      </c>
      <c r="M320" s="778"/>
      <c r="N320" s="976">
        <v>0</v>
      </c>
      <c r="O320" s="1020">
        <v>200</v>
      </c>
      <c r="P320" s="847" t="e">
        <f>VLOOKUP(N320,etat!$A$9:$N$1004,2,FALSE)</f>
        <v>#N/A</v>
      </c>
      <c r="Q320" s="797" t="e">
        <f>VLOOKUP(N320,etat!$A$9:$N$963,7,FALSE)</f>
        <v>#N/A</v>
      </c>
      <c r="R320" s="797" t="e">
        <f>VLOOKUP(N320,etat!$A$9:$N$1003,9,FALSE)</f>
        <v>#N/A</v>
      </c>
      <c r="S320" s="866" t="e">
        <f>VLOOKUP(N320,etat!$A$9:$P$905,16,FALSE)</f>
        <v>#N/A</v>
      </c>
      <c r="T320" s="755"/>
      <c r="U320" s="791"/>
      <c r="V320" s="784"/>
      <c r="W320" s="784"/>
      <c r="X320" s="784"/>
      <c r="Y320" s="1116"/>
      <c r="Z320" s="967"/>
      <c r="AA320" s="967"/>
      <c r="AB320" s="1005"/>
      <c r="AC320" s="1005"/>
      <c r="AD320" s="1005"/>
      <c r="AE320" s="1005"/>
      <c r="AF320" s="1005"/>
      <c r="AG320" s="1004"/>
      <c r="AH320" s="1004"/>
      <c r="AI320" s="1004"/>
      <c r="AJ320" s="1004"/>
      <c r="AK320" s="1004"/>
      <c r="AL320" s="1004"/>
      <c r="AM320" s="1004"/>
      <c r="AN320" s="1004"/>
      <c r="AO320" s="1004"/>
      <c r="AP320" s="1004"/>
      <c r="AQ320" s="1004"/>
      <c r="AR320" s="1004"/>
      <c r="AS320" s="1004"/>
      <c r="AT320" s="1004"/>
      <c r="AU320" s="1004"/>
      <c r="AV320" s="1004"/>
      <c r="AW320" s="1004"/>
    </row>
    <row r="321" spans="1:49" ht="15.75">
      <c r="A321" s="1004"/>
      <c r="B321" s="1004"/>
      <c r="C321" s="1004"/>
      <c r="I321" s="1004"/>
      <c r="J321" s="1004"/>
      <c r="K321" s="1004"/>
      <c r="L321" s="777">
        <v>5</v>
      </c>
      <c r="M321" s="778"/>
      <c r="N321" s="976">
        <v>0</v>
      </c>
      <c r="O321" s="1020">
        <v>201</v>
      </c>
      <c r="P321" s="847" t="e">
        <f>VLOOKUP(N321,etat!$A$9:$N$1004,2,FALSE)</f>
        <v>#N/A</v>
      </c>
      <c r="Q321" s="797" t="e">
        <f>VLOOKUP(N321,etat!$A$9:$N$963,7,FALSE)</f>
        <v>#N/A</v>
      </c>
      <c r="R321" s="797" t="e">
        <f>VLOOKUP(N321,etat!$A$9:$N$1003,9,FALSE)</f>
        <v>#N/A</v>
      </c>
      <c r="S321" s="866" t="e">
        <f>VLOOKUP(N321,etat!$A$9:$P$905,16,FALSE)</f>
        <v>#N/A</v>
      </c>
      <c r="T321" s="755"/>
      <c r="U321" s="791"/>
      <c r="V321" s="784"/>
      <c r="W321" s="784"/>
      <c r="X321" s="784"/>
      <c r="Y321" s="1116"/>
      <c r="Z321" s="975"/>
      <c r="AA321" s="967"/>
      <c r="AB321" s="1005"/>
      <c r="AC321" s="1005"/>
      <c r="AD321" s="1005"/>
      <c r="AE321" s="1005"/>
      <c r="AF321" s="1005"/>
      <c r="AG321" s="1004"/>
      <c r="AH321" s="1004"/>
      <c r="AI321" s="1004"/>
      <c r="AJ321" s="1004"/>
      <c r="AK321" s="1004"/>
      <c r="AL321" s="1004"/>
      <c r="AM321" s="1004"/>
      <c r="AN321" s="1004"/>
      <c r="AO321" s="1004"/>
      <c r="AP321" s="1004"/>
      <c r="AQ321" s="1004"/>
      <c r="AR321" s="1004"/>
      <c r="AS321" s="1004"/>
      <c r="AT321" s="1004"/>
      <c r="AU321" s="1004"/>
      <c r="AV321" s="1004"/>
      <c r="AW321" s="1004"/>
    </row>
    <row r="322" spans="1:49" ht="15.75">
      <c r="A322" s="1004"/>
      <c r="B322" s="1004"/>
      <c r="C322" s="1004"/>
      <c r="I322" s="1004"/>
      <c r="J322" s="1004"/>
      <c r="K322" s="1004"/>
      <c r="L322" s="777">
        <v>5</v>
      </c>
      <c r="M322" s="778"/>
      <c r="N322" s="976">
        <v>0</v>
      </c>
      <c r="O322" s="1020">
        <v>202</v>
      </c>
      <c r="P322" s="847" t="e">
        <f>VLOOKUP(N322,etat!$A$9:$N$1004,2,FALSE)</f>
        <v>#N/A</v>
      </c>
      <c r="Q322" s="797" t="e">
        <f>VLOOKUP(N322,etat!$A$9:$N$963,7,FALSE)</f>
        <v>#N/A</v>
      </c>
      <c r="R322" s="797" t="e">
        <f>VLOOKUP(N322,etat!$A$9:$N$1003,9,FALSE)</f>
        <v>#N/A</v>
      </c>
      <c r="S322" s="866" t="e">
        <f>VLOOKUP(N322,etat!$A$9:$P$905,16,FALSE)</f>
        <v>#N/A</v>
      </c>
      <c r="T322" s="755"/>
      <c r="U322" s="791"/>
      <c r="V322" s="784"/>
      <c r="W322" s="784"/>
      <c r="X322" s="784"/>
      <c r="Y322" s="1116"/>
      <c r="Z322" s="967"/>
      <c r="AA322" s="967"/>
      <c r="AB322" s="1005"/>
      <c r="AC322" s="1005"/>
      <c r="AD322" s="1005"/>
      <c r="AE322" s="1005"/>
      <c r="AF322" s="1005"/>
      <c r="AG322" s="1004"/>
      <c r="AH322" s="1004"/>
      <c r="AI322" s="1004"/>
      <c r="AJ322" s="1004"/>
      <c r="AK322" s="1004"/>
      <c r="AL322" s="1004"/>
      <c r="AM322" s="1004"/>
      <c r="AN322" s="1004"/>
      <c r="AO322" s="1004"/>
      <c r="AP322" s="1004"/>
      <c r="AQ322" s="1004"/>
      <c r="AR322" s="1004"/>
      <c r="AS322" s="1004"/>
      <c r="AT322" s="1004"/>
      <c r="AU322" s="1004"/>
      <c r="AV322" s="1004"/>
      <c r="AW322" s="1004"/>
    </row>
    <row r="323" spans="1:49" ht="15.75">
      <c r="A323" s="1004"/>
      <c r="B323" s="1004"/>
      <c r="C323" s="1004"/>
      <c r="I323" s="1004"/>
      <c r="J323" s="1004"/>
      <c r="K323" s="1004"/>
      <c r="L323" s="777">
        <v>5</v>
      </c>
      <c r="M323" s="778"/>
      <c r="N323" s="976">
        <v>0</v>
      </c>
      <c r="O323" s="1020">
        <v>203</v>
      </c>
      <c r="P323" s="847" t="e">
        <f>VLOOKUP(N323,etat!$A$9:$N$1004,2,FALSE)</f>
        <v>#N/A</v>
      </c>
      <c r="Q323" s="797" t="e">
        <f>VLOOKUP(N323,etat!$A$9:$N$963,7,FALSE)</f>
        <v>#N/A</v>
      </c>
      <c r="R323" s="797" t="e">
        <f>VLOOKUP(N323,etat!$A$9:$N$1003,9,FALSE)</f>
        <v>#N/A</v>
      </c>
      <c r="S323" s="866" t="e">
        <f>VLOOKUP(N323,etat!$A$9:$P$905,16,FALSE)</f>
        <v>#N/A</v>
      </c>
      <c r="T323" s="755"/>
      <c r="U323" s="791"/>
      <c r="V323" s="784"/>
      <c r="W323" s="784"/>
      <c r="X323" s="784"/>
      <c r="Y323" s="1116"/>
      <c r="Z323" s="975"/>
      <c r="AA323" s="967"/>
      <c r="AB323" s="1005"/>
      <c r="AC323" s="1005"/>
      <c r="AD323" s="1005"/>
      <c r="AE323" s="1005"/>
      <c r="AF323" s="1005"/>
      <c r="AG323" s="1004"/>
      <c r="AH323" s="1004"/>
      <c r="AI323" s="1004"/>
      <c r="AJ323" s="1004"/>
      <c r="AK323" s="1004"/>
      <c r="AL323" s="1004"/>
      <c r="AM323" s="1004"/>
      <c r="AN323" s="1004"/>
      <c r="AO323" s="1004"/>
      <c r="AP323" s="1004"/>
      <c r="AQ323" s="1004"/>
      <c r="AR323" s="1004"/>
      <c r="AS323" s="1004"/>
      <c r="AT323" s="1004"/>
      <c r="AU323" s="1004"/>
      <c r="AV323" s="1004"/>
      <c r="AW323" s="1004"/>
    </row>
    <row r="324" spans="1:49" ht="15.75">
      <c r="A324" s="1004"/>
      <c r="B324" s="1004"/>
      <c r="C324" s="1004"/>
      <c r="I324" s="1004"/>
      <c r="J324" s="1004"/>
      <c r="K324" s="1004"/>
      <c r="L324" s="777">
        <v>5</v>
      </c>
      <c r="M324" s="778"/>
      <c r="N324" s="976">
        <v>0</v>
      </c>
      <c r="O324" s="1020">
        <v>204</v>
      </c>
      <c r="P324" s="847" t="e">
        <f>VLOOKUP(N324,etat!$A$9:$N$1004,2,FALSE)</f>
        <v>#N/A</v>
      </c>
      <c r="Q324" s="797" t="e">
        <f>VLOOKUP(N324,etat!$A$9:$N$963,7,FALSE)</f>
        <v>#N/A</v>
      </c>
      <c r="R324" s="797" t="e">
        <f>VLOOKUP(N324,etat!$A$9:$N$1003,9,FALSE)</f>
        <v>#N/A</v>
      </c>
      <c r="S324" s="866" t="e">
        <f>VLOOKUP(N324,etat!$A$9:$P$905,16,FALSE)</f>
        <v>#N/A</v>
      </c>
      <c r="T324" s="755"/>
      <c r="U324" s="791"/>
      <c r="V324" s="784"/>
      <c r="W324" s="784"/>
      <c r="X324" s="784"/>
      <c r="Y324" s="975"/>
      <c r="Z324" s="967"/>
      <c r="AA324" s="967"/>
      <c r="AB324" s="1005"/>
      <c r="AC324" s="1005"/>
      <c r="AD324" s="1005"/>
      <c r="AE324" s="1005"/>
      <c r="AF324" s="1005"/>
      <c r="AG324" s="1004"/>
      <c r="AH324" s="1004"/>
      <c r="AI324" s="1004"/>
      <c r="AJ324" s="1004"/>
      <c r="AK324" s="1004"/>
      <c r="AL324" s="1004"/>
      <c r="AM324" s="1004"/>
      <c r="AN324" s="1004"/>
      <c r="AO324" s="1004"/>
      <c r="AP324" s="1004"/>
      <c r="AQ324" s="1004"/>
      <c r="AR324" s="1004"/>
      <c r="AS324" s="1004"/>
      <c r="AT324" s="1004"/>
      <c r="AU324" s="1004"/>
      <c r="AV324" s="1004"/>
      <c r="AW324" s="1004"/>
    </row>
    <row r="325" spans="1:49" ht="15.75">
      <c r="A325" s="1004"/>
      <c r="B325" s="1004"/>
      <c r="C325" s="1004"/>
      <c r="I325" s="1004"/>
      <c r="J325" s="1004"/>
      <c r="K325" s="1004"/>
      <c r="L325" s="777">
        <v>5</v>
      </c>
      <c r="M325" s="778"/>
      <c r="N325" s="976">
        <v>0</v>
      </c>
      <c r="O325" s="1020">
        <v>205</v>
      </c>
      <c r="P325" s="847" t="e">
        <f>VLOOKUP(N325,etat!$A$9:$N$1004,2,FALSE)</f>
        <v>#N/A</v>
      </c>
      <c r="Q325" s="797" t="e">
        <f>VLOOKUP(N325,etat!$A$9:$N$963,7,FALSE)</f>
        <v>#N/A</v>
      </c>
      <c r="R325" s="797" t="e">
        <f>VLOOKUP(N325,etat!$A$9:$N$1003,9,FALSE)</f>
        <v>#N/A</v>
      </c>
      <c r="S325" s="866" t="e">
        <f>VLOOKUP(N325,etat!$A$9:$P$905,16,FALSE)</f>
        <v>#N/A</v>
      </c>
      <c r="T325" s="755"/>
      <c r="U325" s="791"/>
      <c r="V325" s="784"/>
      <c r="W325" s="784"/>
      <c r="X325" s="869"/>
      <c r="Y325" s="975"/>
      <c r="Z325" s="967"/>
      <c r="AA325" s="967"/>
      <c r="AB325" s="1005"/>
      <c r="AC325" s="1005"/>
      <c r="AD325" s="1005"/>
      <c r="AE325" s="1005"/>
      <c r="AF325" s="1005"/>
      <c r="AG325" s="1004"/>
      <c r="AH325" s="1004"/>
      <c r="AI325" s="1004"/>
      <c r="AJ325" s="1004"/>
      <c r="AK325" s="1004"/>
      <c r="AL325" s="1004"/>
      <c r="AM325" s="1004"/>
      <c r="AN325" s="1004"/>
      <c r="AO325" s="1004"/>
      <c r="AP325" s="1004"/>
      <c r="AQ325" s="1004"/>
      <c r="AR325" s="1004"/>
      <c r="AS325" s="1004"/>
      <c r="AT325" s="1004"/>
      <c r="AU325" s="1004"/>
      <c r="AV325" s="1004"/>
      <c r="AW325" s="1004"/>
    </row>
    <row r="326" spans="1:49" s="952" customFormat="1" ht="15.75">
      <c r="A326" s="1004"/>
      <c r="B326" s="1004"/>
      <c r="C326" s="1004"/>
      <c r="D326" s="166"/>
      <c r="E326" s="166"/>
      <c r="F326" s="166"/>
      <c r="G326" s="166"/>
      <c r="H326" s="166"/>
      <c r="I326" s="1004"/>
      <c r="J326" s="1004"/>
      <c r="K326" s="1004"/>
      <c r="L326" s="777">
        <v>5</v>
      </c>
      <c r="M326" s="778"/>
      <c r="N326" s="976">
        <v>0</v>
      </c>
      <c r="O326" s="1020">
        <v>206</v>
      </c>
      <c r="P326" s="847" t="e">
        <f>VLOOKUP(N326,etat!$A$9:$N$1004,2,FALSE)</f>
        <v>#N/A</v>
      </c>
      <c r="Q326" s="797" t="e">
        <f>VLOOKUP(N326,etat!$A$9:$N$963,7,FALSE)</f>
        <v>#N/A</v>
      </c>
      <c r="R326" s="797" t="e">
        <f>VLOOKUP(N326,etat!$A$9:$N$1003,9,FALSE)</f>
        <v>#N/A</v>
      </c>
      <c r="S326" s="866" t="e">
        <f>VLOOKUP(N326,etat!$A$9:$P$905,16,FALSE)</f>
        <v>#N/A</v>
      </c>
      <c r="T326" s="755"/>
      <c r="U326" s="791"/>
      <c r="V326" s="784"/>
      <c r="W326" s="784"/>
      <c r="X326" s="784"/>
      <c r="Y326" s="975"/>
      <c r="Z326" s="967"/>
      <c r="AA326" s="967"/>
      <c r="AB326" s="1005"/>
      <c r="AC326" s="1005"/>
      <c r="AD326" s="1005"/>
      <c r="AE326" s="1005"/>
      <c r="AF326" s="1005"/>
      <c r="AG326" s="1004"/>
      <c r="AH326" s="1004"/>
      <c r="AI326" s="1004"/>
      <c r="AJ326" s="1004"/>
      <c r="AK326" s="1004"/>
      <c r="AL326" s="1004"/>
      <c r="AM326" s="1004"/>
      <c r="AN326" s="1004"/>
      <c r="AO326" s="1004"/>
      <c r="AP326" s="1004"/>
      <c r="AQ326" s="1004"/>
      <c r="AR326" s="1004"/>
      <c r="AS326" s="1004"/>
      <c r="AT326" s="1004"/>
      <c r="AU326" s="1004"/>
      <c r="AV326" s="1004"/>
      <c r="AW326" s="1004"/>
    </row>
    <row r="327" spans="1:49" s="952" customFormat="1" ht="15.75">
      <c r="A327" s="1004"/>
      <c r="B327" s="1004"/>
      <c r="C327" s="1004"/>
      <c r="D327" s="166"/>
      <c r="E327" s="166"/>
      <c r="F327" s="166"/>
      <c r="G327" s="166"/>
      <c r="H327" s="166"/>
      <c r="I327" s="1004"/>
      <c r="J327" s="1004"/>
      <c r="K327" s="1004"/>
      <c r="L327" s="777">
        <v>5</v>
      </c>
      <c r="M327" s="778"/>
      <c r="N327" s="976">
        <v>0</v>
      </c>
      <c r="O327" s="1020">
        <v>207</v>
      </c>
      <c r="P327" s="847" t="e">
        <f>VLOOKUP(N327,etat!$A$9:$N$1004,2,FALSE)</f>
        <v>#N/A</v>
      </c>
      <c r="Q327" s="797" t="e">
        <f>VLOOKUP(N327,etat!$A$9:$N$963,7,FALSE)</f>
        <v>#N/A</v>
      </c>
      <c r="R327" s="797" t="e">
        <f>VLOOKUP(N327,etat!$A$9:$N$1003,9,FALSE)</f>
        <v>#N/A</v>
      </c>
      <c r="S327" s="866" t="e">
        <f>VLOOKUP(N327,etat!$A$9:$P$905,16,FALSE)</f>
        <v>#N/A</v>
      </c>
      <c r="T327" s="755"/>
      <c r="U327" s="791"/>
      <c r="V327" s="784"/>
      <c r="W327" s="784"/>
      <c r="X327" s="784"/>
      <c r="Y327" s="975"/>
      <c r="Z327" s="967"/>
      <c r="AA327" s="967"/>
      <c r="AB327" s="1005"/>
      <c r="AC327" s="1005"/>
      <c r="AD327" s="1005"/>
      <c r="AE327" s="1005"/>
      <c r="AF327" s="1005"/>
      <c r="AG327" s="1004"/>
      <c r="AH327" s="1004"/>
      <c r="AI327" s="1004"/>
      <c r="AJ327" s="1004"/>
      <c r="AK327" s="1004"/>
      <c r="AL327" s="1004"/>
      <c r="AM327" s="1004"/>
      <c r="AN327" s="1004"/>
      <c r="AO327" s="1004"/>
      <c r="AP327" s="1004"/>
      <c r="AQ327" s="1004"/>
      <c r="AR327" s="1004"/>
      <c r="AS327" s="1004"/>
      <c r="AT327" s="1004"/>
      <c r="AU327" s="1004"/>
      <c r="AV327" s="1004"/>
      <c r="AW327" s="1004"/>
    </row>
    <row r="328" spans="1:49" ht="15.75">
      <c r="A328" s="1004"/>
      <c r="B328" s="1004"/>
      <c r="C328" s="1004"/>
      <c r="I328" s="1004"/>
      <c r="J328" s="1004"/>
      <c r="K328" s="1004"/>
      <c r="L328" s="777">
        <v>5</v>
      </c>
      <c r="M328" s="778"/>
      <c r="N328" s="976">
        <v>0</v>
      </c>
      <c r="O328" s="1020">
        <v>208</v>
      </c>
      <c r="P328" s="847" t="e">
        <f>VLOOKUP(N328,etat!$A$9:$N$1004,2,FALSE)</f>
        <v>#N/A</v>
      </c>
      <c r="Q328" s="797" t="e">
        <f>VLOOKUP(N328,etat!$A$9:$N$963,7,FALSE)</f>
        <v>#N/A</v>
      </c>
      <c r="R328" s="797" t="e">
        <f>VLOOKUP(N328,etat!$A$9:$N$1003,9,FALSE)</f>
        <v>#N/A</v>
      </c>
      <c r="S328" s="866" t="e">
        <f>VLOOKUP(N328,etat!$A$9:$P$905,16,FALSE)</f>
        <v>#N/A</v>
      </c>
      <c r="T328" s="755"/>
      <c r="U328" s="1125"/>
      <c r="V328" s="784"/>
      <c r="W328" s="784"/>
      <c r="X328" s="784"/>
      <c r="Y328" s="975"/>
      <c r="Z328" s="975"/>
      <c r="AA328" s="967"/>
      <c r="AB328" s="1005"/>
      <c r="AC328" s="1005"/>
      <c r="AD328" s="1005"/>
      <c r="AE328" s="1005"/>
      <c r="AF328" s="1005"/>
      <c r="AG328" s="1004"/>
      <c r="AH328" s="1004"/>
      <c r="AI328" s="1004"/>
      <c r="AJ328" s="1004"/>
      <c r="AK328" s="1004"/>
      <c r="AL328" s="1004"/>
      <c r="AM328" s="1004"/>
      <c r="AN328" s="1004"/>
      <c r="AO328" s="1004"/>
      <c r="AP328" s="1004"/>
      <c r="AQ328" s="1004"/>
      <c r="AR328" s="1004"/>
      <c r="AS328" s="1004"/>
      <c r="AT328" s="1004"/>
      <c r="AU328" s="1004"/>
      <c r="AV328" s="1004"/>
      <c r="AW328" s="1004"/>
    </row>
    <row r="329" spans="1:49" ht="15.75">
      <c r="A329" s="1004"/>
      <c r="B329" s="1004"/>
      <c r="C329" s="1004"/>
      <c r="I329" s="1004"/>
      <c r="J329" s="1004"/>
      <c r="K329" s="1004"/>
      <c r="L329" s="777">
        <v>5</v>
      </c>
      <c r="M329" s="778"/>
      <c r="N329" s="976">
        <v>0</v>
      </c>
      <c r="O329" s="1020">
        <v>209</v>
      </c>
      <c r="P329" s="847" t="e">
        <f>VLOOKUP(N329,etat!$A$9:$N$1004,2,FALSE)</f>
        <v>#N/A</v>
      </c>
      <c r="Q329" s="797" t="e">
        <f>VLOOKUP(N329,etat!$A$9:$N$963,7,FALSE)</f>
        <v>#N/A</v>
      </c>
      <c r="R329" s="797" t="e">
        <f>VLOOKUP(N329,etat!$A$9:$N$1003,9,FALSE)</f>
        <v>#N/A</v>
      </c>
      <c r="S329" s="866" t="e">
        <f>VLOOKUP(N329,etat!$A$9:$P$905,16,FALSE)</f>
        <v>#N/A</v>
      </c>
      <c r="T329" s="755"/>
      <c r="U329" s="1129"/>
      <c r="V329" s="784"/>
      <c r="W329" s="784"/>
      <c r="X329" s="784"/>
      <c r="Y329" s="975"/>
      <c r="Z329" s="967"/>
      <c r="AA329" s="967"/>
      <c r="AB329" s="1005"/>
      <c r="AC329" s="1005"/>
      <c r="AD329" s="1005"/>
      <c r="AE329" s="1005"/>
      <c r="AF329" s="1005"/>
      <c r="AG329" s="1004"/>
      <c r="AH329" s="1004"/>
      <c r="AI329" s="1004"/>
      <c r="AJ329" s="1004"/>
      <c r="AK329" s="1004"/>
      <c r="AL329" s="1004"/>
      <c r="AM329" s="1004"/>
      <c r="AN329" s="1004"/>
      <c r="AO329" s="1004"/>
      <c r="AP329" s="1004"/>
      <c r="AQ329" s="1004"/>
      <c r="AR329" s="1004"/>
      <c r="AS329" s="1004"/>
      <c r="AT329" s="1004"/>
      <c r="AU329" s="1004"/>
      <c r="AV329" s="1004"/>
      <c r="AW329" s="1004"/>
    </row>
    <row r="330" spans="1:49" ht="15.75">
      <c r="A330" s="1004"/>
      <c r="B330" s="1004"/>
      <c r="C330" s="1004"/>
      <c r="I330" s="1004"/>
      <c r="J330" s="1004"/>
      <c r="K330" s="1004"/>
      <c r="L330" s="777">
        <v>5</v>
      </c>
      <c r="M330" s="778"/>
      <c r="N330" s="976">
        <v>0</v>
      </c>
      <c r="O330" s="1020">
        <v>210</v>
      </c>
      <c r="P330" s="847" t="e">
        <f>VLOOKUP(N330,etat!$A$9:$N$1004,2,FALSE)</f>
        <v>#N/A</v>
      </c>
      <c r="Q330" s="797" t="e">
        <f>VLOOKUP(N330,etat!$A$9:$N$963,7,FALSE)</f>
        <v>#N/A</v>
      </c>
      <c r="R330" s="797" t="e">
        <f>VLOOKUP(N330,etat!$A$9:$N$1003,9,FALSE)</f>
        <v>#N/A</v>
      </c>
      <c r="S330" s="866" t="e">
        <f>VLOOKUP(N330,etat!$A$9:$P$905,16,FALSE)</f>
        <v>#N/A</v>
      </c>
      <c r="T330" s="755"/>
      <c r="U330" s="791"/>
      <c r="V330" s="784"/>
      <c r="W330" s="784"/>
      <c r="X330" s="784"/>
      <c r="Y330" s="975"/>
      <c r="Z330" s="967"/>
      <c r="AA330" s="967"/>
      <c r="AB330" s="1005"/>
      <c r="AC330" s="1005"/>
      <c r="AD330" s="1005"/>
      <c r="AE330" s="1005"/>
      <c r="AF330" s="1005"/>
      <c r="AG330" s="1004"/>
      <c r="AH330" s="1004"/>
      <c r="AI330" s="1004"/>
      <c r="AJ330" s="1004"/>
      <c r="AK330" s="1004"/>
      <c r="AL330" s="1004"/>
      <c r="AM330" s="1004"/>
      <c r="AN330" s="1004"/>
      <c r="AO330" s="1004"/>
      <c r="AP330" s="1004"/>
      <c r="AQ330" s="1004"/>
      <c r="AR330" s="1004"/>
      <c r="AS330" s="1004"/>
      <c r="AT330" s="1004"/>
      <c r="AU330" s="1004"/>
      <c r="AV330" s="1004"/>
      <c r="AW330" s="1004"/>
    </row>
    <row r="331" spans="1:49" ht="15.75">
      <c r="A331" s="1004"/>
      <c r="B331" s="1004"/>
      <c r="C331" s="1004"/>
      <c r="I331" s="1004"/>
      <c r="J331" s="1004"/>
      <c r="K331" s="1004"/>
      <c r="L331" s="777">
        <v>5</v>
      </c>
      <c r="M331" s="778"/>
      <c r="N331" s="976">
        <v>0</v>
      </c>
      <c r="O331" s="1020">
        <v>211</v>
      </c>
      <c r="P331" s="847" t="e">
        <f>VLOOKUP(N331,etat!$A$9:$N$1004,2,FALSE)</f>
        <v>#N/A</v>
      </c>
      <c r="Q331" s="797" t="e">
        <f>VLOOKUP(N331,etat!$A$9:$N$963,7,FALSE)</f>
        <v>#N/A</v>
      </c>
      <c r="R331" s="797" t="e">
        <f>VLOOKUP(N331,etat!$A$9:$N$1003,9,FALSE)</f>
        <v>#N/A</v>
      </c>
      <c r="S331" s="866" t="e">
        <f>VLOOKUP(N331,etat!$A$9:$P$905,16,FALSE)</f>
        <v>#N/A</v>
      </c>
      <c r="T331" s="755"/>
      <c r="U331" s="791"/>
      <c r="V331" s="784"/>
      <c r="W331" s="784"/>
      <c r="X331" s="784"/>
      <c r="Y331" s="975"/>
      <c r="Z331" s="967"/>
      <c r="AA331" s="967"/>
      <c r="AB331" s="1005"/>
      <c r="AC331" s="1005"/>
      <c r="AD331" s="1005"/>
      <c r="AE331" s="1005"/>
      <c r="AF331" s="1005"/>
      <c r="AG331" s="1004"/>
      <c r="AH331" s="1004"/>
      <c r="AI331" s="1004"/>
      <c r="AJ331" s="1004"/>
      <c r="AK331" s="1004"/>
      <c r="AL331" s="1004"/>
      <c r="AM331" s="1004"/>
      <c r="AN331" s="1004"/>
      <c r="AO331" s="1004"/>
      <c r="AP331" s="1004"/>
      <c r="AQ331" s="1004"/>
      <c r="AR331" s="1004"/>
      <c r="AS331" s="1004"/>
      <c r="AT331" s="1004"/>
      <c r="AU331" s="1004"/>
      <c r="AV331" s="1004"/>
      <c r="AW331" s="1004"/>
    </row>
    <row r="332" spans="1:49" ht="15.75">
      <c r="A332" s="1004"/>
      <c r="B332" s="1004"/>
      <c r="C332" s="1004"/>
      <c r="I332" s="1004"/>
      <c r="J332" s="1004"/>
      <c r="K332" s="1004"/>
      <c r="L332" s="777">
        <v>5</v>
      </c>
      <c r="M332" s="778"/>
      <c r="N332" s="976">
        <v>0</v>
      </c>
      <c r="O332" s="1020">
        <v>212</v>
      </c>
      <c r="P332" s="847" t="e">
        <f>VLOOKUP(N332,etat!$A$9:$N$1004,2,FALSE)</f>
        <v>#N/A</v>
      </c>
      <c r="Q332" s="797" t="e">
        <f>VLOOKUP(N332,etat!$A$9:$N$963,7,FALSE)</f>
        <v>#N/A</v>
      </c>
      <c r="R332" s="797" t="e">
        <f>VLOOKUP(N332,etat!$A$9:$N$1003,9,FALSE)</f>
        <v>#N/A</v>
      </c>
      <c r="S332" s="866" t="e">
        <f>VLOOKUP(N332,etat!$A$9:$P$905,16,FALSE)</f>
        <v>#N/A</v>
      </c>
      <c r="T332" s="755"/>
      <c r="U332" s="791"/>
      <c r="V332" s="784"/>
      <c r="W332" s="869"/>
      <c r="X332" s="869"/>
      <c r="Y332" s="975"/>
      <c r="Z332" s="967"/>
      <c r="AA332" s="967"/>
      <c r="AB332" s="1005"/>
      <c r="AC332" s="1005"/>
      <c r="AD332" s="1005"/>
      <c r="AE332" s="1005"/>
      <c r="AF332" s="1005"/>
      <c r="AG332" s="1004"/>
      <c r="AH332" s="1004"/>
      <c r="AI332" s="1004"/>
      <c r="AJ332" s="1004"/>
      <c r="AK332" s="1004"/>
      <c r="AL332" s="1004"/>
      <c r="AM332" s="1004"/>
      <c r="AN332" s="1004"/>
      <c r="AO332" s="1004"/>
      <c r="AP332" s="1004"/>
      <c r="AQ332" s="1004"/>
      <c r="AR332" s="1004"/>
      <c r="AS332" s="1004"/>
      <c r="AT332" s="1004"/>
      <c r="AU332" s="1004"/>
      <c r="AV332" s="1004"/>
      <c r="AW332" s="1004"/>
    </row>
    <row r="333" spans="1:49" ht="15.75">
      <c r="A333" s="1004"/>
      <c r="B333" s="1004"/>
      <c r="C333" s="1004"/>
      <c r="I333" s="1004"/>
      <c r="J333" s="1004"/>
      <c r="K333" s="1004"/>
      <c r="L333" s="777">
        <v>5</v>
      </c>
      <c r="M333" s="778"/>
      <c r="N333" s="976">
        <v>0</v>
      </c>
      <c r="O333" s="1020">
        <v>213</v>
      </c>
      <c r="P333" s="847" t="e">
        <f>VLOOKUP(N333,etat!$A$9:$N$1004,2,FALSE)</f>
        <v>#N/A</v>
      </c>
      <c r="Q333" s="797" t="e">
        <f>VLOOKUP(N333,etat!$A$9:$N$963,7,FALSE)</f>
        <v>#N/A</v>
      </c>
      <c r="R333" s="797" t="e">
        <f>VLOOKUP(N333,etat!$A$9:$N$1003,9,FALSE)</f>
        <v>#N/A</v>
      </c>
      <c r="S333" s="866" t="e">
        <f>VLOOKUP(N333,etat!$A$9:$P$905,16,FALSE)</f>
        <v>#N/A</v>
      </c>
      <c r="T333" s="755"/>
      <c r="U333" s="791"/>
      <c r="V333" s="784"/>
      <c r="W333" s="784"/>
      <c r="X333" s="784"/>
      <c r="Y333" s="975"/>
      <c r="Z333" s="975"/>
      <c r="AA333" s="967"/>
      <c r="AB333" s="1005"/>
      <c r="AC333" s="1005"/>
      <c r="AD333" s="1005"/>
      <c r="AE333" s="1005"/>
      <c r="AF333" s="1005"/>
      <c r="AG333" s="1004"/>
      <c r="AH333" s="1004"/>
      <c r="AI333" s="1004"/>
      <c r="AJ333" s="1004"/>
      <c r="AK333" s="1004"/>
      <c r="AL333" s="1004"/>
      <c r="AM333" s="1004"/>
      <c r="AN333" s="1004"/>
      <c r="AO333" s="1004"/>
      <c r="AP333" s="1004"/>
      <c r="AQ333" s="1004"/>
      <c r="AR333" s="1004"/>
      <c r="AS333" s="1004"/>
      <c r="AT333" s="1004"/>
      <c r="AU333" s="1004"/>
      <c r="AV333" s="1004"/>
      <c r="AW333" s="1004"/>
    </row>
    <row r="334" spans="1:49" ht="15.75">
      <c r="A334" s="1004"/>
      <c r="B334" s="1004"/>
      <c r="C334" s="1004"/>
      <c r="I334" s="1004"/>
      <c r="J334" s="1004"/>
      <c r="K334" s="1004"/>
      <c r="L334" s="777">
        <v>5</v>
      </c>
      <c r="M334" s="778"/>
      <c r="N334" s="976">
        <v>0</v>
      </c>
      <c r="O334" s="1020">
        <v>214</v>
      </c>
      <c r="P334" s="847" t="e">
        <f>VLOOKUP(N334,etat!$A$9:$N$1004,2,FALSE)</f>
        <v>#N/A</v>
      </c>
      <c r="Q334" s="797" t="e">
        <f>VLOOKUP(N334,etat!$A$9:$N$963,7,FALSE)</f>
        <v>#N/A</v>
      </c>
      <c r="R334" s="797" t="e">
        <f>VLOOKUP(N334,etat!$A$9:$N$1003,9,FALSE)</f>
        <v>#N/A</v>
      </c>
      <c r="S334" s="866" t="e">
        <f>VLOOKUP(N334,etat!$A$9:$P$905,16,FALSE)</f>
        <v>#N/A</v>
      </c>
      <c r="T334" s="755"/>
      <c r="U334" s="791"/>
      <c r="V334" s="784"/>
      <c r="W334" s="784"/>
      <c r="X334" s="784"/>
      <c r="Y334" s="975"/>
      <c r="Z334" s="975"/>
      <c r="AA334" s="967"/>
      <c r="AB334" s="1005"/>
      <c r="AC334" s="1005"/>
      <c r="AD334" s="1005"/>
      <c r="AE334" s="1005"/>
      <c r="AF334" s="1005"/>
      <c r="AG334" s="1004"/>
      <c r="AH334" s="1004"/>
      <c r="AI334" s="1004"/>
      <c r="AJ334" s="1004"/>
      <c r="AK334" s="1004"/>
      <c r="AL334" s="1004"/>
      <c r="AM334" s="1004"/>
      <c r="AN334" s="1004"/>
      <c r="AO334" s="1004"/>
      <c r="AP334" s="1004"/>
      <c r="AQ334" s="1004"/>
      <c r="AR334" s="1004"/>
      <c r="AS334" s="1004"/>
      <c r="AT334" s="1004"/>
      <c r="AU334" s="1004"/>
      <c r="AV334" s="1004"/>
      <c r="AW334" s="1004"/>
    </row>
    <row r="335" spans="1:49" s="953" customFormat="1" ht="15.75">
      <c r="A335" s="1004"/>
      <c r="B335" s="1004"/>
      <c r="C335" s="1004"/>
      <c r="D335" s="166"/>
      <c r="E335" s="166"/>
      <c r="F335" s="166"/>
      <c r="G335" s="166"/>
      <c r="H335" s="166"/>
      <c r="I335" s="1004"/>
      <c r="J335" s="1004"/>
      <c r="K335" s="1004"/>
      <c r="L335" s="777">
        <v>5</v>
      </c>
      <c r="M335" s="778"/>
      <c r="N335" s="976">
        <v>0</v>
      </c>
      <c r="O335" s="1020">
        <v>215</v>
      </c>
      <c r="P335" s="847" t="e">
        <f>VLOOKUP(N335,etat!$A$9:$N$1004,2,FALSE)</f>
        <v>#N/A</v>
      </c>
      <c r="Q335" s="797" t="e">
        <f>VLOOKUP(N335,etat!$A$9:$N$963,7,FALSE)</f>
        <v>#N/A</v>
      </c>
      <c r="R335" s="797" t="e">
        <f>VLOOKUP(N335,etat!$A$9:$N$1003,9,FALSE)</f>
        <v>#N/A</v>
      </c>
      <c r="S335" s="866" t="e">
        <f>VLOOKUP(N335,etat!$A$9:$P$905,16,FALSE)</f>
        <v>#N/A</v>
      </c>
      <c r="T335" s="755"/>
      <c r="U335" s="791"/>
      <c r="V335" s="784"/>
      <c r="W335" s="784"/>
      <c r="X335" s="784"/>
      <c r="Y335" s="975"/>
      <c r="Z335" s="975"/>
      <c r="AA335" s="967"/>
      <c r="AB335" s="1005"/>
      <c r="AC335" s="1005"/>
      <c r="AD335" s="1005"/>
      <c r="AE335" s="1005"/>
      <c r="AF335" s="1005"/>
      <c r="AG335" s="1004"/>
      <c r="AH335" s="1004"/>
      <c r="AI335" s="1004"/>
      <c r="AJ335" s="1004"/>
      <c r="AK335" s="1004"/>
      <c r="AL335" s="1004"/>
      <c r="AM335" s="1004"/>
      <c r="AN335" s="1004"/>
      <c r="AO335" s="1004"/>
      <c r="AP335" s="1004"/>
      <c r="AQ335" s="1004"/>
      <c r="AR335" s="1004"/>
      <c r="AS335" s="1004"/>
      <c r="AT335" s="1004"/>
      <c r="AU335" s="1004"/>
      <c r="AV335" s="1004"/>
      <c r="AW335" s="1004"/>
    </row>
    <row r="336" spans="1:49" ht="15.75">
      <c r="A336" s="1004"/>
      <c r="B336" s="1004"/>
      <c r="C336" s="1004"/>
      <c r="I336" s="1004"/>
      <c r="J336" s="1004"/>
      <c r="K336" s="1004"/>
      <c r="L336" s="777">
        <v>5</v>
      </c>
      <c r="M336" s="778"/>
      <c r="N336" s="976">
        <v>0</v>
      </c>
      <c r="O336" s="1020">
        <v>216</v>
      </c>
      <c r="P336" s="847" t="e">
        <f>VLOOKUP(N336,etat!$A$9:$N$1004,2,FALSE)</f>
        <v>#N/A</v>
      </c>
      <c r="Q336" s="797" t="e">
        <f>VLOOKUP(N336,etat!$A$9:$N$963,7,FALSE)</f>
        <v>#N/A</v>
      </c>
      <c r="R336" s="797" t="e">
        <f>VLOOKUP(N336,etat!$A$9:$N$1003,9,FALSE)</f>
        <v>#N/A</v>
      </c>
      <c r="S336" s="866" t="e">
        <f>VLOOKUP(N336,etat!$A$9:$P$905,16,FALSE)</f>
        <v>#N/A</v>
      </c>
      <c r="T336" s="755"/>
      <c r="U336" s="1125"/>
      <c r="V336" s="784"/>
      <c r="W336" s="784"/>
      <c r="X336" s="869"/>
      <c r="Y336" s="975"/>
      <c r="Z336" s="975"/>
      <c r="AA336" s="967"/>
      <c r="AB336" s="1005"/>
      <c r="AC336" s="1005"/>
      <c r="AD336" s="1005"/>
      <c r="AE336" s="1005"/>
      <c r="AF336" s="1005"/>
      <c r="AG336" s="1004"/>
      <c r="AH336" s="1004"/>
      <c r="AI336" s="1004"/>
      <c r="AJ336" s="1004"/>
      <c r="AK336" s="1004"/>
      <c r="AL336" s="1004"/>
      <c r="AM336" s="1004"/>
      <c r="AN336" s="1004"/>
      <c r="AO336" s="1004"/>
      <c r="AP336" s="1004"/>
      <c r="AQ336" s="1004"/>
      <c r="AR336" s="1004"/>
      <c r="AS336" s="1004"/>
      <c r="AT336" s="1004"/>
      <c r="AU336" s="1004"/>
      <c r="AV336" s="1004"/>
      <c r="AW336" s="1004"/>
    </row>
    <row r="337" spans="1:49" s="953" customFormat="1" ht="15.75">
      <c r="A337" s="1004"/>
      <c r="B337" s="1004"/>
      <c r="C337" s="1004"/>
      <c r="D337" s="166"/>
      <c r="E337" s="166"/>
      <c r="F337" s="166"/>
      <c r="G337" s="166"/>
      <c r="H337" s="166"/>
      <c r="I337" s="1004"/>
      <c r="J337" s="1004"/>
      <c r="K337" s="1004"/>
      <c r="L337" s="777">
        <v>5</v>
      </c>
      <c r="M337" s="778"/>
      <c r="N337" s="976">
        <v>0</v>
      </c>
      <c r="O337" s="1020">
        <v>217</v>
      </c>
      <c r="P337" s="847" t="e">
        <f>VLOOKUP(N337,etat!$A$9:$N$1004,2,FALSE)</f>
        <v>#N/A</v>
      </c>
      <c r="Q337" s="797" t="e">
        <f>VLOOKUP(N337,etat!$A$9:$N$963,7,FALSE)</f>
        <v>#N/A</v>
      </c>
      <c r="R337" s="797" t="e">
        <f>VLOOKUP(N337,etat!$A$9:$N$1003,9,FALSE)</f>
        <v>#N/A</v>
      </c>
      <c r="S337" s="866" t="e">
        <f>VLOOKUP(N337,etat!$A$9:$P$905,16,FALSE)</f>
        <v>#N/A</v>
      </c>
      <c r="T337" s="755"/>
      <c r="U337" s="791"/>
      <c r="V337" s="784"/>
      <c r="W337" s="784"/>
      <c r="X337" s="869"/>
      <c r="Y337" s="975"/>
      <c r="Z337" s="975"/>
      <c r="AA337" s="967"/>
      <c r="AB337" s="1005"/>
      <c r="AC337" s="1005"/>
      <c r="AD337" s="1005"/>
      <c r="AE337" s="1005"/>
      <c r="AF337" s="1005"/>
      <c r="AG337" s="1004"/>
      <c r="AH337" s="1004"/>
      <c r="AI337" s="1004"/>
      <c r="AJ337" s="1004"/>
      <c r="AK337" s="1004"/>
      <c r="AL337" s="1004"/>
      <c r="AM337" s="1004"/>
      <c r="AN337" s="1004"/>
      <c r="AO337" s="1004"/>
      <c r="AP337" s="1004"/>
      <c r="AQ337" s="1004"/>
      <c r="AR337" s="1004"/>
      <c r="AS337" s="1004"/>
      <c r="AT337" s="1004"/>
      <c r="AU337" s="1004"/>
      <c r="AV337" s="1004"/>
      <c r="AW337" s="1004"/>
    </row>
    <row r="338" spans="1:49" s="953" customFormat="1" ht="15.75">
      <c r="A338" s="1004"/>
      <c r="B338" s="1004"/>
      <c r="C338" s="1004"/>
      <c r="D338" s="166"/>
      <c r="E338" s="166"/>
      <c r="F338" s="166"/>
      <c r="G338" s="166"/>
      <c r="H338" s="166"/>
      <c r="I338" s="1004"/>
      <c r="J338" s="1004"/>
      <c r="K338" s="1004"/>
      <c r="L338" s="777">
        <v>5</v>
      </c>
      <c r="M338" s="778"/>
      <c r="N338" s="976">
        <v>0</v>
      </c>
      <c r="O338" s="1020">
        <v>218</v>
      </c>
      <c r="P338" s="847" t="e">
        <f>VLOOKUP(N338,etat!$A$9:$N$1004,2,FALSE)</f>
        <v>#N/A</v>
      </c>
      <c r="Q338" s="797" t="e">
        <f>VLOOKUP(N338,etat!$A$9:$N$963,7,FALSE)</f>
        <v>#N/A</v>
      </c>
      <c r="R338" s="797" t="e">
        <f>VLOOKUP(N338,etat!$A$9:$N$1003,9,FALSE)</f>
        <v>#N/A</v>
      </c>
      <c r="S338" s="866" t="e">
        <f>VLOOKUP(N338,etat!$A$9:$P$905,16,FALSE)</f>
        <v>#N/A</v>
      </c>
      <c r="T338" s="755"/>
      <c r="U338" s="791"/>
      <c r="V338" s="784"/>
      <c r="W338" s="784"/>
      <c r="X338" s="869"/>
      <c r="Y338" s="975"/>
      <c r="Z338" s="967"/>
      <c r="AA338" s="967"/>
      <c r="AB338" s="1005"/>
      <c r="AC338" s="1005"/>
      <c r="AD338" s="1005"/>
      <c r="AE338" s="1005"/>
      <c r="AF338" s="1005"/>
      <c r="AG338" s="1004"/>
      <c r="AH338" s="1004"/>
      <c r="AI338" s="1004"/>
      <c r="AJ338" s="1004"/>
      <c r="AK338" s="1004"/>
      <c r="AL338" s="1004"/>
      <c r="AM338" s="1004"/>
      <c r="AN338" s="1004"/>
      <c r="AO338" s="1004"/>
      <c r="AP338" s="1004"/>
      <c r="AQ338" s="1004"/>
      <c r="AR338" s="1004"/>
      <c r="AS338" s="1004"/>
      <c r="AT338" s="1004"/>
      <c r="AU338" s="1004"/>
      <c r="AV338" s="1004"/>
      <c r="AW338" s="1004"/>
    </row>
    <row r="339" spans="1:49" ht="15.75">
      <c r="A339" s="1004"/>
      <c r="B339" s="1004"/>
      <c r="C339" s="1004"/>
      <c r="I339" s="1004"/>
      <c r="J339" s="1004"/>
      <c r="K339" s="1004"/>
      <c r="L339" s="777">
        <v>5</v>
      </c>
      <c r="M339" s="778"/>
      <c r="N339" s="976">
        <v>0</v>
      </c>
      <c r="O339" s="1020">
        <v>219</v>
      </c>
      <c r="P339" s="847" t="e">
        <f>VLOOKUP(N339,etat!$A$9:$N$1004,2,FALSE)</f>
        <v>#N/A</v>
      </c>
      <c r="Q339" s="797" t="e">
        <f>VLOOKUP(N339,etat!$A$9:$N$963,7,FALSE)</f>
        <v>#N/A</v>
      </c>
      <c r="R339" s="797" t="e">
        <f>VLOOKUP(N339,etat!$A$9:$N$1003,9,FALSE)</f>
        <v>#N/A</v>
      </c>
      <c r="S339" s="866" t="e">
        <f>VLOOKUP(N339,etat!$A$9:$P$905,16,FALSE)</f>
        <v>#N/A</v>
      </c>
      <c r="T339" s="755"/>
      <c r="U339" s="791"/>
      <c r="V339" s="784"/>
      <c r="W339" s="784"/>
      <c r="X339" s="784"/>
      <c r="Y339" s="975"/>
      <c r="Z339" s="975"/>
      <c r="AA339" s="967"/>
      <c r="AB339" s="1005"/>
      <c r="AC339" s="1005"/>
      <c r="AD339" s="1005"/>
      <c r="AE339" s="1005"/>
      <c r="AF339" s="1005"/>
      <c r="AG339" s="1004"/>
      <c r="AH339" s="1004"/>
      <c r="AI339" s="1004"/>
      <c r="AJ339" s="1004"/>
      <c r="AK339" s="1004"/>
      <c r="AL339" s="1004"/>
      <c r="AM339" s="1004"/>
      <c r="AN339" s="1004"/>
      <c r="AO339" s="1004"/>
      <c r="AP339" s="1004"/>
      <c r="AQ339" s="1004"/>
      <c r="AR339" s="1004"/>
      <c r="AS339" s="1004"/>
      <c r="AT339" s="1004"/>
      <c r="AU339" s="1004"/>
      <c r="AV339" s="1004"/>
      <c r="AW339" s="1004"/>
    </row>
    <row r="340" spans="1:49" ht="15.75">
      <c r="A340" s="1004"/>
      <c r="B340" s="1004"/>
      <c r="C340" s="1004"/>
      <c r="I340" s="1004"/>
      <c r="J340" s="1004"/>
      <c r="K340" s="1004"/>
      <c r="L340" s="777">
        <v>5</v>
      </c>
      <c r="M340" s="778"/>
      <c r="N340" s="976">
        <v>0</v>
      </c>
      <c r="O340" s="1020">
        <v>220</v>
      </c>
      <c r="P340" s="847" t="e">
        <f>VLOOKUP(N340,etat!$A$9:$N$1004,2,FALSE)</f>
        <v>#N/A</v>
      </c>
      <c r="Q340" s="797" t="e">
        <f>VLOOKUP(N340,etat!$A$9:$N$963,7,FALSE)</f>
        <v>#N/A</v>
      </c>
      <c r="R340" s="797" t="e">
        <f>VLOOKUP(N340,etat!$A$9:$N$1003,9,FALSE)</f>
        <v>#N/A</v>
      </c>
      <c r="S340" s="866" t="e">
        <f>VLOOKUP(N340,etat!$A$9:$P$905,16,FALSE)</f>
        <v>#N/A</v>
      </c>
      <c r="T340" s="755"/>
      <c r="U340" s="791"/>
      <c r="V340" s="784"/>
      <c r="W340" s="784"/>
      <c r="X340" s="869"/>
      <c r="Y340" s="975"/>
      <c r="Z340" s="975"/>
      <c r="AA340" s="967"/>
      <c r="AB340" s="1005"/>
      <c r="AC340" s="1005"/>
      <c r="AD340" s="1005"/>
      <c r="AE340" s="1005"/>
      <c r="AF340" s="1005"/>
      <c r="AG340" s="1004"/>
      <c r="AH340" s="1004"/>
      <c r="AI340" s="1004"/>
      <c r="AJ340" s="1004"/>
      <c r="AK340" s="1004"/>
      <c r="AL340" s="1004"/>
      <c r="AM340" s="1004"/>
      <c r="AN340" s="1004"/>
      <c r="AO340" s="1004"/>
      <c r="AP340" s="1004"/>
      <c r="AQ340" s="1004"/>
      <c r="AR340" s="1004"/>
      <c r="AS340" s="1004"/>
      <c r="AT340" s="1004"/>
      <c r="AU340" s="1004"/>
      <c r="AV340" s="1004"/>
      <c r="AW340" s="1004"/>
    </row>
    <row r="341" spans="1:49" ht="15.75">
      <c r="A341" s="1004"/>
      <c r="B341" s="1004"/>
      <c r="C341" s="1004"/>
      <c r="I341" s="1004"/>
      <c r="J341" s="1004"/>
      <c r="K341" s="1004"/>
      <c r="L341" s="777">
        <v>5</v>
      </c>
      <c r="M341" s="778"/>
      <c r="N341" s="976">
        <v>0</v>
      </c>
      <c r="O341" s="1020">
        <v>221</v>
      </c>
      <c r="P341" s="847" t="e">
        <f>VLOOKUP(N341,etat!$A$9:$N$1004,2,FALSE)</f>
        <v>#N/A</v>
      </c>
      <c r="Q341" s="797" t="e">
        <f>VLOOKUP(N341,etat!$A$9:$N$963,7,FALSE)</f>
        <v>#N/A</v>
      </c>
      <c r="R341" s="797" t="e">
        <f>VLOOKUP(N341,etat!$A$9:$N$1003,9,FALSE)</f>
        <v>#N/A</v>
      </c>
      <c r="S341" s="866" t="e">
        <f>VLOOKUP(N341,etat!$A$9:$P$905,16,FALSE)</f>
        <v>#N/A</v>
      </c>
      <c r="T341" s="755"/>
      <c r="U341" s="1129"/>
      <c r="V341" s="784"/>
      <c r="W341" s="784"/>
      <c r="X341" s="784"/>
      <c r="Y341" s="975"/>
      <c r="Z341" s="975"/>
      <c r="AA341" s="967"/>
      <c r="AB341" s="1005"/>
      <c r="AC341" s="1005"/>
      <c r="AD341" s="1005"/>
      <c r="AE341" s="1005"/>
      <c r="AF341" s="1005"/>
      <c r="AG341" s="1004"/>
      <c r="AH341" s="1004"/>
      <c r="AI341" s="1004"/>
      <c r="AJ341" s="1004"/>
      <c r="AK341" s="1004"/>
      <c r="AL341" s="1004"/>
      <c r="AM341" s="1004"/>
      <c r="AN341" s="1004"/>
      <c r="AO341" s="1004"/>
      <c r="AP341" s="1004"/>
      <c r="AQ341" s="1004"/>
      <c r="AR341" s="1004"/>
      <c r="AS341" s="1004"/>
      <c r="AT341" s="1004"/>
      <c r="AU341" s="1004"/>
      <c r="AV341" s="1004"/>
      <c r="AW341" s="1004"/>
    </row>
    <row r="342" spans="1:49" ht="15.75">
      <c r="A342" s="1004"/>
      <c r="B342" s="1004"/>
      <c r="C342" s="1004"/>
      <c r="I342" s="1004"/>
      <c r="J342" s="1004"/>
      <c r="K342" s="1004"/>
      <c r="L342" s="777">
        <v>5</v>
      </c>
      <c r="M342" s="778"/>
      <c r="N342" s="976">
        <v>0</v>
      </c>
      <c r="O342" s="1020">
        <v>222</v>
      </c>
      <c r="P342" s="847" t="e">
        <f>VLOOKUP(N342,etat!$A$9:$N$1004,2,FALSE)</f>
        <v>#N/A</v>
      </c>
      <c r="Q342" s="797" t="e">
        <f>VLOOKUP(N342,etat!$A$9:$N$963,7,FALSE)</f>
        <v>#N/A</v>
      </c>
      <c r="R342" s="797" t="e">
        <f>VLOOKUP(N342,etat!$A$9:$N$1003,9,FALSE)</f>
        <v>#N/A</v>
      </c>
      <c r="S342" s="866" t="e">
        <f>VLOOKUP(N342,etat!$A$9:$P$905,16,FALSE)</f>
        <v>#N/A</v>
      </c>
      <c r="T342" s="755"/>
      <c r="U342" s="791"/>
      <c r="V342" s="784"/>
      <c r="W342" s="784"/>
      <c r="X342" s="869"/>
      <c r="Y342" s="975"/>
      <c r="Z342" s="975"/>
      <c r="AA342" s="967"/>
      <c r="AB342" s="1005"/>
      <c r="AC342" s="1005"/>
      <c r="AD342" s="1005"/>
      <c r="AE342" s="1005"/>
      <c r="AF342" s="1005"/>
      <c r="AG342" s="1004"/>
      <c r="AH342" s="1004"/>
      <c r="AI342" s="1004"/>
      <c r="AJ342" s="1004"/>
      <c r="AK342" s="1004"/>
      <c r="AL342" s="1004"/>
      <c r="AM342" s="1004"/>
      <c r="AN342" s="1004"/>
      <c r="AO342" s="1004"/>
      <c r="AP342" s="1004"/>
      <c r="AQ342" s="1004"/>
      <c r="AR342" s="1004"/>
      <c r="AS342" s="1004"/>
      <c r="AT342" s="1004"/>
      <c r="AU342" s="1004"/>
      <c r="AV342" s="1004"/>
      <c r="AW342" s="1004"/>
    </row>
    <row r="343" spans="1:49" ht="15.75">
      <c r="A343" s="1004"/>
      <c r="B343" s="1004"/>
      <c r="C343" s="1004"/>
      <c r="I343" s="1004"/>
      <c r="J343" s="1004"/>
      <c r="K343" s="1004"/>
      <c r="L343" s="777">
        <v>5</v>
      </c>
      <c r="M343" s="778"/>
      <c r="N343" s="976">
        <v>0</v>
      </c>
      <c r="O343" s="1020">
        <v>223</v>
      </c>
      <c r="P343" s="847" t="e">
        <f>VLOOKUP(N343,etat!$A$9:$N$1004,2,FALSE)</f>
        <v>#N/A</v>
      </c>
      <c r="Q343" s="797" t="e">
        <f>VLOOKUP(N343,etat!$A$9:$N$963,7,FALSE)</f>
        <v>#N/A</v>
      </c>
      <c r="R343" s="797" t="e">
        <f>VLOOKUP(N343,etat!$A$9:$N$1003,9,FALSE)</f>
        <v>#N/A</v>
      </c>
      <c r="S343" s="866" t="e">
        <f>VLOOKUP(N343,etat!$A$9:$P$905,16,FALSE)</f>
        <v>#N/A</v>
      </c>
      <c r="T343" s="755"/>
      <c r="U343" s="791"/>
      <c r="V343" s="784"/>
      <c r="W343" s="784"/>
      <c r="X343" s="869"/>
      <c r="Y343" s="975"/>
      <c r="Z343" s="975"/>
      <c r="AA343" s="967"/>
      <c r="AB343" s="1005"/>
      <c r="AC343" s="1005"/>
      <c r="AD343" s="1005"/>
      <c r="AE343" s="1005"/>
      <c r="AF343" s="1005"/>
      <c r="AG343" s="1004"/>
      <c r="AH343" s="1004"/>
      <c r="AI343" s="1004"/>
      <c r="AJ343" s="1004"/>
      <c r="AK343" s="1004"/>
      <c r="AL343" s="1004"/>
      <c r="AM343" s="1004"/>
      <c r="AN343" s="1004"/>
      <c r="AO343" s="1004"/>
      <c r="AP343" s="1004"/>
      <c r="AQ343" s="1004"/>
      <c r="AR343" s="1004"/>
      <c r="AS343" s="1004"/>
      <c r="AT343" s="1004"/>
      <c r="AU343" s="1004"/>
      <c r="AV343" s="1004"/>
      <c r="AW343" s="1004"/>
    </row>
    <row r="344" spans="1:49" ht="15.75">
      <c r="A344" s="1004"/>
      <c r="B344" s="1004"/>
      <c r="C344" s="1004"/>
      <c r="I344" s="1004"/>
      <c r="J344" s="1004"/>
      <c r="K344" s="1004"/>
      <c r="L344" s="777">
        <v>5</v>
      </c>
      <c r="M344" s="778"/>
      <c r="N344" s="976">
        <v>0</v>
      </c>
      <c r="O344" s="1020">
        <v>224</v>
      </c>
      <c r="P344" s="847" t="e">
        <f>VLOOKUP(N344,etat!$A$9:$N$1004,2,FALSE)</f>
        <v>#N/A</v>
      </c>
      <c r="Q344" s="797" t="e">
        <f>VLOOKUP(N344,etat!$A$9:$N$963,7,FALSE)</f>
        <v>#N/A</v>
      </c>
      <c r="R344" s="797" t="e">
        <f>VLOOKUP(N344,etat!$A$9:$N$1003,9,FALSE)</f>
        <v>#N/A</v>
      </c>
      <c r="S344" s="866" t="e">
        <f>VLOOKUP(N344,etat!$A$9:$P$905,16,FALSE)</f>
        <v>#N/A</v>
      </c>
      <c r="T344" s="755"/>
      <c r="U344" s="791"/>
      <c r="V344" s="784"/>
      <c r="W344" s="784"/>
      <c r="X344" s="869"/>
      <c r="Y344" s="975"/>
      <c r="Z344" s="975"/>
      <c r="AA344" s="967"/>
      <c r="AB344" s="1005"/>
      <c r="AC344" s="1005"/>
      <c r="AD344" s="1005"/>
      <c r="AE344" s="1005"/>
      <c r="AF344" s="1005"/>
      <c r="AG344" s="1004"/>
      <c r="AH344" s="1004"/>
      <c r="AI344" s="1004"/>
      <c r="AJ344" s="1004"/>
      <c r="AK344" s="1004"/>
      <c r="AL344" s="1004"/>
      <c r="AM344" s="1004"/>
      <c r="AN344" s="1004"/>
      <c r="AO344" s="1004"/>
      <c r="AP344" s="1004"/>
      <c r="AQ344" s="1004"/>
      <c r="AR344" s="1004"/>
      <c r="AS344" s="1004"/>
      <c r="AT344" s="1004"/>
      <c r="AU344" s="1004"/>
      <c r="AV344" s="1004"/>
      <c r="AW344" s="1004"/>
    </row>
    <row r="345" spans="1:49" ht="15.75">
      <c r="A345" s="1004"/>
      <c r="B345" s="1004"/>
      <c r="C345" s="1004"/>
      <c r="I345" s="1004"/>
      <c r="J345" s="1004"/>
      <c r="K345" s="1004"/>
      <c r="L345" s="777">
        <v>5</v>
      </c>
      <c r="M345" s="778"/>
      <c r="N345" s="976">
        <v>0</v>
      </c>
      <c r="O345" s="1020">
        <v>225</v>
      </c>
      <c r="P345" s="847" t="e">
        <f>VLOOKUP(N345,etat!$A$9:$N$1004,2,FALSE)</f>
        <v>#N/A</v>
      </c>
      <c r="Q345" s="797" t="e">
        <f>VLOOKUP(N345,etat!$A$9:$N$963,7,FALSE)</f>
        <v>#N/A</v>
      </c>
      <c r="R345" s="797" t="e">
        <f>VLOOKUP(N345,etat!$A$9:$N$1003,9,FALSE)</f>
        <v>#N/A</v>
      </c>
      <c r="S345" s="866" t="e">
        <f>VLOOKUP(N345,etat!$A$9:$P$905,16,FALSE)</f>
        <v>#N/A</v>
      </c>
      <c r="T345" s="755"/>
      <c r="U345" s="791"/>
      <c r="V345" s="784"/>
      <c r="W345" s="784"/>
      <c r="X345" s="869"/>
      <c r="Y345" s="975"/>
      <c r="Z345" s="975"/>
      <c r="AA345" s="967"/>
      <c r="AB345" s="1005"/>
      <c r="AC345" s="1005"/>
      <c r="AD345" s="1005"/>
      <c r="AE345" s="1005"/>
      <c r="AF345" s="1005"/>
      <c r="AG345" s="1004"/>
      <c r="AH345" s="1004"/>
      <c r="AI345" s="1004"/>
      <c r="AJ345" s="1004"/>
      <c r="AK345" s="1004"/>
      <c r="AL345" s="1004"/>
      <c r="AM345" s="1004"/>
      <c r="AN345" s="1004"/>
      <c r="AO345" s="1004"/>
      <c r="AP345" s="1004"/>
      <c r="AQ345" s="1004"/>
      <c r="AR345" s="1004"/>
      <c r="AS345" s="1004"/>
      <c r="AT345" s="1004"/>
      <c r="AU345" s="1004"/>
      <c r="AV345" s="1004"/>
      <c r="AW345" s="1004"/>
    </row>
    <row r="346" spans="1:49" ht="15.75">
      <c r="A346" s="1004"/>
      <c r="B346" s="1004"/>
      <c r="C346" s="1004"/>
      <c r="I346" s="1004"/>
      <c r="J346" s="1004"/>
      <c r="K346" s="1004"/>
      <c r="L346" s="777">
        <v>5</v>
      </c>
      <c r="M346" s="778"/>
      <c r="N346" s="976">
        <v>0</v>
      </c>
      <c r="O346" s="1020">
        <v>226</v>
      </c>
      <c r="P346" s="847" t="e">
        <f>VLOOKUP(N346,etat!$A$9:$N$1004,2,FALSE)</f>
        <v>#N/A</v>
      </c>
      <c r="Q346" s="797" t="e">
        <f>VLOOKUP(N346,etat!$A$9:$N$963,7,FALSE)</f>
        <v>#N/A</v>
      </c>
      <c r="R346" s="797" t="e">
        <f>VLOOKUP(N346,etat!$A$9:$N$1003,9,FALSE)</f>
        <v>#N/A</v>
      </c>
      <c r="S346" s="866" t="e">
        <f>VLOOKUP(N346,etat!$A$9:$P$905,16,FALSE)</f>
        <v>#N/A</v>
      </c>
      <c r="T346" s="755"/>
      <c r="U346" s="791"/>
      <c r="V346" s="784"/>
      <c r="W346" s="784"/>
      <c r="X346" s="869"/>
      <c r="Y346" s="975"/>
      <c r="Z346" s="975"/>
      <c r="AA346" s="967"/>
      <c r="AB346" s="1005"/>
      <c r="AC346" s="1005"/>
      <c r="AD346" s="1005"/>
      <c r="AE346" s="1005"/>
      <c r="AF346" s="1005"/>
      <c r="AG346" s="1004"/>
      <c r="AH346" s="1004"/>
      <c r="AI346" s="1004"/>
      <c r="AJ346" s="1004"/>
      <c r="AK346" s="1004"/>
      <c r="AL346" s="1004"/>
      <c r="AM346" s="1004"/>
      <c r="AN346" s="1004"/>
      <c r="AO346" s="1004"/>
      <c r="AP346" s="1004"/>
      <c r="AQ346" s="1004"/>
      <c r="AR346" s="1004"/>
      <c r="AS346" s="1004"/>
      <c r="AT346" s="1004"/>
      <c r="AU346" s="1004"/>
      <c r="AV346" s="1004"/>
      <c r="AW346" s="1004"/>
    </row>
    <row r="347" spans="1:49" ht="15.75">
      <c r="A347" s="1004"/>
      <c r="B347" s="1004"/>
      <c r="C347" s="1004"/>
      <c r="I347" s="1004"/>
      <c r="J347" s="1004"/>
      <c r="K347" s="1004"/>
      <c r="L347" s="777">
        <v>5</v>
      </c>
      <c r="M347" s="778"/>
      <c r="N347" s="976">
        <v>0</v>
      </c>
      <c r="O347" s="1020">
        <v>227</v>
      </c>
      <c r="P347" s="847" t="e">
        <f>VLOOKUP(N347,etat!$A$9:$N$1004,2,FALSE)</f>
        <v>#N/A</v>
      </c>
      <c r="Q347" s="797" t="e">
        <f>VLOOKUP(N347,etat!$A$9:$N$963,7,FALSE)</f>
        <v>#N/A</v>
      </c>
      <c r="R347" s="797" t="e">
        <f>VLOOKUP(N347,etat!$A$9:$N$1003,9,FALSE)</f>
        <v>#N/A</v>
      </c>
      <c r="S347" s="866" t="e">
        <f>VLOOKUP(N347,etat!$A$9:$P$905,16,FALSE)</f>
        <v>#N/A</v>
      </c>
      <c r="T347" s="755"/>
      <c r="U347" s="791"/>
      <c r="V347" s="784"/>
      <c r="W347" s="784"/>
      <c r="X347" s="784"/>
      <c r="Y347" s="975"/>
      <c r="Z347" s="975"/>
      <c r="AA347" s="967"/>
      <c r="AB347" s="1005"/>
      <c r="AC347" s="1005"/>
      <c r="AD347" s="1005"/>
      <c r="AE347" s="1005"/>
      <c r="AF347" s="1005"/>
      <c r="AG347" s="1004"/>
      <c r="AH347" s="1004"/>
      <c r="AI347" s="1004"/>
      <c r="AJ347" s="1004"/>
      <c r="AK347" s="1004"/>
      <c r="AL347" s="1004"/>
      <c r="AM347" s="1004"/>
      <c r="AN347" s="1004"/>
      <c r="AO347" s="1004"/>
      <c r="AP347" s="1004"/>
      <c r="AQ347" s="1004"/>
      <c r="AR347" s="1004"/>
      <c r="AS347" s="1004"/>
      <c r="AT347" s="1004"/>
      <c r="AU347" s="1004"/>
      <c r="AV347" s="1004"/>
      <c r="AW347" s="1004"/>
    </row>
    <row r="348" spans="1:49" ht="15.75">
      <c r="A348" s="1004"/>
      <c r="B348" s="1004"/>
      <c r="C348" s="1004"/>
      <c r="I348" s="1004"/>
      <c r="J348" s="1004"/>
      <c r="K348" s="1004"/>
      <c r="L348" s="777">
        <v>5</v>
      </c>
      <c r="M348" s="778"/>
      <c r="N348" s="976">
        <v>0</v>
      </c>
      <c r="O348" s="1020">
        <v>228</v>
      </c>
      <c r="P348" s="847" t="e">
        <f>VLOOKUP(N348,etat!$A$9:$N$1004,2,FALSE)</f>
        <v>#N/A</v>
      </c>
      <c r="Q348" s="797" t="e">
        <f>VLOOKUP(N348,etat!$A$9:$N$963,7,FALSE)</f>
        <v>#N/A</v>
      </c>
      <c r="R348" s="797" t="e">
        <f>VLOOKUP(N348,etat!$A$9:$N$1003,9,FALSE)</f>
        <v>#N/A</v>
      </c>
      <c r="S348" s="866" t="e">
        <f>VLOOKUP(N348,etat!$A$9:$P$905,16,FALSE)</f>
        <v>#N/A</v>
      </c>
      <c r="T348" s="755"/>
      <c r="U348" s="791"/>
      <c r="V348" s="784"/>
      <c r="W348" s="784"/>
      <c r="X348" s="784"/>
      <c r="Y348" s="975"/>
      <c r="Z348" s="975"/>
      <c r="AA348" s="967"/>
      <c r="AB348" s="1005"/>
      <c r="AC348" s="1005"/>
      <c r="AD348" s="1005"/>
      <c r="AE348" s="1005"/>
      <c r="AF348" s="1005"/>
      <c r="AG348" s="1004"/>
      <c r="AH348" s="1004"/>
      <c r="AI348" s="1004"/>
      <c r="AJ348" s="1004"/>
      <c r="AK348" s="1004"/>
      <c r="AL348" s="1004"/>
      <c r="AM348" s="1004"/>
      <c r="AN348" s="1004"/>
      <c r="AO348" s="1004"/>
      <c r="AP348" s="1004"/>
      <c r="AQ348" s="1004"/>
      <c r="AR348" s="1004"/>
      <c r="AS348" s="1004"/>
      <c r="AT348" s="1004"/>
      <c r="AU348" s="1004"/>
      <c r="AV348" s="1004"/>
      <c r="AW348" s="1004"/>
    </row>
    <row r="349" spans="1:49" ht="15.75">
      <c r="A349" s="1004"/>
      <c r="B349" s="1004"/>
      <c r="C349" s="1004"/>
      <c r="I349" s="1004"/>
      <c r="J349" s="1004"/>
      <c r="K349" s="1004"/>
      <c r="L349" s="777">
        <v>5</v>
      </c>
      <c r="M349" s="778"/>
      <c r="N349" s="976">
        <v>0</v>
      </c>
      <c r="O349" s="1020">
        <v>229</v>
      </c>
      <c r="P349" s="847" t="e">
        <f>VLOOKUP(N349,etat!$A$9:$N$1004,2,FALSE)</f>
        <v>#N/A</v>
      </c>
      <c r="Q349" s="797" t="e">
        <f>VLOOKUP(N349,etat!$A$9:$N$963,7,FALSE)</f>
        <v>#N/A</v>
      </c>
      <c r="R349" s="797" t="e">
        <f>VLOOKUP(N349,etat!$A$9:$N$1003,9,FALSE)</f>
        <v>#N/A</v>
      </c>
      <c r="S349" s="866" t="e">
        <f>VLOOKUP(N349,etat!$A$9:$P$905,16,FALSE)</f>
        <v>#N/A</v>
      </c>
      <c r="T349" s="755"/>
      <c r="U349" s="791"/>
      <c r="V349" s="784"/>
      <c r="W349" s="784"/>
      <c r="X349" s="784"/>
      <c r="Y349" s="975"/>
      <c r="Z349" s="975"/>
      <c r="AA349" s="967"/>
      <c r="AB349" s="1005"/>
      <c r="AC349" s="1005"/>
      <c r="AD349" s="1005"/>
      <c r="AE349" s="1005"/>
      <c r="AF349" s="1005"/>
      <c r="AG349" s="1004"/>
      <c r="AH349" s="1004"/>
      <c r="AI349" s="1004"/>
      <c r="AJ349" s="1004"/>
      <c r="AK349" s="1004"/>
      <c r="AL349" s="1004"/>
      <c r="AM349" s="1004"/>
      <c r="AN349" s="1004"/>
      <c r="AO349" s="1004"/>
      <c r="AP349" s="1004"/>
      <c r="AQ349" s="1004"/>
      <c r="AR349" s="1004"/>
      <c r="AS349" s="1004"/>
      <c r="AT349" s="1004"/>
      <c r="AU349" s="1004"/>
      <c r="AV349" s="1004"/>
      <c r="AW349" s="1004"/>
    </row>
    <row r="350" spans="1:49" ht="15.75">
      <c r="A350" s="1004"/>
      <c r="B350" s="1004"/>
      <c r="C350" s="1004"/>
      <c r="I350" s="1004"/>
      <c r="J350" s="1004"/>
      <c r="K350" s="1004"/>
      <c r="L350" s="777">
        <v>5</v>
      </c>
      <c r="M350" s="778"/>
      <c r="N350" s="976">
        <v>0</v>
      </c>
      <c r="O350" s="1020">
        <v>230</v>
      </c>
      <c r="P350" s="847" t="e">
        <f>VLOOKUP(N350,etat!$A$9:$N$1004,2,FALSE)</f>
        <v>#N/A</v>
      </c>
      <c r="Q350" s="797" t="e">
        <f>VLOOKUP(N350,etat!$A$9:$N$963,7,FALSE)</f>
        <v>#N/A</v>
      </c>
      <c r="R350" s="797" t="e">
        <f>VLOOKUP(N350,etat!$A$9:$N$1003,9,FALSE)</f>
        <v>#N/A</v>
      </c>
      <c r="S350" s="866" t="e">
        <f>VLOOKUP(N350,etat!$A$9:$P$905,16,FALSE)</f>
        <v>#N/A</v>
      </c>
      <c r="T350" s="755"/>
      <c r="U350" s="791"/>
      <c r="V350" s="784"/>
      <c r="W350" s="784"/>
      <c r="X350" s="869"/>
      <c r="Y350" s="975"/>
      <c r="Z350" s="975"/>
      <c r="AA350" s="967"/>
      <c r="AB350" s="1005"/>
      <c r="AC350" s="1005"/>
      <c r="AD350" s="1005"/>
      <c r="AE350" s="1005"/>
      <c r="AF350" s="1005"/>
      <c r="AG350" s="1004"/>
      <c r="AH350" s="1004"/>
      <c r="AI350" s="1004"/>
      <c r="AJ350" s="1004"/>
      <c r="AK350" s="1004"/>
      <c r="AL350" s="1004"/>
      <c r="AM350" s="1004"/>
      <c r="AN350" s="1004"/>
      <c r="AO350" s="1004"/>
      <c r="AP350" s="1004"/>
      <c r="AQ350" s="1004"/>
      <c r="AR350" s="1004"/>
      <c r="AS350" s="1004"/>
      <c r="AT350" s="1004"/>
      <c r="AU350" s="1004"/>
      <c r="AV350" s="1004"/>
      <c r="AW350" s="1004"/>
    </row>
    <row r="351" spans="1:49" ht="15.75">
      <c r="A351" s="1004"/>
      <c r="B351" s="1004"/>
      <c r="C351" s="1004"/>
      <c r="I351" s="1004"/>
      <c r="J351" s="1004"/>
      <c r="K351" s="1004"/>
      <c r="L351" s="777">
        <v>5</v>
      </c>
      <c r="M351" s="778"/>
      <c r="N351" s="976">
        <v>0</v>
      </c>
      <c r="O351" s="1020">
        <v>231</v>
      </c>
      <c r="P351" s="847" t="e">
        <f>VLOOKUP(N351,etat!$A$9:$N$1004,2,FALSE)</f>
        <v>#N/A</v>
      </c>
      <c r="Q351" s="797" t="e">
        <f>VLOOKUP(N351,etat!$A$9:$N$963,7,FALSE)</f>
        <v>#N/A</v>
      </c>
      <c r="R351" s="797" t="e">
        <f>VLOOKUP(N351,etat!$A$9:$N$1003,9,FALSE)</f>
        <v>#N/A</v>
      </c>
      <c r="S351" s="866" t="e">
        <f>VLOOKUP(N351,etat!$A$9:$P$905,16,FALSE)</f>
        <v>#N/A</v>
      </c>
      <c r="T351" s="755"/>
      <c r="U351" s="791"/>
      <c r="V351" s="784"/>
      <c r="W351" s="869"/>
      <c r="X351" s="869"/>
      <c r="Y351" s="975"/>
      <c r="Z351" s="975"/>
      <c r="AA351" s="967"/>
      <c r="AB351" s="1005"/>
      <c r="AC351" s="1005"/>
      <c r="AD351" s="1005"/>
      <c r="AE351" s="1005"/>
      <c r="AF351" s="1005"/>
      <c r="AG351" s="1004"/>
      <c r="AH351" s="1004"/>
      <c r="AI351" s="1004"/>
      <c r="AJ351" s="1004"/>
      <c r="AK351" s="1004"/>
      <c r="AL351" s="1004"/>
      <c r="AM351" s="1004"/>
      <c r="AN351" s="1004"/>
      <c r="AO351" s="1004"/>
      <c r="AP351" s="1004"/>
      <c r="AQ351" s="1004"/>
      <c r="AR351" s="1004"/>
      <c r="AS351" s="1004"/>
      <c r="AT351" s="1004"/>
      <c r="AU351" s="1004"/>
      <c r="AV351" s="1004"/>
      <c r="AW351" s="1004"/>
    </row>
    <row r="352" spans="1:49" ht="15.75">
      <c r="A352" s="1004"/>
      <c r="B352" s="1004"/>
      <c r="C352" s="1004"/>
      <c r="I352" s="1004"/>
      <c r="J352" s="1004"/>
      <c r="K352" s="1004"/>
      <c r="L352" s="777">
        <v>5</v>
      </c>
      <c r="M352" s="778"/>
      <c r="N352" s="976">
        <v>0</v>
      </c>
      <c r="O352" s="1020">
        <v>232</v>
      </c>
      <c r="P352" s="847" t="e">
        <f>VLOOKUP(N352,etat!$A$9:$N$1004,2,FALSE)</f>
        <v>#N/A</v>
      </c>
      <c r="Q352" s="797" t="e">
        <f>VLOOKUP(N352,etat!$A$9:$N$963,7,FALSE)</f>
        <v>#N/A</v>
      </c>
      <c r="R352" s="797" t="e">
        <f>VLOOKUP(N352,etat!$A$9:$N$1003,9,FALSE)</f>
        <v>#N/A</v>
      </c>
      <c r="S352" s="866" t="e">
        <f>VLOOKUP(N352,etat!$A$9:$P$905,16,FALSE)</f>
        <v>#N/A</v>
      </c>
      <c r="T352" s="755"/>
      <c r="U352" s="791"/>
      <c r="V352" s="784"/>
      <c r="W352" s="869"/>
      <c r="X352" s="869"/>
      <c r="Y352" s="975"/>
      <c r="Z352" s="975"/>
      <c r="AA352" s="967"/>
      <c r="AB352" s="1005"/>
      <c r="AC352" s="1005"/>
      <c r="AD352" s="1005"/>
      <c r="AE352" s="1005"/>
      <c r="AF352" s="1005"/>
      <c r="AG352" s="1004"/>
      <c r="AH352" s="1004"/>
      <c r="AI352" s="1004"/>
      <c r="AJ352" s="1004"/>
      <c r="AK352" s="1004"/>
      <c r="AL352" s="1004"/>
      <c r="AM352" s="1004"/>
      <c r="AN352" s="1004"/>
      <c r="AO352" s="1004"/>
      <c r="AP352" s="1004"/>
      <c r="AQ352" s="1004"/>
      <c r="AR352" s="1004"/>
      <c r="AS352" s="1004"/>
      <c r="AT352" s="1004"/>
      <c r="AU352" s="1004"/>
      <c r="AV352" s="1004"/>
      <c r="AW352" s="1004"/>
    </row>
    <row r="353" spans="1:49" ht="15.75">
      <c r="A353" s="1004"/>
      <c r="B353" s="1004"/>
      <c r="C353" s="1004"/>
      <c r="I353" s="1004"/>
      <c r="J353" s="1004"/>
      <c r="K353" s="1004"/>
      <c r="L353" s="777">
        <v>5</v>
      </c>
      <c r="M353" s="778"/>
      <c r="N353" s="976">
        <v>0</v>
      </c>
      <c r="O353" s="1020">
        <v>233</v>
      </c>
      <c r="P353" s="847" t="e">
        <f>VLOOKUP(N353,etat!$A$9:$N$1004,2,FALSE)</f>
        <v>#N/A</v>
      </c>
      <c r="Q353" s="797" t="e">
        <f>VLOOKUP(N353,etat!$A$9:$N$963,7,FALSE)</f>
        <v>#N/A</v>
      </c>
      <c r="R353" s="797" t="e">
        <f>VLOOKUP(N353,etat!$A$9:$N$1003,9,FALSE)</f>
        <v>#N/A</v>
      </c>
      <c r="S353" s="866" t="e">
        <f>VLOOKUP(N353,etat!$A$9:$P$905,16,FALSE)</f>
        <v>#N/A</v>
      </c>
      <c r="T353" s="755"/>
      <c r="U353" s="791"/>
      <c r="V353" s="784"/>
      <c r="W353" s="784"/>
      <c r="X353" s="869"/>
      <c r="Y353" s="975"/>
      <c r="Z353" s="975"/>
      <c r="AA353" s="967"/>
      <c r="AB353" s="1005"/>
      <c r="AC353" s="1005"/>
      <c r="AD353" s="1005"/>
      <c r="AE353" s="1005"/>
      <c r="AF353" s="1005"/>
      <c r="AG353" s="1004"/>
      <c r="AH353" s="1004"/>
      <c r="AI353" s="1004"/>
      <c r="AJ353" s="1004"/>
      <c r="AK353" s="1004"/>
      <c r="AL353" s="1004"/>
      <c r="AM353" s="1004"/>
      <c r="AN353" s="1004"/>
      <c r="AO353" s="1004"/>
      <c r="AP353" s="1004"/>
      <c r="AQ353" s="1004"/>
      <c r="AR353" s="1004"/>
      <c r="AS353" s="1004"/>
      <c r="AT353" s="1004"/>
      <c r="AU353" s="1004"/>
      <c r="AV353" s="1004"/>
      <c r="AW353" s="1004"/>
    </row>
    <row r="354" spans="1:49" ht="15.75">
      <c r="A354" s="1004"/>
      <c r="B354" s="1004"/>
      <c r="C354" s="1004"/>
      <c r="I354" s="1004"/>
      <c r="J354" s="1004"/>
      <c r="K354" s="1004"/>
      <c r="L354" s="777">
        <v>5</v>
      </c>
      <c r="M354" s="778"/>
      <c r="N354" s="976">
        <v>0</v>
      </c>
      <c r="O354" s="1020">
        <v>234</v>
      </c>
      <c r="P354" s="847" t="e">
        <f>VLOOKUP(N354,etat!$A$9:$N$1004,2,FALSE)</f>
        <v>#N/A</v>
      </c>
      <c r="Q354" s="797" t="e">
        <f>VLOOKUP(N354,etat!$A$9:$N$963,7,FALSE)</f>
        <v>#N/A</v>
      </c>
      <c r="R354" s="797" t="e">
        <f>VLOOKUP(N354,etat!$A$9:$N$1003,9,FALSE)</f>
        <v>#N/A</v>
      </c>
      <c r="S354" s="866" t="e">
        <f>VLOOKUP(N354,etat!$A$9:$P$905,16,FALSE)</f>
        <v>#N/A</v>
      </c>
      <c r="T354" s="755"/>
      <c r="U354" s="791"/>
      <c r="V354" s="784"/>
      <c r="W354" s="784"/>
      <c r="X354" s="869"/>
      <c r="Y354" s="975"/>
      <c r="Z354" s="975"/>
      <c r="AA354" s="967"/>
      <c r="AB354" s="1005"/>
      <c r="AC354" s="1005"/>
      <c r="AD354" s="1005"/>
      <c r="AE354" s="1005"/>
      <c r="AF354" s="1005"/>
      <c r="AG354" s="1004"/>
      <c r="AH354" s="1004"/>
      <c r="AI354" s="1004"/>
      <c r="AJ354" s="1004"/>
      <c r="AK354" s="1004"/>
      <c r="AL354" s="1004"/>
      <c r="AM354" s="1004"/>
      <c r="AN354" s="1004"/>
      <c r="AO354" s="1004"/>
      <c r="AP354" s="1004"/>
      <c r="AQ354" s="1004"/>
      <c r="AR354" s="1004"/>
      <c r="AS354" s="1004"/>
      <c r="AT354" s="1004"/>
      <c r="AU354" s="1004"/>
      <c r="AV354" s="1004"/>
      <c r="AW354" s="1004"/>
    </row>
    <row r="355" spans="1:49" ht="15.75">
      <c r="A355" s="1004"/>
      <c r="B355" s="1004"/>
      <c r="C355" s="1004"/>
      <c r="I355" s="1004"/>
      <c r="J355" s="1004"/>
      <c r="K355" s="1004"/>
      <c r="L355" s="777">
        <v>5</v>
      </c>
      <c r="M355" s="778"/>
      <c r="N355" s="976">
        <v>0</v>
      </c>
      <c r="O355" s="1020">
        <v>235</v>
      </c>
      <c r="P355" s="847" t="e">
        <f>VLOOKUP(N355,etat!$A$9:$N$1004,2,FALSE)</f>
        <v>#N/A</v>
      </c>
      <c r="Q355" s="797" t="e">
        <f>VLOOKUP(N355,etat!$A$9:$N$963,7,FALSE)</f>
        <v>#N/A</v>
      </c>
      <c r="R355" s="797" t="e">
        <f>VLOOKUP(N355,etat!$A$9:$N$1003,9,FALSE)</f>
        <v>#N/A</v>
      </c>
      <c r="S355" s="866" t="e">
        <f>VLOOKUP(N355,etat!$A$9:$P$905,16,FALSE)</f>
        <v>#N/A</v>
      </c>
      <c r="T355" s="755"/>
      <c r="U355" s="791"/>
      <c r="V355" s="784"/>
      <c r="W355" s="784"/>
      <c r="X355" s="784"/>
      <c r="Y355" s="975"/>
      <c r="Z355" s="975"/>
      <c r="AA355" s="967"/>
      <c r="AB355" s="1005"/>
      <c r="AC355" s="1005"/>
      <c r="AD355" s="1005"/>
      <c r="AE355" s="1005"/>
      <c r="AF355" s="1005"/>
      <c r="AG355" s="1004"/>
      <c r="AH355" s="1004"/>
      <c r="AI355" s="1004"/>
      <c r="AJ355" s="1004"/>
      <c r="AK355" s="1004"/>
      <c r="AL355" s="1004"/>
      <c r="AM355" s="1004"/>
      <c r="AN355" s="1004"/>
      <c r="AO355" s="1004"/>
      <c r="AP355" s="1004"/>
      <c r="AQ355" s="1004"/>
      <c r="AR355" s="1004"/>
      <c r="AS355" s="1004"/>
      <c r="AT355" s="1004"/>
      <c r="AU355" s="1004"/>
      <c r="AV355" s="1004"/>
      <c r="AW355" s="1004"/>
    </row>
    <row r="356" spans="1:49" ht="15.75">
      <c r="A356" s="1004"/>
      <c r="B356" s="1004"/>
      <c r="C356" s="1004"/>
      <c r="I356" s="1004"/>
      <c r="J356" s="1004"/>
      <c r="K356" s="1004"/>
      <c r="L356" s="777">
        <v>5</v>
      </c>
      <c r="M356" s="778"/>
      <c r="N356" s="976">
        <v>0</v>
      </c>
      <c r="O356" s="1020">
        <v>236</v>
      </c>
      <c r="P356" s="847" t="e">
        <f>VLOOKUP(N356,etat!$A$9:$N$1004,2,FALSE)</f>
        <v>#N/A</v>
      </c>
      <c r="Q356" s="797" t="e">
        <f>VLOOKUP(N356,etat!$A$9:$N$963,7,FALSE)</f>
        <v>#N/A</v>
      </c>
      <c r="R356" s="797" t="e">
        <f>VLOOKUP(N356,etat!$A$9:$N$1003,9,FALSE)</f>
        <v>#N/A</v>
      </c>
      <c r="S356" s="866" t="e">
        <f>VLOOKUP(N356,etat!$A$9:$P$905,16,FALSE)</f>
        <v>#N/A</v>
      </c>
      <c r="T356" s="755"/>
      <c r="U356" s="791"/>
      <c r="V356" s="784"/>
      <c r="W356" s="784"/>
      <c r="X356" s="869"/>
      <c r="Y356" s="975"/>
      <c r="Z356" s="975"/>
      <c r="AA356" s="967"/>
      <c r="AB356" s="1005"/>
      <c r="AC356" s="1005"/>
      <c r="AD356" s="1005"/>
      <c r="AE356" s="1005"/>
      <c r="AF356" s="1005"/>
      <c r="AG356" s="1004"/>
      <c r="AH356" s="1004"/>
      <c r="AI356" s="1004"/>
      <c r="AJ356" s="1004"/>
      <c r="AK356" s="1004"/>
      <c r="AL356" s="1004"/>
      <c r="AM356" s="1004"/>
      <c r="AN356" s="1004"/>
      <c r="AO356" s="1004"/>
      <c r="AP356" s="1004"/>
      <c r="AQ356" s="1004"/>
      <c r="AR356" s="1004"/>
      <c r="AS356" s="1004"/>
      <c r="AT356" s="1004"/>
      <c r="AU356" s="1004"/>
      <c r="AV356" s="1004"/>
      <c r="AW356" s="1004"/>
    </row>
    <row r="357" spans="1:49" ht="15.75">
      <c r="A357" s="1004"/>
      <c r="B357" s="1004"/>
      <c r="C357" s="1004"/>
      <c r="I357" s="1004"/>
      <c r="J357" s="1004"/>
      <c r="K357" s="1004"/>
      <c r="L357" s="777">
        <v>5</v>
      </c>
      <c r="M357" s="778"/>
      <c r="N357" s="976">
        <v>0</v>
      </c>
      <c r="O357" s="1020">
        <v>237</v>
      </c>
      <c r="P357" s="847" t="e">
        <f>VLOOKUP(N357,etat!$A$9:$N$1004,2,FALSE)</f>
        <v>#N/A</v>
      </c>
      <c r="Q357" s="797" t="e">
        <f>VLOOKUP(N357,etat!$A$9:$N$963,7,FALSE)</f>
        <v>#N/A</v>
      </c>
      <c r="R357" s="797" t="e">
        <f>VLOOKUP(N357,etat!$A$9:$N$1003,9,FALSE)</f>
        <v>#N/A</v>
      </c>
      <c r="S357" s="866" t="e">
        <f>VLOOKUP(N357,etat!$A$9:$P$905,16,FALSE)</f>
        <v>#N/A</v>
      </c>
      <c r="T357" s="755"/>
      <c r="U357" s="791"/>
      <c r="V357" s="784"/>
      <c r="W357" s="784"/>
      <c r="X357" s="784"/>
      <c r="Y357" s="975"/>
      <c r="Z357" s="975"/>
      <c r="AA357" s="967"/>
      <c r="AB357" s="1005"/>
      <c r="AC357" s="1005"/>
      <c r="AD357" s="1005"/>
      <c r="AE357" s="1005"/>
      <c r="AF357" s="1005"/>
      <c r="AG357" s="1004"/>
      <c r="AH357" s="1004"/>
      <c r="AI357" s="1004"/>
      <c r="AJ357" s="1004"/>
      <c r="AK357" s="1004"/>
      <c r="AL357" s="1004"/>
      <c r="AM357" s="1004"/>
      <c r="AN357" s="1004"/>
      <c r="AO357" s="1004"/>
      <c r="AP357" s="1004"/>
      <c r="AQ357" s="1004"/>
      <c r="AR357" s="1004"/>
      <c r="AS357" s="1004"/>
      <c r="AT357" s="1004"/>
      <c r="AU357" s="1004"/>
      <c r="AV357" s="1004"/>
      <c r="AW357" s="1004"/>
    </row>
    <row r="358" spans="1:49" ht="15.75">
      <c r="A358" s="1004"/>
      <c r="B358" s="1004"/>
      <c r="C358" s="1004"/>
      <c r="I358" s="1004"/>
      <c r="J358" s="1004"/>
      <c r="K358" s="1004"/>
      <c r="L358" s="777">
        <v>5</v>
      </c>
      <c r="M358" s="778"/>
      <c r="N358" s="976">
        <v>0</v>
      </c>
      <c r="O358" s="1020">
        <v>238</v>
      </c>
      <c r="P358" s="847" t="e">
        <f>VLOOKUP(N358,etat!$A$9:$N$1004,2,FALSE)</f>
        <v>#N/A</v>
      </c>
      <c r="Q358" s="797" t="e">
        <f>VLOOKUP(N358,etat!$A$9:$N$963,7,FALSE)</f>
        <v>#N/A</v>
      </c>
      <c r="R358" s="797" t="e">
        <f>VLOOKUP(N358,etat!$A$9:$N$1003,9,FALSE)</f>
        <v>#N/A</v>
      </c>
      <c r="S358" s="866" t="e">
        <f>VLOOKUP(N358,etat!$A$9:$P$905,16,FALSE)</f>
        <v>#N/A</v>
      </c>
      <c r="T358" s="755"/>
      <c r="U358" s="791"/>
      <c r="V358" s="784"/>
      <c r="W358" s="784"/>
      <c r="X358" s="869"/>
      <c r="Y358" s="975"/>
      <c r="Z358" s="975"/>
      <c r="AA358" s="967"/>
      <c r="AB358" s="1005"/>
      <c r="AC358" s="1005"/>
      <c r="AD358" s="1005"/>
      <c r="AE358" s="1005"/>
      <c r="AF358" s="1005"/>
      <c r="AG358" s="1004"/>
      <c r="AH358" s="1004"/>
      <c r="AI358" s="1004"/>
      <c r="AJ358" s="1004"/>
      <c r="AK358" s="1004"/>
      <c r="AL358" s="1004"/>
      <c r="AM358" s="1004"/>
      <c r="AN358" s="1004"/>
      <c r="AO358" s="1004"/>
      <c r="AP358" s="1004"/>
      <c r="AQ358" s="1004"/>
      <c r="AR358" s="1004"/>
      <c r="AS358" s="1004"/>
      <c r="AT358" s="1004"/>
      <c r="AU358" s="1004"/>
      <c r="AV358" s="1004"/>
      <c r="AW358" s="1004"/>
    </row>
    <row r="359" spans="1:49" ht="15.75">
      <c r="A359" s="1004"/>
      <c r="B359" s="1004"/>
      <c r="C359" s="1004"/>
      <c r="I359" s="1004"/>
      <c r="J359" s="1004"/>
      <c r="K359" s="1004"/>
      <c r="L359" s="777">
        <v>5</v>
      </c>
      <c r="M359" s="778"/>
      <c r="N359" s="976">
        <v>0</v>
      </c>
      <c r="O359" s="1020">
        <v>239</v>
      </c>
      <c r="P359" s="847" t="e">
        <f>VLOOKUP(N359,etat!$A$9:$N$1004,2,FALSE)</f>
        <v>#N/A</v>
      </c>
      <c r="Q359" s="797" t="e">
        <f>VLOOKUP(N359,etat!$A$9:$N$963,7,FALSE)</f>
        <v>#N/A</v>
      </c>
      <c r="R359" s="797" t="e">
        <f>VLOOKUP(N359,etat!$A$9:$N$1003,9,FALSE)</f>
        <v>#N/A</v>
      </c>
      <c r="S359" s="866" t="e">
        <f>VLOOKUP(N359,etat!$A$9:$P$905,16,FALSE)</f>
        <v>#N/A</v>
      </c>
      <c r="T359" s="755"/>
      <c r="U359" s="784"/>
      <c r="V359" s="784"/>
      <c r="W359" s="784"/>
      <c r="X359" s="784"/>
      <c r="Y359" s="975"/>
      <c r="Z359" s="975"/>
      <c r="AA359" s="967"/>
      <c r="AB359" s="1005"/>
      <c r="AC359" s="1005"/>
      <c r="AD359" s="1005"/>
      <c r="AE359" s="1005"/>
      <c r="AF359" s="1005"/>
      <c r="AG359" s="1004"/>
      <c r="AH359" s="1004"/>
      <c r="AI359" s="1004"/>
      <c r="AJ359" s="1004"/>
      <c r="AK359" s="1004"/>
      <c r="AL359" s="1004"/>
      <c r="AM359" s="1004"/>
      <c r="AN359" s="1004"/>
      <c r="AO359" s="1004"/>
      <c r="AP359" s="1004"/>
      <c r="AQ359" s="1004"/>
      <c r="AR359" s="1004"/>
      <c r="AS359" s="1004"/>
      <c r="AT359" s="1004"/>
      <c r="AU359" s="1004"/>
      <c r="AV359" s="1004"/>
      <c r="AW359" s="1004"/>
    </row>
    <row r="360" spans="1:49" ht="15.75">
      <c r="A360" s="1004"/>
      <c r="B360" s="1004"/>
      <c r="C360" s="1004"/>
      <c r="I360" s="1004"/>
      <c r="J360" s="1004"/>
      <c r="K360" s="1004"/>
      <c r="L360" s="777">
        <v>5</v>
      </c>
      <c r="M360" s="778"/>
      <c r="N360" s="976">
        <v>0</v>
      </c>
      <c r="O360" s="1020">
        <v>240</v>
      </c>
      <c r="P360" s="847" t="e">
        <f>VLOOKUP(N360,etat!$A$9:$N$1004,2,FALSE)</f>
        <v>#N/A</v>
      </c>
      <c r="Q360" s="797" t="e">
        <f>VLOOKUP(N360,etat!$A$9:$N$963,7,FALSE)</f>
        <v>#N/A</v>
      </c>
      <c r="R360" s="797" t="e">
        <f>VLOOKUP(N360,etat!$A$9:$N$1003,9,FALSE)</f>
        <v>#N/A</v>
      </c>
      <c r="S360" s="866" t="e">
        <f>VLOOKUP(N360,etat!$A$9:$P$905,16,FALSE)</f>
        <v>#N/A</v>
      </c>
      <c r="T360" s="755"/>
      <c r="U360" s="784"/>
      <c r="V360" s="784"/>
      <c r="W360" s="784"/>
      <c r="X360" s="784"/>
      <c r="Y360" s="975"/>
      <c r="Z360" s="975"/>
      <c r="AA360" s="967"/>
      <c r="AB360" s="1005"/>
      <c r="AC360" s="1005"/>
      <c r="AD360" s="1005"/>
      <c r="AE360" s="1005"/>
      <c r="AF360" s="1005"/>
      <c r="AG360" s="1004"/>
      <c r="AH360" s="1004"/>
      <c r="AI360" s="1004"/>
      <c r="AJ360" s="1004"/>
      <c r="AK360" s="1004"/>
      <c r="AL360" s="1004"/>
      <c r="AM360" s="1004"/>
      <c r="AN360" s="1004"/>
      <c r="AO360" s="1004"/>
      <c r="AP360" s="1004"/>
      <c r="AQ360" s="1004"/>
      <c r="AR360" s="1004"/>
      <c r="AS360" s="1004"/>
      <c r="AT360" s="1004"/>
      <c r="AU360" s="1004"/>
      <c r="AV360" s="1004"/>
      <c r="AW360" s="1004"/>
    </row>
    <row r="361" spans="1:49" ht="15.75">
      <c r="A361" s="1004"/>
      <c r="B361" s="1004"/>
      <c r="C361" s="1004"/>
      <c r="I361" s="1004"/>
      <c r="J361" s="1004"/>
      <c r="K361" s="1004"/>
      <c r="L361" s="777">
        <v>5</v>
      </c>
      <c r="M361" s="864"/>
      <c r="N361" s="976">
        <v>0</v>
      </c>
      <c r="O361" s="1020">
        <v>241</v>
      </c>
      <c r="P361" s="847" t="e">
        <f>VLOOKUP(N361,etat!$A$9:$N$1004,2,FALSE)</f>
        <v>#N/A</v>
      </c>
      <c r="Q361" s="797" t="e">
        <f>VLOOKUP(N361,etat!$A$9:$N$963,7,FALSE)</f>
        <v>#N/A</v>
      </c>
      <c r="R361" s="797" t="e">
        <f>VLOOKUP(N361,etat!$A$9:$N$1003,9,FALSE)</f>
        <v>#N/A</v>
      </c>
      <c r="S361" s="866" t="e">
        <f>VLOOKUP(N361,etat!$A$9:$P$905,16,FALSE)</f>
        <v>#N/A</v>
      </c>
      <c r="T361" s="755"/>
      <c r="U361" s="784"/>
      <c r="V361" s="784"/>
      <c r="W361" s="784"/>
      <c r="X361" s="784"/>
      <c r="Y361" s="975"/>
      <c r="Z361" s="975"/>
      <c r="AA361" s="967"/>
      <c r="AB361" s="1005"/>
      <c r="AC361" s="1005"/>
      <c r="AD361" s="1005"/>
      <c r="AE361" s="1005"/>
      <c r="AF361" s="1005"/>
      <c r="AG361" s="1004"/>
      <c r="AH361" s="1004"/>
      <c r="AI361" s="1004"/>
      <c r="AJ361" s="1004"/>
      <c r="AK361" s="1004"/>
      <c r="AL361" s="1004"/>
      <c r="AM361" s="1004"/>
      <c r="AN361" s="1004"/>
      <c r="AO361" s="1004"/>
      <c r="AP361" s="1004"/>
      <c r="AQ361" s="1004"/>
      <c r="AR361" s="1004"/>
      <c r="AS361" s="1004"/>
      <c r="AT361" s="1004"/>
      <c r="AU361" s="1004"/>
      <c r="AV361" s="1004"/>
      <c r="AW361" s="1004"/>
    </row>
    <row r="362" spans="1:49" ht="15.75">
      <c r="A362" s="1004"/>
      <c r="B362" s="1004"/>
      <c r="C362" s="1004"/>
      <c r="I362" s="1004"/>
      <c r="J362" s="1004"/>
      <c r="K362" s="1004"/>
      <c r="L362" s="777">
        <v>5</v>
      </c>
      <c r="M362" s="864"/>
      <c r="N362" s="976">
        <v>0</v>
      </c>
      <c r="O362" s="1020">
        <v>242</v>
      </c>
      <c r="P362" s="847" t="e">
        <f>VLOOKUP(N362,etat!$A$9:$N$1004,2,FALSE)</f>
        <v>#N/A</v>
      </c>
      <c r="Q362" s="797" t="e">
        <f>VLOOKUP(N362,etat!$A$9:$N$963,7,FALSE)</f>
        <v>#N/A</v>
      </c>
      <c r="R362" s="797" t="e">
        <f>VLOOKUP(N362,etat!$A$9:$N$1003,9,FALSE)</f>
        <v>#N/A</v>
      </c>
      <c r="S362" s="866" t="e">
        <f>VLOOKUP(N362,etat!$A$9:$P$905,16,FALSE)</f>
        <v>#N/A</v>
      </c>
      <c r="T362" s="755"/>
      <c r="U362" s="784"/>
      <c r="V362" s="784"/>
      <c r="W362" s="784"/>
      <c r="X362" s="784"/>
      <c r="Y362" s="975"/>
      <c r="Z362" s="975"/>
      <c r="AA362" s="967"/>
      <c r="AB362" s="1005"/>
      <c r="AC362" s="1005"/>
      <c r="AD362" s="1005"/>
      <c r="AE362" s="1005"/>
      <c r="AF362" s="1005"/>
      <c r="AG362" s="1004"/>
      <c r="AH362" s="1004"/>
      <c r="AI362" s="1004"/>
      <c r="AJ362" s="1004"/>
      <c r="AK362" s="1004"/>
      <c r="AL362" s="1004"/>
      <c r="AM362" s="1004"/>
      <c r="AN362" s="1004"/>
      <c r="AO362" s="1004"/>
      <c r="AP362" s="1004"/>
      <c r="AQ362" s="1004"/>
      <c r="AR362" s="1004"/>
      <c r="AS362" s="1004"/>
      <c r="AT362" s="1004"/>
      <c r="AU362" s="1004"/>
      <c r="AV362" s="1004"/>
      <c r="AW362" s="1004"/>
    </row>
    <row r="363" spans="1:49" ht="15.75">
      <c r="A363" s="1004"/>
      <c r="B363" s="1004"/>
      <c r="C363" s="1004"/>
      <c r="I363" s="1004"/>
      <c r="J363" s="1004"/>
      <c r="K363" s="1004"/>
      <c r="L363" s="777">
        <v>5</v>
      </c>
      <c r="M363" s="864"/>
      <c r="N363" s="976">
        <v>0</v>
      </c>
      <c r="O363" s="1020">
        <v>243</v>
      </c>
      <c r="P363" s="847" t="e">
        <f>VLOOKUP(N363,etat!$A$9:$N$1004,2,FALSE)</f>
        <v>#N/A</v>
      </c>
      <c r="Q363" s="797" t="e">
        <f>VLOOKUP(N363,etat!$A$9:$N$963,7,FALSE)</f>
        <v>#N/A</v>
      </c>
      <c r="R363" s="797" t="e">
        <f>VLOOKUP(N363,etat!$A$9:$N$1003,9,FALSE)</f>
        <v>#N/A</v>
      </c>
      <c r="S363" s="866" t="e">
        <f>VLOOKUP(N363,etat!$A$9:$P$905,16,FALSE)</f>
        <v>#N/A</v>
      </c>
      <c r="T363" s="755"/>
      <c r="U363" s="784"/>
      <c r="V363" s="784"/>
      <c r="W363" s="784"/>
      <c r="X363" s="784"/>
      <c r="Y363" s="975"/>
      <c r="Z363" s="975"/>
      <c r="AA363" s="967"/>
      <c r="AB363" s="1005"/>
      <c r="AC363" s="1005"/>
      <c r="AD363" s="1005"/>
      <c r="AE363" s="1005"/>
      <c r="AF363" s="1005"/>
      <c r="AG363" s="1004"/>
      <c r="AH363" s="1004"/>
      <c r="AI363" s="1004"/>
      <c r="AJ363" s="1004"/>
      <c r="AK363" s="1004"/>
      <c r="AL363" s="1004"/>
      <c r="AM363" s="1004"/>
      <c r="AN363" s="1004"/>
      <c r="AO363" s="1004"/>
      <c r="AP363" s="1004"/>
      <c r="AQ363" s="1004"/>
      <c r="AR363" s="1004"/>
      <c r="AS363" s="1004"/>
      <c r="AT363" s="1004"/>
      <c r="AU363" s="1004"/>
      <c r="AV363" s="1004"/>
      <c r="AW363" s="1004"/>
    </row>
    <row r="364" spans="1:49" ht="15.75">
      <c r="A364" s="1004"/>
      <c r="B364" s="1004"/>
      <c r="C364" s="1004"/>
      <c r="I364" s="1004"/>
      <c r="J364" s="1004"/>
      <c r="K364" s="1004"/>
      <c r="L364" s="777">
        <v>5</v>
      </c>
      <c r="M364" s="864"/>
      <c r="N364" s="976">
        <v>0</v>
      </c>
      <c r="O364" s="1020">
        <v>244</v>
      </c>
      <c r="P364" s="847" t="e">
        <f>VLOOKUP(N364,etat!$A$9:$N$1004,2,FALSE)</f>
        <v>#N/A</v>
      </c>
      <c r="Q364" s="797" t="e">
        <f>VLOOKUP(N364,etat!$A$9:$N$963,7,FALSE)</f>
        <v>#N/A</v>
      </c>
      <c r="R364" s="797" t="e">
        <f>VLOOKUP(N364,etat!$A$9:$N$1003,9,FALSE)</f>
        <v>#N/A</v>
      </c>
      <c r="S364" s="866" t="e">
        <f>VLOOKUP(N364,etat!$A$9:$P$905,16,FALSE)</f>
        <v>#N/A</v>
      </c>
      <c r="T364" s="755"/>
      <c r="U364" s="784"/>
      <c r="V364" s="784"/>
      <c r="W364" s="784"/>
      <c r="X364" s="784"/>
      <c r="Y364" s="975"/>
      <c r="Z364" s="975"/>
      <c r="AA364" s="967"/>
      <c r="AB364" s="1005"/>
      <c r="AC364" s="1005"/>
      <c r="AD364" s="1005"/>
      <c r="AE364" s="1005"/>
      <c r="AF364" s="1005"/>
      <c r="AG364" s="1004"/>
      <c r="AH364" s="1004"/>
      <c r="AI364" s="1004"/>
      <c r="AJ364" s="1004"/>
      <c r="AK364" s="1004"/>
      <c r="AL364" s="1004"/>
      <c r="AM364" s="1004"/>
      <c r="AN364" s="1004"/>
      <c r="AO364" s="1004"/>
      <c r="AP364" s="1004"/>
      <c r="AQ364" s="1004"/>
      <c r="AR364" s="1004"/>
      <c r="AS364" s="1004"/>
      <c r="AT364" s="1004"/>
      <c r="AU364" s="1004"/>
      <c r="AV364" s="1004"/>
      <c r="AW364" s="1004"/>
    </row>
    <row r="365" spans="1:49" ht="15.75">
      <c r="A365" s="1004"/>
      <c r="B365" s="1004"/>
      <c r="C365" s="1004"/>
      <c r="I365" s="1004"/>
      <c r="J365" s="1004"/>
      <c r="K365" s="1004"/>
      <c r="L365" s="777">
        <v>5</v>
      </c>
      <c r="M365" s="778"/>
      <c r="N365" s="976">
        <v>0</v>
      </c>
      <c r="O365" s="1020">
        <v>245</v>
      </c>
      <c r="P365" s="847" t="e">
        <f>VLOOKUP(N365,etat!$A$9:$N$1004,2,FALSE)</f>
        <v>#N/A</v>
      </c>
      <c r="Q365" s="797" t="e">
        <f>VLOOKUP(N365,etat!$A$9:$N$963,7,FALSE)</f>
        <v>#N/A</v>
      </c>
      <c r="R365" s="797" t="e">
        <f>VLOOKUP(N365,etat!$A$9:$N$1003,9,FALSE)</f>
        <v>#N/A</v>
      </c>
      <c r="S365" s="866" t="e">
        <f>VLOOKUP(N365,etat!$A$9:$P$905,16,FALSE)</f>
        <v>#N/A</v>
      </c>
      <c r="T365" s="755"/>
      <c r="U365" s="784"/>
      <c r="V365" s="784"/>
      <c r="W365" s="784"/>
      <c r="X365" s="784"/>
      <c r="Y365" s="975"/>
      <c r="Z365" s="975"/>
      <c r="AA365" s="967"/>
      <c r="AB365" s="1005"/>
      <c r="AC365" s="1005"/>
      <c r="AD365" s="1005"/>
      <c r="AE365" s="1005"/>
      <c r="AF365" s="1005"/>
      <c r="AG365" s="1004"/>
      <c r="AH365" s="1004"/>
      <c r="AI365" s="1004"/>
      <c r="AJ365" s="1004"/>
      <c r="AK365" s="1004"/>
      <c r="AL365" s="1004"/>
      <c r="AM365" s="1004"/>
      <c r="AN365" s="1004"/>
      <c r="AO365" s="1004"/>
      <c r="AP365" s="1004"/>
      <c r="AQ365" s="1004"/>
      <c r="AR365" s="1004"/>
      <c r="AS365" s="1004"/>
      <c r="AT365" s="1004"/>
      <c r="AU365" s="1004"/>
      <c r="AV365" s="1004"/>
      <c r="AW365" s="1004"/>
    </row>
    <row r="366" spans="1:49" ht="15.75">
      <c r="A366" s="1004"/>
      <c r="B366" s="1004"/>
      <c r="C366" s="1004"/>
      <c r="I366" s="1004"/>
      <c r="J366" s="1004"/>
      <c r="K366" s="1004"/>
      <c r="L366" s="777">
        <v>5</v>
      </c>
      <c r="M366" s="864"/>
      <c r="N366" s="976">
        <v>0</v>
      </c>
      <c r="O366" s="1020">
        <v>246</v>
      </c>
      <c r="P366" s="847" t="e">
        <f>VLOOKUP(N366,etat!$A$9:$N$1004,2,FALSE)</f>
        <v>#N/A</v>
      </c>
      <c r="Q366" s="797" t="e">
        <f>VLOOKUP(N366,etat!$A$9:$N$963,7,FALSE)</f>
        <v>#N/A</v>
      </c>
      <c r="R366" s="797" t="e">
        <f>VLOOKUP(N366,etat!$A$9:$N$1003,9,FALSE)</f>
        <v>#N/A</v>
      </c>
      <c r="S366" s="866" t="e">
        <f>VLOOKUP(N366,etat!$A$9:$P$905,16,FALSE)</f>
        <v>#N/A</v>
      </c>
      <c r="T366" s="755"/>
      <c r="U366" s="784"/>
      <c r="V366" s="784"/>
      <c r="W366" s="784"/>
      <c r="X366" s="784"/>
      <c r="Y366" s="975"/>
      <c r="Z366" s="975"/>
      <c r="AA366" s="967"/>
      <c r="AB366" s="1005"/>
      <c r="AC366" s="1005"/>
      <c r="AD366" s="1005"/>
      <c r="AE366" s="1005"/>
      <c r="AF366" s="1005"/>
      <c r="AG366" s="1004"/>
      <c r="AH366" s="1004"/>
      <c r="AI366" s="1004"/>
      <c r="AJ366" s="1004"/>
      <c r="AK366" s="1004"/>
      <c r="AL366" s="1004"/>
      <c r="AM366" s="1004"/>
      <c r="AN366" s="1004"/>
      <c r="AO366" s="1004"/>
      <c r="AP366" s="1004"/>
      <c r="AQ366" s="1004"/>
      <c r="AR366" s="1004"/>
      <c r="AS366" s="1004"/>
      <c r="AT366" s="1004"/>
      <c r="AU366" s="1004"/>
      <c r="AV366" s="1004"/>
      <c r="AW366" s="1004"/>
    </row>
    <row r="367" spans="1:49" ht="15.75">
      <c r="A367" s="1004"/>
      <c r="B367" s="1004"/>
      <c r="C367" s="1004"/>
      <c r="I367" s="1004"/>
      <c r="J367" s="1004"/>
      <c r="K367" s="1004"/>
      <c r="L367" s="777">
        <v>5</v>
      </c>
      <c r="M367" s="778"/>
      <c r="N367" s="976">
        <v>0</v>
      </c>
      <c r="O367" s="1020">
        <v>247</v>
      </c>
      <c r="P367" s="847" t="e">
        <f>VLOOKUP(N367,etat!$A$9:$N$1004,2,FALSE)</f>
        <v>#N/A</v>
      </c>
      <c r="Q367" s="797" t="e">
        <f>VLOOKUP(N367,etat!$A$9:$N$963,7,FALSE)</f>
        <v>#N/A</v>
      </c>
      <c r="R367" s="797" t="e">
        <f>VLOOKUP(N367,etat!$A$9:$N$1003,9,FALSE)</f>
        <v>#N/A</v>
      </c>
      <c r="S367" s="866" t="e">
        <f>VLOOKUP(N367,etat!$A$9:$P$905,16,FALSE)</f>
        <v>#N/A</v>
      </c>
      <c r="T367" s="755"/>
      <c r="U367" s="784"/>
      <c r="V367" s="784"/>
      <c r="W367" s="784"/>
      <c r="X367" s="784"/>
      <c r="Y367" s="975"/>
      <c r="Z367" s="975"/>
      <c r="AA367" s="967"/>
      <c r="AB367" s="1005"/>
      <c r="AC367" s="1005"/>
      <c r="AD367" s="1005"/>
      <c r="AE367" s="1005"/>
      <c r="AF367" s="1005"/>
      <c r="AG367" s="1004"/>
      <c r="AH367" s="1004"/>
      <c r="AI367" s="1004"/>
      <c r="AJ367" s="1004"/>
      <c r="AK367" s="1004"/>
      <c r="AL367" s="1004"/>
      <c r="AM367" s="1004"/>
      <c r="AN367" s="1004"/>
      <c r="AO367" s="1004"/>
      <c r="AP367" s="1004"/>
      <c r="AQ367" s="1004"/>
      <c r="AR367" s="1004"/>
      <c r="AS367" s="1004"/>
      <c r="AT367" s="1004"/>
      <c r="AU367" s="1004"/>
      <c r="AV367" s="1004"/>
      <c r="AW367" s="1004"/>
    </row>
    <row r="368" spans="1:49" ht="15.75">
      <c r="A368" s="1004"/>
      <c r="B368" s="1004"/>
      <c r="C368" s="1004"/>
      <c r="I368" s="1004"/>
      <c r="J368" s="1004"/>
      <c r="K368" s="1004"/>
      <c r="L368" s="777">
        <v>5</v>
      </c>
      <c r="M368" s="778"/>
      <c r="N368" s="976">
        <v>0</v>
      </c>
      <c r="O368" s="1020">
        <v>248</v>
      </c>
      <c r="P368" s="847" t="e">
        <f>VLOOKUP(N368,etat!$A$9:$N$1004,2,FALSE)</f>
        <v>#N/A</v>
      </c>
      <c r="Q368" s="797" t="e">
        <f>VLOOKUP(N368,etat!$A$9:$N$963,7,FALSE)</f>
        <v>#N/A</v>
      </c>
      <c r="R368" s="797" t="e">
        <f>VLOOKUP(N368,etat!$A$9:$N$1003,9,FALSE)</f>
        <v>#N/A</v>
      </c>
      <c r="S368" s="866" t="e">
        <f>VLOOKUP(N368,etat!$A$9:$P$905,16,FALSE)</f>
        <v>#N/A</v>
      </c>
      <c r="T368" s="755"/>
      <c r="U368" s="784"/>
      <c r="V368" s="784"/>
      <c r="W368" s="784"/>
      <c r="X368" s="784"/>
      <c r="Y368" s="975"/>
      <c r="Z368" s="975"/>
      <c r="AA368" s="967"/>
      <c r="AB368" s="1005"/>
      <c r="AC368" s="1005"/>
      <c r="AD368" s="1005"/>
      <c r="AE368" s="1005"/>
      <c r="AF368" s="1005"/>
      <c r="AG368" s="1004"/>
      <c r="AH368" s="1004"/>
      <c r="AI368" s="1004"/>
      <c r="AJ368" s="1004"/>
      <c r="AK368" s="1004"/>
      <c r="AL368" s="1004"/>
      <c r="AM368" s="1004"/>
      <c r="AN368" s="1004"/>
      <c r="AO368" s="1004"/>
      <c r="AP368" s="1004"/>
      <c r="AQ368" s="1004"/>
      <c r="AR368" s="1004"/>
      <c r="AS368" s="1004"/>
      <c r="AT368" s="1004"/>
      <c r="AU368" s="1004"/>
      <c r="AV368" s="1004"/>
      <c r="AW368" s="1004"/>
    </row>
    <row r="369" spans="1:49" ht="15.75">
      <c r="A369" s="1004"/>
      <c r="B369" s="1004"/>
      <c r="C369" s="1004"/>
      <c r="I369" s="1004"/>
      <c r="J369" s="1004"/>
      <c r="K369" s="1004"/>
      <c r="L369" s="777">
        <v>5</v>
      </c>
      <c r="M369" s="864"/>
      <c r="N369" s="976">
        <v>0</v>
      </c>
      <c r="O369" s="1020">
        <v>249</v>
      </c>
      <c r="P369" s="847" t="e">
        <f>VLOOKUP(N369,etat!$A$9:$N$1004,2,FALSE)</f>
        <v>#N/A</v>
      </c>
      <c r="Q369" s="797" t="e">
        <f>VLOOKUP(N369,etat!$A$9:$N$963,7,FALSE)</f>
        <v>#N/A</v>
      </c>
      <c r="R369" s="797" t="e">
        <f>VLOOKUP(N369,etat!$A$9:$N$1003,9,FALSE)</f>
        <v>#N/A</v>
      </c>
      <c r="S369" s="866" t="e">
        <f>VLOOKUP(N369,etat!$A$9:$P$905,16,FALSE)</f>
        <v>#N/A</v>
      </c>
      <c r="T369" s="755"/>
      <c r="U369" s="784"/>
      <c r="V369" s="784"/>
      <c r="W369" s="784"/>
      <c r="X369" s="784"/>
      <c r="Y369" s="975"/>
      <c r="Z369" s="975"/>
      <c r="AA369" s="967"/>
      <c r="AB369" s="1005"/>
      <c r="AC369" s="1005"/>
      <c r="AD369" s="1005"/>
      <c r="AE369" s="1005"/>
      <c r="AF369" s="1005"/>
      <c r="AG369" s="1004"/>
      <c r="AH369" s="1004"/>
      <c r="AI369" s="1004"/>
      <c r="AJ369" s="1004"/>
      <c r="AK369" s="1004"/>
      <c r="AL369" s="1004"/>
      <c r="AM369" s="1004"/>
      <c r="AN369" s="1004"/>
      <c r="AO369" s="1004"/>
      <c r="AP369" s="1004"/>
      <c r="AQ369" s="1004"/>
      <c r="AR369" s="1004"/>
      <c r="AS369" s="1004"/>
      <c r="AT369" s="1004"/>
      <c r="AU369" s="1004"/>
      <c r="AV369" s="1004"/>
      <c r="AW369" s="1004"/>
    </row>
    <row r="370" spans="1:49" ht="15.75">
      <c r="A370" s="1004"/>
      <c r="B370" s="1004"/>
      <c r="C370" s="1004"/>
      <c r="I370" s="1004"/>
      <c r="J370" s="1004"/>
      <c r="K370" s="1004"/>
      <c r="L370" s="777">
        <v>5</v>
      </c>
      <c r="M370" s="864"/>
      <c r="N370" s="976">
        <v>0</v>
      </c>
      <c r="O370" s="1020">
        <v>250</v>
      </c>
      <c r="P370" s="847" t="e">
        <f>VLOOKUP(N370,etat!$A$9:$N$1004,2,FALSE)</f>
        <v>#N/A</v>
      </c>
      <c r="Q370" s="797" t="e">
        <f>VLOOKUP(N370,etat!$A$9:$N$963,7,FALSE)</f>
        <v>#N/A</v>
      </c>
      <c r="R370" s="797" t="e">
        <f>VLOOKUP(N370,etat!$A$9:$N$1003,9,FALSE)</f>
        <v>#N/A</v>
      </c>
      <c r="S370" s="866" t="e">
        <f>VLOOKUP(N370,etat!$A$9:$P$905,16,FALSE)</f>
        <v>#N/A</v>
      </c>
      <c r="T370" s="755"/>
      <c r="U370" s="784"/>
      <c r="V370" s="784"/>
      <c r="W370" s="784"/>
      <c r="X370" s="784"/>
      <c r="Y370" s="784"/>
      <c r="Z370" s="975"/>
      <c r="AA370" s="967"/>
      <c r="AB370" s="1005"/>
      <c r="AC370" s="1005"/>
      <c r="AD370" s="1005"/>
      <c r="AE370" s="1005"/>
      <c r="AF370" s="1005"/>
      <c r="AG370" s="1004"/>
      <c r="AH370" s="1004"/>
      <c r="AI370" s="1004"/>
      <c r="AJ370" s="1004"/>
      <c r="AK370" s="1004"/>
      <c r="AL370" s="1004"/>
      <c r="AM370" s="1004"/>
      <c r="AN370" s="1004"/>
      <c r="AO370" s="1004"/>
      <c r="AP370" s="1004"/>
      <c r="AQ370" s="1004"/>
      <c r="AR370" s="1004"/>
      <c r="AS370" s="1004"/>
      <c r="AT370" s="1004"/>
      <c r="AU370" s="1004"/>
      <c r="AV370" s="1004"/>
      <c r="AW370" s="1004"/>
    </row>
    <row r="371" spans="1:49" ht="15.75">
      <c r="A371" s="1004"/>
      <c r="B371" s="1004"/>
      <c r="C371" s="1004"/>
      <c r="I371" s="1004"/>
      <c r="J371" s="1004"/>
      <c r="K371" s="1004"/>
      <c r="L371" s="777">
        <v>5</v>
      </c>
      <c r="M371" s="864"/>
      <c r="N371" s="976">
        <v>0</v>
      </c>
      <c r="O371" s="1020">
        <v>251</v>
      </c>
      <c r="P371" s="847" t="e">
        <f>VLOOKUP(N371,etat!$A$9:$N$1004,2,FALSE)</f>
        <v>#N/A</v>
      </c>
      <c r="Q371" s="797" t="e">
        <f>VLOOKUP(N371,etat!$A$9:$N$963,7,FALSE)</f>
        <v>#N/A</v>
      </c>
      <c r="R371" s="797" t="e">
        <f>VLOOKUP(N371,etat!$A$9:$N$1003,9,FALSE)</f>
        <v>#N/A</v>
      </c>
      <c r="S371" s="866" t="e">
        <f>VLOOKUP(N371,etat!$A$9:$P$905,16,FALSE)</f>
        <v>#N/A</v>
      </c>
      <c r="T371" s="755"/>
      <c r="U371" s="784"/>
      <c r="V371" s="784"/>
      <c r="W371" s="784"/>
      <c r="X371" s="784"/>
      <c r="Y371" s="784"/>
      <c r="Z371" s="975"/>
      <c r="AA371" s="967"/>
      <c r="AB371" s="1005"/>
      <c r="AC371" s="1005"/>
      <c r="AD371" s="1005"/>
      <c r="AE371" s="1005"/>
      <c r="AF371" s="1005"/>
      <c r="AG371" s="1004"/>
      <c r="AH371" s="1004"/>
      <c r="AI371" s="1004"/>
      <c r="AJ371" s="1004"/>
      <c r="AK371" s="1004"/>
      <c r="AL371" s="1004"/>
      <c r="AM371" s="1004"/>
      <c r="AN371" s="1004"/>
      <c r="AO371" s="1004"/>
      <c r="AP371" s="1004"/>
      <c r="AQ371" s="1004"/>
      <c r="AR371" s="1004"/>
      <c r="AS371" s="1004"/>
      <c r="AT371" s="1004"/>
      <c r="AU371" s="1004"/>
      <c r="AV371" s="1004"/>
      <c r="AW371" s="1004"/>
    </row>
    <row r="372" spans="1:49" ht="15.75">
      <c r="A372" s="1004"/>
      <c r="B372" s="1004"/>
      <c r="C372" s="1004"/>
      <c r="I372" s="1004"/>
      <c r="J372" s="1004"/>
      <c r="K372" s="1004"/>
      <c r="L372" s="777">
        <v>5</v>
      </c>
      <c r="M372" s="778"/>
      <c r="N372" s="976">
        <v>0</v>
      </c>
      <c r="O372" s="1020">
        <v>252</v>
      </c>
      <c r="P372" s="847" t="e">
        <f>VLOOKUP(N372,etat!$A$9:$N$1004,2,FALSE)</f>
        <v>#N/A</v>
      </c>
      <c r="Q372" s="797" t="e">
        <f>VLOOKUP(N372,etat!$A$9:$N$963,7,FALSE)</f>
        <v>#N/A</v>
      </c>
      <c r="R372" s="797" t="e">
        <f>VLOOKUP(N372,etat!$A$9:$N$1003,9,FALSE)</f>
        <v>#N/A</v>
      </c>
      <c r="S372" s="866" t="e">
        <f>VLOOKUP(N372,etat!$A$9:$P$905,16,FALSE)</f>
        <v>#N/A</v>
      </c>
      <c r="T372" s="755"/>
      <c r="U372" s="784"/>
      <c r="V372" s="784"/>
      <c r="W372" s="784"/>
      <c r="X372" s="784"/>
      <c r="Y372" s="975"/>
      <c r="Z372" s="975"/>
      <c r="AA372" s="967"/>
      <c r="AB372" s="1005"/>
      <c r="AC372" s="1005"/>
      <c r="AD372" s="1005"/>
      <c r="AE372" s="1005"/>
      <c r="AF372" s="1005"/>
      <c r="AG372" s="1004"/>
      <c r="AH372" s="1004"/>
      <c r="AI372" s="1004"/>
      <c r="AJ372" s="1004"/>
      <c r="AK372" s="1004"/>
      <c r="AL372" s="1004"/>
      <c r="AM372" s="1004"/>
      <c r="AN372" s="1004"/>
      <c r="AO372" s="1004"/>
      <c r="AP372" s="1004"/>
      <c r="AQ372" s="1004"/>
      <c r="AR372" s="1004"/>
      <c r="AS372" s="1004"/>
      <c r="AT372" s="1004"/>
      <c r="AU372" s="1004"/>
      <c r="AV372" s="1004"/>
      <c r="AW372" s="1004"/>
    </row>
    <row r="373" spans="1:49" ht="15.75">
      <c r="A373" s="1004"/>
      <c r="B373" s="1004"/>
      <c r="C373" s="1004"/>
      <c r="I373" s="1004"/>
      <c r="J373" s="1004"/>
      <c r="K373" s="1004"/>
      <c r="L373" s="777">
        <v>5</v>
      </c>
      <c r="M373" s="864"/>
      <c r="N373" s="976">
        <v>0</v>
      </c>
      <c r="O373" s="1020">
        <v>253</v>
      </c>
      <c r="P373" s="847" t="e">
        <f>VLOOKUP(N373,etat!$A$9:$N$1004,2,FALSE)</f>
        <v>#N/A</v>
      </c>
      <c r="Q373" s="797" t="e">
        <f>VLOOKUP(N373,etat!$A$9:$N$963,7,FALSE)</f>
        <v>#N/A</v>
      </c>
      <c r="R373" s="797" t="e">
        <f>VLOOKUP(N373,etat!$A$9:$N$1003,9,FALSE)</f>
        <v>#N/A</v>
      </c>
      <c r="S373" s="866" t="e">
        <f>VLOOKUP(N373,etat!$A$9:$P$905,16,FALSE)</f>
        <v>#N/A</v>
      </c>
      <c r="T373" s="755"/>
      <c r="U373" s="784"/>
      <c r="V373" s="784"/>
      <c r="W373" s="784"/>
      <c r="X373" s="784"/>
      <c r="Y373" s="975"/>
      <c r="Z373" s="975"/>
      <c r="AA373" s="967"/>
      <c r="AB373" s="1005"/>
      <c r="AC373" s="1005"/>
      <c r="AD373" s="1005"/>
      <c r="AE373" s="1005"/>
      <c r="AF373" s="1005"/>
      <c r="AG373" s="1004"/>
      <c r="AH373" s="1004"/>
      <c r="AI373" s="1004"/>
      <c r="AJ373" s="1004"/>
      <c r="AK373" s="1004"/>
      <c r="AL373" s="1004"/>
      <c r="AM373" s="1004"/>
      <c r="AN373" s="1004"/>
      <c r="AO373" s="1004"/>
      <c r="AP373" s="1004"/>
      <c r="AQ373" s="1004"/>
      <c r="AR373" s="1004"/>
      <c r="AS373" s="1004"/>
      <c r="AT373" s="1004"/>
      <c r="AU373" s="1004"/>
      <c r="AV373" s="1004"/>
      <c r="AW373" s="1004"/>
    </row>
    <row r="374" spans="1:49" ht="15.75">
      <c r="A374" s="1004"/>
      <c r="B374" s="1004"/>
      <c r="C374" s="1004"/>
      <c r="I374" s="1004"/>
      <c r="J374" s="1004"/>
      <c r="K374" s="1004"/>
      <c r="L374" s="777">
        <v>5</v>
      </c>
      <c r="M374" s="778"/>
      <c r="N374" s="976">
        <v>0</v>
      </c>
      <c r="O374" s="1020">
        <v>254</v>
      </c>
      <c r="P374" s="847" t="e">
        <f>VLOOKUP(N374,etat!$A$9:$N$1004,2,FALSE)</f>
        <v>#N/A</v>
      </c>
      <c r="Q374" s="797" t="e">
        <f>VLOOKUP(N374,etat!$A$9:$N$963,7,FALSE)</f>
        <v>#N/A</v>
      </c>
      <c r="R374" s="797" t="e">
        <f>VLOOKUP(N374,etat!$A$9:$N$1003,9,FALSE)</f>
        <v>#N/A</v>
      </c>
      <c r="S374" s="866" t="e">
        <f>VLOOKUP(N374,etat!$A$9:$P$905,16,FALSE)</f>
        <v>#N/A</v>
      </c>
      <c r="T374" s="755"/>
      <c r="U374" s="784"/>
      <c r="V374" s="784"/>
      <c r="W374" s="784"/>
      <c r="X374" s="784"/>
      <c r="Y374" s="784"/>
      <c r="Z374" s="975"/>
      <c r="AA374" s="967"/>
      <c r="AB374" s="1005"/>
      <c r="AC374" s="1005"/>
      <c r="AD374" s="1005"/>
      <c r="AE374" s="1005"/>
      <c r="AF374" s="1005"/>
      <c r="AG374" s="1004"/>
      <c r="AH374" s="1004"/>
      <c r="AI374" s="1004"/>
      <c r="AJ374" s="1004"/>
      <c r="AK374" s="1004"/>
      <c r="AL374" s="1004"/>
      <c r="AM374" s="1004"/>
      <c r="AN374" s="1004"/>
      <c r="AO374" s="1004"/>
      <c r="AP374" s="1004"/>
      <c r="AQ374" s="1004"/>
      <c r="AR374" s="1004"/>
      <c r="AS374" s="1004"/>
      <c r="AT374" s="1004"/>
      <c r="AU374" s="1004"/>
      <c r="AV374" s="1004"/>
      <c r="AW374" s="1004"/>
    </row>
    <row r="375" spans="1:49" ht="15.75">
      <c r="A375" s="1004"/>
      <c r="B375" s="1004"/>
      <c r="C375" s="1004"/>
      <c r="I375" s="1004"/>
      <c r="J375" s="1004"/>
      <c r="K375" s="1004"/>
      <c r="L375" s="777">
        <v>5</v>
      </c>
      <c r="M375" s="778"/>
      <c r="N375" s="976">
        <v>0</v>
      </c>
      <c r="O375" s="1020">
        <v>255</v>
      </c>
      <c r="P375" s="847" t="e">
        <f>VLOOKUP(N375,etat!$A$9:$N$1004,2,FALSE)</f>
        <v>#N/A</v>
      </c>
      <c r="Q375" s="797" t="e">
        <f>VLOOKUP(N375,etat!$A$9:$N$963,7,FALSE)</f>
        <v>#N/A</v>
      </c>
      <c r="R375" s="797" t="e">
        <f>VLOOKUP(N375,etat!$A$9:$N$1003,9,FALSE)</f>
        <v>#N/A</v>
      </c>
      <c r="S375" s="866" t="e">
        <f>VLOOKUP(N375,etat!$A$9:$P$905,16,FALSE)</f>
        <v>#N/A</v>
      </c>
      <c r="T375" s="755"/>
      <c r="U375" s="784"/>
      <c r="V375" s="784"/>
      <c r="W375" s="784"/>
      <c r="X375" s="784"/>
      <c r="Y375" s="784"/>
      <c r="Z375" s="975"/>
      <c r="AA375" s="967"/>
      <c r="AB375" s="1005"/>
      <c r="AC375" s="1005"/>
      <c r="AD375" s="1005"/>
      <c r="AE375" s="1005"/>
      <c r="AF375" s="1005"/>
      <c r="AG375" s="1004"/>
      <c r="AH375" s="1004"/>
      <c r="AI375" s="1004"/>
      <c r="AJ375" s="1004"/>
      <c r="AK375" s="1004"/>
      <c r="AL375" s="1004"/>
      <c r="AM375" s="1004"/>
      <c r="AN375" s="1004"/>
      <c r="AO375" s="1004"/>
      <c r="AP375" s="1004"/>
      <c r="AQ375" s="1004"/>
      <c r="AR375" s="1004"/>
      <c r="AS375" s="1004"/>
      <c r="AT375" s="1004"/>
      <c r="AU375" s="1004"/>
      <c r="AV375" s="1004"/>
      <c r="AW375" s="1004"/>
    </row>
    <row r="376" spans="1:49" ht="15.75">
      <c r="A376" s="1004"/>
      <c r="B376" s="1004"/>
      <c r="C376" s="1004"/>
      <c r="I376" s="1004"/>
      <c r="J376" s="1004"/>
      <c r="K376" s="1004"/>
      <c r="L376" s="777">
        <v>5</v>
      </c>
      <c r="M376" s="864"/>
      <c r="N376" s="976">
        <v>0</v>
      </c>
      <c r="O376" s="1020">
        <v>256</v>
      </c>
      <c r="P376" s="847" t="e">
        <f>VLOOKUP(N376,etat!$A$9:$N$1004,2,FALSE)</f>
        <v>#N/A</v>
      </c>
      <c r="Q376" s="797" t="e">
        <f>VLOOKUP(N376,etat!$A$9:$N$963,7,FALSE)</f>
        <v>#N/A</v>
      </c>
      <c r="R376" s="797" t="e">
        <f>VLOOKUP(N376,etat!$A$9:$N$1003,9,FALSE)</f>
        <v>#N/A</v>
      </c>
      <c r="S376" s="866" t="e">
        <f>VLOOKUP(N376,etat!$A$9:$P$905,16,FALSE)</f>
        <v>#N/A</v>
      </c>
      <c r="T376" s="755"/>
      <c r="U376" s="784"/>
      <c r="V376" s="784"/>
      <c r="W376" s="784"/>
      <c r="X376" s="784"/>
      <c r="Y376" s="784"/>
      <c r="Z376" s="975"/>
      <c r="AA376" s="967"/>
      <c r="AB376" s="1005"/>
      <c r="AC376" s="1005"/>
      <c r="AD376" s="1005"/>
      <c r="AE376" s="1005"/>
      <c r="AF376" s="1005"/>
      <c r="AG376" s="1004"/>
      <c r="AH376" s="1004"/>
      <c r="AI376" s="1004"/>
      <c r="AJ376" s="1004"/>
      <c r="AK376" s="1004"/>
      <c r="AL376" s="1004"/>
      <c r="AM376" s="1004"/>
      <c r="AN376" s="1004"/>
      <c r="AO376" s="1004"/>
      <c r="AP376" s="1004"/>
      <c r="AQ376" s="1004"/>
      <c r="AR376" s="1004"/>
      <c r="AS376" s="1004"/>
      <c r="AT376" s="1004"/>
      <c r="AU376" s="1004"/>
      <c r="AV376" s="1004"/>
      <c r="AW376" s="1004"/>
    </row>
    <row r="377" spans="1:49" ht="15.75">
      <c r="A377" s="1004"/>
      <c r="B377" s="1004"/>
      <c r="C377" s="1004"/>
      <c r="I377" s="1004"/>
      <c r="J377" s="1004"/>
      <c r="K377" s="1004"/>
      <c r="L377" s="777">
        <v>5</v>
      </c>
      <c r="M377" s="864"/>
      <c r="N377" s="976">
        <v>0</v>
      </c>
      <c r="O377" s="1020">
        <v>257</v>
      </c>
      <c r="P377" s="847" t="e">
        <f>VLOOKUP(N377,etat!$A$9:$N$1004,2,FALSE)</f>
        <v>#N/A</v>
      </c>
      <c r="Q377" s="797" t="e">
        <f>VLOOKUP(N377,etat!$A$9:$N$963,7,FALSE)</f>
        <v>#N/A</v>
      </c>
      <c r="R377" s="797" t="e">
        <f>VLOOKUP(N377,etat!$A$9:$N$1003,9,FALSE)</f>
        <v>#N/A</v>
      </c>
      <c r="S377" s="866" t="e">
        <f>VLOOKUP(N377,etat!$A$9:$P$905,16,FALSE)</f>
        <v>#N/A</v>
      </c>
      <c r="T377" s="755"/>
      <c r="U377" s="784"/>
      <c r="V377" s="784"/>
      <c r="W377" s="784"/>
      <c r="X377" s="784"/>
      <c r="Y377" s="784"/>
      <c r="Z377" s="975"/>
      <c r="AA377" s="967"/>
      <c r="AB377" s="1005"/>
      <c r="AC377" s="1005"/>
      <c r="AD377" s="1005"/>
      <c r="AE377" s="1005"/>
      <c r="AF377" s="1005"/>
      <c r="AG377" s="1004"/>
      <c r="AH377" s="1004"/>
      <c r="AI377" s="1004"/>
      <c r="AJ377" s="1004"/>
      <c r="AK377" s="1004"/>
      <c r="AL377" s="1004"/>
      <c r="AM377" s="1004"/>
      <c r="AN377" s="1004"/>
      <c r="AO377" s="1004"/>
      <c r="AP377" s="1004"/>
      <c r="AQ377" s="1004"/>
      <c r="AR377" s="1004"/>
      <c r="AS377" s="1004"/>
      <c r="AT377" s="1004"/>
      <c r="AU377" s="1004"/>
      <c r="AV377" s="1004"/>
      <c r="AW377" s="1004"/>
    </row>
    <row r="378" spans="1:49" ht="15.75">
      <c r="A378" s="1004"/>
      <c r="B378" s="1004"/>
      <c r="C378" s="1004"/>
      <c r="I378" s="1004"/>
      <c r="J378" s="1004"/>
      <c r="K378" s="1004"/>
      <c r="L378" s="777">
        <v>5</v>
      </c>
      <c r="M378" s="778"/>
      <c r="N378" s="976">
        <v>0</v>
      </c>
      <c r="O378" s="1020">
        <v>258</v>
      </c>
      <c r="P378" s="847" t="e">
        <f>VLOOKUP(N378,etat!$A$9:$N$1004,2,FALSE)</f>
        <v>#N/A</v>
      </c>
      <c r="Q378" s="797" t="e">
        <f>VLOOKUP(N378,etat!$A$9:$N$963,7,FALSE)</f>
        <v>#N/A</v>
      </c>
      <c r="R378" s="797" t="e">
        <f>VLOOKUP(N378,etat!$A$9:$N$1003,9,FALSE)</f>
        <v>#N/A</v>
      </c>
      <c r="S378" s="866" t="e">
        <f>VLOOKUP(N378,etat!$A$9:$P$905,16,FALSE)</f>
        <v>#N/A</v>
      </c>
      <c r="T378" s="755"/>
      <c r="U378" s="784"/>
      <c r="V378" s="784"/>
      <c r="W378" s="784"/>
      <c r="X378" s="784"/>
      <c r="Y378" s="784"/>
      <c r="Z378" s="975"/>
      <c r="AA378" s="967"/>
      <c r="AB378" s="1005"/>
      <c r="AC378" s="1005"/>
      <c r="AD378" s="1005"/>
      <c r="AE378" s="1005"/>
      <c r="AF378" s="1005"/>
      <c r="AG378" s="1004"/>
      <c r="AH378" s="1004"/>
      <c r="AI378" s="1004"/>
      <c r="AJ378" s="1004"/>
      <c r="AK378" s="1004"/>
      <c r="AL378" s="1004"/>
      <c r="AM378" s="1004"/>
      <c r="AN378" s="1004"/>
      <c r="AO378" s="1004"/>
      <c r="AP378" s="1004"/>
      <c r="AQ378" s="1004"/>
      <c r="AR378" s="1004"/>
      <c r="AS378" s="1004"/>
      <c r="AT378" s="1004"/>
      <c r="AU378" s="1004"/>
      <c r="AV378" s="1004"/>
      <c r="AW378" s="1004"/>
    </row>
    <row r="379" spans="1:49" ht="15.75">
      <c r="A379" s="1004"/>
      <c r="B379" s="1004"/>
      <c r="C379" s="1004"/>
      <c r="I379" s="1004"/>
      <c r="J379" s="1004"/>
      <c r="K379" s="1004"/>
      <c r="L379" s="777">
        <v>5</v>
      </c>
      <c r="M379" s="864"/>
      <c r="N379" s="976">
        <v>0</v>
      </c>
      <c r="O379" s="1020">
        <v>259</v>
      </c>
      <c r="P379" s="847" t="e">
        <f>VLOOKUP(N379,etat!$A$9:$N$1004,2,FALSE)</f>
        <v>#N/A</v>
      </c>
      <c r="Q379" s="797" t="e">
        <f>VLOOKUP(N379,etat!$A$9:$N$963,7,FALSE)</f>
        <v>#N/A</v>
      </c>
      <c r="R379" s="797" t="e">
        <f>VLOOKUP(N379,etat!$A$9:$N$1003,9,FALSE)</f>
        <v>#N/A</v>
      </c>
      <c r="S379" s="866" t="e">
        <f>VLOOKUP(N379,etat!$A$9:$P$905,16,FALSE)</f>
        <v>#N/A</v>
      </c>
      <c r="T379" s="755"/>
      <c r="U379" s="784"/>
      <c r="V379" s="784"/>
      <c r="W379" s="755"/>
      <c r="X379" s="784"/>
      <c r="Y379" s="975"/>
      <c r="Z379" s="975"/>
      <c r="AA379" s="967"/>
      <c r="AB379" s="1005"/>
      <c r="AC379" s="1005"/>
      <c r="AD379" s="1005"/>
      <c r="AE379" s="1005"/>
      <c r="AF379" s="1005"/>
      <c r="AG379" s="1004"/>
      <c r="AH379" s="1004"/>
      <c r="AI379" s="1004"/>
      <c r="AJ379" s="1004"/>
      <c r="AK379" s="1004"/>
      <c r="AL379" s="1004"/>
      <c r="AM379" s="1004"/>
      <c r="AN379" s="1004"/>
      <c r="AO379" s="1004"/>
      <c r="AP379" s="1004"/>
      <c r="AQ379" s="1004"/>
      <c r="AR379" s="1004"/>
      <c r="AS379" s="1004"/>
      <c r="AT379" s="1004"/>
      <c r="AU379" s="1004"/>
      <c r="AV379" s="1004"/>
      <c r="AW379" s="1004"/>
    </row>
    <row r="380" spans="1:49" ht="15.75">
      <c r="A380" s="1004"/>
      <c r="B380" s="1004"/>
      <c r="C380" s="1004"/>
      <c r="I380" s="1004"/>
      <c r="J380" s="1004"/>
      <c r="K380" s="1004"/>
      <c r="L380" s="777">
        <v>5</v>
      </c>
      <c r="M380" s="864"/>
      <c r="N380" s="976">
        <v>0</v>
      </c>
      <c r="O380" s="1020">
        <v>260</v>
      </c>
      <c r="P380" s="847" t="e">
        <f>VLOOKUP(N380,etat!$A$9:$N$1004,2,FALSE)</f>
        <v>#N/A</v>
      </c>
      <c r="Q380" s="797" t="e">
        <f>VLOOKUP(N380,etat!$A$9:$N$963,7,FALSE)</f>
        <v>#N/A</v>
      </c>
      <c r="R380" s="797" t="e">
        <f>VLOOKUP(N380,etat!$A$9:$N$1003,9,FALSE)</f>
        <v>#N/A</v>
      </c>
      <c r="S380" s="866" t="e">
        <f>VLOOKUP(N380,etat!$A$9:$P$905,16,FALSE)</f>
        <v>#N/A</v>
      </c>
      <c r="T380" s="755"/>
      <c r="U380" s="784"/>
      <c r="V380" s="784"/>
      <c r="W380" s="755"/>
      <c r="X380" s="784"/>
      <c r="Y380" s="975"/>
      <c r="Z380" s="975"/>
      <c r="AA380" s="967"/>
      <c r="AB380" s="1005"/>
      <c r="AC380" s="1005"/>
      <c r="AD380" s="1005"/>
      <c r="AE380" s="1005"/>
      <c r="AF380" s="1005"/>
      <c r="AG380" s="1004"/>
      <c r="AH380" s="1004"/>
      <c r="AI380" s="1004"/>
      <c r="AJ380" s="1004"/>
      <c r="AK380" s="1004"/>
      <c r="AL380" s="1004"/>
      <c r="AM380" s="1004"/>
      <c r="AN380" s="1004"/>
      <c r="AO380" s="1004"/>
      <c r="AP380" s="1004"/>
      <c r="AQ380" s="1004"/>
      <c r="AR380" s="1004"/>
      <c r="AS380" s="1004"/>
      <c r="AT380" s="1004"/>
      <c r="AU380" s="1004"/>
      <c r="AV380" s="1004"/>
      <c r="AW380" s="1004"/>
    </row>
    <row r="381" spans="1:49" ht="15.75">
      <c r="A381" s="1004"/>
      <c r="B381" s="1004"/>
      <c r="C381" s="1004"/>
      <c r="I381" s="1004"/>
      <c r="J381" s="1004"/>
      <c r="K381" s="1004"/>
      <c r="L381" s="777">
        <v>5</v>
      </c>
      <c r="M381" s="864"/>
      <c r="N381" s="976">
        <v>0</v>
      </c>
      <c r="O381" s="1020">
        <v>261</v>
      </c>
      <c r="P381" s="847" t="e">
        <f>VLOOKUP(N381,etat!$A$9:$N$1004,2,FALSE)</f>
        <v>#N/A</v>
      </c>
      <c r="Q381" s="797" t="e">
        <f>VLOOKUP(N381,etat!$A$9:$N$963,7,FALSE)</f>
        <v>#N/A</v>
      </c>
      <c r="R381" s="797" t="e">
        <f>VLOOKUP(N381,etat!$A$9:$N$1003,9,FALSE)</f>
        <v>#N/A</v>
      </c>
      <c r="S381" s="866" t="e">
        <f>VLOOKUP(N381,etat!$A$9:$P$905,16,FALSE)</f>
        <v>#N/A</v>
      </c>
      <c r="T381" s="755"/>
      <c r="U381" s="784"/>
      <c r="V381" s="784"/>
      <c r="W381" s="755"/>
      <c r="X381" s="784"/>
      <c r="Y381" s="975"/>
      <c r="Z381" s="975"/>
      <c r="AA381" s="967"/>
      <c r="AB381" s="1005"/>
      <c r="AC381" s="1005"/>
      <c r="AD381" s="1005"/>
      <c r="AE381" s="1005"/>
      <c r="AF381" s="1005"/>
      <c r="AG381" s="1004"/>
      <c r="AH381" s="1004"/>
      <c r="AI381" s="1004"/>
      <c r="AJ381" s="1004"/>
      <c r="AK381" s="1004"/>
      <c r="AL381" s="1004"/>
      <c r="AM381" s="1004"/>
      <c r="AN381" s="1004"/>
      <c r="AO381" s="1004"/>
      <c r="AP381" s="1004"/>
      <c r="AQ381" s="1004"/>
      <c r="AR381" s="1004"/>
      <c r="AS381" s="1004"/>
      <c r="AT381" s="1004"/>
      <c r="AU381" s="1004"/>
      <c r="AV381" s="1004"/>
      <c r="AW381" s="1004"/>
    </row>
    <row r="382" spans="1:49" ht="15.75">
      <c r="A382" s="1004"/>
      <c r="B382" s="1004"/>
      <c r="C382" s="1004"/>
      <c r="I382" s="1004"/>
      <c r="J382" s="1004"/>
      <c r="K382" s="1004"/>
      <c r="L382" s="777">
        <v>5</v>
      </c>
      <c r="M382" s="864"/>
      <c r="N382" s="976">
        <v>0</v>
      </c>
      <c r="O382" s="1020">
        <v>262</v>
      </c>
      <c r="P382" s="847" t="e">
        <f>VLOOKUP(N382,etat!$A$9:$N$1004,2,FALSE)</f>
        <v>#N/A</v>
      </c>
      <c r="Q382" s="797" t="e">
        <f>VLOOKUP(N382,etat!$A$9:$N$963,7,FALSE)</f>
        <v>#N/A</v>
      </c>
      <c r="R382" s="797" t="e">
        <f>VLOOKUP(N382,etat!$A$9:$N$1003,9,FALSE)</f>
        <v>#N/A</v>
      </c>
      <c r="S382" s="866" t="e">
        <f>VLOOKUP(N382,etat!$A$9:$P$905,16,FALSE)</f>
        <v>#N/A</v>
      </c>
      <c r="T382" s="755"/>
      <c r="U382" s="784"/>
      <c r="V382" s="784"/>
      <c r="W382" s="784"/>
      <c r="X382" s="784"/>
      <c r="Y382" s="784"/>
      <c r="Z382" s="975"/>
      <c r="AA382" s="967"/>
      <c r="AB382" s="1005"/>
      <c r="AC382" s="1005"/>
      <c r="AD382" s="1005"/>
      <c r="AE382" s="1005"/>
      <c r="AF382" s="1005"/>
      <c r="AG382" s="1004"/>
      <c r="AH382" s="1004"/>
      <c r="AI382" s="1004"/>
      <c r="AJ382" s="1004"/>
      <c r="AK382" s="1004"/>
      <c r="AL382" s="1004"/>
      <c r="AM382" s="1004"/>
      <c r="AN382" s="1004"/>
      <c r="AO382" s="1004"/>
      <c r="AP382" s="1004"/>
      <c r="AQ382" s="1004"/>
      <c r="AR382" s="1004"/>
      <c r="AS382" s="1004"/>
      <c r="AT382" s="1004"/>
      <c r="AU382" s="1004"/>
      <c r="AV382" s="1004"/>
      <c r="AW382" s="1004"/>
    </row>
    <row r="383" spans="1:49" ht="18.75">
      <c r="A383" s="1004"/>
      <c r="B383" s="1004"/>
      <c r="C383" s="1004"/>
      <c r="I383" s="1004"/>
      <c r="J383" s="1004"/>
      <c r="K383" s="1004"/>
      <c r="L383" s="777">
        <v>5</v>
      </c>
      <c r="M383" s="864"/>
      <c r="N383" s="976">
        <v>0</v>
      </c>
      <c r="O383" s="1020">
        <v>263</v>
      </c>
      <c r="P383" s="847" t="e">
        <f>VLOOKUP(N383,etat!$A$9:$N$1004,2,FALSE)</f>
        <v>#N/A</v>
      </c>
      <c r="Q383" s="797" t="e">
        <f>VLOOKUP(N383,etat!$A$9:$N$963,7,FALSE)</f>
        <v>#N/A</v>
      </c>
      <c r="R383" s="797" t="e">
        <f>VLOOKUP(N383,etat!$A$9:$N$1003,9,FALSE)</f>
        <v>#N/A</v>
      </c>
      <c r="S383" s="866" t="e">
        <f>VLOOKUP(N383,etat!$A$9:$P$905,16,FALSE)</f>
        <v>#N/A</v>
      </c>
      <c r="T383" s="755"/>
      <c r="U383" s="784"/>
      <c r="V383" s="784"/>
      <c r="W383" s="955"/>
      <c r="X383" s="955"/>
      <c r="Y383" s="956"/>
      <c r="Z383" s="975"/>
      <c r="AA383" s="967"/>
      <c r="AB383" s="1005"/>
      <c r="AC383" s="1005"/>
      <c r="AD383" s="1005"/>
      <c r="AE383" s="1005"/>
      <c r="AF383" s="1005"/>
      <c r="AG383" s="1004"/>
      <c r="AH383" s="1004"/>
      <c r="AI383" s="1004"/>
      <c r="AJ383" s="1004"/>
      <c r="AK383" s="1004"/>
      <c r="AL383" s="1004"/>
      <c r="AM383" s="1004"/>
      <c r="AN383" s="1004"/>
      <c r="AO383" s="1004"/>
      <c r="AP383" s="1004"/>
      <c r="AQ383" s="1004"/>
      <c r="AR383" s="1004"/>
      <c r="AS383" s="1004"/>
      <c r="AT383" s="1004"/>
      <c r="AU383" s="1004"/>
      <c r="AV383" s="1004"/>
      <c r="AW383" s="1004"/>
    </row>
    <row r="384" spans="1:49" ht="18.75">
      <c r="A384" s="1004"/>
      <c r="B384" s="1004"/>
      <c r="C384" s="1004"/>
      <c r="I384" s="1004"/>
      <c r="J384" s="1004"/>
      <c r="K384" s="1004"/>
      <c r="L384" s="777">
        <v>5</v>
      </c>
      <c r="M384" s="778"/>
      <c r="N384" s="976">
        <v>0</v>
      </c>
      <c r="O384" s="1020">
        <v>264</v>
      </c>
      <c r="P384" s="847" t="e">
        <f>VLOOKUP(N384,etat!$A$9:$N$1004,2,FALSE)</f>
        <v>#N/A</v>
      </c>
      <c r="Q384" s="797" t="e">
        <f>VLOOKUP(N384,etat!$A$9:$N$963,7,FALSE)</f>
        <v>#N/A</v>
      </c>
      <c r="R384" s="797" t="e">
        <f>VLOOKUP(N384,etat!$A$9:$N$1003,9,FALSE)</f>
        <v>#N/A</v>
      </c>
      <c r="S384" s="866" t="e">
        <f>VLOOKUP(N384,etat!$A$9:$P$905,16,FALSE)</f>
        <v>#N/A</v>
      </c>
      <c r="T384" s="755"/>
      <c r="U384" s="784"/>
      <c r="V384" s="784"/>
      <c r="W384" s="955"/>
      <c r="X384" s="955"/>
      <c r="Y384" s="956"/>
      <c r="Z384" s="975"/>
      <c r="AA384" s="967"/>
      <c r="AB384" s="1005"/>
      <c r="AC384" s="1005"/>
      <c r="AD384" s="1005"/>
      <c r="AE384" s="1005"/>
      <c r="AF384" s="1005"/>
      <c r="AG384" s="1004"/>
      <c r="AH384" s="1004"/>
      <c r="AI384" s="1004"/>
      <c r="AJ384" s="1004"/>
      <c r="AK384" s="1004"/>
      <c r="AL384" s="1004"/>
      <c r="AM384" s="1004"/>
      <c r="AN384" s="1004"/>
      <c r="AO384" s="1004"/>
      <c r="AP384" s="1004"/>
      <c r="AQ384" s="1004"/>
      <c r="AR384" s="1004"/>
      <c r="AS384" s="1004"/>
      <c r="AT384" s="1004"/>
      <c r="AU384" s="1004"/>
      <c r="AV384" s="1004"/>
      <c r="AW384" s="1004"/>
    </row>
    <row r="385" spans="1:49" ht="18.75">
      <c r="A385" s="1004"/>
      <c r="B385" s="1004"/>
      <c r="C385" s="1004"/>
      <c r="I385" s="1004"/>
      <c r="J385" s="1004"/>
      <c r="K385" s="1004"/>
      <c r="L385" s="777">
        <v>5</v>
      </c>
      <c r="M385" s="778"/>
      <c r="N385" s="976">
        <v>0</v>
      </c>
      <c r="O385" s="1020">
        <v>265</v>
      </c>
      <c r="P385" s="847" t="e">
        <f>VLOOKUP(N385,etat!$A$9:$N$1004,2,FALSE)</f>
        <v>#N/A</v>
      </c>
      <c r="Q385" s="797" t="e">
        <f>VLOOKUP(N385,etat!$A$9:$N$963,7,FALSE)</f>
        <v>#N/A</v>
      </c>
      <c r="R385" s="797" t="e">
        <f>VLOOKUP(N385,etat!$A$9:$N$1003,9,FALSE)</f>
        <v>#N/A</v>
      </c>
      <c r="S385" s="866" t="e">
        <f>VLOOKUP(N385,etat!$A$9:$P$905,16,FALSE)</f>
        <v>#N/A</v>
      </c>
      <c r="T385" s="755"/>
      <c r="U385" s="784"/>
      <c r="V385" s="784"/>
      <c r="W385" s="955"/>
      <c r="X385" s="955"/>
      <c r="Y385" s="956"/>
      <c r="Z385" s="975"/>
      <c r="AA385" s="967"/>
      <c r="AB385" s="1005"/>
      <c r="AC385" s="1005"/>
      <c r="AD385" s="1005"/>
      <c r="AE385" s="1005"/>
      <c r="AF385" s="1005"/>
      <c r="AG385" s="1004"/>
      <c r="AH385" s="1004"/>
      <c r="AI385" s="1004"/>
      <c r="AJ385" s="1004"/>
      <c r="AK385" s="1004"/>
      <c r="AL385" s="1004"/>
      <c r="AM385" s="1004"/>
      <c r="AN385" s="1004"/>
      <c r="AO385" s="1004"/>
      <c r="AP385" s="1004"/>
      <c r="AQ385" s="1004"/>
      <c r="AR385" s="1004"/>
      <c r="AS385" s="1004"/>
      <c r="AT385" s="1004"/>
      <c r="AU385" s="1004"/>
      <c r="AV385" s="1004"/>
      <c r="AW385" s="1004"/>
    </row>
    <row r="386" spans="1:49" ht="18.75">
      <c r="A386" s="1004"/>
      <c r="B386" s="1004"/>
      <c r="C386" s="1004"/>
      <c r="I386" s="1004"/>
      <c r="J386" s="1004"/>
      <c r="K386" s="1004"/>
      <c r="L386" s="777">
        <v>5</v>
      </c>
      <c r="M386" s="864"/>
      <c r="N386" s="976">
        <v>0</v>
      </c>
      <c r="O386" s="1020">
        <v>266</v>
      </c>
      <c r="P386" s="847" t="e">
        <f>VLOOKUP(N386,etat!$A$9:$N$1004,2,FALSE)</f>
        <v>#N/A</v>
      </c>
      <c r="Q386" s="797" t="e">
        <f>VLOOKUP(N386,etat!$A$9:$N$963,7,FALSE)</f>
        <v>#N/A</v>
      </c>
      <c r="R386" s="797" t="e">
        <f>VLOOKUP(N386,etat!$A$9:$N$1003,9,FALSE)</f>
        <v>#N/A</v>
      </c>
      <c r="S386" s="866" t="e">
        <f>VLOOKUP(N386,etat!$A$9:$P$905,16,FALSE)</f>
        <v>#N/A</v>
      </c>
      <c r="T386" s="755"/>
      <c r="U386" s="784"/>
      <c r="V386" s="784"/>
      <c r="W386" s="955"/>
      <c r="X386" s="955"/>
      <c r="Y386" s="956"/>
      <c r="Z386" s="975"/>
      <c r="AA386" s="967"/>
      <c r="AB386" s="1005"/>
      <c r="AC386" s="1005"/>
      <c r="AD386" s="1005"/>
      <c r="AE386" s="1005"/>
      <c r="AF386" s="1005"/>
      <c r="AG386" s="1004"/>
      <c r="AH386" s="1004"/>
      <c r="AI386" s="1004"/>
      <c r="AJ386" s="1004"/>
      <c r="AK386" s="1004"/>
      <c r="AL386" s="1004"/>
      <c r="AM386" s="1004"/>
      <c r="AN386" s="1004"/>
      <c r="AO386" s="1004"/>
      <c r="AP386" s="1004"/>
      <c r="AQ386" s="1004"/>
      <c r="AR386" s="1004"/>
      <c r="AS386" s="1004"/>
      <c r="AT386" s="1004"/>
      <c r="AU386" s="1004"/>
      <c r="AV386" s="1004"/>
      <c r="AW386" s="1004"/>
    </row>
    <row r="387" spans="1:49" ht="15.75">
      <c r="A387" s="1004"/>
      <c r="B387" s="1004"/>
      <c r="C387" s="1004"/>
      <c r="I387" s="1004"/>
      <c r="J387" s="1004"/>
      <c r="K387" s="1004"/>
      <c r="L387" s="777">
        <v>5</v>
      </c>
      <c r="M387" s="864"/>
      <c r="N387" s="976">
        <v>0</v>
      </c>
      <c r="O387" s="1020">
        <v>267</v>
      </c>
      <c r="P387" s="847" t="e">
        <f>VLOOKUP(N387,etat!$A$9:$N$1004,2,FALSE)</f>
        <v>#N/A</v>
      </c>
      <c r="Q387" s="797" t="e">
        <f>VLOOKUP(N387,etat!$A$9:$N$963,7,FALSE)</f>
        <v>#N/A</v>
      </c>
      <c r="R387" s="797" t="e">
        <f>VLOOKUP(N387,etat!$A$9:$N$1003,9,FALSE)</f>
        <v>#N/A</v>
      </c>
      <c r="S387" s="866" t="e">
        <f>VLOOKUP(N387,etat!$A$9:$P$905,16,FALSE)</f>
        <v>#N/A</v>
      </c>
      <c r="T387" s="755"/>
      <c r="U387" s="784"/>
      <c r="V387" s="784"/>
      <c r="W387" s="755"/>
      <c r="X387" s="784"/>
      <c r="Y387" s="975"/>
      <c r="Z387" s="975"/>
      <c r="AA387" s="967"/>
      <c r="AB387" s="1005"/>
      <c r="AC387" s="1005"/>
      <c r="AD387" s="1005"/>
      <c r="AE387" s="1005"/>
      <c r="AF387" s="1005"/>
      <c r="AG387" s="1004"/>
      <c r="AH387" s="1004"/>
      <c r="AI387" s="1004"/>
      <c r="AJ387" s="1004"/>
      <c r="AK387" s="1004"/>
      <c r="AL387" s="1004"/>
      <c r="AM387" s="1004"/>
      <c r="AN387" s="1004"/>
      <c r="AO387" s="1004"/>
      <c r="AP387" s="1004"/>
      <c r="AQ387" s="1004"/>
      <c r="AR387" s="1004"/>
      <c r="AS387" s="1004"/>
      <c r="AT387" s="1004"/>
      <c r="AU387" s="1004"/>
      <c r="AV387" s="1004"/>
      <c r="AW387" s="1004"/>
    </row>
    <row r="388" spans="1:49" ht="15.75">
      <c r="A388" s="1004"/>
      <c r="B388" s="1004"/>
      <c r="C388" s="1004"/>
      <c r="I388" s="1004"/>
      <c r="J388" s="1004"/>
      <c r="K388" s="1004"/>
      <c r="L388" s="777">
        <v>5</v>
      </c>
      <c r="M388" s="778"/>
      <c r="N388" s="976">
        <v>0</v>
      </c>
      <c r="O388" s="1020">
        <v>268</v>
      </c>
      <c r="P388" s="847" t="e">
        <f>VLOOKUP(N388,etat!$A$9:$N$1004,2,FALSE)</f>
        <v>#N/A</v>
      </c>
      <c r="Q388" s="797" t="e">
        <f>VLOOKUP(N388,etat!$A$9:$N$963,7,FALSE)</f>
        <v>#N/A</v>
      </c>
      <c r="R388" s="797" t="e">
        <f>VLOOKUP(N388,etat!$A$9:$N$1003,9,FALSE)</f>
        <v>#N/A</v>
      </c>
      <c r="S388" s="866" t="e">
        <f>VLOOKUP(N388,etat!$A$9:$P$905,16,FALSE)</f>
        <v>#N/A</v>
      </c>
      <c r="T388" s="755"/>
      <c r="U388" s="784"/>
      <c r="V388" s="784"/>
      <c r="W388" s="784"/>
      <c r="X388" s="784"/>
      <c r="Y388" s="784"/>
      <c r="Z388" s="975"/>
      <c r="AA388" s="967"/>
      <c r="AB388" s="1005"/>
      <c r="AC388" s="1005"/>
      <c r="AD388" s="1005"/>
      <c r="AE388" s="1005"/>
      <c r="AF388" s="1005"/>
      <c r="AG388" s="1004"/>
      <c r="AH388" s="1004"/>
      <c r="AI388" s="1004"/>
      <c r="AJ388" s="1004"/>
      <c r="AK388" s="1004"/>
      <c r="AL388" s="1004"/>
      <c r="AM388" s="1004"/>
      <c r="AN388" s="1004"/>
      <c r="AO388" s="1004"/>
      <c r="AP388" s="1004"/>
      <c r="AQ388" s="1004"/>
      <c r="AR388" s="1004"/>
      <c r="AS388" s="1004"/>
      <c r="AT388" s="1004"/>
      <c r="AU388" s="1004"/>
      <c r="AV388" s="1004"/>
      <c r="AW388" s="1004"/>
    </row>
    <row r="389" spans="1:49" ht="18.75">
      <c r="A389" s="1004"/>
      <c r="B389" s="1004"/>
      <c r="C389" s="1004"/>
      <c r="I389" s="1004"/>
      <c r="J389" s="1004"/>
      <c r="K389" s="1004"/>
      <c r="L389" s="777">
        <v>5</v>
      </c>
      <c r="M389" s="778"/>
      <c r="N389" s="976">
        <v>0</v>
      </c>
      <c r="O389" s="1020">
        <v>269</v>
      </c>
      <c r="P389" s="847" t="e">
        <f>VLOOKUP(N389,etat!$A$9:$N$1004,2,FALSE)</f>
        <v>#N/A</v>
      </c>
      <c r="Q389" s="797" t="e">
        <f>VLOOKUP(N389,etat!$A$9:$N$963,7,FALSE)</f>
        <v>#N/A</v>
      </c>
      <c r="R389" s="797" t="e">
        <f>VLOOKUP(N389,etat!$A$9:$N$1003,9,FALSE)</f>
        <v>#N/A</v>
      </c>
      <c r="S389" s="866" t="e">
        <f>VLOOKUP(N389,etat!$A$9:$P$905,16,FALSE)</f>
        <v>#N/A</v>
      </c>
      <c r="T389" s="755"/>
      <c r="U389" s="784"/>
      <c r="V389" s="784"/>
      <c r="W389" s="955"/>
      <c r="X389" s="955"/>
      <c r="Y389" s="956"/>
      <c r="Z389" s="975"/>
      <c r="AA389" s="967"/>
      <c r="AB389" s="1005"/>
      <c r="AC389" s="1005"/>
      <c r="AD389" s="1005"/>
      <c r="AE389" s="1005"/>
      <c r="AF389" s="1005"/>
      <c r="AG389" s="1004"/>
      <c r="AH389" s="1004"/>
      <c r="AI389" s="1004"/>
      <c r="AJ389" s="1004"/>
      <c r="AK389" s="1004"/>
      <c r="AL389" s="1004"/>
      <c r="AM389" s="1004"/>
      <c r="AN389" s="1004"/>
      <c r="AO389" s="1004"/>
      <c r="AP389" s="1004"/>
      <c r="AQ389" s="1004"/>
      <c r="AR389" s="1004"/>
      <c r="AS389" s="1004"/>
      <c r="AT389" s="1004"/>
      <c r="AU389" s="1004"/>
      <c r="AV389" s="1004"/>
      <c r="AW389" s="1004"/>
    </row>
    <row r="390" spans="1:49" ht="18.75">
      <c r="A390" s="1004"/>
      <c r="B390" s="1004"/>
      <c r="C390" s="1004"/>
      <c r="I390" s="1004"/>
      <c r="J390" s="1004"/>
      <c r="K390" s="1004"/>
      <c r="L390" s="777">
        <v>5</v>
      </c>
      <c r="M390" s="864"/>
      <c r="N390" s="976">
        <v>0</v>
      </c>
      <c r="O390" s="1020">
        <v>270</v>
      </c>
      <c r="P390" s="847" t="e">
        <f>VLOOKUP(N390,etat!$A$9:$N$1004,2,FALSE)</f>
        <v>#N/A</v>
      </c>
      <c r="Q390" s="797" t="e">
        <f>VLOOKUP(N390,etat!$A$9:$N$963,7,FALSE)</f>
        <v>#N/A</v>
      </c>
      <c r="R390" s="797" t="e">
        <f>VLOOKUP(N390,etat!$A$9:$N$1003,9,FALSE)</f>
        <v>#N/A</v>
      </c>
      <c r="S390" s="866" t="e">
        <f>VLOOKUP(N390,etat!$A$9:$P$905,16,FALSE)</f>
        <v>#N/A</v>
      </c>
      <c r="T390" s="755"/>
      <c r="U390" s="784"/>
      <c r="V390" s="784"/>
      <c r="W390" s="955"/>
      <c r="X390" s="955"/>
      <c r="Y390" s="956"/>
      <c r="Z390" s="975"/>
      <c r="AA390" s="967"/>
      <c r="AB390" s="1005"/>
      <c r="AC390" s="1005"/>
      <c r="AD390" s="1005"/>
      <c r="AE390" s="1005"/>
      <c r="AF390" s="1005"/>
      <c r="AG390" s="1004"/>
      <c r="AH390" s="1004"/>
      <c r="AI390" s="1004"/>
      <c r="AJ390" s="1004"/>
      <c r="AK390" s="1004"/>
      <c r="AL390" s="1004"/>
      <c r="AM390" s="1004"/>
      <c r="AN390" s="1004"/>
      <c r="AO390" s="1004"/>
      <c r="AP390" s="1004"/>
      <c r="AQ390" s="1004"/>
      <c r="AR390" s="1004"/>
      <c r="AS390" s="1004"/>
      <c r="AT390" s="1004"/>
      <c r="AU390" s="1004"/>
      <c r="AV390" s="1004"/>
      <c r="AW390" s="1004"/>
    </row>
    <row r="391" spans="1:49" ht="15.75">
      <c r="A391" s="1004"/>
      <c r="B391" s="1004"/>
      <c r="C391" s="1004"/>
      <c r="I391" s="1004"/>
      <c r="J391" s="1004"/>
      <c r="K391" s="1004"/>
      <c r="L391" s="777">
        <v>5</v>
      </c>
      <c r="M391" s="864"/>
      <c r="N391" s="976">
        <v>0</v>
      </c>
      <c r="O391" s="1020">
        <v>271</v>
      </c>
      <c r="P391" s="847" t="e">
        <f>VLOOKUP(N391,etat!$A$9:$N$1004,2,FALSE)</f>
        <v>#N/A</v>
      </c>
      <c r="Q391" s="797" t="e">
        <f>VLOOKUP(N391,etat!$A$9:$N$963,7,FALSE)</f>
        <v>#N/A</v>
      </c>
      <c r="R391" s="797" t="e">
        <f>VLOOKUP(N391,etat!$A$9:$N$1003,9,FALSE)</f>
        <v>#N/A</v>
      </c>
      <c r="S391" s="866" t="e">
        <f>VLOOKUP(N391,etat!$A$9:$P$905,16,FALSE)</f>
        <v>#N/A</v>
      </c>
      <c r="T391" s="755"/>
      <c r="U391" s="784"/>
      <c r="V391" s="784"/>
      <c r="W391" s="784"/>
      <c r="X391" s="784"/>
      <c r="Y391" s="975"/>
      <c r="Z391" s="975"/>
      <c r="AA391" s="967"/>
      <c r="AB391" s="1005"/>
      <c r="AC391" s="1005"/>
      <c r="AD391" s="1005"/>
      <c r="AE391" s="1005"/>
      <c r="AF391" s="1005"/>
      <c r="AG391" s="1004"/>
      <c r="AH391" s="1004"/>
      <c r="AI391" s="1004"/>
      <c r="AJ391" s="1004"/>
      <c r="AK391" s="1004"/>
      <c r="AL391" s="1004"/>
      <c r="AM391" s="1004"/>
      <c r="AN391" s="1004"/>
      <c r="AO391" s="1004"/>
      <c r="AP391" s="1004"/>
      <c r="AQ391" s="1004"/>
      <c r="AR391" s="1004"/>
      <c r="AS391" s="1004"/>
      <c r="AT391" s="1004"/>
      <c r="AU391" s="1004"/>
      <c r="AV391" s="1004"/>
      <c r="AW391" s="1004"/>
    </row>
    <row r="392" spans="1:49" ht="15.75">
      <c r="A392" s="1004"/>
      <c r="B392" s="1004"/>
      <c r="C392" s="1004"/>
      <c r="I392" s="1004"/>
      <c r="J392" s="1004"/>
      <c r="K392" s="1004"/>
      <c r="L392" s="777">
        <v>5</v>
      </c>
      <c r="M392" s="864"/>
      <c r="N392" s="976">
        <v>0</v>
      </c>
      <c r="O392" s="1020">
        <v>272</v>
      </c>
      <c r="P392" s="847" t="e">
        <f>VLOOKUP(N392,etat!$A$9:$N$1004,2,FALSE)</f>
        <v>#N/A</v>
      </c>
      <c r="Q392" s="797" t="e">
        <f>VLOOKUP(N392,etat!$A$9:$N$963,7,FALSE)</f>
        <v>#N/A</v>
      </c>
      <c r="R392" s="797" t="e">
        <f>VLOOKUP(N392,etat!$A$9:$N$1003,9,FALSE)</f>
        <v>#N/A</v>
      </c>
      <c r="S392" s="866" t="e">
        <f>VLOOKUP(N392,etat!$A$9:$P$905,16,FALSE)</f>
        <v>#N/A</v>
      </c>
      <c r="T392" s="755"/>
      <c r="U392" s="784"/>
      <c r="V392" s="784"/>
      <c r="W392" s="784"/>
      <c r="X392" s="784"/>
      <c r="Y392" s="975"/>
      <c r="Z392" s="975"/>
      <c r="AA392" s="967"/>
      <c r="AB392" s="1005"/>
      <c r="AC392" s="1005"/>
      <c r="AD392" s="1005"/>
      <c r="AE392" s="1005"/>
      <c r="AF392" s="1005"/>
      <c r="AG392" s="1004"/>
      <c r="AH392" s="1004"/>
      <c r="AI392" s="1004"/>
      <c r="AJ392" s="1004"/>
      <c r="AK392" s="1004"/>
      <c r="AL392" s="1004"/>
      <c r="AM392" s="1004"/>
      <c r="AN392" s="1004"/>
      <c r="AO392" s="1004"/>
      <c r="AP392" s="1004"/>
      <c r="AQ392" s="1004"/>
      <c r="AR392" s="1004"/>
      <c r="AS392" s="1004"/>
      <c r="AT392" s="1004"/>
      <c r="AU392" s="1004"/>
      <c r="AV392" s="1004"/>
      <c r="AW392" s="1004"/>
    </row>
    <row r="393" spans="1:49" ht="18.75">
      <c r="A393" s="1004"/>
      <c r="B393" s="1004"/>
      <c r="C393" s="1004"/>
      <c r="I393" s="1004"/>
      <c r="J393" s="1004"/>
      <c r="K393" s="1004"/>
      <c r="L393" s="777">
        <v>5</v>
      </c>
      <c r="M393" s="864"/>
      <c r="N393" s="976">
        <v>0</v>
      </c>
      <c r="O393" s="1020">
        <v>273</v>
      </c>
      <c r="P393" s="847" t="e">
        <f>VLOOKUP(N393,etat!$A$9:$N$1004,2,FALSE)</f>
        <v>#N/A</v>
      </c>
      <c r="Q393" s="797" t="e">
        <f>VLOOKUP(N393,etat!$A$9:$N$963,7,FALSE)</f>
        <v>#N/A</v>
      </c>
      <c r="R393" s="797" t="e">
        <f>VLOOKUP(N393,etat!$A$9:$N$1003,9,FALSE)</f>
        <v>#N/A</v>
      </c>
      <c r="S393" s="866" t="e">
        <f>VLOOKUP(N393,etat!$A$9:$P$905,16,FALSE)</f>
        <v>#N/A</v>
      </c>
      <c r="T393" s="755"/>
      <c r="U393" s="784"/>
      <c r="V393" s="784"/>
      <c r="W393" s="955"/>
      <c r="X393" s="955"/>
      <c r="Y393" s="956"/>
      <c r="Z393" s="975"/>
      <c r="AA393" s="967"/>
      <c r="AB393" s="1005"/>
      <c r="AC393" s="1005"/>
      <c r="AD393" s="1005"/>
      <c r="AE393" s="1005"/>
      <c r="AF393" s="1005"/>
      <c r="AG393" s="1004"/>
      <c r="AH393" s="1004"/>
      <c r="AI393" s="1004"/>
      <c r="AJ393" s="1004"/>
      <c r="AK393" s="1004"/>
      <c r="AL393" s="1004"/>
      <c r="AM393" s="1004"/>
      <c r="AN393" s="1004"/>
      <c r="AO393" s="1004"/>
      <c r="AP393" s="1004"/>
      <c r="AQ393" s="1004"/>
      <c r="AR393" s="1004"/>
      <c r="AS393" s="1004"/>
      <c r="AT393" s="1004"/>
      <c r="AU393" s="1004"/>
      <c r="AV393" s="1004"/>
      <c r="AW393" s="1004"/>
    </row>
    <row r="394" spans="1:49" ht="15.75">
      <c r="A394" s="1004"/>
      <c r="B394" s="1004"/>
      <c r="C394" s="1004"/>
      <c r="I394" s="1004"/>
      <c r="J394" s="1004"/>
      <c r="K394" s="1004"/>
      <c r="L394" s="777">
        <v>5</v>
      </c>
      <c r="M394" s="778"/>
      <c r="N394" s="976">
        <v>0</v>
      </c>
      <c r="O394" s="1020">
        <v>274</v>
      </c>
      <c r="P394" s="847" t="e">
        <f>VLOOKUP(N394,etat!$A$9:$N$1004,2,FALSE)</f>
        <v>#N/A</v>
      </c>
      <c r="Q394" s="797" t="e">
        <f>VLOOKUP(N394,etat!$A$9:$N$963,7,FALSE)</f>
        <v>#N/A</v>
      </c>
      <c r="R394" s="797" t="e">
        <f>VLOOKUP(N394,etat!$A$9:$N$1003,9,FALSE)</f>
        <v>#N/A</v>
      </c>
      <c r="S394" s="866" t="e">
        <f>VLOOKUP(N394,etat!$A$9:$P$905,16,FALSE)</f>
        <v>#N/A</v>
      </c>
      <c r="T394" s="755"/>
      <c r="U394" s="784"/>
      <c r="V394" s="784"/>
      <c r="W394" s="784"/>
      <c r="X394" s="784"/>
      <c r="Y394" s="975"/>
      <c r="Z394" s="975"/>
      <c r="AA394" s="967"/>
      <c r="AB394" s="1005"/>
      <c r="AC394" s="1005"/>
      <c r="AD394" s="1005"/>
      <c r="AE394" s="1005"/>
      <c r="AF394" s="1005"/>
      <c r="AG394" s="1004"/>
      <c r="AH394" s="1004"/>
      <c r="AI394" s="1004"/>
      <c r="AJ394" s="1004"/>
      <c r="AK394" s="1004"/>
      <c r="AL394" s="1004"/>
      <c r="AM394" s="1004"/>
      <c r="AN394" s="1004"/>
      <c r="AO394" s="1004"/>
      <c r="AP394" s="1004"/>
      <c r="AQ394" s="1004"/>
      <c r="AR394" s="1004"/>
      <c r="AS394" s="1004"/>
      <c r="AT394" s="1004"/>
      <c r="AU394" s="1004"/>
      <c r="AV394" s="1004"/>
      <c r="AW394" s="1004"/>
    </row>
    <row r="395" spans="1:49" ht="18.75">
      <c r="A395" s="1004"/>
      <c r="B395" s="1004"/>
      <c r="C395" s="1004"/>
      <c r="I395" s="1004"/>
      <c r="J395" s="1004"/>
      <c r="K395" s="1004"/>
      <c r="L395" s="777">
        <v>5</v>
      </c>
      <c r="M395" s="778"/>
      <c r="N395" s="976">
        <v>0</v>
      </c>
      <c r="O395" s="1020">
        <v>275</v>
      </c>
      <c r="P395" s="847" t="e">
        <f>VLOOKUP(N395,etat!$A$9:$N$1004,2,FALSE)</f>
        <v>#N/A</v>
      </c>
      <c r="Q395" s="797" t="e">
        <f>VLOOKUP(N395,etat!$A$9:$N$963,7,FALSE)</f>
        <v>#N/A</v>
      </c>
      <c r="R395" s="797" t="e">
        <f>VLOOKUP(N395,etat!$A$9:$N$1003,9,FALSE)</f>
        <v>#N/A</v>
      </c>
      <c r="S395" s="866" t="e">
        <f>VLOOKUP(N395,etat!$A$9:$P$905,16,FALSE)</f>
        <v>#N/A</v>
      </c>
      <c r="T395" s="755"/>
      <c r="U395" s="784"/>
      <c r="V395" s="784"/>
      <c r="W395" s="955"/>
      <c r="X395" s="955"/>
      <c r="Y395" s="956"/>
      <c r="Z395" s="975"/>
      <c r="AA395" s="967"/>
      <c r="AB395" s="1005"/>
      <c r="AC395" s="1005"/>
      <c r="AD395" s="1005"/>
      <c r="AE395" s="1005"/>
      <c r="AF395" s="1005"/>
      <c r="AG395" s="1004"/>
      <c r="AH395" s="1004"/>
      <c r="AI395" s="1004"/>
      <c r="AJ395" s="1004"/>
      <c r="AK395" s="1004"/>
      <c r="AL395" s="1004"/>
      <c r="AM395" s="1004"/>
      <c r="AN395" s="1004"/>
      <c r="AO395" s="1004"/>
      <c r="AP395" s="1004"/>
      <c r="AQ395" s="1004"/>
      <c r="AR395" s="1004"/>
      <c r="AS395" s="1004"/>
      <c r="AT395" s="1004"/>
      <c r="AU395" s="1004"/>
      <c r="AV395" s="1004"/>
      <c r="AW395" s="1004"/>
    </row>
    <row r="396" spans="1:49" ht="18.75">
      <c r="A396" s="1004"/>
      <c r="B396" s="1004"/>
      <c r="C396" s="1004"/>
      <c r="I396" s="1004"/>
      <c r="J396" s="1004"/>
      <c r="K396" s="1004"/>
      <c r="L396" s="777">
        <v>5</v>
      </c>
      <c r="M396" s="778"/>
      <c r="N396" s="976">
        <v>0</v>
      </c>
      <c r="O396" s="1020">
        <v>276</v>
      </c>
      <c r="P396" s="847" t="e">
        <f>VLOOKUP(N396,etat!$A$9:$N$1004,2,FALSE)</f>
        <v>#N/A</v>
      </c>
      <c r="Q396" s="797" t="e">
        <f>VLOOKUP(N396,etat!$A$9:$N$963,7,FALSE)</f>
        <v>#N/A</v>
      </c>
      <c r="R396" s="797" t="e">
        <f>VLOOKUP(N396,etat!$A$9:$N$1003,9,FALSE)</f>
        <v>#N/A</v>
      </c>
      <c r="S396" s="866" t="e">
        <f>VLOOKUP(N396,etat!$A$9:$P$905,16,FALSE)</f>
        <v>#N/A</v>
      </c>
      <c r="T396" s="755"/>
      <c r="U396" s="784"/>
      <c r="V396" s="784"/>
      <c r="W396" s="955"/>
      <c r="X396" s="955"/>
      <c r="Y396" s="956"/>
      <c r="Z396" s="975"/>
      <c r="AA396" s="967"/>
      <c r="AB396" s="1005"/>
      <c r="AC396" s="1005"/>
      <c r="AD396" s="1005"/>
      <c r="AE396" s="1005"/>
      <c r="AF396" s="1005"/>
      <c r="AG396" s="1004"/>
      <c r="AH396" s="1004"/>
      <c r="AI396" s="1004"/>
      <c r="AJ396" s="1004"/>
      <c r="AK396" s="1004"/>
      <c r="AL396" s="1004"/>
      <c r="AM396" s="1004"/>
      <c r="AN396" s="1004"/>
      <c r="AO396" s="1004"/>
      <c r="AP396" s="1004"/>
      <c r="AQ396" s="1004"/>
      <c r="AR396" s="1004"/>
      <c r="AS396" s="1004"/>
      <c r="AT396" s="1004"/>
      <c r="AU396" s="1004"/>
      <c r="AV396" s="1004"/>
      <c r="AW396" s="1004"/>
    </row>
    <row r="397" spans="1:49" ht="15.75">
      <c r="A397" s="1004"/>
      <c r="B397" s="1004"/>
      <c r="C397" s="1004"/>
      <c r="I397" s="1004"/>
      <c r="J397" s="1004"/>
      <c r="K397" s="1004"/>
      <c r="L397" s="777">
        <v>5</v>
      </c>
      <c r="M397" s="778"/>
      <c r="N397" s="976">
        <v>0</v>
      </c>
      <c r="O397" s="1020">
        <v>277</v>
      </c>
      <c r="P397" s="847" t="e">
        <f>VLOOKUP(N397,etat!$A$9:$N$1004,2,FALSE)</f>
        <v>#N/A</v>
      </c>
      <c r="Q397" s="797" t="e">
        <f>VLOOKUP(N397,etat!$A$9:$N$963,7,FALSE)</f>
        <v>#N/A</v>
      </c>
      <c r="R397" s="797" t="e">
        <f>VLOOKUP(N397,etat!$A$9:$N$1003,9,FALSE)</f>
        <v>#N/A</v>
      </c>
      <c r="S397" s="866" t="e">
        <f>VLOOKUP(N397,etat!$A$9:$P$905,16,FALSE)</f>
        <v>#N/A</v>
      </c>
      <c r="T397" s="755"/>
      <c r="U397" s="784"/>
      <c r="V397" s="784"/>
      <c r="W397" s="784"/>
      <c r="X397" s="784"/>
      <c r="Y397" s="784"/>
      <c r="Z397" s="975"/>
      <c r="AA397" s="967"/>
      <c r="AB397" s="1005"/>
      <c r="AC397" s="1005"/>
      <c r="AD397" s="1005"/>
      <c r="AE397" s="1005"/>
      <c r="AF397" s="1005"/>
      <c r="AG397" s="1004"/>
      <c r="AH397" s="1004"/>
      <c r="AI397" s="1004"/>
      <c r="AJ397" s="1004"/>
      <c r="AK397" s="1004"/>
      <c r="AL397" s="1004"/>
      <c r="AM397" s="1004"/>
      <c r="AN397" s="1004"/>
      <c r="AO397" s="1004"/>
      <c r="AP397" s="1004"/>
      <c r="AQ397" s="1004"/>
      <c r="AR397" s="1004"/>
      <c r="AS397" s="1004"/>
      <c r="AT397" s="1004"/>
      <c r="AU397" s="1004"/>
      <c r="AV397" s="1004"/>
      <c r="AW397" s="1004"/>
    </row>
    <row r="398" spans="1:49" ht="18.75">
      <c r="A398" s="1004"/>
      <c r="B398" s="1004"/>
      <c r="C398" s="1004"/>
      <c r="I398" s="1004"/>
      <c r="J398" s="1004"/>
      <c r="K398" s="1004"/>
      <c r="L398" s="777">
        <v>5</v>
      </c>
      <c r="M398" s="778"/>
      <c r="N398" s="976">
        <v>0</v>
      </c>
      <c r="O398" s="1020">
        <v>278</v>
      </c>
      <c r="P398" s="847" t="e">
        <f>VLOOKUP(N398,etat!$A$9:$N$1004,2,FALSE)</f>
        <v>#N/A</v>
      </c>
      <c r="Q398" s="797" t="e">
        <f>VLOOKUP(N398,etat!$A$9:$N$963,7,FALSE)</f>
        <v>#N/A</v>
      </c>
      <c r="R398" s="797" t="e">
        <f>VLOOKUP(N398,etat!$A$9:$N$1003,9,FALSE)</f>
        <v>#N/A</v>
      </c>
      <c r="S398" s="866" t="e">
        <f>VLOOKUP(N398,etat!$A$9:$P$905,16,FALSE)</f>
        <v>#N/A</v>
      </c>
      <c r="T398" s="755"/>
      <c r="U398" s="784"/>
      <c r="V398" s="784"/>
      <c r="W398" s="955"/>
      <c r="X398" s="955"/>
      <c r="Y398" s="956"/>
      <c r="Z398" s="975"/>
      <c r="AA398" s="967"/>
      <c r="AB398" s="1005"/>
      <c r="AC398" s="1005"/>
      <c r="AD398" s="1005"/>
      <c r="AE398" s="1005"/>
      <c r="AF398" s="1005"/>
      <c r="AG398" s="1004"/>
      <c r="AH398" s="1004"/>
      <c r="AI398" s="1004"/>
      <c r="AJ398" s="1004"/>
      <c r="AK398" s="1004"/>
      <c r="AL398" s="1004"/>
      <c r="AM398" s="1004"/>
      <c r="AN398" s="1004"/>
      <c r="AO398" s="1004"/>
      <c r="AP398" s="1004"/>
      <c r="AQ398" s="1004"/>
      <c r="AR398" s="1004"/>
      <c r="AS398" s="1004"/>
      <c r="AT398" s="1004"/>
      <c r="AU398" s="1004"/>
      <c r="AV398" s="1004"/>
      <c r="AW398" s="1004"/>
    </row>
    <row r="399" spans="1:49" ht="15.75">
      <c r="A399" s="1004"/>
      <c r="B399" s="1004"/>
      <c r="C399" s="1004"/>
      <c r="I399" s="1004"/>
      <c r="J399" s="1004"/>
      <c r="K399" s="1004"/>
      <c r="L399" s="777">
        <v>5</v>
      </c>
      <c r="M399" s="778"/>
      <c r="N399" s="976">
        <v>0</v>
      </c>
      <c r="O399" s="1020">
        <v>279</v>
      </c>
      <c r="P399" s="847" t="e">
        <f>VLOOKUP(N399,etat!$A$9:$N$1004,2,FALSE)</f>
        <v>#N/A</v>
      </c>
      <c r="Q399" s="797" t="e">
        <f>VLOOKUP(N399,etat!$A$9:$N$963,7,FALSE)</f>
        <v>#N/A</v>
      </c>
      <c r="R399" s="797" t="e">
        <f>VLOOKUP(N399,etat!$A$9:$N$1003,9,FALSE)</f>
        <v>#N/A</v>
      </c>
      <c r="S399" s="866" t="e">
        <f>VLOOKUP(N399,etat!$A$9:$P$905,16,FALSE)</f>
        <v>#N/A</v>
      </c>
      <c r="T399" s="755"/>
      <c r="U399" s="784"/>
      <c r="V399" s="784"/>
      <c r="W399" s="784"/>
      <c r="X399" s="784"/>
      <c r="Y399" s="975"/>
      <c r="Z399" s="975"/>
      <c r="AA399" s="967"/>
      <c r="AB399" s="1005"/>
      <c r="AC399" s="1005"/>
      <c r="AD399" s="1005"/>
      <c r="AE399" s="1005"/>
      <c r="AF399" s="1005"/>
      <c r="AG399" s="1004"/>
      <c r="AH399" s="1004"/>
      <c r="AI399" s="1004"/>
      <c r="AJ399" s="1004"/>
      <c r="AK399" s="1004"/>
      <c r="AL399" s="1004"/>
      <c r="AM399" s="1004"/>
      <c r="AN399" s="1004"/>
      <c r="AO399" s="1004"/>
      <c r="AP399" s="1004"/>
      <c r="AQ399" s="1004"/>
      <c r="AR399" s="1004"/>
      <c r="AS399" s="1004"/>
      <c r="AT399" s="1004"/>
      <c r="AU399" s="1004"/>
      <c r="AV399" s="1004"/>
      <c r="AW399" s="1004"/>
    </row>
    <row r="400" spans="1:49" ht="18.75">
      <c r="A400" s="1004"/>
      <c r="B400" s="1004"/>
      <c r="C400" s="1004"/>
      <c r="I400" s="1004"/>
      <c r="J400" s="1004"/>
      <c r="K400" s="1004"/>
      <c r="L400" s="777">
        <v>5</v>
      </c>
      <c r="M400" s="778"/>
      <c r="N400" s="976">
        <v>0</v>
      </c>
      <c r="O400" s="1020">
        <v>280</v>
      </c>
      <c r="P400" s="847" t="e">
        <f>VLOOKUP(N400,etat!$A$9:$N$1004,2,FALSE)</f>
        <v>#N/A</v>
      </c>
      <c r="Q400" s="797" t="e">
        <f>VLOOKUP(N400,etat!$A$9:$N$963,7,FALSE)</f>
        <v>#N/A</v>
      </c>
      <c r="R400" s="797" t="e">
        <f>VLOOKUP(N400,etat!$A$9:$N$1003,9,FALSE)</f>
        <v>#N/A</v>
      </c>
      <c r="S400" s="866" t="e">
        <f>VLOOKUP(N400,etat!$A$9:$P$905,16,FALSE)</f>
        <v>#N/A</v>
      </c>
      <c r="T400" s="755"/>
      <c r="U400" s="784"/>
      <c r="V400" s="784"/>
      <c r="W400" s="955"/>
      <c r="X400" s="955"/>
      <c r="Y400" s="956"/>
      <c r="Z400" s="975"/>
      <c r="AA400" s="967"/>
      <c r="AB400" s="1005"/>
      <c r="AC400" s="1005"/>
      <c r="AD400" s="1005"/>
      <c r="AE400" s="1005"/>
      <c r="AF400" s="1005"/>
      <c r="AG400" s="1004"/>
      <c r="AH400" s="1004"/>
      <c r="AI400" s="1004"/>
      <c r="AJ400" s="1004"/>
      <c r="AK400" s="1004"/>
      <c r="AL400" s="1004"/>
      <c r="AM400" s="1004"/>
      <c r="AN400" s="1004"/>
      <c r="AO400" s="1004"/>
      <c r="AP400" s="1004"/>
      <c r="AQ400" s="1004"/>
      <c r="AR400" s="1004"/>
      <c r="AS400" s="1004"/>
      <c r="AT400" s="1004"/>
      <c r="AU400" s="1004"/>
      <c r="AV400" s="1004"/>
      <c r="AW400" s="1004"/>
    </row>
    <row r="401" spans="1:49" ht="15.75">
      <c r="A401" s="1004"/>
      <c r="B401" s="1004"/>
      <c r="C401" s="1004"/>
      <c r="I401" s="1004"/>
      <c r="J401" s="1004"/>
      <c r="K401" s="1004"/>
      <c r="L401" s="777">
        <v>5</v>
      </c>
      <c r="M401" s="778"/>
      <c r="N401" s="976">
        <v>0</v>
      </c>
      <c r="O401" s="1020">
        <v>281</v>
      </c>
      <c r="P401" s="847" t="e">
        <f>VLOOKUP(N401,etat!$A$9:$N$1004,2,FALSE)</f>
        <v>#N/A</v>
      </c>
      <c r="Q401" s="797" t="e">
        <f>VLOOKUP(N401,etat!$A$9:$N$963,7,FALSE)</f>
        <v>#N/A</v>
      </c>
      <c r="R401" s="797" t="e">
        <f>VLOOKUP(N401,etat!$A$9:$N$1003,9,FALSE)</f>
        <v>#N/A</v>
      </c>
      <c r="S401" s="866" t="e">
        <f>VLOOKUP(N401,etat!$A$9:$P$905,16,FALSE)</f>
        <v>#N/A</v>
      </c>
      <c r="T401" s="755"/>
      <c r="U401" s="784"/>
      <c r="V401" s="784"/>
      <c r="W401" s="784"/>
      <c r="X401" s="784"/>
      <c r="Y401" s="784"/>
      <c r="Z401" s="975"/>
      <c r="AA401" s="967"/>
      <c r="AB401" s="1005"/>
      <c r="AC401" s="1005"/>
      <c r="AD401" s="1005"/>
      <c r="AE401" s="1005"/>
      <c r="AF401" s="1005"/>
      <c r="AG401" s="1004"/>
      <c r="AH401" s="1004"/>
      <c r="AI401" s="1004"/>
      <c r="AJ401" s="1004"/>
      <c r="AK401" s="1004"/>
      <c r="AL401" s="1004"/>
      <c r="AM401" s="1004"/>
      <c r="AN401" s="1004"/>
      <c r="AO401" s="1004"/>
      <c r="AP401" s="1004"/>
      <c r="AQ401" s="1004"/>
      <c r="AR401" s="1004"/>
      <c r="AS401" s="1004"/>
      <c r="AT401" s="1004"/>
      <c r="AU401" s="1004"/>
      <c r="AV401" s="1004"/>
      <c r="AW401" s="1004"/>
    </row>
    <row r="402" spans="1:49" ht="15.75">
      <c r="A402" s="1004"/>
      <c r="B402" s="1004"/>
      <c r="C402" s="1004"/>
      <c r="I402" s="1004"/>
      <c r="J402" s="1004"/>
      <c r="K402" s="1004"/>
      <c r="L402" s="777">
        <v>5</v>
      </c>
      <c r="M402" s="778"/>
      <c r="N402" s="976">
        <v>0</v>
      </c>
      <c r="O402" s="1020">
        <v>282</v>
      </c>
      <c r="P402" s="847" t="e">
        <f>VLOOKUP(N402,etat!$A$9:$N$1004,2,FALSE)</f>
        <v>#N/A</v>
      </c>
      <c r="Q402" s="797" t="e">
        <f>VLOOKUP(N402,etat!$A$9:$N$963,7,FALSE)</f>
        <v>#N/A</v>
      </c>
      <c r="R402" s="797" t="e">
        <f>VLOOKUP(N402,etat!$A$9:$N$1003,9,FALSE)</f>
        <v>#N/A</v>
      </c>
      <c r="S402" s="866" t="e">
        <f>VLOOKUP(N402,etat!$A$9:$P$905,16,FALSE)</f>
        <v>#N/A</v>
      </c>
      <c r="T402" s="755"/>
      <c r="U402" s="784"/>
      <c r="V402" s="784"/>
      <c r="W402" s="784"/>
      <c r="X402" s="784"/>
      <c r="Y402" s="784"/>
      <c r="Z402" s="975"/>
      <c r="AA402" s="967"/>
      <c r="AB402" s="1005"/>
      <c r="AC402" s="1005"/>
      <c r="AD402" s="1005"/>
      <c r="AE402" s="1005"/>
      <c r="AF402" s="1005"/>
      <c r="AG402" s="1004"/>
      <c r="AH402" s="1004"/>
      <c r="AI402" s="1004"/>
      <c r="AJ402" s="1004"/>
      <c r="AK402" s="1004"/>
      <c r="AL402" s="1004"/>
      <c r="AM402" s="1004"/>
      <c r="AN402" s="1004"/>
      <c r="AO402" s="1004"/>
      <c r="AP402" s="1004"/>
      <c r="AQ402" s="1004"/>
      <c r="AR402" s="1004"/>
      <c r="AS402" s="1004"/>
      <c r="AT402" s="1004"/>
      <c r="AU402" s="1004"/>
      <c r="AV402" s="1004"/>
      <c r="AW402" s="1004"/>
    </row>
    <row r="403" spans="1:49" ht="15.75">
      <c r="A403" s="1004"/>
      <c r="B403" s="1004"/>
      <c r="C403" s="1004"/>
      <c r="I403" s="1004"/>
      <c r="J403" s="1004"/>
      <c r="K403" s="1004"/>
      <c r="L403" s="777">
        <v>5</v>
      </c>
      <c r="M403" s="778"/>
      <c r="N403" s="976">
        <v>0</v>
      </c>
      <c r="O403" s="1020">
        <v>283</v>
      </c>
      <c r="P403" s="847" t="e">
        <f>VLOOKUP(N403,etat!$A$9:$N$1004,2,FALSE)</f>
        <v>#N/A</v>
      </c>
      <c r="Q403" s="797" t="e">
        <f>VLOOKUP(N403,etat!$A$9:$N$963,7,FALSE)</f>
        <v>#N/A</v>
      </c>
      <c r="R403" s="797" t="e">
        <f>VLOOKUP(N403,etat!$A$9:$N$1003,9,FALSE)</f>
        <v>#N/A</v>
      </c>
      <c r="S403" s="866" t="e">
        <f>VLOOKUP(N403,etat!$A$9:$P$905,16,FALSE)</f>
        <v>#N/A</v>
      </c>
      <c r="T403" s="755"/>
      <c r="U403" s="784"/>
      <c r="V403" s="784"/>
      <c r="W403" s="784"/>
      <c r="X403" s="784"/>
      <c r="Y403" s="784"/>
      <c r="Z403" s="975"/>
      <c r="AA403" s="967"/>
      <c r="AB403" s="1005"/>
      <c r="AC403" s="1005"/>
      <c r="AD403" s="1005"/>
      <c r="AE403" s="1005"/>
      <c r="AF403" s="1005"/>
      <c r="AG403" s="1004"/>
      <c r="AH403" s="1004"/>
      <c r="AI403" s="1004"/>
      <c r="AJ403" s="1004"/>
      <c r="AK403" s="1004"/>
      <c r="AL403" s="1004"/>
      <c r="AM403" s="1004"/>
      <c r="AN403" s="1004"/>
      <c r="AO403" s="1004"/>
      <c r="AP403" s="1004"/>
      <c r="AQ403" s="1004"/>
      <c r="AR403" s="1004"/>
      <c r="AS403" s="1004"/>
      <c r="AT403" s="1004"/>
      <c r="AU403" s="1004"/>
      <c r="AV403" s="1004"/>
      <c r="AW403" s="1004"/>
    </row>
    <row r="404" spans="1:49" ht="15.75">
      <c r="A404" s="1004"/>
      <c r="B404" s="1004"/>
      <c r="C404" s="1004"/>
      <c r="I404" s="1004"/>
      <c r="J404" s="1004"/>
      <c r="K404" s="1004"/>
      <c r="L404" s="777">
        <v>5</v>
      </c>
      <c r="M404" s="778"/>
      <c r="N404" s="976">
        <v>0</v>
      </c>
      <c r="O404" s="1020">
        <v>284</v>
      </c>
      <c r="P404" s="847" t="e">
        <f>VLOOKUP(N404,etat!$A$9:$N$1004,2,FALSE)</f>
        <v>#N/A</v>
      </c>
      <c r="Q404" s="797" t="e">
        <f>VLOOKUP(N404,etat!$A$9:$N$963,7,FALSE)</f>
        <v>#N/A</v>
      </c>
      <c r="R404" s="797" t="e">
        <f>VLOOKUP(N404,etat!$A$9:$N$1003,9,FALSE)</f>
        <v>#N/A</v>
      </c>
      <c r="S404" s="866" t="e">
        <f>VLOOKUP(N404,etat!$A$9:$P$905,16,FALSE)</f>
        <v>#N/A</v>
      </c>
      <c r="T404" s="755"/>
      <c r="U404" s="784"/>
      <c r="V404" s="784"/>
      <c r="W404" s="784"/>
      <c r="X404" s="784"/>
      <c r="Y404" s="784"/>
      <c r="Z404" s="975"/>
      <c r="AA404" s="967"/>
      <c r="AB404" s="1005"/>
      <c r="AC404" s="1005"/>
      <c r="AD404" s="1005"/>
      <c r="AE404" s="1005"/>
      <c r="AF404" s="1005"/>
      <c r="AG404" s="1004"/>
      <c r="AH404" s="1004"/>
      <c r="AI404" s="1004"/>
      <c r="AJ404" s="1004"/>
      <c r="AK404" s="1004"/>
      <c r="AL404" s="1004"/>
      <c r="AM404" s="1004"/>
      <c r="AN404" s="1004"/>
      <c r="AO404" s="1004"/>
      <c r="AP404" s="1004"/>
      <c r="AQ404" s="1004"/>
      <c r="AR404" s="1004"/>
      <c r="AS404" s="1004"/>
      <c r="AT404" s="1004"/>
      <c r="AU404" s="1004"/>
      <c r="AV404" s="1004"/>
      <c r="AW404" s="1004"/>
    </row>
    <row r="405" spans="1:49" ht="15.75">
      <c r="A405" s="1004"/>
      <c r="B405" s="1004"/>
      <c r="C405" s="1004"/>
      <c r="I405" s="1004"/>
      <c r="J405" s="1004"/>
      <c r="K405" s="1004"/>
      <c r="L405" s="777">
        <v>5</v>
      </c>
      <c r="M405" s="778"/>
      <c r="N405" s="976">
        <v>0</v>
      </c>
      <c r="O405" s="1020">
        <v>285</v>
      </c>
      <c r="P405" s="847" t="e">
        <f>VLOOKUP(N405,etat!$A$9:$N$1004,2,FALSE)</f>
        <v>#N/A</v>
      </c>
      <c r="Q405" s="797" t="e">
        <f>VLOOKUP(N405,etat!$A$9:$N$963,7,FALSE)</f>
        <v>#N/A</v>
      </c>
      <c r="R405" s="797" t="e">
        <f>VLOOKUP(N405,etat!$A$9:$N$1003,9,FALSE)</f>
        <v>#N/A</v>
      </c>
      <c r="S405" s="866" t="e">
        <f>VLOOKUP(N405,etat!$A$9:$P$905,16,FALSE)</f>
        <v>#N/A</v>
      </c>
      <c r="T405" s="755"/>
      <c r="U405" s="784"/>
      <c r="V405" s="784"/>
      <c r="W405" s="784"/>
      <c r="X405" s="784"/>
      <c r="Y405" s="784"/>
      <c r="Z405" s="975"/>
      <c r="AA405" s="967"/>
      <c r="AB405" s="1005"/>
      <c r="AC405" s="1005"/>
      <c r="AD405" s="1005"/>
      <c r="AE405" s="1005"/>
      <c r="AF405" s="1005"/>
      <c r="AG405" s="1004"/>
      <c r="AH405" s="1004"/>
      <c r="AI405" s="1004"/>
      <c r="AJ405" s="1004"/>
      <c r="AK405" s="1004"/>
      <c r="AL405" s="1004"/>
      <c r="AM405" s="1004"/>
      <c r="AN405" s="1004"/>
      <c r="AO405" s="1004"/>
      <c r="AP405" s="1004"/>
      <c r="AQ405" s="1004"/>
      <c r="AR405" s="1004"/>
      <c r="AS405" s="1004"/>
      <c r="AT405" s="1004"/>
      <c r="AU405" s="1004"/>
      <c r="AV405" s="1004"/>
      <c r="AW405" s="1004"/>
    </row>
    <row r="406" spans="1:49" ht="15.75">
      <c r="A406" s="1004"/>
      <c r="B406" s="1004"/>
      <c r="C406" s="1004"/>
      <c r="I406" s="1004"/>
      <c r="J406" s="1004"/>
      <c r="K406" s="1004"/>
      <c r="L406" s="777">
        <v>5</v>
      </c>
      <c r="M406" s="778"/>
      <c r="N406" s="976">
        <v>0</v>
      </c>
      <c r="O406" s="1020">
        <v>286</v>
      </c>
      <c r="P406" s="847" t="e">
        <f>VLOOKUP(N406,etat!$A$9:$N$1004,2,FALSE)</f>
        <v>#N/A</v>
      </c>
      <c r="Q406" s="797" t="e">
        <f>VLOOKUP(N406,etat!$A$9:$N$963,7,FALSE)</f>
        <v>#N/A</v>
      </c>
      <c r="R406" s="797" t="e">
        <f>VLOOKUP(N406,etat!$A$9:$N$1003,9,FALSE)</f>
        <v>#N/A</v>
      </c>
      <c r="S406" s="866" t="e">
        <f>VLOOKUP(N406,etat!$A$9:$P$905,16,FALSE)</f>
        <v>#N/A</v>
      </c>
      <c r="T406" s="755"/>
      <c r="U406" s="784"/>
      <c r="V406" s="784"/>
      <c r="W406" s="784"/>
      <c r="X406" s="784"/>
      <c r="Y406" s="784"/>
      <c r="Z406" s="975"/>
      <c r="AA406" s="967"/>
      <c r="AB406" s="1005"/>
      <c r="AC406" s="1005"/>
      <c r="AD406" s="1005"/>
      <c r="AE406" s="1005"/>
      <c r="AF406" s="1005"/>
      <c r="AG406" s="1004"/>
      <c r="AH406" s="1004"/>
      <c r="AI406" s="1004"/>
      <c r="AJ406" s="1004"/>
      <c r="AK406" s="1004"/>
      <c r="AL406" s="1004"/>
      <c r="AM406" s="1004"/>
      <c r="AN406" s="1004"/>
      <c r="AO406" s="1004"/>
      <c r="AP406" s="1004"/>
      <c r="AQ406" s="1004"/>
      <c r="AR406" s="1004"/>
      <c r="AS406" s="1004"/>
      <c r="AT406" s="1004"/>
      <c r="AU406" s="1004"/>
      <c r="AV406" s="1004"/>
      <c r="AW406" s="1004"/>
    </row>
    <row r="407" spans="1:49" ht="15.75">
      <c r="A407" s="1004"/>
      <c r="B407" s="1004"/>
      <c r="C407" s="1004"/>
      <c r="I407" s="1004"/>
      <c r="J407" s="1004"/>
      <c r="K407" s="1004"/>
      <c r="L407" s="777">
        <v>5</v>
      </c>
      <c r="M407" s="778"/>
      <c r="N407" s="976">
        <v>0</v>
      </c>
      <c r="O407" s="1020">
        <v>287</v>
      </c>
      <c r="P407" s="847" t="e">
        <f>VLOOKUP(N407,etat!$A$9:$N$1004,2,FALSE)</f>
        <v>#N/A</v>
      </c>
      <c r="Q407" s="797" t="e">
        <f>VLOOKUP(N407,etat!$A$9:$N$963,7,FALSE)</f>
        <v>#N/A</v>
      </c>
      <c r="R407" s="797" t="e">
        <f>VLOOKUP(N407,etat!$A$9:$N$1003,9,FALSE)</f>
        <v>#N/A</v>
      </c>
      <c r="S407" s="866" t="e">
        <f>VLOOKUP(N407,etat!$A$9:$P$905,16,FALSE)</f>
        <v>#N/A</v>
      </c>
      <c r="T407" s="755"/>
      <c r="U407" s="784"/>
      <c r="V407" s="784"/>
      <c r="W407" s="784"/>
      <c r="X407" s="784"/>
      <c r="Y407" s="784"/>
      <c r="Z407" s="975"/>
      <c r="AA407" s="967"/>
      <c r="AB407" s="1005"/>
      <c r="AC407" s="1005"/>
      <c r="AD407" s="1005"/>
      <c r="AE407" s="1005"/>
      <c r="AF407" s="1005"/>
      <c r="AG407" s="1004"/>
      <c r="AH407" s="1004"/>
      <c r="AI407" s="1004"/>
      <c r="AJ407" s="1004"/>
      <c r="AK407" s="1004"/>
      <c r="AL407" s="1004"/>
      <c r="AM407" s="1004"/>
      <c r="AN407" s="1004"/>
      <c r="AO407" s="1004"/>
      <c r="AP407" s="1004"/>
      <c r="AQ407" s="1004"/>
      <c r="AR407" s="1004"/>
      <c r="AS407" s="1004"/>
      <c r="AT407" s="1004"/>
      <c r="AU407" s="1004"/>
      <c r="AV407" s="1004"/>
      <c r="AW407" s="1004"/>
    </row>
    <row r="408" spans="1:49" ht="15.75">
      <c r="A408" s="1004"/>
      <c r="B408" s="1004"/>
      <c r="C408" s="1004"/>
      <c r="I408" s="1004"/>
      <c r="J408" s="1004"/>
      <c r="K408" s="1004"/>
      <c r="L408" s="777">
        <v>5</v>
      </c>
      <c r="M408" s="778"/>
      <c r="N408" s="976">
        <v>0</v>
      </c>
      <c r="O408" s="1020">
        <v>288</v>
      </c>
      <c r="P408" s="847" t="e">
        <f>VLOOKUP(N408,etat!$A$9:$N$1004,2,FALSE)</f>
        <v>#N/A</v>
      </c>
      <c r="Q408" s="797" t="e">
        <f>VLOOKUP(N408,etat!$A$9:$N$963,7,FALSE)</f>
        <v>#N/A</v>
      </c>
      <c r="R408" s="797" t="e">
        <f>VLOOKUP(N408,etat!$A$9:$N$1003,9,FALSE)</f>
        <v>#N/A</v>
      </c>
      <c r="S408" s="866" t="e">
        <f>VLOOKUP(N408,etat!$A$9:$P$905,16,FALSE)</f>
        <v>#N/A</v>
      </c>
      <c r="T408" s="755"/>
      <c r="U408" s="784"/>
      <c r="V408" s="784"/>
      <c r="W408" s="784"/>
      <c r="X408" s="784"/>
      <c r="Y408" s="975"/>
      <c r="Z408" s="975"/>
      <c r="AA408" s="967"/>
      <c r="AB408" s="1005"/>
      <c r="AC408" s="1005"/>
      <c r="AD408" s="1005"/>
      <c r="AE408" s="1005"/>
      <c r="AF408" s="1005"/>
      <c r="AG408" s="1004"/>
      <c r="AH408" s="1004"/>
      <c r="AI408" s="1004"/>
      <c r="AJ408" s="1004"/>
      <c r="AK408" s="1004"/>
      <c r="AL408" s="1004"/>
      <c r="AM408" s="1004"/>
      <c r="AN408" s="1004"/>
      <c r="AO408" s="1004"/>
      <c r="AP408" s="1004"/>
      <c r="AQ408" s="1004"/>
      <c r="AR408" s="1004"/>
      <c r="AS408" s="1004"/>
      <c r="AT408" s="1004"/>
      <c r="AU408" s="1004"/>
      <c r="AV408" s="1004"/>
      <c r="AW408" s="1004"/>
    </row>
    <row r="409" spans="1:49" ht="15.75">
      <c r="A409" s="1004"/>
      <c r="B409" s="1004"/>
      <c r="C409" s="1004"/>
      <c r="I409" s="1004"/>
      <c r="J409" s="1004"/>
      <c r="K409" s="1004"/>
      <c r="L409" s="777">
        <v>5</v>
      </c>
      <c r="M409" s="778"/>
      <c r="N409" s="976">
        <v>0</v>
      </c>
      <c r="O409" s="1020">
        <v>289</v>
      </c>
      <c r="P409" s="847" t="e">
        <f>VLOOKUP(N409,etat!$A$9:$N$1004,2,FALSE)</f>
        <v>#N/A</v>
      </c>
      <c r="Q409" s="797" t="e">
        <f>VLOOKUP(N409,etat!$A$9:$N$963,7,FALSE)</f>
        <v>#N/A</v>
      </c>
      <c r="R409" s="797" t="e">
        <f>VLOOKUP(N409,etat!$A$9:$N$1003,9,FALSE)</f>
        <v>#N/A</v>
      </c>
      <c r="S409" s="866" t="e">
        <f>VLOOKUP(N409,etat!$A$9:$P$905,16,FALSE)</f>
        <v>#N/A</v>
      </c>
      <c r="T409" s="755"/>
      <c r="U409" s="784"/>
      <c r="V409" s="784"/>
      <c r="W409" s="784"/>
      <c r="X409" s="784"/>
      <c r="Y409" s="975"/>
      <c r="Z409" s="975"/>
      <c r="AA409" s="967"/>
      <c r="AB409" s="1005"/>
      <c r="AC409" s="1005"/>
      <c r="AD409" s="1005"/>
      <c r="AE409" s="1005"/>
      <c r="AF409" s="1005"/>
      <c r="AG409" s="1004"/>
      <c r="AH409" s="1004"/>
      <c r="AI409" s="1004"/>
      <c r="AJ409" s="1004"/>
      <c r="AK409" s="1004"/>
      <c r="AL409" s="1004"/>
      <c r="AM409" s="1004"/>
      <c r="AN409" s="1004"/>
      <c r="AO409" s="1004"/>
      <c r="AP409" s="1004"/>
      <c r="AQ409" s="1004"/>
      <c r="AR409" s="1004"/>
      <c r="AS409" s="1004"/>
      <c r="AT409" s="1004"/>
      <c r="AU409" s="1004"/>
      <c r="AV409" s="1004"/>
      <c r="AW409" s="1004"/>
    </row>
    <row r="410" spans="1:49" ht="18.75">
      <c r="A410" s="1004"/>
      <c r="B410" s="1004"/>
      <c r="C410" s="1004"/>
      <c r="I410" s="1004"/>
      <c r="J410" s="1004"/>
      <c r="K410" s="1004"/>
      <c r="L410" s="777">
        <v>5</v>
      </c>
      <c r="M410" s="778"/>
      <c r="N410" s="976">
        <v>0</v>
      </c>
      <c r="O410" s="1020">
        <v>290</v>
      </c>
      <c r="P410" s="847" t="e">
        <f>VLOOKUP(N410,etat!$A$9:$N$1004,2,FALSE)</f>
        <v>#N/A</v>
      </c>
      <c r="Q410" s="797" t="e">
        <f>VLOOKUP(N410,etat!$A$9:$N$963,7,FALSE)</f>
        <v>#N/A</v>
      </c>
      <c r="R410" s="797" t="e">
        <f>VLOOKUP(N410,etat!$A$9:$N$1003,9,FALSE)</f>
        <v>#N/A</v>
      </c>
      <c r="S410" s="866" t="e">
        <f>VLOOKUP(N410,etat!$A$9:$P$905,16,FALSE)</f>
        <v>#N/A</v>
      </c>
      <c r="T410" s="755"/>
      <c r="U410" s="784"/>
      <c r="V410" s="784"/>
      <c r="W410" s="955"/>
      <c r="X410" s="955"/>
      <c r="Y410" s="956"/>
      <c r="Z410" s="975"/>
      <c r="AA410" s="967"/>
      <c r="AB410" s="1005"/>
      <c r="AC410" s="1005"/>
      <c r="AD410" s="1005"/>
      <c r="AE410" s="1005"/>
      <c r="AF410" s="1005"/>
      <c r="AG410" s="1004"/>
      <c r="AH410" s="1004"/>
      <c r="AI410" s="1004"/>
      <c r="AJ410" s="1004"/>
      <c r="AK410" s="1004"/>
      <c r="AL410" s="1004"/>
      <c r="AM410" s="1004"/>
      <c r="AN410" s="1004"/>
      <c r="AO410" s="1004"/>
      <c r="AP410" s="1004"/>
      <c r="AQ410" s="1004"/>
      <c r="AR410" s="1004"/>
      <c r="AS410" s="1004"/>
      <c r="AT410" s="1004"/>
      <c r="AU410" s="1004"/>
      <c r="AV410" s="1004"/>
      <c r="AW410" s="1004"/>
    </row>
    <row r="411" spans="1:49" ht="15.75">
      <c r="A411" s="1004"/>
      <c r="B411" s="1004"/>
      <c r="C411" s="1004"/>
      <c r="I411" s="1004"/>
      <c r="J411" s="1004"/>
      <c r="K411" s="1004"/>
      <c r="L411" s="777">
        <v>5</v>
      </c>
      <c r="M411" s="778"/>
      <c r="N411" s="976">
        <v>0</v>
      </c>
      <c r="O411" s="1020">
        <v>291</v>
      </c>
      <c r="P411" s="847" t="e">
        <f>VLOOKUP(N411,etat!$A$9:$N$1004,2,FALSE)</f>
        <v>#N/A</v>
      </c>
      <c r="Q411" s="797" t="e">
        <f>VLOOKUP(N411,etat!$A$9:$N$963,7,FALSE)</f>
        <v>#N/A</v>
      </c>
      <c r="R411" s="797" t="e">
        <f>VLOOKUP(N411,etat!$A$9:$N$1003,9,FALSE)</f>
        <v>#N/A</v>
      </c>
      <c r="S411" s="866" t="e">
        <f>VLOOKUP(N411,etat!$A$9:$P$905,16,FALSE)</f>
        <v>#N/A</v>
      </c>
      <c r="T411" s="755"/>
      <c r="U411" s="784"/>
      <c r="V411" s="784"/>
      <c r="W411" s="784"/>
      <c r="X411" s="784"/>
      <c r="Y411" s="975"/>
      <c r="Z411" s="975"/>
      <c r="AA411" s="967"/>
      <c r="AB411" s="1005"/>
      <c r="AC411" s="1005"/>
      <c r="AD411" s="1005"/>
      <c r="AE411" s="1005"/>
      <c r="AF411" s="1005"/>
      <c r="AG411" s="1004"/>
      <c r="AH411" s="1004"/>
      <c r="AI411" s="1004"/>
      <c r="AJ411" s="1004"/>
      <c r="AK411" s="1004"/>
      <c r="AL411" s="1004"/>
      <c r="AM411" s="1004"/>
      <c r="AN411" s="1004"/>
      <c r="AO411" s="1004"/>
      <c r="AP411" s="1004"/>
      <c r="AQ411" s="1004"/>
      <c r="AR411" s="1004"/>
      <c r="AS411" s="1004"/>
      <c r="AT411" s="1004"/>
      <c r="AU411" s="1004"/>
      <c r="AV411" s="1004"/>
      <c r="AW411" s="1004"/>
    </row>
    <row r="412" spans="1:49" ht="18.75">
      <c r="A412" s="1004"/>
      <c r="B412" s="1004"/>
      <c r="C412" s="1004"/>
      <c r="I412" s="1004"/>
      <c r="J412" s="1004"/>
      <c r="K412" s="1004"/>
      <c r="L412" s="777">
        <v>5</v>
      </c>
      <c r="M412" s="778"/>
      <c r="N412" s="976">
        <v>0</v>
      </c>
      <c r="O412" s="1020">
        <v>292</v>
      </c>
      <c r="P412" s="847" t="e">
        <f>VLOOKUP(N412,etat!$A$9:$N$1004,2,FALSE)</f>
        <v>#N/A</v>
      </c>
      <c r="Q412" s="797" t="e">
        <f>VLOOKUP(N412,etat!$A$9:$N$963,7,FALSE)</f>
        <v>#N/A</v>
      </c>
      <c r="R412" s="797" t="e">
        <f>VLOOKUP(N412,etat!$A$9:$N$1003,9,FALSE)</f>
        <v>#N/A</v>
      </c>
      <c r="S412" s="866" t="e">
        <f>VLOOKUP(N412,etat!$A$9:$P$905,16,FALSE)</f>
        <v>#N/A</v>
      </c>
      <c r="T412" s="755"/>
      <c r="U412" s="784"/>
      <c r="V412" s="784"/>
      <c r="W412" s="955"/>
      <c r="X412" s="955"/>
      <c r="Y412" s="956"/>
      <c r="Z412" s="975"/>
      <c r="AA412" s="967"/>
      <c r="AB412" s="1005"/>
      <c r="AC412" s="1005"/>
      <c r="AD412" s="1005"/>
      <c r="AE412" s="1005"/>
      <c r="AF412" s="1005"/>
      <c r="AG412" s="1004"/>
      <c r="AH412" s="1004"/>
      <c r="AI412" s="1004"/>
      <c r="AJ412" s="1004"/>
      <c r="AK412" s="1004"/>
      <c r="AL412" s="1004"/>
      <c r="AM412" s="1004"/>
      <c r="AN412" s="1004"/>
      <c r="AO412" s="1004"/>
      <c r="AP412" s="1004"/>
      <c r="AQ412" s="1004"/>
      <c r="AR412" s="1004"/>
      <c r="AS412" s="1004"/>
      <c r="AT412" s="1004"/>
      <c r="AU412" s="1004"/>
      <c r="AV412" s="1004"/>
      <c r="AW412" s="1004"/>
    </row>
    <row r="413" spans="1:49" ht="15.75">
      <c r="A413" s="1004"/>
      <c r="B413" s="1004"/>
      <c r="C413" s="1004"/>
      <c r="I413" s="1004"/>
      <c r="J413" s="1004"/>
      <c r="K413" s="1004"/>
      <c r="L413" s="777">
        <v>5</v>
      </c>
      <c r="M413" s="778"/>
      <c r="N413" s="976">
        <v>0</v>
      </c>
      <c r="O413" s="1020">
        <v>293</v>
      </c>
      <c r="P413" s="847" t="e">
        <f>VLOOKUP(N413,etat!$A$9:$N$1004,2,FALSE)</f>
        <v>#N/A</v>
      </c>
      <c r="Q413" s="797" t="e">
        <f>VLOOKUP(N413,etat!$A$9:$N$963,7,FALSE)</f>
        <v>#N/A</v>
      </c>
      <c r="R413" s="797" t="e">
        <f>VLOOKUP(N413,etat!$A$9:$N$1003,9,FALSE)</f>
        <v>#N/A</v>
      </c>
      <c r="S413" s="866" t="e">
        <f>VLOOKUP(N413,etat!$A$9:$P$905,16,FALSE)</f>
        <v>#N/A</v>
      </c>
      <c r="T413" s="755"/>
      <c r="U413" s="784"/>
      <c r="V413" s="784"/>
      <c r="W413" s="784"/>
      <c r="X413" s="784"/>
      <c r="Y413" s="784"/>
      <c r="Z413" s="975"/>
      <c r="AA413" s="967"/>
      <c r="AB413" s="1005"/>
      <c r="AC413" s="1005"/>
      <c r="AD413" s="1005"/>
      <c r="AE413" s="1005"/>
      <c r="AF413" s="1005"/>
      <c r="AG413" s="1004"/>
      <c r="AH413" s="1004"/>
      <c r="AI413" s="1004"/>
      <c r="AJ413" s="1004"/>
      <c r="AK413" s="1004"/>
      <c r="AL413" s="1004"/>
      <c r="AM413" s="1004"/>
      <c r="AN413" s="1004"/>
      <c r="AO413" s="1004"/>
      <c r="AP413" s="1004"/>
      <c r="AQ413" s="1004"/>
      <c r="AR413" s="1004"/>
      <c r="AS413" s="1004"/>
      <c r="AT413" s="1004"/>
      <c r="AU413" s="1004"/>
      <c r="AV413" s="1004"/>
      <c r="AW413" s="1004"/>
    </row>
    <row r="414" spans="1:49" ht="15.75">
      <c r="A414" s="1004"/>
      <c r="B414" s="1004"/>
      <c r="C414" s="1004"/>
      <c r="I414" s="1004"/>
      <c r="J414" s="1004"/>
      <c r="K414" s="1004"/>
      <c r="L414" s="777">
        <v>5</v>
      </c>
      <c r="M414" s="778"/>
      <c r="N414" s="976">
        <v>0</v>
      </c>
      <c r="O414" s="1020">
        <v>294</v>
      </c>
      <c r="P414" s="847" t="e">
        <f>VLOOKUP(N414,etat!$A$9:$N$1004,2,FALSE)</f>
        <v>#N/A</v>
      </c>
      <c r="Q414" s="797" t="e">
        <f>VLOOKUP(N414,etat!$A$9:$N$963,7,FALSE)</f>
        <v>#N/A</v>
      </c>
      <c r="R414" s="797" t="e">
        <f>VLOOKUP(N414,etat!$A$9:$N$1003,9,FALSE)</f>
        <v>#N/A</v>
      </c>
      <c r="S414" s="866" t="e">
        <f>VLOOKUP(N414,etat!$A$9:$P$905,16,FALSE)</f>
        <v>#N/A</v>
      </c>
      <c r="T414" s="755"/>
      <c r="U414" s="784"/>
      <c r="V414" s="784"/>
      <c r="W414" s="784"/>
      <c r="X414" s="784"/>
      <c r="Y414" s="784"/>
      <c r="Z414" s="975"/>
      <c r="AA414" s="967"/>
      <c r="AB414" s="1005"/>
      <c r="AC414" s="1005"/>
      <c r="AD414" s="1005"/>
      <c r="AE414" s="1005"/>
      <c r="AF414" s="1005"/>
      <c r="AG414" s="1004"/>
      <c r="AH414" s="1004"/>
      <c r="AI414" s="1004"/>
      <c r="AJ414" s="1004"/>
      <c r="AK414" s="1004"/>
      <c r="AL414" s="1004"/>
      <c r="AM414" s="1004"/>
      <c r="AN414" s="1004"/>
      <c r="AO414" s="1004"/>
      <c r="AP414" s="1004"/>
      <c r="AQ414" s="1004"/>
      <c r="AR414" s="1004"/>
      <c r="AS414" s="1004"/>
      <c r="AT414" s="1004"/>
      <c r="AU414" s="1004"/>
      <c r="AV414" s="1004"/>
      <c r="AW414" s="1004"/>
    </row>
    <row r="415" spans="1:49" ht="15.75">
      <c r="A415" s="1004"/>
      <c r="B415" s="1004"/>
      <c r="C415" s="1004"/>
      <c r="I415" s="1004"/>
      <c r="J415" s="1004"/>
      <c r="K415" s="1004"/>
      <c r="L415" s="777">
        <v>5</v>
      </c>
      <c r="M415" s="864"/>
      <c r="N415" s="976">
        <v>0</v>
      </c>
      <c r="O415" s="1020">
        <v>295</v>
      </c>
      <c r="P415" s="847" t="e">
        <f>VLOOKUP(N415,etat!$A$9:$N$1004,2,FALSE)</f>
        <v>#N/A</v>
      </c>
      <c r="Q415" s="797" t="e">
        <f>VLOOKUP(N415,etat!$A$9:$N$963,7,FALSE)</f>
        <v>#N/A</v>
      </c>
      <c r="R415" s="797" t="e">
        <f>VLOOKUP(N415,etat!$A$9:$N$1003,9,FALSE)</f>
        <v>#N/A</v>
      </c>
      <c r="S415" s="866" t="e">
        <f>VLOOKUP(N415,etat!$A$9:$P$905,16,FALSE)</f>
        <v>#N/A</v>
      </c>
      <c r="T415" s="755"/>
      <c r="U415" s="784"/>
      <c r="V415" s="784"/>
      <c r="W415" s="784"/>
      <c r="X415" s="784"/>
      <c r="Y415" s="784"/>
      <c r="Z415" s="975"/>
      <c r="AA415" s="967"/>
      <c r="AB415" s="1005"/>
      <c r="AC415" s="1005"/>
      <c r="AD415" s="1005"/>
      <c r="AE415" s="1005"/>
      <c r="AF415" s="1005"/>
      <c r="AG415" s="1004"/>
      <c r="AH415" s="1004"/>
      <c r="AI415" s="1004"/>
      <c r="AJ415" s="1004"/>
      <c r="AK415" s="1004"/>
      <c r="AL415" s="1004"/>
      <c r="AM415" s="1004"/>
      <c r="AN415" s="1004"/>
      <c r="AO415" s="1004"/>
      <c r="AP415" s="1004"/>
      <c r="AQ415" s="1004"/>
      <c r="AR415" s="1004"/>
      <c r="AS415" s="1004"/>
      <c r="AT415" s="1004"/>
      <c r="AU415" s="1004"/>
      <c r="AV415" s="1004"/>
      <c r="AW415" s="1004"/>
    </row>
    <row r="416" spans="1:49" ht="15.75">
      <c r="A416" s="1004"/>
      <c r="B416" s="1004"/>
      <c r="C416" s="1004"/>
      <c r="I416" s="1004"/>
      <c r="J416" s="1004"/>
      <c r="K416" s="1004"/>
      <c r="L416" s="777">
        <v>5</v>
      </c>
      <c r="M416" s="864"/>
      <c r="N416" s="976">
        <v>0</v>
      </c>
      <c r="O416" s="1020">
        <v>296</v>
      </c>
      <c r="P416" s="847" t="e">
        <f>VLOOKUP(N416,etat!$A$9:$N$1004,2,FALSE)</f>
        <v>#N/A</v>
      </c>
      <c r="Q416" s="797" t="e">
        <f>VLOOKUP(N416,etat!$A$9:$N$963,7,FALSE)</f>
        <v>#N/A</v>
      </c>
      <c r="R416" s="797" t="e">
        <f>VLOOKUP(N416,etat!$A$9:$N$1003,9,FALSE)</f>
        <v>#N/A</v>
      </c>
      <c r="S416" s="866" t="e">
        <f>VLOOKUP(N416,etat!$A$9:$P$905,16,FALSE)</f>
        <v>#N/A</v>
      </c>
      <c r="T416" s="755"/>
      <c r="U416" s="784"/>
      <c r="V416" s="784"/>
      <c r="W416" s="784"/>
      <c r="X416" s="784"/>
      <c r="Y416" s="784"/>
      <c r="Z416" s="975"/>
      <c r="AA416" s="967"/>
      <c r="AB416" s="1005"/>
      <c r="AC416" s="1005"/>
      <c r="AD416" s="1005"/>
      <c r="AE416" s="1005"/>
      <c r="AF416" s="1005"/>
      <c r="AG416" s="1004"/>
      <c r="AH416" s="1004"/>
      <c r="AI416" s="1004"/>
      <c r="AJ416" s="1004"/>
      <c r="AK416" s="1004"/>
      <c r="AL416" s="1004"/>
      <c r="AM416" s="1004"/>
      <c r="AN416" s="1004"/>
      <c r="AO416" s="1004"/>
      <c r="AP416" s="1004"/>
      <c r="AQ416" s="1004"/>
      <c r="AR416" s="1004"/>
      <c r="AS416" s="1004"/>
      <c r="AT416" s="1004"/>
      <c r="AU416" s="1004"/>
      <c r="AV416" s="1004"/>
      <c r="AW416" s="1004"/>
    </row>
    <row r="417" spans="1:49" ht="15.75">
      <c r="A417" s="1004"/>
      <c r="B417" s="1004"/>
      <c r="C417" s="1004"/>
      <c r="I417" s="1004"/>
      <c r="J417" s="1004"/>
      <c r="K417" s="1004"/>
      <c r="L417" s="777">
        <v>5</v>
      </c>
      <c r="M417" s="778"/>
      <c r="N417" s="976">
        <v>0</v>
      </c>
      <c r="O417" s="1020">
        <v>297</v>
      </c>
      <c r="P417" s="847" t="e">
        <f>VLOOKUP(N417,etat!$A$9:$N$1004,2,FALSE)</f>
        <v>#N/A</v>
      </c>
      <c r="Q417" s="797" t="e">
        <f>VLOOKUP(N417,etat!$A$9:$N$963,7,FALSE)</f>
        <v>#N/A</v>
      </c>
      <c r="R417" s="797" t="e">
        <f>VLOOKUP(N417,etat!$A$9:$N$1003,9,FALSE)</f>
        <v>#N/A</v>
      </c>
      <c r="S417" s="866" t="e">
        <f>VLOOKUP(N417,etat!$A$9:$P$905,16,FALSE)</f>
        <v>#N/A</v>
      </c>
      <c r="T417" s="755"/>
      <c r="U417" s="784"/>
      <c r="V417" s="784"/>
      <c r="W417" s="784"/>
      <c r="X417" s="784"/>
      <c r="Y417" s="784"/>
      <c r="Z417" s="975"/>
      <c r="AA417" s="967"/>
      <c r="AB417" s="1005"/>
      <c r="AC417" s="1005"/>
      <c r="AD417" s="1005"/>
      <c r="AE417" s="1005"/>
      <c r="AF417" s="1005"/>
      <c r="AG417" s="1004"/>
      <c r="AH417" s="1004"/>
      <c r="AI417" s="1004"/>
      <c r="AJ417" s="1004"/>
      <c r="AK417" s="1004"/>
      <c r="AL417" s="1004"/>
      <c r="AM417" s="1004"/>
      <c r="AN417" s="1004"/>
      <c r="AO417" s="1004"/>
      <c r="AP417" s="1004"/>
      <c r="AQ417" s="1004"/>
      <c r="AR417" s="1004"/>
      <c r="AS417" s="1004"/>
      <c r="AT417" s="1004"/>
      <c r="AU417" s="1004"/>
      <c r="AV417" s="1004"/>
      <c r="AW417" s="1004"/>
    </row>
    <row r="418" spans="1:49" ht="15.75">
      <c r="A418" s="1004"/>
      <c r="B418" s="1004"/>
      <c r="C418" s="1004"/>
      <c r="I418" s="1004"/>
      <c r="J418" s="1004"/>
      <c r="K418" s="1004"/>
      <c r="L418" s="777">
        <v>5</v>
      </c>
      <c r="M418" s="864"/>
      <c r="N418" s="976">
        <v>0</v>
      </c>
      <c r="O418" s="1020">
        <v>298</v>
      </c>
      <c r="P418" s="847" t="e">
        <f>VLOOKUP(N418,etat!$A$9:$N$1004,2,FALSE)</f>
        <v>#N/A</v>
      </c>
      <c r="Q418" s="797" t="e">
        <f>VLOOKUP(N418,etat!$A$9:$N$963,7,FALSE)</f>
        <v>#N/A</v>
      </c>
      <c r="R418" s="797" t="e">
        <f>VLOOKUP(N418,etat!$A$9:$N$1003,9,FALSE)</f>
        <v>#N/A</v>
      </c>
      <c r="S418" s="866" t="e">
        <f>VLOOKUP(N418,etat!$A$9:$P$905,16,FALSE)</f>
        <v>#N/A</v>
      </c>
      <c r="T418" s="755"/>
      <c r="U418" s="784"/>
      <c r="V418" s="784"/>
      <c r="W418" s="784"/>
      <c r="X418" s="784"/>
      <c r="Y418" s="784"/>
      <c r="Z418" s="975"/>
      <c r="AA418" s="967"/>
      <c r="AB418" s="1005"/>
      <c r="AC418" s="1005"/>
      <c r="AD418" s="1005"/>
      <c r="AE418" s="1005"/>
      <c r="AF418" s="1005"/>
      <c r="AG418" s="1004"/>
      <c r="AH418" s="1004"/>
      <c r="AI418" s="1004"/>
      <c r="AJ418" s="1004"/>
      <c r="AK418" s="1004"/>
      <c r="AL418" s="1004"/>
      <c r="AM418" s="1004"/>
      <c r="AN418" s="1004"/>
      <c r="AO418" s="1004"/>
      <c r="AP418" s="1004"/>
      <c r="AQ418" s="1004"/>
      <c r="AR418" s="1004"/>
      <c r="AS418" s="1004"/>
      <c r="AT418" s="1004"/>
      <c r="AU418" s="1004"/>
      <c r="AV418" s="1004"/>
      <c r="AW418" s="1004"/>
    </row>
    <row r="419" spans="1:49" ht="15.75">
      <c r="A419" s="1004"/>
      <c r="B419" s="1004"/>
      <c r="C419" s="1004"/>
      <c r="I419" s="1004"/>
      <c r="J419" s="1004"/>
      <c r="K419" s="1004"/>
      <c r="L419" s="777">
        <v>5</v>
      </c>
      <c r="M419" s="864"/>
      <c r="N419" s="976"/>
      <c r="O419" s="1020">
        <v>299</v>
      </c>
      <c r="P419" s="847" t="e">
        <f>VLOOKUP(N419,etat!$A$9:$N$1004,2,FALSE)</f>
        <v>#N/A</v>
      </c>
      <c r="Q419" s="797" t="e">
        <f>VLOOKUP(N419,etat!$A$9:$N$963,7,FALSE)</f>
        <v>#N/A</v>
      </c>
      <c r="R419" s="797" t="e">
        <f>VLOOKUP(N419,etat!$A$9:$N$1003,9,FALSE)</f>
        <v>#N/A</v>
      </c>
      <c r="S419" s="866" t="e">
        <f>VLOOKUP(N419,etat!$A$9:$P$905,16,FALSE)</f>
        <v>#N/A</v>
      </c>
      <c r="T419" s="755"/>
      <c r="U419" s="784"/>
      <c r="V419" s="784"/>
      <c r="W419" s="784"/>
      <c r="X419" s="784"/>
      <c r="Y419" s="784"/>
      <c r="Z419" s="975"/>
      <c r="AA419" s="967"/>
      <c r="AB419" s="1005"/>
      <c r="AC419" s="1005"/>
      <c r="AD419" s="1005"/>
      <c r="AE419" s="1005"/>
      <c r="AF419" s="1005"/>
      <c r="AG419" s="1004"/>
      <c r="AH419" s="1004"/>
      <c r="AI419" s="1004"/>
      <c r="AJ419" s="1004"/>
      <c r="AK419" s="1004"/>
      <c r="AL419" s="1004"/>
      <c r="AM419" s="1004"/>
      <c r="AN419" s="1004"/>
      <c r="AO419" s="1004"/>
      <c r="AP419" s="1004"/>
      <c r="AQ419" s="1004"/>
      <c r="AR419" s="1004"/>
      <c r="AS419" s="1004"/>
      <c r="AT419" s="1004"/>
      <c r="AU419" s="1004"/>
      <c r="AV419" s="1004"/>
      <c r="AW419" s="1004"/>
    </row>
    <row r="420" spans="1:49" ht="15.75">
      <c r="A420" s="1004"/>
      <c r="B420" s="1004"/>
      <c r="C420" s="1004"/>
      <c r="I420" s="1004"/>
      <c r="J420" s="1004"/>
      <c r="K420" s="1004"/>
      <c r="L420" s="777">
        <v>5</v>
      </c>
      <c r="M420" s="864"/>
      <c r="N420" s="976"/>
      <c r="O420" s="1020">
        <v>300</v>
      </c>
      <c r="P420" s="847" t="e">
        <f>VLOOKUP(N420,etat!$A$9:$N$1004,2,FALSE)</f>
        <v>#N/A</v>
      </c>
      <c r="Q420" s="797" t="e">
        <f>VLOOKUP(N420,etat!$A$9:$N$963,7,FALSE)</f>
        <v>#N/A</v>
      </c>
      <c r="R420" s="797" t="e">
        <f>VLOOKUP(N420,etat!$A$9:$N$1003,9,FALSE)</f>
        <v>#N/A</v>
      </c>
      <c r="S420" s="866" t="e">
        <f>VLOOKUP(N420,etat!$A$9:$P$905,16,FALSE)</f>
        <v>#N/A</v>
      </c>
      <c r="T420" s="755"/>
      <c r="U420" s="784"/>
      <c r="V420" s="784"/>
      <c r="W420" s="784"/>
      <c r="X420" s="784"/>
      <c r="Y420" s="975"/>
      <c r="Z420" s="975"/>
      <c r="AA420" s="967"/>
      <c r="AB420" s="1005"/>
      <c r="AC420" s="1005"/>
      <c r="AD420" s="1005"/>
      <c r="AE420" s="1005"/>
      <c r="AF420" s="1005"/>
      <c r="AG420" s="1004"/>
      <c r="AH420" s="1004"/>
      <c r="AI420" s="1004"/>
      <c r="AJ420" s="1004"/>
      <c r="AK420" s="1004"/>
      <c r="AL420" s="1004"/>
      <c r="AM420" s="1004"/>
      <c r="AN420" s="1004"/>
      <c r="AO420" s="1004"/>
      <c r="AP420" s="1004"/>
      <c r="AQ420" s="1004"/>
      <c r="AR420" s="1004"/>
      <c r="AS420" s="1004"/>
      <c r="AT420" s="1004"/>
      <c r="AU420" s="1004"/>
      <c r="AV420" s="1004"/>
      <c r="AW420" s="1004"/>
    </row>
    <row r="421" spans="1:49" ht="15.75">
      <c r="A421" s="1004"/>
      <c r="B421" s="1004"/>
      <c r="C421" s="1004"/>
      <c r="I421" s="1004"/>
      <c r="J421" s="1004"/>
      <c r="K421" s="1004"/>
      <c r="L421" s="777">
        <v>5</v>
      </c>
      <c r="M421" s="864"/>
      <c r="N421" s="976"/>
      <c r="O421" s="1020">
        <v>301</v>
      </c>
      <c r="P421" s="847" t="e">
        <f>VLOOKUP(N421,etat!$A$9:$N$1004,2,FALSE)</f>
        <v>#N/A</v>
      </c>
      <c r="Q421" s="797" t="e">
        <f>VLOOKUP(N421,etat!$A$9:$N$963,7,FALSE)</f>
        <v>#N/A</v>
      </c>
      <c r="R421" s="797" t="e">
        <f>VLOOKUP(N421,etat!$A$9:$N$1003,9,FALSE)</f>
        <v>#N/A</v>
      </c>
      <c r="S421" s="866" t="e">
        <f>VLOOKUP(N421,etat!$A$9:$P$905,16,FALSE)</f>
        <v>#N/A</v>
      </c>
      <c r="T421" s="755"/>
      <c r="U421" s="784"/>
      <c r="V421" s="784"/>
      <c r="W421" s="784"/>
      <c r="X421" s="784"/>
      <c r="Y421" s="975"/>
      <c r="Z421" s="975"/>
      <c r="AA421" s="967"/>
      <c r="AB421" s="1005"/>
      <c r="AC421" s="1005"/>
      <c r="AD421" s="1005"/>
      <c r="AE421" s="1005"/>
      <c r="AF421" s="1005"/>
      <c r="AG421" s="1004"/>
      <c r="AH421" s="1004"/>
      <c r="AI421" s="1004"/>
      <c r="AJ421" s="1004"/>
      <c r="AK421" s="1004"/>
      <c r="AL421" s="1004"/>
      <c r="AM421" s="1004"/>
      <c r="AN421" s="1004"/>
      <c r="AO421" s="1004"/>
      <c r="AP421" s="1004"/>
      <c r="AQ421" s="1004"/>
      <c r="AR421" s="1004"/>
      <c r="AS421" s="1004"/>
      <c r="AT421" s="1004"/>
      <c r="AU421" s="1004"/>
      <c r="AV421" s="1004"/>
      <c r="AW421" s="1004"/>
    </row>
    <row r="422" spans="1:49" ht="15.75">
      <c r="A422" s="1004"/>
      <c r="B422" s="1004"/>
      <c r="C422" s="1004"/>
      <c r="I422" s="1004"/>
      <c r="J422" s="1004"/>
      <c r="K422" s="1004"/>
      <c r="L422" s="777">
        <v>5</v>
      </c>
      <c r="M422" s="864"/>
      <c r="N422" s="976"/>
      <c r="O422" s="1020">
        <v>302</v>
      </c>
      <c r="P422" s="847" t="e">
        <f>VLOOKUP(N422,etat!$A$9:$N$1004,2,FALSE)</f>
        <v>#N/A</v>
      </c>
      <c r="Q422" s="797" t="e">
        <f>VLOOKUP(N422,etat!$A$9:$N$963,7,FALSE)</f>
        <v>#N/A</v>
      </c>
      <c r="R422" s="797" t="e">
        <f>VLOOKUP(N422,etat!$A$9:$N$1003,9,FALSE)</f>
        <v>#N/A</v>
      </c>
      <c r="S422" s="866" t="e">
        <f>VLOOKUP(N422,etat!$A$9:$P$905,16,FALSE)</f>
        <v>#N/A</v>
      </c>
      <c r="T422" s="755"/>
      <c r="U422" s="784"/>
      <c r="V422" s="784"/>
      <c r="W422" s="784"/>
      <c r="X422" s="784"/>
      <c r="Y422" s="975"/>
      <c r="Z422" s="975"/>
      <c r="AA422" s="967"/>
      <c r="AB422" s="1005"/>
      <c r="AC422" s="1005"/>
      <c r="AD422" s="1005"/>
      <c r="AE422" s="1005"/>
      <c r="AF422" s="1005"/>
      <c r="AG422" s="1004"/>
      <c r="AH422" s="1004"/>
      <c r="AI422" s="1004"/>
      <c r="AJ422" s="1004"/>
      <c r="AK422" s="1004"/>
      <c r="AL422" s="1004"/>
      <c r="AM422" s="1004"/>
      <c r="AN422" s="1004"/>
      <c r="AO422" s="1004"/>
      <c r="AP422" s="1004"/>
      <c r="AQ422" s="1004"/>
      <c r="AR422" s="1004"/>
      <c r="AS422" s="1004"/>
      <c r="AT422" s="1004"/>
      <c r="AU422" s="1004"/>
      <c r="AV422" s="1004"/>
      <c r="AW422" s="1004"/>
    </row>
    <row r="423" spans="1:49" ht="15.75">
      <c r="A423" s="1004"/>
      <c r="B423" s="1004"/>
      <c r="C423" s="1004"/>
      <c r="I423" s="1004"/>
      <c r="J423" s="1004"/>
      <c r="K423" s="1004"/>
      <c r="L423" s="777">
        <v>5</v>
      </c>
      <c r="M423" s="778"/>
      <c r="N423" s="976"/>
      <c r="O423" s="1020">
        <v>303</v>
      </c>
      <c r="P423" s="847" t="e">
        <f>VLOOKUP(N423,etat!$A$9:$N$1004,2,FALSE)</f>
        <v>#N/A</v>
      </c>
      <c r="Q423" s="797" t="e">
        <f>VLOOKUP(N423,etat!$A$9:$N$963,7,FALSE)</f>
        <v>#N/A</v>
      </c>
      <c r="R423" s="797" t="e">
        <f>VLOOKUP(N423,etat!$A$9:$N$1003,9,FALSE)</f>
        <v>#N/A</v>
      </c>
      <c r="S423" s="866" t="e">
        <f>VLOOKUP(N423,etat!$A$9:$P$905,16,FALSE)</f>
        <v>#N/A</v>
      </c>
      <c r="T423" s="755"/>
      <c r="U423" s="784"/>
      <c r="V423" s="784"/>
      <c r="W423" s="784"/>
      <c r="X423" s="784"/>
      <c r="Y423" s="975"/>
      <c r="Z423" s="975"/>
      <c r="AA423" s="967"/>
      <c r="AB423" s="1005"/>
      <c r="AC423" s="1005"/>
      <c r="AD423" s="1005"/>
      <c r="AE423" s="1005"/>
      <c r="AF423" s="1005"/>
      <c r="AG423" s="1004"/>
      <c r="AH423" s="1004"/>
      <c r="AI423" s="1004"/>
      <c r="AJ423" s="1004"/>
      <c r="AK423" s="1004"/>
      <c r="AL423" s="1004"/>
      <c r="AM423" s="1004"/>
      <c r="AN423" s="1004"/>
      <c r="AO423" s="1004"/>
      <c r="AP423" s="1004"/>
      <c r="AQ423" s="1004"/>
      <c r="AR423" s="1004"/>
      <c r="AS423" s="1004"/>
      <c r="AT423" s="1004"/>
      <c r="AU423" s="1004"/>
      <c r="AV423" s="1004"/>
      <c r="AW423" s="1004"/>
    </row>
    <row r="424" spans="1:49" ht="15.75">
      <c r="A424" s="1004"/>
      <c r="B424" s="1004"/>
      <c r="C424" s="1004"/>
      <c r="I424" s="1004"/>
      <c r="J424" s="1004"/>
      <c r="K424" s="1004"/>
      <c r="L424" s="777">
        <v>5</v>
      </c>
      <c r="M424" s="778"/>
      <c r="N424" s="976"/>
      <c r="O424" s="1020">
        <v>304</v>
      </c>
      <c r="P424" s="847" t="e">
        <f>VLOOKUP(N424,etat!$A$9:$N$1004,2,FALSE)</f>
        <v>#N/A</v>
      </c>
      <c r="Q424" s="797" t="e">
        <f>VLOOKUP(N424,etat!$A$9:$N$963,7,FALSE)</f>
        <v>#N/A</v>
      </c>
      <c r="R424" s="797" t="e">
        <f>VLOOKUP(N424,etat!$A$9:$N$1003,9,FALSE)</f>
        <v>#N/A</v>
      </c>
      <c r="S424" s="866" t="e">
        <f>VLOOKUP(N424,etat!$A$9:$P$905,16,FALSE)</f>
        <v>#N/A</v>
      </c>
      <c r="T424" s="755"/>
      <c r="U424" s="784"/>
      <c r="V424" s="784"/>
      <c r="W424" s="784"/>
      <c r="X424" s="784"/>
      <c r="Y424" s="975"/>
      <c r="Z424" s="975"/>
      <c r="AA424" s="967"/>
      <c r="AB424" s="1005"/>
      <c r="AC424" s="1005"/>
      <c r="AD424" s="1005"/>
      <c r="AE424" s="1005"/>
      <c r="AF424" s="1005"/>
      <c r="AG424" s="1004"/>
      <c r="AH424" s="1004"/>
      <c r="AI424" s="1004"/>
      <c r="AJ424" s="1004"/>
      <c r="AK424" s="1004"/>
      <c r="AL424" s="1004"/>
      <c r="AM424" s="1004"/>
      <c r="AN424" s="1004"/>
      <c r="AO424" s="1004"/>
      <c r="AP424" s="1004"/>
      <c r="AQ424" s="1004"/>
      <c r="AR424" s="1004"/>
      <c r="AS424" s="1004"/>
      <c r="AT424" s="1004"/>
      <c r="AU424" s="1004"/>
      <c r="AV424" s="1004"/>
      <c r="AW424" s="1004"/>
    </row>
    <row r="425" spans="1:49" ht="15.75">
      <c r="A425" s="1004"/>
      <c r="B425" s="1004"/>
      <c r="C425" s="1004"/>
      <c r="I425" s="1004"/>
      <c r="J425" s="1004"/>
      <c r="K425" s="1004"/>
      <c r="L425" s="777">
        <v>5</v>
      </c>
      <c r="M425" s="864"/>
      <c r="N425" s="976"/>
      <c r="O425" s="1020">
        <v>305</v>
      </c>
      <c r="P425" s="847" t="e">
        <f>VLOOKUP(N425,etat!$A$9:$N$1004,2,FALSE)</f>
        <v>#N/A</v>
      </c>
      <c r="Q425" s="797" t="e">
        <f>VLOOKUP(N425,etat!$A$9:$N$963,7,FALSE)</f>
        <v>#N/A</v>
      </c>
      <c r="R425" s="797" t="e">
        <f>VLOOKUP(N425,etat!$A$9:$N$1003,9,FALSE)</f>
        <v>#N/A</v>
      </c>
      <c r="S425" s="866" t="e">
        <f>VLOOKUP(N425,etat!$A$9:$P$905,16,FALSE)</f>
        <v>#N/A</v>
      </c>
      <c r="T425" s="755"/>
      <c r="U425" s="784"/>
      <c r="V425" s="784"/>
      <c r="W425" s="784"/>
      <c r="X425" s="784"/>
      <c r="Y425" s="975"/>
      <c r="Z425" s="975"/>
      <c r="AA425" s="967"/>
      <c r="AB425" s="1005"/>
      <c r="AC425" s="1005"/>
      <c r="AD425" s="1005"/>
      <c r="AE425" s="1005"/>
      <c r="AF425" s="1005"/>
      <c r="AG425" s="1004"/>
      <c r="AH425" s="1004"/>
      <c r="AI425" s="1004"/>
      <c r="AJ425" s="1004"/>
      <c r="AK425" s="1004"/>
      <c r="AL425" s="1004"/>
      <c r="AM425" s="1004"/>
      <c r="AN425" s="1004"/>
      <c r="AO425" s="1004"/>
      <c r="AP425" s="1004"/>
      <c r="AQ425" s="1004"/>
      <c r="AR425" s="1004"/>
      <c r="AS425" s="1004"/>
      <c r="AT425" s="1004"/>
      <c r="AU425" s="1004"/>
      <c r="AV425" s="1004"/>
      <c r="AW425" s="1004"/>
    </row>
    <row r="426" spans="1:49" ht="15.75">
      <c r="A426" s="1004"/>
      <c r="B426" s="1004"/>
      <c r="C426" s="1004"/>
      <c r="I426" s="1004"/>
      <c r="J426" s="1004"/>
      <c r="K426" s="1004"/>
      <c r="L426" s="777">
        <v>5</v>
      </c>
      <c r="M426" s="864"/>
      <c r="N426" s="976"/>
      <c r="O426" s="1020">
        <v>306</v>
      </c>
      <c r="P426" s="847" t="e">
        <f>VLOOKUP(N426,etat!$A$9:$N$1004,2,FALSE)</f>
        <v>#N/A</v>
      </c>
      <c r="Q426" s="797" t="e">
        <f>VLOOKUP(N426,etat!$A$9:$N$963,7,FALSE)</f>
        <v>#N/A</v>
      </c>
      <c r="R426" s="797" t="e">
        <f>VLOOKUP(N426,etat!$A$9:$N$1003,9,FALSE)</f>
        <v>#N/A</v>
      </c>
      <c r="S426" s="866" t="e">
        <f>VLOOKUP(N426,etat!$A$9:$P$905,16,FALSE)</f>
        <v>#N/A</v>
      </c>
      <c r="T426" s="755"/>
      <c r="U426" s="784"/>
      <c r="V426" s="784"/>
      <c r="W426" s="784"/>
      <c r="X426" s="784"/>
      <c r="Y426" s="975"/>
      <c r="Z426" s="975"/>
      <c r="AA426" s="967"/>
      <c r="AB426" s="1005"/>
      <c r="AC426" s="1005"/>
      <c r="AD426" s="1005"/>
      <c r="AE426" s="1005"/>
      <c r="AF426" s="1005"/>
      <c r="AG426" s="1004"/>
      <c r="AH426" s="1004"/>
      <c r="AI426" s="1004"/>
      <c r="AJ426" s="1004"/>
      <c r="AK426" s="1004"/>
      <c r="AL426" s="1004"/>
      <c r="AM426" s="1004"/>
      <c r="AN426" s="1004"/>
      <c r="AO426" s="1004"/>
      <c r="AP426" s="1004"/>
      <c r="AQ426" s="1004"/>
      <c r="AR426" s="1004"/>
      <c r="AS426" s="1004"/>
      <c r="AT426" s="1004"/>
      <c r="AU426" s="1004"/>
      <c r="AV426" s="1004"/>
      <c r="AW426" s="1004"/>
    </row>
    <row r="427" spans="1:49" ht="15.75">
      <c r="A427" s="1004"/>
      <c r="B427" s="1004"/>
      <c r="C427" s="1004"/>
      <c r="I427" s="1004"/>
      <c r="J427" s="1004"/>
      <c r="K427" s="1004"/>
      <c r="L427" s="777">
        <v>5</v>
      </c>
      <c r="M427" s="778"/>
      <c r="N427" s="976"/>
      <c r="O427" s="1020">
        <v>307</v>
      </c>
      <c r="P427" s="847" t="e">
        <f>VLOOKUP(N427,etat!$A$9:$N$1004,2,FALSE)</f>
        <v>#N/A</v>
      </c>
      <c r="Q427" s="797" t="e">
        <f>VLOOKUP(N427,etat!$A$9:$N$963,7,FALSE)</f>
        <v>#N/A</v>
      </c>
      <c r="R427" s="797" t="e">
        <f>VLOOKUP(N427,etat!$A$9:$N$1003,9,FALSE)</f>
        <v>#N/A</v>
      </c>
      <c r="S427" s="866" t="e">
        <f>VLOOKUP(N427,etat!$A$9:$P$905,16,FALSE)</f>
        <v>#N/A</v>
      </c>
      <c r="T427" s="755"/>
      <c r="U427" s="784"/>
      <c r="V427" s="784"/>
      <c r="W427" s="784"/>
      <c r="X427" s="784"/>
      <c r="Y427" s="784"/>
      <c r="Z427" s="975"/>
      <c r="AA427" s="967"/>
      <c r="AB427" s="1005"/>
      <c r="AC427" s="1005"/>
      <c r="AD427" s="1005"/>
      <c r="AE427" s="1005"/>
      <c r="AF427" s="1005"/>
      <c r="AG427" s="1004"/>
      <c r="AH427" s="1004"/>
      <c r="AI427" s="1004"/>
      <c r="AJ427" s="1004"/>
      <c r="AK427" s="1004"/>
      <c r="AL427" s="1004"/>
      <c r="AM427" s="1004"/>
      <c r="AN427" s="1004"/>
      <c r="AO427" s="1004"/>
      <c r="AP427" s="1004"/>
      <c r="AQ427" s="1004"/>
      <c r="AR427" s="1004"/>
      <c r="AS427" s="1004"/>
      <c r="AT427" s="1004"/>
      <c r="AU427" s="1004"/>
      <c r="AV427" s="1004"/>
      <c r="AW427" s="1004"/>
    </row>
    <row r="428" spans="1:49" ht="15.75">
      <c r="A428" s="1004"/>
      <c r="B428" s="1004"/>
      <c r="C428" s="1004"/>
      <c r="I428" s="1004"/>
      <c r="J428" s="1004"/>
      <c r="K428" s="1004"/>
      <c r="L428" s="777">
        <v>5</v>
      </c>
      <c r="M428" s="778"/>
      <c r="N428" s="976"/>
      <c r="O428" s="1020">
        <v>308</v>
      </c>
      <c r="P428" s="847" t="e">
        <f>VLOOKUP(N428,etat!$A$9:$N$1004,2,FALSE)</f>
        <v>#N/A</v>
      </c>
      <c r="Q428" s="797" t="e">
        <f>VLOOKUP(N428,etat!$A$9:$N$963,7,FALSE)</f>
        <v>#N/A</v>
      </c>
      <c r="R428" s="797" t="e">
        <f>VLOOKUP(N428,etat!$A$9:$N$1003,9,FALSE)</f>
        <v>#N/A</v>
      </c>
      <c r="S428" s="866" t="e">
        <f>VLOOKUP(N428,etat!$A$9:$P$905,16,FALSE)</f>
        <v>#N/A</v>
      </c>
      <c r="T428" s="755"/>
      <c r="U428" s="784"/>
      <c r="V428" s="784"/>
      <c r="W428" s="784"/>
      <c r="X428" s="784"/>
      <c r="Y428" s="975"/>
      <c r="Z428" s="975"/>
      <c r="AA428" s="967"/>
      <c r="AB428" s="1005"/>
      <c r="AC428" s="1005"/>
      <c r="AD428" s="1005"/>
      <c r="AE428" s="1005"/>
      <c r="AF428" s="1005"/>
      <c r="AG428" s="1004"/>
      <c r="AH428" s="1004"/>
      <c r="AI428" s="1004"/>
      <c r="AJ428" s="1004"/>
      <c r="AK428" s="1004"/>
      <c r="AL428" s="1004"/>
      <c r="AM428" s="1004"/>
      <c r="AN428" s="1004"/>
      <c r="AO428" s="1004"/>
      <c r="AP428" s="1004"/>
      <c r="AQ428" s="1004"/>
      <c r="AR428" s="1004"/>
      <c r="AS428" s="1004"/>
      <c r="AT428" s="1004"/>
      <c r="AU428" s="1004"/>
      <c r="AV428" s="1004"/>
      <c r="AW428" s="1004"/>
    </row>
    <row r="429" spans="1:49" ht="15.75">
      <c r="A429" s="1004"/>
      <c r="B429" s="1004"/>
      <c r="C429" s="1004"/>
      <c r="I429" s="1004"/>
      <c r="J429" s="1004"/>
      <c r="K429" s="1004"/>
      <c r="L429" s="777">
        <v>5</v>
      </c>
      <c r="M429" s="864"/>
      <c r="N429" s="976"/>
      <c r="O429" s="1020">
        <v>309</v>
      </c>
      <c r="P429" s="847" t="e">
        <f>VLOOKUP(N429,etat!$A$9:$N$1004,2,FALSE)</f>
        <v>#N/A</v>
      </c>
      <c r="Q429" s="797" t="e">
        <f>VLOOKUP(N429,etat!$A$9:$N$963,7,FALSE)</f>
        <v>#N/A</v>
      </c>
      <c r="R429" s="797" t="e">
        <f>VLOOKUP(N429,etat!$A$9:$N$1003,9,FALSE)</f>
        <v>#N/A</v>
      </c>
      <c r="S429" s="866" t="e">
        <f>VLOOKUP(N429,etat!$A$9:$P$905,16,FALSE)</f>
        <v>#N/A</v>
      </c>
      <c r="T429" s="755"/>
      <c r="U429" s="784"/>
      <c r="V429" s="784"/>
      <c r="W429" s="784"/>
      <c r="X429" s="784"/>
      <c r="Y429" s="975"/>
      <c r="Z429" s="975"/>
      <c r="AA429" s="967"/>
      <c r="AB429" s="1005"/>
      <c r="AC429" s="1005"/>
      <c r="AD429" s="1005"/>
      <c r="AE429" s="1005"/>
      <c r="AF429" s="1005"/>
      <c r="AG429" s="1004"/>
      <c r="AH429" s="1004"/>
      <c r="AI429" s="1004"/>
      <c r="AJ429" s="1004"/>
      <c r="AK429" s="1004"/>
      <c r="AL429" s="1004"/>
      <c r="AM429" s="1004"/>
      <c r="AN429" s="1004"/>
      <c r="AO429" s="1004"/>
      <c r="AP429" s="1004"/>
      <c r="AQ429" s="1004"/>
      <c r="AR429" s="1004"/>
      <c r="AS429" s="1004"/>
      <c r="AT429" s="1004"/>
      <c r="AU429" s="1004"/>
      <c r="AV429" s="1004"/>
      <c r="AW429" s="1004"/>
    </row>
    <row r="430" spans="1:49" ht="15.75">
      <c r="A430" s="1004"/>
      <c r="B430" s="1004"/>
      <c r="C430" s="1004"/>
      <c r="I430" s="1004"/>
      <c r="J430" s="1004"/>
      <c r="K430" s="1004"/>
      <c r="L430" s="777">
        <v>5</v>
      </c>
      <c r="M430" s="864"/>
      <c r="N430" s="976"/>
      <c r="O430" s="1020">
        <v>310</v>
      </c>
      <c r="P430" s="847" t="e">
        <f>VLOOKUP(N430,etat!$A$9:$N$1004,2,FALSE)</f>
        <v>#N/A</v>
      </c>
      <c r="Q430" s="797" t="e">
        <f>VLOOKUP(N430,etat!$A$9:$N$963,7,FALSE)</f>
        <v>#N/A</v>
      </c>
      <c r="R430" s="797" t="e">
        <f>VLOOKUP(N430,etat!$A$9:$N$1003,9,FALSE)</f>
        <v>#N/A</v>
      </c>
      <c r="S430" s="866" t="e">
        <f>VLOOKUP(N430,etat!$A$9:$P$905,16,FALSE)</f>
        <v>#N/A</v>
      </c>
      <c r="T430" s="755"/>
      <c r="U430" s="784"/>
      <c r="V430" s="784"/>
      <c r="W430" s="784"/>
      <c r="X430" s="784"/>
      <c r="Y430" s="975"/>
      <c r="Z430" s="975"/>
      <c r="AA430" s="967"/>
      <c r="AB430" s="1005"/>
      <c r="AC430" s="1005"/>
      <c r="AD430" s="1005"/>
      <c r="AE430" s="1005"/>
      <c r="AF430" s="1005"/>
      <c r="AG430" s="1004"/>
      <c r="AH430" s="1004"/>
      <c r="AI430" s="1004"/>
      <c r="AJ430" s="1004"/>
      <c r="AK430" s="1004"/>
      <c r="AL430" s="1004"/>
      <c r="AM430" s="1004"/>
      <c r="AN430" s="1004"/>
      <c r="AO430" s="1004"/>
      <c r="AP430" s="1004"/>
      <c r="AQ430" s="1004"/>
      <c r="AR430" s="1004"/>
      <c r="AS430" s="1004"/>
      <c r="AT430" s="1004"/>
      <c r="AU430" s="1004"/>
      <c r="AV430" s="1004"/>
      <c r="AW430" s="1004"/>
    </row>
    <row r="431" spans="1:49" ht="15.75">
      <c r="A431" s="1004"/>
      <c r="B431" s="1004"/>
      <c r="C431" s="1004"/>
      <c r="I431" s="1004"/>
      <c r="J431" s="1004"/>
      <c r="K431" s="1004"/>
      <c r="L431" s="777">
        <v>5</v>
      </c>
      <c r="M431" s="864"/>
      <c r="N431" s="976"/>
      <c r="O431" s="1020">
        <v>311</v>
      </c>
      <c r="P431" s="847" t="e">
        <f>VLOOKUP(N431,etat!$A$9:$N$1004,2,FALSE)</f>
        <v>#N/A</v>
      </c>
      <c r="Q431" s="797" t="e">
        <f>VLOOKUP(N431,etat!$A$9:$N$963,7,FALSE)</f>
        <v>#N/A</v>
      </c>
      <c r="R431" s="797" t="e">
        <f>VLOOKUP(N431,etat!$A$9:$N$1003,9,FALSE)</f>
        <v>#N/A</v>
      </c>
      <c r="S431" s="866" t="e">
        <f>VLOOKUP(N431,etat!$A$9:$P$905,16,FALSE)</f>
        <v>#N/A</v>
      </c>
      <c r="T431" s="755"/>
      <c r="U431" s="784"/>
      <c r="V431" s="784"/>
      <c r="W431" s="784"/>
      <c r="X431" s="784"/>
      <c r="Y431" s="975"/>
      <c r="Z431" s="975"/>
      <c r="AA431" s="967"/>
      <c r="AB431" s="1005"/>
      <c r="AC431" s="1005"/>
      <c r="AD431" s="1005"/>
      <c r="AE431" s="1005"/>
      <c r="AF431" s="1005"/>
      <c r="AG431" s="1004"/>
      <c r="AH431" s="1004"/>
      <c r="AI431" s="1004"/>
      <c r="AJ431" s="1004"/>
      <c r="AK431" s="1004"/>
      <c r="AL431" s="1004"/>
      <c r="AM431" s="1004"/>
      <c r="AN431" s="1004"/>
      <c r="AO431" s="1004"/>
      <c r="AP431" s="1004"/>
      <c r="AQ431" s="1004"/>
      <c r="AR431" s="1004"/>
      <c r="AS431" s="1004"/>
      <c r="AT431" s="1004"/>
      <c r="AU431" s="1004"/>
      <c r="AV431" s="1004"/>
      <c r="AW431" s="1004"/>
    </row>
    <row r="432" spans="1:49" ht="15.75">
      <c r="A432" s="1004"/>
      <c r="B432" s="1004"/>
      <c r="C432" s="1004"/>
      <c r="I432" s="1004"/>
      <c r="J432" s="1004"/>
      <c r="K432" s="1004"/>
      <c r="L432" s="777">
        <v>5</v>
      </c>
      <c r="M432" s="864"/>
      <c r="N432" s="976"/>
      <c r="O432" s="1020">
        <v>312</v>
      </c>
      <c r="P432" s="847" t="e">
        <f>VLOOKUP(N432,etat!$A$9:$N$1004,2,FALSE)</f>
        <v>#N/A</v>
      </c>
      <c r="Q432" s="797" t="e">
        <f>VLOOKUP(N432,etat!$A$9:$N$963,7,FALSE)</f>
        <v>#N/A</v>
      </c>
      <c r="R432" s="797" t="e">
        <f>VLOOKUP(N432,etat!$A$9:$N$1003,9,FALSE)</f>
        <v>#N/A</v>
      </c>
      <c r="S432" s="866" t="e">
        <f>VLOOKUP(N432,etat!$A$9:$P$905,16,FALSE)</f>
        <v>#N/A</v>
      </c>
      <c r="T432" s="755"/>
      <c r="U432" s="784"/>
      <c r="V432" s="784"/>
      <c r="W432" s="784"/>
      <c r="X432" s="784"/>
      <c r="Y432" s="975"/>
      <c r="Z432" s="975"/>
      <c r="AA432" s="967"/>
      <c r="AB432" s="1005"/>
      <c r="AC432" s="1005"/>
      <c r="AD432" s="1005"/>
      <c r="AE432" s="1005"/>
      <c r="AF432" s="1005"/>
      <c r="AG432" s="1004"/>
      <c r="AH432" s="1004"/>
      <c r="AI432" s="1004"/>
      <c r="AJ432" s="1004"/>
      <c r="AK432" s="1004"/>
      <c r="AL432" s="1004"/>
      <c r="AM432" s="1004"/>
      <c r="AN432" s="1004"/>
      <c r="AO432" s="1004"/>
      <c r="AP432" s="1004"/>
      <c r="AQ432" s="1004"/>
      <c r="AR432" s="1004"/>
      <c r="AS432" s="1004"/>
      <c r="AT432" s="1004"/>
      <c r="AU432" s="1004"/>
      <c r="AV432" s="1004"/>
      <c r="AW432" s="1004"/>
    </row>
    <row r="433" spans="1:49" ht="15.75">
      <c r="A433" s="1004"/>
      <c r="B433" s="1004"/>
      <c r="C433" s="1004"/>
      <c r="I433" s="1004"/>
      <c r="J433" s="1004"/>
      <c r="K433" s="1004"/>
      <c r="L433" s="777">
        <v>5</v>
      </c>
      <c r="M433" s="778"/>
      <c r="N433" s="976"/>
      <c r="O433" s="1020">
        <v>313</v>
      </c>
      <c r="P433" s="847" t="e">
        <f>VLOOKUP(N433,etat!$A$9:$N$1004,2,FALSE)</f>
        <v>#N/A</v>
      </c>
      <c r="Q433" s="797" t="e">
        <f>VLOOKUP(N433,etat!$A$9:$N$963,7,FALSE)</f>
        <v>#N/A</v>
      </c>
      <c r="R433" s="797" t="e">
        <f>VLOOKUP(N433,etat!$A$9:$N$1003,9,FALSE)</f>
        <v>#N/A</v>
      </c>
      <c r="S433" s="866" t="e">
        <f>VLOOKUP(N433,etat!$A$9:$P$905,16,FALSE)</f>
        <v>#N/A</v>
      </c>
      <c r="T433" s="755"/>
      <c r="U433" s="784"/>
      <c r="V433" s="784"/>
      <c r="W433" s="784"/>
      <c r="X433" s="784"/>
      <c r="Y433" s="975"/>
      <c r="Z433" s="975"/>
      <c r="AA433" s="967"/>
      <c r="AB433" s="1005"/>
      <c r="AC433" s="1005"/>
      <c r="AD433" s="1005"/>
      <c r="AE433" s="1005"/>
      <c r="AF433" s="1005"/>
      <c r="AG433" s="1004"/>
      <c r="AH433" s="1004"/>
      <c r="AI433" s="1004"/>
      <c r="AJ433" s="1004"/>
      <c r="AK433" s="1004"/>
      <c r="AL433" s="1004"/>
      <c r="AM433" s="1004"/>
      <c r="AN433" s="1004"/>
      <c r="AO433" s="1004"/>
      <c r="AP433" s="1004"/>
      <c r="AQ433" s="1004"/>
      <c r="AR433" s="1004"/>
      <c r="AS433" s="1004"/>
      <c r="AT433" s="1004"/>
      <c r="AU433" s="1004"/>
      <c r="AV433" s="1004"/>
      <c r="AW433" s="1004"/>
    </row>
    <row r="434" spans="1:49" ht="15.75">
      <c r="A434" s="1004"/>
      <c r="B434" s="1004"/>
      <c r="C434" s="1004"/>
      <c r="I434" s="1004"/>
      <c r="J434" s="1004"/>
      <c r="K434" s="1004"/>
      <c r="L434" s="777">
        <v>5</v>
      </c>
      <c r="M434" s="778"/>
      <c r="N434" s="976"/>
      <c r="O434" s="1020">
        <v>314</v>
      </c>
      <c r="P434" s="847" t="e">
        <f>VLOOKUP(N434,etat!$A$9:$N$1004,2,FALSE)</f>
        <v>#N/A</v>
      </c>
      <c r="Q434" s="797" t="e">
        <f>VLOOKUP(N434,etat!$A$9:$N$963,7,FALSE)</f>
        <v>#N/A</v>
      </c>
      <c r="R434" s="797" t="e">
        <f>VLOOKUP(N434,etat!$A$9:$N$1003,9,FALSE)</f>
        <v>#N/A</v>
      </c>
      <c r="S434" s="866" t="e">
        <f>VLOOKUP(N434,etat!$A$9:$P$905,16,FALSE)</f>
        <v>#N/A</v>
      </c>
      <c r="T434" s="755"/>
      <c r="U434" s="784"/>
      <c r="V434" s="784"/>
      <c r="W434" s="784"/>
      <c r="X434" s="784"/>
      <c r="Y434" s="975"/>
      <c r="Z434" s="975"/>
      <c r="AA434" s="967"/>
      <c r="AB434" s="1005"/>
      <c r="AC434" s="1005"/>
      <c r="AD434" s="1005"/>
      <c r="AE434" s="1005"/>
      <c r="AF434" s="1005"/>
      <c r="AG434" s="1004"/>
      <c r="AH434" s="1004"/>
      <c r="AI434" s="1004"/>
      <c r="AJ434" s="1004"/>
      <c r="AK434" s="1004"/>
      <c r="AL434" s="1004"/>
      <c r="AM434" s="1004"/>
      <c r="AN434" s="1004"/>
      <c r="AO434" s="1004"/>
      <c r="AP434" s="1004"/>
      <c r="AQ434" s="1004"/>
      <c r="AR434" s="1004"/>
      <c r="AS434" s="1004"/>
      <c r="AT434" s="1004"/>
      <c r="AU434" s="1004"/>
      <c r="AV434" s="1004"/>
      <c r="AW434" s="1004"/>
    </row>
    <row r="435" spans="1:49" ht="15.75">
      <c r="A435" s="1004"/>
      <c r="B435" s="1004"/>
      <c r="C435" s="1004"/>
      <c r="I435" s="1004"/>
      <c r="J435" s="1004"/>
      <c r="K435" s="1004"/>
      <c r="L435" s="777">
        <v>5</v>
      </c>
      <c r="M435" s="778"/>
      <c r="N435" s="976"/>
      <c r="O435" s="1020">
        <v>315</v>
      </c>
      <c r="P435" s="847" t="e">
        <f>VLOOKUP(N435,etat!$A$9:$N$1004,2,FALSE)</f>
        <v>#N/A</v>
      </c>
      <c r="Q435" s="797" t="e">
        <f>VLOOKUP(N435,etat!$A$9:$N$963,7,FALSE)</f>
        <v>#N/A</v>
      </c>
      <c r="R435" s="797" t="e">
        <f>VLOOKUP(N435,etat!$A$9:$N$1003,9,FALSE)</f>
        <v>#N/A</v>
      </c>
      <c r="S435" s="866" t="e">
        <f>VLOOKUP(N435,etat!$A$9:$P$905,16,FALSE)</f>
        <v>#N/A</v>
      </c>
      <c r="T435" s="755"/>
      <c r="U435" s="784"/>
      <c r="V435" s="784"/>
      <c r="W435" s="784"/>
      <c r="X435" s="784"/>
      <c r="Y435" s="975"/>
      <c r="Z435" s="975"/>
      <c r="AA435" s="967"/>
      <c r="AB435" s="1005"/>
      <c r="AC435" s="1005"/>
      <c r="AD435" s="1005"/>
      <c r="AE435" s="1005"/>
      <c r="AF435" s="1005"/>
      <c r="AG435" s="1004"/>
      <c r="AH435" s="1004"/>
      <c r="AI435" s="1004"/>
      <c r="AJ435" s="1004"/>
      <c r="AK435" s="1004"/>
      <c r="AL435" s="1004"/>
      <c r="AM435" s="1004"/>
      <c r="AN435" s="1004"/>
      <c r="AO435" s="1004"/>
      <c r="AP435" s="1004"/>
      <c r="AQ435" s="1004"/>
      <c r="AR435" s="1004"/>
      <c r="AS435" s="1004"/>
      <c r="AT435" s="1004"/>
      <c r="AU435" s="1004"/>
      <c r="AV435" s="1004"/>
      <c r="AW435" s="1004"/>
    </row>
    <row r="436" spans="1:49" ht="15.75">
      <c r="A436" s="1004"/>
      <c r="B436" s="1004"/>
      <c r="C436" s="1004"/>
      <c r="I436" s="1004"/>
      <c r="J436" s="1004"/>
      <c r="K436" s="1004"/>
      <c r="L436" s="777">
        <v>5</v>
      </c>
      <c r="M436" s="778"/>
      <c r="N436" s="976"/>
      <c r="O436" s="1020">
        <v>316</v>
      </c>
      <c r="P436" s="847" t="e">
        <f>VLOOKUP(N436,etat!$A$9:$N$1004,2,FALSE)</f>
        <v>#N/A</v>
      </c>
      <c r="Q436" s="797" t="e">
        <f>VLOOKUP(N436,etat!$A$9:$N$963,7,FALSE)</f>
        <v>#N/A</v>
      </c>
      <c r="R436" s="797" t="e">
        <f>VLOOKUP(N436,etat!$A$9:$N$1003,9,FALSE)</f>
        <v>#N/A</v>
      </c>
      <c r="S436" s="866" t="e">
        <f>VLOOKUP(N436,etat!$A$9:$P$905,16,FALSE)</f>
        <v>#N/A</v>
      </c>
      <c r="T436" s="755"/>
      <c r="U436" s="784"/>
      <c r="V436" s="784"/>
      <c r="W436" s="784"/>
      <c r="X436" s="784"/>
      <c r="Y436" s="975"/>
      <c r="Z436" s="975"/>
      <c r="AA436" s="967"/>
      <c r="AB436" s="1005"/>
      <c r="AC436" s="1005"/>
      <c r="AD436" s="1005"/>
      <c r="AE436" s="1005"/>
      <c r="AF436" s="1005"/>
      <c r="AG436" s="1004"/>
      <c r="AH436" s="1004"/>
      <c r="AI436" s="1004"/>
      <c r="AJ436" s="1004"/>
      <c r="AK436" s="1004"/>
      <c r="AL436" s="1004"/>
      <c r="AM436" s="1004"/>
      <c r="AN436" s="1004"/>
      <c r="AO436" s="1004"/>
      <c r="AP436" s="1004"/>
      <c r="AQ436" s="1004"/>
      <c r="AR436" s="1004"/>
      <c r="AS436" s="1004"/>
      <c r="AT436" s="1004"/>
      <c r="AU436" s="1004"/>
      <c r="AV436" s="1004"/>
      <c r="AW436" s="1004"/>
    </row>
    <row r="437" spans="1:49" ht="15.75">
      <c r="A437" s="1004"/>
      <c r="B437" s="1004"/>
      <c r="C437" s="1004"/>
      <c r="I437" s="1004"/>
      <c r="J437" s="1004"/>
      <c r="K437" s="1004"/>
      <c r="L437" s="777">
        <v>5</v>
      </c>
      <c r="M437" s="778"/>
      <c r="N437" s="976"/>
      <c r="O437" s="1020">
        <v>317</v>
      </c>
      <c r="P437" s="847" t="e">
        <f>VLOOKUP(N437,etat!$A$9:$N$1004,2,FALSE)</f>
        <v>#N/A</v>
      </c>
      <c r="Q437" s="797" t="e">
        <f>VLOOKUP(N437,etat!$A$9:$N$963,7,FALSE)</f>
        <v>#N/A</v>
      </c>
      <c r="R437" s="797" t="e">
        <f>VLOOKUP(N437,etat!$A$9:$N$1003,9,FALSE)</f>
        <v>#N/A</v>
      </c>
      <c r="S437" s="866" t="e">
        <f>VLOOKUP(N437,etat!$A$9:$P$905,16,FALSE)</f>
        <v>#N/A</v>
      </c>
      <c r="T437" s="755"/>
      <c r="U437" s="784"/>
      <c r="V437" s="784"/>
      <c r="W437" s="784"/>
      <c r="X437" s="784"/>
      <c r="Y437" s="975"/>
      <c r="Z437" s="975"/>
      <c r="AA437" s="967"/>
      <c r="AB437" s="1005"/>
      <c r="AC437" s="1005"/>
      <c r="AD437" s="1005"/>
      <c r="AE437" s="1005"/>
      <c r="AF437" s="1005"/>
      <c r="AG437" s="1004"/>
      <c r="AH437" s="1004"/>
      <c r="AI437" s="1004"/>
      <c r="AJ437" s="1004"/>
      <c r="AK437" s="1004"/>
      <c r="AL437" s="1004"/>
      <c r="AM437" s="1004"/>
      <c r="AN437" s="1004"/>
      <c r="AO437" s="1004"/>
      <c r="AP437" s="1004"/>
      <c r="AQ437" s="1004"/>
      <c r="AR437" s="1004"/>
      <c r="AS437" s="1004"/>
      <c r="AT437" s="1004"/>
      <c r="AU437" s="1004"/>
      <c r="AV437" s="1004"/>
      <c r="AW437" s="1004"/>
    </row>
    <row r="438" spans="1:49" ht="15.75">
      <c r="A438" s="1004"/>
      <c r="B438" s="1004"/>
      <c r="C438" s="1004"/>
      <c r="I438" s="1004"/>
      <c r="J438" s="1004"/>
      <c r="K438" s="1004"/>
      <c r="L438" s="777">
        <v>5</v>
      </c>
      <c r="M438" s="778"/>
      <c r="N438" s="976"/>
      <c r="O438" s="1020">
        <v>318</v>
      </c>
      <c r="P438" s="847" t="e">
        <f>VLOOKUP(N438,etat!$A$9:$N$1004,2,FALSE)</f>
        <v>#N/A</v>
      </c>
      <c r="Q438" s="797" t="e">
        <f>VLOOKUP(N438,etat!$A$9:$N$963,7,FALSE)</f>
        <v>#N/A</v>
      </c>
      <c r="R438" s="797" t="e">
        <f>VLOOKUP(N438,etat!$A$9:$N$1003,9,FALSE)</f>
        <v>#N/A</v>
      </c>
      <c r="S438" s="866" t="e">
        <f>VLOOKUP(N438,etat!$A$9:$P$905,16,FALSE)</f>
        <v>#N/A</v>
      </c>
      <c r="T438" s="755"/>
      <c r="U438" s="784"/>
      <c r="V438" s="784"/>
      <c r="W438" s="784"/>
      <c r="X438" s="784"/>
      <c r="Y438" s="975"/>
      <c r="Z438" s="975"/>
      <c r="AA438" s="967"/>
      <c r="AB438" s="1005"/>
      <c r="AC438" s="1005"/>
      <c r="AD438" s="1005"/>
      <c r="AE438" s="1005"/>
      <c r="AF438" s="1005"/>
      <c r="AG438" s="1004"/>
      <c r="AH438" s="1004"/>
      <c r="AI438" s="1004"/>
      <c r="AJ438" s="1004"/>
      <c r="AK438" s="1004"/>
      <c r="AL438" s="1004"/>
      <c r="AM438" s="1004"/>
      <c r="AN438" s="1004"/>
      <c r="AO438" s="1004"/>
      <c r="AP438" s="1004"/>
      <c r="AQ438" s="1004"/>
      <c r="AR438" s="1004"/>
      <c r="AS438" s="1004"/>
      <c r="AT438" s="1004"/>
      <c r="AU438" s="1004"/>
      <c r="AV438" s="1004"/>
      <c r="AW438" s="1004"/>
    </row>
    <row r="439" spans="1:49" ht="15.75">
      <c r="A439" s="1004"/>
      <c r="B439" s="1004"/>
      <c r="C439" s="1004"/>
      <c r="I439" s="1004"/>
      <c r="J439" s="1004"/>
      <c r="K439" s="1004"/>
      <c r="L439" s="777">
        <v>5</v>
      </c>
      <c r="M439" s="778"/>
      <c r="N439" s="976"/>
      <c r="O439" s="1020">
        <v>319</v>
      </c>
      <c r="P439" s="847" t="e">
        <f>VLOOKUP(N439,etat!$A$9:$N$1004,2,FALSE)</f>
        <v>#N/A</v>
      </c>
      <c r="Q439" s="797" t="e">
        <f>VLOOKUP(N439,etat!$A$9:$N$963,7,FALSE)</f>
        <v>#N/A</v>
      </c>
      <c r="R439" s="797" t="e">
        <f>VLOOKUP(N439,etat!$A$9:$N$1003,9,FALSE)</f>
        <v>#N/A</v>
      </c>
      <c r="S439" s="866" t="e">
        <f>VLOOKUP(N439,etat!$A$9:$P$905,16,FALSE)</f>
        <v>#N/A</v>
      </c>
      <c r="T439" s="755"/>
      <c r="U439" s="784"/>
      <c r="V439" s="784"/>
      <c r="W439" s="784"/>
      <c r="X439" s="784"/>
      <c r="Y439" s="975"/>
      <c r="Z439" s="975"/>
      <c r="AA439" s="967"/>
      <c r="AB439" s="1005"/>
      <c r="AC439" s="1005"/>
      <c r="AD439" s="1005"/>
      <c r="AE439" s="1005"/>
      <c r="AF439" s="1005"/>
      <c r="AG439" s="1004"/>
      <c r="AH439" s="1004"/>
      <c r="AI439" s="1004"/>
      <c r="AJ439" s="1004"/>
      <c r="AK439" s="1004"/>
      <c r="AL439" s="1004"/>
      <c r="AM439" s="1004"/>
      <c r="AN439" s="1004"/>
      <c r="AO439" s="1004"/>
      <c r="AP439" s="1004"/>
      <c r="AQ439" s="1004"/>
      <c r="AR439" s="1004"/>
      <c r="AS439" s="1004"/>
      <c r="AT439" s="1004"/>
      <c r="AU439" s="1004"/>
      <c r="AV439" s="1004"/>
      <c r="AW439" s="1004"/>
    </row>
    <row r="440" spans="1:49" ht="15.75">
      <c r="A440" s="1004"/>
      <c r="B440" s="1004"/>
      <c r="C440" s="1004"/>
      <c r="I440" s="1004"/>
      <c r="J440" s="1004"/>
      <c r="K440" s="1004"/>
      <c r="L440" s="777">
        <v>5</v>
      </c>
      <c r="M440" s="778"/>
      <c r="N440" s="976"/>
      <c r="O440" s="1020">
        <v>320</v>
      </c>
      <c r="P440" s="847" t="e">
        <f>VLOOKUP(N440,etat!$A$9:$N$1004,2,FALSE)</f>
        <v>#N/A</v>
      </c>
      <c r="Q440" s="797" t="e">
        <f>VLOOKUP(N440,etat!$A$9:$N$963,7,FALSE)</f>
        <v>#N/A</v>
      </c>
      <c r="R440" s="797" t="e">
        <f>VLOOKUP(N440,etat!$A$9:$N$1003,9,FALSE)</f>
        <v>#N/A</v>
      </c>
      <c r="S440" s="866" t="e">
        <f>VLOOKUP(N440,etat!$A$9:$P$905,16,FALSE)</f>
        <v>#N/A</v>
      </c>
      <c r="T440" s="755"/>
      <c r="U440" s="784"/>
      <c r="V440" s="784"/>
      <c r="W440" s="784"/>
      <c r="X440" s="784"/>
      <c r="Y440" s="784"/>
      <c r="Z440" s="975"/>
      <c r="AA440" s="967"/>
      <c r="AB440" s="1005"/>
      <c r="AC440" s="1005"/>
      <c r="AD440" s="1005"/>
      <c r="AE440" s="1005"/>
      <c r="AF440" s="1005"/>
      <c r="AG440" s="1004"/>
      <c r="AH440" s="1004"/>
      <c r="AI440" s="1004"/>
      <c r="AJ440" s="1004"/>
      <c r="AK440" s="1004"/>
      <c r="AL440" s="1004"/>
      <c r="AM440" s="1004"/>
      <c r="AN440" s="1004"/>
      <c r="AO440" s="1004"/>
      <c r="AP440" s="1004"/>
      <c r="AQ440" s="1004"/>
      <c r="AR440" s="1004"/>
      <c r="AS440" s="1004"/>
      <c r="AT440" s="1004"/>
      <c r="AU440" s="1004"/>
      <c r="AV440" s="1004"/>
      <c r="AW440" s="1004"/>
    </row>
    <row r="441" spans="1:49" ht="15.75">
      <c r="A441" s="1004"/>
      <c r="B441" s="1004"/>
      <c r="C441" s="1004"/>
      <c r="I441" s="1004"/>
      <c r="J441" s="1004"/>
      <c r="K441" s="1004"/>
      <c r="L441" s="777">
        <v>5</v>
      </c>
      <c r="M441" s="778"/>
      <c r="N441" s="976"/>
      <c r="O441" s="1020">
        <v>321</v>
      </c>
      <c r="P441" s="847" t="e">
        <f>VLOOKUP(N441,etat!$A$9:$N$1004,2,FALSE)</f>
        <v>#N/A</v>
      </c>
      <c r="Q441" s="797" t="e">
        <f>VLOOKUP(N441,etat!$A$9:$N$963,7,FALSE)</f>
        <v>#N/A</v>
      </c>
      <c r="R441" s="797" t="e">
        <f>VLOOKUP(N441,etat!$A$9:$N$1003,9,FALSE)</f>
        <v>#N/A</v>
      </c>
      <c r="S441" s="866" t="e">
        <f>VLOOKUP(N441,etat!$A$9:$P$905,16,FALSE)</f>
        <v>#N/A</v>
      </c>
      <c r="T441" s="755"/>
      <c r="U441" s="784"/>
      <c r="V441" s="784"/>
      <c r="W441" s="784"/>
      <c r="X441" s="784"/>
      <c r="Y441" s="784"/>
      <c r="Z441" s="975"/>
      <c r="AA441" s="967"/>
      <c r="AB441" s="1005"/>
      <c r="AC441" s="1005"/>
      <c r="AD441" s="1005"/>
      <c r="AE441" s="1005"/>
      <c r="AF441" s="1005"/>
      <c r="AG441" s="1004"/>
      <c r="AH441" s="1004"/>
      <c r="AI441" s="1004"/>
      <c r="AJ441" s="1004"/>
      <c r="AK441" s="1004"/>
      <c r="AL441" s="1004"/>
      <c r="AM441" s="1004"/>
      <c r="AN441" s="1004"/>
      <c r="AO441" s="1004"/>
      <c r="AP441" s="1004"/>
      <c r="AQ441" s="1004"/>
      <c r="AR441" s="1004"/>
      <c r="AS441" s="1004"/>
      <c r="AT441" s="1004"/>
      <c r="AU441" s="1004"/>
      <c r="AV441" s="1004"/>
      <c r="AW441" s="1004"/>
    </row>
    <row r="442" spans="1:49" ht="15.75">
      <c r="A442" s="1004"/>
      <c r="B442" s="1004"/>
      <c r="C442" s="1004"/>
      <c r="I442" s="1004"/>
      <c r="J442" s="1004"/>
      <c r="K442" s="1004"/>
      <c r="L442" s="777">
        <v>5</v>
      </c>
      <c r="M442" s="778"/>
      <c r="N442" s="976"/>
      <c r="O442" s="1020">
        <v>322</v>
      </c>
      <c r="P442" s="847" t="e">
        <f>VLOOKUP(N442,etat!$A$9:$N$1004,2,FALSE)</f>
        <v>#N/A</v>
      </c>
      <c r="Q442" s="797" t="e">
        <f>VLOOKUP(N442,etat!$A$9:$N$963,7,FALSE)</f>
        <v>#N/A</v>
      </c>
      <c r="R442" s="797" t="e">
        <f>VLOOKUP(N442,etat!$A$9:$N$1003,9,FALSE)</f>
        <v>#N/A</v>
      </c>
      <c r="S442" s="866" t="e">
        <f>VLOOKUP(N442,etat!$A$9:$P$905,16,FALSE)</f>
        <v>#N/A</v>
      </c>
      <c r="T442" s="755"/>
      <c r="U442" s="784"/>
      <c r="V442" s="784"/>
      <c r="W442" s="784"/>
      <c r="X442" s="784"/>
      <c r="Y442" s="784"/>
      <c r="Z442" s="975"/>
      <c r="AA442" s="967"/>
      <c r="AB442" s="1005"/>
      <c r="AC442" s="1005"/>
      <c r="AD442" s="1005"/>
      <c r="AE442" s="1005"/>
      <c r="AF442" s="1005"/>
      <c r="AG442" s="1004"/>
      <c r="AH442" s="1004"/>
      <c r="AI442" s="1004"/>
      <c r="AJ442" s="1004"/>
      <c r="AK442" s="1004"/>
      <c r="AL442" s="1004"/>
      <c r="AM442" s="1004"/>
      <c r="AN442" s="1004"/>
      <c r="AO442" s="1004"/>
      <c r="AP442" s="1004"/>
      <c r="AQ442" s="1004"/>
      <c r="AR442" s="1004"/>
      <c r="AS442" s="1004"/>
      <c r="AT442" s="1004"/>
      <c r="AU442" s="1004"/>
      <c r="AV442" s="1004"/>
      <c r="AW442" s="1004"/>
    </row>
    <row r="443" spans="1:49" ht="15.75">
      <c r="A443" s="1004"/>
      <c r="B443" s="1004"/>
      <c r="C443" s="1004"/>
      <c r="I443" s="1004"/>
      <c r="J443" s="1004"/>
      <c r="K443" s="1004"/>
      <c r="L443" s="777">
        <v>5</v>
      </c>
      <c r="M443" s="778"/>
      <c r="N443" s="976"/>
      <c r="O443" s="1020">
        <v>323</v>
      </c>
      <c r="P443" s="847" t="e">
        <f>VLOOKUP(N443,etat!$A$9:$N$1004,2,FALSE)</f>
        <v>#N/A</v>
      </c>
      <c r="Q443" s="797" t="e">
        <f>VLOOKUP(N443,etat!$A$9:$N$963,7,FALSE)</f>
        <v>#N/A</v>
      </c>
      <c r="R443" s="797" t="e">
        <f>VLOOKUP(N443,etat!$A$9:$N$1003,9,FALSE)</f>
        <v>#N/A</v>
      </c>
      <c r="S443" s="866" t="e">
        <f>VLOOKUP(N443,etat!$A$9:$P$905,16,FALSE)</f>
        <v>#N/A</v>
      </c>
      <c r="T443" s="755"/>
      <c r="U443" s="784"/>
      <c r="V443" s="784"/>
      <c r="W443" s="784"/>
      <c r="X443" s="784"/>
      <c r="Y443" s="784"/>
      <c r="Z443" s="975"/>
      <c r="AA443" s="967"/>
      <c r="AB443" s="1005"/>
      <c r="AC443" s="1005"/>
      <c r="AD443" s="1005"/>
      <c r="AE443" s="1005"/>
      <c r="AF443" s="1005"/>
      <c r="AG443" s="1004"/>
      <c r="AH443" s="1004"/>
      <c r="AI443" s="1004"/>
      <c r="AJ443" s="1004"/>
      <c r="AK443" s="1004"/>
      <c r="AL443" s="1004"/>
      <c r="AM443" s="1004"/>
      <c r="AN443" s="1004"/>
      <c r="AO443" s="1004"/>
      <c r="AP443" s="1004"/>
      <c r="AQ443" s="1004"/>
      <c r="AR443" s="1004"/>
      <c r="AS443" s="1004"/>
      <c r="AT443" s="1004"/>
      <c r="AU443" s="1004"/>
      <c r="AV443" s="1004"/>
      <c r="AW443" s="1004"/>
    </row>
    <row r="444" spans="1:49" ht="15.75">
      <c r="A444" s="1004"/>
      <c r="B444" s="1004"/>
      <c r="C444" s="1004"/>
      <c r="I444" s="1004"/>
      <c r="J444" s="1004"/>
      <c r="K444" s="1004"/>
      <c r="L444" s="777">
        <v>5</v>
      </c>
      <c r="M444" s="778"/>
      <c r="N444" s="976"/>
      <c r="O444" s="1020">
        <v>324</v>
      </c>
      <c r="P444" s="847" t="e">
        <f>VLOOKUP(N444,etat!$A$9:$N$1004,2,FALSE)</f>
        <v>#N/A</v>
      </c>
      <c r="Q444" s="797" t="e">
        <f>VLOOKUP(N444,etat!$A$9:$N$963,7,FALSE)</f>
        <v>#N/A</v>
      </c>
      <c r="R444" s="797" t="e">
        <f>VLOOKUP(N444,etat!$A$9:$N$1003,9,FALSE)</f>
        <v>#N/A</v>
      </c>
      <c r="S444" s="866" t="e">
        <f>VLOOKUP(N444,etat!$A$9:$P$905,16,FALSE)</f>
        <v>#N/A</v>
      </c>
      <c r="T444" s="755"/>
      <c r="U444" s="784"/>
      <c r="V444" s="784"/>
      <c r="W444" s="784"/>
      <c r="X444" s="784"/>
      <c r="Y444" s="784"/>
      <c r="Z444" s="975"/>
      <c r="AA444" s="967"/>
      <c r="AB444" s="1005"/>
      <c r="AC444" s="1005"/>
      <c r="AD444" s="1005"/>
      <c r="AE444" s="1005"/>
      <c r="AF444" s="1005"/>
      <c r="AG444" s="1004"/>
      <c r="AH444" s="1004"/>
      <c r="AI444" s="1004"/>
      <c r="AJ444" s="1004"/>
      <c r="AK444" s="1004"/>
      <c r="AL444" s="1004"/>
      <c r="AM444" s="1004"/>
      <c r="AN444" s="1004"/>
      <c r="AO444" s="1004"/>
      <c r="AP444" s="1004"/>
      <c r="AQ444" s="1004"/>
      <c r="AR444" s="1004"/>
      <c r="AS444" s="1004"/>
      <c r="AT444" s="1004"/>
      <c r="AU444" s="1004"/>
      <c r="AV444" s="1004"/>
      <c r="AW444" s="1004"/>
    </row>
    <row r="445" spans="1:49" ht="15.75">
      <c r="A445" s="1004"/>
      <c r="B445" s="1004"/>
      <c r="C445" s="1004"/>
      <c r="I445" s="1004"/>
      <c r="J445" s="1004"/>
      <c r="K445" s="1004"/>
      <c r="L445" s="777">
        <v>5</v>
      </c>
      <c r="M445" s="778"/>
      <c r="N445" s="976"/>
      <c r="O445" s="1020">
        <v>325</v>
      </c>
      <c r="P445" s="847" t="e">
        <f>VLOOKUP(N445,etat!$A$9:$N$1004,2,FALSE)</f>
        <v>#N/A</v>
      </c>
      <c r="Q445" s="797" t="e">
        <f>VLOOKUP(N445,etat!$A$9:$N$963,7,FALSE)</f>
        <v>#N/A</v>
      </c>
      <c r="R445" s="797" t="e">
        <f>VLOOKUP(N445,etat!$A$9:$N$1003,9,FALSE)</f>
        <v>#N/A</v>
      </c>
      <c r="S445" s="866" t="e">
        <f>VLOOKUP(N445,etat!$A$9:$P$905,16,FALSE)</f>
        <v>#N/A</v>
      </c>
      <c r="T445" s="755"/>
      <c r="U445" s="784"/>
      <c r="V445" s="784"/>
      <c r="W445" s="755"/>
      <c r="X445" s="784"/>
      <c r="Y445" s="975"/>
      <c r="Z445" s="975"/>
      <c r="AA445" s="967"/>
      <c r="AB445" s="1005"/>
      <c r="AC445" s="1005"/>
      <c r="AD445" s="1005"/>
      <c r="AE445" s="1005"/>
      <c r="AF445" s="1005"/>
      <c r="AG445" s="1004"/>
      <c r="AH445" s="1004"/>
      <c r="AI445" s="1004"/>
      <c r="AJ445" s="1004"/>
      <c r="AK445" s="1004"/>
      <c r="AL445" s="1004"/>
      <c r="AM445" s="1004"/>
      <c r="AN445" s="1004"/>
      <c r="AO445" s="1004"/>
      <c r="AP445" s="1004"/>
      <c r="AQ445" s="1004"/>
      <c r="AR445" s="1004"/>
      <c r="AS445" s="1004"/>
      <c r="AT445" s="1004"/>
      <c r="AU445" s="1004"/>
      <c r="AV445" s="1004"/>
      <c r="AW445" s="1004"/>
    </row>
    <row r="446" spans="1:49" ht="15.75">
      <c r="A446" s="1004"/>
      <c r="B446" s="1004"/>
      <c r="C446" s="1004"/>
      <c r="I446" s="1004"/>
      <c r="J446" s="1004"/>
      <c r="K446" s="1004"/>
      <c r="L446" s="777">
        <v>5</v>
      </c>
      <c r="M446" s="778"/>
      <c r="N446" s="976"/>
      <c r="O446" s="1020">
        <v>326</v>
      </c>
      <c r="P446" s="847" t="e">
        <f>VLOOKUP(N446,etat!$A$9:$N$1004,2,FALSE)</f>
        <v>#N/A</v>
      </c>
      <c r="Q446" s="797" t="e">
        <f>VLOOKUP(N446,etat!$A$9:$N$963,7,FALSE)</f>
        <v>#N/A</v>
      </c>
      <c r="R446" s="797" t="e">
        <f>VLOOKUP(N446,etat!$A$9:$N$1003,9,FALSE)</f>
        <v>#N/A</v>
      </c>
      <c r="S446" s="866" t="e">
        <f>VLOOKUP(N446,etat!$A$9:$P$905,16,FALSE)</f>
        <v>#N/A</v>
      </c>
      <c r="T446" s="755"/>
      <c r="U446" s="784"/>
      <c r="V446" s="784"/>
      <c r="W446" s="755"/>
      <c r="X446" s="784"/>
      <c r="Y446" s="975"/>
      <c r="Z446" s="975"/>
      <c r="AA446" s="967"/>
      <c r="AB446" s="1005"/>
      <c r="AC446" s="1005"/>
      <c r="AD446" s="1005"/>
      <c r="AE446" s="1005"/>
      <c r="AF446" s="1005"/>
      <c r="AG446" s="1004"/>
      <c r="AH446" s="1004"/>
      <c r="AI446" s="1004"/>
      <c r="AJ446" s="1004"/>
      <c r="AK446" s="1004"/>
      <c r="AL446" s="1004"/>
      <c r="AM446" s="1004"/>
      <c r="AN446" s="1004"/>
      <c r="AO446" s="1004"/>
      <c r="AP446" s="1004"/>
      <c r="AQ446" s="1004"/>
      <c r="AR446" s="1004"/>
      <c r="AS446" s="1004"/>
      <c r="AT446" s="1004"/>
      <c r="AU446" s="1004"/>
      <c r="AV446" s="1004"/>
      <c r="AW446" s="1004"/>
    </row>
    <row r="447" spans="1:49" ht="15.75">
      <c r="A447" s="1004"/>
      <c r="B447" s="1004"/>
      <c r="C447" s="1004"/>
      <c r="I447" s="1004"/>
      <c r="J447" s="1004"/>
      <c r="K447" s="1004"/>
      <c r="L447" s="777">
        <v>5</v>
      </c>
      <c r="M447" s="778"/>
      <c r="N447" s="976"/>
      <c r="O447" s="1020">
        <v>327</v>
      </c>
      <c r="P447" s="847" t="e">
        <f>VLOOKUP(N447,etat!$A$9:$N$1004,2,FALSE)</f>
        <v>#N/A</v>
      </c>
      <c r="Q447" s="797" t="e">
        <f>VLOOKUP(N447,etat!$A$9:$N$963,7,FALSE)</f>
        <v>#N/A</v>
      </c>
      <c r="R447" s="797" t="e">
        <f>VLOOKUP(N447,etat!$A$9:$N$1003,9,FALSE)</f>
        <v>#N/A</v>
      </c>
      <c r="S447" s="866" t="e">
        <f>VLOOKUP(N447,etat!$A$9:$P$905,16,FALSE)</f>
        <v>#N/A</v>
      </c>
      <c r="T447" s="755"/>
      <c r="U447" s="784"/>
      <c r="V447" s="784"/>
      <c r="W447" s="755"/>
      <c r="X447" s="784"/>
      <c r="Y447" s="975"/>
      <c r="Z447" s="975"/>
      <c r="AA447" s="967"/>
      <c r="AB447" s="1005"/>
      <c r="AC447" s="1005"/>
      <c r="AD447" s="1005"/>
      <c r="AE447" s="1005"/>
      <c r="AF447" s="1005"/>
      <c r="AG447" s="1004"/>
      <c r="AH447" s="1004"/>
      <c r="AI447" s="1004"/>
      <c r="AJ447" s="1004"/>
      <c r="AK447" s="1004"/>
      <c r="AL447" s="1004"/>
      <c r="AM447" s="1004"/>
      <c r="AN447" s="1004"/>
      <c r="AO447" s="1004"/>
      <c r="AP447" s="1004"/>
      <c r="AQ447" s="1004"/>
      <c r="AR447" s="1004"/>
      <c r="AS447" s="1004"/>
      <c r="AT447" s="1004"/>
      <c r="AU447" s="1004"/>
      <c r="AV447" s="1004"/>
      <c r="AW447" s="1004"/>
    </row>
    <row r="448" spans="1:49" ht="15.75">
      <c r="A448" s="1004"/>
      <c r="B448" s="1004"/>
      <c r="C448" s="1004"/>
      <c r="I448" s="1004"/>
      <c r="J448" s="1004"/>
      <c r="K448" s="1004"/>
      <c r="L448" s="777">
        <v>5</v>
      </c>
      <c r="M448" s="778"/>
      <c r="N448" s="976"/>
      <c r="O448" s="1020">
        <v>328</v>
      </c>
      <c r="P448" s="847" t="e">
        <f>VLOOKUP(N448,etat!$A$9:$N$1004,2,FALSE)</f>
        <v>#N/A</v>
      </c>
      <c r="Q448" s="797" t="e">
        <f>VLOOKUP(N448,etat!$A$9:$N$963,7,FALSE)</f>
        <v>#N/A</v>
      </c>
      <c r="R448" s="797" t="e">
        <f>VLOOKUP(N448,etat!$A$9:$N$1003,9,FALSE)</f>
        <v>#N/A</v>
      </c>
      <c r="S448" s="866" t="e">
        <f>VLOOKUP(N448,etat!$A$9:$P$905,16,FALSE)</f>
        <v>#N/A</v>
      </c>
      <c r="T448" s="755"/>
      <c r="U448" s="784"/>
      <c r="V448" s="784"/>
      <c r="W448" s="784"/>
      <c r="X448" s="784"/>
      <c r="Y448" s="784"/>
      <c r="Z448" s="975"/>
      <c r="AA448" s="967"/>
      <c r="AB448" s="1005"/>
      <c r="AC448" s="1005"/>
      <c r="AD448" s="1005"/>
      <c r="AE448" s="1005"/>
      <c r="AF448" s="1005"/>
      <c r="AG448" s="1004"/>
      <c r="AH448" s="1004"/>
      <c r="AI448" s="1004"/>
      <c r="AJ448" s="1004"/>
      <c r="AK448" s="1004"/>
      <c r="AL448" s="1004"/>
      <c r="AM448" s="1004"/>
      <c r="AN448" s="1004"/>
      <c r="AO448" s="1004"/>
      <c r="AP448" s="1004"/>
      <c r="AQ448" s="1004"/>
      <c r="AR448" s="1004"/>
      <c r="AS448" s="1004"/>
      <c r="AT448" s="1004"/>
      <c r="AU448" s="1004"/>
      <c r="AV448" s="1004"/>
      <c r="AW448" s="1004"/>
    </row>
    <row r="449" spans="1:49" ht="18.75">
      <c r="A449" s="1004"/>
      <c r="B449" s="1004"/>
      <c r="C449" s="1004"/>
      <c r="I449" s="1004"/>
      <c r="J449" s="1004"/>
      <c r="K449" s="1004"/>
      <c r="L449" s="777">
        <v>5</v>
      </c>
      <c r="M449" s="778"/>
      <c r="N449" s="976"/>
      <c r="O449" s="1020">
        <v>329</v>
      </c>
      <c r="P449" s="847" t="e">
        <f>VLOOKUP(N449,etat!$A$9:$N$1004,2,FALSE)</f>
        <v>#N/A</v>
      </c>
      <c r="Q449" s="797" t="e">
        <f>VLOOKUP(N449,etat!$A$9:$N$963,7,FALSE)</f>
        <v>#N/A</v>
      </c>
      <c r="R449" s="797" t="e">
        <f>VLOOKUP(N449,etat!$A$9:$N$1003,9,FALSE)</f>
        <v>#N/A</v>
      </c>
      <c r="S449" s="866" t="e">
        <f>VLOOKUP(N449,etat!$A$9:$P$905,16,FALSE)</f>
        <v>#N/A</v>
      </c>
      <c r="T449" s="755"/>
      <c r="U449" s="784"/>
      <c r="V449" s="784"/>
      <c r="W449" s="955"/>
      <c r="X449" s="955"/>
      <c r="Y449" s="956"/>
      <c r="Z449" s="975"/>
      <c r="AA449" s="967"/>
      <c r="AB449" s="1005"/>
      <c r="AC449" s="1005"/>
      <c r="AD449" s="1005"/>
      <c r="AE449" s="1005"/>
      <c r="AF449" s="1005"/>
      <c r="AG449" s="1004"/>
      <c r="AH449" s="1004"/>
      <c r="AI449" s="1004"/>
      <c r="AJ449" s="1004"/>
      <c r="AK449" s="1004"/>
      <c r="AL449" s="1004"/>
      <c r="AM449" s="1004"/>
      <c r="AN449" s="1004"/>
      <c r="AO449" s="1004"/>
      <c r="AP449" s="1004"/>
      <c r="AQ449" s="1004"/>
      <c r="AR449" s="1004"/>
      <c r="AS449" s="1004"/>
      <c r="AT449" s="1004"/>
      <c r="AU449" s="1004"/>
      <c r="AV449" s="1004"/>
      <c r="AW449" s="1004"/>
    </row>
    <row r="450" spans="1:49" ht="18.75">
      <c r="A450" s="1004"/>
      <c r="B450" s="1004"/>
      <c r="C450" s="1004"/>
      <c r="I450" s="1004"/>
      <c r="J450" s="1004"/>
      <c r="K450" s="1004"/>
      <c r="L450" s="777">
        <v>5</v>
      </c>
      <c r="M450" s="778"/>
      <c r="N450" s="1076"/>
      <c r="O450" s="1020">
        <v>330</v>
      </c>
      <c r="P450" s="847" t="e">
        <f>VLOOKUP(N450,etat!$A$9:$N$1004,2,FALSE)</f>
        <v>#N/A</v>
      </c>
      <c r="Q450" s="797" t="e">
        <f>VLOOKUP(N450,etat!$A$9:$N$963,7,FALSE)</f>
        <v>#N/A</v>
      </c>
      <c r="R450" s="797" t="e">
        <f>VLOOKUP(N450,etat!$A$9:$N$1003,9,FALSE)</f>
        <v>#N/A</v>
      </c>
      <c r="S450" s="866" t="e">
        <f>VLOOKUP(N450,etat!$A$9:$P$905,16,FALSE)</f>
        <v>#N/A</v>
      </c>
      <c r="T450" s="755"/>
      <c r="U450" s="784"/>
      <c r="V450" s="784"/>
      <c r="W450" s="955"/>
      <c r="X450" s="955"/>
      <c r="Y450" s="956"/>
      <c r="Z450" s="975"/>
      <c r="AA450" s="967"/>
      <c r="AB450" s="1005"/>
      <c r="AC450" s="1005"/>
      <c r="AD450" s="1005"/>
      <c r="AE450" s="1005"/>
      <c r="AF450" s="1005"/>
      <c r="AG450" s="1004"/>
      <c r="AH450" s="1004"/>
      <c r="AI450" s="1004"/>
      <c r="AJ450" s="1004"/>
      <c r="AK450" s="1004"/>
      <c r="AL450" s="1004"/>
      <c r="AM450" s="1004"/>
      <c r="AN450" s="1004"/>
      <c r="AO450" s="1004"/>
      <c r="AP450" s="1004"/>
      <c r="AQ450" s="1004"/>
      <c r="AR450" s="1004"/>
      <c r="AS450" s="1004"/>
      <c r="AT450" s="1004"/>
      <c r="AU450" s="1004"/>
      <c r="AV450" s="1004"/>
      <c r="AW450" s="1004"/>
    </row>
    <row r="451" spans="1:49" ht="18.75">
      <c r="A451" s="1004"/>
      <c r="B451" s="1004"/>
      <c r="C451" s="1004"/>
      <c r="I451" s="1004"/>
      <c r="J451" s="1004"/>
      <c r="K451" s="1004"/>
      <c r="L451" s="777">
        <v>5</v>
      </c>
      <c r="M451" s="778"/>
      <c r="N451" s="1076"/>
      <c r="O451" s="1020">
        <v>331</v>
      </c>
      <c r="P451" s="847" t="e">
        <f>VLOOKUP(N451,etat!$A$9:$N$1004,2,FALSE)</f>
        <v>#N/A</v>
      </c>
      <c r="Q451" s="797" t="e">
        <f>VLOOKUP(N451,etat!$A$9:$N$963,7,FALSE)</f>
        <v>#N/A</v>
      </c>
      <c r="R451" s="797" t="e">
        <f>VLOOKUP(N451,etat!$A$9:$N$1003,9,FALSE)</f>
        <v>#N/A</v>
      </c>
      <c r="S451" s="866" t="e">
        <f>VLOOKUP(N451,etat!$A$9:$P$905,16,FALSE)</f>
        <v>#N/A</v>
      </c>
      <c r="T451" s="755"/>
      <c r="U451" s="784"/>
      <c r="V451" s="784"/>
      <c r="W451" s="955"/>
      <c r="X451" s="955"/>
      <c r="Y451" s="956"/>
      <c r="Z451" s="975"/>
      <c r="AA451" s="967"/>
      <c r="AB451" s="1005"/>
      <c r="AC451" s="1005"/>
      <c r="AD451" s="1005"/>
      <c r="AE451" s="1005"/>
      <c r="AF451" s="1005"/>
      <c r="AG451" s="1004"/>
      <c r="AH451" s="1004"/>
      <c r="AI451" s="1004"/>
      <c r="AJ451" s="1004"/>
      <c r="AK451" s="1004"/>
      <c r="AL451" s="1004"/>
      <c r="AM451" s="1004"/>
      <c r="AN451" s="1004"/>
      <c r="AO451" s="1004"/>
      <c r="AP451" s="1004"/>
      <c r="AQ451" s="1004"/>
      <c r="AR451" s="1004"/>
      <c r="AS451" s="1004"/>
      <c r="AT451" s="1004"/>
      <c r="AU451" s="1004"/>
      <c r="AV451" s="1004"/>
      <c r="AW451" s="1004"/>
    </row>
    <row r="452" spans="1:49" ht="18.75">
      <c r="A452" s="1004"/>
      <c r="B452" s="1004"/>
      <c r="C452" s="1004"/>
      <c r="I452" s="1004"/>
      <c r="J452" s="1004"/>
      <c r="K452" s="1004"/>
      <c r="L452" s="777">
        <v>5</v>
      </c>
      <c r="M452" s="906"/>
      <c r="N452" s="1076"/>
      <c r="O452" s="1020">
        <v>332</v>
      </c>
      <c r="P452" s="847" t="e">
        <f>VLOOKUP(N452,etat!$A$9:$N$1004,2,FALSE)</f>
        <v>#N/A</v>
      </c>
      <c r="Q452" s="797" t="e">
        <f>VLOOKUP(N452,etat!$A$9:$N$963,7,FALSE)</f>
        <v>#N/A</v>
      </c>
      <c r="R452" s="797" t="e">
        <f>VLOOKUP(N452,etat!$A$9:$N$1003,9,FALSE)</f>
        <v>#N/A</v>
      </c>
      <c r="S452" s="866" t="e">
        <f>VLOOKUP(N452,etat!$A$9:$P$905,16,FALSE)</f>
        <v>#N/A</v>
      </c>
      <c r="T452" s="755"/>
      <c r="U452" s="784"/>
      <c r="V452" s="784"/>
      <c r="W452" s="955"/>
      <c r="X452" s="955"/>
      <c r="Y452" s="956"/>
      <c r="Z452" s="975"/>
      <c r="AA452" s="967"/>
      <c r="AB452" s="1005"/>
      <c r="AC452" s="1005"/>
      <c r="AD452" s="1005"/>
      <c r="AE452" s="1005"/>
      <c r="AF452" s="1005"/>
      <c r="AG452" s="1004"/>
      <c r="AH452" s="1004"/>
      <c r="AI452" s="1004"/>
      <c r="AJ452" s="1004"/>
      <c r="AK452" s="1004"/>
      <c r="AL452" s="1004"/>
      <c r="AM452" s="1004"/>
      <c r="AN452" s="1004"/>
      <c r="AO452" s="1004"/>
      <c r="AP452" s="1004"/>
      <c r="AQ452" s="1004"/>
      <c r="AR452" s="1004"/>
      <c r="AS452" s="1004"/>
      <c r="AT452" s="1004"/>
      <c r="AU452" s="1004"/>
      <c r="AV452" s="1004"/>
      <c r="AW452" s="1004"/>
    </row>
    <row r="453" spans="1:49" ht="15.75">
      <c r="A453" s="1004"/>
      <c r="B453" s="1004"/>
      <c r="C453" s="1004"/>
      <c r="I453" s="1004"/>
      <c r="J453" s="1004"/>
      <c r="K453" s="1004"/>
      <c r="L453" s="777">
        <v>5</v>
      </c>
      <c r="M453" s="778"/>
      <c r="N453" s="976"/>
      <c r="O453" s="1020">
        <v>333</v>
      </c>
      <c r="P453" s="847" t="e">
        <f>VLOOKUP(N453,etat!$A$9:$N$1004,2,FALSE)</f>
        <v>#N/A</v>
      </c>
      <c r="Q453" s="797" t="e">
        <f>VLOOKUP(N453,etat!$A$9:$N$963,7,FALSE)</f>
        <v>#N/A</v>
      </c>
      <c r="R453" s="797" t="e">
        <f>VLOOKUP(N453,etat!$A$9:$N$1003,9,FALSE)</f>
        <v>#N/A</v>
      </c>
      <c r="S453" s="866" t="e">
        <f>VLOOKUP(N453,etat!$A$9:$P$905,16,FALSE)</f>
        <v>#N/A</v>
      </c>
      <c r="T453" s="755"/>
      <c r="U453" s="784"/>
      <c r="V453" s="784"/>
      <c r="W453" s="755"/>
      <c r="X453" s="784"/>
      <c r="Y453" s="975"/>
      <c r="Z453" s="975"/>
      <c r="AA453" s="967"/>
      <c r="AB453" s="1005"/>
      <c r="AC453" s="1005"/>
      <c r="AD453" s="1005"/>
      <c r="AE453" s="1005"/>
      <c r="AF453" s="1005"/>
      <c r="AG453" s="1004"/>
      <c r="AH453" s="1004"/>
      <c r="AI453" s="1004"/>
      <c r="AJ453" s="1004"/>
      <c r="AK453" s="1004"/>
      <c r="AL453" s="1004"/>
      <c r="AM453" s="1004"/>
      <c r="AN453" s="1004"/>
      <c r="AO453" s="1004"/>
      <c r="AP453" s="1004"/>
      <c r="AQ453" s="1004"/>
      <c r="AR453" s="1004"/>
      <c r="AS453" s="1004"/>
      <c r="AT453" s="1004"/>
      <c r="AU453" s="1004"/>
      <c r="AV453" s="1004"/>
      <c r="AW453" s="1004"/>
    </row>
    <row r="454" spans="1:49" ht="15.75">
      <c r="A454" s="1004"/>
      <c r="B454" s="1004"/>
      <c r="C454" s="1004"/>
      <c r="I454" s="1004"/>
      <c r="J454" s="1004"/>
      <c r="K454" s="1004"/>
      <c r="L454" s="777">
        <v>5</v>
      </c>
      <c r="M454" s="778"/>
      <c r="N454" s="976"/>
      <c r="O454" s="1020">
        <v>334</v>
      </c>
      <c r="P454" s="847" t="e">
        <f>VLOOKUP(N454,etat!$A$9:$N$1004,2,FALSE)</f>
        <v>#N/A</v>
      </c>
      <c r="Q454" s="797" t="e">
        <f>VLOOKUP(N454,etat!$A$9:$N$963,7,FALSE)</f>
        <v>#N/A</v>
      </c>
      <c r="R454" s="797" t="e">
        <f>VLOOKUP(N454,etat!$A$9:$N$1003,9,FALSE)</f>
        <v>#N/A</v>
      </c>
      <c r="S454" s="866" t="e">
        <f>VLOOKUP(N454,etat!$A$9:$P$905,16,FALSE)</f>
        <v>#N/A</v>
      </c>
      <c r="T454" s="755"/>
      <c r="U454" s="784"/>
      <c r="V454" s="784"/>
      <c r="W454" s="784"/>
      <c r="X454" s="784"/>
      <c r="Y454" s="784"/>
      <c r="Z454" s="975"/>
      <c r="AA454" s="967"/>
      <c r="AB454" s="1005"/>
      <c r="AC454" s="1005"/>
      <c r="AD454" s="1005"/>
      <c r="AE454" s="1005"/>
      <c r="AF454" s="1005"/>
      <c r="AG454" s="1004"/>
      <c r="AH454" s="1004"/>
      <c r="AI454" s="1004"/>
      <c r="AJ454" s="1004"/>
      <c r="AK454" s="1004"/>
      <c r="AL454" s="1004"/>
      <c r="AM454" s="1004"/>
      <c r="AN454" s="1004"/>
      <c r="AO454" s="1004"/>
      <c r="AP454" s="1004"/>
      <c r="AQ454" s="1004"/>
      <c r="AR454" s="1004"/>
      <c r="AS454" s="1004"/>
      <c r="AT454" s="1004"/>
      <c r="AU454" s="1004"/>
      <c r="AV454" s="1004"/>
      <c r="AW454" s="1004"/>
    </row>
    <row r="455" spans="1:49" ht="18.75">
      <c r="A455" s="1004"/>
      <c r="B455" s="1004"/>
      <c r="C455" s="1004"/>
      <c r="I455" s="1004"/>
      <c r="J455" s="1004"/>
      <c r="K455" s="1004"/>
      <c r="L455" s="777">
        <v>5</v>
      </c>
      <c r="M455" s="778"/>
      <c r="N455" s="976"/>
      <c r="O455" s="1020">
        <v>335</v>
      </c>
      <c r="P455" s="847" t="e">
        <f>VLOOKUP(N455,etat!$A$9:$N$1004,2,FALSE)</f>
        <v>#N/A</v>
      </c>
      <c r="Q455" s="797" t="e">
        <f>VLOOKUP(N455,etat!$A$9:$N$963,7,FALSE)</f>
        <v>#N/A</v>
      </c>
      <c r="R455" s="797" t="e">
        <f>VLOOKUP(N455,etat!$A$9:$N$1003,9,FALSE)</f>
        <v>#N/A</v>
      </c>
      <c r="S455" s="866" t="e">
        <f>VLOOKUP(N455,etat!$A$9:$P$905,16,FALSE)</f>
        <v>#N/A</v>
      </c>
      <c r="T455" s="755"/>
      <c r="U455" s="784"/>
      <c r="V455" s="784"/>
      <c r="W455" s="955"/>
      <c r="X455" s="955"/>
      <c r="Y455" s="956"/>
      <c r="Z455" s="975"/>
      <c r="AA455" s="967"/>
      <c r="AB455" s="1005"/>
      <c r="AC455" s="1005"/>
      <c r="AD455" s="1005"/>
      <c r="AE455" s="1005"/>
      <c r="AF455" s="1005"/>
      <c r="AG455" s="1004"/>
      <c r="AH455" s="1004"/>
      <c r="AI455" s="1004"/>
      <c r="AJ455" s="1004"/>
      <c r="AK455" s="1004"/>
      <c r="AL455" s="1004"/>
      <c r="AM455" s="1004"/>
      <c r="AN455" s="1004"/>
      <c r="AO455" s="1004"/>
      <c r="AP455" s="1004"/>
      <c r="AQ455" s="1004"/>
      <c r="AR455" s="1004"/>
      <c r="AS455" s="1004"/>
      <c r="AT455" s="1004"/>
      <c r="AU455" s="1004"/>
      <c r="AV455" s="1004"/>
      <c r="AW455" s="1004"/>
    </row>
    <row r="456" spans="1:49" ht="18.75">
      <c r="A456" s="1004"/>
      <c r="B456" s="1004"/>
      <c r="C456" s="1004"/>
      <c r="I456" s="1004"/>
      <c r="J456" s="1004"/>
      <c r="K456" s="1004"/>
      <c r="L456" s="777">
        <v>5</v>
      </c>
      <c r="M456" s="906"/>
      <c r="N456" s="1076"/>
      <c r="O456" s="1020">
        <v>336</v>
      </c>
      <c r="P456" s="847" t="e">
        <f>VLOOKUP(N456,etat!$A$9:$N$1004,2,FALSE)</f>
        <v>#N/A</v>
      </c>
      <c r="Q456" s="797" t="e">
        <f>VLOOKUP(N456,etat!$A$9:$N$963,7,FALSE)</f>
        <v>#N/A</v>
      </c>
      <c r="R456" s="797" t="e">
        <f>VLOOKUP(N456,etat!$A$9:$N$1003,9,FALSE)</f>
        <v>#N/A</v>
      </c>
      <c r="S456" s="866" t="e">
        <f>VLOOKUP(N456,etat!$A$9:$P$905,16,FALSE)</f>
        <v>#N/A</v>
      </c>
      <c r="T456" s="755"/>
      <c r="U456" s="784"/>
      <c r="V456" s="784"/>
      <c r="W456" s="955"/>
      <c r="X456" s="955"/>
      <c r="Y456" s="956"/>
      <c r="Z456" s="975"/>
      <c r="AA456" s="967"/>
      <c r="AB456" s="1005"/>
      <c r="AC456" s="1005"/>
      <c r="AD456" s="1005"/>
      <c r="AE456" s="1005"/>
      <c r="AF456" s="1005"/>
      <c r="AG456" s="1004"/>
      <c r="AH456" s="1004"/>
      <c r="AI456" s="1004"/>
      <c r="AJ456" s="1004"/>
      <c r="AK456" s="1004"/>
      <c r="AL456" s="1004"/>
      <c r="AM456" s="1004"/>
      <c r="AN456" s="1004"/>
      <c r="AO456" s="1004"/>
      <c r="AP456" s="1004"/>
      <c r="AQ456" s="1004"/>
      <c r="AR456" s="1004"/>
      <c r="AS456" s="1004"/>
      <c r="AT456" s="1004"/>
      <c r="AU456" s="1004"/>
      <c r="AV456" s="1004"/>
      <c r="AW456" s="1004"/>
    </row>
    <row r="457" spans="1:49" ht="15.75">
      <c r="A457" s="1004"/>
      <c r="B457" s="1004"/>
      <c r="C457" s="1004"/>
      <c r="I457" s="1004"/>
      <c r="J457" s="1004"/>
      <c r="K457" s="1004"/>
      <c r="L457" s="777">
        <v>5</v>
      </c>
      <c r="M457" s="906"/>
      <c r="N457" s="976"/>
      <c r="O457" s="1020">
        <v>337</v>
      </c>
      <c r="P457" s="847" t="e">
        <f>VLOOKUP(N457,etat!$A$9:$N$1004,2,FALSE)</f>
        <v>#N/A</v>
      </c>
      <c r="Q457" s="797" t="e">
        <f>VLOOKUP(N457,etat!$A$9:$N$963,7,FALSE)</f>
        <v>#N/A</v>
      </c>
      <c r="R457" s="797" t="e">
        <f>VLOOKUP(N457,etat!$A$9:$N$1003,9,FALSE)</f>
        <v>#N/A</v>
      </c>
      <c r="S457" s="866" t="e">
        <f>VLOOKUP(N457,etat!$A$9:$P$905,16,FALSE)</f>
        <v>#N/A</v>
      </c>
      <c r="T457" s="755"/>
      <c r="U457" s="784"/>
      <c r="V457" s="784"/>
      <c r="W457" s="784"/>
      <c r="X457" s="784"/>
      <c r="Y457" s="975"/>
      <c r="Z457" s="975"/>
      <c r="AA457" s="967"/>
      <c r="AB457" s="1005"/>
      <c r="AC457" s="1005"/>
      <c r="AD457" s="1005"/>
      <c r="AE457" s="1005"/>
      <c r="AF457" s="1005"/>
      <c r="AG457" s="1004"/>
      <c r="AH457" s="1004"/>
      <c r="AI457" s="1004"/>
      <c r="AJ457" s="1004"/>
      <c r="AK457" s="1004"/>
      <c r="AL457" s="1004"/>
      <c r="AM457" s="1004"/>
      <c r="AN457" s="1004"/>
      <c r="AO457" s="1004"/>
      <c r="AP457" s="1004"/>
      <c r="AQ457" s="1004"/>
      <c r="AR457" s="1004"/>
      <c r="AS457" s="1004"/>
      <c r="AT457" s="1004"/>
      <c r="AU457" s="1004"/>
      <c r="AV457" s="1004"/>
      <c r="AW457" s="1004"/>
    </row>
    <row r="458" spans="1:49" ht="15.75">
      <c r="A458" s="1004"/>
      <c r="B458" s="1004"/>
      <c r="C458" s="1004"/>
      <c r="I458" s="1004"/>
      <c r="J458" s="1004"/>
      <c r="K458" s="1004"/>
      <c r="L458" s="777">
        <v>5</v>
      </c>
      <c r="M458" s="906"/>
      <c r="N458" s="976"/>
      <c r="O458" s="1020">
        <v>338</v>
      </c>
      <c r="P458" s="847" t="e">
        <f>VLOOKUP(N458,etat!$A$9:$N$1004,2,FALSE)</f>
        <v>#N/A</v>
      </c>
      <c r="Q458" s="797" t="e">
        <f>VLOOKUP(N458,etat!$A$9:$N$963,7,FALSE)</f>
        <v>#N/A</v>
      </c>
      <c r="R458" s="797" t="e">
        <f>VLOOKUP(N458,etat!$A$9:$N$1003,9,FALSE)</f>
        <v>#N/A</v>
      </c>
      <c r="S458" s="866" t="e">
        <f>VLOOKUP(N458,etat!$A$9:$P$905,16,FALSE)</f>
        <v>#N/A</v>
      </c>
      <c r="T458" s="755"/>
      <c r="U458" s="784"/>
      <c r="V458" s="784"/>
      <c r="W458" s="784"/>
      <c r="X458" s="784"/>
      <c r="Y458" s="975"/>
      <c r="Z458" s="975"/>
      <c r="AA458" s="967"/>
      <c r="AB458" s="1005"/>
      <c r="AC458" s="1005"/>
      <c r="AD458" s="1005"/>
      <c r="AE458" s="1005"/>
      <c r="AF458" s="1005"/>
      <c r="AG458" s="1004"/>
      <c r="AH458" s="1004"/>
      <c r="AI458" s="1004"/>
      <c r="AJ458" s="1004"/>
      <c r="AK458" s="1004"/>
      <c r="AL458" s="1004"/>
      <c r="AM458" s="1004"/>
      <c r="AN458" s="1004"/>
      <c r="AO458" s="1004"/>
      <c r="AP458" s="1004"/>
      <c r="AQ458" s="1004"/>
      <c r="AR458" s="1004"/>
      <c r="AS458" s="1004"/>
      <c r="AT458" s="1004"/>
      <c r="AU458" s="1004"/>
      <c r="AV458" s="1004"/>
      <c r="AW458" s="1004"/>
    </row>
    <row r="459" spans="1:49" ht="18.75">
      <c r="A459" s="1004"/>
      <c r="B459" s="1004"/>
      <c r="C459" s="1004"/>
      <c r="I459" s="1004"/>
      <c r="J459" s="1004"/>
      <c r="K459" s="1004"/>
      <c r="L459" s="777">
        <v>5</v>
      </c>
      <c r="M459" s="906"/>
      <c r="N459" s="976"/>
      <c r="O459" s="1020">
        <v>339</v>
      </c>
      <c r="P459" s="847" t="e">
        <f>VLOOKUP(N459,etat!$A$9:$N$1004,2,FALSE)</f>
        <v>#N/A</v>
      </c>
      <c r="Q459" s="797" t="e">
        <f>VLOOKUP(N459,etat!$A$9:$N$963,7,FALSE)</f>
        <v>#N/A</v>
      </c>
      <c r="R459" s="797" t="e">
        <f>VLOOKUP(N459,etat!$A$9:$N$1003,9,FALSE)</f>
        <v>#N/A</v>
      </c>
      <c r="S459" s="866" t="e">
        <f>VLOOKUP(N459,etat!$A$9:$P$905,16,FALSE)</f>
        <v>#N/A</v>
      </c>
      <c r="T459" s="755"/>
      <c r="U459" s="784"/>
      <c r="V459" s="784"/>
      <c r="W459" s="955"/>
      <c r="X459" s="955"/>
      <c r="Y459" s="956"/>
      <c r="Z459" s="975"/>
      <c r="AA459" s="1145"/>
      <c r="AB459" s="1005"/>
      <c r="AC459" s="1005"/>
      <c r="AD459" s="1005"/>
      <c r="AE459" s="1005"/>
      <c r="AF459" s="1005"/>
      <c r="AG459" s="1004"/>
      <c r="AH459" s="1004"/>
      <c r="AI459" s="1004"/>
      <c r="AJ459" s="1004"/>
      <c r="AK459" s="1004"/>
      <c r="AL459" s="1004"/>
      <c r="AM459" s="1004"/>
      <c r="AN459" s="1004"/>
      <c r="AO459" s="1004"/>
      <c r="AP459" s="1004"/>
      <c r="AQ459" s="1004"/>
      <c r="AR459" s="1004"/>
      <c r="AS459" s="1004"/>
      <c r="AT459" s="1004"/>
      <c r="AU459" s="1004"/>
      <c r="AV459" s="1004"/>
      <c r="AW459" s="1004"/>
    </row>
    <row r="460" spans="1:49" ht="15.75">
      <c r="A460" s="1004"/>
      <c r="B460" s="1004"/>
      <c r="C460" s="1004"/>
      <c r="I460" s="1004"/>
      <c r="J460" s="1004"/>
      <c r="K460" s="1004"/>
      <c r="L460" s="777">
        <v>5</v>
      </c>
      <c r="M460" s="906"/>
      <c r="N460" s="976"/>
      <c r="O460" s="1020">
        <v>340</v>
      </c>
      <c r="P460" s="847" t="e">
        <f>VLOOKUP(N460,etat!$A$9:$N$1004,2,FALSE)</f>
        <v>#N/A</v>
      </c>
      <c r="Q460" s="797" t="e">
        <f>VLOOKUP(N460,etat!$A$9:$N$963,7,FALSE)</f>
        <v>#N/A</v>
      </c>
      <c r="R460" s="797" t="e">
        <f>VLOOKUP(N460,etat!$A$9:$N$1003,9,FALSE)</f>
        <v>#N/A</v>
      </c>
      <c r="S460" s="866" t="e">
        <f>VLOOKUP(N460,etat!$A$9:$P$905,16,FALSE)</f>
        <v>#N/A</v>
      </c>
      <c r="T460" s="755"/>
      <c r="U460" s="784"/>
      <c r="V460" s="784"/>
      <c r="W460" s="784"/>
      <c r="X460" s="784"/>
      <c r="Y460" s="975"/>
      <c r="Z460" s="975"/>
      <c r="AA460" s="1145"/>
      <c r="AB460" s="1005"/>
      <c r="AC460" s="1005"/>
      <c r="AD460" s="1005"/>
      <c r="AE460" s="1005"/>
      <c r="AF460" s="1005"/>
      <c r="AG460" s="1004"/>
      <c r="AH460" s="1004"/>
      <c r="AI460" s="1004"/>
      <c r="AJ460" s="1004"/>
      <c r="AK460" s="1004"/>
      <c r="AL460" s="1004"/>
      <c r="AM460" s="1004"/>
      <c r="AN460" s="1004"/>
      <c r="AO460" s="1004"/>
      <c r="AP460" s="1004"/>
      <c r="AQ460" s="1004"/>
      <c r="AR460" s="1004"/>
      <c r="AS460" s="1004"/>
      <c r="AT460" s="1004"/>
      <c r="AU460" s="1004"/>
      <c r="AV460" s="1004"/>
      <c r="AW460" s="1004"/>
    </row>
    <row r="461" spans="1:49" ht="18.75">
      <c r="A461" s="1004"/>
      <c r="B461" s="1004"/>
      <c r="C461" s="1004"/>
      <c r="I461" s="1004"/>
      <c r="J461" s="1004"/>
      <c r="K461" s="1004"/>
      <c r="L461" s="777">
        <v>5</v>
      </c>
      <c r="M461" s="778"/>
      <c r="N461" s="976"/>
      <c r="O461" s="1020">
        <v>341</v>
      </c>
      <c r="P461" s="847" t="e">
        <f>VLOOKUP(N461,etat!$A$9:$N$1004,2,FALSE)</f>
        <v>#N/A</v>
      </c>
      <c r="Q461" s="797" t="e">
        <f>VLOOKUP(N461,etat!$A$9:$N$963,7,FALSE)</f>
        <v>#N/A</v>
      </c>
      <c r="R461" s="797" t="e">
        <f>VLOOKUP(N461,etat!$A$9:$N$1003,9,FALSE)</f>
        <v>#N/A</v>
      </c>
      <c r="S461" s="866" t="e">
        <f>VLOOKUP(N461,etat!$A$9:$P$905,16,FALSE)</f>
        <v>#N/A</v>
      </c>
      <c r="T461" s="755"/>
      <c r="U461" s="784"/>
      <c r="V461" s="784"/>
      <c r="W461" s="955"/>
      <c r="X461" s="955"/>
      <c r="Y461" s="956"/>
      <c r="Z461" s="975"/>
      <c r="AA461" s="1145"/>
      <c r="AB461" s="1005"/>
      <c r="AC461" s="1005"/>
      <c r="AD461" s="1005"/>
      <c r="AE461" s="1005"/>
      <c r="AF461" s="1005"/>
      <c r="AG461" s="1004"/>
      <c r="AH461" s="1004"/>
      <c r="AI461" s="1004"/>
      <c r="AJ461" s="1004"/>
      <c r="AK461" s="1004"/>
      <c r="AL461" s="1004"/>
      <c r="AM461" s="1004"/>
      <c r="AN461" s="1004"/>
      <c r="AO461" s="1004"/>
      <c r="AP461" s="1004"/>
      <c r="AQ461" s="1004"/>
      <c r="AR461" s="1004"/>
      <c r="AS461" s="1004"/>
      <c r="AT461" s="1004"/>
      <c r="AU461" s="1004"/>
      <c r="AV461" s="1004"/>
      <c r="AW461" s="1004"/>
    </row>
    <row r="462" spans="1:49" ht="15.75">
      <c r="A462" s="1004"/>
      <c r="B462" s="1004"/>
      <c r="C462" s="1004"/>
      <c r="I462" s="1004"/>
      <c r="J462" s="1004"/>
      <c r="K462" s="1004"/>
      <c r="L462" s="777">
        <v>5</v>
      </c>
      <c r="M462" s="778"/>
      <c r="N462" s="976"/>
      <c r="O462" s="1020">
        <v>342</v>
      </c>
      <c r="P462" s="847" t="e">
        <f>VLOOKUP(N462,etat!$A$9:$N$1004,2,FALSE)</f>
        <v>#N/A</v>
      </c>
      <c r="Q462" s="797" t="e">
        <f>VLOOKUP(N462,etat!$A$9:$N$963,7,FALSE)</f>
        <v>#N/A</v>
      </c>
      <c r="R462" s="797" t="e">
        <f>VLOOKUP(N462,etat!$A$9:$N$1003,9,FALSE)</f>
        <v>#N/A</v>
      </c>
      <c r="S462" s="866" t="e">
        <f>VLOOKUP(N462,etat!$A$9:$P$905,16,FALSE)</f>
        <v>#N/A</v>
      </c>
      <c r="T462" s="755"/>
      <c r="U462" s="784"/>
      <c r="V462" s="784"/>
      <c r="W462" s="784"/>
      <c r="X462" s="784"/>
      <c r="Y462" s="784"/>
      <c r="Z462" s="975"/>
      <c r="AA462" s="1145"/>
      <c r="AB462" s="1005"/>
      <c r="AC462" s="1005"/>
      <c r="AD462" s="1005"/>
      <c r="AE462" s="1005"/>
      <c r="AF462" s="1005"/>
      <c r="AG462" s="1004"/>
      <c r="AH462" s="1004"/>
      <c r="AI462" s="1004"/>
      <c r="AJ462" s="1004"/>
      <c r="AK462" s="1004"/>
      <c r="AL462" s="1004"/>
      <c r="AM462" s="1004"/>
      <c r="AN462" s="1004"/>
      <c r="AO462" s="1004"/>
      <c r="AP462" s="1004"/>
      <c r="AQ462" s="1004"/>
      <c r="AR462" s="1004"/>
      <c r="AS462" s="1004"/>
      <c r="AT462" s="1004"/>
      <c r="AU462" s="1004"/>
      <c r="AV462" s="1004"/>
      <c r="AW462" s="1004"/>
    </row>
    <row r="463" spans="1:49" ht="15.75">
      <c r="A463" s="1004"/>
      <c r="B463" s="1004"/>
      <c r="C463" s="1004"/>
      <c r="I463" s="1004"/>
      <c r="J463" s="1004"/>
      <c r="K463" s="1004"/>
      <c r="L463" s="777">
        <v>5</v>
      </c>
      <c r="M463" s="778"/>
      <c r="N463" s="976"/>
      <c r="O463" s="1020">
        <v>343</v>
      </c>
      <c r="P463" s="847" t="e">
        <f>VLOOKUP(N463,etat!$A$9:$N$1004,2,FALSE)</f>
        <v>#N/A</v>
      </c>
      <c r="Q463" s="797" t="e">
        <f>VLOOKUP(N463,etat!$A$9:$N$963,7,FALSE)</f>
        <v>#N/A</v>
      </c>
      <c r="R463" s="797" t="e">
        <f>VLOOKUP(N463,etat!$A$9:$N$1003,9,FALSE)</f>
        <v>#N/A</v>
      </c>
      <c r="S463" s="866" t="e">
        <f>VLOOKUP(N463,etat!$A$9:$P$905,16,FALSE)</f>
        <v>#N/A</v>
      </c>
      <c r="T463" s="755"/>
      <c r="U463" s="784"/>
      <c r="V463" s="784"/>
      <c r="W463" s="784"/>
      <c r="X463" s="784"/>
      <c r="Y463" s="784"/>
      <c r="Z463" s="975"/>
      <c r="AA463" s="967"/>
      <c r="AB463" s="1005"/>
      <c r="AC463" s="1005"/>
      <c r="AD463" s="1005"/>
      <c r="AE463" s="1005"/>
      <c r="AF463" s="1005"/>
      <c r="AG463" s="1004"/>
      <c r="AH463" s="1004"/>
      <c r="AI463" s="1004"/>
      <c r="AJ463" s="1004"/>
      <c r="AK463" s="1004"/>
      <c r="AL463" s="1004"/>
      <c r="AM463" s="1004"/>
      <c r="AN463" s="1004"/>
      <c r="AO463" s="1004"/>
      <c r="AP463" s="1004"/>
      <c r="AQ463" s="1004"/>
      <c r="AR463" s="1004"/>
      <c r="AS463" s="1004"/>
      <c r="AT463" s="1004"/>
      <c r="AU463" s="1004"/>
      <c r="AV463" s="1004"/>
      <c r="AW463" s="1004"/>
    </row>
    <row r="464" spans="1:49" ht="15.75">
      <c r="A464" s="1004"/>
      <c r="B464" s="1004"/>
      <c r="C464" s="1004"/>
      <c r="I464" s="1004"/>
      <c r="J464" s="1004"/>
      <c r="K464" s="1004"/>
      <c r="L464" s="777">
        <v>5</v>
      </c>
      <c r="M464" s="778"/>
      <c r="N464" s="976"/>
      <c r="O464" s="1020">
        <v>344</v>
      </c>
      <c r="P464" s="847" t="e">
        <f>VLOOKUP(N464,etat!$A$9:$N$1004,2,FALSE)</f>
        <v>#N/A</v>
      </c>
      <c r="Q464" s="797" t="e">
        <f>VLOOKUP(N464,etat!$A$9:$N$963,7,FALSE)</f>
        <v>#N/A</v>
      </c>
      <c r="R464" s="797" t="e">
        <f>VLOOKUP(N464,etat!$A$9:$N$1003,9,FALSE)</f>
        <v>#N/A</v>
      </c>
      <c r="S464" s="866" t="e">
        <f>VLOOKUP(N464,etat!$A$9:$P$905,16,FALSE)</f>
        <v>#N/A</v>
      </c>
      <c r="T464" s="755"/>
      <c r="U464" s="784"/>
      <c r="V464" s="784"/>
      <c r="W464" s="784"/>
      <c r="X464" s="784"/>
      <c r="Y464" s="784"/>
      <c r="Z464" s="975"/>
      <c r="AA464" s="967"/>
      <c r="AB464" s="1005"/>
      <c r="AC464" s="1005"/>
      <c r="AD464" s="1005"/>
      <c r="AE464" s="1005"/>
      <c r="AF464" s="1005"/>
      <c r="AG464" s="1004"/>
      <c r="AH464" s="1004"/>
      <c r="AI464" s="1004"/>
      <c r="AJ464" s="1004"/>
      <c r="AK464" s="1004"/>
      <c r="AL464" s="1004"/>
      <c r="AM464" s="1004"/>
      <c r="AN464" s="1004"/>
      <c r="AO464" s="1004"/>
      <c r="AP464" s="1004"/>
      <c r="AQ464" s="1004"/>
      <c r="AR464" s="1004"/>
      <c r="AS464" s="1004"/>
      <c r="AT464" s="1004"/>
      <c r="AU464" s="1004"/>
      <c r="AV464" s="1004"/>
      <c r="AW464" s="1004"/>
    </row>
    <row r="465" spans="1:49" ht="15.75">
      <c r="A465" s="1004"/>
      <c r="B465" s="1004"/>
      <c r="C465" s="1004"/>
      <c r="I465" s="1004"/>
      <c r="J465" s="1004"/>
      <c r="K465" s="1004"/>
      <c r="L465" s="777">
        <v>5</v>
      </c>
      <c r="M465" s="778"/>
      <c r="N465" s="976"/>
      <c r="O465" s="1020">
        <v>345</v>
      </c>
      <c r="P465" s="847" t="e">
        <f>VLOOKUP(N465,etat!$A$9:$N$1004,2,FALSE)</f>
        <v>#N/A</v>
      </c>
      <c r="Q465" s="797" t="e">
        <f>VLOOKUP(N465,etat!$A$9:$N$963,7,FALSE)</f>
        <v>#N/A</v>
      </c>
      <c r="R465" s="797" t="e">
        <f>VLOOKUP(N465,etat!$A$9:$N$1003,9,FALSE)</f>
        <v>#N/A</v>
      </c>
      <c r="S465" s="866" t="e">
        <f>VLOOKUP(N465,etat!$A$9:$P$905,16,FALSE)</f>
        <v>#N/A</v>
      </c>
      <c r="T465" s="755"/>
      <c r="U465" s="784"/>
      <c r="V465" s="784"/>
      <c r="W465" s="784"/>
      <c r="X465" s="784"/>
      <c r="Y465" s="784"/>
      <c r="Z465" s="975"/>
      <c r="AA465" s="967"/>
      <c r="AB465" s="1005"/>
      <c r="AC465" s="1005"/>
      <c r="AD465" s="1005"/>
      <c r="AE465" s="1005"/>
      <c r="AF465" s="1005"/>
      <c r="AG465" s="1004"/>
      <c r="AH465" s="1004"/>
      <c r="AI465" s="1004"/>
      <c r="AJ465" s="1004"/>
      <c r="AK465" s="1004"/>
      <c r="AL465" s="1004"/>
      <c r="AM465" s="1004"/>
      <c r="AN465" s="1004"/>
      <c r="AO465" s="1004"/>
      <c r="AP465" s="1004"/>
      <c r="AQ465" s="1004"/>
      <c r="AR465" s="1004"/>
      <c r="AS465" s="1004"/>
      <c r="AT465" s="1004"/>
      <c r="AU465" s="1004"/>
      <c r="AV465" s="1004"/>
      <c r="AW465" s="1004"/>
    </row>
    <row r="466" spans="1:49" ht="15.75">
      <c r="A466" s="1004"/>
      <c r="B466" s="1004"/>
      <c r="C466" s="1004"/>
      <c r="I466" s="1004"/>
      <c r="J466" s="1004"/>
      <c r="K466" s="1004"/>
      <c r="L466" s="777">
        <v>5</v>
      </c>
      <c r="M466" s="778"/>
      <c r="N466" s="976"/>
      <c r="O466" s="1020">
        <v>346</v>
      </c>
      <c r="P466" s="847" t="e">
        <f>VLOOKUP(N466,etat!$A$9:$N$1004,2,FALSE)</f>
        <v>#N/A</v>
      </c>
      <c r="Q466" s="797" t="e">
        <f>VLOOKUP(N466,etat!$A$9:$N$963,7,FALSE)</f>
        <v>#N/A</v>
      </c>
      <c r="R466" s="797" t="e">
        <f>VLOOKUP(N466,etat!$A$9:$N$1003,9,FALSE)</f>
        <v>#N/A</v>
      </c>
      <c r="S466" s="866" t="e">
        <f>VLOOKUP(N466,etat!$A$9:$P$905,16,FALSE)</f>
        <v>#N/A</v>
      </c>
      <c r="T466" s="755"/>
      <c r="U466" s="784"/>
      <c r="V466" s="784"/>
      <c r="W466" s="784"/>
      <c r="X466" s="784"/>
      <c r="Y466" s="784"/>
      <c r="Z466" s="975"/>
      <c r="AA466" s="967"/>
      <c r="AB466" s="1005"/>
      <c r="AC466" s="1005"/>
      <c r="AD466" s="1005"/>
      <c r="AE466" s="1005"/>
      <c r="AF466" s="1005"/>
      <c r="AG466" s="1004"/>
      <c r="AH466" s="1004"/>
      <c r="AI466" s="1004"/>
      <c r="AJ466" s="1004"/>
      <c r="AK466" s="1004"/>
      <c r="AL466" s="1004"/>
      <c r="AM466" s="1004"/>
      <c r="AN466" s="1004"/>
      <c r="AO466" s="1004"/>
      <c r="AP466" s="1004"/>
      <c r="AQ466" s="1004"/>
      <c r="AR466" s="1004"/>
      <c r="AS466" s="1004"/>
      <c r="AT466" s="1004"/>
      <c r="AU466" s="1004"/>
      <c r="AV466" s="1004"/>
      <c r="AW466" s="1004"/>
    </row>
    <row r="467" spans="1:49" ht="15.75">
      <c r="A467" s="1004"/>
      <c r="B467" s="1004"/>
      <c r="C467" s="1004"/>
      <c r="I467" s="1004"/>
      <c r="J467" s="1004"/>
      <c r="K467" s="1004"/>
      <c r="L467" s="777">
        <v>5</v>
      </c>
      <c r="M467" s="778"/>
      <c r="N467" s="976"/>
      <c r="O467" s="1020">
        <v>347</v>
      </c>
      <c r="P467" s="847" t="e">
        <f>VLOOKUP(N467,etat!$A$9:$N$1004,2,FALSE)</f>
        <v>#N/A</v>
      </c>
      <c r="Q467" s="797" t="e">
        <f>VLOOKUP(N467,etat!$A$9:$N$963,7,FALSE)</f>
        <v>#N/A</v>
      </c>
      <c r="R467" s="797" t="e">
        <f>VLOOKUP(N467,etat!$A$9:$N$1003,9,FALSE)</f>
        <v>#N/A</v>
      </c>
      <c r="S467" s="866" t="e">
        <f>VLOOKUP(N467,etat!$A$9:$P$905,16,FALSE)</f>
        <v>#N/A</v>
      </c>
      <c r="T467" s="755"/>
      <c r="U467" s="784"/>
      <c r="V467" s="784"/>
      <c r="W467" s="784"/>
      <c r="X467" s="784"/>
      <c r="Y467" s="784"/>
      <c r="Z467" s="975"/>
      <c r="AA467" s="967"/>
      <c r="AB467" s="1005"/>
      <c r="AC467" s="1005"/>
      <c r="AD467" s="1005"/>
      <c r="AE467" s="1005"/>
      <c r="AF467" s="1005"/>
      <c r="AG467" s="1004"/>
      <c r="AH467" s="1004"/>
      <c r="AI467" s="1004"/>
      <c r="AJ467" s="1004"/>
      <c r="AK467" s="1004"/>
      <c r="AL467" s="1004"/>
      <c r="AM467" s="1004"/>
      <c r="AN467" s="1004"/>
      <c r="AO467" s="1004"/>
      <c r="AP467" s="1004"/>
      <c r="AQ467" s="1004"/>
      <c r="AR467" s="1004"/>
      <c r="AS467" s="1004"/>
      <c r="AT467" s="1004"/>
      <c r="AU467" s="1004"/>
      <c r="AV467" s="1004"/>
      <c r="AW467" s="1004"/>
    </row>
    <row r="468" spans="1:49" ht="15.75">
      <c r="A468" s="1004"/>
      <c r="B468" s="1004"/>
      <c r="C468" s="1004"/>
      <c r="I468" s="1004"/>
      <c r="J468" s="1004"/>
      <c r="K468" s="1004"/>
      <c r="L468" s="777">
        <v>5</v>
      </c>
      <c r="M468" s="778"/>
      <c r="N468" s="976"/>
      <c r="O468" s="1020">
        <v>348</v>
      </c>
      <c r="P468" s="847" t="e">
        <f>VLOOKUP(N468,etat!$A$9:$N$1004,2,FALSE)</f>
        <v>#N/A</v>
      </c>
      <c r="Q468" s="797" t="e">
        <f>VLOOKUP(N468,etat!$A$9:$N$963,7,FALSE)</f>
        <v>#N/A</v>
      </c>
      <c r="R468" s="797" t="e">
        <f>VLOOKUP(N468,etat!$A$9:$N$1003,9,FALSE)</f>
        <v>#N/A</v>
      </c>
      <c r="S468" s="866" t="e">
        <f>VLOOKUP(N468,etat!$A$9:$P$905,16,FALSE)</f>
        <v>#N/A</v>
      </c>
      <c r="T468" s="755"/>
      <c r="U468" s="784"/>
      <c r="V468" s="784"/>
      <c r="W468" s="784"/>
      <c r="X468" s="784"/>
      <c r="Y468" s="784"/>
      <c r="Z468" s="975"/>
      <c r="AA468" s="967"/>
      <c r="AB468" s="1005"/>
      <c r="AC468" s="1005"/>
      <c r="AD468" s="1005"/>
      <c r="AE468" s="1005"/>
      <c r="AF468" s="1005"/>
      <c r="AG468" s="1004"/>
      <c r="AH468" s="1004"/>
      <c r="AI468" s="1004"/>
      <c r="AJ468" s="1004"/>
      <c r="AK468" s="1004"/>
      <c r="AL468" s="1004"/>
      <c r="AM468" s="1004"/>
      <c r="AN468" s="1004"/>
      <c r="AO468" s="1004"/>
      <c r="AP468" s="1004"/>
      <c r="AQ468" s="1004"/>
      <c r="AR468" s="1004"/>
      <c r="AS468" s="1004"/>
      <c r="AT468" s="1004"/>
      <c r="AU468" s="1004"/>
      <c r="AV468" s="1004"/>
      <c r="AW468" s="1004"/>
    </row>
    <row r="469" spans="1:49" ht="15.75">
      <c r="A469" s="1004"/>
      <c r="B469" s="1004"/>
      <c r="C469" s="1004"/>
      <c r="I469" s="1004"/>
      <c r="J469" s="1004"/>
      <c r="K469" s="1004"/>
      <c r="L469" s="777">
        <v>5</v>
      </c>
      <c r="M469" s="778"/>
      <c r="N469" s="976"/>
      <c r="O469" s="1020">
        <v>349</v>
      </c>
      <c r="P469" s="847" t="e">
        <f>VLOOKUP(N469,etat!$A$9:$N$1004,2,FALSE)</f>
        <v>#N/A</v>
      </c>
      <c r="Q469" s="797" t="e">
        <f>VLOOKUP(N469,etat!$A$9:$N$963,7,FALSE)</f>
        <v>#N/A</v>
      </c>
      <c r="R469" s="797" t="e">
        <f>VLOOKUP(N469,etat!$A$9:$N$1003,9,FALSE)</f>
        <v>#N/A</v>
      </c>
      <c r="S469" s="866" t="e">
        <f>VLOOKUP(N469,etat!$A$9:$P$905,16,FALSE)</f>
        <v>#N/A</v>
      </c>
      <c r="T469" s="755"/>
      <c r="U469" s="784"/>
      <c r="V469" s="784"/>
      <c r="W469" s="784"/>
      <c r="X469" s="784"/>
      <c r="Y469" s="975"/>
      <c r="Z469" s="975"/>
      <c r="AA469" s="967"/>
      <c r="AB469" s="1005"/>
      <c r="AC469" s="1005"/>
      <c r="AD469" s="1005"/>
      <c r="AE469" s="1005"/>
      <c r="AF469" s="1005"/>
      <c r="AG469" s="1004"/>
      <c r="AH469" s="1004"/>
      <c r="AI469" s="1004"/>
      <c r="AJ469" s="1004"/>
      <c r="AK469" s="1004"/>
      <c r="AL469" s="1004"/>
      <c r="AM469" s="1004"/>
      <c r="AN469" s="1004"/>
      <c r="AO469" s="1004"/>
      <c r="AP469" s="1004"/>
      <c r="AQ469" s="1004"/>
      <c r="AR469" s="1004"/>
      <c r="AS469" s="1004"/>
      <c r="AT469" s="1004"/>
      <c r="AU469" s="1004"/>
      <c r="AV469" s="1004"/>
      <c r="AW469" s="1004"/>
    </row>
    <row r="470" spans="1:49" ht="15.75">
      <c r="A470" s="1004"/>
      <c r="B470" s="1004"/>
      <c r="C470" s="1004"/>
      <c r="I470" s="1004"/>
      <c r="J470" s="1004"/>
      <c r="K470" s="1004"/>
      <c r="L470" s="777">
        <v>5</v>
      </c>
      <c r="M470" s="778"/>
      <c r="N470" s="976"/>
      <c r="O470" s="1020">
        <v>350</v>
      </c>
      <c r="P470" s="847" t="e">
        <f>VLOOKUP(N470,etat!$A$9:$N$1004,2,FALSE)</f>
        <v>#N/A</v>
      </c>
      <c r="Q470" s="797" t="e">
        <f>VLOOKUP(N470,etat!$A$9:$N$963,7,FALSE)</f>
        <v>#N/A</v>
      </c>
      <c r="R470" s="797" t="e">
        <f>VLOOKUP(N470,etat!$A$9:$N$1003,9,FALSE)</f>
        <v>#N/A</v>
      </c>
      <c r="S470" s="866" t="e">
        <f>VLOOKUP(N470,etat!$A$9:$P$905,16,FALSE)</f>
        <v>#N/A</v>
      </c>
      <c r="T470" s="755"/>
      <c r="U470" s="784"/>
      <c r="V470" s="784"/>
      <c r="W470" s="784"/>
      <c r="X470" s="784"/>
      <c r="Y470" s="975"/>
      <c r="Z470" s="975"/>
      <c r="AA470" s="967"/>
      <c r="AB470" s="1005"/>
      <c r="AC470" s="1005"/>
      <c r="AD470" s="1005"/>
      <c r="AE470" s="1005"/>
      <c r="AF470" s="1005"/>
      <c r="AG470" s="1004"/>
      <c r="AH470" s="1004"/>
      <c r="AI470" s="1004"/>
      <c r="AJ470" s="1004"/>
      <c r="AK470" s="1004"/>
      <c r="AL470" s="1004"/>
      <c r="AM470" s="1004"/>
      <c r="AN470" s="1004"/>
      <c r="AO470" s="1004"/>
      <c r="AP470" s="1004"/>
      <c r="AQ470" s="1004"/>
      <c r="AR470" s="1004"/>
      <c r="AS470" s="1004"/>
      <c r="AT470" s="1004"/>
      <c r="AU470" s="1004"/>
      <c r="AV470" s="1004"/>
      <c r="AW470" s="1004"/>
    </row>
    <row r="471" spans="1:49" ht="15.75">
      <c r="L471" s="777">
        <v>5</v>
      </c>
      <c r="M471" s="778"/>
      <c r="N471" s="976"/>
      <c r="O471" s="1020">
        <v>351</v>
      </c>
      <c r="P471" s="847" t="e">
        <f>VLOOKUP(N471,etat!$A$9:$N$1004,2,FALSE)</f>
        <v>#N/A</v>
      </c>
      <c r="Q471" s="797" t="e">
        <f>VLOOKUP(N471,etat!$A$9:$N$963,7,FALSE)</f>
        <v>#N/A</v>
      </c>
      <c r="R471" s="797" t="e">
        <f>VLOOKUP(N471,etat!$A$9:$N$1003,9,FALSE)</f>
        <v>#N/A</v>
      </c>
      <c r="S471" s="866" t="e">
        <f>VLOOKUP(N471,etat!$A$9:$P$905,16,FALSE)</f>
        <v>#N/A</v>
      </c>
      <c r="T471" s="755"/>
      <c r="U471" s="784"/>
      <c r="V471" s="784"/>
      <c r="W471" s="784"/>
      <c r="X471" s="784"/>
      <c r="Y471" s="975"/>
      <c r="Z471" s="975"/>
      <c r="AA471" s="967"/>
    </row>
    <row r="472" spans="1:49" ht="15.75">
      <c r="L472" s="777">
        <v>5</v>
      </c>
      <c r="M472" s="778"/>
      <c r="N472" s="976"/>
      <c r="O472" s="1020">
        <v>352</v>
      </c>
      <c r="P472" s="847" t="e">
        <f>VLOOKUP(N472,etat!$A$9:$N$1004,2,FALSE)</f>
        <v>#N/A</v>
      </c>
      <c r="Q472" s="797" t="e">
        <f>VLOOKUP(N472,etat!$A$9:$N$963,7,FALSE)</f>
        <v>#N/A</v>
      </c>
      <c r="R472" s="797" t="e">
        <f>VLOOKUP(N472,etat!$A$9:$N$1003,9,FALSE)</f>
        <v>#N/A</v>
      </c>
      <c r="S472" s="866" t="e">
        <f>VLOOKUP(N472,etat!$A$9:$P$905,16,FALSE)</f>
        <v>#N/A</v>
      </c>
      <c r="T472" s="755"/>
      <c r="U472" s="784"/>
      <c r="V472" s="784"/>
      <c r="W472" s="784"/>
      <c r="X472" s="784"/>
      <c r="Y472" s="975"/>
      <c r="Z472" s="975"/>
      <c r="AA472" s="967"/>
    </row>
    <row r="473" spans="1:49" ht="15.75">
      <c r="L473" s="777">
        <v>5</v>
      </c>
      <c r="M473" s="906"/>
      <c r="N473" s="976"/>
      <c r="O473" s="1020">
        <v>353</v>
      </c>
      <c r="P473" s="847" t="e">
        <f>VLOOKUP(N473,etat!$A$9:$N$1004,2,FALSE)</f>
        <v>#N/A</v>
      </c>
      <c r="Q473" s="797" t="e">
        <f>VLOOKUP(N473,etat!$A$9:$N$963,7,FALSE)</f>
        <v>#N/A</v>
      </c>
      <c r="R473" s="797" t="e">
        <f>VLOOKUP(N473,etat!$A$9:$N$1003,9,FALSE)</f>
        <v>#N/A</v>
      </c>
      <c r="S473" s="866" t="e">
        <f>VLOOKUP(N473,etat!$A$9:$P$905,16,FALSE)</f>
        <v>#N/A</v>
      </c>
      <c r="T473" s="755"/>
      <c r="U473" s="784"/>
      <c r="V473" s="784"/>
      <c r="W473" s="784"/>
      <c r="X473" s="784"/>
      <c r="Y473" s="975"/>
      <c r="Z473" s="975"/>
      <c r="AA473" s="967"/>
    </row>
    <row r="474" spans="1:49" ht="15.75">
      <c r="L474" s="777">
        <v>5</v>
      </c>
      <c r="M474" s="778"/>
      <c r="N474" s="976"/>
      <c r="O474" s="1020">
        <v>354</v>
      </c>
      <c r="P474" s="847" t="e">
        <f>VLOOKUP(N474,etat!$A$9:$N$1004,2,FALSE)</f>
        <v>#N/A</v>
      </c>
      <c r="Q474" s="797" t="e">
        <f>VLOOKUP(N474,etat!$A$9:$N$963,7,FALSE)</f>
        <v>#N/A</v>
      </c>
      <c r="R474" s="797" t="e">
        <f>VLOOKUP(N474,etat!$A$9:$N$1003,9,FALSE)</f>
        <v>#N/A</v>
      </c>
      <c r="S474" s="866" t="e">
        <f>VLOOKUP(N474,etat!$A$9:$P$905,16,FALSE)</f>
        <v>#N/A</v>
      </c>
      <c r="T474" s="755"/>
      <c r="U474" s="784"/>
      <c r="V474" s="784"/>
      <c r="W474" s="784"/>
      <c r="X474" s="784"/>
      <c r="Y474" s="975"/>
      <c r="Z474" s="975"/>
      <c r="AA474" s="967"/>
    </row>
    <row r="475" spans="1:49" ht="15.75">
      <c r="L475" s="777">
        <v>5</v>
      </c>
      <c r="M475" s="778"/>
      <c r="N475" s="976"/>
      <c r="O475" s="1020">
        <v>355</v>
      </c>
      <c r="P475" s="847" t="e">
        <f>VLOOKUP(N475,etat!$A$9:$N$1004,2,FALSE)</f>
        <v>#N/A</v>
      </c>
      <c r="Q475" s="797" t="e">
        <f>VLOOKUP(N475,etat!$A$9:$N$963,7,FALSE)</f>
        <v>#N/A</v>
      </c>
      <c r="R475" s="797" t="e">
        <f>VLOOKUP(N475,etat!$A$9:$N$1003,9,FALSE)</f>
        <v>#N/A</v>
      </c>
      <c r="S475" s="866" t="e">
        <f>VLOOKUP(N475,etat!$A$9:$P$905,16,FALSE)</f>
        <v>#N/A</v>
      </c>
      <c r="T475" s="755"/>
      <c r="U475" s="784"/>
      <c r="V475" s="784"/>
      <c r="W475" s="784"/>
      <c r="X475" s="784"/>
      <c r="Y475" s="975"/>
      <c r="Z475" s="975"/>
      <c r="AA475" s="967"/>
    </row>
    <row r="476" spans="1:49" ht="15.75">
      <c r="L476" s="777">
        <v>5</v>
      </c>
      <c r="M476" s="778"/>
      <c r="N476" s="976"/>
      <c r="O476" s="1020">
        <v>356</v>
      </c>
      <c r="P476" s="847" t="e">
        <f>VLOOKUP(N476,etat!$A$9:$N$1004,2,FALSE)</f>
        <v>#N/A</v>
      </c>
      <c r="Q476" s="797" t="e">
        <f>VLOOKUP(N476,etat!$A$9:$N$963,7,FALSE)</f>
        <v>#N/A</v>
      </c>
      <c r="R476" s="797" t="e">
        <f>VLOOKUP(N476,etat!$A$9:$N$1003,9,FALSE)</f>
        <v>#N/A</v>
      </c>
      <c r="S476" s="866" t="e">
        <f>VLOOKUP(N476,etat!$A$9:$P$905,16,FALSE)</f>
        <v>#N/A</v>
      </c>
      <c r="T476" s="755"/>
      <c r="U476" s="784"/>
      <c r="V476" s="784"/>
      <c r="W476" s="784"/>
      <c r="X476" s="784"/>
      <c r="Y476" s="784"/>
      <c r="Z476" s="975"/>
      <c r="AA476" s="967"/>
    </row>
    <row r="477" spans="1:49" ht="15.75">
      <c r="L477" s="777">
        <v>5</v>
      </c>
      <c r="M477" s="778"/>
      <c r="N477" s="976"/>
      <c r="O477" s="1020">
        <v>357</v>
      </c>
      <c r="P477" s="847" t="e">
        <f>VLOOKUP(N477,etat!$A$9:$N$1004,2,FALSE)</f>
        <v>#N/A</v>
      </c>
      <c r="Q477" s="797" t="e">
        <f>VLOOKUP(N477,etat!$A$9:$N$963,7,FALSE)</f>
        <v>#N/A</v>
      </c>
      <c r="R477" s="797" t="e">
        <f>VLOOKUP(N477,etat!$A$9:$N$1003,9,FALSE)</f>
        <v>#N/A</v>
      </c>
      <c r="S477" s="866" t="e">
        <f>VLOOKUP(N477,etat!$A$9:$P$905,16,FALSE)</f>
        <v>#N/A</v>
      </c>
      <c r="T477" s="755"/>
      <c r="U477" s="784"/>
      <c r="V477" s="784"/>
      <c r="W477" s="784"/>
      <c r="X477" s="784"/>
      <c r="Y477" s="975"/>
      <c r="Z477" s="975"/>
      <c r="AA477" s="967"/>
    </row>
    <row r="478" spans="1:49" ht="15.75">
      <c r="L478" s="777">
        <v>5</v>
      </c>
      <c r="M478" s="778"/>
      <c r="N478" s="976"/>
      <c r="O478" s="1020">
        <v>358</v>
      </c>
      <c r="P478" s="847" t="e">
        <f>VLOOKUP(N478,etat!$A$9:$N$1004,2,FALSE)</f>
        <v>#N/A</v>
      </c>
      <c r="Q478" s="797" t="e">
        <f>VLOOKUP(N478,etat!$A$9:$N$963,7,FALSE)</f>
        <v>#N/A</v>
      </c>
      <c r="R478" s="797" t="e">
        <f>VLOOKUP(N478,etat!$A$9:$N$1003,9,FALSE)</f>
        <v>#N/A</v>
      </c>
      <c r="S478" s="866" t="e">
        <f>VLOOKUP(N478,etat!$A$9:$P$905,16,FALSE)</f>
        <v>#N/A</v>
      </c>
      <c r="T478" s="755"/>
      <c r="U478" s="784"/>
      <c r="V478" s="784"/>
      <c r="W478" s="784"/>
      <c r="X478" s="784"/>
      <c r="Y478" s="975"/>
      <c r="Z478" s="975"/>
      <c r="AA478" s="967"/>
    </row>
    <row r="479" spans="1:49" ht="15.75">
      <c r="L479" s="777">
        <v>5</v>
      </c>
      <c r="M479" s="778"/>
      <c r="N479" s="976"/>
      <c r="O479" s="1020">
        <v>359</v>
      </c>
      <c r="P479" s="847" t="e">
        <f>VLOOKUP(N479,etat!$A$9:$N$1004,2,FALSE)</f>
        <v>#N/A</v>
      </c>
      <c r="Q479" s="797" t="e">
        <f>VLOOKUP(N479,etat!$A$9:$N$963,7,FALSE)</f>
        <v>#N/A</v>
      </c>
      <c r="R479" s="797" t="e">
        <f>VLOOKUP(N479,etat!$A$9:$N$1003,9,FALSE)</f>
        <v>#N/A</v>
      </c>
      <c r="S479" s="866" t="e">
        <f>VLOOKUP(N479,etat!$A$9:$P$905,16,FALSE)</f>
        <v>#N/A</v>
      </c>
      <c r="T479" s="755"/>
      <c r="U479" s="784"/>
      <c r="V479" s="784"/>
      <c r="W479" s="784"/>
      <c r="X479" s="784"/>
      <c r="Y479" s="975"/>
      <c r="Z479" s="975"/>
      <c r="AA479" s="967"/>
    </row>
    <row r="480" spans="1:49" ht="15.75">
      <c r="L480" s="777">
        <v>5</v>
      </c>
      <c r="M480" s="778"/>
      <c r="N480" s="976"/>
      <c r="O480" s="1020">
        <v>360</v>
      </c>
      <c r="P480" s="847" t="e">
        <f>VLOOKUP(N480,etat!$A$9:$N$1004,2,FALSE)</f>
        <v>#N/A</v>
      </c>
      <c r="Q480" s="797" t="e">
        <f>VLOOKUP(N480,etat!$A$9:$N$963,7,FALSE)</f>
        <v>#N/A</v>
      </c>
      <c r="R480" s="797" t="e">
        <f>VLOOKUP(N480,etat!$A$9:$N$1003,9,FALSE)</f>
        <v>#N/A</v>
      </c>
      <c r="S480" s="866" t="e">
        <f>VLOOKUP(N480,etat!$A$9:$P$905,16,FALSE)</f>
        <v>#N/A</v>
      </c>
      <c r="T480" s="755"/>
      <c r="U480" s="784"/>
      <c r="V480" s="784"/>
      <c r="W480" s="784"/>
      <c r="X480" s="784"/>
      <c r="Y480" s="975"/>
      <c r="Z480" s="975"/>
      <c r="AA480" s="967"/>
    </row>
    <row r="481" spans="12:27" ht="15.75">
      <c r="L481" s="777">
        <v>5</v>
      </c>
      <c r="M481" s="778"/>
      <c r="N481" s="976"/>
      <c r="O481" s="1020">
        <v>361</v>
      </c>
      <c r="P481" s="847" t="e">
        <f>VLOOKUP(N481,etat!$A$9:$N$1004,2,FALSE)</f>
        <v>#N/A</v>
      </c>
      <c r="Q481" s="797" t="e">
        <f>VLOOKUP(N481,etat!$A$9:$N$963,7,FALSE)</f>
        <v>#N/A</v>
      </c>
      <c r="R481" s="797" t="e">
        <f>VLOOKUP(N481,etat!$A$9:$N$1003,9,FALSE)</f>
        <v>#N/A</v>
      </c>
      <c r="S481" s="866" t="e">
        <f>VLOOKUP(N481,etat!$A$9:$P$905,16,FALSE)</f>
        <v>#N/A</v>
      </c>
      <c r="T481" s="755"/>
      <c r="U481" s="784"/>
      <c r="V481" s="784"/>
      <c r="W481" s="784"/>
      <c r="X481" s="784"/>
      <c r="Y481" s="975"/>
      <c r="Z481" s="975"/>
      <c r="AA481" s="967"/>
    </row>
    <row r="482" spans="12:27" ht="15.75">
      <c r="L482" s="777">
        <v>5</v>
      </c>
      <c r="M482" s="778"/>
      <c r="N482" s="976"/>
      <c r="O482" s="1020">
        <v>362</v>
      </c>
      <c r="P482" s="847" t="e">
        <f>VLOOKUP(N482,etat!$A$9:$N$1004,2,FALSE)</f>
        <v>#N/A</v>
      </c>
      <c r="Q482" s="797" t="e">
        <f>VLOOKUP(N482,etat!$A$9:$N$963,7,FALSE)</f>
        <v>#N/A</v>
      </c>
      <c r="R482" s="797" t="e">
        <f>VLOOKUP(N482,etat!$A$9:$N$1003,9,FALSE)</f>
        <v>#N/A</v>
      </c>
      <c r="S482" s="866" t="e">
        <f>VLOOKUP(N482,etat!$A$9:$P$905,16,FALSE)</f>
        <v>#N/A</v>
      </c>
      <c r="T482" s="755"/>
      <c r="U482" s="784"/>
      <c r="V482" s="784"/>
      <c r="W482" s="784"/>
      <c r="X482" s="784"/>
      <c r="Y482" s="975"/>
      <c r="Z482" s="975"/>
      <c r="AA482" s="967"/>
    </row>
    <row r="483" spans="12:27" ht="15.75">
      <c r="L483" s="777">
        <v>5</v>
      </c>
      <c r="M483" s="778"/>
      <c r="N483" s="976"/>
      <c r="O483" s="1020">
        <v>363</v>
      </c>
      <c r="P483" s="847" t="e">
        <f>VLOOKUP(N483,etat!$A$9:$N$1004,2,FALSE)</f>
        <v>#N/A</v>
      </c>
      <c r="Q483" s="797" t="e">
        <f>VLOOKUP(N483,etat!$A$9:$N$963,7,FALSE)</f>
        <v>#N/A</v>
      </c>
      <c r="R483" s="797" t="e">
        <f>VLOOKUP(N483,etat!$A$9:$N$1003,9,FALSE)</f>
        <v>#N/A</v>
      </c>
      <c r="S483" s="866" t="e">
        <f>VLOOKUP(N483,etat!$A$9:$P$905,16,FALSE)</f>
        <v>#N/A</v>
      </c>
      <c r="T483" s="755"/>
      <c r="U483" s="784"/>
      <c r="V483" s="784"/>
      <c r="W483" s="784"/>
      <c r="X483" s="784"/>
      <c r="Y483" s="975"/>
      <c r="Z483" s="975"/>
      <c r="AA483" s="967"/>
    </row>
    <row r="484" spans="12:27" ht="15.75">
      <c r="L484" s="777">
        <v>5</v>
      </c>
      <c r="M484" s="778"/>
      <c r="N484" s="976"/>
      <c r="O484" s="1020">
        <v>364</v>
      </c>
      <c r="P484" s="847" t="e">
        <f>VLOOKUP(N484,etat!$A$9:$N$1004,2,FALSE)</f>
        <v>#N/A</v>
      </c>
      <c r="Q484" s="797" t="e">
        <f>VLOOKUP(N484,etat!$A$9:$N$963,7,FALSE)</f>
        <v>#N/A</v>
      </c>
      <c r="R484" s="797" t="e">
        <f>VLOOKUP(N484,etat!$A$9:$N$1003,9,FALSE)</f>
        <v>#N/A</v>
      </c>
      <c r="S484" s="866" t="e">
        <f>VLOOKUP(N484,etat!$A$9:$P$905,16,FALSE)</f>
        <v>#N/A</v>
      </c>
      <c r="T484" s="755"/>
      <c r="U484" s="784"/>
      <c r="V484" s="784"/>
      <c r="W484" s="784"/>
      <c r="X484" s="784"/>
      <c r="Y484" s="975"/>
      <c r="Z484" s="975"/>
      <c r="AA484" s="967"/>
    </row>
    <row r="485" spans="12:27" ht="15.75">
      <c r="L485" s="777">
        <v>5</v>
      </c>
      <c r="M485" s="778"/>
      <c r="N485" s="976"/>
      <c r="O485" s="1020">
        <v>365</v>
      </c>
      <c r="P485" s="847" t="e">
        <f>VLOOKUP(N485,etat!$A$9:$N$1004,2,FALSE)</f>
        <v>#N/A</v>
      </c>
      <c r="Q485" s="797" t="e">
        <f>VLOOKUP(N485,etat!$A$9:$N$963,7,FALSE)</f>
        <v>#N/A</v>
      </c>
      <c r="R485" s="797" t="e">
        <f>VLOOKUP(N485,etat!$A$9:$N$1003,9,FALSE)</f>
        <v>#N/A</v>
      </c>
      <c r="S485" s="866" t="e">
        <f>VLOOKUP(N485,etat!$A$9:$P$905,16,FALSE)</f>
        <v>#N/A</v>
      </c>
      <c r="T485" s="755"/>
      <c r="U485" s="784"/>
      <c r="V485" s="784"/>
      <c r="W485" s="784"/>
      <c r="X485" s="784"/>
      <c r="Y485" s="975"/>
      <c r="Z485" s="975"/>
      <c r="AA485" s="967"/>
    </row>
    <row r="486" spans="12:27" ht="17.25">
      <c r="L486" s="777">
        <v>5</v>
      </c>
      <c r="M486" s="778"/>
      <c r="N486" s="976"/>
      <c r="O486" s="1020">
        <v>366</v>
      </c>
      <c r="P486" s="847" t="e">
        <f>VLOOKUP(N486,etat!$A$9:$N$1004,2,FALSE)</f>
        <v>#N/A</v>
      </c>
      <c r="Q486" s="797" t="e">
        <f>VLOOKUP(N486,etat!$A$9:$N$963,7,FALSE)</f>
        <v>#N/A</v>
      </c>
      <c r="R486" s="797" t="e">
        <f>VLOOKUP(N486,etat!$A$9:$N$1003,9,FALSE)</f>
        <v>#N/A</v>
      </c>
      <c r="S486" s="866" t="e">
        <f>VLOOKUP(N486,etat!$A$9:$P$905,16,FALSE)</f>
        <v>#N/A</v>
      </c>
      <c r="T486" s="755"/>
      <c r="U486" s="784"/>
      <c r="V486" s="784"/>
      <c r="W486" s="784"/>
      <c r="X486" s="784"/>
      <c r="Y486" s="975"/>
      <c r="Z486" s="1022"/>
      <c r="AA486" s="967"/>
    </row>
    <row r="487" spans="12:27" ht="17.25">
      <c r="L487" s="777">
        <v>5</v>
      </c>
      <c r="M487" s="778"/>
      <c r="N487" s="976"/>
      <c r="O487" s="1020">
        <v>367</v>
      </c>
      <c r="P487" s="847" t="e">
        <f>VLOOKUP(N487,etat!$A$9:$N$1004,2,FALSE)</f>
        <v>#N/A</v>
      </c>
      <c r="Q487" s="797" t="e">
        <f>VLOOKUP(N487,etat!$A$9:$N$963,7,FALSE)</f>
        <v>#N/A</v>
      </c>
      <c r="R487" s="797" t="e">
        <f>VLOOKUP(N487,etat!$A$9:$N$1003,9,FALSE)</f>
        <v>#N/A</v>
      </c>
      <c r="S487" s="866" t="e">
        <f>VLOOKUP(N487,etat!$A$9:$P$905,16,FALSE)</f>
        <v>#N/A</v>
      </c>
      <c r="T487" s="755"/>
      <c r="U487" s="784"/>
      <c r="V487" s="784"/>
      <c r="W487" s="784"/>
      <c r="X487" s="784"/>
      <c r="Y487" s="975"/>
      <c r="Z487" s="1022"/>
      <c r="AA487" s="967"/>
    </row>
    <row r="488" spans="12:27" ht="17.25">
      <c r="L488" s="777">
        <v>5</v>
      </c>
      <c r="M488" s="778"/>
      <c r="N488" s="976"/>
      <c r="O488" s="1020">
        <v>368</v>
      </c>
      <c r="P488" s="847" t="e">
        <f>VLOOKUP(N488,etat!$A$9:$N$1004,2,FALSE)</f>
        <v>#N/A</v>
      </c>
      <c r="Q488" s="797" t="e">
        <f>VLOOKUP(N488,etat!$A$9:$N$963,7,FALSE)</f>
        <v>#N/A</v>
      </c>
      <c r="R488" s="797" t="e">
        <f>VLOOKUP(N488,etat!$A$9:$N$1003,9,FALSE)</f>
        <v>#N/A</v>
      </c>
      <c r="S488" s="866" t="e">
        <f>VLOOKUP(N488,etat!$A$9:$P$905,16,FALSE)</f>
        <v>#N/A</v>
      </c>
      <c r="T488" s="755"/>
      <c r="U488" s="784"/>
      <c r="V488" s="784"/>
      <c r="W488" s="784"/>
      <c r="X488" s="784"/>
      <c r="Y488" s="975"/>
      <c r="Z488" s="1022"/>
      <c r="AA488" s="967"/>
    </row>
    <row r="489" spans="12:27" ht="17.25">
      <c r="L489" s="777">
        <v>5</v>
      </c>
      <c r="M489" s="778"/>
      <c r="N489" s="976"/>
      <c r="O489" s="1020">
        <v>369</v>
      </c>
      <c r="P489" s="847" t="e">
        <f>VLOOKUP(N489,etat!$A$9:$N$1004,2,FALSE)</f>
        <v>#N/A</v>
      </c>
      <c r="Q489" s="797" t="e">
        <f>VLOOKUP(N489,etat!$A$9:$N$963,7,FALSE)</f>
        <v>#N/A</v>
      </c>
      <c r="R489" s="797" t="e">
        <f>VLOOKUP(N489,etat!$A$9:$N$1003,9,FALSE)</f>
        <v>#N/A</v>
      </c>
      <c r="S489" s="866" t="e">
        <f>VLOOKUP(N489,etat!$A$9:$P$905,16,FALSE)</f>
        <v>#N/A</v>
      </c>
      <c r="T489" s="755"/>
      <c r="U489" s="784"/>
      <c r="V489" s="784"/>
      <c r="W489" s="784"/>
      <c r="X489" s="784"/>
      <c r="Y489" s="975"/>
      <c r="Z489" s="1022"/>
      <c r="AA489" s="967"/>
    </row>
    <row r="490" spans="12:27" ht="17.25">
      <c r="L490" s="777">
        <v>5</v>
      </c>
      <c r="M490" s="778"/>
      <c r="N490" s="976"/>
      <c r="O490" s="1020">
        <v>370</v>
      </c>
      <c r="P490" s="847" t="e">
        <f>VLOOKUP(N490,etat!$A$9:$N$1004,2,FALSE)</f>
        <v>#N/A</v>
      </c>
      <c r="Q490" s="797" t="e">
        <f>VLOOKUP(N490,etat!$A$9:$N$963,7,FALSE)</f>
        <v>#N/A</v>
      </c>
      <c r="R490" s="797" t="e">
        <f>VLOOKUP(N490,etat!$A$9:$N$1003,9,FALSE)</f>
        <v>#N/A</v>
      </c>
      <c r="S490" s="866" t="e">
        <f>VLOOKUP(N490,etat!$A$9:$P$905,16,FALSE)</f>
        <v>#N/A</v>
      </c>
      <c r="T490" s="755"/>
      <c r="U490" s="784"/>
      <c r="V490" s="784"/>
      <c r="W490" s="784"/>
      <c r="X490" s="784"/>
      <c r="Y490" s="975"/>
      <c r="Z490" s="1022"/>
      <c r="AA490" s="967"/>
    </row>
    <row r="491" spans="12:27" ht="17.25">
      <c r="L491" s="777">
        <v>5</v>
      </c>
      <c r="M491" s="906"/>
      <c r="N491" s="976"/>
      <c r="O491" s="1020">
        <v>371</v>
      </c>
      <c r="P491" s="847" t="e">
        <f>VLOOKUP(N491,etat!$A$9:$N$1004,2,FALSE)</f>
        <v>#N/A</v>
      </c>
      <c r="Q491" s="797" t="e">
        <f>VLOOKUP(N491,etat!$A$9:$N$963,7,FALSE)</f>
        <v>#N/A</v>
      </c>
      <c r="R491" s="797" t="e">
        <f>VLOOKUP(N491,etat!$A$9:$N$1003,9,FALSE)</f>
        <v>#N/A</v>
      </c>
      <c r="S491" s="866" t="e">
        <f>VLOOKUP(N491,etat!$A$9:$P$905,16,FALSE)</f>
        <v>#N/A</v>
      </c>
      <c r="T491" s="755"/>
      <c r="U491" s="784"/>
      <c r="V491" s="784"/>
      <c r="W491" s="784"/>
      <c r="X491" s="784"/>
      <c r="Y491" s="975"/>
      <c r="Z491" s="1022"/>
      <c r="AA491" s="967"/>
    </row>
    <row r="492" spans="12:27" ht="17.25">
      <c r="L492" s="777">
        <v>5</v>
      </c>
      <c r="M492" s="778"/>
      <c r="N492" s="976"/>
      <c r="O492" s="1020">
        <v>372</v>
      </c>
      <c r="P492" s="847" t="e">
        <f>VLOOKUP(N492,etat!$A$9:$N$1004,2,FALSE)</f>
        <v>#N/A</v>
      </c>
      <c r="Q492" s="797" t="e">
        <f>VLOOKUP(N492,etat!$A$9:$N$963,7,FALSE)</f>
        <v>#N/A</v>
      </c>
      <c r="R492" s="797" t="e">
        <f>VLOOKUP(N492,etat!$A$9:$N$1003,9,FALSE)</f>
        <v>#N/A</v>
      </c>
      <c r="S492" s="866" t="e">
        <f>VLOOKUP(N492,etat!$A$9:$P$905,16,FALSE)</f>
        <v>#N/A</v>
      </c>
      <c r="T492" s="755"/>
      <c r="U492" s="784"/>
      <c r="V492" s="784"/>
      <c r="W492" s="784"/>
      <c r="X492" s="784"/>
      <c r="Y492" s="975"/>
      <c r="Z492" s="1022"/>
      <c r="AA492" s="967"/>
    </row>
    <row r="493" spans="12:27" ht="18.75">
      <c r="L493" s="777">
        <v>5</v>
      </c>
      <c r="M493" s="778"/>
      <c r="N493" s="976"/>
      <c r="O493" s="1020">
        <v>373</v>
      </c>
      <c r="P493" s="847" t="e">
        <f>VLOOKUP(N493,etat!$A$9:$N$1004,2,FALSE)</f>
        <v>#N/A</v>
      </c>
      <c r="Q493" s="797" t="e">
        <f>VLOOKUP(N493,etat!$A$9:$N$963,7,FALSE)</f>
        <v>#N/A</v>
      </c>
      <c r="R493" s="797" t="e">
        <f>VLOOKUP(N493,etat!$A$9:$N$1003,9,FALSE)</f>
        <v>#N/A</v>
      </c>
      <c r="S493" s="866" t="e">
        <f>VLOOKUP(N493,etat!$A$9:$P$905,16,FALSE)</f>
        <v>#N/A</v>
      </c>
      <c r="T493" s="755"/>
      <c r="U493" s="784"/>
      <c r="V493" s="784"/>
      <c r="W493" s="784"/>
      <c r="X493" s="784"/>
      <c r="Y493" s="956"/>
      <c r="Z493" s="1022"/>
      <c r="AA493" s="967"/>
    </row>
    <row r="494" spans="12:27" ht="18.75">
      <c r="L494" s="777">
        <v>5</v>
      </c>
      <c r="M494" s="778"/>
      <c r="N494" s="976"/>
      <c r="O494" s="1020">
        <v>374</v>
      </c>
      <c r="P494" s="847" t="e">
        <f>VLOOKUP(N494,etat!$A$9:$N$1004,2,FALSE)</f>
        <v>#N/A</v>
      </c>
      <c r="Q494" s="797" t="e">
        <f>VLOOKUP(N494,etat!$A$9:$N$963,7,FALSE)</f>
        <v>#N/A</v>
      </c>
      <c r="R494" s="797" t="e">
        <f>VLOOKUP(N494,etat!$A$9:$N$1003,9,FALSE)</f>
        <v>#N/A</v>
      </c>
      <c r="S494" s="866" t="e">
        <f>VLOOKUP(N494,etat!$A$9:$P$905,16,FALSE)</f>
        <v>#N/A</v>
      </c>
      <c r="T494" s="755"/>
      <c r="U494" s="784"/>
      <c r="V494" s="784"/>
      <c r="W494" s="784"/>
      <c r="X494" s="784"/>
      <c r="Y494" s="956"/>
      <c r="Z494" s="1022"/>
      <c r="AA494" s="967"/>
    </row>
    <row r="495" spans="12:27" ht="18.75">
      <c r="L495" s="777">
        <v>5</v>
      </c>
      <c r="M495" s="778"/>
      <c r="N495" s="976"/>
      <c r="O495" s="1020">
        <v>375</v>
      </c>
      <c r="P495" s="847" t="e">
        <f>VLOOKUP(N495,etat!$A$9:$N$1004,2,FALSE)</f>
        <v>#N/A</v>
      </c>
      <c r="Q495" s="797" t="e">
        <f>VLOOKUP(N495,etat!$A$9:$N$963,7,FALSE)</f>
        <v>#N/A</v>
      </c>
      <c r="R495" s="797" t="e">
        <f>VLOOKUP(N495,etat!$A$9:$N$1003,9,FALSE)</f>
        <v>#N/A</v>
      </c>
      <c r="S495" s="866" t="e">
        <f>VLOOKUP(N495,etat!$A$9:$P$905,16,FALSE)</f>
        <v>#N/A</v>
      </c>
      <c r="T495" s="755"/>
      <c r="U495" s="784"/>
      <c r="V495" s="784"/>
      <c r="W495" s="784"/>
      <c r="X495" s="784"/>
      <c r="Y495" s="956"/>
      <c r="Z495" s="1022"/>
      <c r="AA495" s="967"/>
    </row>
    <row r="496" spans="12:27" ht="17.25">
      <c r="L496" s="777">
        <v>5</v>
      </c>
      <c r="M496" s="906"/>
      <c r="N496" s="976"/>
      <c r="O496" s="1020">
        <v>376</v>
      </c>
      <c r="P496" s="847" t="e">
        <f>VLOOKUP(N496,etat!$A$9:$N$1004,2,FALSE)</f>
        <v>#N/A</v>
      </c>
      <c r="Q496" s="797" t="e">
        <f>VLOOKUP(N496,etat!$A$9:$N$963,7,FALSE)</f>
        <v>#N/A</v>
      </c>
      <c r="R496" s="797" t="e">
        <f>VLOOKUP(N496,etat!$A$9:$N$1003,9,FALSE)</f>
        <v>#N/A</v>
      </c>
      <c r="S496" s="866" t="e">
        <f>VLOOKUP(N496,etat!$A$9:$P$905,16,FALSE)</f>
        <v>#N/A</v>
      </c>
      <c r="T496" s="755"/>
      <c r="U496" s="784"/>
      <c r="V496" s="784"/>
      <c r="W496" s="784"/>
      <c r="X496" s="784"/>
      <c r="Y496" s="975"/>
      <c r="Z496" s="1022"/>
      <c r="AA496" s="967"/>
    </row>
    <row r="497" spans="12:27" ht="17.25">
      <c r="L497" s="777">
        <v>5</v>
      </c>
      <c r="M497" s="778"/>
      <c r="N497" s="976"/>
      <c r="O497" s="1020">
        <v>377</v>
      </c>
      <c r="P497" s="847" t="e">
        <f>VLOOKUP(N497,etat!$A$9:$N$1004,2,FALSE)</f>
        <v>#N/A</v>
      </c>
      <c r="Q497" s="797" t="e">
        <f>VLOOKUP(N497,etat!$A$9:$N$963,7,FALSE)</f>
        <v>#N/A</v>
      </c>
      <c r="R497" s="797" t="e">
        <f>VLOOKUP(N497,etat!$A$9:$N$1003,9,FALSE)</f>
        <v>#N/A</v>
      </c>
      <c r="S497" s="866" t="e">
        <f>VLOOKUP(N497,etat!$A$9:$P$905,16,FALSE)</f>
        <v>#N/A</v>
      </c>
      <c r="T497" s="755"/>
      <c r="U497" s="784"/>
      <c r="V497" s="784"/>
      <c r="W497" s="755"/>
      <c r="X497" s="784"/>
      <c r="Y497" s="975"/>
      <c r="Z497" s="1022"/>
      <c r="AA497" s="967"/>
    </row>
    <row r="498" spans="12:27" ht="17.25">
      <c r="L498" s="777">
        <v>5</v>
      </c>
      <c r="M498" s="778"/>
      <c r="N498" s="976"/>
      <c r="O498" s="1020">
        <v>378</v>
      </c>
      <c r="P498" s="847" t="e">
        <f>VLOOKUP(N498,etat!$A$9:$N$1004,2,FALSE)</f>
        <v>#N/A</v>
      </c>
      <c r="Q498" s="797" t="e">
        <f>VLOOKUP(N498,etat!$A$9:$N$963,7,FALSE)</f>
        <v>#N/A</v>
      </c>
      <c r="R498" s="797" t="e">
        <f>VLOOKUP(N498,etat!$A$9:$N$1003,9,FALSE)</f>
        <v>#N/A</v>
      </c>
      <c r="S498" s="866" t="e">
        <f>VLOOKUP(N498,etat!$A$9:$P$905,16,FALSE)</f>
        <v>#N/A</v>
      </c>
      <c r="T498" s="755"/>
      <c r="U498" s="784"/>
      <c r="V498" s="784"/>
      <c r="W498" s="943"/>
      <c r="X498" s="944"/>
      <c r="Y498" s="975"/>
      <c r="Z498" s="1022"/>
      <c r="AA498" s="967"/>
    </row>
    <row r="499" spans="12:27" ht="17.25">
      <c r="L499" s="777">
        <v>5</v>
      </c>
      <c r="M499" s="778"/>
      <c r="N499" s="976"/>
      <c r="O499" s="1020">
        <v>379</v>
      </c>
      <c r="P499" s="847" t="e">
        <f>VLOOKUP(N499,etat!$A$9:$N$1004,2,FALSE)</f>
        <v>#N/A</v>
      </c>
      <c r="Q499" s="797" t="e">
        <f>VLOOKUP(N499,etat!$A$9:$N$963,7,FALSE)</f>
        <v>#N/A</v>
      </c>
      <c r="R499" s="797" t="e">
        <f>VLOOKUP(N499,etat!$A$9:$N$1003,9,FALSE)</f>
        <v>#N/A</v>
      </c>
      <c r="S499" s="866" t="e">
        <f>VLOOKUP(N499,etat!$A$9:$P$905,16,FALSE)</f>
        <v>#N/A</v>
      </c>
      <c r="T499" s="755"/>
      <c r="U499" s="784"/>
      <c r="V499" s="784"/>
      <c r="W499" s="943"/>
      <c r="X499" s="944"/>
      <c r="Y499" s="975"/>
      <c r="Z499" s="1022"/>
      <c r="AA499" s="967"/>
    </row>
    <row r="500" spans="12:27" ht="17.25">
      <c r="L500" s="777">
        <v>5</v>
      </c>
      <c r="M500" s="778"/>
      <c r="N500" s="976"/>
      <c r="O500" s="1020">
        <v>380</v>
      </c>
      <c r="P500" s="847" t="e">
        <f>VLOOKUP(N500,etat!$A$9:$N$1004,2,FALSE)</f>
        <v>#N/A</v>
      </c>
      <c r="Q500" s="797" t="e">
        <f>VLOOKUP(N500,etat!$A$9:$N$963,7,FALSE)</f>
        <v>#N/A</v>
      </c>
      <c r="R500" s="797" t="e">
        <f>VLOOKUP(N500,etat!$A$9:$N$1003,9,FALSE)</f>
        <v>#N/A</v>
      </c>
      <c r="S500" s="866" t="e">
        <f>VLOOKUP(N500,etat!$A$9:$P$905,16,FALSE)</f>
        <v>#N/A</v>
      </c>
      <c r="T500" s="755"/>
      <c r="U500" s="784"/>
      <c r="V500" s="784"/>
      <c r="W500" s="784"/>
      <c r="X500" s="784"/>
      <c r="Y500" s="975"/>
      <c r="Z500" s="1022"/>
      <c r="AA500" s="967"/>
    </row>
    <row r="501" spans="12:27" ht="15.75">
      <c r="L501" s="777">
        <v>5</v>
      </c>
      <c r="M501" s="778"/>
      <c r="N501" s="976"/>
      <c r="O501" s="1020">
        <v>381</v>
      </c>
      <c r="P501" s="847" t="e">
        <f>VLOOKUP(N501,etat!$A$9:$N$1004,2,FALSE)</f>
        <v>#N/A</v>
      </c>
      <c r="Q501" s="797" t="e">
        <f>VLOOKUP(N501,etat!$A$9:$N$963,7,FALSE)</f>
        <v>#N/A</v>
      </c>
      <c r="R501" s="797" t="e">
        <f>VLOOKUP(N501,etat!$A$9:$N$1003,9,FALSE)</f>
        <v>#N/A</v>
      </c>
      <c r="S501" s="866" t="e">
        <f>VLOOKUP(N501,etat!$A$9:$P$905,16,FALSE)</f>
        <v>#N/A</v>
      </c>
      <c r="T501" s="755"/>
      <c r="U501" s="784"/>
      <c r="V501" s="784"/>
      <c r="W501" s="784"/>
      <c r="X501" s="784"/>
      <c r="Y501" s="784"/>
      <c r="Z501" s="1112"/>
      <c r="AA501" s="967"/>
    </row>
    <row r="502" spans="12:27" ht="17.25">
      <c r="L502" s="777">
        <v>5</v>
      </c>
      <c r="M502" s="906"/>
      <c r="N502" s="976"/>
      <c r="O502" s="1020">
        <v>382</v>
      </c>
      <c r="P502" s="847" t="e">
        <f>VLOOKUP(N502,etat!$A$9:$N$1004,2,FALSE)</f>
        <v>#N/A</v>
      </c>
      <c r="Q502" s="797" t="e">
        <f>VLOOKUP(N502,etat!$A$9:$N$963,7,FALSE)</f>
        <v>#N/A</v>
      </c>
      <c r="R502" s="797" t="e">
        <f>VLOOKUP(N502,etat!$A$9:$N$1003,9,FALSE)</f>
        <v>#N/A</v>
      </c>
      <c r="S502" s="866" t="e">
        <f>VLOOKUP(N502,etat!$A$9:$P$905,16,FALSE)</f>
        <v>#N/A</v>
      </c>
      <c r="T502" s="755"/>
      <c r="U502" s="784"/>
      <c r="V502" s="784"/>
      <c r="W502" s="784"/>
      <c r="X502" s="784"/>
      <c r="Y502" s="975"/>
      <c r="Z502" s="1022"/>
      <c r="AA502" s="967"/>
    </row>
    <row r="503" spans="12:27" ht="17.25">
      <c r="L503" s="777">
        <v>5</v>
      </c>
      <c r="M503" s="906"/>
      <c r="N503" s="976"/>
      <c r="O503" s="1020">
        <v>383</v>
      </c>
      <c r="P503" s="847" t="e">
        <f>VLOOKUP(N503,etat!$A$9:$N$1004,2,FALSE)</f>
        <v>#N/A</v>
      </c>
      <c r="Q503" s="797" t="e">
        <f>VLOOKUP(N503,etat!$A$9:$N$963,7,FALSE)</f>
        <v>#N/A</v>
      </c>
      <c r="R503" s="797" t="e">
        <f>VLOOKUP(N503,etat!$A$9:$N$1003,9,FALSE)</f>
        <v>#N/A</v>
      </c>
      <c r="S503" s="866" t="e">
        <f>VLOOKUP(N503,etat!$A$9:$P$905,16,FALSE)</f>
        <v>#N/A</v>
      </c>
      <c r="T503" s="755"/>
      <c r="U503" s="784"/>
      <c r="V503" s="784"/>
      <c r="W503" s="784"/>
      <c r="X503" s="784"/>
      <c r="Y503" s="975"/>
      <c r="Z503" s="1022"/>
      <c r="AA503" s="967"/>
    </row>
    <row r="504" spans="12:27" ht="17.25">
      <c r="L504" s="777">
        <v>5</v>
      </c>
      <c r="M504" s="778"/>
      <c r="N504" s="976"/>
      <c r="O504" s="1020">
        <v>384</v>
      </c>
      <c r="P504" s="847" t="e">
        <f>VLOOKUP(N504,etat!$A$9:$N$1004,2,FALSE)</f>
        <v>#N/A</v>
      </c>
      <c r="Q504" s="797" t="e">
        <f>VLOOKUP(N504,etat!$A$9:$N$963,7,FALSE)</f>
        <v>#N/A</v>
      </c>
      <c r="R504" s="797" t="e">
        <f>VLOOKUP(N504,etat!$A$9:$N$1003,9,FALSE)</f>
        <v>#N/A</v>
      </c>
      <c r="S504" s="866" t="e">
        <f>VLOOKUP(N504,etat!$A$9:$P$905,16,FALSE)</f>
        <v>#N/A</v>
      </c>
      <c r="T504" s="755"/>
      <c r="U504" s="784"/>
      <c r="V504" s="784"/>
      <c r="W504" s="784"/>
      <c r="X504" s="784"/>
      <c r="Y504" s="784"/>
      <c r="Z504" s="1022"/>
      <c r="AA504" s="967"/>
    </row>
    <row r="505" spans="12:27" ht="17.25">
      <c r="L505" s="777">
        <v>5</v>
      </c>
      <c r="M505" s="778"/>
      <c r="N505" s="976"/>
      <c r="O505" s="1020">
        <v>385</v>
      </c>
      <c r="P505" s="847" t="e">
        <f>VLOOKUP(N505,etat!$A$9:$N$1004,2,FALSE)</f>
        <v>#N/A</v>
      </c>
      <c r="Q505" s="797" t="e">
        <f>VLOOKUP(N505,etat!$A$9:$N$963,7,FALSE)</f>
        <v>#N/A</v>
      </c>
      <c r="R505" s="797" t="e">
        <f>VLOOKUP(N505,etat!$A$9:$N$1003,9,FALSE)</f>
        <v>#N/A</v>
      </c>
      <c r="S505" s="866" t="e">
        <f>VLOOKUP(N505,etat!$A$9:$P$905,16,FALSE)</f>
        <v>#N/A</v>
      </c>
      <c r="T505" s="755"/>
      <c r="U505" s="784"/>
      <c r="V505" s="784"/>
      <c r="W505" s="784"/>
      <c r="X505" s="784"/>
      <c r="Y505" s="784"/>
      <c r="Z505" s="1022"/>
      <c r="AA505" s="967"/>
    </row>
    <row r="506" spans="12:27" ht="17.25">
      <c r="L506" s="777">
        <v>5</v>
      </c>
      <c r="M506" s="778"/>
      <c r="N506" s="976"/>
      <c r="O506" s="1020">
        <v>386</v>
      </c>
      <c r="P506" s="847" t="e">
        <f>VLOOKUP(N506,etat!$A$9:$N$1004,2,FALSE)</f>
        <v>#N/A</v>
      </c>
      <c r="Q506" s="797" t="e">
        <f>VLOOKUP(N506,etat!$A$9:$N$963,7,FALSE)</f>
        <v>#N/A</v>
      </c>
      <c r="R506" s="797" t="e">
        <f>VLOOKUP(N506,etat!$A$9:$N$1003,9,FALSE)</f>
        <v>#N/A</v>
      </c>
      <c r="S506" s="866" t="e">
        <f>VLOOKUP(N506,etat!$A$9:$P$905,16,FALSE)</f>
        <v>#N/A</v>
      </c>
      <c r="T506" s="755"/>
      <c r="U506" s="784"/>
      <c r="V506" s="784"/>
      <c r="W506" s="943"/>
      <c r="X506" s="944"/>
      <c r="Y506" s="975"/>
      <c r="Z506" s="1022"/>
      <c r="AA506" s="967"/>
    </row>
    <row r="507" spans="12:27" ht="17.25">
      <c r="L507" s="777">
        <v>5</v>
      </c>
      <c r="M507" s="778"/>
      <c r="N507" s="976"/>
      <c r="O507" s="1020">
        <v>387</v>
      </c>
      <c r="P507" s="847" t="e">
        <f>VLOOKUP(N507,etat!$A$9:$N$1004,2,FALSE)</f>
        <v>#N/A</v>
      </c>
      <c r="Q507" s="797" t="e">
        <f>VLOOKUP(N507,etat!$A$9:$N$963,7,FALSE)</f>
        <v>#N/A</v>
      </c>
      <c r="R507" s="797" t="e">
        <f>VLOOKUP(N507,etat!$A$9:$N$1003,9,FALSE)</f>
        <v>#N/A</v>
      </c>
      <c r="S507" s="866" t="e">
        <f>VLOOKUP(N507,etat!$A$9:$P$905,16,FALSE)</f>
        <v>#N/A</v>
      </c>
      <c r="T507" s="755"/>
      <c r="U507" s="784"/>
      <c r="V507" s="784"/>
      <c r="W507" s="943"/>
      <c r="X507" s="944"/>
      <c r="Y507" s="975"/>
      <c r="Z507" s="1022"/>
      <c r="AA507" s="967"/>
    </row>
    <row r="508" spans="12:27" ht="17.25">
      <c r="L508" s="777">
        <v>5</v>
      </c>
      <c r="M508" s="906"/>
      <c r="N508" s="976"/>
      <c r="O508" s="1020">
        <v>388</v>
      </c>
      <c r="P508" s="847" t="e">
        <f>VLOOKUP(N508,etat!$A$9:$N$1004,2,FALSE)</f>
        <v>#N/A</v>
      </c>
      <c r="Q508" s="797" t="e">
        <f>VLOOKUP(N508,etat!$A$9:$N$963,7,FALSE)</f>
        <v>#N/A</v>
      </c>
      <c r="R508" s="797" t="e">
        <f>VLOOKUP(N508,etat!$A$9:$N$1003,9,FALSE)</f>
        <v>#N/A</v>
      </c>
      <c r="S508" s="866" t="e">
        <f>VLOOKUP(N508,etat!$A$9:$P$905,16,FALSE)</f>
        <v>#N/A</v>
      </c>
      <c r="T508" s="755"/>
      <c r="U508" s="784"/>
      <c r="V508" s="784"/>
      <c r="W508" s="943"/>
      <c r="X508" s="944"/>
      <c r="Y508" s="975"/>
      <c r="Z508" s="1022"/>
      <c r="AA508" s="967"/>
    </row>
    <row r="509" spans="12:27" ht="17.25">
      <c r="L509" s="777">
        <v>5</v>
      </c>
      <c r="M509" s="906"/>
      <c r="N509" s="976"/>
      <c r="O509" s="1020">
        <v>389</v>
      </c>
      <c r="P509" s="847" t="e">
        <f>VLOOKUP(N509,etat!$A$9:$N$1004,2,FALSE)</f>
        <v>#N/A</v>
      </c>
      <c r="Q509" s="797" t="e">
        <f>VLOOKUP(N509,etat!$A$9:$N$963,7,FALSE)</f>
        <v>#N/A</v>
      </c>
      <c r="R509" s="797" t="e">
        <f>VLOOKUP(N509,etat!$A$9:$N$1003,9,FALSE)</f>
        <v>#N/A</v>
      </c>
      <c r="S509" s="866" t="e">
        <f>VLOOKUP(N509,etat!$A$9:$P$905,16,FALSE)</f>
        <v>#N/A</v>
      </c>
      <c r="T509" s="755"/>
      <c r="U509" s="784"/>
      <c r="V509" s="784"/>
      <c r="W509" s="943"/>
      <c r="X509" s="944"/>
      <c r="Y509" s="975"/>
      <c r="Z509" s="1022"/>
      <c r="AA509" s="967"/>
    </row>
    <row r="510" spans="12:27" ht="17.25">
      <c r="L510" s="777">
        <v>5</v>
      </c>
      <c r="M510" s="906"/>
      <c r="N510" s="976"/>
      <c r="O510" s="1020">
        <v>390</v>
      </c>
      <c r="P510" s="847" t="e">
        <f>VLOOKUP(N510,etat!$A$9:$N$1004,2,FALSE)</f>
        <v>#N/A</v>
      </c>
      <c r="Q510" s="797" t="e">
        <f>VLOOKUP(N510,etat!$A$9:$N$963,7,FALSE)</f>
        <v>#N/A</v>
      </c>
      <c r="R510" s="797" t="e">
        <f>VLOOKUP(N510,etat!$A$9:$N$1003,9,FALSE)</f>
        <v>#N/A</v>
      </c>
      <c r="S510" s="866" t="e">
        <f>VLOOKUP(N510,etat!$A$9:$P$905,16,FALSE)</f>
        <v>#N/A</v>
      </c>
      <c r="T510" s="755"/>
      <c r="U510" s="784"/>
      <c r="V510" s="784"/>
      <c r="W510" s="784"/>
      <c r="X510" s="784"/>
      <c r="Y510" s="975"/>
      <c r="Z510" s="1022"/>
      <c r="AA510" s="967"/>
    </row>
    <row r="511" spans="12:27" ht="17.25">
      <c r="L511" s="777">
        <v>5</v>
      </c>
      <c r="M511" s="906"/>
      <c r="N511" s="976"/>
      <c r="O511" s="1020">
        <v>391</v>
      </c>
      <c r="P511" s="847" t="e">
        <f>VLOOKUP(N511,etat!$A$9:$N$1004,2,FALSE)</f>
        <v>#N/A</v>
      </c>
      <c r="Q511" s="797" t="e">
        <f>VLOOKUP(N511,etat!$A$9:$N$963,7,FALSE)</f>
        <v>#N/A</v>
      </c>
      <c r="R511" s="797" t="e">
        <f>VLOOKUP(N511,etat!$A$9:$N$1003,9,FALSE)</f>
        <v>#N/A</v>
      </c>
      <c r="S511" s="866" t="e">
        <f>VLOOKUP(N511,etat!$A$9:$P$905,16,FALSE)</f>
        <v>#N/A</v>
      </c>
      <c r="T511" s="755"/>
      <c r="U511" s="784"/>
      <c r="V511" s="784"/>
      <c r="W511" s="784"/>
      <c r="X511" s="784"/>
      <c r="Y511" s="975"/>
      <c r="Z511" s="1022"/>
      <c r="AA511" s="967"/>
    </row>
    <row r="512" spans="12:27" ht="17.25">
      <c r="L512" s="777">
        <v>5</v>
      </c>
      <c r="M512" s="778"/>
      <c r="N512" s="976"/>
      <c r="O512" s="1020">
        <v>392</v>
      </c>
      <c r="P512" s="847" t="e">
        <f>VLOOKUP(N512,etat!$A$9:$N$1004,2,FALSE)</f>
        <v>#N/A</v>
      </c>
      <c r="Q512" s="797" t="e">
        <f>VLOOKUP(N512,etat!$A$9:$N$963,7,FALSE)</f>
        <v>#N/A</v>
      </c>
      <c r="R512" s="797" t="e">
        <f>VLOOKUP(N512,etat!$A$9:$N$1003,9,FALSE)</f>
        <v>#N/A</v>
      </c>
      <c r="S512" s="866" t="e">
        <f>VLOOKUP(N512,etat!$A$9:$P$905,16,FALSE)</f>
        <v>#N/A</v>
      </c>
      <c r="T512" s="755"/>
      <c r="U512" s="784"/>
      <c r="V512" s="784"/>
      <c r="W512" s="784"/>
      <c r="X512" s="784"/>
      <c r="Y512" s="975"/>
      <c r="Z512" s="1022"/>
      <c r="AA512" s="967"/>
    </row>
    <row r="513" spans="12:27" ht="17.25">
      <c r="L513" s="777">
        <v>5</v>
      </c>
      <c r="M513" s="778"/>
      <c r="N513" s="976"/>
      <c r="O513" s="1020">
        <v>393</v>
      </c>
      <c r="P513" s="847" t="e">
        <f>VLOOKUP(N513,etat!$A$9:$N$1004,2,FALSE)</f>
        <v>#N/A</v>
      </c>
      <c r="Q513" s="797" t="e">
        <f>VLOOKUP(N513,etat!$A$9:$N$963,7,FALSE)</f>
        <v>#N/A</v>
      </c>
      <c r="R513" s="797" t="e">
        <f>VLOOKUP(N513,etat!$A$9:$N$1003,9,FALSE)</f>
        <v>#N/A</v>
      </c>
      <c r="S513" s="866" t="e">
        <f>VLOOKUP(N513,etat!$A$9:$P$905,16,FALSE)</f>
        <v>#N/A</v>
      </c>
      <c r="T513" s="755"/>
      <c r="U513" s="784"/>
      <c r="V513" s="784"/>
      <c r="W513" s="784"/>
      <c r="X513" s="784"/>
      <c r="Y513" s="975"/>
      <c r="Z513" s="1022"/>
      <c r="AA513" s="967"/>
    </row>
    <row r="514" spans="12:27" ht="17.25">
      <c r="L514" s="777">
        <v>5</v>
      </c>
      <c r="M514" s="778"/>
      <c r="N514" s="976"/>
      <c r="O514" s="1020">
        <v>394</v>
      </c>
      <c r="P514" s="847" t="e">
        <f>VLOOKUP(N514,etat!$A$9:$N$1004,2,FALSE)</f>
        <v>#N/A</v>
      </c>
      <c r="Q514" s="797" t="e">
        <f>VLOOKUP(N514,etat!$A$9:$N$963,7,FALSE)</f>
        <v>#N/A</v>
      </c>
      <c r="R514" s="797" t="e">
        <f>VLOOKUP(N514,etat!$A$9:$N$1003,9,FALSE)</f>
        <v>#N/A</v>
      </c>
      <c r="S514" s="866" t="e">
        <f>VLOOKUP(N514,etat!$A$9:$P$905,16,FALSE)</f>
        <v>#N/A</v>
      </c>
      <c r="T514" s="755"/>
      <c r="U514" s="784"/>
      <c r="V514" s="784"/>
      <c r="W514" s="784"/>
      <c r="X514" s="784"/>
      <c r="Y514" s="975"/>
      <c r="Z514" s="1022"/>
      <c r="AA514" s="967"/>
    </row>
    <row r="515" spans="12:27" ht="17.25">
      <c r="L515" s="777">
        <v>5</v>
      </c>
      <c r="M515" s="778"/>
      <c r="N515" s="976"/>
      <c r="O515" s="1020">
        <v>395</v>
      </c>
      <c r="P515" s="847" t="e">
        <f>VLOOKUP(N515,etat!$A$9:$N$1004,2,FALSE)</f>
        <v>#N/A</v>
      </c>
      <c r="Q515" s="797" t="e">
        <f>VLOOKUP(N515,etat!$A$9:$N$963,7,FALSE)</f>
        <v>#N/A</v>
      </c>
      <c r="R515" s="797" t="e">
        <f>VLOOKUP(N515,etat!$A$9:$N$1003,9,FALSE)</f>
        <v>#N/A</v>
      </c>
      <c r="S515" s="866" t="e">
        <f>VLOOKUP(N515,etat!$A$9:$P$905,16,FALSE)</f>
        <v>#N/A</v>
      </c>
      <c r="T515" s="755"/>
      <c r="U515" s="791"/>
      <c r="V515" s="784"/>
      <c r="W515" s="784"/>
      <c r="X515" s="784"/>
      <c r="Y515" s="975"/>
      <c r="Z515" s="1022"/>
      <c r="AA515" s="967"/>
    </row>
    <row r="516" spans="12:27" ht="15.75">
      <c r="L516" s="777">
        <v>5</v>
      </c>
      <c r="M516" s="778"/>
      <c r="N516" s="976"/>
      <c r="O516" s="1020">
        <v>396</v>
      </c>
      <c r="P516" s="847" t="e">
        <f>VLOOKUP(N516,etat!$A$9:$N$1004,2,FALSE)</f>
        <v>#N/A</v>
      </c>
      <c r="Q516" s="797" t="e">
        <f>VLOOKUP(N516,etat!$A$9:$N$963,7,FALSE)</f>
        <v>#N/A</v>
      </c>
      <c r="R516" s="797" t="e">
        <f>VLOOKUP(N516,etat!$A$9:$N$1003,9,FALSE)</f>
        <v>#N/A</v>
      </c>
      <c r="S516" s="866" t="e">
        <f>VLOOKUP(N516,etat!$A$9:$P$905,16,FALSE)</f>
        <v>#N/A</v>
      </c>
      <c r="T516" s="755"/>
      <c r="U516" s="791"/>
      <c r="V516" s="784"/>
      <c r="W516" s="784"/>
      <c r="X516" s="784"/>
      <c r="Y516" s="784"/>
      <c r="Z516" s="784"/>
      <c r="AA516" s="967"/>
    </row>
    <row r="517" spans="12:27" ht="17.25">
      <c r="L517" s="777">
        <v>5</v>
      </c>
      <c r="M517" s="778"/>
      <c r="N517" s="976"/>
      <c r="O517" s="1020">
        <v>397</v>
      </c>
      <c r="P517" s="847" t="e">
        <f>VLOOKUP(N517,etat!$A$9:$N$1004,2,FALSE)</f>
        <v>#N/A</v>
      </c>
      <c r="Q517" s="797" t="e">
        <f>VLOOKUP(N517,etat!$A$9:$N$963,7,FALSE)</f>
        <v>#N/A</v>
      </c>
      <c r="R517" s="797" t="e">
        <f>VLOOKUP(N517,etat!$A$9:$N$1003,9,FALSE)</f>
        <v>#N/A</v>
      </c>
      <c r="S517" s="866" t="e">
        <f>VLOOKUP(N517,etat!$A$9:$P$905,16,FALSE)</f>
        <v>#N/A</v>
      </c>
      <c r="T517" s="755"/>
      <c r="U517" s="791"/>
      <c r="V517" s="784"/>
      <c r="W517" s="784"/>
      <c r="X517" s="784"/>
      <c r="Y517" s="975"/>
      <c r="Z517" s="1022"/>
      <c r="AA517" s="967"/>
    </row>
    <row r="518" spans="12:27" ht="17.25">
      <c r="L518" s="777">
        <v>5</v>
      </c>
      <c r="M518" s="778"/>
      <c r="N518" s="976"/>
      <c r="O518" s="1020">
        <v>398</v>
      </c>
      <c r="P518" s="847" t="e">
        <f>VLOOKUP(N518,etat!$A$9:$N$1004,2,FALSE)</f>
        <v>#N/A</v>
      </c>
      <c r="Q518" s="797" t="e">
        <f>VLOOKUP(N518,etat!$A$9:$N$963,7,FALSE)</f>
        <v>#N/A</v>
      </c>
      <c r="R518" s="797" t="e">
        <f>VLOOKUP(N518,etat!$A$9:$N$1003,9,FALSE)</f>
        <v>#N/A</v>
      </c>
      <c r="S518" s="866" t="e">
        <f>VLOOKUP(N518,etat!$A$9:$P$905,16,FALSE)</f>
        <v>#N/A</v>
      </c>
      <c r="T518" s="755"/>
      <c r="U518" s="791"/>
      <c r="V518" s="784"/>
      <c r="W518" s="784"/>
      <c r="X518" s="784"/>
      <c r="Y518" s="975"/>
      <c r="Z518" s="1022"/>
      <c r="AA518" s="967"/>
    </row>
    <row r="519" spans="12:27" ht="15.75">
      <c r="L519" s="777">
        <v>5</v>
      </c>
      <c r="M519" s="778"/>
      <c r="N519" s="976"/>
      <c r="O519" s="1020">
        <v>399</v>
      </c>
      <c r="P519" s="847" t="e">
        <f>VLOOKUP(N519,etat!$A$9:$N$1004,2,FALSE)</f>
        <v>#N/A</v>
      </c>
      <c r="Q519" s="797" t="e">
        <f>VLOOKUP(N519,etat!$A$9:$N$963,7,FALSE)</f>
        <v>#N/A</v>
      </c>
      <c r="R519" s="797" t="e">
        <f>VLOOKUP(N519,etat!$A$9:$N$1003,9,FALSE)</f>
        <v>#N/A</v>
      </c>
      <c r="S519" s="866" t="e">
        <f>VLOOKUP(N519,etat!$A$9:$P$905,16,FALSE)</f>
        <v>#N/A</v>
      </c>
      <c r="T519" s="755"/>
      <c r="U519" s="791"/>
      <c r="V519" s="784"/>
      <c r="W519" s="784"/>
      <c r="X519" s="784"/>
      <c r="Y519" s="784"/>
      <c r="Z519" s="784"/>
      <c r="AA519" s="967"/>
    </row>
    <row r="520" spans="12:27" ht="17.25">
      <c r="L520" s="777">
        <v>5</v>
      </c>
      <c r="M520" s="778"/>
      <c r="N520" s="976"/>
      <c r="O520" s="1020">
        <v>400</v>
      </c>
      <c r="P520" s="847" t="e">
        <f>VLOOKUP(N520,etat!$A$9:$N$1004,2,FALSE)</f>
        <v>#N/A</v>
      </c>
      <c r="Q520" s="797" t="e">
        <f>VLOOKUP(N520,etat!$A$9:$N$963,7,FALSE)</f>
        <v>#N/A</v>
      </c>
      <c r="R520" s="797" t="e">
        <f>VLOOKUP(N520,etat!$A$9:$N$1003,9,FALSE)</f>
        <v>#N/A</v>
      </c>
      <c r="S520" s="866" t="e">
        <f>VLOOKUP(N520,etat!$A$9:$P$905,16,FALSE)</f>
        <v>#N/A</v>
      </c>
      <c r="T520" s="755"/>
      <c r="U520" s="791"/>
      <c r="V520" s="784"/>
      <c r="W520" s="784"/>
      <c r="X520" s="784"/>
      <c r="Y520" s="975"/>
      <c r="Z520" s="1022"/>
      <c r="AA520" s="967"/>
    </row>
    <row r="521" spans="12:27" ht="15.75">
      <c r="L521" s="777">
        <v>5</v>
      </c>
      <c r="M521" s="778"/>
      <c r="N521" s="976"/>
      <c r="O521" s="1020">
        <v>401</v>
      </c>
      <c r="P521" s="847" t="e">
        <f>VLOOKUP(N521,etat!$A$9:$N$1004,2,FALSE)</f>
        <v>#N/A</v>
      </c>
      <c r="Q521" s="797" t="e">
        <f>VLOOKUP(N521,etat!$A$9:$N$963,7,FALSE)</f>
        <v>#N/A</v>
      </c>
      <c r="R521" s="797" t="e">
        <f>VLOOKUP(N521,etat!$A$9:$N$1003,9,FALSE)</f>
        <v>#N/A</v>
      </c>
      <c r="S521" s="866" t="e">
        <f>VLOOKUP(N521,etat!$A$9:$P$905,16,FALSE)</f>
        <v>#N/A</v>
      </c>
      <c r="T521" s="755"/>
      <c r="U521" s="791"/>
      <c r="V521" s="784"/>
      <c r="W521" s="784"/>
      <c r="X521" s="784"/>
      <c r="Y521" s="975"/>
      <c r="Z521" s="784"/>
      <c r="AA521" s="967"/>
    </row>
    <row r="522" spans="12:27" ht="15.75">
      <c r="L522" s="777">
        <v>5</v>
      </c>
      <c r="M522" s="778"/>
      <c r="N522" s="976"/>
      <c r="O522" s="1020">
        <v>402</v>
      </c>
      <c r="P522" s="847" t="e">
        <f>VLOOKUP(N522,etat!$A$9:$N$1004,2,FALSE)</f>
        <v>#N/A</v>
      </c>
      <c r="Q522" s="797" t="e">
        <f>VLOOKUP(N522,etat!$A$9:$N$963,7,FALSE)</f>
        <v>#N/A</v>
      </c>
      <c r="R522" s="797" t="e">
        <f>VLOOKUP(N522,etat!$A$9:$N$1003,9,FALSE)</f>
        <v>#N/A</v>
      </c>
      <c r="S522" s="866" t="e">
        <f>VLOOKUP(N522,etat!$A$9:$P$905,16,FALSE)</f>
        <v>#N/A</v>
      </c>
      <c r="T522" s="755"/>
      <c r="U522" s="791"/>
      <c r="V522" s="784"/>
      <c r="W522" s="784"/>
      <c r="X522" s="784"/>
      <c r="Y522" s="784"/>
      <c r="Z522" s="784"/>
      <c r="AA522" s="967"/>
    </row>
    <row r="523" spans="12:27" ht="17.25">
      <c r="L523" s="777">
        <v>5</v>
      </c>
      <c r="M523" s="778"/>
      <c r="N523" s="976"/>
      <c r="O523" s="1020">
        <v>403</v>
      </c>
      <c r="P523" s="847" t="e">
        <f>VLOOKUP(N523,etat!$A$9:$N$1004,2,FALSE)</f>
        <v>#N/A</v>
      </c>
      <c r="Q523" s="797" t="e">
        <f>VLOOKUP(N523,etat!$A$9:$N$963,7,FALSE)</f>
        <v>#N/A</v>
      </c>
      <c r="R523" s="797" t="e">
        <f>VLOOKUP(N523,etat!$A$9:$N$1003,9,FALSE)</f>
        <v>#N/A</v>
      </c>
      <c r="S523" s="866" t="e">
        <f>VLOOKUP(N523,etat!$A$9:$P$905,16,FALSE)</f>
        <v>#N/A</v>
      </c>
      <c r="T523" s="755"/>
      <c r="U523" s="791"/>
      <c r="V523" s="784"/>
      <c r="W523" s="784"/>
      <c r="X523" s="784"/>
      <c r="Y523" s="975"/>
      <c r="Z523" s="1022"/>
      <c r="AA523" s="967"/>
    </row>
    <row r="524" spans="12:27" ht="17.25">
      <c r="L524" s="777">
        <v>5</v>
      </c>
      <c r="M524" s="778"/>
      <c r="N524" s="976"/>
      <c r="O524" s="1020">
        <v>404</v>
      </c>
      <c r="P524" s="847" t="e">
        <f>VLOOKUP(N524,etat!$A$9:$N$1004,2,FALSE)</f>
        <v>#N/A</v>
      </c>
      <c r="Q524" s="797" t="e">
        <f>VLOOKUP(N524,etat!$A$9:$N$963,7,FALSE)</f>
        <v>#N/A</v>
      </c>
      <c r="R524" s="797" t="e">
        <f>VLOOKUP(N524,etat!$A$9:$N$1003,9,FALSE)</f>
        <v>#N/A</v>
      </c>
      <c r="S524" s="866" t="e">
        <f>VLOOKUP(N524,etat!$A$9:$P$905,16,FALSE)</f>
        <v>#N/A</v>
      </c>
      <c r="T524" s="755"/>
      <c r="U524" s="791"/>
      <c r="V524" s="784"/>
      <c r="W524" s="784"/>
      <c r="X524" s="784"/>
      <c r="Y524" s="975"/>
      <c r="Z524" s="1022"/>
      <c r="AA524" s="967"/>
    </row>
    <row r="525" spans="12:27" ht="15.75">
      <c r="L525" s="777">
        <v>5</v>
      </c>
      <c r="M525" s="778"/>
      <c r="N525" s="976"/>
      <c r="O525" s="1020">
        <v>405</v>
      </c>
      <c r="P525" s="847" t="e">
        <f>VLOOKUP(N525,etat!$A$9:$N$1004,2,FALSE)</f>
        <v>#N/A</v>
      </c>
      <c r="Q525" s="797" t="e">
        <f>VLOOKUP(N525,etat!$A$9:$N$963,7,FALSE)</f>
        <v>#N/A</v>
      </c>
      <c r="R525" s="797" t="e">
        <f>VLOOKUP(N525,etat!$A$9:$N$1003,9,FALSE)</f>
        <v>#N/A</v>
      </c>
      <c r="S525" s="866" t="e">
        <f>VLOOKUP(N525,etat!$A$9:$P$905,16,FALSE)</f>
        <v>#N/A</v>
      </c>
      <c r="T525" s="755"/>
      <c r="U525" s="791"/>
      <c r="V525" s="784"/>
      <c r="W525" s="784"/>
      <c r="X525" s="784"/>
      <c r="Y525" s="975"/>
      <c r="Z525" s="975"/>
      <c r="AA525" s="967"/>
    </row>
    <row r="526" spans="12:27" ht="18.75">
      <c r="L526" s="777">
        <v>5</v>
      </c>
      <c r="M526" s="778"/>
      <c r="N526" s="976"/>
      <c r="O526" s="1020">
        <v>406</v>
      </c>
      <c r="P526" s="847" t="e">
        <f>VLOOKUP(N526,etat!$A$9:$N$1004,2,FALSE)</f>
        <v>#N/A</v>
      </c>
      <c r="Q526" s="797" t="e">
        <f>VLOOKUP(N526,etat!$A$9:$N$963,7,FALSE)</f>
        <v>#N/A</v>
      </c>
      <c r="R526" s="797" t="e">
        <f>VLOOKUP(N526,etat!$A$9:$N$1003,9,FALSE)</f>
        <v>#N/A</v>
      </c>
      <c r="S526" s="866" t="e">
        <f>VLOOKUP(N526,etat!$A$9:$P$905,16,FALSE)</f>
        <v>#N/A</v>
      </c>
      <c r="T526" s="755"/>
      <c r="U526" s="791"/>
      <c r="V526" s="784"/>
      <c r="W526" s="955"/>
      <c r="X526" s="955"/>
      <c r="Y526" s="956"/>
      <c r="Z526" s="975"/>
      <c r="AA526" s="967"/>
    </row>
    <row r="527" spans="12:27" ht="15.75">
      <c r="L527" s="777">
        <v>5</v>
      </c>
      <c r="M527" s="778"/>
      <c r="N527" s="976"/>
      <c r="O527" s="1020">
        <v>407</v>
      </c>
      <c r="P527" s="847" t="e">
        <f>VLOOKUP(N527,etat!$A$9:$N$1004,2,FALSE)</f>
        <v>#N/A</v>
      </c>
      <c r="Q527" s="797" t="e">
        <f>VLOOKUP(N527,etat!$A$9:$N$963,7,FALSE)</f>
        <v>#N/A</v>
      </c>
      <c r="R527" s="797" t="e">
        <f>VLOOKUP(N527,etat!$A$9:$N$1003,9,FALSE)</f>
        <v>#N/A</v>
      </c>
      <c r="S527" s="866" t="e">
        <f>VLOOKUP(N527,etat!$A$9:$P$905,16,FALSE)</f>
        <v>#N/A</v>
      </c>
      <c r="T527" s="755"/>
      <c r="U527" s="791"/>
      <c r="V527" s="784"/>
      <c r="W527" s="784"/>
      <c r="X527" s="784"/>
      <c r="Y527" s="784"/>
      <c r="Z527" s="975"/>
      <c r="AA527" s="967"/>
    </row>
    <row r="528" spans="12:27" ht="15.75">
      <c r="L528" s="777">
        <v>5</v>
      </c>
      <c r="M528" s="778"/>
      <c r="N528" s="976"/>
      <c r="O528" s="1020">
        <v>408</v>
      </c>
      <c r="P528" s="847" t="e">
        <f>VLOOKUP(N528,etat!$A$9:$N$1004,2,FALSE)</f>
        <v>#N/A</v>
      </c>
      <c r="Q528" s="797" t="e">
        <f>VLOOKUP(N528,etat!$A$9:$N$963,7,FALSE)</f>
        <v>#N/A</v>
      </c>
      <c r="R528" s="797" t="e">
        <f>VLOOKUP(N528,etat!$A$9:$N$1003,9,FALSE)</f>
        <v>#N/A</v>
      </c>
      <c r="S528" s="866" t="e">
        <f>VLOOKUP(N528,etat!$A$9:$P$905,16,FALSE)</f>
        <v>#N/A</v>
      </c>
      <c r="T528" s="755"/>
      <c r="U528" s="791"/>
      <c r="V528" s="784"/>
      <c r="W528" s="784"/>
      <c r="X528" s="784"/>
      <c r="Y528" s="784"/>
      <c r="Z528" s="975"/>
      <c r="AA528" s="967"/>
    </row>
    <row r="529" spans="12:27" ht="15.75">
      <c r="L529" s="777">
        <v>5</v>
      </c>
      <c r="M529" s="778"/>
      <c r="N529" s="976"/>
      <c r="O529" s="1020">
        <v>409</v>
      </c>
      <c r="P529" s="847" t="e">
        <f>VLOOKUP(N529,etat!$A$9:$N$1004,2,FALSE)</f>
        <v>#N/A</v>
      </c>
      <c r="Q529" s="797" t="e">
        <f>VLOOKUP(N529,etat!$A$9:$N$963,7,FALSE)</f>
        <v>#N/A</v>
      </c>
      <c r="R529" s="797" t="e">
        <f>VLOOKUP(N529,etat!$A$9:$N$1003,9,FALSE)</f>
        <v>#N/A</v>
      </c>
      <c r="S529" s="866" t="e">
        <f>VLOOKUP(N529,etat!$A$9:$P$905,16,FALSE)</f>
        <v>#N/A</v>
      </c>
      <c r="T529" s="755"/>
      <c r="U529" s="791"/>
      <c r="V529" s="784"/>
      <c r="W529" s="784"/>
      <c r="X529" s="784"/>
      <c r="Y529" s="784"/>
      <c r="Z529" s="975"/>
      <c r="AA529" s="967"/>
    </row>
    <row r="530" spans="12:27" ht="15.75">
      <c r="L530" s="777">
        <v>5</v>
      </c>
      <c r="M530" s="778"/>
      <c r="N530" s="976"/>
      <c r="O530" s="1020">
        <v>410</v>
      </c>
      <c r="P530" s="847" t="e">
        <f>VLOOKUP(N530,etat!$A$9:$N$1004,2,FALSE)</f>
        <v>#N/A</v>
      </c>
      <c r="Q530" s="797" t="e">
        <f>VLOOKUP(N530,etat!$A$9:$N$963,7,FALSE)</f>
        <v>#N/A</v>
      </c>
      <c r="R530" s="797" t="e">
        <f>VLOOKUP(N530,etat!$A$9:$N$1003,9,FALSE)</f>
        <v>#N/A</v>
      </c>
      <c r="S530" s="866" t="e">
        <f>VLOOKUP(N530,etat!$A$9:$P$905,16,FALSE)</f>
        <v>#N/A</v>
      </c>
      <c r="T530" s="755"/>
      <c r="U530" s="791"/>
      <c r="V530" s="784"/>
      <c r="W530" s="784"/>
      <c r="X530" s="784"/>
      <c r="Y530" s="784"/>
      <c r="Z530" s="975"/>
      <c r="AA530" s="967"/>
    </row>
    <row r="531" spans="12:27" ht="15.75">
      <c r="L531" s="777">
        <v>5</v>
      </c>
      <c r="M531" s="778"/>
      <c r="N531" s="976"/>
      <c r="O531" s="1020">
        <v>411</v>
      </c>
      <c r="P531" s="847" t="e">
        <f>VLOOKUP(N531,etat!$A$9:$N$1004,2,FALSE)</f>
        <v>#N/A</v>
      </c>
      <c r="Q531" s="797" t="e">
        <f>VLOOKUP(N531,etat!$A$9:$N$963,7,FALSE)</f>
        <v>#N/A</v>
      </c>
      <c r="R531" s="797" t="e">
        <f>VLOOKUP(N531,etat!$A$9:$N$1003,9,FALSE)</f>
        <v>#N/A</v>
      </c>
      <c r="S531" s="866" t="e">
        <f>VLOOKUP(N531,etat!$A$9:$P$905,16,FALSE)</f>
        <v>#N/A</v>
      </c>
      <c r="T531" s="755"/>
      <c r="U531" s="791"/>
      <c r="V531" s="784"/>
      <c r="W531" s="784"/>
      <c r="X531" s="784"/>
      <c r="Y531" s="784"/>
      <c r="Z531" s="975"/>
      <c r="AA531" s="967"/>
    </row>
    <row r="532" spans="12:27" ht="15.75">
      <c r="L532" s="777">
        <v>5</v>
      </c>
      <c r="M532" s="778"/>
      <c r="N532" s="976"/>
      <c r="O532" s="1020">
        <v>412</v>
      </c>
      <c r="P532" s="847" t="e">
        <f>VLOOKUP(N532,etat!$A$9:$N$1004,2,FALSE)</f>
        <v>#N/A</v>
      </c>
      <c r="Q532" s="797" t="e">
        <f>VLOOKUP(N532,etat!$A$9:$N$963,7,FALSE)</f>
        <v>#N/A</v>
      </c>
      <c r="R532" s="797" t="e">
        <f>VLOOKUP(N532,etat!$A$9:$N$1003,9,FALSE)</f>
        <v>#N/A</v>
      </c>
      <c r="S532" s="866" t="e">
        <f>VLOOKUP(N532,etat!$A$9:$P$905,16,FALSE)</f>
        <v>#N/A</v>
      </c>
      <c r="T532" s="755"/>
      <c r="U532" s="791"/>
      <c r="V532" s="784"/>
      <c r="W532" s="784"/>
      <c r="X532" s="784"/>
      <c r="Y532" s="784"/>
      <c r="Z532" s="975"/>
      <c r="AA532" s="967"/>
    </row>
    <row r="533" spans="12:27" ht="15.75">
      <c r="L533" s="777">
        <v>5</v>
      </c>
      <c r="M533" s="778"/>
      <c r="N533" s="976"/>
      <c r="O533" s="1020">
        <v>413</v>
      </c>
      <c r="P533" s="847" t="e">
        <f>VLOOKUP(N533,etat!$A$9:$N$1004,2,FALSE)</f>
        <v>#N/A</v>
      </c>
      <c r="Q533" s="797" t="e">
        <f>VLOOKUP(N533,etat!$A$9:$N$963,7,FALSE)</f>
        <v>#N/A</v>
      </c>
      <c r="R533" s="797" t="e">
        <f>VLOOKUP(N533,etat!$A$9:$N$1003,9,FALSE)</f>
        <v>#N/A</v>
      </c>
      <c r="S533" s="866" t="e">
        <f>VLOOKUP(N533,etat!$A$9:$P$905,16,FALSE)</f>
        <v>#N/A</v>
      </c>
      <c r="T533" s="755"/>
      <c r="U533" s="791"/>
      <c r="V533" s="784"/>
      <c r="W533" s="784"/>
      <c r="X533" s="784"/>
      <c r="Y533" s="784"/>
      <c r="Z533" s="975"/>
      <c r="AA533" s="967"/>
    </row>
    <row r="534" spans="12:27" ht="15.75">
      <c r="L534" s="777">
        <v>5</v>
      </c>
      <c r="M534" s="778"/>
      <c r="N534" s="976">
        <v>0</v>
      </c>
      <c r="O534" s="1020">
        <v>414</v>
      </c>
      <c r="P534" s="865" t="e">
        <f>VLOOKUP(N534,etat!$A$9:$N$1004,2,FALSE)</f>
        <v>#N/A</v>
      </c>
      <c r="Q534" s="866" t="e">
        <f>VLOOKUP(N534,etat!$A$9:$N$963,7,FALSE)</f>
        <v>#N/A</v>
      </c>
      <c r="R534" s="866" t="e">
        <f>VLOOKUP(N534,etat!$A$9:$N$1003,9,FALSE)</f>
        <v>#N/A</v>
      </c>
      <c r="S534" s="797" t="e">
        <f>VLOOKUP(N534,etat!$A$9:$P$905,16,FALSE)</f>
        <v>#N/A</v>
      </c>
      <c r="T534" s="867"/>
      <c r="U534" s="868"/>
      <c r="V534" s="869"/>
      <c r="W534" s="869"/>
      <c r="X534" s="869"/>
      <c r="Y534" s="904"/>
      <c r="Z534" s="967"/>
      <c r="AA534" s="967"/>
    </row>
    <row r="535" spans="12:27" ht="15.75">
      <c r="L535" s="777">
        <v>5</v>
      </c>
      <c r="M535" s="778"/>
      <c r="N535" s="976">
        <v>0</v>
      </c>
      <c r="O535" s="1020">
        <v>415</v>
      </c>
      <c r="P535" s="865" t="e">
        <f>VLOOKUP(N535,etat!$A$9:$N$1004,2,FALSE)</f>
        <v>#N/A</v>
      </c>
      <c r="Q535" s="866" t="e">
        <f>VLOOKUP(N535,etat!$A$9:$N$963,7,FALSE)</f>
        <v>#N/A</v>
      </c>
      <c r="R535" s="866" t="e">
        <f>VLOOKUP(N535,etat!$A$9:$N$1003,9,FALSE)</f>
        <v>#N/A</v>
      </c>
      <c r="S535" s="797" t="e">
        <f>VLOOKUP(N535,etat!$A$9:$P$905,16,FALSE)</f>
        <v>#N/A</v>
      </c>
      <c r="T535" s="867"/>
      <c r="U535" s="868"/>
      <c r="V535" s="869"/>
      <c r="W535" s="869"/>
      <c r="X535" s="869"/>
      <c r="Y535" s="904"/>
      <c r="Z535" s="967"/>
      <c r="AA535" s="967"/>
    </row>
    <row r="536" spans="12:27" ht="15.75">
      <c r="L536" s="777">
        <v>5</v>
      </c>
      <c r="M536" s="778"/>
      <c r="N536" s="976">
        <v>0</v>
      </c>
      <c r="O536" s="1020">
        <v>416</v>
      </c>
      <c r="P536" s="865" t="e">
        <f>VLOOKUP(N536,etat!$A$9:$N$1004,2,FALSE)</f>
        <v>#N/A</v>
      </c>
      <c r="Q536" s="866" t="e">
        <f>VLOOKUP(N536,etat!$A$9:$N$963,7,FALSE)</f>
        <v>#N/A</v>
      </c>
      <c r="R536" s="866" t="e">
        <f>VLOOKUP(N536,etat!$A$9:$N$1003,9,FALSE)</f>
        <v>#N/A</v>
      </c>
      <c r="S536" s="797" t="e">
        <f>VLOOKUP(N536,etat!$A$9:$P$905,16,FALSE)</f>
        <v>#N/A</v>
      </c>
      <c r="T536" s="867"/>
      <c r="U536" s="868"/>
      <c r="V536" s="869"/>
      <c r="W536" s="869"/>
      <c r="X536" s="869"/>
      <c r="Y536" s="904"/>
      <c r="Z536" s="967"/>
      <c r="AA536" s="967"/>
    </row>
    <row r="537" spans="12:27" ht="15.75">
      <c r="L537" s="777">
        <v>5</v>
      </c>
      <c r="M537" s="778"/>
      <c r="N537" s="976">
        <v>0</v>
      </c>
      <c r="O537" s="1020">
        <v>417</v>
      </c>
      <c r="P537" s="865" t="e">
        <f>VLOOKUP(N537,etat!$A$9:$N$1004,2,FALSE)</f>
        <v>#N/A</v>
      </c>
      <c r="Q537" s="866" t="e">
        <f>VLOOKUP(N537,etat!$A$9:$N$963,7,FALSE)</f>
        <v>#N/A</v>
      </c>
      <c r="R537" s="866" t="e">
        <f>VLOOKUP(N537,etat!$A$9:$N$1003,9,FALSE)</f>
        <v>#N/A</v>
      </c>
      <c r="S537" s="797" t="e">
        <f>VLOOKUP(N537,etat!$A$9:$P$905,16,FALSE)</f>
        <v>#N/A</v>
      </c>
      <c r="T537" s="867"/>
      <c r="U537" s="868"/>
      <c r="V537" s="869"/>
      <c r="W537" s="869"/>
      <c r="X537" s="869"/>
      <c r="Y537" s="904"/>
      <c r="Z537" s="967"/>
      <c r="AA537" s="967"/>
    </row>
    <row r="538" spans="12:27" ht="15.75">
      <c r="L538" s="777">
        <v>5</v>
      </c>
      <c r="M538" s="778"/>
      <c r="N538" s="976">
        <v>0</v>
      </c>
      <c r="O538" s="1020">
        <v>418</v>
      </c>
      <c r="P538" s="865" t="e">
        <f>VLOOKUP(N538,etat!$A$9:$N$1004,2,FALSE)</f>
        <v>#N/A</v>
      </c>
      <c r="Q538" s="866" t="e">
        <f>VLOOKUP(N538,etat!$A$9:$N$963,7,FALSE)</f>
        <v>#N/A</v>
      </c>
      <c r="R538" s="866" t="e">
        <f>VLOOKUP(N538,etat!$A$9:$N$1003,9,FALSE)</f>
        <v>#N/A</v>
      </c>
      <c r="S538" s="797" t="e">
        <f>VLOOKUP(N538,etat!$A$9:$P$905,16,FALSE)</f>
        <v>#N/A</v>
      </c>
      <c r="T538" s="867"/>
      <c r="U538" s="868"/>
      <c r="V538" s="869"/>
      <c r="W538" s="869"/>
      <c r="X538" s="869"/>
      <c r="Y538" s="904"/>
      <c r="Z538" s="967"/>
      <c r="AA538" s="967"/>
    </row>
    <row r="539" spans="12:27" ht="15.75">
      <c r="L539" s="777">
        <v>5</v>
      </c>
      <c r="M539" s="778"/>
      <c r="N539" s="976">
        <v>0</v>
      </c>
      <c r="O539" s="1020">
        <v>419</v>
      </c>
      <c r="P539" s="865" t="e">
        <f>VLOOKUP(N539,etat!$A$9:$N$1004,2,FALSE)</f>
        <v>#N/A</v>
      </c>
      <c r="Q539" s="866" t="e">
        <f>VLOOKUP(N539,etat!$A$9:$N$963,7,FALSE)</f>
        <v>#N/A</v>
      </c>
      <c r="R539" s="866" t="e">
        <f>VLOOKUP(N539,etat!$A$9:$N$1003,9,FALSE)</f>
        <v>#N/A</v>
      </c>
      <c r="S539" s="797" t="e">
        <f>VLOOKUP(N539,etat!$A$9:$P$905,16,FALSE)</f>
        <v>#N/A</v>
      </c>
      <c r="T539" s="867"/>
      <c r="U539" s="868"/>
      <c r="V539" s="869"/>
      <c r="W539" s="869"/>
      <c r="X539" s="869"/>
      <c r="Y539" s="904"/>
      <c r="Z539" s="967"/>
      <c r="AA539" s="967"/>
    </row>
    <row r="540" spans="12:27" ht="15.75">
      <c r="L540" s="777">
        <v>5</v>
      </c>
      <c r="M540" s="778"/>
      <c r="N540" s="976">
        <v>0</v>
      </c>
      <c r="O540" s="1020">
        <v>420</v>
      </c>
      <c r="P540" s="865" t="e">
        <f>VLOOKUP(N540,etat!$A$9:$N$1004,2,FALSE)</f>
        <v>#N/A</v>
      </c>
      <c r="Q540" s="866" t="e">
        <f>VLOOKUP(N540,etat!$A$9:$N$963,7,FALSE)</f>
        <v>#N/A</v>
      </c>
      <c r="R540" s="866" t="e">
        <f>VLOOKUP(N540,etat!$A$9:$N$1003,9,FALSE)</f>
        <v>#N/A</v>
      </c>
      <c r="S540" s="797" t="e">
        <f>VLOOKUP(N540,etat!$A$9:$P$905,16,FALSE)</f>
        <v>#N/A</v>
      </c>
      <c r="T540" s="867"/>
      <c r="U540" s="868"/>
      <c r="V540" s="869"/>
      <c r="W540" s="869"/>
      <c r="X540" s="869"/>
      <c r="Y540" s="904"/>
      <c r="Z540" s="967"/>
      <c r="AA540" s="967"/>
    </row>
    <row r="541" spans="12:27" ht="15.75">
      <c r="L541" s="777">
        <v>5</v>
      </c>
      <c r="M541" s="778"/>
      <c r="N541" s="976">
        <v>0</v>
      </c>
      <c r="O541" s="1020">
        <v>421</v>
      </c>
      <c r="P541" s="865" t="e">
        <f>VLOOKUP(N541,etat!$A$9:$N$1004,2,FALSE)</f>
        <v>#N/A</v>
      </c>
      <c r="Q541" s="866" t="e">
        <f>VLOOKUP(N541,etat!$A$9:$N$963,7,FALSE)</f>
        <v>#N/A</v>
      </c>
      <c r="R541" s="866" t="e">
        <f>VLOOKUP(N541,etat!$A$9:$N$1003,9,FALSE)</f>
        <v>#N/A</v>
      </c>
      <c r="S541" s="797" t="e">
        <f>VLOOKUP(N541,etat!$A$9:$P$905,16,FALSE)</f>
        <v>#N/A</v>
      </c>
      <c r="T541" s="867"/>
      <c r="U541" s="868"/>
      <c r="V541" s="869"/>
      <c r="W541" s="869"/>
      <c r="X541" s="869"/>
      <c r="Y541" s="904"/>
      <c r="Z541" s="967"/>
      <c r="AA541" s="967"/>
    </row>
    <row r="542" spans="12:27" ht="15.75">
      <c r="L542" s="777">
        <v>5</v>
      </c>
      <c r="M542" s="778"/>
      <c r="N542" s="976">
        <v>0</v>
      </c>
      <c r="O542" s="1020">
        <v>422</v>
      </c>
      <c r="P542" s="865" t="e">
        <f>VLOOKUP(N542,etat!$A$9:$N$1004,2,FALSE)</f>
        <v>#N/A</v>
      </c>
      <c r="Q542" s="866" t="e">
        <f>VLOOKUP(N542,etat!$A$9:$N$963,7,FALSE)</f>
        <v>#N/A</v>
      </c>
      <c r="R542" s="866" t="e">
        <f>VLOOKUP(N542,etat!$A$9:$N$1003,9,FALSE)</f>
        <v>#N/A</v>
      </c>
      <c r="S542" s="797" t="e">
        <f>VLOOKUP(N542,etat!$A$9:$P$905,16,FALSE)</f>
        <v>#N/A</v>
      </c>
      <c r="T542" s="867"/>
      <c r="U542" s="868"/>
      <c r="V542" s="869"/>
      <c r="W542" s="869"/>
      <c r="X542" s="869"/>
      <c r="Y542" s="904"/>
      <c r="Z542" s="967"/>
      <c r="AA542" s="967"/>
    </row>
    <row r="543" spans="12:27" ht="15.75">
      <c r="L543" s="777">
        <v>5</v>
      </c>
      <c r="M543" s="778"/>
      <c r="N543" s="976">
        <v>0</v>
      </c>
      <c r="O543" s="1020">
        <v>423</v>
      </c>
      <c r="P543" s="865" t="e">
        <f>VLOOKUP(N543,etat!$A$9:$N$1004,2,FALSE)</f>
        <v>#N/A</v>
      </c>
      <c r="Q543" s="866" t="e">
        <f>VLOOKUP(N543,etat!$A$9:$N$963,7,FALSE)</f>
        <v>#N/A</v>
      </c>
      <c r="R543" s="866" t="e">
        <f>VLOOKUP(N543,etat!$A$9:$N$1003,9,FALSE)</f>
        <v>#N/A</v>
      </c>
      <c r="S543" s="797" t="e">
        <f>VLOOKUP(N543,etat!$A$9:$P$905,16,FALSE)</f>
        <v>#N/A</v>
      </c>
      <c r="T543" s="867"/>
      <c r="U543" s="868"/>
      <c r="V543" s="869"/>
      <c r="W543" s="869"/>
      <c r="X543" s="869"/>
      <c r="Y543" s="904"/>
      <c r="Z543" s="967"/>
      <c r="AA543" s="967"/>
    </row>
    <row r="544" spans="12:27" ht="15.75">
      <c r="L544" s="777">
        <v>5</v>
      </c>
      <c r="M544" s="778"/>
      <c r="N544" s="976">
        <v>0</v>
      </c>
      <c r="O544" s="1020">
        <v>424</v>
      </c>
      <c r="P544" s="865" t="e">
        <f>VLOOKUP(N544,etat!$A$9:$N$1004,2,FALSE)</f>
        <v>#N/A</v>
      </c>
      <c r="Q544" s="866" t="e">
        <f>VLOOKUP(N544,etat!$A$9:$N$963,7,FALSE)</f>
        <v>#N/A</v>
      </c>
      <c r="R544" s="866" t="e">
        <f>VLOOKUP(N544,etat!$A$9:$N$1003,9,FALSE)</f>
        <v>#N/A</v>
      </c>
      <c r="S544" s="797" t="e">
        <f>VLOOKUP(N544,etat!$A$9:$P$905,16,FALSE)</f>
        <v>#N/A</v>
      </c>
      <c r="T544" s="867"/>
      <c r="U544" s="868"/>
      <c r="V544" s="869"/>
      <c r="W544" s="869"/>
      <c r="X544" s="869"/>
      <c r="Y544" s="904"/>
      <c r="Z544" s="967"/>
      <c r="AA544" s="967"/>
    </row>
    <row r="545" spans="12:27" ht="15.75">
      <c r="L545" s="777">
        <v>5</v>
      </c>
      <c r="M545" s="778"/>
      <c r="N545" s="976">
        <v>0</v>
      </c>
      <c r="O545" s="1020">
        <v>425</v>
      </c>
      <c r="P545" s="865" t="e">
        <f>VLOOKUP(N545,etat!$A$9:$N$1004,2,FALSE)</f>
        <v>#N/A</v>
      </c>
      <c r="Q545" s="866" t="e">
        <f>VLOOKUP(N545,etat!$A$9:$N$963,7,FALSE)</f>
        <v>#N/A</v>
      </c>
      <c r="R545" s="866" t="e">
        <f>VLOOKUP(N545,etat!$A$9:$N$1003,9,FALSE)</f>
        <v>#N/A</v>
      </c>
      <c r="S545" s="797" t="e">
        <f>VLOOKUP(N545,etat!$A$9:$P$905,16,FALSE)</f>
        <v>#N/A</v>
      </c>
      <c r="T545" s="867"/>
      <c r="U545" s="868"/>
      <c r="V545" s="869"/>
      <c r="W545" s="869"/>
      <c r="X545" s="869"/>
      <c r="Y545" s="904"/>
      <c r="Z545" s="967"/>
      <c r="AA545" s="967"/>
    </row>
    <row r="546" spans="12:27" ht="15.75">
      <c r="L546" s="777">
        <v>5</v>
      </c>
      <c r="M546" s="778"/>
      <c r="N546" s="976">
        <v>0</v>
      </c>
      <c r="O546" s="1020">
        <v>426</v>
      </c>
      <c r="P546" s="865" t="e">
        <f>VLOOKUP(N546,etat!$A$9:$N$1004,2,FALSE)</f>
        <v>#N/A</v>
      </c>
      <c r="Q546" s="866" t="e">
        <f>VLOOKUP(N546,etat!$A$9:$N$963,7,FALSE)</f>
        <v>#N/A</v>
      </c>
      <c r="R546" s="866" t="e">
        <f>VLOOKUP(N546,etat!$A$9:$N$1003,9,FALSE)</f>
        <v>#N/A</v>
      </c>
      <c r="S546" s="797" t="e">
        <f>VLOOKUP(N546,etat!$A$9:$P$905,16,FALSE)</f>
        <v>#N/A</v>
      </c>
      <c r="T546" s="867"/>
      <c r="U546" s="868"/>
      <c r="V546" s="869"/>
      <c r="W546" s="869"/>
      <c r="X546" s="869"/>
      <c r="Y546" s="904"/>
      <c r="Z546" s="967"/>
      <c r="AA546" s="967"/>
    </row>
    <row r="547" spans="12:27" ht="15.75">
      <c r="L547" s="777">
        <v>5</v>
      </c>
      <c r="M547" s="778"/>
      <c r="N547" s="976">
        <v>0</v>
      </c>
      <c r="O547" s="1020">
        <v>427</v>
      </c>
      <c r="P547" s="865" t="e">
        <f>VLOOKUP(N547,etat!$A$9:$N$1004,2,FALSE)</f>
        <v>#N/A</v>
      </c>
      <c r="Q547" s="866" t="e">
        <f>VLOOKUP(N547,etat!$A$9:$N$963,7,FALSE)</f>
        <v>#N/A</v>
      </c>
      <c r="R547" s="866" t="e">
        <f>VLOOKUP(N547,etat!$A$9:$N$1003,9,FALSE)</f>
        <v>#N/A</v>
      </c>
      <c r="S547" s="797" t="e">
        <f>VLOOKUP(N547,etat!$A$9:$P$905,16,FALSE)</f>
        <v>#N/A</v>
      </c>
      <c r="T547" s="867"/>
      <c r="U547" s="868"/>
      <c r="V547" s="869"/>
      <c r="W547" s="869"/>
      <c r="X547" s="869"/>
      <c r="Y547" s="904"/>
      <c r="Z547" s="967"/>
      <c r="AA547" s="967"/>
    </row>
    <row r="548" spans="12:27" ht="15.75">
      <c r="L548" s="777">
        <v>5</v>
      </c>
      <c r="M548" s="778"/>
      <c r="N548" s="976">
        <v>0</v>
      </c>
      <c r="O548" s="1020">
        <v>428</v>
      </c>
      <c r="P548" s="865" t="e">
        <f>VLOOKUP(N548,etat!$A$9:$N$1004,2,FALSE)</f>
        <v>#N/A</v>
      </c>
      <c r="Q548" s="866" t="e">
        <f>VLOOKUP(N548,etat!$A$9:$N$963,7,FALSE)</f>
        <v>#N/A</v>
      </c>
      <c r="R548" s="866" t="e">
        <f>VLOOKUP(N548,etat!$A$9:$N$1003,9,FALSE)</f>
        <v>#N/A</v>
      </c>
      <c r="S548" s="797" t="e">
        <f>VLOOKUP(N548,etat!$A$9:$P$905,16,FALSE)</f>
        <v>#N/A</v>
      </c>
      <c r="T548" s="867"/>
      <c r="U548" s="868"/>
      <c r="V548" s="869"/>
      <c r="W548" s="869"/>
      <c r="X548" s="869"/>
      <c r="Y548" s="904"/>
      <c r="Z548" s="967"/>
      <c r="AA548" s="967"/>
    </row>
    <row r="549" spans="12:27" ht="15.75">
      <c r="L549" s="777">
        <v>5</v>
      </c>
      <c r="M549" s="778"/>
      <c r="N549" s="976">
        <v>0</v>
      </c>
      <c r="O549" s="1020">
        <v>429</v>
      </c>
      <c r="P549" s="865" t="e">
        <f>VLOOKUP(N549,etat!$A$9:$N$1004,2,FALSE)</f>
        <v>#N/A</v>
      </c>
      <c r="Q549" s="866" t="e">
        <f>VLOOKUP(N549,etat!$A$9:$N$963,7,FALSE)</f>
        <v>#N/A</v>
      </c>
      <c r="R549" s="866" t="e">
        <f>VLOOKUP(N549,etat!$A$9:$N$1003,9,FALSE)</f>
        <v>#N/A</v>
      </c>
      <c r="S549" s="797" t="e">
        <f>VLOOKUP(N549,etat!$A$9:$P$905,16,FALSE)</f>
        <v>#N/A</v>
      </c>
      <c r="T549" s="867"/>
      <c r="U549" s="868"/>
      <c r="V549" s="869"/>
      <c r="W549" s="869"/>
      <c r="X549" s="869"/>
      <c r="Y549" s="904"/>
      <c r="Z549" s="967"/>
      <c r="AA549" s="967"/>
    </row>
    <row r="550" spans="12:27" ht="15.75">
      <c r="L550" s="777">
        <v>5</v>
      </c>
      <c r="M550" s="778"/>
      <c r="N550" s="976">
        <v>0</v>
      </c>
      <c r="O550" s="1020">
        <v>430</v>
      </c>
      <c r="P550" s="865" t="e">
        <f>VLOOKUP(N550,etat!$A$9:$N$1004,2,FALSE)</f>
        <v>#N/A</v>
      </c>
      <c r="Q550" s="866" t="e">
        <f>VLOOKUP(N550,etat!$A$9:$N$963,7,FALSE)</f>
        <v>#N/A</v>
      </c>
      <c r="R550" s="866" t="e">
        <f>VLOOKUP(N550,etat!$A$9:$N$1003,9,FALSE)</f>
        <v>#N/A</v>
      </c>
      <c r="S550" s="797" t="e">
        <f>VLOOKUP(N550,etat!$A$9:$P$905,16,FALSE)</f>
        <v>#N/A</v>
      </c>
      <c r="T550" s="867"/>
      <c r="U550" s="868"/>
      <c r="V550" s="869"/>
      <c r="W550" s="869"/>
      <c r="X550" s="869"/>
      <c r="Y550" s="904"/>
      <c r="Z550" s="967"/>
      <c r="AA550" s="967"/>
    </row>
    <row r="551" spans="12:27" ht="15.75">
      <c r="L551" s="777">
        <v>5</v>
      </c>
      <c r="M551" s="778"/>
      <c r="N551" s="976">
        <v>0</v>
      </c>
      <c r="O551" s="1020">
        <v>431</v>
      </c>
      <c r="P551" s="865" t="e">
        <f>VLOOKUP(N551,etat!$A$9:$N$1004,2,FALSE)</f>
        <v>#N/A</v>
      </c>
      <c r="Q551" s="866" t="e">
        <f>VLOOKUP(N551,etat!$A$9:$N$963,7,FALSE)</f>
        <v>#N/A</v>
      </c>
      <c r="R551" s="866" t="e">
        <f>VLOOKUP(N551,etat!$A$9:$N$1003,9,FALSE)</f>
        <v>#N/A</v>
      </c>
      <c r="S551" s="797" t="e">
        <f>VLOOKUP(N551,etat!$A$9:$P$905,16,FALSE)</f>
        <v>#N/A</v>
      </c>
      <c r="T551" s="867"/>
      <c r="U551" s="868"/>
      <c r="V551" s="869"/>
      <c r="W551" s="869"/>
      <c r="X551" s="869"/>
      <c r="Y551" s="904"/>
      <c r="Z551" s="967"/>
      <c r="AA551" s="967"/>
    </row>
    <row r="552" spans="12:27" ht="15.75">
      <c r="L552" s="777">
        <v>5</v>
      </c>
      <c r="M552" s="778"/>
      <c r="N552" s="976">
        <v>0</v>
      </c>
      <c r="O552" s="1020">
        <v>432</v>
      </c>
      <c r="P552" s="865" t="e">
        <f>VLOOKUP(N552,etat!$A$9:$N$1004,2,FALSE)</f>
        <v>#N/A</v>
      </c>
      <c r="Q552" s="866" t="e">
        <f>VLOOKUP(N552,etat!$A$9:$N$963,7,FALSE)</f>
        <v>#N/A</v>
      </c>
      <c r="R552" s="866" t="e">
        <f>VLOOKUP(N552,etat!$A$9:$N$1003,9,FALSE)</f>
        <v>#N/A</v>
      </c>
      <c r="S552" s="797" t="e">
        <f>VLOOKUP(N552,etat!$A$9:$P$905,16,FALSE)</f>
        <v>#N/A</v>
      </c>
      <c r="T552" s="867"/>
      <c r="U552" s="868"/>
      <c r="V552" s="869"/>
      <c r="W552" s="869"/>
      <c r="X552" s="869"/>
      <c r="Y552" s="904"/>
      <c r="Z552" s="967"/>
      <c r="AA552" s="967"/>
    </row>
    <row r="553" spans="12:27" ht="15.75">
      <c r="L553" s="777">
        <v>5</v>
      </c>
      <c r="M553" s="778"/>
      <c r="N553" s="976">
        <v>0</v>
      </c>
      <c r="O553" s="1020">
        <v>433</v>
      </c>
      <c r="P553" s="865" t="e">
        <f>VLOOKUP(N553,etat!$A$9:$N$1004,2,FALSE)</f>
        <v>#N/A</v>
      </c>
      <c r="Q553" s="866" t="e">
        <f>VLOOKUP(N553,etat!$A$9:$N$963,7,FALSE)</f>
        <v>#N/A</v>
      </c>
      <c r="R553" s="866" t="e">
        <f>VLOOKUP(N553,etat!$A$9:$N$1003,9,FALSE)</f>
        <v>#N/A</v>
      </c>
      <c r="S553" s="797" t="e">
        <f>VLOOKUP(N553,etat!$A$9:$P$905,16,FALSE)</f>
        <v>#N/A</v>
      </c>
      <c r="T553" s="867"/>
      <c r="U553" s="868"/>
      <c r="V553" s="869"/>
      <c r="W553" s="869"/>
      <c r="X553" s="869"/>
      <c r="Y553" s="904"/>
      <c r="Z553" s="967"/>
      <c r="AA553" s="967"/>
    </row>
    <row r="554" spans="12:27" ht="15.75">
      <c r="L554" s="777">
        <v>5</v>
      </c>
      <c r="M554" s="778"/>
      <c r="N554" s="976">
        <v>0</v>
      </c>
      <c r="O554" s="1020">
        <v>434</v>
      </c>
      <c r="P554" s="865" t="e">
        <f>VLOOKUP(N554,etat!$A$9:$N$1004,2,FALSE)</f>
        <v>#N/A</v>
      </c>
      <c r="Q554" s="866" t="e">
        <f>VLOOKUP(N554,etat!$A$9:$N$963,7,FALSE)</f>
        <v>#N/A</v>
      </c>
      <c r="R554" s="866" t="e">
        <f>VLOOKUP(N554,etat!$A$9:$N$1003,9,FALSE)</f>
        <v>#N/A</v>
      </c>
      <c r="S554" s="797" t="e">
        <f>VLOOKUP(N554,etat!$A$9:$P$905,16,FALSE)</f>
        <v>#N/A</v>
      </c>
      <c r="T554" s="867"/>
      <c r="U554" s="868"/>
      <c r="V554" s="869"/>
      <c r="W554" s="869"/>
      <c r="X554" s="869"/>
      <c r="Y554" s="904"/>
      <c r="Z554" s="967"/>
      <c r="AA554" s="967"/>
    </row>
    <row r="555" spans="12:27" ht="15.75">
      <c r="L555" s="777">
        <v>5</v>
      </c>
      <c r="M555" s="778"/>
      <c r="N555" s="976">
        <v>0</v>
      </c>
      <c r="O555" s="1020">
        <v>435</v>
      </c>
      <c r="P555" s="865" t="e">
        <f>VLOOKUP(N555,etat!$A$9:$N$1004,2,FALSE)</f>
        <v>#N/A</v>
      </c>
      <c r="Q555" s="866" t="e">
        <f>VLOOKUP(N555,etat!$A$9:$N$963,7,FALSE)</f>
        <v>#N/A</v>
      </c>
      <c r="R555" s="866" t="e">
        <f>VLOOKUP(N555,etat!$A$9:$N$1003,9,FALSE)</f>
        <v>#N/A</v>
      </c>
      <c r="S555" s="797" t="e">
        <f>VLOOKUP(N555,etat!$A$9:$P$905,16,FALSE)</f>
        <v>#N/A</v>
      </c>
      <c r="T555" s="867"/>
      <c r="U555" s="868"/>
      <c r="V555" s="869"/>
      <c r="W555" s="869"/>
      <c r="X555" s="869"/>
      <c r="Y555" s="904"/>
      <c r="Z555" s="967"/>
      <c r="AA555" s="967"/>
    </row>
    <row r="556" spans="12:27" ht="15.75">
      <c r="L556" s="777">
        <v>5</v>
      </c>
      <c r="M556" s="778"/>
      <c r="N556" s="976">
        <v>0</v>
      </c>
      <c r="O556" s="1020">
        <v>436</v>
      </c>
      <c r="P556" s="865" t="e">
        <f>VLOOKUP(N556,etat!$A$9:$N$1004,2,FALSE)</f>
        <v>#N/A</v>
      </c>
      <c r="Q556" s="866" t="e">
        <f>VLOOKUP(N556,etat!$A$9:$N$963,7,FALSE)</f>
        <v>#N/A</v>
      </c>
      <c r="R556" s="866" t="e">
        <f>VLOOKUP(N556,etat!$A$9:$N$1003,9,FALSE)</f>
        <v>#N/A</v>
      </c>
      <c r="S556" s="797" t="e">
        <f>VLOOKUP(N556,etat!$A$9:$P$905,16,FALSE)</f>
        <v>#N/A</v>
      </c>
      <c r="T556" s="867"/>
      <c r="U556" s="868"/>
      <c r="V556" s="869"/>
      <c r="W556" s="869"/>
      <c r="X556" s="869"/>
      <c r="Y556" s="904"/>
      <c r="Z556" s="967"/>
      <c r="AA556" s="967"/>
    </row>
    <row r="557" spans="12:27" ht="15.75">
      <c r="L557" s="777">
        <v>5</v>
      </c>
      <c r="M557" s="778"/>
      <c r="N557" s="976">
        <v>0</v>
      </c>
      <c r="O557" s="1020">
        <v>437</v>
      </c>
      <c r="P557" s="865" t="e">
        <f>VLOOKUP(N557,etat!$A$9:$N$1004,2,FALSE)</f>
        <v>#N/A</v>
      </c>
      <c r="Q557" s="866" t="e">
        <f>VLOOKUP(N557,etat!$A$9:$N$963,7,FALSE)</f>
        <v>#N/A</v>
      </c>
      <c r="R557" s="866" t="e">
        <f>VLOOKUP(N557,etat!$A$9:$N$1003,9,FALSE)</f>
        <v>#N/A</v>
      </c>
      <c r="S557" s="797" t="e">
        <f>VLOOKUP(N557,etat!$A$9:$P$905,16,FALSE)</f>
        <v>#N/A</v>
      </c>
      <c r="T557" s="867"/>
      <c r="U557" s="868"/>
      <c r="V557" s="869"/>
      <c r="W557" s="869"/>
      <c r="X557" s="869"/>
      <c r="Y557" s="904"/>
      <c r="Z557" s="967"/>
      <c r="AA557" s="967"/>
    </row>
    <row r="558" spans="12:27" ht="15.75">
      <c r="L558" s="777">
        <v>5</v>
      </c>
      <c r="M558" s="778"/>
      <c r="N558" s="976">
        <v>0</v>
      </c>
      <c r="O558" s="1020">
        <v>438</v>
      </c>
      <c r="P558" s="865" t="e">
        <f>VLOOKUP(N558,etat!$A$9:$N$1004,2,FALSE)</f>
        <v>#N/A</v>
      </c>
      <c r="Q558" s="866" t="e">
        <f>VLOOKUP(N558,etat!$A$9:$N$963,7,FALSE)</f>
        <v>#N/A</v>
      </c>
      <c r="R558" s="866" t="e">
        <f>VLOOKUP(N558,etat!$A$9:$N$1003,9,FALSE)</f>
        <v>#N/A</v>
      </c>
      <c r="S558" s="797" t="e">
        <f>VLOOKUP(N558,etat!$A$9:$P$905,16,FALSE)</f>
        <v>#N/A</v>
      </c>
      <c r="T558" s="867"/>
      <c r="U558" s="868"/>
      <c r="V558" s="869"/>
      <c r="W558" s="869"/>
      <c r="X558" s="869"/>
      <c r="Y558" s="904"/>
      <c r="Z558" s="967"/>
      <c r="AA558" s="967"/>
    </row>
    <row r="559" spans="12:27" ht="15.75">
      <c r="L559" s="777">
        <v>5</v>
      </c>
      <c r="M559" s="778"/>
      <c r="N559" s="976">
        <v>0</v>
      </c>
      <c r="O559" s="1020">
        <v>439</v>
      </c>
      <c r="P559" s="865" t="e">
        <f>VLOOKUP(N559,etat!$A$9:$N$1004,2,FALSE)</f>
        <v>#N/A</v>
      </c>
      <c r="Q559" s="866" t="e">
        <f>VLOOKUP(N559,etat!$A$9:$N$963,7,FALSE)</f>
        <v>#N/A</v>
      </c>
      <c r="R559" s="866" t="e">
        <f>VLOOKUP(N559,etat!$A$9:$N$1003,9,FALSE)</f>
        <v>#N/A</v>
      </c>
      <c r="S559" s="797" t="e">
        <f>VLOOKUP(N559,etat!$A$9:$P$905,16,FALSE)</f>
        <v>#N/A</v>
      </c>
      <c r="T559" s="867"/>
      <c r="U559" s="868"/>
      <c r="V559" s="869"/>
      <c r="W559" s="869"/>
      <c r="X559" s="869"/>
      <c r="Y559" s="904"/>
      <c r="Z559" s="967"/>
      <c r="AA559" s="967"/>
    </row>
    <row r="560" spans="12:27" ht="15.75">
      <c r="L560" s="777">
        <v>5</v>
      </c>
      <c r="M560" s="778"/>
      <c r="N560" s="976">
        <v>0</v>
      </c>
      <c r="O560" s="1020">
        <v>440</v>
      </c>
      <c r="P560" s="865" t="e">
        <f>VLOOKUP(N560,etat!$A$9:$N$1004,2,FALSE)</f>
        <v>#N/A</v>
      </c>
      <c r="Q560" s="866" t="e">
        <f>VLOOKUP(N560,etat!$A$9:$N$963,7,FALSE)</f>
        <v>#N/A</v>
      </c>
      <c r="R560" s="866" t="e">
        <f>VLOOKUP(N560,etat!$A$9:$N$1003,9,FALSE)</f>
        <v>#N/A</v>
      </c>
      <c r="S560" s="797" t="e">
        <f>VLOOKUP(N560,etat!$A$9:$P$905,16,FALSE)</f>
        <v>#N/A</v>
      </c>
      <c r="T560" s="867"/>
      <c r="U560" s="868"/>
      <c r="V560" s="869"/>
      <c r="W560" s="869"/>
      <c r="X560" s="869"/>
      <c r="Y560" s="904"/>
      <c r="Z560" s="967"/>
      <c r="AA560" s="967"/>
    </row>
    <row r="561" spans="12:27" ht="15.75">
      <c r="L561" s="777">
        <v>5</v>
      </c>
      <c r="M561" s="778"/>
      <c r="N561" s="976">
        <v>0</v>
      </c>
      <c r="O561" s="1020">
        <v>441</v>
      </c>
      <c r="P561" s="865" t="e">
        <f>VLOOKUP(N561,etat!$A$9:$N$1004,2,FALSE)</f>
        <v>#N/A</v>
      </c>
      <c r="Q561" s="866" t="e">
        <f>VLOOKUP(N561,etat!$A$9:$N$963,7,FALSE)</f>
        <v>#N/A</v>
      </c>
      <c r="R561" s="866" t="e">
        <f>VLOOKUP(N561,etat!$A$9:$N$1003,9,FALSE)</f>
        <v>#N/A</v>
      </c>
      <c r="S561" s="797" t="e">
        <f>VLOOKUP(N561,etat!$A$9:$P$905,16,FALSE)</f>
        <v>#N/A</v>
      </c>
      <c r="T561" s="867"/>
      <c r="U561" s="868"/>
      <c r="V561" s="869"/>
      <c r="W561" s="869"/>
      <c r="X561" s="869"/>
      <c r="Y561" s="904"/>
      <c r="Z561" s="967"/>
      <c r="AA561" s="967"/>
    </row>
    <row r="562" spans="12:27" ht="15.75">
      <c r="L562" s="777">
        <v>5</v>
      </c>
      <c r="M562" s="778"/>
      <c r="N562" s="976">
        <v>0</v>
      </c>
      <c r="O562" s="1020">
        <v>442</v>
      </c>
      <c r="P562" s="865" t="e">
        <f>VLOOKUP(N562,etat!$A$9:$N$1004,2,FALSE)</f>
        <v>#N/A</v>
      </c>
      <c r="Q562" s="866" t="e">
        <f>VLOOKUP(N562,etat!$A$9:$N$963,7,FALSE)</f>
        <v>#N/A</v>
      </c>
      <c r="R562" s="866" t="e">
        <f>VLOOKUP(N562,etat!$A$9:$N$1003,9,FALSE)</f>
        <v>#N/A</v>
      </c>
      <c r="S562" s="797" t="e">
        <f>VLOOKUP(N562,etat!$A$9:$P$905,16,FALSE)</f>
        <v>#N/A</v>
      </c>
      <c r="T562" s="867"/>
      <c r="U562" s="868"/>
      <c r="V562" s="869"/>
      <c r="W562" s="869"/>
      <c r="X562" s="869"/>
      <c r="Y562" s="904"/>
      <c r="Z562" s="967"/>
      <c r="AA562" s="967"/>
    </row>
    <row r="563" spans="12:27" ht="15.75">
      <c r="L563" s="777">
        <v>5</v>
      </c>
      <c r="M563" s="778"/>
      <c r="N563" s="976">
        <v>0</v>
      </c>
      <c r="O563" s="1020">
        <v>443</v>
      </c>
      <c r="P563" s="865" t="e">
        <f>VLOOKUP(N563,etat!$A$9:$N$1004,2,FALSE)</f>
        <v>#N/A</v>
      </c>
      <c r="Q563" s="866" t="e">
        <f>VLOOKUP(N563,etat!$A$9:$N$963,7,FALSE)</f>
        <v>#N/A</v>
      </c>
      <c r="R563" s="866" t="e">
        <f>VLOOKUP(N563,etat!$A$9:$N$1003,9,FALSE)</f>
        <v>#N/A</v>
      </c>
      <c r="S563" s="797" t="e">
        <f>VLOOKUP(N563,etat!$A$9:$P$905,16,FALSE)</f>
        <v>#N/A</v>
      </c>
      <c r="T563" s="867"/>
      <c r="U563" s="868"/>
      <c r="V563" s="869"/>
      <c r="W563" s="869"/>
      <c r="X563" s="869"/>
      <c r="Y563" s="904"/>
      <c r="Z563" s="967"/>
      <c r="AA563" s="967"/>
    </row>
    <row r="564" spans="12:27" ht="15.75">
      <c r="L564" s="777">
        <v>5</v>
      </c>
      <c r="M564" s="778"/>
      <c r="N564" s="976">
        <v>0</v>
      </c>
      <c r="O564" s="1020">
        <v>444</v>
      </c>
      <c r="P564" s="865" t="e">
        <f>VLOOKUP(N564,etat!$A$9:$N$1004,2,FALSE)</f>
        <v>#N/A</v>
      </c>
      <c r="Q564" s="866" t="e">
        <f>VLOOKUP(N564,etat!$A$9:$N$963,7,FALSE)</f>
        <v>#N/A</v>
      </c>
      <c r="R564" s="866" t="e">
        <f>VLOOKUP(N564,etat!$A$9:$N$1003,9,FALSE)</f>
        <v>#N/A</v>
      </c>
      <c r="S564" s="797" t="e">
        <f>VLOOKUP(N564,etat!$A$9:$P$905,16,FALSE)</f>
        <v>#N/A</v>
      </c>
      <c r="T564" s="867"/>
      <c r="U564" s="868"/>
      <c r="V564" s="869"/>
      <c r="W564" s="869"/>
      <c r="X564" s="869"/>
      <c r="Y564" s="904"/>
      <c r="Z564" s="967"/>
      <c r="AA564" s="967"/>
    </row>
    <row r="565" spans="12:27" ht="15.75">
      <c r="L565" s="777">
        <v>5</v>
      </c>
      <c r="M565" s="778"/>
      <c r="N565" s="976">
        <v>0</v>
      </c>
      <c r="O565" s="1020">
        <v>445</v>
      </c>
      <c r="P565" s="865" t="e">
        <f>VLOOKUP(N565,etat!$A$9:$N$1004,2,FALSE)</f>
        <v>#N/A</v>
      </c>
      <c r="Q565" s="866" t="e">
        <f>VLOOKUP(N565,etat!$A$9:$N$963,7,FALSE)</f>
        <v>#N/A</v>
      </c>
      <c r="R565" s="866" t="e">
        <f>VLOOKUP(N565,etat!$A$9:$N$1003,9,FALSE)</f>
        <v>#N/A</v>
      </c>
      <c r="S565" s="797" t="e">
        <f>VLOOKUP(N565,etat!$A$9:$P$905,16,FALSE)</f>
        <v>#N/A</v>
      </c>
      <c r="T565" s="867"/>
      <c r="U565" s="868"/>
      <c r="V565" s="869"/>
      <c r="W565" s="869"/>
      <c r="X565" s="869"/>
      <c r="Y565" s="904"/>
      <c r="Z565" s="967"/>
      <c r="AA565" s="967"/>
    </row>
    <row r="566" spans="12:27" ht="15.75">
      <c r="L566" s="777">
        <v>5</v>
      </c>
      <c r="M566" s="778"/>
      <c r="N566" s="976">
        <v>0</v>
      </c>
      <c r="O566" s="1020">
        <v>446</v>
      </c>
      <c r="P566" s="865" t="e">
        <f>VLOOKUP(N566,etat!$A$9:$N$1004,2,FALSE)</f>
        <v>#N/A</v>
      </c>
      <c r="Q566" s="866" t="e">
        <f>VLOOKUP(N566,etat!$A$9:$N$963,7,FALSE)</f>
        <v>#N/A</v>
      </c>
      <c r="R566" s="866" t="e">
        <f>VLOOKUP(N566,etat!$A$9:$N$1003,9,FALSE)</f>
        <v>#N/A</v>
      </c>
      <c r="S566" s="797" t="e">
        <f>VLOOKUP(N566,etat!$A$9:$P$905,16,FALSE)</f>
        <v>#N/A</v>
      </c>
      <c r="T566" s="867"/>
      <c r="U566" s="868"/>
      <c r="V566" s="869"/>
      <c r="W566" s="869"/>
      <c r="X566" s="869"/>
      <c r="Y566" s="904"/>
      <c r="Z566" s="967"/>
      <c r="AA566" s="967"/>
    </row>
    <row r="567" spans="12:27" ht="15.75">
      <c r="L567" s="777">
        <v>5</v>
      </c>
      <c r="M567" s="778"/>
      <c r="N567" s="976">
        <v>0</v>
      </c>
      <c r="O567" s="1020">
        <v>447</v>
      </c>
      <c r="P567" s="865" t="e">
        <f>VLOOKUP(N567,etat!$A$9:$N$1004,2,FALSE)</f>
        <v>#N/A</v>
      </c>
      <c r="Q567" s="866" t="e">
        <f>VLOOKUP(N567,etat!$A$9:$N$963,7,FALSE)</f>
        <v>#N/A</v>
      </c>
      <c r="R567" s="866" t="e">
        <f>VLOOKUP(N567,etat!$A$9:$N$1003,9,FALSE)</f>
        <v>#N/A</v>
      </c>
      <c r="S567" s="797" t="e">
        <f>VLOOKUP(N567,etat!$A$9:$P$905,16,FALSE)</f>
        <v>#N/A</v>
      </c>
      <c r="T567" s="867"/>
      <c r="U567" s="868"/>
      <c r="V567" s="869"/>
      <c r="W567" s="869"/>
      <c r="X567" s="869"/>
      <c r="Y567" s="904"/>
      <c r="Z567" s="967"/>
      <c r="AA567" s="967"/>
    </row>
    <row r="568" spans="12:27" ht="15.75">
      <c r="L568" s="777">
        <v>5</v>
      </c>
      <c r="M568" s="778"/>
      <c r="N568" s="976">
        <v>0</v>
      </c>
      <c r="O568" s="1020">
        <v>448</v>
      </c>
      <c r="P568" s="865" t="e">
        <f>VLOOKUP(N568,etat!$A$9:$N$1004,2,FALSE)</f>
        <v>#N/A</v>
      </c>
      <c r="Q568" s="866" t="e">
        <f>VLOOKUP(N568,etat!$A$9:$N$963,7,FALSE)</f>
        <v>#N/A</v>
      </c>
      <c r="R568" s="866" t="e">
        <f>VLOOKUP(N568,etat!$A$9:$N$1003,9,FALSE)</f>
        <v>#N/A</v>
      </c>
      <c r="S568" s="797" t="e">
        <f>VLOOKUP(N568,etat!$A$9:$P$905,16,FALSE)</f>
        <v>#N/A</v>
      </c>
      <c r="T568" s="867"/>
      <c r="U568" s="868"/>
      <c r="V568" s="869"/>
      <c r="W568" s="869"/>
      <c r="X568" s="869"/>
      <c r="Y568" s="904"/>
      <c r="Z568" s="967"/>
      <c r="AA568" s="967"/>
    </row>
    <row r="569" spans="12:27" ht="15.75">
      <c r="L569" s="777">
        <v>5</v>
      </c>
      <c r="M569" s="778"/>
      <c r="N569" s="976">
        <v>0</v>
      </c>
      <c r="O569" s="1020">
        <v>449</v>
      </c>
      <c r="P569" s="847" t="e">
        <f>VLOOKUP(N569,etat!$A$9:$N$1004,2,FALSE)</f>
        <v>#N/A</v>
      </c>
      <c r="Q569" s="797" t="e">
        <f>VLOOKUP(N569,etat!$A$9:$N$963,7,FALSE)</f>
        <v>#N/A</v>
      </c>
      <c r="R569" s="797" t="e">
        <f>VLOOKUP(N569,etat!$A$9:$N$1003,9,FALSE)</f>
        <v>#N/A</v>
      </c>
      <c r="S569" s="797" t="e">
        <f>VLOOKUP(N569,etat!$A$9:$P$905,16,FALSE)</f>
        <v>#N/A</v>
      </c>
      <c r="T569" s="755"/>
      <c r="U569" s="791"/>
      <c r="V569" s="784"/>
      <c r="W569" s="784"/>
      <c r="X569" s="784"/>
      <c r="Y569" s="848"/>
      <c r="Z569" s="967"/>
      <c r="AA569" s="967"/>
    </row>
    <row r="570" spans="12:27" ht="15.75">
      <c r="L570" s="777">
        <v>5</v>
      </c>
      <c r="M570" s="778"/>
      <c r="N570" s="976">
        <v>0</v>
      </c>
      <c r="O570" s="1020">
        <v>450</v>
      </c>
      <c r="P570" s="847" t="e">
        <f>VLOOKUP(N570,etat!$A$9:$N$1004,2,FALSE)</f>
        <v>#N/A</v>
      </c>
      <c r="Q570" s="797" t="e">
        <f>VLOOKUP(N570,etat!$A$9:$N$963,7,FALSE)</f>
        <v>#N/A</v>
      </c>
      <c r="R570" s="797" t="e">
        <f>VLOOKUP(N570,etat!$A$9:$N$1003,9,FALSE)</f>
        <v>#N/A</v>
      </c>
      <c r="S570" s="797" t="e">
        <f>VLOOKUP(N570,etat!$A$9:$P$905,16,FALSE)</f>
        <v>#N/A</v>
      </c>
      <c r="T570" s="755"/>
      <c r="U570" s="791"/>
      <c r="V570" s="784"/>
      <c r="W570" s="784"/>
      <c r="X570" s="784"/>
      <c r="Y570" s="848"/>
      <c r="Z570" s="967"/>
      <c r="AA570" s="967"/>
    </row>
    <row r="571" spans="12:27" ht="15.75">
      <c r="L571" s="777">
        <v>5</v>
      </c>
      <c r="M571" s="778"/>
      <c r="N571" s="976">
        <v>0</v>
      </c>
      <c r="O571" s="1020">
        <v>451</v>
      </c>
      <c r="P571" s="847" t="e">
        <f>VLOOKUP(N571,etat!$A$9:$N$1004,2,FALSE)</f>
        <v>#N/A</v>
      </c>
      <c r="Q571" s="797" t="e">
        <f>VLOOKUP(N571,etat!$A$9:$N$963,7,FALSE)</f>
        <v>#N/A</v>
      </c>
      <c r="R571" s="797" t="e">
        <f>VLOOKUP(N571,etat!$A$9:$N$1003,9,FALSE)</f>
        <v>#N/A</v>
      </c>
      <c r="S571" s="797" t="e">
        <f>VLOOKUP(N571,etat!$A$9:$P$905,16,FALSE)</f>
        <v>#N/A</v>
      </c>
      <c r="T571" s="755"/>
      <c r="U571" s="791"/>
      <c r="V571" s="784"/>
      <c r="W571" s="784"/>
      <c r="X571" s="784"/>
      <c r="Y571" s="848"/>
      <c r="Z571" s="967"/>
      <c r="AA571" s="967"/>
    </row>
    <row r="572" spans="12:27" ht="15.75">
      <c r="L572" s="777">
        <v>5</v>
      </c>
      <c r="M572" s="778"/>
      <c r="N572" s="976">
        <v>0</v>
      </c>
      <c r="O572" s="1020">
        <v>452</v>
      </c>
      <c r="P572" s="847" t="e">
        <f>VLOOKUP(N572,etat!$A$9:$N$1004,2,FALSE)</f>
        <v>#N/A</v>
      </c>
      <c r="Q572" s="797" t="e">
        <f>VLOOKUP(N572,etat!$A$9:$N$963,7,FALSE)</f>
        <v>#N/A</v>
      </c>
      <c r="R572" s="797" t="e">
        <f>VLOOKUP(N572,etat!$A$9:$N$1003,9,FALSE)</f>
        <v>#N/A</v>
      </c>
      <c r="S572" s="797" t="e">
        <f>VLOOKUP(N572,etat!$A$9:$P$905,16,FALSE)</f>
        <v>#N/A</v>
      </c>
      <c r="T572" s="755"/>
      <c r="U572" s="791"/>
      <c r="V572" s="784"/>
      <c r="W572" s="784"/>
      <c r="X572" s="784"/>
      <c r="Y572" s="848"/>
      <c r="Z572" s="967"/>
      <c r="AA572" s="967"/>
    </row>
    <row r="573" spans="12:27" ht="15.75">
      <c r="L573" s="777">
        <v>5</v>
      </c>
      <c r="M573" s="778"/>
      <c r="N573" s="976">
        <v>0</v>
      </c>
      <c r="O573" s="1020">
        <v>453</v>
      </c>
      <c r="P573" s="847" t="e">
        <f>VLOOKUP(N573,etat!$A$9:$N$1004,2,FALSE)</f>
        <v>#N/A</v>
      </c>
      <c r="Q573" s="797" t="e">
        <f>VLOOKUP(N573,etat!$A$9:$N$963,7,FALSE)</f>
        <v>#N/A</v>
      </c>
      <c r="R573" s="797" t="e">
        <f>VLOOKUP(N573,etat!$A$9:$N$1003,9,FALSE)</f>
        <v>#N/A</v>
      </c>
      <c r="S573" s="797" t="e">
        <f>VLOOKUP(N573,etat!$A$9:$P$905,16,FALSE)</f>
        <v>#N/A</v>
      </c>
      <c r="T573" s="755"/>
      <c r="U573" s="791"/>
      <c r="V573" s="784"/>
      <c r="W573" s="784"/>
      <c r="X573" s="784"/>
      <c r="Y573" s="848"/>
      <c r="Z573" s="967"/>
      <c r="AA573" s="967"/>
    </row>
    <row r="574" spans="12:27" ht="15.75">
      <c r="L574" s="777">
        <v>5</v>
      </c>
      <c r="M574" s="778"/>
      <c r="N574" s="976">
        <v>0</v>
      </c>
      <c r="O574" s="1020">
        <v>454</v>
      </c>
      <c r="P574" s="847" t="e">
        <f>VLOOKUP(N574,etat!$A$9:$N$1004,2,FALSE)</f>
        <v>#N/A</v>
      </c>
      <c r="Q574" s="797" t="e">
        <f>VLOOKUP(N574,etat!$A$9:$N$963,7,FALSE)</f>
        <v>#N/A</v>
      </c>
      <c r="R574" s="797" t="e">
        <f>VLOOKUP(N574,etat!$A$9:$N$1003,9,FALSE)</f>
        <v>#N/A</v>
      </c>
      <c r="S574" s="797" t="e">
        <f>VLOOKUP(N574,etat!$A$9:$P$905,16,FALSE)</f>
        <v>#N/A</v>
      </c>
      <c r="T574" s="755"/>
      <c r="U574" s="791"/>
      <c r="V574" s="784"/>
      <c r="W574" s="784"/>
      <c r="X574" s="784"/>
      <c r="Y574" s="848"/>
      <c r="Z574" s="967"/>
      <c r="AA574" s="967"/>
    </row>
    <row r="575" spans="12:27" ht="15.75">
      <c r="L575" s="777">
        <v>5</v>
      </c>
      <c r="M575" s="778"/>
      <c r="N575" s="976">
        <v>0</v>
      </c>
      <c r="O575" s="1020">
        <v>455</v>
      </c>
      <c r="P575" s="847" t="e">
        <f>VLOOKUP(N575,etat!$A$9:$N$1004,2,FALSE)</f>
        <v>#N/A</v>
      </c>
      <c r="Q575" s="797" t="e">
        <f>VLOOKUP(N575,etat!$A$9:$N$963,7,FALSE)</f>
        <v>#N/A</v>
      </c>
      <c r="R575" s="797" t="e">
        <f>VLOOKUP(N575,etat!$A$9:$N$1003,9,FALSE)</f>
        <v>#N/A</v>
      </c>
      <c r="S575" s="797" t="e">
        <f>VLOOKUP(N575,etat!$A$9:$P$905,16,FALSE)</f>
        <v>#N/A</v>
      </c>
      <c r="T575" s="755"/>
      <c r="U575" s="791"/>
      <c r="V575" s="784"/>
      <c r="W575" s="784"/>
      <c r="X575" s="784"/>
      <c r="Y575" s="848"/>
      <c r="Z575" s="967"/>
      <c r="AA575" s="967"/>
    </row>
    <row r="576" spans="12:27" ht="15.75">
      <c r="L576" s="777">
        <v>5</v>
      </c>
      <c r="M576" s="864"/>
      <c r="N576" s="976">
        <v>0</v>
      </c>
      <c r="O576" s="1020">
        <v>456</v>
      </c>
      <c r="P576" s="847" t="e">
        <f>VLOOKUP(N576,etat!$A$9:$N$1004,2,FALSE)</f>
        <v>#N/A</v>
      </c>
      <c r="Q576" s="797" t="e">
        <f>VLOOKUP(N576,etat!$A$9:$N$963,7,FALSE)</f>
        <v>#N/A</v>
      </c>
      <c r="R576" s="797" t="e">
        <f>VLOOKUP(N576,etat!$A$9:$N$1003,9,FALSE)</f>
        <v>#N/A</v>
      </c>
      <c r="S576" s="797" t="e">
        <f>VLOOKUP(N576,etat!$A$9:$P$905,16,FALSE)</f>
        <v>#N/A</v>
      </c>
      <c r="T576" s="755"/>
      <c r="U576" s="791"/>
      <c r="V576" s="784"/>
      <c r="W576" s="784"/>
      <c r="X576" s="784"/>
      <c r="Y576" s="848"/>
      <c r="Z576" s="967"/>
      <c r="AA576" s="967"/>
    </row>
    <row r="577" spans="12:27" ht="15.75">
      <c r="L577" s="777">
        <v>5</v>
      </c>
      <c r="M577" s="864"/>
      <c r="N577" s="976">
        <v>0</v>
      </c>
      <c r="O577" s="1020">
        <v>457</v>
      </c>
      <c r="P577" s="847" t="e">
        <f>VLOOKUP(N577,etat!$A$9:$N$1004,2,FALSE)</f>
        <v>#N/A</v>
      </c>
      <c r="Q577" s="797" t="e">
        <f>VLOOKUP(N577,etat!$A$9:$N$963,7,FALSE)</f>
        <v>#N/A</v>
      </c>
      <c r="R577" s="797" t="e">
        <f>VLOOKUP(N577,etat!$A$9:$N$1003,9,FALSE)</f>
        <v>#N/A</v>
      </c>
      <c r="S577" s="797" t="e">
        <f>VLOOKUP(N577,etat!$A$9:$P$905,16,FALSE)</f>
        <v>#N/A</v>
      </c>
      <c r="T577" s="755"/>
      <c r="U577" s="791"/>
      <c r="V577" s="784"/>
      <c r="W577" s="784"/>
      <c r="X577" s="784"/>
      <c r="Y577" s="848"/>
      <c r="Z577" s="967"/>
      <c r="AA577" s="967"/>
    </row>
    <row r="578" spans="12:27" ht="15.75">
      <c r="L578" s="777">
        <v>5</v>
      </c>
      <c r="M578" s="864"/>
      <c r="N578" s="976">
        <v>0</v>
      </c>
      <c r="O578" s="1020">
        <v>458</v>
      </c>
      <c r="P578" s="847" t="e">
        <f>VLOOKUP(N578,etat!$A$9:$N$1004,2,FALSE)</f>
        <v>#N/A</v>
      </c>
      <c r="Q578" s="797" t="e">
        <f>VLOOKUP(N578,etat!$A$9:$N$963,7,FALSE)</f>
        <v>#N/A</v>
      </c>
      <c r="R578" s="797" t="e">
        <f>VLOOKUP(N578,etat!$A$9:$N$1003,9,FALSE)</f>
        <v>#N/A</v>
      </c>
      <c r="S578" s="797" t="e">
        <f>VLOOKUP(N578,etat!$A$9:$P$905,16,FALSE)</f>
        <v>#N/A</v>
      </c>
      <c r="T578" s="755"/>
      <c r="U578" s="791"/>
      <c r="V578" s="784"/>
      <c r="W578" s="784"/>
      <c r="X578" s="784"/>
      <c r="Y578" s="848"/>
      <c r="Z578" s="967"/>
      <c r="AA578" s="967"/>
    </row>
    <row r="579" spans="12:27" ht="15.75">
      <c r="L579" s="777">
        <v>5</v>
      </c>
      <c r="M579" s="864"/>
      <c r="N579" s="976">
        <v>0</v>
      </c>
      <c r="O579" s="1020">
        <v>459</v>
      </c>
      <c r="P579" s="847" t="e">
        <f>VLOOKUP(N579,etat!$A$9:$N$1004,2,FALSE)</f>
        <v>#N/A</v>
      </c>
      <c r="Q579" s="797" t="e">
        <f>VLOOKUP(N579,etat!$A$9:$N$963,7,FALSE)</f>
        <v>#N/A</v>
      </c>
      <c r="R579" s="797" t="e">
        <f>VLOOKUP(N579,etat!$A$9:$N$1003,9,FALSE)</f>
        <v>#N/A</v>
      </c>
      <c r="S579" s="797" t="e">
        <f>VLOOKUP(N579,etat!$A$9:$P$905,16,FALSE)</f>
        <v>#N/A</v>
      </c>
      <c r="T579" s="755"/>
      <c r="U579" s="791"/>
      <c r="V579" s="784"/>
      <c r="W579" s="784"/>
      <c r="X579" s="784"/>
      <c r="Y579" s="848"/>
      <c r="Z579" s="967"/>
      <c r="AA579" s="967"/>
    </row>
    <row r="580" spans="12:27" ht="18.75">
      <c r="L580" s="777">
        <v>5</v>
      </c>
      <c r="M580" s="864"/>
      <c r="N580" s="976">
        <v>0</v>
      </c>
      <c r="O580" s="1020">
        <v>460</v>
      </c>
      <c r="P580" s="860" t="e">
        <f>VLOOKUP(N580,etat!$A$9:$N$1004,2,FALSE)</f>
        <v>#N/A</v>
      </c>
      <c r="Q580" s="797" t="e">
        <f>VLOOKUP(N580,etat!$A$9:$N$963,7,FALSE)</f>
        <v>#N/A</v>
      </c>
      <c r="R580" s="905" t="e">
        <f>VLOOKUP(N580,etat!$A$9:$N$1003,9,FALSE)</f>
        <v>#N/A</v>
      </c>
      <c r="S580" s="797" t="e">
        <f>VLOOKUP(N580,etat!$A$9:$P$905,16,FALSE)</f>
        <v>#N/A</v>
      </c>
      <c r="T580" s="755"/>
      <c r="U580" s="791"/>
      <c r="V580" s="784"/>
      <c r="W580" s="784"/>
      <c r="X580" s="784"/>
      <c r="Y580" s="784"/>
      <c r="Z580" s="1022"/>
      <c r="AA580" s="967"/>
    </row>
    <row r="581" spans="12:27" ht="18.75">
      <c r="N581" s="976">
        <v>0</v>
      </c>
      <c r="O581" s="1020">
        <v>461</v>
      </c>
      <c r="P581" s="860" t="e">
        <f>VLOOKUP(N581,etat!$A$9:$N$1004,2,FALSE)</f>
        <v>#N/A</v>
      </c>
      <c r="Q581" s="797" t="e">
        <f>VLOOKUP(N581,etat!$A$9:$N$963,7,FALSE)</f>
        <v>#N/A</v>
      </c>
      <c r="R581" s="905" t="e">
        <f>VLOOKUP(N581,etat!$A$9:$N$1003,9,FALSE)</f>
        <v>#N/A</v>
      </c>
      <c r="S581" s="797" t="e">
        <f>VLOOKUP(N581,etat!$A$9:$P$905,16,FALSE)</f>
        <v>#N/A</v>
      </c>
      <c r="T581" s="755"/>
      <c r="U581" s="791"/>
      <c r="V581" s="784"/>
      <c r="W581" s="784"/>
      <c r="X581" s="784"/>
      <c r="Y581" s="784"/>
      <c r="Z581" s="1022"/>
      <c r="AA581" s="967"/>
    </row>
    <row r="582" spans="12:27" ht="18.75">
      <c r="N582" s="976">
        <v>0</v>
      </c>
      <c r="O582" s="1020">
        <v>462</v>
      </c>
      <c r="P582" s="860" t="e">
        <f>VLOOKUP(N582,etat!$A$9:$N$1004,2,FALSE)</f>
        <v>#N/A</v>
      </c>
      <c r="Q582" s="797" t="e">
        <f>VLOOKUP(N582,etat!$A$9:$N$963,7,FALSE)</f>
        <v>#N/A</v>
      </c>
      <c r="R582" s="905" t="e">
        <f>VLOOKUP(N582,etat!$A$9:$N$1003,9,FALSE)</f>
        <v>#N/A</v>
      </c>
      <c r="S582" s="797" t="e">
        <f>VLOOKUP(N582,etat!$A$9:$P$905,16,FALSE)</f>
        <v>#N/A</v>
      </c>
      <c r="T582" s="755"/>
      <c r="U582" s="791"/>
      <c r="V582" s="784"/>
      <c r="W582" s="784"/>
      <c r="X582" s="784"/>
      <c r="Y582" s="784"/>
      <c r="Z582" s="965" t="e">
        <f>VLOOKUP(L582,اس!$S$3:$X$31,3,FALSE)</f>
        <v>#N/A</v>
      </c>
      <c r="AA582" s="967"/>
    </row>
    <row r="583" spans="12:27" ht="18.75">
      <c r="N583" s="976">
        <v>0</v>
      </c>
      <c r="O583" s="1020">
        <v>463</v>
      </c>
      <c r="P583" s="860" t="e">
        <f>VLOOKUP(N583,etat!$A$9:$N$1004,2,FALSE)</f>
        <v>#N/A</v>
      </c>
      <c r="Q583" s="797" t="e">
        <f>VLOOKUP(N583,etat!$A$9:$N$963,7,FALSE)</f>
        <v>#N/A</v>
      </c>
      <c r="R583" s="905" t="e">
        <f>VLOOKUP(N583,etat!$A$9:$N$1003,9,FALSE)</f>
        <v>#N/A</v>
      </c>
      <c r="S583" s="797" t="e">
        <f>VLOOKUP(N583,etat!$A$9:$P$905,16,FALSE)</f>
        <v>#N/A</v>
      </c>
      <c r="T583" s="755"/>
      <c r="U583" s="791"/>
      <c r="V583" s="784"/>
      <c r="W583" s="784"/>
      <c r="X583" s="784"/>
      <c r="Y583" s="784"/>
      <c r="Z583" s="965" t="e">
        <f>VLOOKUP(L583,اس!$S$3:$X$31,3,FALSE)</f>
        <v>#N/A</v>
      </c>
      <c r="AA583" s="967"/>
    </row>
    <row r="584" spans="12:27" ht="18.75">
      <c r="N584" s="976">
        <v>0</v>
      </c>
      <c r="O584" s="1020">
        <v>464</v>
      </c>
      <c r="P584" s="860" t="e">
        <f>VLOOKUP(N584,etat!$A$9:$N$1004,2,FALSE)</f>
        <v>#N/A</v>
      </c>
      <c r="Q584" s="797" t="e">
        <f>VLOOKUP(N584,etat!$A$9:$N$963,7,FALSE)</f>
        <v>#N/A</v>
      </c>
      <c r="R584" s="905" t="e">
        <f>VLOOKUP(N584,etat!$A$9:$N$1003,9,FALSE)</f>
        <v>#N/A</v>
      </c>
      <c r="S584" s="797" t="e">
        <f>VLOOKUP(N584,etat!$A$9:$P$905,16,FALSE)</f>
        <v>#N/A</v>
      </c>
      <c r="T584" s="755"/>
      <c r="U584" s="791"/>
      <c r="V584" s="784"/>
      <c r="W584" s="784"/>
      <c r="X584" s="784"/>
      <c r="Y584" s="784"/>
      <c r="Z584" s="965" t="e">
        <f>VLOOKUP(L584,اس!$S$3:$X$31,3,FALSE)</f>
        <v>#N/A</v>
      </c>
      <c r="AA584" s="967"/>
    </row>
    <row r="585" spans="12:27" ht="18.75">
      <c r="N585" s="976">
        <v>0</v>
      </c>
      <c r="O585" s="1020">
        <v>465</v>
      </c>
      <c r="P585" s="860" t="e">
        <f>VLOOKUP(N585,etat!$A$9:$N$1004,2,FALSE)</f>
        <v>#N/A</v>
      </c>
      <c r="Q585" s="797" t="e">
        <f>VLOOKUP(N585,etat!$A$9:$N$963,7,FALSE)</f>
        <v>#N/A</v>
      </c>
      <c r="R585" s="905" t="e">
        <f>VLOOKUP(N585,etat!$A$9:$N$1003,9,FALSE)</f>
        <v>#N/A</v>
      </c>
      <c r="S585" s="797" t="e">
        <f>VLOOKUP(N585,etat!$A$9:$P$905,16,FALSE)</f>
        <v>#N/A</v>
      </c>
      <c r="T585" s="755"/>
      <c r="U585" s="791"/>
      <c r="V585" s="784"/>
      <c r="W585" s="784"/>
      <c r="X585" s="784"/>
      <c r="Y585" s="784"/>
      <c r="Z585" s="965" t="e">
        <f>VLOOKUP(L585,اس!$S$3:$X$31,3,FALSE)</f>
        <v>#N/A</v>
      </c>
      <c r="AA585" s="967"/>
    </row>
    <row r="586" spans="12:27" ht="18.75">
      <c r="N586" s="976">
        <v>0</v>
      </c>
      <c r="O586" s="1020">
        <v>466</v>
      </c>
      <c r="P586" s="860" t="e">
        <f>VLOOKUP(N586,etat!$A$9:$N$1004,2,FALSE)</f>
        <v>#N/A</v>
      </c>
      <c r="Q586" s="797" t="e">
        <f>VLOOKUP(N586,etat!$A$9:$N$963,7,FALSE)</f>
        <v>#N/A</v>
      </c>
      <c r="R586" s="905" t="e">
        <f>VLOOKUP(N586,etat!$A$9:$N$1003,9,FALSE)</f>
        <v>#N/A</v>
      </c>
      <c r="S586" s="797" t="e">
        <f>VLOOKUP(N586,etat!$A$9:$P$905,16,FALSE)</f>
        <v>#N/A</v>
      </c>
      <c r="T586" s="755"/>
      <c r="U586" s="791"/>
      <c r="V586" s="784"/>
      <c r="W586" s="784"/>
      <c r="X586" s="784"/>
      <c r="Y586" s="784"/>
      <c r="Z586" s="965" t="e">
        <f>VLOOKUP(L586,اس!$S$3:$X$31,3,FALSE)</f>
        <v>#N/A</v>
      </c>
      <c r="AA586" s="967"/>
    </row>
    <row r="587" spans="12:27" ht="18.75">
      <c r="N587" s="976">
        <v>0</v>
      </c>
      <c r="O587" s="1020">
        <v>467</v>
      </c>
      <c r="P587" s="860" t="e">
        <f>VLOOKUP(N587,etat!$A$9:$N$1004,2,FALSE)</f>
        <v>#N/A</v>
      </c>
      <c r="Q587" s="797" t="e">
        <f>VLOOKUP(N587,etat!$A$9:$N$963,7,FALSE)</f>
        <v>#N/A</v>
      </c>
      <c r="R587" s="905" t="e">
        <f>VLOOKUP(N587,etat!$A$9:$N$1003,9,FALSE)</f>
        <v>#N/A</v>
      </c>
      <c r="S587" s="797" t="e">
        <f>VLOOKUP(N587,etat!$A$9:$P$905,16,FALSE)</f>
        <v>#N/A</v>
      </c>
      <c r="T587" s="755"/>
      <c r="U587" s="791"/>
      <c r="V587" s="784"/>
      <c r="W587" s="784"/>
      <c r="X587" s="784"/>
      <c r="Y587" s="784"/>
      <c r="Z587" s="965" t="e">
        <f>VLOOKUP(L587,اس!$S$3:$X$31,3,FALSE)</f>
        <v>#N/A</v>
      </c>
      <c r="AA587" s="967"/>
    </row>
    <row r="588" spans="12:27" ht="15.75">
      <c r="N588" s="976">
        <v>0</v>
      </c>
      <c r="O588" s="1020">
        <v>468</v>
      </c>
      <c r="P588" s="858" t="e">
        <f>VLOOKUP(N588,etat!$A$9:$N$1004,2,FALSE)</f>
        <v>#N/A</v>
      </c>
      <c r="Q588" s="797" t="e">
        <f>VLOOKUP(N588,etat!$A$9:$N$963,7,FALSE)</f>
        <v>#N/A</v>
      </c>
      <c r="R588" s="928" t="e">
        <f>VLOOKUP(N588,etat!$A$9:$N$1003,9,FALSE)</f>
        <v>#N/A</v>
      </c>
      <c r="S588" s="755"/>
      <c r="T588" s="791"/>
      <c r="U588" s="784"/>
      <c r="V588" s="784"/>
      <c r="W588" s="784"/>
      <c r="X588" s="784"/>
      <c r="Y588" s="975"/>
      <c r="Z588" s="931">
        <f>VLOOKUP(L588,[2]اس!$S$3:$X$31,3,FALSE)</f>
        <v>0</v>
      </c>
      <c r="AA588" s="967"/>
    </row>
    <row r="589" spans="12:27" ht="15.75">
      <c r="N589" s="976">
        <v>0</v>
      </c>
      <c r="O589" s="1020">
        <v>469</v>
      </c>
      <c r="P589" s="858" t="e">
        <f>VLOOKUP(N589,etat!$A$9:$N$1004,2,FALSE)</f>
        <v>#N/A</v>
      </c>
      <c r="Q589" s="797" t="e">
        <f>VLOOKUP(N589,etat!$A$9:$N$963,7,FALSE)</f>
        <v>#N/A</v>
      </c>
      <c r="R589" s="928" t="e">
        <f>VLOOKUP(N589,etat!$A$9:$N$1003,9,FALSE)</f>
        <v>#N/A</v>
      </c>
      <c r="S589" s="755"/>
      <c r="T589" s="791"/>
      <c r="U589" s="784"/>
      <c r="V589" s="784"/>
      <c r="W589" s="784"/>
      <c r="X589" s="784"/>
      <c r="Y589" s="975"/>
      <c r="Z589" s="931">
        <f>VLOOKUP(L589,[2]اس!$S$3:$X$31,3,FALSE)</f>
        <v>0</v>
      </c>
      <c r="AA589" s="967"/>
    </row>
    <row r="590" spans="12:27" ht="15.75">
      <c r="N590" s="976">
        <v>0</v>
      </c>
      <c r="O590" s="1020">
        <v>470</v>
      </c>
      <c r="P590" s="858" t="e">
        <f>VLOOKUP(N590,etat!$A$9:$N$1004,2,FALSE)</f>
        <v>#N/A</v>
      </c>
      <c r="Q590" s="797" t="e">
        <f>VLOOKUP(N590,etat!$A$9:$N$963,7,FALSE)</f>
        <v>#N/A</v>
      </c>
      <c r="R590" s="928" t="e">
        <f>VLOOKUP(N590,etat!$A$9:$N$1003,9,FALSE)</f>
        <v>#N/A</v>
      </c>
      <c r="S590" s="755"/>
      <c r="T590" s="791"/>
      <c r="U590" s="784"/>
      <c r="V590" s="784"/>
      <c r="W590" s="784"/>
      <c r="X590" s="784"/>
      <c r="Y590" s="975"/>
      <c r="Z590" s="931">
        <f>VLOOKUP(L590,[2]اس!$S$3:$X$31,3,FALSE)</f>
        <v>0</v>
      </c>
      <c r="AA590" s="967"/>
    </row>
    <row r="591" spans="12:27" ht="15.75">
      <c r="N591" s="976">
        <v>0</v>
      </c>
      <c r="O591" s="1020">
        <v>471</v>
      </c>
      <c r="P591" s="858" t="e">
        <f>VLOOKUP(N591,etat!$A$9:$N$1004,2,FALSE)</f>
        <v>#N/A</v>
      </c>
      <c r="Q591" s="797" t="e">
        <f>VLOOKUP(N591,etat!$A$9:$N$963,7,FALSE)</f>
        <v>#N/A</v>
      </c>
      <c r="R591" s="928" t="e">
        <f>VLOOKUP(N591,etat!$A$9:$N$1003,9,FALSE)</f>
        <v>#N/A</v>
      </c>
      <c r="S591" s="755"/>
      <c r="T591" s="791"/>
      <c r="U591" s="784"/>
      <c r="V591" s="784"/>
      <c r="W591" s="784"/>
      <c r="X591" s="784"/>
      <c r="Y591" s="975"/>
      <c r="Z591" s="931">
        <f>VLOOKUP(L591,[2]اس!$S$3:$X$31,3,FALSE)</f>
        <v>0</v>
      </c>
      <c r="AA591" s="967"/>
    </row>
  </sheetData>
  <sortState ref="N306:AA315">
    <sortCondition ref="N306:N315"/>
  </sortState>
  <mergeCells count="77">
    <mergeCell ref="AA49:AA50"/>
    <mergeCell ref="V49:V50"/>
    <mergeCell ref="W49:W50"/>
    <mergeCell ref="X49:X50"/>
    <mergeCell ref="Y49:Y50"/>
    <mergeCell ref="Z49:Z50"/>
    <mergeCell ref="P49:P50"/>
    <mergeCell ref="R49:R50"/>
    <mergeCell ref="T49:T50"/>
    <mergeCell ref="U49:U50"/>
    <mergeCell ref="D19:E19"/>
    <mergeCell ref="D22:E22"/>
    <mergeCell ref="H23:I23"/>
    <mergeCell ref="D20:E20"/>
    <mergeCell ref="D29:E29"/>
    <mergeCell ref="F29:G29"/>
    <mergeCell ref="J23:L23"/>
    <mergeCell ref="J25:L25"/>
    <mergeCell ref="N37:N41"/>
    <mergeCell ref="J33:K33"/>
    <mergeCell ref="J26:L26"/>
    <mergeCell ref="J24:L24"/>
    <mergeCell ref="A1:N1"/>
    <mergeCell ref="H7:J7"/>
    <mergeCell ref="J22:L22"/>
    <mergeCell ref="D10:E10"/>
    <mergeCell ref="D15:E15"/>
    <mergeCell ref="D16:E16"/>
    <mergeCell ref="D17:E17"/>
    <mergeCell ref="F7:G7"/>
    <mergeCell ref="D14:E14"/>
    <mergeCell ref="D11:E11"/>
    <mergeCell ref="H22:I22"/>
    <mergeCell ref="B19:C19"/>
    <mergeCell ref="N9:N10"/>
    <mergeCell ref="B17:C17"/>
    <mergeCell ref="B18:C18"/>
    <mergeCell ref="D18:E18"/>
    <mergeCell ref="B23:C23"/>
    <mergeCell ref="B20:C20"/>
    <mergeCell ref="F22:G22"/>
    <mergeCell ref="D23:E23"/>
    <mergeCell ref="F23:G23"/>
    <mergeCell ref="B29:C29"/>
    <mergeCell ref="H29:I29"/>
    <mergeCell ref="D28:E28"/>
    <mergeCell ref="A42:C42"/>
    <mergeCell ref="B34:C34"/>
    <mergeCell ref="A35:E35"/>
    <mergeCell ref="F35:H35"/>
    <mergeCell ref="H28:I28"/>
    <mergeCell ref="F28:G28"/>
    <mergeCell ref="B28:C28"/>
    <mergeCell ref="D34:E34"/>
    <mergeCell ref="F34:G34"/>
    <mergeCell ref="H34:I34"/>
    <mergeCell ref="I35:L35"/>
    <mergeCell ref="A9:A10"/>
    <mergeCell ref="B11:C11"/>
    <mergeCell ref="D12:E12"/>
    <mergeCell ref="D9:E9"/>
    <mergeCell ref="B12:C12"/>
    <mergeCell ref="B9:C9"/>
    <mergeCell ref="B10:C10"/>
    <mergeCell ref="D13:E13"/>
    <mergeCell ref="B22:C22"/>
    <mergeCell ref="B13:C13"/>
    <mergeCell ref="B14:C14"/>
    <mergeCell ref="B16:C16"/>
    <mergeCell ref="B15:C15"/>
    <mergeCell ref="P9:Q9"/>
    <mergeCell ref="Q10:R10"/>
    <mergeCell ref="Q26:R26"/>
    <mergeCell ref="Q23:R23"/>
    <mergeCell ref="Q22:R22"/>
    <mergeCell ref="Q24:R24"/>
    <mergeCell ref="Q25:R25"/>
  </mergeCells>
  <dataValidations count="1">
    <dataValidation type="list" allowBlank="1" showInputMessage="1" showErrorMessage="1" sqref="M23:M26">
      <formula1>$S$10:$S$14</formula1>
    </dataValidation>
  </dataValidations>
  <hyperlinks>
    <hyperlink ref="S4" location="الرجوع!A1" display="الرجوع!A1"/>
  </hyperlinks>
  <pageMargins left="0.39370078740157483" right="0.58792372881355937" top="0.47669491525423729" bottom="0.74803149606299213" header="0.31496062992125984" footer="0.31496062992125984"/>
  <pageSetup paperSize="9" scale="95" orientation="portrait" verticalDpi="0" r:id="rId1"/>
  <colBreaks count="3" manualBreakCount="3">
    <brk id="14" max="397" man="1"/>
    <brk id="27" max="397" man="1"/>
    <brk id="32" max="397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9"/>
  <dimension ref="A1:BY868"/>
  <sheetViews>
    <sheetView rightToLeft="1" showWhiteSpace="0" zoomScaleSheetLayoutView="100" workbookViewId="0">
      <selection activeCell="L18" sqref="L18"/>
    </sheetView>
  </sheetViews>
  <sheetFormatPr baseColWidth="10" defaultColWidth="11.42578125" defaultRowHeight="15"/>
  <cols>
    <col min="1" max="1" width="8" style="765" customWidth="1"/>
    <col min="2" max="2" width="5.28515625" style="765" customWidth="1"/>
    <col min="3" max="3" width="7.85546875" style="765" customWidth="1"/>
    <col min="4" max="4" width="6.5703125" style="166" customWidth="1"/>
    <col min="5" max="5" width="5.5703125" style="166" customWidth="1"/>
    <col min="6" max="7" width="5.140625" style="166" customWidth="1"/>
    <col min="8" max="8" width="7" style="166" customWidth="1"/>
    <col min="9" max="9" width="6.140625" style="765" customWidth="1"/>
    <col min="10" max="11" width="6.5703125" style="765" customWidth="1"/>
    <col min="12" max="12" width="6.85546875" style="765" customWidth="1"/>
    <col min="13" max="13" width="7" style="765" customWidth="1"/>
    <col min="14" max="14" width="12.28515625" style="765" customWidth="1"/>
    <col min="15" max="15" width="4.7109375" style="765" customWidth="1"/>
    <col min="16" max="16" width="18.85546875" style="765" customWidth="1"/>
    <col min="17" max="17" width="7.140625" style="765" customWidth="1"/>
    <col min="18" max="18" width="6.42578125" style="765" bestFit="1" customWidth="1"/>
    <col min="19" max="19" width="7.42578125" style="765" hidden="1" customWidth="1"/>
    <col min="20" max="20" width="12.85546875" style="765" customWidth="1"/>
    <col min="21" max="21" width="5" style="22" customWidth="1"/>
    <col min="22" max="22" width="6.7109375" style="23" customWidth="1"/>
    <col min="23" max="23" width="7.28515625" style="23" customWidth="1"/>
    <col min="24" max="24" width="6.140625" style="23" customWidth="1"/>
    <col min="25" max="25" width="6.7109375" style="23" customWidth="1"/>
    <col min="26" max="26" width="6.85546875" style="23" customWidth="1"/>
    <col min="27" max="27" width="5.85546875" style="23" customWidth="1"/>
    <col min="28" max="28" width="9.42578125" style="23" customWidth="1"/>
    <col min="29" max="32" width="6.7109375" style="23" customWidth="1"/>
    <col min="33" max="33" width="9" style="23" customWidth="1"/>
    <col min="34" max="35" width="11.42578125" style="765"/>
    <col min="36" max="36" width="5" style="765" customWidth="1"/>
    <col min="37" max="37" width="11" style="765" customWidth="1"/>
    <col min="38" max="48" width="8.5703125" style="765" customWidth="1"/>
    <col min="49" max="49" width="15.28515625" style="765" customWidth="1"/>
    <col min="50" max="54" width="11.42578125" style="765"/>
    <col min="55" max="77" width="11.42578125" style="497"/>
  </cols>
  <sheetData>
    <row r="1" spans="1:77" ht="16.5" customHeight="1">
      <c r="A1" s="1435" t="s">
        <v>253</v>
      </c>
      <c r="B1" s="1435"/>
      <c r="C1" s="1435"/>
      <c r="D1" s="1435"/>
      <c r="E1" s="1435"/>
      <c r="F1" s="1435"/>
      <c r="G1" s="1435"/>
      <c r="H1" s="1435"/>
      <c r="I1" s="1435"/>
      <c r="J1" s="1435"/>
      <c r="K1" s="1435"/>
      <c r="L1" s="1435"/>
      <c r="M1" s="1435"/>
      <c r="N1" s="1435"/>
      <c r="O1" s="21"/>
      <c r="P1" s="8"/>
      <c r="Q1" s="8"/>
      <c r="R1" s="20"/>
      <c r="S1" s="20"/>
      <c r="T1" s="20"/>
      <c r="V1" s="1005"/>
      <c r="W1" s="1005"/>
      <c r="X1" s="1005"/>
      <c r="Y1" s="1005"/>
      <c r="Z1" s="1005"/>
      <c r="AA1" s="1005"/>
      <c r="AB1" s="1005"/>
      <c r="AC1" s="1005"/>
      <c r="AD1" s="1005"/>
      <c r="AE1" s="1005"/>
      <c r="AF1" s="1005"/>
      <c r="AG1" s="1005"/>
      <c r="AH1" s="505" t="s">
        <v>253</v>
      </c>
      <c r="AI1" s="504"/>
      <c r="AJ1" s="504"/>
      <c r="AK1" s="504"/>
      <c r="AL1" s="504"/>
      <c r="AM1" s="504"/>
      <c r="AN1" s="504"/>
      <c r="AO1" s="504"/>
      <c r="AP1" s="504"/>
      <c r="AQ1" s="504"/>
      <c r="AR1" s="504"/>
      <c r="AS1" s="504"/>
      <c r="AT1" s="504"/>
      <c r="AU1" s="504"/>
      <c r="AV1" s="504"/>
      <c r="AW1" s="504"/>
    </row>
    <row r="2" spans="1:77" ht="16.5" customHeight="1">
      <c r="A2" s="21"/>
      <c r="B2" s="21"/>
      <c r="C2" s="21"/>
      <c r="D2" s="444"/>
      <c r="E2" s="444"/>
      <c r="F2" s="444" t="s">
        <v>254</v>
      </c>
      <c r="G2" s="444"/>
      <c r="H2" s="444"/>
      <c r="I2" s="21"/>
      <c r="J2" s="21"/>
      <c r="K2" s="21"/>
      <c r="L2" s="21"/>
      <c r="M2" s="21"/>
      <c r="N2" s="21"/>
      <c r="O2" s="21"/>
      <c r="P2" s="8"/>
      <c r="Q2" s="8"/>
      <c r="R2" s="20"/>
      <c r="S2" s="20"/>
      <c r="T2" s="20"/>
      <c r="V2" s="1005"/>
      <c r="W2" s="1005"/>
      <c r="X2" s="1005"/>
      <c r="Y2" s="1005"/>
      <c r="Z2" s="1005"/>
      <c r="AA2" s="1005"/>
      <c r="AB2" s="1005"/>
      <c r="AC2" s="1005"/>
      <c r="AD2" s="1005"/>
      <c r="AE2" s="1005"/>
      <c r="AF2" s="1005"/>
      <c r="AG2" s="1005"/>
      <c r="AH2" s="505" t="s">
        <v>79</v>
      </c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</row>
    <row r="3" spans="1:77" ht="16.5" customHeight="1">
      <c r="A3" s="21" t="s">
        <v>255</v>
      </c>
      <c r="B3" s="21"/>
      <c r="C3" s="21"/>
      <c r="D3" s="444"/>
      <c r="E3" s="444"/>
      <c r="F3" s="444"/>
      <c r="G3" s="444"/>
      <c r="H3" s="444"/>
      <c r="I3" s="21"/>
      <c r="J3" s="21"/>
      <c r="K3" s="21"/>
      <c r="L3" s="21"/>
      <c r="M3" s="21"/>
      <c r="N3" s="21"/>
      <c r="O3" s="21"/>
      <c r="P3" s="8"/>
      <c r="Q3" s="8"/>
      <c r="R3" s="21"/>
      <c r="S3" s="21"/>
      <c r="T3" s="21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515" t="s">
        <v>1203</v>
      </c>
      <c r="AI3" s="515"/>
      <c r="AJ3" s="515"/>
      <c r="AK3" s="515"/>
      <c r="AL3" s="8"/>
      <c r="AM3" s="8"/>
      <c r="AN3" s="8"/>
      <c r="AO3" s="308"/>
      <c r="AP3" s="516"/>
      <c r="AQ3" s="516"/>
      <c r="AR3" s="516"/>
      <c r="AS3" s="516"/>
      <c r="AT3" s="516"/>
      <c r="AU3" s="516"/>
      <c r="AV3" s="516"/>
      <c r="AW3" s="516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</row>
    <row r="4" spans="1:77" s="25" customFormat="1" ht="16.5" customHeight="1" thickBot="1">
      <c r="A4" s="21" t="s">
        <v>256</v>
      </c>
      <c r="B4" s="21"/>
      <c r="C4" s="21"/>
      <c r="D4" s="444"/>
      <c r="E4" s="444"/>
      <c r="F4" s="444"/>
      <c r="G4" s="444"/>
      <c r="H4" s="444"/>
      <c r="I4" s="445" t="str">
        <f>etat!N4</f>
        <v>السنة الدراسية : 2025/2026</v>
      </c>
      <c r="J4" s="445"/>
      <c r="K4" s="445"/>
      <c r="L4" s="445"/>
      <c r="M4" s="21"/>
      <c r="N4" s="21"/>
      <c r="O4" s="21"/>
      <c r="P4" s="8"/>
      <c r="Q4" s="8"/>
      <c r="R4" s="21"/>
      <c r="S4" s="309" t="s">
        <v>496</v>
      </c>
      <c r="T4" s="310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7"/>
      <c r="AI4" s="8" t="s">
        <v>1204</v>
      </c>
      <c r="AJ4" s="8"/>
      <c r="AK4" s="8"/>
      <c r="AL4" s="13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</row>
    <row r="5" spans="1:77" s="25" customFormat="1" ht="16.5" customHeight="1" thickTop="1" thickBot="1">
      <c r="A5" s="21"/>
      <c r="B5" s="21"/>
      <c r="C5" s="21"/>
      <c r="D5" s="444"/>
      <c r="E5" s="444"/>
      <c r="F5" s="444"/>
      <c r="G5" s="444"/>
      <c r="H5" s="444"/>
      <c r="I5" s="21"/>
      <c r="J5" s="21"/>
      <c r="K5" s="21"/>
      <c r="L5" s="21"/>
      <c r="M5" s="21"/>
      <c r="N5" s="21"/>
      <c r="O5" s="21"/>
      <c r="P5" s="8"/>
      <c r="Q5" s="8"/>
      <c r="R5" s="21"/>
      <c r="S5" s="21"/>
      <c r="T5" s="21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506" t="s">
        <v>258</v>
      </c>
      <c r="AI5" s="392" t="s">
        <v>1197</v>
      </c>
      <c r="AJ5" s="393"/>
      <c r="AK5" s="312" t="s">
        <v>1198</v>
      </c>
      <c r="AL5" s="389" t="s">
        <v>1199</v>
      </c>
      <c r="AM5" s="389" t="s">
        <v>1474</v>
      </c>
      <c r="AN5" s="389" t="s">
        <v>1475</v>
      </c>
      <c r="AO5" s="389" t="s">
        <v>1476</v>
      </c>
      <c r="AP5" s="776"/>
      <c r="AQ5" s="390" t="s">
        <v>1200</v>
      </c>
      <c r="AR5" s="389" t="s">
        <v>1465</v>
      </c>
      <c r="AS5" s="389" t="s">
        <v>1466</v>
      </c>
      <c r="AT5" s="389" t="s">
        <v>1495</v>
      </c>
      <c r="AU5" s="313"/>
      <c r="AV5" s="3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</row>
    <row r="6" spans="1:77" s="25" customFormat="1" ht="16.5" customHeight="1" thickTop="1" thickBot="1">
      <c r="A6" s="21"/>
      <c r="B6" s="21"/>
      <c r="C6" s="21"/>
      <c r="D6" s="446" t="s">
        <v>2284</v>
      </c>
      <c r="E6" s="444"/>
      <c r="F6" s="444"/>
      <c r="G6" s="444"/>
      <c r="H6" s="444"/>
      <c r="I6" s="21"/>
      <c r="J6" s="447"/>
      <c r="K6" s="21"/>
      <c r="L6" s="21"/>
      <c r="M6" s="21"/>
      <c r="N6" s="21"/>
      <c r="O6" s="21"/>
      <c r="P6" s="8"/>
      <c r="Q6" s="8"/>
      <c r="R6" s="21"/>
      <c r="S6" s="21"/>
      <c r="T6" s="21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507"/>
      <c r="AI6" s="394" t="s">
        <v>1201</v>
      </c>
      <c r="AJ6" s="395"/>
      <c r="AK6" s="312" t="s">
        <v>259</v>
      </c>
      <c r="AL6" s="389" t="s">
        <v>1474</v>
      </c>
      <c r="AM6" s="389" t="s">
        <v>1475</v>
      </c>
      <c r="AN6" s="389" t="s">
        <v>1476</v>
      </c>
      <c r="AO6" s="389" t="s">
        <v>1477</v>
      </c>
      <c r="AP6" s="776"/>
      <c r="AQ6" s="390" t="s">
        <v>1465</v>
      </c>
      <c r="AR6" s="389" t="s">
        <v>1466</v>
      </c>
      <c r="AS6" s="389" t="s">
        <v>1495</v>
      </c>
      <c r="AT6" s="389" t="s">
        <v>1496</v>
      </c>
      <c r="AU6" s="314"/>
      <c r="AV6" s="314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</row>
    <row r="7" spans="1:77" s="25" customFormat="1" ht="16.5" customHeight="1" thickBot="1">
      <c r="A7" s="21"/>
      <c r="B7" s="21"/>
      <c r="C7" s="21"/>
      <c r="D7" s="21"/>
      <c r="E7" s="448" t="s">
        <v>257</v>
      </c>
      <c r="F7" s="1439" t="str">
        <f>TEXT($H$7,"dddd")</f>
        <v>dddd</v>
      </c>
      <c r="G7" s="1439"/>
      <c r="H7" s="1466">
        <f>T55</f>
        <v>45782</v>
      </c>
      <c r="I7" s="1466"/>
      <c r="J7" s="1466"/>
      <c r="K7" s="449"/>
      <c r="L7" s="449"/>
      <c r="M7" s="315"/>
      <c r="N7" s="315"/>
      <c r="O7" s="315"/>
      <c r="P7" s="27"/>
      <c r="Q7" s="27"/>
      <c r="R7" s="315"/>
      <c r="S7" s="315"/>
      <c r="T7" s="315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488">
        <v>1</v>
      </c>
      <c r="AI7" s="994" t="s">
        <v>272</v>
      </c>
      <c r="AJ7" s="287"/>
      <c r="AK7" s="282" t="s">
        <v>262</v>
      </c>
      <c r="AL7" s="768" t="s">
        <v>326</v>
      </c>
      <c r="AM7" s="768" t="s">
        <v>326</v>
      </c>
      <c r="AN7" s="768" t="s">
        <v>824</v>
      </c>
      <c r="AO7" s="768" t="s">
        <v>824</v>
      </c>
      <c r="AP7" s="785"/>
      <c r="AQ7" s="282" t="s">
        <v>828</v>
      </c>
      <c r="AR7" s="282" t="s">
        <v>1518</v>
      </c>
      <c r="AS7" s="282"/>
      <c r="AT7" s="318"/>
      <c r="AU7" s="318"/>
      <c r="AV7" s="318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</row>
    <row r="8" spans="1:77" s="25" customFormat="1" ht="16.5" customHeight="1" thickBot="1">
      <c r="A8" s="450">
        <v>-1</v>
      </c>
      <c r="B8" s="293" t="s">
        <v>261</v>
      </c>
      <c r="C8" s="293"/>
      <c r="D8" s="388"/>
      <c r="E8" s="451"/>
      <c r="F8" s="388"/>
      <c r="G8" s="388"/>
      <c r="H8" s="388"/>
      <c r="I8" s="293"/>
      <c r="J8" s="293"/>
      <c r="K8" s="293"/>
      <c r="L8" s="293"/>
      <c r="M8" s="293"/>
      <c r="N8" s="293"/>
      <c r="O8" s="293"/>
      <c r="P8" s="11"/>
      <c r="Q8" s="11"/>
      <c r="T8" s="293"/>
      <c r="AH8" s="488">
        <v>2</v>
      </c>
      <c r="AI8" s="994" t="s">
        <v>274</v>
      </c>
      <c r="AJ8" s="287"/>
      <c r="AK8" s="282" t="s">
        <v>262</v>
      </c>
      <c r="AL8" s="282" t="s">
        <v>1530</v>
      </c>
      <c r="AM8" s="282"/>
      <c r="AN8" s="24" t="s">
        <v>1175</v>
      </c>
      <c r="AO8" s="24" t="s">
        <v>1175</v>
      </c>
      <c r="AP8" s="786"/>
      <c r="AQ8" s="768"/>
      <c r="AR8" s="768" t="s">
        <v>1174</v>
      </c>
      <c r="AS8" s="768"/>
      <c r="AT8" s="281"/>
      <c r="AU8" s="281"/>
      <c r="AV8" s="281"/>
    </row>
    <row r="9" spans="1:77" s="25" customFormat="1" ht="16.5" customHeight="1" thickBot="1">
      <c r="A9" s="1422" t="s">
        <v>258</v>
      </c>
      <c r="B9" s="1422" t="s">
        <v>1197</v>
      </c>
      <c r="C9" s="1422"/>
      <c r="D9" s="1422" t="s">
        <v>1198</v>
      </c>
      <c r="E9" s="1422"/>
      <c r="F9" s="716" t="s">
        <v>1199</v>
      </c>
      <c r="G9" s="716" t="s">
        <v>1474</v>
      </c>
      <c r="H9" s="716" t="s">
        <v>1475</v>
      </c>
      <c r="I9" s="716" t="s">
        <v>1476</v>
      </c>
      <c r="J9" s="716" t="s">
        <v>1200</v>
      </c>
      <c r="K9" s="716" t="s">
        <v>1465</v>
      </c>
      <c r="L9" s="716" t="s">
        <v>1466</v>
      </c>
      <c r="M9" s="716" t="s">
        <v>1495</v>
      </c>
      <c r="N9" s="1442" t="s">
        <v>260</v>
      </c>
      <c r="O9" s="13"/>
      <c r="P9" s="1411" t="s">
        <v>607</v>
      </c>
      <c r="Q9" s="1411"/>
      <c r="S9" s="521" t="s">
        <v>304</v>
      </c>
      <c r="T9" s="293"/>
      <c r="AH9" s="488">
        <v>3</v>
      </c>
      <c r="AI9" s="994" t="s">
        <v>427</v>
      </c>
      <c r="AJ9" s="287"/>
      <c r="AK9" s="282" t="s">
        <v>262</v>
      </c>
      <c r="AL9" s="768"/>
      <c r="AM9" s="768"/>
      <c r="AN9" s="282"/>
      <c r="AO9" s="768"/>
      <c r="AP9" s="769"/>
      <c r="AQ9" s="768"/>
      <c r="AR9" s="768"/>
      <c r="AS9" s="768"/>
      <c r="AT9" s="281"/>
      <c r="AU9" s="274"/>
      <c r="AV9" s="274"/>
    </row>
    <row r="10" spans="1:77" s="25" customFormat="1" ht="16.5" customHeight="1" thickBot="1">
      <c r="A10" s="1422"/>
      <c r="B10" s="1422" t="s">
        <v>1201</v>
      </c>
      <c r="C10" s="1422"/>
      <c r="D10" s="1422" t="s">
        <v>259</v>
      </c>
      <c r="E10" s="1422"/>
      <c r="F10" s="716" t="s">
        <v>1474</v>
      </c>
      <c r="G10" s="716" t="s">
        <v>1475</v>
      </c>
      <c r="H10" s="716" t="s">
        <v>1476</v>
      </c>
      <c r="I10" s="716" t="s">
        <v>1477</v>
      </c>
      <c r="J10" s="716" t="s">
        <v>1465</v>
      </c>
      <c r="K10" s="716" t="s">
        <v>1466</v>
      </c>
      <c r="L10" s="716" t="s">
        <v>1495</v>
      </c>
      <c r="M10" s="716" t="s">
        <v>1496</v>
      </c>
      <c r="N10" s="1443"/>
      <c r="O10" s="293"/>
      <c r="P10" s="296" t="s">
        <v>608</v>
      </c>
      <c r="Q10" s="1412" t="s">
        <v>260</v>
      </c>
      <c r="R10" s="1413"/>
      <c r="S10" s="518" t="s">
        <v>614</v>
      </c>
      <c r="T10" s="293"/>
      <c r="AH10" s="488">
        <v>4</v>
      </c>
      <c r="AI10" s="994" t="s">
        <v>1943</v>
      </c>
      <c r="AJ10" s="287"/>
      <c r="AK10" s="282" t="s">
        <v>262</v>
      </c>
      <c r="AL10" s="768" t="s">
        <v>1176</v>
      </c>
      <c r="AM10" s="768" t="s">
        <v>1176</v>
      </c>
      <c r="AN10" s="768"/>
      <c r="AO10" s="768" t="s">
        <v>328</v>
      </c>
      <c r="AP10" s="785"/>
      <c r="AQ10" s="282"/>
      <c r="AR10" s="282"/>
      <c r="AS10" s="282" t="s">
        <v>268</v>
      </c>
      <c r="AT10" s="274" t="s">
        <v>1962</v>
      </c>
      <c r="AU10" s="274"/>
      <c r="AV10" s="274"/>
    </row>
    <row r="11" spans="1:77" s="25" customFormat="1" ht="16.5" customHeight="1" thickBot="1">
      <c r="A11" s="531">
        <v>1</v>
      </c>
      <c r="B11" s="1067" t="str">
        <f t="shared" ref="B11:B20" si="0">VLOOKUP(P11,$AH$7:$AW$61,2,FALSE)</f>
        <v>بوجلال ريمة</v>
      </c>
      <c r="C11" s="1068"/>
      <c r="D11" s="1460" t="str">
        <f t="shared" ref="D11:D20" si="1">VLOOKUP(P11,$AH$7:$AW$61,4,FALSE)</f>
        <v>انجليزية</v>
      </c>
      <c r="E11" s="1460" t="str">
        <f t="shared" ref="E11:E20" si="2">VLOOKUP(P11,$AH$7:$AW$61,5,FALSE)</f>
        <v>3آف1</v>
      </c>
      <c r="F11" s="1078" t="str">
        <f t="shared" ref="F11:F20" si="3">VLOOKUP(P11,$AH$7:$AW$61,5,FALSE)</f>
        <v>3آف1</v>
      </c>
      <c r="G11" s="1078" t="str">
        <f t="shared" ref="G11:G20" si="4">VLOOKUP(P11,$AH$7:$AW$61,6,FALSE)</f>
        <v>3ع1</v>
      </c>
      <c r="H11" s="1079" t="str">
        <f t="shared" ref="H11:H20" si="5">VLOOKUP(P11,$AH$7:$AW$61,7,FALSE)</f>
        <v>1ع3</v>
      </c>
      <c r="I11" s="1135">
        <f t="shared" ref="I11:I20" si="6">VLOOKUP(P11,$AH$7:$AW$61,8,FALSE)</f>
        <v>0</v>
      </c>
      <c r="J11" s="1078" t="str">
        <f t="shared" ref="J11:J20" si="7">VLOOKUP(P11,$AH$7:$AW$61,10,FALSE)</f>
        <v>3ت ر</v>
      </c>
      <c r="K11" s="1078" t="str">
        <f t="shared" ref="K11:K20" si="8">VLOOKUP(P11,$AH$7:$AW$61,11,FALSE)</f>
        <v>1ع2</v>
      </c>
      <c r="L11" s="1130">
        <f t="shared" ref="L11:L20" si="9">VLOOKUP(P11,$AH$7:$AW$61,12,FALSE)</f>
        <v>0</v>
      </c>
      <c r="M11" s="1136">
        <f t="shared" ref="M11:M20" si="10">VLOOKUP(P11,$AH$7:$AW$61,13,FALSE)</f>
        <v>0</v>
      </c>
      <c r="N11" s="1080" t="str">
        <f>VLOOKUP(Q11,اس!$S$3:$T$31,2,FALSE)</f>
        <v>.</v>
      </c>
      <c r="O11" s="293"/>
      <c r="P11" s="297">
        <v>41</v>
      </c>
      <c r="Q11" s="923">
        <v>5</v>
      </c>
      <c r="R11" s="812"/>
      <c r="S11" s="519" t="s">
        <v>615</v>
      </c>
      <c r="T11" s="293"/>
      <c r="AH11" s="488">
        <v>5</v>
      </c>
      <c r="AI11" s="994" t="s">
        <v>1220</v>
      </c>
      <c r="AJ11" s="287"/>
      <c r="AK11" s="282" t="s">
        <v>262</v>
      </c>
      <c r="AL11" s="282"/>
      <c r="AM11" s="282" t="s">
        <v>1248</v>
      </c>
      <c r="AN11" s="792" t="s">
        <v>1850</v>
      </c>
      <c r="AO11" s="792" t="s">
        <v>1850</v>
      </c>
      <c r="AP11" s="769"/>
      <c r="AQ11" s="789" t="s">
        <v>819</v>
      </c>
      <c r="AR11" s="789" t="s">
        <v>2226</v>
      </c>
      <c r="AS11" s="282"/>
      <c r="AT11" s="282"/>
      <c r="AU11" s="274"/>
      <c r="AV11" s="274"/>
    </row>
    <row r="12" spans="1:77" s="25" customFormat="1" ht="16.5" customHeight="1" thickBot="1">
      <c r="A12" s="532">
        <v>2</v>
      </c>
      <c r="B12" s="1069" t="str">
        <f t="shared" si="0"/>
        <v>خشعي فتيحة</v>
      </c>
      <c r="C12" s="1070"/>
      <c r="D12" s="1459" t="str">
        <f t="shared" si="1"/>
        <v>رياضيات</v>
      </c>
      <c r="E12" s="1459" t="str">
        <f t="shared" si="2"/>
        <v>1اد3</v>
      </c>
      <c r="F12" s="1101" t="str">
        <f t="shared" si="3"/>
        <v>1اد3</v>
      </c>
      <c r="G12" s="1131">
        <f t="shared" si="4"/>
        <v>0</v>
      </c>
      <c r="H12" s="1101" t="str">
        <f t="shared" si="5"/>
        <v>1ع4</v>
      </c>
      <c r="I12" s="1101" t="str">
        <f t="shared" si="6"/>
        <v>1ع4</v>
      </c>
      <c r="J12" s="1131">
        <f>VLOOKUP(P12,$AH$7:$AW$61,10,FALSE)</f>
        <v>0</v>
      </c>
      <c r="K12" s="1101" t="str">
        <f t="shared" si="8"/>
        <v>2ت اق2</v>
      </c>
      <c r="L12" s="1026">
        <f t="shared" si="9"/>
        <v>0</v>
      </c>
      <c r="M12" s="1027">
        <f>VLOOKUP(P12,$AH$7:$AW$61,13,FALSE)</f>
        <v>0</v>
      </c>
      <c r="N12" s="1080" t="str">
        <f>VLOOKUP(Q12,اس!$S$3:$T$31,2,FALSE)</f>
        <v>.</v>
      </c>
      <c r="O12" s="293"/>
      <c r="P12" s="297">
        <v>2</v>
      </c>
      <c r="Q12" s="923">
        <v>5</v>
      </c>
      <c r="R12" s="924"/>
      <c r="S12" s="519" t="s">
        <v>628</v>
      </c>
      <c r="T12" s="293"/>
      <c r="AH12" s="488">
        <v>6</v>
      </c>
      <c r="AI12" s="994" t="s">
        <v>1219</v>
      </c>
      <c r="AJ12" s="287"/>
      <c r="AK12" s="282" t="s">
        <v>262</v>
      </c>
      <c r="AL12" s="768"/>
      <c r="AM12" s="768"/>
      <c r="AN12" s="792"/>
      <c r="AO12" s="768"/>
      <c r="AP12" s="785"/>
      <c r="AQ12" s="282"/>
      <c r="AR12" s="282"/>
      <c r="AS12" s="282"/>
      <c r="AT12" s="274"/>
      <c r="AU12" s="274"/>
      <c r="AV12" s="274"/>
    </row>
    <row r="13" spans="1:77" s="244" customFormat="1" ht="16.5" customHeight="1" thickBot="1">
      <c r="A13" s="532">
        <v>3</v>
      </c>
      <c r="B13" s="1069" t="str">
        <f t="shared" si="0"/>
        <v>بدراني الحاج</v>
      </c>
      <c r="C13" s="1070"/>
      <c r="D13" s="1459" t="str">
        <f t="shared" si="1"/>
        <v>فرنسية</v>
      </c>
      <c r="E13" s="1459">
        <f t="shared" si="2"/>
        <v>0</v>
      </c>
      <c r="F13" s="1026">
        <f t="shared" si="3"/>
        <v>0</v>
      </c>
      <c r="G13" s="1026">
        <f t="shared" si="4"/>
        <v>0</v>
      </c>
      <c r="H13" s="1100" t="str">
        <f t="shared" si="5"/>
        <v>1اد1</v>
      </c>
      <c r="I13" s="1100" t="str">
        <f t="shared" si="6"/>
        <v>1اد1</v>
      </c>
      <c r="J13" s="1101" t="str">
        <f t="shared" si="7"/>
        <v>3ع1</v>
      </c>
      <c r="K13" s="1101" t="str">
        <f t="shared" si="8"/>
        <v>3ع2</v>
      </c>
      <c r="L13" s="1100" t="str">
        <f t="shared" si="9"/>
        <v>3ت اق1</v>
      </c>
      <c r="M13" s="1027">
        <f t="shared" si="10"/>
        <v>0</v>
      </c>
      <c r="N13" s="1080" t="str">
        <f>VLOOKUP(Q13,اس!$S$3:$T$31,2,FALSE)</f>
        <v>.</v>
      </c>
      <c r="O13" s="293"/>
      <c r="P13" s="297">
        <v>35</v>
      </c>
      <c r="Q13" s="923">
        <v>5</v>
      </c>
      <c r="R13" s="924"/>
      <c r="S13" s="520"/>
      <c r="T13" s="293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488">
        <v>7</v>
      </c>
      <c r="AI13" s="994" t="s">
        <v>808</v>
      </c>
      <c r="AJ13" s="287"/>
      <c r="AK13" s="282" t="s">
        <v>270</v>
      </c>
      <c r="AL13" s="282"/>
      <c r="AM13" s="282"/>
      <c r="AN13" s="282"/>
      <c r="AO13" s="282"/>
      <c r="AP13" s="769"/>
      <c r="AQ13" s="282"/>
      <c r="AR13" s="768"/>
      <c r="AS13" s="768"/>
      <c r="AT13" s="281"/>
      <c r="AU13" s="281"/>
      <c r="AV13" s="281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</row>
    <row r="14" spans="1:77" s="166" customFormat="1" ht="16.5" customHeight="1" thickBot="1">
      <c r="A14" s="533">
        <v>4</v>
      </c>
      <c r="B14" s="1069" t="str">
        <f t="shared" si="0"/>
        <v>صلاة عبدالقادر</v>
      </c>
      <c r="C14" s="1070"/>
      <c r="D14" s="1459" t="str">
        <f t="shared" si="1"/>
        <v>معلوماتية</v>
      </c>
      <c r="E14" s="1459" t="str">
        <f t="shared" si="2"/>
        <v>1ع4</v>
      </c>
      <c r="F14" s="1100" t="str">
        <f t="shared" si="3"/>
        <v>1ع4</v>
      </c>
      <c r="G14" s="1100" t="str">
        <f t="shared" si="4"/>
        <v>1ع4</v>
      </c>
      <c r="H14" s="1026">
        <f t="shared" si="5"/>
        <v>0</v>
      </c>
      <c r="I14" s="1100" t="str">
        <f t="shared" si="6"/>
        <v>1اد2</v>
      </c>
      <c r="J14" s="1131">
        <f t="shared" si="7"/>
        <v>0</v>
      </c>
      <c r="K14" s="1131">
        <f t="shared" si="8"/>
        <v>0</v>
      </c>
      <c r="L14" s="1131">
        <f t="shared" si="9"/>
        <v>0</v>
      </c>
      <c r="M14" s="1137">
        <f t="shared" si="10"/>
        <v>0</v>
      </c>
      <c r="N14" s="1080" t="str">
        <f>VLOOKUP(Q14,اس!$S$3:$T$31,2,FALSE)</f>
        <v>.</v>
      </c>
      <c r="O14" s="293"/>
      <c r="P14" s="297">
        <v>49</v>
      </c>
      <c r="Q14" s="923">
        <v>5</v>
      </c>
      <c r="R14" s="924"/>
      <c r="S14" s="25"/>
      <c r="T14" s="293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488">
        <v>8</v>
      </c>
      <c r="AI14" s="994" t="s">
        <v>955</v>
      </c>
      <c r="AJ14" s="287"/>
      <c r="AK14" s="282" t="s">
        <v>270</v>
      </c>
      <c r="AL14" s="282"/>
      <c r="AM14" s="282"/>
      <c r="AN14" s="282"/>
      <c r="AO14" s="282"/>
      <c r="AP14" s="769"/>
      <c r="AQ14" s="282" t="s">
        <v>1530</v>
      </c>
      <c r="AR14" s="282" t="s">
        <v>1530</v>
      </c>
      <c r="AS14" s="282"/>
      <c r="AT14" s="274"/>
      <c r="AU14" s="274"/>
      <c r="AV14" s="274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</row>
    <row r="15" spans="1:77" s="295" customFormat="1" ht="16.5" customHeight="1" thickBot="1">
      <c r="A15" s="533">
        <v>5</v>
      </c>
      <c r="B15" s="1069" t="str">
        <f t="shared" si="0"/>
        <v>مرزوقي هاجر</v>
      </c>
      <c r="C15" s="1070"/>
      <c r="D15" s="1459" t="str">
        <f t="shared" si="1"/>
        <v>فرنسية</v>
      </c>
      <c r="E15" s="1459">
        <f t="shared" si="2"/>
        <v>0</v>
      </c>
      <c r="F15" s="1026">
        <f t="shared" si="3"/>
        <v>0</v>
      </c>
      <c r="G15" s="1026">
        <f t="shared" si="4"/>
        <v>0</v>
      </c>
      <c r="H15" s="1026">
        <f t="shared" si="5"/>
        <v>0</v>
      </c>
      <c r="I15" s="1026">
        <f t="shared" si="6"/>
        <v>0</v>
      </c>
      <c r="J15" s="1101" t="str">
        <f>VLOOKUP(P15,$AH$7:$AW$61,10,FALSE)</f>
        <v>3ل ا</v>
      </c>
      <c r="K15" s="1101" t="str">
        <f t="shared" si="8"/>
        <v>1ع1</v>
      </c>
      <c r="L15" s="1101" t="str">
        <f t="shared" si="9"/>
        <v>3آف2</v>
      </c>
      <c r="M15" s="1137">
        <f t="shared" si="10"/>
        <v>0</v>
      </c>
      <c r="N15" s="1080" t="str">
        <f>VLOOKUP(Q15,اس!$S$3:$T$31,2,FALSE)</f>
        <v>.</v>
      </c>
      <c r="O15" s="293"/>
      <c r="P15" s="297">
        <v>37</v>
      </c>
      <c r="Q15" s="923">
        <v>5</v>
      </c>
      <c r="R15" s="924"/>
      <c r="S15" s="25"/>
      <c r="T15" s="293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488">
        <v>9</v>
      </c>
      <c r="AI15" s="994" t="s">
        <v>1250</v>
      </c>
      <c r="AJ15" s="513"/>
      <c r="AK15" s="282" t="s">
        <v>270</v>
      </c>
      <c r="AL15" s="768"/>
      <c r="AM15" s="768"/>
      <c r="AN15" s="768"/>
      <c r="AO15" s="768"/>
      <c r="AP15" s="769"/>
      <c r="AQ15" s="282" t="s">
        <v>326</v>
      </c>
      <c r="AR15" s="282" t="s">
        <v>824</v>
      </c>
      <c r="AS15" s="282" t="s">
        <v>1529</v>
      </c>
      <c r="AT15" s="274"/>
      <c r="AU15" s="274"/>
      <c r="AV15" s="274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</row>
    <row r="16" spans="1:77" s="295" customFormat="1" ht="16.5" customHeight="1" thickBot="1">
      <c r="A16" s="533">
        <v>6</v>
      </c>
      <c r="B16" s="1069" t="str">
        <f t="shared" si="0"/>
        <v>حمداد سيداحمد</v>
      </c>
      <c r="C16" s="1070"/>
      <c r="D16" s="1416" t="str">
        <f t="shared" si="1"/>
        <v>ت بدنية</v>
      </c>
      <c r="E16" s="1416">
        <f t="shared" si="2"/>
        <v>0</v>
      </c>
      <c r="F16" s="1026">
        <f t="shared" si="3"/>
        <v>0</v>
      </c>
      <c r="G16" s="1026">
        <f t="shared" si="4"/>
        <v>0</v>
      </c>
      <c r="H16" s="1026">
        <f t="shared" si="5"/>
        <v>0</v>
      </c>
      <c r="I16" s="1026">
        <f t="shared" si="6"/>
        <v>0</v>
      </c>
      <c r="J16" s="1101" t="str">
        <f t="shared" si="7"/>
        <v>3آف1</v>
      </c>
      <c r="K16" s="1101" t="str">
        <f t="shared" si="8"/>
        <v>3آف1</v>
      </c>
      <c r="L16" s="1101" t="str">
        <f t="shared" si="9"/>
        <v>3ت اق2</v>
      </c>
      <c r="M16" s="1120" t="str">
        <f t="shared" si="10"/>
        <v>3ت اق2</v>
      </c>
      <c r="N16" s="1080" t="str">
        <f>VLOOKUP(Q16,اس!$S$3:$T$31,2,FALSE)</f>
        <v>.</v>
      </c>
      <c r="O16" s="293"/>
      <c r="P16" s="297">
        <v>52</v>
      </c>
      <c r="Q16" s="923">
        <v>5</v>
      </c>
      <c r="R16" s="924"/>
      <c r="S16" s="25"/>
      <c r="T16" s="293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488">
        <v>10</v>
      </c>
      <c r="AI16" s="994" t="s">
        <v>1221</v>
      </c>
      <c r="AJ16" s="287"/>
      <c r="AK16" s="282" t="s">
        <v>270</v>
      </c>
      <c r="AL16" s="768"/>
      <c r="AM16" s="768"/>
      <c r="AN16" s="768"/>
      <c r="AO16" s="768"/>
      <c r="AP16" s="769"/>
      <c r="AQ16" s="282" t="s">
        <v>2212</v>
      </c>
      <c r="AR16" s="282" t="s">
        <v>2212</v>
      </c>
      <c r="AS16" s="282"/>
      <c r="AT16" s="274"/>
      <c r="AU16" s="274"/>
      <c r="AV16" s="274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</row>
    <row r="17" spans="1:77" s="295" customFormat="1" ht="16.5" customHeight="1" thickBot="1">
      <c r="A17" s="533">
        <v>7</v>
      </c>
      <c r="B17" s="1069" t="str">
        <f t="shared" si="0"/>
        <v>بوهند حمزة</v>
      </c>
      <c r="C17" s="1070"/>
      <c r="D17" s="1456" t="str">
        <f t="shared" si="1"/>
        <v>ت بدنية</v>
      </c>
      <c r="E17" s="1456">
        <f t="shared" si="2"/>
        <v>0</v>
      </c>
      <c r="F17" s="1026">
        <f t="shared" si="3"/>
        <v>0</v>
      </c>
      <c r="G17" s="1026">
        <f t="shared" si="4"/>
        <v>0</v>
      </c>
      <c r="H17" s="1026">
        <f t="shared" si="5"/>
        <v>0</v>
      </c>
      <c r="I17" s="1026">
        <f t="shared" si="6"/>
        <v>0</v>
      </c>
      <c r="J17" s="1100" t="str">
        <f t="shared" si="7"/>
        <v>2ع1</v>
      </c>
      <c r="K17" s="1100" t="str">
        <f>VLOOKUP(P17,$AH$7:$AW$61,11,FALSE)</f>
        <v>2ع1</v>
      </c>
      <c r="L17" s="1100" t="str">
        <f t="shared" si="9"/>
        <v>3ع1</v>
      </c>
      <c r="M17" s="1115" t="str">
        <f t="shared" si="10"/>
        <v>3ع1</v>
      </c>
      <c r="N17" s="1080" t="str">
        <f>VLOOKUP(Q17,اس!$S$3:$T$31,2,FALSE)</f>
        <v>.</v>
      </c>
      <c r="O17" s="293"/>
      <c r="P17" s="297">
        <v>54</v>
      </c>
      <c r="Q17" s="923">
        <v>5</v>
      </c>
      <c r="R17" s="924"/>
      <c r="S17" s="25"/>
      <c r="T17" s="293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488">
        <v>11</v>
      </c>
      <c r="AI17" s="995" t="s">
        <v>941</v>
      </c>
      <c r="AJ17" s="287"/>
      <c r="AK17" s="282" t="s">
        <v>270</v>
      </c>
      <c r="AL17" s="768"/>
      <c r="AM17" s="768"/>
      <c r="AN17" s="768"/>
      <c r="AO17" s="768"/>
      <c r="AP17" s="769"/>
      <c r="AQ17" s="282"/>
      <c r="AR17" s="282"/>
      <c r="AS17" s="282"/>
      <c r="AT17" s="274"/>
      <c r="AU17" s="274"/>
      <c r="AV17" s="274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</row>
    <row r="18" spans="1:77" s="295" customFormat="1" ht="16.5" customHeight="1" thickBot="1">
      <c r="A18" s="533">
        <v>8</v>
      </c>
      <c r="B18" s="1069" t="str">
        <f t="shared" si="0"/>
        <v>بنابي الغوثي</v>
      </c>
      <c r="C18" s="1070"/>
      <c r="D18" s="1456" t="str">
        <f t="shared" si="1"/>
        <v>ت بدنية</v>
      </c>
      <c r="E18" s="1456">
        <f t="shared" si="2"/>
        <v>0</v>
      </c>
      <c r="F18" s="1026">
        <f t="shared" si="3"/>
        <v>0</v>
      </c>
      <c r="G18" s="1026">
        <f t="shared" si="4"/>
        <v>0</v>
      </c>
      <c r="H18" s="1026">
        <f t="shared" si="5"/>
        <v>0</v>
      </c>
      <c r="I18" s="1026">
        <f t="shared" si="6"/>
        <v>0</v>
      </c>
      <c r="J18" s="1100" t="str">
        <f t="shared" si="7"/>
        <v>2ت اق1</v>
      </c>
      <c r="K18" s="1100" t="str">
        <f t="shared" si="8"/>
        <v>2ت اق1</v>
      </c>
      <c r="L18" s="1026">
        <f t="shared" si="9"/>
        <v>0</v>
      </c>
      <c r="M18" s="1027">
        <f t="shared" si="10"/>
        <v>0</v>
      </c>
      <c r="N18" s="1080" t="str">
        <f>VLOOKUP(Q18,اس!$S$3:$T$31,2,FALSE)</f>
        <v>.</v>
      </c>
      <c r="O18" s="293"/>
      <c r="P18" s="297">
        <v>53</v>
      </c>
      <c r="Q18" s="923">
        <v>5</v>
      </c>
      <c r="R18" s="924"/>
      <c r="S18" s="25"/>
      <c r="T18" s="293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488">
        <v>12</v>
      </c>
      <c r="AI18" s="995" t="s">
        <v>811</v>
      </c>
      <c r="AJ18" s="287"/>
      <c r="AK18" s="282" t="s">
        <v>408</v>
      </c>
      <c r="AL18" s="282" t="s">
        <v>819</v>
      </c>
      <c r="AM18" s="282" t="s">
        <v>819</v>
      </c>
      <c r="AN18" s="282" t="s">
        <v>819</v>
      </c>
      <c r="AO18" s="282" t="s">
        <v>819</v>
      </c>
      <c r="AP18" s="785"/>
      <c r="AQ18" s="282" t="s">
        <v>1530</v>
      </c>
      <c r="AR18" s="282" t="s">
        <v>1530</v>
      </c>
      <c r="AS18" s="282"/>
      <c r="AT18" s="274"/>
      <c r="AU18" s="274"/>
      <c r="AV18" s="274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</row>
    <row r="19" spans="1:77" s="295" customFormat="1" ht="16.5" customHeight="1" thickBot="1">
      <c r="A19" s="533">
        <v>9</v>
      </c>
      <c r="B19" s="1457" t="str">
        <f t="shared" si="0"/>
        <v>ساكت عبدالقادر</v>
      </c>
      <c r="C19" s="1458"/>
      <c r="D19" s="1470" t="str">
        <f t="shared" si="1"/>
        <v>انجليزية</v>
      </c>
      <c r="E19" s="1470">
        <f t="shared" si="2"/>
        <v>0</v>
      </c>
      <c r="F19" s="1026">
        <f t="shared" si="3"/>
        <v>0</v>
      </c>
      <c r="G19" s="1026">
        <f t="shared" si="4"/>
        <v>0</v>
      </c>
      <c r="H19" s="1026">
        <f t="shared" si="5"/>
        <v>0</v>
      </c>
      <c r="I19" s="1026">
        <f t="shared" si="6"/>
        <v>0</v>
      </c>
      <c r="J19" s="1026">
        <f t="shared" si="7"/>
        <v>0</v>
      </c>
      <c r="K19" s="1026">
        <f t="shared" si="8"/>
        <v>0</v>
      </c>
      <c r="L19" s="1101" t="str">
        <f t="shared" si="9"/>
        <v>1اد3</v>
      </c>
      <c r="M19" s="1101" t="str">
        <f t="shared" si="10"/>
        <v>1اد3</v>
      </c>
      <c r="N19" s="1080" t="str">
        <f>VLOOKUP(Q19,اس!$S$3:$T$31,2,FALSE)</f>
        <v>.</v>
      </c>
      <c r="O19" s="293"/>
      <c r="P19" s="297">
        <v>45</v>
      </c>
      <c r="Q19" s="923">
        <v>5</v>
      </c>
      <c r="R19" s="924"/>
      <c r="S19" s="25"/>
      <c r="T19" s="293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488">
        <v>13</v>
      </c>
      <c r="AI19" s="994" t="s">
        <v>1222</v>
      </c>
      <c r="AJ19" s="513"/>
      <c r="AK19" s="282" t="s">
        <v>408</v>
      </c>
      <c r="AL19" s="282" t="s">
        <v>327</v>
      </c>
      <c r="AM19" s="282" t="s">
        <v>327</v>
      </c>
      <c r="AN19" s="282" t="s">
        <v>327</v>
      </c>
      <c r="AO19" s="282" t="s">
        <v>327</v>
      </c>
      <c r="AP19" s="769"/>
      <c r="AQ19" s="789"/>
      <c r="AR19" s="789"/>
      <c r="AS19" s="282"/>
      <c r="AT19" s="274"/>
      <c r="AU19" s="274"/>
      <c r="AV19" s="274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</row>
    <row r="20" spans="1:77" s="295" customFormat="1" ht="16.5" customHeight="1" thickBot="1">
      <c r="A20" s="534">
        <v>10</v>
      </c>
      <c r="B20" s="1433" t="e">
        <f t="shared" si="0"/>
        <v>#N/A</v>
      </c>
      <c r="C20" s="1434"/>
      <c r="D20" s="1450" t="e">
        <f t="shared" si="1"/>
        <v>#N/A</v>
      </c>
      <c r="E20" s="1450" t="e">
        <f t="shared" si="2"/>
        <v>#N/A</v>
      </c>
      <c r="F20" s="902" t="e">
        <f t="shared" si="3"/>
        <v>#N/A</v>
      </c>
      <c r="G20" s="902" t="e">
        <f t="shared" si="4"/>
        <v>#N/A</v>
      </c>
      <c r="H20" s="902" t="e">
        <f t="shared" si="5"/>
        <v>#N/A</v>
      </c>
      <c r="I20" s="902" t="e">
        <f t="shared" si="6"/>
        <v>#N/A</v>
      </c>
      <c r="J20" s="902" t="e">
        <f t="shared" si="7"/>
        <v>#N/A</v>
      </c>
      <c r="K20" s="902" t="e">
        <f t="shared" si="8"/>
        <v>#N/A</v>
      </c>
      <c r="L20" s="902" t="e">
        <f t="shared" si="9"/>
        <v>#N/A</v>
      </c>
      <c r="M20" s="903" t="e">
        <f t="shared" si="10"/>
        <v>#N/A</v>
      </c>
      <c r="N20" s="1080" t="str">
        <f>VLOOKUP(Q20,اس!$S$3:$T$31,2,FALSE)</f>
        <v>.</v>
      </c>
      <c r="O20" s="293"/>
      <c r="P20" s="297"/>
      <c r="Q20" s="923">
        <v>5</v>
      </c>
      <c r="R20" s="924"/>
      <c r="S20" s="25"/>
      <c r="T20" s="293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488">
        <v>14</v>
      </c>
      <c r="AI20" s="994" t="s">
        <v>812</v>
      </c>
      <c r="AJ20" s="287"/>
      <c r="AK20" s="282" t="s">
        <v>408</v>
      </c>
      <c r="AL20" s="768" t="s">
        <v>820</v>
      </c>
      <c r="AM20" s="768" t="s">
        <v>328</v>
      </c>
      <c r="AN20" s="768"/>
      <c r="AO20" s="768"/>
      <c r="AP20" s="785"/>
      <c r="AQ20" s="282"/>
      <c r="AR20" s="282" t="s">
        <v>1529</v>
      </c>
      <c r="AS20" s="282" t="s">
        <v>1529</v>
      </c>
      <c r="AT20" s="281"/>
      <c r="AU20" s="281"/>
      <c r="AV20" s="281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</row>
    <row r="21" spans="1:77" s="295" customFormat="1" ht="16.5" customHeight="1" thickBot="1">
      <c r="A21" s="522">
        <v>-2</v>
      </c>
      <c r="B21" s="523" t="s">
        <v>294</v>
      </c>
      <c r="C21" s="523"/>
      <c r="D21" s="523"/>
      <c r="E21" s="524"/>
      <c r="F21" s="525"/>
      <c r="G21" s="525"/>
      <c r="H21" s="525"/>
      <c r="I21" s="525"/>
      <c r="J21" s="565" t="s">
        <v>954</v>
      </c>
      <c r="K21" s="526"/>
      <c r="L21" s="526"/>
      <c r="M21" s="526"/>
      <c r="N21" s="298"/>
      <c r="O21" s="298"/>
      <c r="P21" s="297"/>
      <c r="Q21" s="923">
        <v>5</v>
      </c>
      <c r="R21" s="924"/>
      <c r="S21" s="25"/>
      <c r="T21" s="293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488">
        <v>15</v>
      </c>
      <c r="AI21" s="994" t="s">
        <v>1944</v>
      </c>
      <c r="AJ21" s="287"/>
      <c r="AK21" s="282" t="s">
        <v>408</v>
      </c>
      <c r="AL21" s="768"/>
      <c r="AM21" s="768"/>
      <c r="AN21" s="768"/>
      <c r="AO21" s="768"/>
      <c r="AP21" s="785"/>
      <c r="AQ21" s="768"/>
      <c r="AR21" s="282"/>
      <c r="AS21" s="768"/>
      <c r="AT21" s="281"/>
      <c r="AU21" s="274"/>
      <c r="AV21" s="274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</row>
    <row r="22" spans="1:77" s="295" customFormat="1" ht="16.5" customHeight="1" thickBot="1">
      <c r="A22" s="529" t="s">
        <v>298</v>
      </c>
      <c r="B22" s="1417" t="s">
        <v>299</v>
      </c>
      <c r="C22" s="1417"/>
      <c r="D22" s="1417" t="s">
        <v>300</v>
      </c>
      <c r="E22" s="1417"/>
      <c r="F22" s="1417" t="s">
        <v>301</v>
      </c>
      <c r="G22" s="1417"/>
      <c r="H22" s="1417" t="s">
        <v>302</v>
      </c>
      <c r="I22" s="1441"/>
      <c r="J22" s="1437" t="s">
        <v>303</v>
      </c>
      <c r="K22" s="1437"/>
      <c r="L22" s="1437"/>
      <c r="M22" s="1006" t="s">
        <v>304</v>
      </c>
      <c r="N22" s="555" t="s">
        <v>541</v>
      </c>
      <c r="O22" s="503"/>
      <c r="P22" s="387" t="s">
        <v>825</v>
      </c>
      <c r="Q22" s="1415" t="s">
        <v>260</v>
      </c>
      <c r="R22" s="1415"/>
      <c r="S22" s="25"/>
      <c r="T22" s="293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488">
        <v>16</v>
      </c>
      <c r="AI22" s="994" t="s">
        <v>1964</v>
      </c>
      <c r="AJ22" s="287"/>
      <c r="AK22" s="282" t="s">
        <v>408</v>
      </c>
      <c r="AL22" s="768"/>
      <c r="AM22" s="768"/>
      <c r="AN22" s="768"/>
      <c r="AO22" s="768"/>
      <c r="AP22" s="785"/>
      <c r="AQ22" s="282" t="s">
        <v>824</v>
      </c>
      <c r="AR22" s="282" t="s">
        <v>1176</v>
      </c>
      <c r="AS22" s="282"/>
      <c r="AT22" s="274"/>
      <c r="AU22" s="274"/>
      <c r="AV22" s="274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</row>
    <row r="23" spans="1:77" s="295" customFormat="1" ht="16.5" customHeight="1" thickBot="1">
      <c r="A23" s="541" t="s">
        <v>307</v>
      </c>
      <c r="B23" s="1432">
        <f>SUM(C25+B25)</f>
        <v>245</v>
      </c>
      <c r="C23" s="1432"/>
      <c r="D23" s="1432">
        <f>SUM(E25+D25)</f>
        <v>250</v>
      </c>
      <c r="E23" s="1432"/>
      <c r="F23" s="1432">
        <f>SUM(G25+F25)</f>
        <v>72</v>
      </c>
      <c r="G23" s="1432"/>
      <c r="H23" s="1432">
        <f>SUM(I25+H25)</f>
        <v>567</v>
      </c>
      <c r="I23" s="1449"/>
      <c r="J23" s="1451" t="e">
        <f>VLOOKUP(P23,اس!$S$3:$X$31,5,FALSE)</f>
        <v>#N/A</v>
      </c>
      <c r="K23" s="1451"/>
      <c r="L23" s="1451"/>
      <c r="M23" s="774" t="s">
        <v>615</v>
      </c>
      <c r="N23" s="775" t="e">
        <f>VLOOKUP(Q23,اس!$S$3:$X$31,2,FALSE)</f>
        <v>#N/A</v>
      </c>
      <c r="O23" s="503"/>
      <c r="P23" s="387"/>
      <c r="Q23" s="1415"/>
      <c r="R23" s="1415"/>
      <c r="S23" s="25"/>
      <c r="T23" s="293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488">
        <v>17</v>
      </c>
      <c r="AI23" s="994" t="s">
        <v>283</v>
      </c>
      <c r="AJ23" s="285"/>
      <c r="AK23" s="282" t="s">
        <v>1207</v>
      </c>
      <c r="AL23" s="282"/>
      <c r="AM23" s="282"/>
      <c r="AN23" s="282"/>
      <c r="AO23" s="282"/>
      <c r="AP23" s="769"/>
      <c r="AQ23" s="282"/>
      <c r="AR23" s="282"/>
      <c r="AS23" s="282"/>
      <c r="AT23" s="274"/>
      <c r="AU23" s="274"/>
      <c r="AV23" s="274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</row>
    <row r="24" spans="1:77" s="295" customFormat="1" ht="16.5" customHeight="1" thickBot="1">
      <c r="A24" s="530" t="s">
        <v>310</v>
      </c>
      <c r="B24" s="1006" t="s">
        <v>311</v>
      </c>
      <c r="C24" s="1006" t="s">
        <v>312</v>
      </c>
      <c r="D24" s="1006" t="s">
        <v>311</v>
      </c>
      <c r="E24" s="1006" t="s">
        <v>312</v>
      </c>
      <c r="F24" s="1006" t="s">
        <v>311</v>
      </c>
      <c r="G24" s="1006" t="s">
        <v>312</v>
      </c>
      <c r="H24" s="1006" t="s">
        <v>311</v>
      </c>
      <c r="I24" s="608" t="s">
        <v>312</v>
      </c>
      <c r="J24" s="1451" t="e">
        <f>VLOOKUP(P24,اس!$S$3:$X$31,5,FALSE)</f>
        <v>#N/A</v>
      </c>
      <c r="K24" s="1451"/>
      <c r="L24" s="1451"/>
      <c r="M24" s="774"/>
      <c r="N24" s="775" t="e">
        <f>VLOOKUP(Q24,اس!$S$3:$X$31,2,FALSE)</f>
        <v>#N/A</v>
      </c>
      <c r="O24" s="503"/>
      <c r="P24" s="387"/>
      <c r="Q24" s="1415"/>
      <c r="R24" s="1415"/>
      <c r="S24" s="25"/>
      <c r="T24" s="293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488">
        <v>18</v>
      </c>
      <c r="AI24" s="996" t="s">
        <v>1965</v>
      </c>
      <c r="AJ24" s="511"/>
      <c r="AK24" s="282" t="s">
        <v>1207</v>
      </c>
      <c r="AL24" s="282"/>
      <c r="AM24" s="789"/>
      <c r="AN24" s="789"/>
      <c r="AO24" s="789"/>
      <c r="AP24" s="769"/>
      <c r="AQ24" s="282"/>
      <c r="AR24" s="282"/>
      <c r="AS24" s="282"/>
      <c r="AT24" s="274"/>
      <c r="AU24" s="274"/>
      <c r="AV24" s="274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</row>
    <row r="25" spans="1:77" s="295" customFormat="1" ht="16.5" customHeight="1" thickBot="1">
      <c r="A25" s="537" t="s">
        <v>315</v>
      </c>
      <c r="B25" s="537">
        <f>COUNTIF(etat!$P$9:$P$1136,"ذن/د3")+COUNTIF(etat!$P$9:$P$1136,"ذخ3")</f>
        <v>110</v>
      </c>
      <c r="C25" s="537">
        <f>COUNTIF(etat!$P$9:$P$1136,"ان/د3")+COUNTIF(etat!$P$9:$P$1136,"اخ3")</f>
        <v>135</v>
      </c>
      <c r="D25" s="537">
        <f>COUNTIF(etat!$P$9:$P$1136,"ذن/د2")+COUNTIF(etat!$P$9:$P$1136,"ذخ2")</f>
        <v>93</v>
      </c>
      <c r="E25" s="537">
        <f>COUNTIF(etat!$P$9:$P$1136,"ان/د2")+COUNTIF(etat!$P$9:$P$1136,"اخ2")</f>
        <v>157</v>
      </c>
      <c r="F25" s="537">
        <f>COUNTIF(etat!$P$9:$P$1136,"ذن/د1")+COUNTIF(etat!$P$9:$P$1136,"ذخ1")</f>
        <v>29</v>
      </c>
      <c r="G25" s="537">
        <f>COUNTIF(etat!$P$9:$P$1136,"ان/د1")+COUNTIF(etat!$P$9:$P$1136,"اخ1")</f>
        <v>43</v>
      </c>
      <c r="H25" s="1007">
        <f>SUM(B25+D25+F25)</f>
        <v>232</v>
      </c>
      <c r="I25" s="1008">
        <f>SUM(C25+E25+G25)</f>
        <v>335</v>
      </c>
      <c r="J25" s="1451" t="e">
        <f>VLOOKUP(P25,اس!$S$3:$X$31,5,FALSE)</f>
        <v>#N/A</v>
      </c>
      <c r="K25" s="1451"/>
      <c r="L25" s="1451"/>
      <c r="M25" s="774"/>
      <c r="N25" s="775" t="e">
        <f>VLOOKUP(Q25,اس!$S$3:$X$31,2,FALSE)</f>
        <v>#N/A</v>
      </c>
      <c r="O25" s="503"/>
      <c r="P25" s="387"/>
      <c r="Q25" s="1461">
        <v>0</v>
      </c>
      <c r="R25" s="1461"/>
      <c r="S25" s="25"/>
      <c r="T25" s="293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488">
        <v>19</v>
      </c>
      <c r="AI25" s="997" t="s">
        <v>1509</v>
      </c>
      <c r="AJ25" s="511"/>
      <c r="AK25" s="282" t="s">
        <v>1207</v>
      </c>
      <c r="AL25" s="282"/>
      <c r="AM25" s="768"/>
      <c r="AN25" s="768"/>
      <c r="AO25" s="282"/>
      <c r="AP25" s="769"/>
      <c r="AQ25" s="768"/>
      <c r="AR25" s="768"/>
      <c r="AS25" s="768"/>
      <c r="AT25" s="274"/>
      <c r="AU25" s="274"/>
      <c r="AV25" s="274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</row>
    <row r="26" spans="1:77" s="295" customFormat="1" ht="16.5" customHeight="1" thickBot="1">
      <c r="A26" s="538" t="s">
        <v>316</v>
      </c>
      <c r="B26" s="539">
        <f t="shared" ref="B26:I26" si="11">SUM(B25-B30)</f>
        <v>35</v>
      </c>
      <c r="C26" s="539">
        <f t="shared" si="11"/>
        <v>28</v>
      </c>
      <c r="D26" s="539">
        <f t="shared" si="11"/>
        <v>84</v>
      </c>
      <c r="E26" s="539">
        <f t="shared" si="11"/>
        <v>139</v>
      </c>
      <c r="F26" s="539">
        <f t="shared" si="11"/>
        <v>28</v>
      </c>
      <c r="G26" s="539">
        <f t="shared" si="11"/>
        <v>40</v>
      </c>
      <c r="H26" s="539">
        <f t="shared" si="11"/>
        <v>147</v>
      </c>
      <c r="I26" s="563">
        <f t="shared" si="11"/>
        <v>207</v>
      </c>
      <c r="J26" s="1451" t="e">
        <f>VLOOKUP(P26,اس!$S$3:$X$31,5,FALSE)</f>
        <v>#N/A</v>
      </c>
      <c r="K26" s="1451"/>
      <c r="L26" s="1451"/>
      <c r="M26" s="774"/>
      <c r="N26" s="775" t="e">
        <f>VLOOKUP(Q26,اس!$S$3:$X$31,2,FALSE)</f>
        <v>#N/A</v>
      </c>
      <c r="O26" s="503"/>
      <c r="P26" s="387"/>
      <c r="Q26" s="1461">
        <v>0</v>
      </c>
      <c r="R26" s="1461"/>
      <c r="S26" s="25"/>
      <c r="T26" s="293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488">
        <v>20</v>
      </c>
      <c r="AI26" s="994" t="s">
        <v>942</v>
      </c>
      <c r="AJ26" s="287"/>
      <c r="AK26" s="282" t="s">
        <v>279</v>
      </c>
      <c r="AL26" s="768"/>
      <c r="AM26" s="768"/>
      <c r="AN26" s="282"/>
      <c r="AO26" s="282"/>
      <c r="AP26" s="769"/>
      <c r="AQ26" s="282" t="s">
        <v>1962</v>
      </c>
      <c r="AR26" s="282" t="s">
        <v>1962</v>
      </c>
      <c r="AS26" s="282"/>
      <c r="AT26" s="274"/>
      <c r="AU26" s="274"/>
      <c r="AV26" s="274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</row>
    <row r="27" spans="1:77" s="25" customFormat="1" ht="16.5" customHeight="1" thickBot="1">
      <c r="A27" s="553">
        <v>-2</v>
      </c>
      <c r="B27" s="551" t="s">
        <v>294</v>
      </c>
      <c r="C27" s="551"/>
      <c r="D27" s="551"/>
      <c r="E27" s="554"/>
      <c r="F27" s="551"/>
      <c r="G27" s="551"/>
      <c r="H27" s="551"/>
      <c r="I27" s="551"/>
      <c r="J27" s="294"/>
      <c r="K27" s="294"/>
      <c r="L27" s="294"/>
      <c r="M27" s="294"/>
      <c r="N27" s="294"/>
      <c r="O27" s="142"/>
      <c r="T27" s="293"/>
      <c r="AH27" s="488">
        <v>21</v>
      </c>
      <c r="AI27" s="997" t="s">
        <v>278</v>
      </c>
      <c r="AJ27" s="513"/>
      <c r="AK27" s="282" t="s">
        <v>279</v>
      </c>
      <c r="AL27" s="768"/>
      <c r="AM27" s="768"/>
      <c r="AN27" s="768"/>
      <c r="AO27" s="282"/>
      <c r="AP27" s="785"/>
      <c r="AQ27" s="282"/>
      <c r="AR27" s="282"/>
      <c r="AS27" s="282"/>
      <c r="AT27" s="274"/>
      <c r="AU27" s="274"/>
      <c r="AV27" s="274"/>
      <c r="AW27" s="150"/>
    </row>
    <row r="28" spans="1:77" s="25" customFormat="1" ht="16.5" customHeight="1" thickBot="1">
      <c r="A28" s="552" t="s">
        <v>827</v>
      </c>
      <c r="B28" s="1430" t="s">
        <v>299</v>
      </c>
      <c r="C28" s="1430"/>
      <c r="D28" s="1424" t="s">
        <v>300</v>
      </c>
      <c r="E28" s="1424"/>
      <c r="F28" s="1424" t="s">
        <v>301</v>
      </c>
      <c r="G28" s="1424"/>
      <c r="H28" s="1424" t="s">
        <v>302</v>
      </c>
      <c r="I28" s="1424"/>
      <c r="J28" s="560" t="s">
        <v>952</v>
      </c>
      <c r="K28" s="741"/>
      <c r="L28" s="741"/>
      <c r="M28" s="741"/>
      <c r="N28" s="741"/>
      <c r="O28" s="142"/>
      <c r="T28" s="293"/>
      <c r="AH28" s="488">
        <v>22</v>
      </c>
      <c r="AI28" s="994" t="s">
        <v>2247</v>
      </c>
      <c r="AJ28" s="513"/>
      <c r="AK28" s="282" t="s">
        <v>279</v>
      </c>
      <c r="AL28" s="282"/>
      <c r="AM28" s="282" t="s">
        <v>639</v>
      </c>
      <c r="AN28" s="282" t="s">
        <v>639</v>
      </c>
      <c r="AO28" s="282" t="s">
        <v>268</v>
      </c>
      <c r="AP28" s="785"/>
      <c r="AQ28" s="768"/>
      <c r="AR28" s="768"/>
      <c r="AS28" s="768" t="s">
        <v>819</v>
      </c>
      <c r="AT28" s="274" t="s">
        <v>2227</v>
      </c>
      <c r="AU28" s="274"/>
      <c r="AV28" s="274"/>
      <c r="AW28" s="154"/>
    </row>
    <row r="29" spans="1:77" s="25" customFormat="1" ht="16.5" customHeight="1" thickBot="1">
      <c r="A29" s="921" t="s">
        <v>302</v>
      </c>
      <c r="B29" s="1423">
        <f>SUM(C30+B30)</f>
        <v>182</v>
      </c>
      <c r="C29" s="1423"/>
      <c r="D29" s="1423">
        <f>SUM(E30+D30)</f>
        <v>27</v>
      </c>
      <c r="E29" s="1423"/>
      <c r="F29" s="1423">
        <f>SUM(G30+F30)</f>
        <v>4</v>
      </c>
      <c r="G29" s="1423"/>
      <c r="H29" s="1423">
        <f>SUM(I30+H30)</f>
        <v>213</v>
      </c>
      <c r="I29" s="1423"/>
      <c r="J29" s="738"/>
      <c r="K29" s="739"/>
      <c r="L29" s="1088" t="s">
        <v>1247</v>
      </c>
      <c r="M29" s="1089" t="s">
        <v>1545</v>
      </c>
      <c r="N29" s="725" t="s">
        <v>1546</v>
      </c>
      <c r="O29" s="142"/>
      <c r="P29" s="142"/>
      <c r="Q29" s="29"/>
      <c r="R29" s="142"/>
      <c r="S29" s="299"/>
      <c r="T29" s="293"/>
      <c r="AH29" s="488">
        <v>23</v>
      </c>
      <c r="AI29" s="995" t="s">
        <v>1205</v>
      </c>
      <c r="AJ29" s="998"/>
      <c r="AK29" s="282" t="s">
        <v>1202</v>
      </c>
      <c r="AL29" s="282" t="s">
        <v>819</v>
      </c>
      <c r="AM29" s="282" t="s">
        <v>820</v>
      </c>
      <c r="AN29" s="768"/>
      <c r="AO29" s="282" t="s">
        <v>2215</v>
      </c>
      <c r="AP29" s="785"/>
      <c r="AQ29" s="768"/>
      <c r="AR29" s="768"/>
      <c r="AS29" s="282"/>
      <c r="AT29" s="274"/>
      <c r="AU29" s="274"/>
      <c r="AV29" s="274"/>
      <c r="AW29" s="154"/>
    </row>
    <row r="30" spans="1:77" s="25" customFormat="1" ht="16.5" customHeight="1" thickBot="1">
      <c r="A30" s="736" t="s">
        <v>317</v>
      </c>
      <c r="B30" s="1010">
        <f t="shared" ref="B30:I30" si="12">SUM(B31:B32)</f>
        <v>75</v>
      </c>
      <c r="C30" s="1010">
        <f t="shared" si="12"/>
        <v>107</v>
      </c>
      <c r="D30" s="1010">
        <f t="shared" si="12"/>
        <v>9</v>
      </c>
      <c r="E30" s="1010">
        <f t="shared" si="12"/>
        <v>18</v>
      </c>
      <c r="F30" s="1010">
        <f t="shared" si="12"/>
        <v>1</v>
      </c>
      <c r="G30" s="1010">
        <f t="shared" si="12"/>
        <v>3</v>
      </c>
      <c r="H30" s="1010">
        <f t="shared" si="12"/>
        <v>85</v>
      </c>
      <c r="I30" s="1010">
        <f t="shared" si="12"/>
        <v>128</v>
      </c>
      <c r="J30" s="737" t="s">
        <v>302</v>
      </c>
      <c r="K30" s="737"/>
      <c r="L30" s="502">
        <f>COUNT(AH7:AH60)</f>
        <v>54</v>
      </c>
      <c r="M30" s="502">
        <f>COUNT(اس!V3:W8)</f>
        <v>6</v>
      </c>
      <c r="N30" s="502">
        <f>COUNT(اس!V1:X3)</f>
        <v>1</v>
      </c>
      <c r="O30" s="142"/>
      <c r="P30" s="142"/>
      <c r="Q30" s="26"/>
      <c r="R30" s="142"/>
      <c r="S30" s="501"/>
      <c r="T30" s="293"/>
      <c r="AH30" s="488">
        <v>24</v>
      </c>
      <c r="AI30" s="995" t="s">
        <v>286</v>
      </c>
      <c r="AJ30" s="999"/>
      <c r="AK30" s="282" t="s">
        <v>1202</v>
      </c>
      <c r="AL30" s="282"/>
      <c r="AM30" s="282"/>
      <c r="AN30" s="772"/>
      <c r="AO30" s="282"/>
      <c r="AP30" s="769"/>
      <c r="AQ30" s="768"/>
      <c r="AR30" s="768"/>
      <c r="AS30" s="768"/>
      <c r="AT30" s="281"/>
      <c r="AU30" s="281"/>
      <c r="AV30" s="281"/>
      <c r="AW30" s="154"/>
    </row>
    <row r="31" spans="1:77" s="25" customFormat="1" ht="16.5" customHeight="1" thickBot="1">
      <c r="A31" s="736" t="s">
        <v>318</v>
      </c>
      <c r="B31" s="454">
        <f>COUNTIF($S$58:$S$799,"ذن/د3")</f>
        <v>9</v>
      </c>
      <c r="C31" s="454">
        <f>COUNTIF($S$58:$S$799,"ان/د3")</f>
        <v>24</v>
      </c>
      <c r="D31" s="454">
        <f>COUNTIF($S$73:$S$799,"ذن/د2")</f>
        <v>2</v>
      </c>
      <c r="E31" s="454">
        <f>COUNTIF($S$73:$S$799,"ان/د2")</f>
        <v>9</v>
      </c>
      <c r="F31" s="454">
        <f>COUNTIF($S$73:$S$799,"ذن/د1")</f>
        <v>0</v>
      </c>
      <c r="G31" s="454">
        <f>COUNTIF($S$73:$S$799,"ان/د1")</f>
        <v>0</v>
      </c>
      <c r="H31" s="454">
        <f t="shared" ref="H31:I32" si="13">B31+D31+F31</f>
        <v>11</v>
      </c>
      <c r="I31" s="454">
        <f t="shared" si="13"/>
        <v>33</v>
      </c>
      <c r="J31" s="737" t="s">
        <v>316</v>
      </c>
      <c r="K31" s="737"/>
      <c r="L31" s="502">
        <f>SUM(L30-L32)</f>
        <v>45</v>
      </c>
      <c r="M31" s="502">
        <f>SUM(M30-M32)</f>
        <v>6</v>
      </c>
      <c r="N31" s="502">
        <f t="shared" ref="N31" si="14">SUM(N30-N32)</f>
        <v>1</v>
      </c>
      <c r="O31" s="142"/>
      <c r="P31" s="142"/>
      <c r="Q31" s="142"/>
      <c r="R31" s="142"/>
      <c r="S31" s="142"/>
      <c r="T31" s="293"/>
      <c r="AH31" s="488">
        <v>25</v>
      </c>
      <c r="AI31" s="995" t="s">
        <v>287</v>
      </c>
      <c r="AJ31" s="999"/>
      <c r="AK31" s="282" t="s">
        <v>1202</v>
      </c>
      <c r="AL31" s="792"/>
      <c r="AM31" s="792"/>
      <c r="AN31" s="792"/>
      <c r="AO31" s="792"/>
      <c r="AP31" s="788"/>
      <c r="AQ31" s="783"/>
      <c r="AR31" s="789"/>
      <c r="AS31" s="282"/>
      <c r="AT31" s="274"/>
      <c r="AW31" s="154"/>
    </row>
    <row r="32" spans="1:77" s="25" customFormat="1" ht="16.5" customHeight="1" thickBot="1">
      <c r="A32" s="736" t="s">
        <v>319</v>
      </c>
      <c r="B32" s="454">
        <f>COUNTIF($S$58:$S$7196,"ذخ3")</f>
        <v>66</v>
      </c>
      <c r="C32" s="454">
        <f>COUNTIF($S$58:$S$7196,"اخ3")</f>
        <v>83</v>
      </c>
      <c r="D32" s="454">
        <f>COUNTIF($S$58:$S$799,"ذخ2")</f>
        <v>7</v>
      </c>
      <c r="E32" s="454">
        <f>COUNTIF($S$58:$S$799,"اخ2")</f>
        <v>9</v>
      </c>
      <c r="F32" s="454">
        <f>COUNTIF($S$58:$S$799,"ذخ1")</f>
        <v>1</v>
      </c>
      <c r="G32" s="454">
        <f>COUNTIF($S$58:$S$799,"اخ1")</f>
        <v>3</v>
      </c>
      <c r="H32" s="454">
        <f>B32+D32+F32</f>
        <v>74</v>
      </c>
      <c r="I32" s="454">
        <f t="shared" si="13"/>
        <v>95</v>
      </c>
      <c r="J32" s="737" t="s">
        <v>321</v>
      </c>
      <c r="K32" s="737"/>
      <c r="L32" s="502">
        <f>COUNT(P11:P21)</f>
        <v>9</v>
      </c>
      <c r="M32" s="502">
        <v>0</v>
      </c>
      <c r="N32" s="502">
        <v>0</v>
      </c>
      <c r="O32" s="142"/>
      <c r="P32" s="142"/>
      <c r="Q32" s="142"/>
      <c r="R32" s="142"/>
      <c r="S32" s="142"/>
      <c r="T32" s="293"/>
      <c r="AH32" s="488">
        <v>26</v>
      </c>
      <c r="AI32" s="1000" t="s">
        <v>284</v>
      </c>
      <c r="AJ32" s="999"/>
      <c r="AK32" s="282" t="s">
        <v>1202</v>
      </c>
      <c r="AL32" s="768"/>
      <c r="AM32" s="768"/>
      <c r="AN32" s="282"/>
      <c r="AO32" s="768"/>
      <c r="AP32" s="785"/>
      <c r="AQ32" s="282"/>
      <c r="AR32" s="282"/>
      <c r="AS32" s="282"/>
      <c r="AT32" s="274"/>
      <c r="AU32" s="274"/>
      <c r="AV32" s="274"/>
      <c r="AW32" s="154"/>
    </row>
    <row r="33" spans="1:77" s="25" customFormat="1" ht="16.5" customHeight="1" thickBot="1">
      <c r="A33" s="514" t="s">
        <v>320</v>
      </c>
      <c r="B33" s="767">
        <f t="shared" ref="B33:I33" si="15">SUM(B30/B25*100)</f>
        <v>68.181818181818173</v>
      </c>
      <c r="C33" s="767">
        <f t="shared" si="15"/>
        <v>79.259259259259267</v>
      </c>
      <c r="D33" s="767">
        <f t="shared" si="15"/>
        <v>9.67741935483871</v>
      </c>
      <c r="E33" s="767">
        <f t="shared" si="15"/>
        <v>11.464968152866243</v>
      </c>
      <c r="F33" s="496">
        <f t="shared" si="15"/>
        <v>3.4482758620689653</v>
      </c>
      <c r="G33" s="767">
        <f t="shared" si="15"/>
        <v>6.9767441860465116</v>
      </c>
      <c r="H33" s="767">
        <f t="shared" si="15"/>
        <v>36.637931034482754</v>
      </c>
      <c r="I33" s="767">
        <f t="shared" si="15"/>
        <v>38.208955223880601</v>
      </c>
      <c r="J33" s="1449" t="s">
        <v>323</v>
      </c>
      <c r="K33" s="1455"/>
      <c r="L33" s="550">
        <f>SUM(L32/L30*100)</f>
        <v>16.666666666666664</v>
      </c>
      <c r="M33" s="1007">
        <f t="shared" ref="M33:N33" si="16">SUM(M32/M30*100)</f>
        <v>0</v>
      </c>
      <c r="N33" s="1007">
        <f t="shared" si="16"/>
        <v>0</v>
      </c>
      <c r="O33" s="142"/>
      <c r="P33" s="142"/>
      <c r="Q33" s="142"/>
      <c r="R33" s="142"/>
      <c r="S33" s="142"/>
      <c r="T33" s="501"/>
      <c r="AH33" s="488">
        <v>27</v>
      </c>
      <c r="AI33" s="995" t="s">
        <v>1228</v>
      </c>
      <c r="AJ33" s="1001"/>
      <c r="AK33" s="282" t="s">
        <v>1202</v>
      </c>
      <c r="AL33" s="771"/>
      <c r="AM33" s="771"/>
      <c r="AN33" s="768"/>
      <c r="AO33" s="282"/>
      <c r="AP33" s="769"/>
      <c r="AQ33" s="768"/>
      <c r="AR33" s="768"/>
      <c r="AS33" s="768"/>
      <c r="AT33" s="281"/>
      <c r="AU33" s="281"/>
      <c r="AV33" s="281"/>
      <c r="AW33" s="154"/>
    </row>
    <row r="34" spans="1:77" s="25" customFormat="1" ht="16.5" customHeight="1" thickBot="1">
      <c r="A34" s="536" t="s">
        <v>322</v>
      </c>
      <c r="B34" s="1465">
        <f>SUM(B29/B23)*100</f>
        <v>74.285714285714292</v>
      </c>
      <c r="C34" s="1465"/>
      <c r="D34" s="1465">
        <f>SUM(D29/D23)*100</f>
        <v>10.8</v>
      </c>
      <c r="E34" s="1465"/>
      <c r="F34" s="1462">
        <f>SUM(F29/F23)*100</f>
        <v>5.5555555555555554</v>
      </c>
      <c r="G34" s="1462"/>
      <c r="H34" s="1462">
        <f>SUM(H29/H23)*100</f>
        <v>37.566137566137563</v>
      </c>
      <c r="I34" s="1462"/>
      <c r="J34" s="561"/>
      <c r="K34" s="561"/>
      <c r="L34" s="561"/>
      <c r="M34" s="561"/>
      <c r="N34" s="561"/>
      <c r="O34" s="142"/>
      <c r="P34" s="142"/>
      <c r="Q34" s="142"/>
      <c r="R34" s="142"/>
      <c r="S34" s="142"/>
      <c r="T34" s="1009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488">
        <v>28</v>
      </c>
      <c r="AI34" s="995" t="s">
        <v>1510</v>
      </c>
      <c r="AJ34" s="513"/>
      <c r="AK34" s="282" t="s">
        <v>1202</v>
      </c>
      <c r="AL34" s="282"/>
      <c r="AM34" s="282"/>
      <c r="AN34" s="282"/>
      <c r="AO34" s="282"/>
      <c r="AP34" s="769"/>
      <c r="AQ34" s="282"/>
      <c r="AR34" s="282"/>
      <c r="AS34" s="282"/>
      <c r="AT34" s="318"/>
      <c r="AU34" s="318"/>
      <c r="AV34" s="318"/>
      <c r="AW34" s="319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</row>
    <row r="35" spans="1:77" s="25" customFormat="1" ht="16.5" customHeight="1" thickBot="1">
      <c r="A35" s="1463"/>
      <c r="B35" s="1464"/>
      <c r="C35" s="1464"/>
      <c r="D35" s="1464"/>
      <c r="E35" s="1464"/>
      <c r="F35" s="1429"/>
      <c r="G35" s="1429"/>
      <c r="H35" s="1429"/>
      <c r="I35" s="1429"/>
      <c r="J35" s="1429"/>
      <c r="K35" s="1429"/>
      <c r="L35" s="1429"/>
      <c r="M35" s="562"/>
      <c r="N35" s="562"/>
      <c r="O35" s="320"/>
      <c r="P35" s="142"/>
      <c r="Q35" s="142"/>
      <c r="R35" s="142"/>
      <c r="S35" s="142"/>
      <c r="T35" s="501"/>
      <c r="AH35" s="488">
        <v>29</v>
      </c>
      <c r="AI35" s="994" t="s">
        <v>271</v>
      </c>
      <c r="AJ35" s="287"/>
      <c r="AK35" s="282" t="s">
        <v>1229</v>
      </c>
      <c r="AL35" s="771" t="s">
        <v>1507</v>
      </c>
      <c r="AM35" s="768" t="s">
        <v>1963</v>
      </c>
      <c r="AN35" s="768"/>
      <c r="AO35" s="282"/>
      <c r="AP35" s="769"/>
      <c r="AQ35" s="768" t="s">
        <v>1518</v>
      </c>
      <c r="AR35" s="768" t="s">
        <v>820</v>
      </c>
      <c r="AS35" s="282"/>
      <c r="AT35" s="281"/>
      <c r="AU35" s="281"/>
      <c r="AV35" s="274"/>
      <c r="AW35" s="154"/>
    </row>
    <row r="36" spans="1:77" s="25" customFormat="1" ht="16.5" customHeight="1" thickBot="1">
      <c r="A36" s="530" t="s">
        <v>324</v>
      </c>
      <c r="B36" s="856" t="s">
        <v>500</v>
      </c>
      <c r="C36" s="856" t="s">
        <v>1519</v>
      </c>
      <c r="D36" s="856" t="s">
        <v>1497</v>
      </c>
      <c r="E36" s="856" t="s">
        <v>820</v>
      </c>
      <c r="F36" s="856" t="s">
        <v>819</v>
      </c>
      <c r="G36" s="856" t="s">
        <v>1850</v>
      </c>
      <c r="H36" s="856" t="s">
        <v>1851</v>
      </c>
      <c r="I36" s="856" t="s">
        <v>1852</v>
      </c>
      <c r="J36" s="856" t="s">
        <v>268</v>
      </c>
      <c r="K36" s="556"/>
      <c r="L36" s="556"/>
      <c r="M36" s="901" t="s">
        <v>302</v>
      </c>
      <c r="N36" s="756" t="s">
        <v>302</v>
      </c>
      <c r="O36" s="300"/>
      <c r="P36" s="300"/>
      <c r="Q36" s="142"/>
      <c r="R36" s="142"/>
      <c r="S36" s="142"/>
      <c r="T36" s="501"/>
      <c r="AH36" s="488">
        <v>30</v>
      </c>
      <c r="AI36" s="994" t="s">
        <v>944</v>
      </c>
      <c r="AJ36" s="287"/>
      <c r="AK36" s="282" t="s">
        <v>1229</v>
      </c>
      <c r="AL36" s="282"/>
      <c r="AM36" s="282"/>
      <c r="AN36" s="282" t="s">
        <v>2226</v>
      </c>
      <c r="AO36" s="282" t="s">
        <v>1530</v>
      </c>
      <c r="AP36" s="769"/>
      <c r="AQ36" s="282" t="s">
        <v>327</v>
      </c>
      <c r="AR36" s="282"/>
      <c r="AS36" s="282" t="s">
        <v>328</v>
      </c>
      <c r="AT36" s="274"/>
      <c r="AU36" s="274"/>
      <c r="AV36" s="274"/>
      <c r="AW36" s="154"/>
    </row>
    <row r="37" spans="1:77" s="25" customFormat="1" ht="16.5" customHeight="1" thickBot="1">
      <c r="A37" s="736" t="s">
        <v>325</v>
      </c>
      <c r="B37" s="454">
        <f>COUNTIF($Q$51:$Q$2378,"3ت ر")</f>
        <v>0</v>
      </c>
      <c r="C37" s="454">
        <f>COUNTIF($Q$51:$Q$2378,"3ت ا ق1")</f>
        <v>19</v>
      </c>
      <c r="D37" s="454">
        <f>COUNTIF($Q$51:$Q$2378,"3ت ا ق2")</f>
        <v>16</v>
      </c>
      <c r="E37" s="454">
        <f>COUNTIF($Q$51:$Q$2378,"3ع ت1")</f>
        <v>19</v>
      </c>
      <c r="F37" s="454">
        <f>COUNTIF($Q$51:$Q$2378,"3ع ت2")</f>
        <v>17</v>
      </c>
      <c r="G37" s="454">
        <f>COUNTIF($Q$51:$Q$2377,"3ع ت3")</f>
        <v>0</v>
      </c>
      <c r="H37" s="454">
        <f>COUNTIF($Q$51:$Q$2378,"3آ ف1")</f>
        <v>0</v>
      </c>
      <c r="I37" s="454">
        <f>COUNTIF($Q$51:$Q$2378,"3آ ف2")</f>
        <v>0</v>
      </c>
      <c r="J37" s="454">
        <f>COUNTIF($Q$51:$Q$2378,"3ل أ")</f>
        <v>12</v>
      </c>
      <c r="K37" s="573"/>
      <c r="L37" s="573"/>
      <c r="M37" s="735">
        <f>SUM(B37:L37)</f>
        <v>83</v>
      </c>
      <c r="N37" s="1452">
        <f>SUM(M37+M39+M41)</f>
        <v>126</v>
      </c>
      <c r="O37" s="300"/>
      <c r="P37" s="300"/>
      <c r="Q37" s="11"/>
      <c r="R37" s="142"/>
      <c r="S37" s="501"/>
      <c r="T37" s="501"/>
      <c r="AH37" s="488">
        <v>31</v>
      </c>
      <c r="AI37" s="994" t="s">
        <v>1218</v>
      </c>
      <c r="AJ37" s="287"/>
      <c r="AK37" s="282" t="s">
        <v>1229</v>
      </c>
      <c r="AL37" s="24" t="s">
        <v>2227</v>
      </c>
      <c r="AM37" s="24" t="s">
        <v>2227</v>
      </c>
      <c r="AN37" s="24"/>
      <c r="AO37" s="24" t="s">
        <v>1176</v>
      </c>
      <c r="AP37" s="769"/>
      <c r="AQ37" s="282" t="s">
        <v>1175</v>
      </c>
      <c r="AR37" s="282" t="s">
        <v>268</v>
      </c>
      <c r="AS37" s="282"/>
      <c r="AT37" s="274"/>
      <c r="AU37" s="274"/>
      <c r="AV37" s="274"/>
      <c r="AW37" s="154"/>
    </row>
    <row r="38" spans="1:77" s="25" customFormat="1" ht="16.5" customHeight="1" thickBot="1">
      <c r="A38" s="736" t="s">
        <v>324</v>
      </c>
      <c r="B38" s="1006" t="s">
        <v>6</v>
      </c>
      <c r="C38" s="1006" t="s">
        <v>1173</v>
      </c>
      <c r="D38" s="1006" t="s">
        <v>1174</v>
      </c>
      <c r="E38" s="1006" t="s">
        <v>1520</v>
      </c>
      <c r="F38" s="1006" t="s">
        <v>1521</v>
      </c>
      <c r="G38" s="1006" t="s">
        <v>2153</v>
      </c>
      <c r="H38" s="1006" t="s">
        <v>4</v>
      </c>
      <c r="I38" s="1006"/>
      <c r="J38" s="1006"/>
      <c r="K38" s="1006"/>
      <c r="L38" s="556"/>
      <c r="M38" s="901" t="s">
        <v>302</v>
      </c>
      <c r="N38" s="1453"/>
      <c r="O38" s="300"/>
      <c r="P38" s="300"/>
      <c r="T38" s="501"/>
      <c r="AH38" s="488">
        <v>32</v>
      </c>
      <c r="AI38" s="994" t="s">
        <v>1230</v>
      </c>
      <c r="AJ38" s="287"/>
      <c r="AK38" s="282" t="s">
        <v>1229</v>
      </c>
      <c r="AL38" s="771" t="s">
        <v>828</v>
      </c>
      <c r="AM38" s="282"/>
      <c r="AN38" s="768" t="s">
        <v>326</v>
      </c>
      <c r="AO38" s="282" t="s">
        <v>1529</v>
      </c>
      <c r="AP38" s="785"/>
      <c r="AQ38" s="282"/>
      <c r="AR38" s="282"/>
      <c r="AS38" s="768"/>
      <c r="AT38" s="274"/>
      <c r="AU38" s="274"/>
      <c r="AV38" s="274"/>
      <c r="AW38" s="154"/>
    </row>
    <row r="39" spans="1:77" s="25" customFormat="1" ht="16.5" customHeight="1" thickBot="1">
      <c r="A39" s="736" t="s">
        <v>325</v>
      </c>
      <c r="B39" s="454">
        <f>COUNTIF($Q$51:$Q$2378,"2ت ر")</f>
        <v>0</v>
      </c>
      <c r="C39" s="454">
        <f>COUNTIF($Q$51:$Q$2378,"2ت ا ق1")</f>
        <v>32</v>
      </c>
      <c r="D39" s="454">
        <f>COUNTIF($Q$51:$Q$2378,"2ت ا ق2")</f>
        <v>0</v>
      </c>
      <c r="E39" s="454">
        <f>COUNTIF($Q$51:$Q$2378,"2ع ت1")</f>
        <v>6</v>
      </c>
      <c r="F39" s="454">
        <f>COUNTIF($Q$51:$Q$2378,"2ع ت2")</f>
        <v>0</v>
      </c>
      <c r="G39" s="454">
        <f>COUNTIF($Q$51:$Q$2378,"2أ ف")</f>
        <v>0</v>
      </c>
      <c r="H39" s="454">
        <f>COUNTIF($Q$51:$Q$2378,"2ل أ")</f>
        <v>0</v>
      </c>
      <c r="I39" s="454"/>
      <c r="J39" s="454"/>
      <c r="K39" s="454"/>
      <c r="L39" s="573"/>
      <c r="M39" s="735">
        <f>SUM(B39:L39)</f>
        <v>38</v>
      </c>
      <c r="N39" s="1453"/>
      <c r="O39" s="300"/>
      <c r="P39" s="300"/>
      <c r="Q39" s="11"/>
      <c r="R39" s="142"/>
      <c r="S39" s="501"/>
      <c r="T39" s="501"/>
      <c r="AH39" s="488">
        <v>33</v>
      </c>
      <c r="AI39" s="994" t="s">
        <v>1945</v>
      </c>
      <c r="AJ39" s="287"/>
      <c r="AK39" s="282" t="s">
        <v>1229</v>
      </c>
      <c r="AL39" s="282" t="s">
        <v>2231</v>
      </c>
      <c r="AM39" s="282" t="s">
        <v>1850</v>
      </c>
      <c r="AN39" s="282" t="s">
        <v>2228</v>
      </c>
      <c r="AO39" s="282" t="s">
        <v>2228</v>
      </c>
      <c r="AP39" s="769"/>
      <c r="AQ39" s="768"/>
      <c r="AR39" s="768" t="s">
        <v>824</v>
      </c>
      <c r="AS39" s="768" t="s">
        <v>500</v>
      </c>
      <c r="AT39" s="281"/>
      <c r="AU39" s="274"/>
      <c r="AV39" s="274"/>
      <c r="AW39" s="154"/>
    </row>
    <row r="40" spans="1:77" s="25" customFormat="1" ht="16.5" customHeight="1" thickBot="1">
      <c r="A40" s="736" t="s">
        <v>324</v>
      </c>
      <c r="B40" s="1006" t="s">
        <v>326</v>
      </c>
      <c r="C40" s="1006" t="s">
        <v>327</v>
      </c>
      <c r="D40" s="1006" t="s">
        <v>328</v>
      </c>
      <c r="E40" s="1006" t="s">
        <v>1175</v>
      </c>
      <c r="F40" s="1006" t="s">
        <v>1176</v>
      </c>
      <c r="G40" s="1006" t="s">
        <v>329</v>
      </c>
      <c r="H40" s="1006" t="s">
        <v>330</v>
      </c>
      <c r="I40" s="1006" t="s">
        <v>2154</v>
      </c>
      <c r="J40" s="1006"/>
      <c r="K40" s="1006"/>
      <c r="L40" s="556"/>
      <c r="M40" s="901" t="s">
        <v>302</v>
      </c>
      <c r="N40" s="1453"/>
      <c r="O40" s="300"/>
      <c r="P40" s="300"/>
      <c r="Q40" s="11"/>
      <c r="R40" s="142"/>
      <c r="S40" s="501"/>
      <c r="T40" s="501"/>
      <c r="AH40" s="488">
        <v>34</v>
      </c>
      <c r="AI40" s="994" t="s">
        <v>396</v>
      </c>
      <c r="AJ40" s="513"/>
      <c r="AK40" s="282" t="s">
        <v>290</v>
      </c>
      <c r="AL40" s="792" t="s">
        <v>328</v>
      </c>
      <c r="AM40" s="792" t="s">
        <v>824</v>
      </c>
      <c r="AN40" s="792"/>
      <c r="AO40" s="792"/>
      <c r="AP40" s="1025"/>
      <c r="AQ40" s="792"/>
      <c r="AR40" s="792"/>
      <c r="AS40" s="789"/>
      <c r="AT40" s="1024"/>
      <c r="AU40" s="1024"/>
      <c r="AV40" s="274"/>
      <c r="AW40" s="154"/>
    </row>
    <row r="41" spans="1:77" s="25" customFormat="1" ht="16.5" customHeight="1" thickBot="1">
      <c r="A41" s="736" t="s">
        <v>325</v>
      </c>
      <c r="B41" s="454">
        <f>COUNTIF($Q$51:$Q$2378,"1ج م ع1")</f>
        <v>0</v>
      </c>
      <c r="C41" s="454">
        <f>COUNTIF($Q$51:$Q$2378,"1ج م ع2")</f>
        <v>1</v>
      </c>
      <c r="D41" s="454">
        <f>COUNTIF($Q$51:$Q$2378,"1ج م ع3")</f>
        <v>4</v>
      </c>
      <c r="E41" s="454">
        <f>COUNTIF($Q$51:$Q$2378,"1ج م ع4")</f>
        <v>0</v>
      </c>
      <c r="F41" s="454">
        <f>COUNTIF($Q$51:$Q$2378,"1ج م ع5")</f>
        <v>0</v>
      </c>
      <c r="G41" s="454">
        <f>COUNTIF($Q$51:$Q$2378,"1ج م ا1")</f>
        <v>0</v>
      </c>
      <c r="H41" s="454">
        <f>COUNTIF($Q$51:$Q$2378,"1ج م ا2")</f>
        <v>0</v>
      </c>
      <c r="I41" s="454">
        <f>COUNTIF($Q$51:$Q$2378,"1ج م ا3")</f>
        <v>0</v>
      </c>
      <c r="J41" s="455"/>
      <c r="K41" s="455"/>
      <c r="L41" s="573"/>
      <c r="M41" s="735">
        <f>SUM(B41:L41)</f>
        <v>5</v>
      </c>
      <c r="N41" s="1454"/>
      <c r="O41" s="300"/>
      <c r="P41" s="300"/>
      <c r="Q41" s="10"/>
      <c r="R41" s="10"/>
      <c r="S41" s="246"/>
      <c r="T41" s="501"/>
      <c r="AH41" s="488">
        <v>35</v>
      </c>
      <c r="AI41" s="994" t="s">
        <v>291</v>
      </c>
      <c r="AJ41" s="513"/>
      <c r="AK41" s="282" t="s">
        <v>290</v>
      </c>
      <c r="AL41" s="771"/>
      <c r="AM41" s="282"/>
      <c r="AN41" s="282" t="s">
        <v>1248</v>
      </c>
      <c r="AO41" s="282" t="s">
        <v>1248</v>
      </c>
      <c r="AP41" s="769"/>
      <c r="AQ41" s="768" t="s">
        <v>820</v>
      </c>
      <c r="AR41" s="768" t="s">
        <v>819</v>
      </c>
      <c r="AS41" s="768" t="s">
        <v>2227</v>
      </c>
      <c r="AT41" s="281"/>
      <c r="AU41" s="274"/>
      <c r="AV41" s="274"/>
      <c r="AW41" s="154"/>
    </row>
    <row r="42" spans="1:77" s="25" customFormat="1" ht="16.5" customHeight="1" thickBot="1">
      <c r="A42" s="1425" t="s">
        <v>331</v>
      </c>
      <c r="B42" s="1425"/>
      <c r="C42" s="1425"/>
      <c r="D42" s="460"/>
      <c r="E42" s="460"/>
      <c r="F42" s="483"/>
      <c r="G42" s="484" t="s">
        <v>332</v>
      </c>
      <c r="H42" s="485"/>
      <c r="I42" s="367"/>
      <c r="J42" s="461"/>
      <c r="K42" s="461"/>
      <c r="L42" s="462" t="s">
        <v>333</v>
      </c>
      <c r="M42" s="367"/>
      <c r="N42" s="367"/>
      <c r="O42" s="12"/>
      <c r="P42" s="9"/>
      <c r="Q42" s="9"/>
      <c r="R42" s="311"/>
      <c r="S42" s="1009"/>
      <c r="T42" s="1009"/>
      <c r="U42" s="13"/>
      <c r="V42" s="13"/>
      <c r="W42" s="13"/>
      <c r="X42" s="13"/>
      <c r="Y42" s="13"/>
      <c r="AA42" s="13"/>
      <c r="AB42" s="13"/>
      <c r="AC42" s="13"/>
      <c r="AD42" s="13"/>
      <c r="AE42" s="13"/>
      <c r="AF42" s="13"/>
      <c r="AG42" s="13"/>
      <c r="AH42" s="488">
        <v>36</v>
      </c>
      <c r="AI42" s="995" t="s">
        <v>2094</v>
      </c>
      <c r="AJ42" s="513"/>
      <c r="AK42" s="282" t="s">
        <v>290</v>
      </c>
      <c r="AL42" s="768"/>
      <c r="AM42" s="768" t="s">
        <v>2256</v>
      </c>
      <c r="AN42" s="768" t="s">
        <v>2256</v>
      </c>
      <c r="AO42" s="768"/>
      <c r="AP42" s="785"/>
      <c r="AQ42" s="282" t="s">
        <v>1850</v>
      </c>
      <c r="AR42" s="282" t="s">
        <v>1175</v>
      </c>
      <c r="AS42" s="282"/>
      <c r="AT42" s="318"/>
      <c r="AU42" s="318"/>
      <c r="AV42" s="318"/>
      <c r="AW42" s="319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</row>
    <row r="43" spans="1:77" s="25" customFormat="1" ht="16.5" customHeight="1" thickBot="1">
      <c r="A43" s="1028" t="s">
        <v>1503</v>
      </c>
      <c r="B43" s="458"/>
      <c r="C43" s="458"/>
      <c r="D43" s="458"/>
      <c r="E43" s="459"/>
      <c r="F43" s="459"/>
      <c r="G43" s="459"/>
      <c r="H43" s="460"/>
      <c r="I43" s="367"/>
      <c r="J43" s="367"/>
      <c r="K43" s="367"/>
      <c r="L43" s="367"/>
      <c r="M43" s="21"/>
      <c r="N43" s="21"/>
      <c r="O43" s="8"/>
      <c r="P43" s="8"/>
      <c r="Q43" s="8"/>
      <c r="R43" s="311"/>
      <c r="S43" s="1009"/>
      <c r="T43" s="1009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488">
        <v>37</v>
      </c>
      <c r="AI43" s="995" t="s">
        <v>1958</v>
      </c>
      <c r="AJ43" s="287"/>
      <c r="AK43" s="282" t="s">
        <v>290</v>
      </c>
      <c r="AL43" s="282"/>
      <c r="AM43" s="282"/>
      <c r="AN43" s="282"/>
      <c r="AO43" s="282"/>
      <c r="AP43" s="769"/>
      <c r="AQ43" s="768" t="s">
        <v>268</v>
      </c>
      <c r="AR43" s="768" t="s">
        <v>326</v>
      </c>
      <c r="AS43" s="768" t="s">
        <v>2228</v>
      </c>
      <c r="AT43" s="318"/>
      <c r="AU43" s="318"/>
      <c r="AV43" s="318"/>
      <c r="AW43" s="319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</row>
    <row r="44" spans="1:77" s="25" customFormat="1" ht="16.5" customHeight="1" thickBot="1">
      <c r="A44" s="457"/>
      <c r="N44" s="367"/>
      <c r="O44" s="12"/>
      <c r="P44" s="12"/>
      <c r="Q44" s="11"/>
      <c r="R44" s="142"/>
      <c r="S44" s="501"/>
      <c r="T44" s="501"/>
      <c r="AH44" s="488">
        <v>38</v>
      </c>
      <c r="AI44" s="995" t="s">
        <v>1536</v>
      </c>
      <c r="AJ44" s="287"/>
      <c r="AK44" s="282" t="s">
        <v>290</v>
      </c>
      <c r="AL44" s="787"/>
      <c r="AM44" s="792"/>
      <c r="AN44" s="792" t="s">
        <v>1518</v>
      </c>
      <c r="AO44" s="792" t="s">
        <v>2212</v>
      </c>
      <c r="AP44" s="1023"/>
      <c r="AQ44" s="783" t="s">
        <v>1505</v>
      </c>
      <c r="AR44" s="783" t="s">
        <v>500</v>
      </c>
      <c r="AS44" s="789"/>
      <c r="AT44" s="1024"/>
      <c r="AU44" s="1024"/>
      <c r="AV44" s="1024"/>
      <c r="AW44" s="154"/>
    </row>
    <row r="45" spans="1:77" s="25" customFormat="1" ht="16.5" customHeight="1" thickBot="1">
      <c r="A45" s="462" t="s">
        <v>334</v>
      </c>
      <c r="B45" s="462"/>
      <c r="C45" s="462"/>
      <c r="D45" s="461"/>
      <c r="E45" s="460"/>
      <c r="F45" s="460"/>
      <c r="G45" s="461" t="s">
        <v>334</v>
      </c>
      <c r="H45" s="461"/>
      <c r="I45" s="367"/>
      <c r="J45" s="367"/>
      <c r="K45" s="21"/>
      <c r="L45" s="462" t="s">
        <v>334</v>
      </c>
      <c r="M45" s="21"/>
      <c r="N45" s="367"/>
      <c r="O45" s="12"/>
      <c r="P45" s="12"/>
      <c r="Q45" s="11"/>
      <c r="R45" s="142"/>
      <c r="S45" s="501"/>
      <c r="T45" s="501"/>
      <c r="AH45" s="488">
        <v>39</v>
      </c>
      <c r="AI45" s="994" t="s">
        <v>2217</v>
      </c>
      <c r="AJ45" s="287"/>
      <c r="AK45" s="282" t="s">
        <v>290</v>
      </c>
      <c r="AL45" s="768"/>
      <c r="AM45" s="316"/>
      <c r="AN45" s="316"/>
      <c r="AO45" s="316"/>
      <c r="AP45" s="769"/>
      <c r="AQ45" s="282"/>
      <c r="AR45" s="282"/>
      <c r="AS45" s="282"/>
      <c r="AT45" s="274"/>
      <c r="AU45" s="274"/>
      <c r="AV45" s="274"/>
      <c r="AW45" s="154"/>
    </row>
    <row r="46" spans="1:77" s="25" customFormat="1" ht="16.5" customHeight="1" thickBot="1">
      <c r="A46" s="457"/>
      <c r="N46" s="367"/>
      <c r="O46" s="12"/>
      <c r="P46" s="12"/>
      <c r="Q46" s="11"/>
      <c r="R46" s="142"/>
      <c r="S46" s="501"/>
      <c r="T46" s="501"/>
      <c r="AH46" s="488">
        <v>40</v>
      </c>
      <c r="AI46" s="994" t="s">
        <v>296</v>
      </c>
      <c r="AJ46" s="287"/>
      <c r="AK46" s="282" t="s">
        <v>1206</v>
      </c>
      <c r="AL46" s="768" t="s">
        <v>1248</v>
      </c>
      <c r="AM46" s="24" t="s">
        <v>2226</v>
      </c>
      <c r="AN46" s="24" t="s">
        <v>1176</v>
      </c>
      <c r="AO46" s="24" t="s">
        <v>326</v>
      </c>
      <c r="AP46" s="769"/>
      <c r="AQ46" s="282"/>
      <c r="AR46" s="282"/>
      <c r="AS46" s="282"/>
      <c r="AT46" s="274"/>
      <c r="AU46" s="274"/>
      <c r="AV46" s="274"/>
      <c r="AW46" s="154"/>
    </row>
    <row r="47" spans="1:77" s="25" customFormat="1" ht="16.5" customHeight="1" thickBot="1">
      <c r="N47" s="457"/>
      <c r="O47" s="12"/>
      <c r="P47" s="12"/>
      <c r="Q47" s="11"/>
      <c r="R47" s="142"/>
      <c r="S47" s="501"/>
      <c r="T47" s="501"/>
      <c r="AH47" s="488">
        <v>41</v>
      </c>
      <c r="AI47" s="994" t="s">
        <v>1946</v>
      </c>
      <c r="AJ47" s="287"/>
      <c r="AK47" s="282" t="s">
        <v>1206</v>
      </c>
      <c r="AL47" s="282" t="s">
        <v>2215</v>
      </c>
      <c r="AM47" s="768" t="s">
        <v>820</v>
      </c>
      <c r="AN47" s="282" t="s">
        <v>328</v>
      </c>
      <c r="AO47" s="282"/>
      <c r="AP47" s="769"/>
      <c r="AQ47" s="282" t="s">
        <v>500</v>
      </c>
      <c r="AR47" s="282" t="s">
        <v>327</v>
      </c>
      <c r="AS47" s="282"/>
      <c r="AT47" s="282"/>
      <c r="AU47" s="282"/>
      <c r="AV47" s="274"/>
      <c r="AW47" s="24"/>
    </row>
    <row r="48" spans="1:77" s="25" customFormat="1" ht="16.5" customHeight="1" thickBot="1">
      <c r="N48" s="457"/>
      <c r="O48" s="12"/>
      <c r="P48" s="12"/>
      <c r="Q48" s="11"/>
      <c r="R48" s="142"/>
      <c r="S48" s="501"/>
      <c r="T48" s="501"/>
      <c r="AH48" s="488">
        <v>42</v>
      </c>
      <c r="AI48" s="994" t="s">
        <v>640</v>
      </c>
      <c r="AJ48" s="287"/>
      <c r="AK48" s="282" t="s">
        <v>1206</v>
      </c>
      <c r="AL48" s="768"/>
      <c r="AM48" s="768" t="s">
        <v>828</v>
      </c>
      <c r="AN48" s="768" t="s">
        <v>828</v>
      </c>
      <c r="AO48" s="282" t="s">
        <v>1507</v>
      </c>
      <c r="AP48" s="769"/>
      <c r="AQ48" s="282"/>
      <c r="AR48" s="282"/>
      <c r="AS48" s="282"/>
      <c r="AT48" s="282"/>
      <c r="AU48" s="282"/>
      <c r="AV48" s="274"/>
      <c r="AW48" s="24"/>
    </row>
    <row r="49" spans="4:49" s="25" customFormat="1" ht="16.5" customHeight="1" thickBot="1">
      <c r="O49" s="11"/>
      <c r="P49" s="11"/>
      <c r="Q49" s="11"/>
      <c r="R49" s="142"/>
      <c r="S49" s="501"/>
      <c r="T49" s="501"/>
      <c r="V49" s="542"/>
      <c r="W49" s="542"/>
      <c r="AH49" s="488">
        <v>43</v>
      </c>
      <c r="AI49" s="994" t="s">
        <v>2219</v>
      </c>
      <c r="AJ49" s="287"/>
      <c r="AK49" s="282" t="s">
        <v>270</v>
      </c>
      <c r="AL49" s="768"/>
      <c r="AM49" s="768"/>
      <c r="AN49" s="282"/>
      <c r="AO49" s="282"/>
      <c r="AP49" s="769"/>
      <c r="AQ49" s="282"/>
      <c r="AR49" s="282"/>
      <c r="AS49" s="282" t="s">
        <v>1176</v>
      </c>
      <c r="AT49" s="282" t="s">
        <v>326</v>
      </c>
      <c r="AU49" s="282"/>
      <c r="AV49" s="274"/>
      <c r="AW49" s="24"/>
    </row>
    <row r="50" spans="4:49" s="25" customFormat="1" ht="16.5" customHeight="1" thickBot="1">
      <c r="D50" s="295"/>
      <c r="E50" s="295"/>
      <c r="F50" s="295"/>
      <c r="G50" s="295"/>
      <c r="H50" s="295"/>
      <c r="AH50" s="488">
        <v>44</v>
      </c>
      <c r="AI50" s="994" t="s">
        <v>1537</v>
      </c>
      <c r="AJ50" s="285"/>
      <c r="AK50" s="282" t="s">
        <v>1206</v>
      </c>
      <c r="AL50" s="316"/>
      <c r="AM50" s="316"/>
      <c r="AN50" s="316"/>
      <c r="AO50" s="316"/>
      <c r="AP50" s="770"/>
      <c r="AQ50" s="316"/>
      <c r="AR50" s="316"/>
      <c r="AS50" s="316"/>
      <c r="AT50" s="24"/>
      <c r="AU50" s="24"/>
      <c r="AV50" s="24"/>
      <c r="AW50" s="13"/>
    </row>
    <row r="51" spans="4:49" s="25" customFormat="1" ht="16.5" customHeight="1" thickBot="1">
      <c r="D51" s="295"/>
      <c r="E51" s="295"/>
      <c r="F51" s="295"/>
      <c r="G51" s="295"/>
      <c r="H51" s="295"/>
      <c r="AH51" s="488">
        <v>45</v>
      </c>
      <c r="AI51" s="994" t="s">
        <v>1232</v>
      </c>
      <c r="AJ51" s="285"/>
      <c r="AK51" s="282" t="s">
        <v>1206</v>
      </c>
      <c r="AL51" s="282"/>
      <c r="AM51" s="282"/>
      <c r="AN51" s="282"/>
      <c r="AO51" s="24"/>
      <c r="AP51" s="770"/>
      <c r="AQ51" s="282"/>
      <c r="AR51" s="282"/>
      <c r="AS51" s="282" t="s">
        <v>1530</v>
      </c>
      <c r="AT51" s="282" t="s">
        <v>1530</v>
      </c>
      <c r="AU51" s="24"/>
      <c r="AV51" s="24"/>
      <c r="AW51" s="13"/>
    </row>
    <row r="52" spans="4:49" s="25" customFormat="1" ht="16.5" customHeight="1" thickBot="1">
      <c r="D52" s="295"/>
      <c r="E52" s="295"/>
      <c r="F52" s="295"/>
      <c r="G52" s="295"/>
      <c r="H52" s="295"/>
      <c r="AH52" s="488">
        <v>46</v>
      </c>
      <c r="AI52" s="994" t="s">
        <v>1502</v>
      </c>
      <c r="AJ52" s="285"/>
      <c r="AK52" s="282" t="s">
        <v>1959</v>
      </c>
      <c r="AL52" s="24" t="s">
        <v>1173</v>
      </c>
      <c r="AM52" s="24" t="s">
        <v>1173</v>
      </c>
      <c r="AN52" s="24" t="s">
        <v>1174</v>
      </c>
      <c r="AO52" s="24" t="s">
        <v>2226</v>
      </c>
      <c r="AP52" s="1015"/>
      <c r="AQ52" s="24" t="s">
        <v>1174</v>
      </c>
      <c r="AR52" s="24" t="s">
        <v>2227</v>
      </c>
      <c r="AS52" s="768"/>
      <c r="AT52" s="24"/>
      <c r="AU52" s="24"/>
      <c r="AV52" s="24"/>
      <c r="AW52" s="13"/>
    </row>
    <row r="53" spans="4:49" s="25" customFormat="1" ht="16.5" customHeight="1" thickBot="1">
      <c r="D53" s="295"/>
      <c r="E53" s="295"/>
      <c r="F53" s="295"/>
      <c r="G53" s="295"/>
      <c r="H53" s="295"/>
      <c r="AH53" s="488">
        <v>47</v>
      </c>
      <c r="AI53" s="994" t="s">
        <v>2097</v>
      </c>
      <c r="AJ53" s="285"/>
      <c r="AK53" s="849" t="s">
        <v>1959</v>
      </c>
      <c r="AL53" s="316"/>
      <c r="AM53" s="316"/>
      <c r="AN53" s="316"/>
      <c r="AO53" s="316"/>
      <c r="AP53" s="770"/>
      <c r="AQ53" s="316"/>
      <c r="AR53" s="316"/>
      <c r="AS53" s="316"/>
      <c r="AT53" s="316"/>
      <c r="AU53" s="316"/>
      <c r="AV53" s="316"/>
      <c r="AW53" s="13"/>
    </row>
    <row r="54" spans="4:49" s="25" customFormat="1" ht="17.45" customHeight="1" thickBot="1">
      <c r="D54" s="295"/>
      <c r="E54" s="295"/>
      <c r="F54" s="295"/>
      <c r="G54" s="295"/>
      <c r="H54" s="295"/>
      <c r="AH54" s="488">
        <v>48</v>
      </c>
      <c r="AI54" s="994" t="s">
        <v>1947</v>
      </c>
      <c r="AJ54" s="285"/>
      <c r="AK54" s="849" t="s">
        <v>1960</v>
      </c>
      <c r="AL54" s="24" t="s">
        <v>268</v>
      </c>
      <c r="AM54" s="24" t="s">
        <v>268</v>
      </c>
      <c r="AN54" s="316"/>
      <c r="AO54" s="316"/>
      <c r="AP54" s="770"/>
      <c r="AQ54" s="24" t="s">
        <v>828</v>
      </c>
      <c r="AR54" s="24" t="s">
        <v>828</v>
      </c>
      <c r="AS54" s="316"/>
      <c r="AT54" s="316"/>
      <c r="AU54" s="316"/>
      <c r="AV54" s="316"/>
      <c r="AW54" s="13"/>
    </row>
    <row r="55" spans="4:49" s="25" customFormat="1" ht="17.45" customHeight="1" thickBot="1">
      <c r="D55" s="295"/>
      <c r="E55" s="295"/>
      <c r="F55" s="295"/>
      <c r="G55" s="295"/>
      <c r="H55" s="295"/>
      <c r="L55" s="367"/>
      <c r="M55" s="367"/>
      <c r="O55" s="1055" t="s">
        <v>335</v>
      </c>
      <c r="P55" s="1056"/>
      <c r="Q55" s="1071" t="s">
        <v>2225</v>
      </c>
      <c r="R55" s="1071"/>
      <c r="S55" s="1071"/>
      <c r="T55" s="1467">
        <v>45782</v>
      </c>
      <c r="U55" s="1467"/>
      <c r="V55" s="1042"/>
      <c r="W55" s="304"/>
      <c r="X55" s="1043"/>
      <c r="Y55" s="1044"/>
      <c r="Z55" s="1044"/>
      <c r="AA55" s="304"/>
      <c r="AH55" s="488">
        <v>49</v>
      </c>
      <c r="AI55" s="994" t="s">
        <v>1236</v>
      </c>
      <c r="AJ55" s="285"/>
      <c r="AK55" s="849" t="s">
        <v>1238</v>
      </c>
      <c r="AL55" s="24" t="s">
        <v>1175</v>
      </c>
      <c r="AM55" s="24" t="s">
        <v>1175</v>
      </c>
      <c r="AN55" s="24"/>
      <c r="AO55" s="24" t="s">
        <v>1529</v>
      </c>
      <c r="AP55" s="770"/>
      <c r="AQ55" s="316"/>
      <c r="AR55" s="316"/>
      <c r="AS55" s="24"/>
      <c r="AT55" s="24"/>
      <c r="AU55" s="316"/>
      <c r="AV55" s="316"/>
      <c r="AW55" s="13"/>
    </row>
    <row r="56" spans="4:49" s="25" customFormat="1" ht="17.45" customHeight="1" thickBot="1">
      <c r="D56" s="295"/>
      <c r="E56" s="295"/>
      <c r="F56" s="295"/>
      <c r="G56" s="295"/>
      <c r="H56" s="295"/>
      <c r="L56" s="1468" t="s">
        <v>339</v>
      </c>
      <c r="M56" s="1469"/>
      <c r="N56" s="1012" t="s">
        <v>1564</v>
      </c>
      <c r="O56" s="1132" t="s">
        <v>258</v>
      </c>
      <c r="P56" s="1132" t="s">
        <v>336</v>
      </c>
      <c r="Q56" s="1132" t="s">
        <v>5</v>
      </c>
      <c r="R56" s="1132" t="s">
        <v>7</v>
      </c>
      <c r="S56" s="566"/>
      <c r="T56" s="1132" t="s">
        <v>634</v>
      </c>
      <c r="U56" s="1446" t="s">
        <v>356</v>
      </c>
      <c r="V56" s="1138" t="s">
        <v>635</v>
      </c>
      <c r="W56" s="1138" t="s">
        <v>636</v>
      </c>
      <c r="X56" s="1138" t="s">
        <v>337</v>
      </c>
      <c r="Y56" s="1138" t="s">
        <v>338</v>
      </c>
      <c r="Z56" s="1138" t="s">
        <v>339</v>
      </c>
      <c r="AA56" s="1138" t="s">
        <v>2211</v>
      </c>
      <c r="AH56" s="488">
        <v>50</v>
      </c>
      <c r="AI56" s="994" t="s">
        <v>2218</v>
      </c>
      <c r="AJ56" s="285"/>
      <c r="AK56" s="849" t="s">
        <v>1961</v>
      </c>
      <c r="AL56" s="316"/>
      <c r="AM56" s="316"/>
      <c r="AN56" s="316"/>
      <c r="AO56" s="316"/>
      <c r="AP56" s="770"/>
      <c r="AQ56" s="316" t="s">
        <v>328</v>
      </c>
      <c r="AR56" s="316" t="s">
        <v>328</v>
      </c>
      <c r="AS56" s="24"/>
      <c r="AT56" s="24"/>
      <c r="AU56" s="316"/>
      <c r="AV56" s="316"/>
      <c r="AW56" s="13"/>
    </row>
    <row r="57" spans="4:49" s="25" customFormat="1" ht="17.45" customHeight="1" thickBot="1">
      <c r="D57" s="295"/>
      <c r="E57" s="295"/>
      <c r="F57" s="295"/>
      <c r="G57" s="295"/>
      <c r="H57" s="295"/>
      <c r="L57" s="1011"/>
      <c r="M57" s="1011"/>
      <c r="N57" s="1011"/>
      <c r="O57" s="1133"/>
      <c r="P57" s="1133"/>
      <c r="Q57" s="1133"/>
      <c r="R57" s="1133"/>
      <c r="S57" s="567"/>
      <c r="T57" s="1133"/>
      <c r="U57" s="1447"/>
      <c r="V57" s="1138"/>
      <c r="W57" s="1138"/>
      <c r="X57" s="1138"/>
      <c r="Y57" s="1138"/>
      <c r="Z57" s="1139"/>
      <c r="AA57" s="1139"/>
      <c r="AH57" s="488">
        <v>51</v>
      </c>
      <c r="AI57" s="994" t="s">
        <v>1237</v>
      </c>
      <c r="AJ57" s="285"/>
      <c r="AK57" s="849" t="s">
        <v>1238</v>
      </c>
      <c r="AL57" s="316"/>
      <c r="AM57" s="316"/>
      <c r="AN57" s="316"/>
      <c r="AO57" s="316"/>
      <c r="AP57" s="770"/>
      <c r="AQ57" s="316"/>
      <c r="AR57" s="316"/>
      <c r="AS57" s="316"/>
      <c r="AT57" s="316"/>
      <c r="AU57" s="316"/>
      <c r="AV57" s="316"/>
      <c r="AW57" s="13"/>
    </row>
    <row r="58" spans="4:49" s="25" customFormat="1" ht="16.5" customHeight="1" thickBot="1">
      <c r="D58" s="295"/>
      <c r="E58" s="295"/>
      <c r="F58" s="295"/>
      <c r="G58" s="295"/>
      <c r="H58" s="295"/>
      <c r="L58" s="777">
        <v>5</v>
      </c>
      <c r="M58" s="778"/>
      <c r="N58" s="976">
        <v>1</v>
      </c>
      <c r="O58" s="1020">
        <v>1</v>
      </c>
      <c r="P58" s="847">
        <f>VLOOKUP(N58,etat!$A$9:$N$1004,2,FALSE)</f>
        <v>0</v>
      </c>
      <c r="Q58" s="797" t="str">
        <f>VLOOKUP(N58,etat!$A$9:$N$963,7,FALSE)</f>
        <v xml:space="preserve"> 3ت ر كه </v>
      </c>
      <c r="R58" s="797" t="str">
        <f>VLOOKUP(N58,etat!$A$9:$N$1003,9,FALSE)</f>
        <v>ن/د</v>
      </c>
      <c r="S58" s="866" t="str">
        <f>VLOOKUP(N58,etat!$A$9:$P$905,16,FALSE)</f>
        <v>ان/د3</v>
      </c>
      <c r="T58" s="755">
        <v>45782</v>
      </c>
      <c r="U58" s="791">
        <v>1</v>
      </c>
      <c r="V58" s="784"/>
      <c r="W58" s="784"/>
      <c r="X58" s="784"/>
      <c r="Y58" s="1116"/>
      <c r="Z58" s="975"/>
      <c r="AA58" s="967">
        <v>3</v>
      </c>
      <c r="AH58" s="488">
        <v>52</v>
      </c>
      <c r="AI58" s="994" t="s">
        <v>1239</v>
      </c>
      <c r="AJ58" s="285"/>
      <c r="AK58" s="849" t="s">
        <v>387</v>
      </c>
      <c r="AL58" s="316"/>
      <c r="AM58" s="316"/>
      <c r="AN58" s="316"/>
      <c r="AO58" s="316"/>
      <c r="AP58" s="770"/>
      <c r="AQ58" s="24" t="s">
        <v>2215</v>
      </c>
      <c r="AR58" s="24" t="s">
        <v>2215</v>
      </c>
      <c r="AS58" s="24" t="s">
        <v>2226</v>
      </c>
      <c r="AT58" s="24" t="s">
        <v>2226</v>
      </c>
      <c r="AU58" s="316"/>
      <c r="AV58" s="316"/>
      <c r="AW58" s="24"/>
    </row>
    <row r="59" spans="4:49" s="25" customFormat="1" ht="16.5" customHeight="1" thickBot="1">
      <c r="D59" s="295"/>
      <c r="E59" s="295"/>
      <c r="F59" s="295"/>
      <c r="G59" s="295"/>
      <c r="H59" s="295"/>
      <c r="L59" s="777">
        <v>5</v>
      </c>
      <c r="M59" s="778"/>
      <c r="N59" s="976">
        <v>2</v>
      </c>
      <c r="O59" s="1020">
        <v>2</v>
      </c>
      <c r="P59" s="847">
        <f>VLOOKUP(N59,etat!$A$9:$N$1004,2,FALSE)</f>
        <v>0</v>
      </c>
      <c r="Q59" s="797" t="str">
        <f>VLOOKUP(N59,etat!$A$9:$N$963,7,FALSE)</f>
        <v xml:space="preserve"> 3ت ر كه </v>
      </c>
      <c r="R59" s="797" t="str">
        <f>VLOOKUP(N59,etat!$A$9:$N$1003,9,FALSE)</f>
        <v>خ</v>
      </c>
      <c r="S59" s="866" t="str">
        <f>VLOOKUP(N59,etat!$A$9:$P$905,16,FALSE)</f>
        <v>اخ3</v>
      </c>
      <c r="T59" s="755">
        <v>45782</v>
      </c>
      <c r="U59" s="791">
        <v>1</v>
      </c>
      <c r="V59" s="784"/>
      <c r="W59" s="784"/>
      <c r="X59" s="784"/>
      <c r="Y59" s="975"/>
      <c r="Z59" s="975"/>
      <c r="AA59" s="967">
        <v>3</v>
      </c>
      <c r="AH59" s="488">
        <v>53</v>
      </c>
      <c r="AI59" s="994" t="s">
        <v>314</v>
      </c>
      <c r="AJ59" s="285"/>
      <c r="AK59" s="849" t="s">
        <v>387</v>
      </c>
      <c r="AL59" s="316"/>
      <c r="AM59" s="316"/>
      <c r="AN59" s="316"/>
      <c r="AO59" s="316"/>
      <c r="AP59" s="770"/>
      <c r="AQ59" s="316" t="s">
        <v>1173</v>
      </c>
      <c r="AR59" s="316" t="s">
        <v>1173</v>
      </c>
      <c r="AS59" s="316"/>
      <c r="AT59" s="316"/>
      <c r="AU59" s="316"/>
      <c r="AV59" s="316"/>
      <c r="AW59" s="24"/>
    </row>
    <row r="60" spans="4:49" s="25" customFormat="1" ht="16.5" customHeight="1" thickBot="1">
      <c r="D60" s="295"/>
      <c r="E60" s="295"/>
      <c r="F60" s="295"/>
      <c r="G60" s="295"/>
      <c r="H60" s="295"/>
      <c r="L60" s="777">
        <v>5</v>
      </c>
      <c r="M60" s="778"/>
      <c r="N60" s="976">
        <v>3</v>
      </c>
      <c r="O60" s="1020">
        <v>3</v>
      </c>
      <c r="P60" s="847">
        <f>VLOOKUP(N60,etat!$A$9:$N$1004,2,FALSE)</f>
        <v>0</v>
      </c>
      <c r="Q60" s="797" t="str">
        <f>VLOOKUP(N60,etat!$A$9:$N$963,7,FALSE)</f>
        <v xml:space="preserve"> 3ت ر كه </v>
      </c>
      <c r="R60" s="797" t="str">
        <f>VLOOKUP(N60,etat!$A$9:$N$1003,9,FALSE)</f>
        <v>خ</v>
      </c>
      <c r="S60" s="866" t="str">
        <f>VLOOKUP(N60,etat!$A$9:$P$905,16,FALSE)</f>
        <v>اخ3</v>
      </c>
      <c r="T60" s="755">
        <v>45782</v>
      </c>
      <c r="U60" s="791">
        <v>1</v>
      </c>
      <c r="V60" s="784"/>
      <c r="W60" s="784"/>
      <c r="X60" s="784"/>
      <c r="Y60" s="975"/>
      <c r="Z60" s="975"/>
      <c r="AA60" s="967">
        <v>3</v>
      </c>
      <c r="AH60" s="488">
        <v>54</v>
      </c>
      <c r="AI60" s="994" t="s">
        <v>1240</v>
      </c>
      <c r="AJ60" s="285"/>
      <c r="AK60" s="849" t="s">
        <v>387</v>
      </c>
      <c r="AL60" s="316"/>
      <c r="AM60" s="316"/>
      <c r="AN60" s="316"/>
      <c r="AO60" s="316"/>
      <c r="AP60" s="770"/>
      <c r="AQ60" s="24" t="s">
        <v>821</v>
      </c>
      <c r="AR60" s="24" t="s">
        <v>821</v>
      </c>
      <c r="AS60" s="24" t="s">
        <v>820</v>
      </c>
      <c r="AT60" s="24" t="s">
        <v>820</v>
      </c>
      <c r="AU60" s="316"/>
      <c r="AV60" s="316"/>
      <c r="AW60" s="26"/>
    </row>
    <row r="61" spans="4:49" s="25" customFormat="1" ht="16.5" customHeight="1" thickBot="1">
      <c r="D61" s="295"/>
      <c r="E61" s="295"/>
      <c r="F61" s="295"/>
      <c r="G61" s="295"/>
      <c r="H61" s="295"/>
      <c r="L61" s="777">
        <v>5</v>
      </c>
      <c r="M61" s="778"/>
      <c r="N61" s="976">
        <v>4</v>
      </c>
      <c r="O61" s="1020">
        <v>4</v>
      </c>
      <c r="P61" s="847">
        <f>VLOOKUP(N61,etat!$A$9:$N$1004,2,FALSE)</f>
        <v>0</v>
      </c>
      <c r="Q61" s="797" t="str">
        <f>VLOOKUP(N61,etat!$A$9:$N$963,7,FALSE)</f>
        <v xml:space="preserve"> 3ت ر كه </v>
      </c>
      <c r="R61" s="797" t="str">
        <f>VLOOKUP(N61,etat!$A$9:$N$1003,9,FALSE)</f>
        <v>خ</v>
      </c>
      <c r="S61" s="866" t="str">
        <f>VLOOKUP(N61,etat!$A$9:$P$905,16,FALSE)</f>
        <v>اخ3</v>
      </c>
      <c r="T61" s="755">
        <v>45781</v>
      </c>
      <c r="U61" s="791">
        <v>2</v>
      </c>
      <c r="V61" s="784"/>
      <c r="W61" s="784"/>
      <c r="X61" s="784"/>
      <c r="Y61" s="975"/>
      <c r="Z61" s="967"/>
      <c r="AA61" s="967">
        <v>7</v>
      </c>
      <c r="AH61" s="488">
        <v>55</v>
      </c>
      <c r="AI61" s="1003"/>
      <c r="AJ61" s="285"/>
      <c r="AK61" s="849"/>
      <c r="AL61" s="316"/>
      <c r="AM61" s="316"/>
      <c r="AN61" s="316"/>
      <c r="AO61" s="316"/>
      <c r="AP61" s="770"/>
      <c r="AQ61" s="316"/>
      <c r="AR61" s="316"/>
      <c r="AS61" s="316"/>
      <c r="AT61" s="316"/>
      <c r="AU61" s="316"/>
      <c r="AV61" s="316"/>
    </row>
    <row r="62" spans="4:49" s="25" customFormat="1" ht="16.5" customHeight="1" thickBot="1">
      <c r="D62" s="295"/>
      <c r="E62" s="295"/>
      <c r="F62" s="295"/>
      <c r="G62" s="295"/>
      <c r="H62" s="295"/>
      <c r="L62" s="777">
        <v>5</v>
      </c>
      <c r="M62" s="778"/>
      <c r="N62" s="976">
        <v>5</v>
      </c>
      <c r="O62" s="1020">
        <v>5</v>
      </c>
      <c r="P62" s="847">
        <f>VLOOKUP(N62,etat!$A$9:$N$1004,2,FALSE)</f>
        <v>0</v>
      </c>
      <c r="Q62" s="797" t="str">
        <f>VLOOKUP(N62,etat!$A$9:$N$963,7,FALSE)</f>
        <v xml:space="preserve"> 3ت ر كه </v>
      </c>
      <c r="R62" s="797" t="str">
        <f>VLOOKUP(N62,etat!$A$9:$N$1003,9,FALSE)</f>
        <v>خ</v>
      </c>
      <c r="S62" s="866" t="str">
        <f>VLOOKUP(N62,etat!$A$9:$P$905,16,FALSE)</f>
        <v>ذخ3</v>
      </c>
      <c r="T62" s="755">
        <v>45782</v>
      </c>
      <c r="U62" s="791">
        <v>1</v>
      </c>
      <c r="V62" s="784"/>
      <c r="W62" s="784"/>
      <c r="X62" s="784"/>
      <c r="Y62" s="975"/>
      <c r="Z62" s="975"/>
      <c r="AA62" s="967">
        <v>3</v>
      </c>
      <c r="AH62" s="488">
        <v>56</v>
      </c>
      <c r="AI62" s="962" t="s">
        <v>497</v>
      </c>
      <c r="AJ62" s="285"/>
      <c r="AK62" s="316"/>
      <c r="AL62" s="316"/>
      <c r="AM62" s="316"/>
      <c r="AN62" s="316"/>
      <c r="AO62" s="316"/>
      <c r="AP62" s="770"/>
      <c r="AQ62" s="316"/>
      <c r="AR62" s="316"/>
      <c r="AS62" s="316"/>
      <c r="AT62" s="316"/>
      <c r="AU62" s="316"/>
      <c r="AV62" s="316"/>
    </row>
    <row r="63" spans="4:49" s="25" customFormat="1" ht="16.5" customHeight="1" thickBot="1">
      <c r="D63" s="295"/>
      <c r="E63" s="295"/>
      <c r="F63" s="295"/>
      <c r="G63" s="295"/>
      <c r="H63" s="295"/>
      <c r="L63" s="777">
        <v>5</v>
      </c>
      <c r="M63" s="778"/>
      <c r="N63" s="976">
        <v>6</v>
      </c>
      <c r="O63" s="1020">
        <v>6</v>
      </c>
      <c r="P63" s="847">
        <f>VLOOKUP(N63,etat!$A$9:$N$1004,2,FALSE)</f>
        <v>0</v>
      </c>
      <c r="Q63" s="797" t="str">
        <f>VLOOKUP(N63,etat!$A$9:$N$963,7,FALSE)</f>
        <v xml:space="preserve"> 3ت ر كه </v>
      </c>
      <c r="R63" s="797" t="str">
        <f>VLOOKUP(N63,etat!$A$9:$N$1003,9,FALSE)</f>
        <v>خ</v>
      </c>
      <c r="S63" s="866" t="str">
        <f>VLOOKUP(N63,etat!$A$9:$P$905,16,FALSE)</f>
        <v>ذخ3</v>
      </c>
      <c r="T63" s="755">
        <v>45781</v>
      </c>
      <c r="U63" s="791">
        <v>2</v>
      </c>
      <c r="V63" s="784"/>
      <c r="W63" s="784"/>
      <c r="X63" s="784"/>
      <c r="Y63" s="1117"/>
      <c r="Z63" s="967"/>
      <c r="AA63" s="967">
        <v>7</v>
      </c>
      <c r="AH63" s="488">
        <v>57</v>
      </c>
      <c r="AI63" s="962" t="s">
        <v>497</v>
      </c>
      <c r="AJ63" s="285"/>
      <c r="AK63" s="849"/>
      <c r="AL63" s="316"/>
      <c r="AM63" s="316"/>
      <c r="AN63" s="316"/>
      <c r="AO63" s="316"/>
      <c r="AP63" s="770"/>
      <c r="AQ63" s="316"/>
      <c r="AR63" s="316"/>
      <c r="AS63" s="316"/>
      <c r="AT63" s="316"/>
      <c r="AU63" s="316"/>
      <c r="AV63" s="316"/>
    </row>
    <row r="64" spans="4:49" s="25" customFormat="1" ht="16.5" customHeight="1" thickBot="1">
      <c r="D64" s="295"/>
      <c r="E64" s="295"/>
      <c r="F64" s="295"/>
      <c r="G64" s="295"/>
      <c r="H64" s="295"/>
      <c r="L64" s="777">
        <v>5</v>
      </c>
      <c r="M64" s="778"/>
      <c r="N64" s="976">
        <v>7</v>
      </c>
      <c r="O64" s="1020">
        <v>7</v>
      </c>
      <c r="P64" s="847">
        <f>VLOOKUP(N64,etat!$A$9:$N$1004,2,FALSE)</f>
        <v>0</v>
      </c>
      <c r="Q64" s="797" t="str">
        <f>VLOOKUP(N64,etat!$A$9:$N$963,7,FALSE)</f>
        <v xml:space="preserve"> 3ت ر كه </v>
      </c>
      <c r="R64" s="797" t="str">
        <f>VLOOKUP(N64,etat!$A$9:$N$1003,9,FALSE)</f>
        <v>خ</v>
      </c>
      <c r="S64" s="866" t="str">
        <f>VLOOKUP(N64,etat!$A$9:$P$905,16,FALSE)</f>
        <v>اخ3</v>
      </c>
      <c r="T64" s="755">
        <v>45782</v>
      </c>
      <c r="U64" s="791">
        <v>1</v>
      </c>
      <c r="V64" s="784"/>
      <c r="W64" s="784"/>
      <c r="X64" s="784"/>
      <c r="Y64" s="975"/>
      <c r="Z64" s="967"/>
      <c r="AA64" s="967">
        <v>7</v>
      </c>
      <c r="AH64" s="488">
        <v>58</v>
      </c>
      <c r="AI64" s="962" t="s">
        <v>497</v>
      </c>
      <c r="AJ64" s="285"/>
      <c r="AK64" s="316"/>
      <c r="AL64" s="316"/>
      <c r="AM64" s="316"/>
      <c r="AN64" s="316"/>
      <c r="AO64" s="316"/>
      <c r="AP64" s="770"/>
      <c r="AQ64" s="316"/>
      <c r="AR64" s="316"/>
      <c r="AS64" s="316"/>
      <c r="AT64" s="316"/>
      <c r="AU64" s="316"/>
      <c r="AV64" s="316"/>
    </row>
    <row r="65" spans="4:48" s="25" customFormat="1" ht="16.5" customHeight="1" thickBot="1">
      <c r="D65" s="295"/>
      <c r="E65" s="295"/>
      <c r="F65" s="295"/>
      <c r="G65" s="295"/>
      <c r="H65" s="295"/>
      <c r="L65" s="777">
        <v>5</v>
      </c>
      <c r="M65" s="778"/>
      <c r="N65" s="976">
        <v>8</v>
      </c>
      <c r="O65" s="1020">
        <v>8</v>
      </c>
      <c r="P65" s="847">
        <f>VLOOKUP(N65,etat!$A$9:$N$1004,2,FALSE)</f>
        <v>0</v>
      </c>
      <c r="Q65" s="797" t="str">
        <f>VLOOKUP(N65,etat!$A$9:$N$963,7,FALSE)</f>
        <v xml:space="preserve"> 3ت ر كه </v>
      </c>
      <c r="R65" s="797" t="str">
        <f>VLOOKUP(N65,etat!$A$9:$N$1003,9,FALSE)</f>
        <v>خ</v>
      </c>
      <c r="S65" s="866" t="str">
        <f>VLOOKUP(N65,etat!$A$9:$P$905,16,FALSE)</f>
        <v>ذخ3</v>
      </c>
      <c r="T65" s="755">
        <v>45782</v>
      </c>
      <c r="U65" s="791">
        <v>1</v>
      </c>
      <c r="V65" s="784"/>
      <c r="W65" s="784"/>
      <c r="X65" s="784"/>
      <c r="Y65" s="975"/>
      <c r="Z65" s="967"/>
      <c r="AA65" s="967">
        <v>3</v>
      </c>
      <c r="AH65" s="488"/>
      <c r="AI65" s="962" t="s">
        <v>497</v>
      </c>
      <c r="AJ65" s="285"/>
      <c r="AK65" s="316"/>
      <c r="AL65" s="316"/>
      <c r="AM65" s="316"/>
      <c r="AN65" s="316"/>
      <c r="AO65" s="316"/>
      <c r="AP65" s="770"/>
      <c r="AQ65" s="316"/>
      <c r="AR65" s="316"/>
      <c r="AS65" s="316"/>
      <c r="AT65" s="316"/>
      <c r="AU65" s="316"/>
      <c r="AV65" s="316"/>
    </row>
    <row r="66" spans="4:48" s="25" customFormat="1" ht="16.5" customHeight="1" thickBot="1">
      <c r="D66" s="295"/>
      <c r="E66" s="295"/>
      <c r="F66" s="295"/>
      <c r="G66" s="295"/>
      <c r="H66" s="295"/>
      <c r="L66" s="777">
        <v>5</v>
      </c>
      <c r="M66" s="778"/>
      <c r="N66" s="976">
        <v>9</v>
      </c>
      <c r="O66" s="1020">
        <v>9</v>
      </c>
      <c r="P66" s="847">
        <f>VLOOKUP(N66,etat!$A$9:$N$1004,2,FALSE)</f>
        <v>0</v>
      </c>
      <c r="Q66" s="797" t="str">
        <f>VLOOKUP(N66,etat!$A$9:$N$963,7,FALSE)</f>
        <v xml:space="preserve"> 3ت ر كه </v>
      </c>
      <c r="R66" s="797" t="str">
        <f>VLOOKUP(N66,etat!$A$9:$N$1003,9,FALSE)</f>
        <v>خ</v>
      </c>
      <c r="S66" s="866" t="str">
        <f>VLOOKUP(N66,etat!$A$9:$P$905,16,FALSE)</f>
        <v>ذخ3</v>
      </c>
      <c r="T66" s="755">
        <v>45781</v>
      </c>
      <c r="U66" s="791">
        <v>2</v>
      </c>
      <c r="V66" s="784"/>
      <c r="W66" s="784"/>
      <c r="X66" s="784"/>
      <c r="Y66" s="975"/>
      <c r="Z66" s="975"/>
      <c r="AA66" s="967">
        <v>7</v>
      </c>
      <c r="AH66" s="488"/>
      <c r="AI66" s="962" t="s">
        <v>497</v>
      </c>
      <c r="AJ66" s="285"/>
      <c r="AK66" s="282"/>
      <c r="AL66" s="316"/>
      <c r="AM66" s="316"/>
      <c r="AN66" s="316"/>
      <c r="AO66" s="316"/>
      <c r="AP66" s="770"/>
      <c r="AQ66" s="316"/>
      <c r="AR66" s="316"/>
      <c r="AS66" s="316"/>
      <c r="AT66" s="24"/>
      <c r="AU66" s="24"/>
      <c r="AV66" s="24"/>
    </row>
    <row r="67" spans="4:48" s="25" customFormat="1" ht="16.5" customHeight="1" thickBot="1">
      <c r="D67" s="295"/>
      <c r="E67" s="295"/>
      <c r="F67" s="295"/>
      <c r="G67" s="295"/>
      <c r="H67" s="295"/>
      <c r="L67" s="777">
        <v>5</v>
      </c>
      <c r="M67" s="778"/>
      <c r="N67" s="976">
        <v>10</v>
      </c>
      <c r="O67" s="1020">
        <v>10</v>
      </c>
      <c r="P67" s="847">
        <f>VLOOKUP(N67,etat!$A$9:$N$1004,2,FALSE)</f>
        <v>0</v>
      </c>
      <c r="Q67" s="797" t="str">
        <f>VLOOKUP(N67,etat!$A$9:$N$963,7,FALSE)</f>
        <v xml:space="preserve"> 3ت ر كه </v>
      </c>
      <c r="R67" s="797" t="str">
        <f>VLOOKUP(N67,etat!$A$9:$N$1003,9,FALSE)</f>
        <v>خ</v>
      </c>
      <c r="S67" s="866" t="str">
        <f>VLOOKUP(N67,etat!$A$9:$P$905,16,FALSE)</f>
        <v>ذخ3</v>
      </c>
      <c r="T67" s="755">
        <v>45782</v>
      </c>
      <c r="U67" s="791">
        <v>1</v>
      </c>
      <c r="V67" s="784"/>
      <c r="W67" s="784"/>
      <c r="X67" s="784"/>
      <c r="Y67" s="975"/>
      <c r="Z67" s="967"/>
      <c r="AA67" s="967">
        <v>3</v>
      </c>
      <c r="AH67" s="488"/>
      <c r="AI67" s="962"/>
      <c r="AJ67" s="285"/>
      <c r="AK67" s="282"/>
      <c r="AL67" s="316"/>
      <c r="AM67" s="316"/>
      <c r="AN67" s="316"/>
      <c r="AO67" s="316"/>
      <c r="AP67" s="770"/>
      <c r="AQ67" s="316"/>
      <c r="AR67" s="316"/>
      <c r="AS67" s="316"/>
      <c r="AT67" s="24"/>
      <c r="AU67" s="24"/>
      <c r="AV67" s="24"/>
    </row>
    <row r="68" spans="4:48" s="25" customFormat="1" ht="16.5" customHeight="1" thickBot="1">
      <c r="D68" s="295"/>
      <c r="E68" s="295"/>
      <c r="F68" s="295"/>
      <c r="G68" s="295"/>
      <c r="H68" s="295"/>
      <c r="L68" s="777">
        <v>5</v>
      </c>
      <c r="M68" s="778"/>
      <c r="N68" s="976">
        <v>11</v>
      </c>
      <c r="O68" s="1020">
        <v>11</v>
      </c>
      <c r="P68" s="847">
        <f>VLOOKUP(N68,etat!$A$9:$N$1004,2,FALSE)</f>
        <v>0</v>
      </c>
      <c r="Q68" s="797" t="str">
        <f>VLOOKUP(N68,etat!$A$9:$N$963,7,FALSE)</f>
        <v xml:space="preserve"> 3ت ر كه </v>
      </c>
      <c r="R68" s="797" t="str">
        <f>VLOOKUP(N68,etat!$A$9:$N$1003,9,FALSE)</f>
        <v>خ</v>
      </c>
      <c r="S68" s="866" t="str">
        <f>VLOOKUP(N68,etat!$A$9:$P$905,16,FALSE)</f>
        <v>اخ3</v>
      </c>
      <c r="T68" s="755">
        <v>45781</v>
      </c>
      <c r="U68" s="791">
        <v>2</v>
      </c>
      <c r="V68" s="784"/>
      <c r="W68" s="784"/>
      <c r="X68" s="784"/>
      <c r="Y68" s="975"/>
      <c r="Z68" s="967"/>
      <c r="AA68" s="967">
        <v>7</v>
      </c>
      <c r="AH68" s="488"/>
      <c r="AI68" s="962"/>
      <c r="AJ68" s="285"/>
      <c r="AK68" s="282"/>
      <c r="AL68" s="316"/>
      <c r="AM68" s="316"/>
      <c r="AN68" s="316"/>
      <c r="AO68" s="316"/>
      <c r="AP68" s="770"/>
      <c r="AQ68" s="316"/>
      <c r="AR68" s="316"/>
      <c r="AS68" s="316"/>
      <c r="AT68" s="24"/>
      <c r="AU68" s="24"/>
      <c r="AV68" s="24"/>
    </row>
    <row r="69" spans="4:48" s="25" customFormat="1" ht="16.5" customHeight="1" thickBot="1">
      <c r="D69" s="295"/>
      <c r="E69" s="295"/>
      <c r="F69" s="295"/>
      <c r="G69" s="295"/>
      <c r="H69" s="295"/>
      <c r="L69" s="777">
        <v>5</v>
      </c>
      <c r="M69" s="778"/>
      <c r="N69" s="976">
        <v>12</v>
      </c>
      <c r="O69" s="1020">
        <v>12</v>
      </c>
      <c r="P69" s="847">
        <f>VLOOKUP(N69,etat!$A$9:$N$1004,2,FALSE)</f>
        <v>0</v>
      </c>
      <c r="Q69" s="797" t="str">
        <f>VLOOKUP(N69,etat!$A$9:$N$963,7,FALSE)</f>
        <v xml:space="preserve"> 3ت ر كه </v>
      </c>
      <c r="R69" s="797" t="str">
        <f>VLOOKUP(N69,etat!$A$9:$N$1003,9,FALSE)</f>
        <v>خ</v>
      </c>
      <c r="S69" s="866" t="str">
        <f>VLOOKUP(N69,etat!$A$9:$P$905,16,FALSE)</f>
        <v>اخ3</v>
      </c>
      <c r="T69" s="755">
        <v>45781</v>
      </c>
      <c r="U69" s="791">
        <v>2</v>
      </c>
      <c r="V69" s="784"/>
      <c r="W69" s="784"/>
      <c r="X69" s="784"/>
      <c r="Y69" s="975"/>
      <c r="Z69" s="975"/>
      <c r="AA69" s="967">
        <v>7</v>
      </c>
      <c r="AH69" s="488"/>
      <c r="AI69" s="962"/>
      <c r="AJ69" s="285"/>
      <c r="AK69" s="282"/>
      <c r="AL69" s="316"/>
      <c r="AM69" s="316"/>
      <c r="AN69" s="316"/>
      <c r="AO69" s="316"/>
      <c r="AP69" s="770"/>
      <c r="AQ69" s="316"/>
      <c r="AR69" s="316"/>
      <c r="AS69" s="316"/>
      <c r="AT69" s="24"/>
      <c r="AU69" s="24"/>
      <c r="AV69" s="24"/>
    </row>
    <row r="70" spans="4:48" s="25" customFormat="1" ht="16.5" customHeight="1" thickBot="1">
      <c r="D70" s="295"/>
      <c r="E70" s="295"/>
      <c r="F70" s="295"/>
      <c r="G70" s="295"/>
      <c r="H70" s="295"/>
      <c r="L70" s="777">
        <v>5</v>
      </c>
      <c r="M70" s="778"/>
      <c r="N70" s="976">
        <v>13</v>
      </c>
      <c r="O70" s="1020">
        <v>13</v>
      </c>
      <c r="P70" s="847">
        <f>VLOOKUP(N70,etat!$A$9:$N$1004,2,FALSE)</f>
        <v>0</v>
      </c>
      <c r="Q70" s="797" t="str">
        <f>VLOOKUP(N70,etat!$A$9:$N$963,7,FALSE)</f>
        <v xml:space="preserve"> 3ت ر مك </v>
      </c>
      <c r="R70" s="797" t="str">
        <f>VLOOKUP(N70,etat!$A$9:$N$1003,9,FALSE)</f>
        <v>ن/د</v>
      </c>
      <c r="S70" s="866" t="str">
        <f>VLOOKUP(N70,etat!$A$9:$P$905,16,FALSE)</f>
        <v>ذن/د3</v>
      </c>
      <c r="T70" s="755">
        <v>45769</v>
      </c>
      <c r="U70" s="791">
        <v>14</v>
      </c>
      <c r="V70" s="784" t="s">
        <v>2278</v>
      </c>
      <c r="W70" s="784" t="s">
        <v>2283</v>
      </c>
      <c r="X70" s="784"/>
      <c r="Y70" s="975"/>
      <c r="Z70" s="967"/>
      <c r="AA70" s="967">
        <v>7</v>
      </c>
      <c r="AH70" s="488"/>
      <c r="AI70" s="962"/>
      <c r="AJ70" s="285"/>
      <c r="AK70" s="282"/>
      <c r="AL70" s="316"/>
      <c r="AM70" s="316"/>
      <c r="AN70" s="316"/>
      <c r="AO70" s="316"/>
      <c r="AP70" s="770"/>
      <c r="AQ70" s="316"/>
      <c r="AR70" s="316"/>
      <c r="AS70" s="316"/>
      <c r="AT70" s="24"/>
      <c r="AU70" s="24"/>
      <c r="AV70" s="24"/>
    </row>
    <row r="71" spans="4:48" s="25" customFormat="1" ht="16.5" customHeight="1" thickBot="1">
      <c r="D71" s="295"/>
      <c r="E71" s="295"/>
      <c r="F71" s="295"/>
      <c r="G71" s="295"/>
      <c r="H71" s="295"/>
      <c r="L71" s="777">
        <v>5</v>
      </c>
      <c r="M71" s="778"/>
      <c r="N71" s="976">
        <v>14</v>
      </c>
      <c r="O71" s="1020">
        <v>14</v>
      </c>
      <c r="P71" s="847">
        <f>VLOOKUP(N71,etat!$A$9:$N$1004,2,FALSE)</f>
        <v>0</v>
      </c>
      <c r="Q71" s="797" t="str">
        <f>VLOOKUP(N71,etat!$A$9:$N$963,7,FALSE)</f>
        <v xml:space="preserve"> 3ت ر مك </v>
      </c>
      <c r="R71" s="797" t="str">
        <f>VLOOKUP(N71,etat!$A$9:$N$1003,9,FALSE)</f>
        <v>خ</v>
      </c>
      <c r="S71" s="866" t="str">
        <f>VLOOKUP(N71,etat!$A$9:$P$905,16,FALSE)</f>
        <v>ذخ3</v>
      </c>
      <c r="T71" s="755">
        <v>45781</v>
      </c>
      <c r="U71" s="791">
        <v>2</v>
      </c>
      <c r="V71" s="784"/>
      <c r="W71" s="784"/>
      <c r="X71" s="784"/>
      <c r="Y71" s="1116"/>
      <c r="Z71" s="975"/>
      <c r="AA71" s="967">
        <v>7</v>
      </c>
      <c r="AH71" s="488"/>
      <c r="AI71" s="962" t="s">
        <v>497</v>
      </c>
      <c r="AJ71" s="285"/>
      <c r="AK71" s="282"/>
      <c r="AL71" s="316"/>
      <c r="AM71" s="316"/>
      <c r="AN71" s="316"/>
      <c r="AO71" s="316"/>
      <c r="AP71" s="770"/>
      <c r="AQ71" s="316"/>
      <c r="AR71" s="316"/>
      <c r="AS71" s="316"/>
      <c r="AT71" s="24"/>
      <c r="AU71" s="24"/>
      <c r="AV71" s="24"/>
    </row>
    <row r="72" spans="4:48" s="25" customFormat="1" ht="16.5" customHeight="1" thickBot="1">
      <c r="D72" s="295"/>
      <c r="E72" s="295"/>
      <c r="F72" s="295"/>
      <c r="G72" s="295"/>
      <c r="H72" s="295"/>
      <c r="L72" s="777">
        <v>5</v>
      </c>
      <c r="M72" s="778"/>
      <c r="N72" s="976">
        <v>15</v>
      </c>
      <c r="O72" s="1020">
        <v>15</v>
      </c>
      <c r="P72" s="847">
        <f>VLOOKUP(N72,etat!$A$9:$N$1004,2,FALSE)</f>
        <v>0</v>
      </c>
      <c r="Q72" s="797" t="str">
        <f>VLOOKUP(N72,etat!$A$9:$N$963,7,FALSE)</f>
        <v xml:space="preserve"> 3ت ر مك </v>
      </c>
      <c r="R72" s="797" t="str">
        <f>VLOOKUP(N72,etat!$A$9:$N$1003,9,FALSE)</f>
        <v>خ</v>
      </c>
      <c r="S72" s="866" t="str">
        <f>VLOOKUP(N72,etat!$A$9:$P$905,16,FALSE)</f>
        <v>ذخ3</v>
      </c>
      <c r="T72" s="755">
        <v>45768</v>
      </c>
      <c r="U72" s="791">
        <v>15</v>
      </c>
      <c r="V72" s="784" t="s">
        <v>2275</v>
      </c>
      <c r="W72" s="784" t="s">
        <v>2283</v>
      </c>
      <c r="X72" s="784"/>
      <c r="Y72" s="1117"/>
      <c r="Z72" s="967"/>
      <c r="AA72" s="967">
        <v>7</v>
      </c>
      <c r="AH72" s="488"/>
      <c r="AI72" s="962" t="s">
        <v>497</v>
      </c>
      <c r="AJ72" s="285"/>
      <c r="AK72" s="861"/>
      <c r="AL72" s="316"/>
      <c r="AM72" s="316"/>
      <c r="AN72" s="316"/>
      <c r="AO72" s="316"/>
      <c r="AP72" s="770"/>
      <c r="AQ72" s="316"/>
      <c r="AR72" s="316"/>
      <c r="AS72" s="316"/>
      <c r="AT72" s="24"/>
      <c r="AU72" s="24"/>
      <c r="AV72" s="24"/>
    </row>
    <row r="73" spans="4:48" s="25" customFormat="1" ht="16.5" customHeight="1" thickBot="1">
      <c r="D73" s="295"/>
      <c r="E73" s="295"/>
      <c r="F73" s="295"/>
      <c r="G73" s="295"/>
      <c r="H73" s="295"/>
      <c r="L73" s="777">
        <v>5</v>
      </c>
      <c r="M73" s="778"/>
      <c r="N73" s="976">
        <v>16</v>
      </c>
      <c r="O73" s="1020">
        <v>16</v>
      </c>
      <c r="P73" s="847">
        <f>VLOOKUP(N73,etat!$A$9:$N$1004,2,FALSE)</f>
        <v>0</v>
      </c>
      <c r="Q73" s="797" t="str">
        <f>VLOOKUP(N73,etat!$A$9:$N$963,7,FALSE)</f>
        <v xml:space="preserve"> 3ت ر مك </v>
      </c>
      <c r="R73" s="797" t="str">
        <f>VLOOKUP(N73,etat!$A$9:$N$1003,9,FALSE)</f>
        <v>خ</v>
      </c>
      <c r="S73" s="866" t="str">
        <f>VLOOKUP(N73,etat!$A$9:$P$905,16,FALSE)</f>
        <v>ذخ3</v>
      </c>
      <c r="T73" s="755">
        <v>45782</v>
      </c>
      <c r="U73" s="791">
        <v>1</v>
      </c>
      <c r="V73" s="784"/>
      <c r="W73" s="784"/>
      <c r="X73" s="784"/>
      <c r="Y73" s="975"/>
      <c r="Z73" s="975"/>
      <c r="AA73" s="967">
        <v>3</v>
      </c>
      <c r="AH73" s="910"/>
      <c r="AI73" s="962" t="s">
        <v>497</v>
      </c>
      <c r="AJ73" s="285"/>
      <c r="AK73" s="488"/>
      <c r="AL73" s="316"/>
      <c r="AM73" s="316"/>
      <c r="AN73" s="316"/>
      <c r="AO73" s="316"/>
      <c r="AP73" s="770"/>
      <c r="AQ73" s="316"/>
      <c r="AR73" s="316"/>
      <c r="AS73" s="316"/>
      <c r="AT73" s="24"/>
      <c r="AU73" s="24"/>
      <c r="AV73" s="24"/>
    </row>
    <row r="74" spans="4:48" s="25" customFormat="1" ht="16.5" customHeight="1" thickBot="1">
      <c r="D74" s="295"/>
      <c r="E74" s="295"/>
      <c r="F74" s="295"/>
      <c r="G74" s="295"/>
      <c r="H74" s="295"/>
      <c r="L74" s="777">
        <v>5</v>
      </c>
      <c r="M74" s="778"/>
      <c r="N74" s="976">
        <v>17</v>
      </c>
      <c r="O74" s="1020">
        <v>17</v>
      </c>
      <c r="P74" s="847">
        <f>VLOOKUP(N74,etat!$A$9:$N$1004,2,FALSE)</f>
        <v>0</v>
      </c>
      <c r="Q74" s="797" t="str">
        <f>VLOOKUP(N74,etat!$A$9:$N$963,7,FALSE)</f>
        <v xml:space="preserve"> 3ت ر مك </v>
      </c>
      <c r="R74" s="797" t="str">
        <f>VLOOKUP(N74,etat!$A$9:$N$1003,9,FALSE)</f>
        <v>خ</v>
      </c>
      <c r="S74" s="866" t="str">
        <f>VLOOKUP(N74,etat!$A$9:$P$905,16,FALSE)</f>
        <v>ذخ3</v>
      </c>
      <c r="T74" s="755">
        <v>45768</v>
      </c>
      <c r="U74" s="791">
        <v>15</v>
      </c>
      <c r="V74" s="784" t="s">
        <v>2275</v>
      </c>
      <c r="W74" s="784" t="s">
        <v>2283</v>
      </c>
      <c r="X74" s="784"/>
      <c r="Y74" s="1117"/>
      <c r="Z74" s="967"/>
      <c r="AA74" s="967">
        <v>7</v>
      </c>
      <c r="AH74" s="910"/>
      <c r="AI74" s="962" t="s">
        <v>497</v>
      </c>
      <c r="AJ74" s="285"/>
      <c r="AK74" s="488"/>
      <c r="AL74" s="316"/>
      <c r="AM74" s="316"/>
      <c r="AN74" s="316"/>
      <c r="AO74" s="316"/>
      <c r="AP74" s="770"/>
      <c r="AQ74" s="316"/>
      <c r="AR74" s="316"/>
      <c r="AS74" s="316"/>
      <c r="AT74" s="24"/>
      <c r="AU74" s="24"/>
      <c r="AV74" s="24"/>
    </row>
    <row r="75" spans="4:48" s="25" customFormat="1" ht="16.5" customHeight="1">
      <c r="D75" s="295"/>
      <c r="E75" s="295"/>
      <c r="F75" s="295"/>
      <c r="G75" s="295"/>
      <c r="H75" s="295"/>
      <c r="L75" s="777">
        <v>5</v>
      </c>
      <c r="M75" s="778"/>
      <c r="N75" s="976">
        <v>18</v>
      </c>
      <c r="O75" s="1020">
        <v>18</v>
      </c>
      <c r="P75" s="847">
        <f>VLOOKUP(N75,etat!$A$9:$N$1004,2,FALSE)</f>
        <v>0</v>
      </c>
      <c r="Q75" s="797" t="str">
        <f>VLOOKUP(N75,etat!$A$9:$N$963,7,FALSE)</f>
        <v xml:space="preserve"> 3ت ر مك </v>
      </c>
      <c r="R75" s="797" t="str">
        <f>VLOOKUP(N75,etat!$A$9:$N$1003,9,FALSE)</f>
        <v>خ</v>
      </c>
      <c r="S75" s="866" t="str">
        <f>VLOOKUP(N75,etat!$A$9:$P$905,16,FALSE)</f>
        <v>ذخ3</v>
      </c>
      <c r="T75" s="755">
        <v>45768</v>
      </c>
      <c r="U75" s="791">
        <v>15</v>
      </c>
      <c r="V75" s="784" t="s">
        <v>2275</v>
      </c>
      <c r="W75" s="784" t="s">
        <v>2283</v>
      </c>
      <c r="X75" s="784"/>
      <c r="Y75" s="1117"/>
      <c r="Z75" s="967"/>
      <c r="AA75" s="967">
        <v>7</v>
      </c>
      <c r="AH75" s="910"/>
      <c r="AI75" s="862"/>
      <c r="AJ75" s="302"/>
      <c r="AK75" s="910"/>
      <c r="AL75" s="911"/>
      <c r="AM75" s="911"/>
      <c r="AN75" s="911"/>
      <c r="AO75" s="911"/>
      <c r="AP75" s="912"/>
      <c r="AQ75" s="911"/>
      <c r="AR75" s="911"/>
      <c r="AS75" s="911"/>
      <c r="AT75" s="26"/>
      <c r="AU75" s="26"/>
      <c r="AV75" s="26"/>
    </row>
    <row r="76" spans="4:48" s="25" customFormat="1" ht="16.5" customHeight="1">
      <c r="D76" s="295"/>
      <c r="E76" s="295"/>
      <c r="F76" s="295"/>
      <c r="G76" s="295"/>
      <c r="H76" s="295"/>
      <c r="L76" s="777">
        <v>5</v>
      </c>
      <c r="M76" s="778"/>
      <c r="N76" s="976">
        <v>19</v>
      </c>
      <c r="O76" s="1020">
        <v>19</v>
      </c>
      <c r="P76" s="847">
        <f>VLOOKUP(N76,etat!$A$9:$N$1004,2,FALSE)</f>
        <v>0</v>
      </c>
      <c r="Q76" s="797" t="str">
        <f>VLOOKUP(N76,etat!$A$9:$N$963,7,FALSE)</f>
        <v xml:space="preserve"> 3ت ر مك </v>
      </c>
      <c r="R76" s="797" t="str">
        <f>VLOOKUP(N76,etat!$A$9:$N$1003,9,FALSE)</f>
        <v>خ</v>
      </c>
      <c r="S76" s="866" t="str">
        <f>VLOOKUP(N76,etat!$A$9:$P$905,16,FALSE)</f>
        <v>ذخ3</v>
      </c>
      <c r="T76" s="755">
        <v>45769</v>
      </c>
      <c r="U76" s="791">
        <v>14</v>
      </c>
      <c r="V76" s="784" t="s">
        <v>2278</v>
      </c>
      <c r="W76" s="784" t="s">
        <v>2283</v>
      </c>
      <c r="X76" s="784"/>
      <c r="Y76" s="975"/>
      <c r="Z76" s="967"/>
      <c r="AA76" s="967">
        <v>7</v>
      </c>
      <c r="AH76" s="910"/>
      <c r="AI76" s="862"/>
      <c r="AJ76" s="302"/>
      <c r="AK76" s="910"/>
      <c r="AL76" s="911"/>
      <c r="AM76" s="911"/>
      <c r="AN76" s="911"/>
      <c r="AO76" s="911"/>
      <c r="AP76" s="912"/>
      <c r="AQ76" s="911"/>
      <c r="AR76" s="911"/>
      <c r="AS76" s="911"/>
      <c r="AT76" s="26"/>
      <c r="AU76" s="26"/>
      <c r="AV76" s="26"/>
    </row>
    <row r="77" spans="4:48" s="25" customFormat="1" ht="16.5" customHeight="1">
      <c r="D77" s="295"/>
      <c r="E77" s="295"/>
      <c r="F77" s="295"/>
      <c r="G77" s="295"/>
      <c r="H77" s="295"/>
      <c r="L77" s="777">
        <v>5</v>
      </c>
      <c r="M77" s="778"/>
      <c r="N77" s="976">
        <v>20</v>
      </c>
      <c r="O77" s="1020">
        <v>20</v>
      </c>
      <c r="P77" s="847">
        <f>VLOOKUP(N77,etat!$A$9:$N$1004,2,FALSE)</f>
        <v>0</v>
      </c>
      <c r="Q77" s="797" t="str">
        <f>VLOOKUP(N77,etat!$A$9:$N$963,7,FALSE)</f>
        <v xml:space="preserve"> 3ت ر مك </v>
      </c>
      <c r="R77" s="797" t="str">
        <f>VLOOKUP(N77,etat!$A$9:$N$1003,9,FALSE)</f>
        <v>خ</v>
      </c>
      <c r="S77" s="866" t="str">
        <f>VLOOKUP(N77,etat!$A$9:$P$905,16,FALSE)</f>
        <v>ذخ3</v>
      </c>
      <c r="T77" s="755">
        <v>45775</v>
      </c>
      <c r="U77" s="791">
        <v>8</v>
      </c>
      <c r="V77" s="784" t="s">
        <v>2282</v>
      </c>
      <c r="W77" s="784"/>
      <c r="X77" s="784"/>
      <c r="Y77" s="975"/>
      <c r="Z77" s="975"/>
      <c r="AA77" s="967">
        <v>7</v>
      </c>
      <c r="AH77" s="910"/>
      <c r="AI77" s="862"/>
      <c r="AJ77" s="302"/>
      <c r="AK77" s="910"/>
      <c r="AL77" s="911"/>
      <c r="AM77" s="911"/>
      <c r="AN77" s="911"/>
      <c r="AO77" s="911"/>
      <c r="AP77" s="912"/>
      <c r="AQ77" s="911"/>
      <c r="AR77" s="911"/>
      <c r="AS77" s="911"/>
      <c r="AT77" s="26"/>
      <c r="AU77" s="26"/>
      <c r="AV77" s="26"/>
    </row>
    <row r="78" spans="4:48" s="25" customFormat="1" ht="16.5" customHeight="1">
      <c r="D78" s="295"/>
      <c r="E78" s="295"/>
      <c r="F78" s="295"/>
      <c r="G78" s="295"/>
      <c r="H78" s="295"/>
      <c r="L78" s="777">
        <v>5</v>
      </c>
      <c r="M78" s="778"/>
      <c r="N78" s="976">
        <v>21</v>
      </c>
      <c r="O78" s="1020">
        <v>21</v>
      </c>
      <c r="P78" s="847">
        <f>VLOOKUP(N78,etat!$A$9:$N$1004,2,FALSE)</f>
        <v>0</v>
      </c>
      <c r="Q78" s="797" t="str">
        <f>VLOOKUP(N78,etat!$A$9:$N$963,7,FALSE)</f>
        <v xml:space="preserve"> 3ت ر طرا </v>
      </c>
      <c r="R78" s="797" t="str">
        <f>VLOOKUP(N78,etat!$A$9:$N$1003,9,FALSE)</f>
        <v>ن/د</v>
      </c>
      <c r="S78" s="866" t="str">
        <f>VLOOKUP(N78,etat!$A$9:$P$905,16,FALSE)</f>
        <v>ذن/د3</v>
      </c>
      <c r="T78" s="755">
        <v>45775</v>
      </c>
      <c r="U78" s="791">
        <v>8</v>
      </c>
      <c r="V78" s="784" t="s">
        <v>2282</v>
      </c>
      <c r="W78" s="784"/>
      <c r="X78" s="784"/>
      <c r="Y78" s="1118"/>
      <c r="Z78" s="975"/>
      <c r="AA78" s="967">
        <v>8</v>
      </c>
      <c r="AH78" s="910"/>
      <c r="AI78" s="862"/>
      <c r="AJ78" s="302"/>
      <c r="AK78" s="910"/>
      <c r="AL78" s="911"/>
      <c r="AM78" s="911"/>
      <c r="AN78" s="911"/>
      <c r="AO78" s="911"/>
      <c r="AP78" s="912"/>
      <c r="AQ78" s="911"/>
      <c r="AR78" s="911"/>
      <c r="AS78" s="911"/>
      <c r="AT78" s="26"/>
      <c r="AU78" s="26"/>
      <c r="AV78" s="26"/>
    </row>
    <row r="79" spans="4:48" s="25" customFormat="1" ht="16.5" customHeight="1">
      <c r="D79" s="295"/>
      <c r="E79" s="295"/>
      <c r="F79" s="295"/>
      <c r="G79" s="295"/>
      <c r="H79" s="295"/>
      <c r="L79" s="777">
        <v>5</v>
      </c>
      <c r="M79" s="778"/>
      <c r="N79" s="976">
        <v>22</v>
      </c>
      <c r="O79" s="1020">
        <v>22</v>
      </c>
      <c r="P79" s="847">
        <f>VLOOKUP(N79,etat!$A$9:$N$1004,2,FALSE)</f>
        <v>0</v>
      </c>
      <c r="Q79" s="797" t="str">
        <f>VLOOKUP(N79,etat!$A$9:$N$963,7,FALSE)</f>
        <v xml:space="preserve"> 3ت ر طرا </v>
      </c>
      <c r="R79" s="797" t="str">
        <f>VLOOKUP(N79,etat!$A$9:$N$1003,9,FALSE)</f>
        <v>خ</v>
      </c>
      <c r="S79" s="866" t="str">
        <f>VLOOKUP(N79,etat!$A$9:$P$905,16,FALSE)</f>
        <v>اخ3</v>
      </c>
      <c r="T79" s="755">
        <v>45781</v>
      </c>
      <c r="U79" s="791">
        <v>2</v>
      </c>
      <c r="V79" s="784"/>
      <c r="W79" s="784"/>
      <c r="X79" s="784"/>
      <c r="Y79" s="1118"/>
      <c r="Z79" s="975"/>
      <c r="AA79" s="967">
        <v>8</v>
      </c>
      <c r="AH79" s="910"/>
      <c r="AI79" s="862"/>
      <c r="AJ79" s="302"/>
      <c r="AK79" s="910"/>
      <c r="AL79" s="911"/>
      <c r="AM79" s="911"/>
      <c r="AN79" s="911"/>
      <c r="AO79" s="911"/>
      <c r="AP79" s="912"/>
      <c r="AQ79" s="911"/>
      <c r="AR79" s="911"/>
      <c r="AS79" s="911"/>
      <c r="AT79" s="26"/>
      <c r="AU79" s="26"/>
      <c r="AV79" s="26"/>
    </row>
    <row r="80" spans="4:48" s="25" customFormat="1" ht="16.5" customHeight="1">
      <c r="D80" s="295"/>
      <c r="E80" s="295"/>
      <c r="F80" s="295"/>
      <c r="G80" s="295"/>
      <c r="H80" s="295"/>
      <c r="L80" s="777">
        <v>5</v>
      </c>
      <c r="M80" s="778"/>
      <c r="N80" s="976">
        <v>23</v>
      </c>
      <c r="O80" s="1020">
        <v>23</v>
      </c>
      <c r="P80" s="847">
        <f>VLOOKUP(N80,etat!$A$9:$N$1004,2,FALSE)</f>
        <v>0</v>
      </c>
      <c r="Q80" s="797" t="str">
        <f>VLOOKUP(N80,etat!$A$9:$N$963,7,FALSE)</f>
        <v xml:space="preserve"> 3ت ر طرا </v>
      </c>
      <c r="R80" s="797" t="str">
        <f>VLOOKUP(N80,etat!$A$9:$N$1003,9,FALSE)</f>
        <v>خ</v>
      </c>
      <c r="S80" s="866" t="str">
        <f>VLOOKUP(N80,etat!$A$9:$P$905,16,FALSE)</f>
        <v>اخ3</v>
      </c>
      <c r="T80" s="755">
        <v>45768</v>
      </c>
      <c r="U80" s="791">
        <v>15</v>
      </c>
      <c r="V80" s="784" t="s">
        <v>2275</v>
      </c>
      <c r="W80" s="784" t="s">
        <v>2283</v>
      </c>
      <c r="X80" s="784"/>
      <c r="Y80" s="1118"/>
      <c r="Z80" s="975"/>
      <c r="AA80" s="967">
        <v>8</v>
      </c>
      <c r="AH80" s="910"/>
      <c r="AI80" s="862"/>
      <c r="AJ80" s="302"/>
      <c r="AK80" s="910"/>
      <c r="AL80" s="911"/>
      <c r="AM80" s="911"/>
      <c r="AN80" s="911"/>
      <c r="AO80" s="911"/>
      <c r="AP80" s="912"/>
      <c r="AQ80" s="911"/>
      <c r="AR80" s="911"/>
      <c r="AS80" s="911"/>
      <c r="AT80" s="26"/>
      <c r="AU80" s="26"/>
      <c r="AV80" s="26"/>
    </row>
    <row r="81" spans="4:48" s="25" customFormat="1" ht="16.5" customHeight="1">
      <c r="D81" s="295"/>
      <c r="E81" s="295"/>
      <c r="F81" s="295"/>
      <c r="G81" s="295"/>
      <c r="H81" s="295"/>
      <c r="L81" s="777">
        <v>5</v>
      </c>
      <c r="M81" s="778"/>
      <c r="N81" s="976">
        <v>24</v>
      </c>
      <c r="O81" s="1020">
        <v>24</v>
      </c>
      <c r="P81" s="847">
        <f>VLOOKUP(N81,etat!$A$9:$N$1004,2,FALSE)</f>
        <v>0</v>
      </c>
      <c r="Q81" s="797" t="str">
        <f>VLOOKUP(N81,etat!$A$9:$N$963,7,FALSE)</f>
        <v xml:space="preserve"> 3ت ر طرا </v>
      </c>
      <c r="R81" s="797" t="str">
        <f>VLOOKUP(N81,etat!$A$9:$N$1003,9,FALSE)</f>
        <v>خ</v>
      </c>
      <c r="S81" s="866" t="str">
        <f>VLOOKUP(N81,etat!$A$9:$P$905,16,FALSE)</f>
        <v>اخ3</v>
      </c>
      <c r="T81" s="755">
        <v>45782</v>
      </c>
      <c r="U81" s="791">
        <v>1</v>
      </c>
      <c r="V81" s="784"/>
      <c r="W81" s="784"/>
      <c r="X81" s="784"/>
      <c r="Y81" s="975"/>
      <c r="Z81" s="967"/>
      <c r="AA81" s="967">
        <v>4</v>
      </c>
      <c r="AH81" s="910"/>
      <c r="AI81" s="862"/>
      <c r="AJ81" s="302"/>
      <c r="AK81" s="910"/>
      <c r="AL81" s="911"/>
      <c r="AM81" s="911"/>
      <c r="AN81" s="911"/>
      <c r="AO81" s="911"/>
      <c r="AP81" s="912"/>
      <c r="AQ81" s="911"/>
      <c r="AR81" s="911"/>
      <c r="AS81" s="911"/>
      <c r="AT81" s="26"/>
      <c r="AU81" s="26"/>
      <c r="AV81" s="26"/>
    </row>
    <row r="82" spans="4:48" s="25" customFormat="1" ht="16.5" customHeight="1">
      <c r="D82" s="295"/>
      <c r="E82" s="295"/>
      <c r="F82" s="295"/>
      <c r="G82" s="295"/>
      <c r="H82" s="295"/>
      <c r="L82" s="777">
        <v>5</v>
      </c>
      <c r="M82" s="778"/>
      <c r="N82" s="976">
        <v>25</v>
      </c>
      <c r="O82" s="1020">
        <v>25</v>
      </c>
      <c r="P82" s="847">
        <f>VLOOKUP(N82,etat!$A$9:$N$1004,2,FALSE)</f>
        <v>0</v>
      </c>
      <c r="Q82" s="797" t="str">
        <f>VLOOKUP(N82,etat!$A$9:$N$963,7,FALSE)</f>
        <v xml:space="preserve"> 3ت ر طرا </v>
      </c>
      <c r="R82" s="797" t="str">
        <f>VLOOKUP(N82,etat!$A$9:$N$1003,9,FALSE)</f>
        <v>خ</v>
      </c>
      <c r="S82" s="866" t="str">
        <f>VLOOKUP(N82,etat!$A$9:$P$905,16,FALSE)</f>
        <v>ذخ3</v>
      </c>
      <c r="T82" s="755">
        <v>45781</v>
      </c>
      <c r="U82" s="791">
        <v>2</v>
      </c>
      <c r="V82" s="784"/>
      <c r="W82" s="784"/>
      <c r="X82" s="784"/>
      <c r="Y82" s="975"/>
      <c r="Z82" s="967"/>
      <c r="AA82" s="967">
        <v>8</v>
      </c>
      <c r="AH82" s="910"/>
      <c r="AI82" s="862"/>
      <c r="AJ82" s="302"/>
      <c r="AK82" s="910"/>
      <c r="AL82" s="911"/>
      <c r="AM82" s="911"/>
      <c r="AN82" s="911"/>
      <c r="AO82" s="911"/>
      <c r="AP82" s="912"/>
      <c r="AQ82" s="911"/>
      <c r="AR82" s="911"/>
      <c r="AS82" s="911"/>
      <c r="AT82" s="26"/>
      <c r="AU82" s="26"/>
      <c r="AV82" s="26"/>
    </row>
    <row r="83" spans="4:48" s="25" customFormat="1" ht="16.5" customHeight="1">
      <c r="D83" s="295"/>
      <c r="E83" s="295"/>
      <c r="F83" s="295"/>
      <c r="G83" s="295"/>
      <c r="H83" s="295"/>
      <c r="L83" s="777">
        <v>5</v>
      </c>
      <c r="M83" s="778"/>
      <c r="N83" s="976">
        <v>27</v>
      </c>
      <c r="O83" s="1020">
        <v>26</v>
      </c>
      <c r="P83" s="847">
        <f>VLOOKUP(N83,etat!$A$9:$N$1004,2,FALSE)</f>
        <v>0</v>
      </c>
      <c r="Q83" s="797" t="str">
        <f>VLOOKUP(N83,etat!$A$9:$N$963,7,FALSE)</f>
        <v xml:space="preserve"> 3ت ر طرا </v>
      </c>
      <c r="R83" s="797" t="str">
        <f>VLOOKUP(N83,etat!$A$9:$N$1003,9,FALSE)</f>
        <v>خ</v>
      </c>
      <c r="S83" s="866" t="str">
        <f>VLOOKUP(N83,etat!$A$9:$P$905,16,FALSE)</f>
        <v>ذخ3</v>
      </c>
      <c r="T83" s="755">
        <v>45781</v>
      </c>
      <c r="U83" s="791">
        <v>2</v>
      </c>
      <c r="V83" s="784"/>
      <c r="W83" s="784"/>
      <c r="X83" s="784"/>
      <c r="Y83" s="975"/>
      <c r="Z83" s="975"/>
      <c r="AA83" s="967">
        <v>8</v>
      </c>
      <c r="AH83" s="910"/>
      <c r="AI83" s="862"/>
      <c r="AJ83" s="302"/>
      <c r="AK83" s="910"/>
      <c r="AL83" s="911"/>
      <c r="AM83" s="911"/>
      <c r="AN83" s="911"/>
      <c r="AO83" s="911"/>
      <c r="AP83" s="912"/>
      <c r="AQ83" s="911"/>
      <c r="AR83" s="911"/>
      <c r="AS83" s="911"/>
      <c r="AT83" s="26"/>
      <c r="AU83" s="26"/>
      <c r="AV83" s="26"/>
    </row>
    <row r="84" spans="4:48" s="25" customFormat="1" ht="16.5" customHeight="1">
      <c r="D84" s="295"/>
      <c r="E84" s="295"/>
      <c r="F84" s="295"/>
      <c r="G84" s="295"/>
      <c r="H84" s="295"/>
      <c r="L84" s="777">
        <v>5</v>
      </c>
      <c r="M84" s="778"/>
      <c r="N84" s="976">
        <v>29</v>
      </c>
      <c r="O84" s="1020">
        <v>27</v>
      </c>
      <c r="P84" s="847">
        <f>VLOOKUP(N84,etat!$A$9:$N$1004,2,FALSE)</f>
        <v>0</v>
      </c>
      <c r="Q84" s="797" t="str">
        <f>VLOOKUP(N84,etat!$A$9:$N$963,7,FALSE)</f>
        <v>3ت ا ق1</v>
      </c>
      <c r="R84" s="797" t="str">
        <f>VLOOKUP(N84,etat!$A$9:$N$1003,9,FALSE)</f>
        <v>ن/د</v>
      </c>
      <c r="S84" s="866" t="str">
        <f>VLOOKUP(N84,etat!$A$9:$P$905,16,FALSE)</f>
        <v>ذخ3</v>
      </c>
      <c r="T84" s="755">
        <v>45761</v>
      </c>
      <c r="U84" s="791">
        <v>22</v>
      </c>
      <c r="V84" s="784" t="s">
        <v>2267</v>
      </c>
      <c r="W84" s="784" t="s">
        <v>2275</v>
      </c>
      <c r="X84" s="784" t="s">
        <v>2283</v>
      </c>
      <c r="Y84" s="975"/>
      <c r="Z84" s="975" t="str">
        <f>VLOOKUP(L84,[2]اس!$S$3:$X$31,3,FALSE)</f>
        <v>.</v>
      </c>
      <c r="AA84" s="967">
        <v>8</v>
      </c>
      <c r="AH84" s="910"/>
      <c r="AI84" s="862"/>
      <c r="AJ84" s="302"/>
      <c r="AK84" s="910"/>
      <c r="AL84" s="911"/>
      <c r="AM84" s="911"/>
      <c r="AN84" s="911"/>
      <c r="AO84" s="911"/>
      <c r="AP84" s="912"/>
      <c r="AQ84" s="911"/>
      <c r="AR84" s="911"/>
      <c r="AS84" s="911"/>
      <c r="AT84" s="26"/>
      <c r="AU84" s="26"/>
      <c r="AV84" s="26"/>
    </row>
    <row r="85" spans="4:48" s="25" customFormat="1" ht="16.5" customHeight="1">
      <c r="D85" s="295"/>
      <c r="E85" s="295"/>
      <c r="F85" s="295"/>
      <c r="G85" s="295"/>
      <c r="H85" s="295"/>
      <c r="L85" s="777">
        <v>10</v>
      </c>
      <c r="M85" s="778"/>
      <c r="N85" s="976">
        <v>30</v>
      </c>
      <c r="O85" s="1020">
        <v>28</v>
      </c>
      <c r="P85" s="847">
        <f>VLOOKUP(N85,etat!$A$9:$N$1004,2,FALSE)</f>
        <v>0</v>
      </c>
      <c r="Q85" s="797" t="str">
        <f>VLOOKUP(N85,etat!$A$9:$N$963,7,FALSE)</f>
        <v>3ت ا ق1</v>
      </c>
      <c r="R85" s="797" t="str">
        <f>VLOOKUP(N85,etat!$A$9:$N$1003,9,FALSE)</f>
        <v>ن/د</v>
      </c>
      <c r="S85" s="866" t="str">
        <f>VLOOKUP(N85,etat!$A$9:$P$905,16,FALSE)</f>
        <v>اخ3</v>
      </c>
      <c r="T85" s="755">
        <v>45776</v>
      </c>
      <c r="U85" s="791">
        <v>7</v>
      </c>
      <c r="V85" s="784" t="s">
        <v>2283</v>
      </c>
      <c r="W85" s="784"/>
      <c r="X85" s="784"/>
      <c r="Y85" s="975"/>
      <c r="Z85" s="967"/>
      <c r="AA85" s="967">
        <v>8</v>
      </c>
      <c r="AH85" s="910"/>
      <c r="AI85" s="862"/>
      <c r="AJ85" s="302"/>
      <c r="AK85" s="910"/>
      <c r="AL85" s="911"/>
      <c r="AM85" s="911"/>
      <c r="AN85" s="911"/>
      <c r="AO85" s="911"/>
      <c r="AP85" s="912"/>
      <c r="AQ85" s="911"/>
      <c r="AR85" s="911"/>
      <c r="AS85" s="911"/>
      <c r="AT85" s="26"/>
      <c r="AU85" s="26"/>
      <c r="AV85" s="26"/>
    </row>
    <row r="86" spans="4:48" s="25" customFormat="1" ht="16.5" customHeight="1">
      <c r="D86" s="295"/>
      <c r="E86" s="295"/>
      <c r="F86" s="295"/>
      <c r="G86" s="295"/>
      <c r="H86" s="295"/>
      <c r="L86" s="777">
        <v>5</v>
      </c>
      <c r="M86" s="778"/>
      <c r="N86" s="976">
        <v>31</v>
      </c>
      <c r="O86" s="1020">
        <v>29</v>
      </c>
      <c r="P86" s="847">
        <f>VLOOKUP(N86,etat!$A$9:$N$1004,2,FALSE)</f>
        <v>0</v>
      </c>
      <c r="Q86" s="797" t="str">
        <f>VLOOKUP(N86,etat!$A$9:$N$963,7,FALSE)</f>
        <v>3ت ا ق1</v>
      </c>
      <c r="R86" s="797" t="str">
        <f>VLOOKUP(N86,etat!$A$9:$N$1003,9,FALSE)</f>
        <v>خ</v>
      </c>
      <c r="S86" s="866" t="str">
        <f>VLOOKUP(N86,etat!$A$9:$P$905,16,FALSE)</f>
        <v>اخ3</v>
      </c>
      <c r="T86" s="755">
        <v>45769</v>
      </c>
      <c r="U86" s="791">
        <v>14</v>
      </c>
      <c r="V86" s="784" t="s">
        <v>2278</v>
      </c>
      <c r="W86" s="784" t="s">
        <v>2283</v>
      </c>
      <c r="X86" s="784"/>
      <c r="Y86" s="975"/>
      <c r="Z86" s="975"/>
      <c r="AA86" s="967">
        <v>8</v>
      </c>
      <c r="AH86" s="910"/>
      <c r="AI86" s="862"/>
      <c r="AJ86" s="302"/>
      <c r="AK86" s="910"/>
      <c r="AL86" s="911"/>
      <c r="AM86" s="911"/>
      <c r="AN86" s="911"/>
      <c r="AO86" s="911"/>
      <c r="AP86" s="912"/>
      <c r="AQ86" s="911"/>
      <c r="AR86" s="911"/>
      <c r="AS86" s="911"/>
      <c r="AT86" s="26"/>
      <c r="AU86" s="26"/>
      <c r="AV86" s="26"/>
    </row>
    <row r="87" spans="4:48" s="25" customFormat="1" ht="16.5" customHeight="1">
      <c r="D87" s="295"/>
      <c r="E87" s="295"/>
      <c r="F87" s="295"/>
      <c r="G87" s="295"/>
      <c r="H87" s="295"/>
      <c r="L87" s="777">
        <v>5</v>
      </c>
      <c r="M87" s="778"/>
      <c r="N87" s="976">
        <v>32</v>
      </c>
      <c r="O87" s="1020">
        <v>30</v>
      </c>
      <c r="P87" s="847">
        <f>VLOOKUP(N87,etat!$A$9:$N$1004,2,FALSE)</f>
        <v>0</v>
      </c>
      <c r="Q87" s="797" t="str">
        <f>VLOOKUP(N87,etat!$A$9:$N$963,7,FALSE)</f>
        <v>3ت ا ق1</v>
      </c>
      <c r="R87" s="797" t="str">
        <f>VLOOKUP(N87,etat!$A$9:$N$1003,9,FALSE)</f>
        <v>خ</v>
      </c>
      <c r="S87" s="866" t="str">
        <f>VLOOKUP(N87,etat!$A$9:$P$905,16,FALSE)</f>
        <v>اخ3</v>
      </c>
      <c r="T87" s="755">
        <v>45769</v>
      </c>
      <c r="U87" s="791">
        <v>14</v>
      </c>
      <c r="V87" s="784" t="s">
        <v>2278</v>
      </c>
      <c r="W87" s="784" t="s">
        <v>2283</v>
      </c>
      <c r="X87" s="784"/>
      <c r="Y87" s="975"/>
      <c r="Z87" s="975"/>
      <c r="AA87" s="967">
        <v>8</v>
      </c>
      <c r="AH87" s="910"/>
      <c r="AI87" s="862"/>
      <c r="AJ87" s="302"/>
      <c r="AK87" s="910"/>
      <c r="AL87" s="911"/>
      <c r="AM87" s="911"/>
      <c r="AN87" s="911"/>
      <c r="AO87" s="911"/>
      <c r="AP87" s="912"/>
      <c r="AQ87" s="911"/>
      <c r="AR87" s="911"/>
      <c r="AS87" s="911"/>
      <c r="AT87" s="26"/>
      <c r="AU87" s="26"/>
      <c r="AV87" s="26"/>
    </row>
    <row r="88" spans="4:48" s="25" customFormat="1" ht="16.5" customHeight="1">
      <c r="D88" s="295"/>
      <c r="E88" s="295"/>
      <c r="F88" s="295"/>
      <c r="G88" s="295"/>
      <c r="H88" s="295"/>
      <c r="L88" s="777">
        <v>5</v>
      </c>
      <c r="M88" s="778"/>
      <c r="N88" s="976">
        <v>33</v>
      </c>
      <c r="O88" s="1020">
        <v>31</v>
      </c>
      <c r="P88" s="847">
        <f>VLOOKUP(N88,etat!$A$9:$N$1004,2,FALSE)</f>
        <v>0</v>
      </c>
      <c r="Q88" s="797" t="str">
        <f>VLOOKUP(N88,etat!$A$9:$N$963,7,FALSE)</f>
        <v>3ت ا ق1</v>
      </c>
      <c r="R88" s="797" t="str">
        <f>VLOOKUP(N88,etat!$A$9:$N$1003,9,FALSE)</f>
        <v>خ</v>
      </c>
      <c r="S88" s="866" t="str">
        <f>VLOOKUP(N88,etat!$A$9:$P$905,16,FALSE)</f>
        <v>اخ3</v>
      </c>
      <c r="T88" s="755">
        <v>45781</v>
      </c>
      <c r="U88" s="791">
        <v>2</v>
      </c>
      <c r="V88" s="784"/>
      <c r="W88" s="784"/>
      <c r="X88" s="784"/>
      <c r="Y88" s="975"/>
      <c r="Z88" s="967"/>
      <c r="AA88" s="967">
        <v>8</v>
      </c>
      <c r="AH88" s="910"/>
      <c r="AI88" s="862"/>
      <c r="AJ88" s="302"/>
      <c r="AK88" s="910"/>
      <c r="AL88" s="911"/>
      <c r="AM88" s="911"/>
      <c r="AN88" s="911"/>
      <c r="AO88" s="911"/>
      <c r="AP88" s="912"/>
      <c r="AQ88" s="911"/>
      <c r="AR88" s="911"/>
      <c r="AS88" s="911"/>
      <c r="AT88" s="26"/>
      <c r="AU88" s="26"/>
      <c r="AV88" s="26"/>
    </row>
    <row r="89" spans="4:48" s="25" customFormat="1" ht="16.5" customHeight="1">
      <c r="D89" s="295"/>
      <c r="E89" s="295"/>
      <c r="F89" s="295"/>
      <c r="G89" s="295"/>
      <c r="H89" s="295"/>
      <c r="L89" s="777">
        <v>5</v>
      </c>
      <c r="M89" s="778"/>
      <c r="N89" s="976">
        <v>34</v>
      </c>
      <c r="O89" s="1020">
        <v>32</v>
      </c>
      <c r="P89" s="847">
        <f>VLOOKUP(N89,etat!$A$9:$N$1004,2,FALSE)</f>
        <v>0</v>
      </c>
      <c r="Q89" s="797" t="str">
        <f>VLOOKUP(N89,etat!$A$9:$N$963,7,FALSE)</f>
        <v>3ت ا ق1</v>
      </c>
      <c r="R89" s="797" t="str">
        <f>VLOOKUP(N89,etat!$A$9:$N$1003,9,FALSE)</f>
        <v>خ</v>
      </c>
      <c r="S89" s="866" t="str">
        <f>VLOOKUP(N89,etat!$A$9:$P$905,16,FALSE)</f>
        <v>ذخ3</v>
      </c>
      <c r="T89" s="755">
        <v>45774</v>
      </c>
      <c r="U89" s="791">
        <v>9</v>
      </c>
      <c r="V89" s="784" t="s">
        <v>2281</v>
      </c>
      <c r="W89" s="784"/>
      <c r="X89" s="784"/>
      <c r="Y89" s="1117"/>
      <c r="Z89" s="975" t="str">
        <f>VLOOKUP(L89,[2]اس!$S$3:$X$31,3,FALSE)</f>
        <v>.</v>
      </c>
      <c r="AA89" s="967">
        <v>8</v>
      </c>
      <c r="AH89" s="910"/>
      <c r="AI89" s="862"/>
      <c r="AJ89" s="302"/>
      <c r="AK89" s="910"/>
      <c r="AL89" s="911"/>
      <c r="AM89" s="911"/>
      <c r="AN89" s="911"/>
      <c r="AO89" s="911"/>
      <c r="AP89" s="912"/>
      <c r="AQ89" s="911"/>
      <c r="AR89" s="911"/>
      <c r="AS89" s="911"/>
      <c r="AT89" s="26"/>
      <c r="AU89" s="26"/>
      <c r="AV89" s="26"/>
    </row>
    <row r="90" spans="4:48" s="25" customFormat="1" ht="16.5" customHeight="1">
      <c r="D90" s="295"/>
      <c r="E90" s="295"/>
      <c r="F90" s="295"/>
      <c r="G90" s="295"/>
      <c r="H90" s="295"/>
      <c r="L90" s="777">
        <v>5</v>
      </c>
      <c r="M90" s="778"/>
      <c r="N90" s="976">
        <v>35</v>
      </c>
      <c r="O90" s="1020">
        <v>33</v>
      </c>
      <c r="P90" s="847">
        <f>VLOOKUP(N90,etat!$A$9:$N$1004,2,FALSE)</f>
        <v>0</v>
      </c>
      <c r="Q90" s="797" t="str">
        <f>VLOOKUP(N90,etat!$A$9:$N$963,7,FALSE)</f>
        <v>3ت ا ق1</v>
      </c>
      <c r="R90" s="797" t="str">
        <f>VLOOKUP(N90,etat!$A$9:$N$1003,9,FALSE)</f>
        <v>خ</v>
      </c>
      <c r="S90" s="866" t="str">
        <f>VLOOKUP(N90,etat!$A$9:$P$905,16,FALSE)</f>
        <v>ذخ3</v>
      </c>
      <c r="T90" s="755">
        <v>45754</v>
      </c>
      <c r="U90" s="791">
        <v>29</v>
      </c>
      <c r="V90" s="784" t="s">
        <v>2264</v>
      </c>
      <c r="W90" s="784" t="s">
        <v>2267</v>
      </c>
      <c r="X90" s="784" t="s">
        <v>2275</v>
      </c>
      <c r="Y90" s="975"/>
      <c r="Z90" s="967"/>
      <c r="AA90" s="967">
        <v>8</v>
      </c>
      <c r="AH90" s="910"/>
      <c r="AI90" s="862"/>
      <c r="AJ90" s="302"/>
      <c r="AK90" s="910"/>
      <c r="AL90" s="911"/>
      <c r="AM90" s="911"/>
      <c r="AN90" s="911"/>
      <c r="AO90" s="911"/>
      <c r="AP90" s="912"/>
      <c r="AQ90" s="911"/>
      <c r="AR90" s="911"/>
      <c r="AS90" s="911"/>
      <c r="AT90" s="26"/>
      <c r="AU90" s="26"/>
      <c r="AV90" s="26"/>
    </row>
    <row r="91" spans="4:48" s="25" customFormat="1" ht="16.5" customHeight="1">
      <c r="D91" s="295"/>
      <c r="E91" s="295"/>
      <c r="F91" s="295"/>
      <c r="G91" s="295"/>
      <c r="H91" s="295"/>
      <c r="L91" s="777">
        <v>5</v>
      </c>
      <c r="M91" s="778"/>
      <c r="N91" s="976">
        <v>36</v>
      </c>
      <c r="O91" s="1020">
        <v>34</v>
      </c>
      <c r="P91" s="847">
        <f>VLOOKUP(N91,etat!$A$9:$N$1004,2,FALSE)</f>
        <v>0</v>
      </c>
      <c r="Q91" s="797" t="str">
        <f>VLOOKUP(N91,etat!$A$9:$N$963,7,FALSE)</f>
        <v>3ت ا ق1</v>
      </c>
      <c r="R91" s="797" t="str">
        <f>VLOOKUP(N91,etat!$A$9:$N$1003,9,FALSE)</f>
        <v>خ</v>
      </c>
      <c r="S91" s="866" t="str">
        <f>VLOOKUP(N91,etat!$A$9:$P$905,16,FALSE)</f>
        <v>اخ3</v>
      </c>
      <c r="T91" s="755">
        <v>45782</v>
      </c>
      <c r="U91" s="791">
        <v>1</v>
      </c>
      <c r="V91" s="784"/>
      <c r="W91" s="784"/>
      <c r="X91" s="784"/>
      <c r="Y91" s="975"/>
      <c r="Z91" s="975" t="str">
        <f>VLOOKUP(L91,[2]اس!$S$3:$X$31,3,FALSE)</f>
        <v>.</v>
      </c>
      <c r="AA91" s="967">
        <v>4</v>
      </c>
      <c r="AH91" s="910"/>
      <c r="AI91" s="862"/>
      <c r="AJ91" s="302"/>
      <c r="AK91" s="910"/>
      <c r="AL91" s="911"/>
      <c r="AM91" s="911"/>
      <c r="AN91" s="911"/>
      <c r="AO91" s="911"/>
      <c r="AP91" s="912"/>
      <c r="AQ91" s="911"/>
      <c r="AR91" s="911"/>
      <c r="AS91" s="911"/>
      <c r="AT91" s="26"/>
      <c r="AU91" s="26"/>
      <c r="AV91" s="26"/>
    </row>
    <row r="92" spans="4:48" s="25" customFormat="1" ht="16.5" customHeight="1">
      <c r="D92" s="295"/>
      <c r="E92" s="295"/>
      <c r="F92" s="295"/>
      <c r="G92" s="295"/>
      <c r="H92" s="295"/>
      <c r="L92" s="777">
        <v>5</v>
      </c>
      <c r="M92" s="778"/>
      <c r="N92" s="976">
        <v>37</v>
      </c>
      <c r="O92" s="1020">
        <v>35</v>
      </c>
      <c r="P92" s="847">
        <f>VLOOKUP(N92,etat!$A$9:$N$1004,2,FALSE)</f>
        <v>0</v>
      </c>
      <c r="Q92" s="797" t="str">
        <f>VLOOKUP(N92,etat!$A$9:$N$963,7,FALSE)</f>
        <v>3ت ا ق1</v>
      </c>
      <c r="R92" s="797" t="str">
        <f>VLOOKUP(N92,etat!$A$9:$N$1003,9,FALSE)</f>
        <v>خ</v>
      </c>
      <c r="S92" s="866" t="str">
        <f>VLOOKUP(N92,etat!$A$9:$P$905,16,FALSE)</f>
        <v>ذخ3</v>
      </c>
      <c r="T92" s="755">
        <v>45782</v>
      </c>
      <c r="U92" s="791">
        <v>1</v>
      </c>
      <c r="V92" s="784"/>
      <c r="W92" s="784"/>
      <c r="X92" s="784"/>
      <c r="Y92" s="975"/>
      <c r="Z92" s="975"/>
      <c r="AA92" s="967">
        <v>4</v>
      </c>
      <c r="AH92" s="910"/>
      <c r="AI92" s="862"/>
      <c r="AJ92" s="302"/>
      <c r="AK92" s="910"/>
      <c r="AL92" s="911"/>
      <c r="AM92" s="911"/>
      <c r="AN92" s="911"/>
      <c r="AO92" s="911"/>
      <c r="AP92" s="912"/>
      <c r="AQ92" s="911"/>
      <c r="AR92" s="911"/>
      <c r="AS92" s="911"/>
      <c r="AT92" s="26"/>
      <c r="AU92" s="26"/>
      <c r="AV92" s="26"/>
    </row>
    <row r="93" spans="4:48" s="25" customFormat="1" ht="16.5" customHeight="1">
      <c r="D93" s="295"/>
      <c r="E93" s="295"/>
      <c r="F93" s="295"/>
      <c r="G93" s="295"/>
      <c r="H93" s="295"/>
      <c r="L93" s="777">
        <v>5</v>
      </c>
      <c r="M93" s="778"/>
      <c r="N93" s="976">
        <v>38</v>
      </c>
      <c r="O93" s="1020">
        <v>36</v>
      </c>
      <c r="P93" s="847">
        <f>VLOOKUP(N93,etat!$A$9:$N$1004,2,FALSE)</f>
        <v>0</v>
      </c>
      <c r="Q93" s="797" t="str">
        <f>VLOOKUP(N93,etat!$A$9:$N$963,7,FALSE)</f>
        <v>3ت ا ق1</v>
      </c>
      <c r="R93" s="797" t="str">
        <f>VLOOKUP(N93,etat!$A$9:$N$1003,9,FALSE)</f>
        <v>خ</v>
      </c>
      <c r="S93" s="866" t="str">
        <f>VLOOKUP(N93,etat!$A$9:$P$905,16,FALSE)</f>
        <v>ذخ3</v>
      </c>
      <c r="T93" s="755">
        <v>45782</v>
      </c>
      <c r="U93" s="791">
        <v>1</v>
      </c>
      <c r="V93" s="784"/>
      <c r="W93" s="784"/>
      <c r="X93" s="784"/>
      <c r="Y93" s="975"/>
      <c r="Z93" s="975" t="str">
        <f>VLOOKUP(L93,[2]اس!$S$3:$X$31,3,FALSE)</f>
        <v>.</v>
      </c>
      <c r="AA93" s="967">
        <v>4</v>
      </c>
      <c r="AH93" s="910"/>
      <c r="AI93" s="862"/>
      <c r="AJ93" s="302"/>
      <c r="AK93" s="910"/>
      <c r="AL93" s="911"/>
      <c r="AM93" s="911"/>
      <c r="AN93" s="911"/>
      <c r="AO93" s="911"/>
      <c r="AP93" s="912"/>
      <c r="AQ93" s="911"/>
      <c r="AR93" s="911"/>
      <c r="AS93" s="911"/>
      <c r="AT93" s="26"/>
      <c r="AU93" s="26"/>
      <c r="AV93" s="26"/>
    </row>
    <row r="94" spans="4:48" s="25" customFormat="1" ht="16.5" customHeight="1">
      <c r="D94" s="295"/>
      <c r="E94" s="295"/>
      <c r="F94" s="295"/>
      <c r="G94" s="295"/>
      <c r="H94" s="295"/>
      <c r="L94" s="777">
        <v>5</v>
      </c>
      <c r="M94" s="778"/>
      <c r="N94" s="976">
        <v>39</v>
      </c>
      <c r="O94" s="1020">
        <v>37</v>
      </c>
      <c r="P94" s="847">
        <f>VLOOKUP(N94,etat!$A$9:$N$1004,2,FALSE)</f>
        <v>0</v>
      </c>
      <c r="Q94" s="797" t="str">
        <f>VLOOKUP(N94,etat!$A$9:$N$963,7,FALSE)</f>
        <v>3ت ا ق1</v>
      </c>
      <c r="R94" s="797" t="str">
        <f>VLOOKUP(N94,etat!$A$9:$N$1003,9,FALSE)</f>
        <v>خ</v>
      </c>
      <c r="S94" s="866" t="str">
        <f>VLOOKUP(N94,etat!$A$9:$P$905,16,FALSE)</f>
        <v>اخ3</v>
      </c>
      <c r="T94" s="755">
        <v>45768</v>
      </c>
      <c r="U94" s="791">
        <v>15</v>
      </c>
      <c r="V94" s="784" t="s">
        <v>2275</v>
      </c>
      <c r="W94" s="784" t="s">
        <v>2283</v>
      </c>
      <c r="X94" s="784"/>
      <c r="Y94" s="975"/>
      <c r="Z94" s="975" t="str">
        <f>VLOOKUP(L94,[2]اس!$S$3:$X$31,3,FALSE)</f>
        <v>.</v>
      </c>
      <c r="AA94" s="967">
        <v>8</v>
      </c>
      <c r="AH94" s="910"/>
      <c r="AI94" s="862"/>
      <c r="AJ94" s="302"/>
      <c r="AK94" s="910"/>
      <c r="AL94" s="911"/>
      <c r="AM94" s="911"/>
      <c r="AN94" s="911"/>
      <c r="AO94" s="911"/>
      <c r="AP94" s="912"/>
      <c r="AQ94" s="911"/>
      <c r="AR94" s="911"/>
      <c r="AS94" s="911"/>
      <c r="AT94" s="26"/>
      <c r="AU94" s="26"/>
      <c r="AV94" s="26"/>
    </row>
    <row r="95" spans="4:48" s="25" customFormat="1" ht="16.5" customHeight="1">
      <c r="D95" s="295"/>
      <c r="E95" s="295"/>
      <c r="F95" s="295"/>
      <c r="G95" s="295"/>
      <c r="H95" s="295"/>
      <c r="L95" s="777">
        <v>5</v>
      </c>
      <c r="M95" s="778"/>
      <c r="N95" s="976">
        <v>40</v>
      </c>
      <c r="O95" s="1020">
        <v>38</v>
      </c>
      <c r="P95" s="847">
        <f>VLOOKUP(N95,etat!$A$9:$N$1004,2,FALSE)</f>
        <v>0</v>
      </c>
      <c r="Q95" s="797" t="str">
        <f>VLOOKUP(N95,etat!$A$9:$N$963,7,FALSE)</f>
        <v>3ت ا ق1</v>
      </c>
      <c r="R95" s="797" t="str">
        <f>VLOOKUP(N95,etat!$A$9:$N$1003,9,FALSE)</f>
        <v>خ</v>
      </c>
      <c r="S95" s="866" t="str">
        <f>VLOOKUP(N95,etat!$A$9:$P$905,16,FALSE)</f>
        <v>اخ3</v>
      </c>
      <c r="T95" s="755">
        <v>45768</v>
      </c>
      <c r="U95" s="791">
        <v>15</v>
      </c>
      <c r="V95" s="784" t="s">
        <v>2275</v>
      </c>
      <c r="W95" s="784" t="s">
        <v>2283</v>
      </c>
      <c r="X95" s="784"/>
      <c r="Y95" s="975"/>
      <c r="Z95" s="975" t="str">
        <f>VLOOKUP(L95,[2]اس!$S$3:$X$31,3,FALSE)</f>
        <v>.</v>
      </c>
      <c r="AA95" s="967">
        <v>8</v>
      </c>
      <c r="AH95" s="910"/>
      <c r="AI95" s="862"/>
      <c r="AJ95" s="302"/>
      <c r="AK95" s="910"/>
      <c r="AL95" s="911"/>
      <c r="AM95" s="911"/>
      <c r="AN95" s="911"/>
      <c r="AO95" s="911"/>
      <c r="AP95" s="912"/>
      <c r="AQ95" s="911"/>
      <c r="AR95" s="911"/>
      <c r="AS95" s="911"/>
      <c r="AT95" s="26"/>
      <c r="AU95" s="26"/>
      <c r="AV95" s="26"/>
    </row>
    <row r="96" spans="4:48" s="25" customFormat="1" ht="16.5" customHeight="1">
      <c r="D96" s="295"/>
      <c r="E96" s="295"/>
      <c r="F96" s="295"/>
      <c r="G96" s="295"/>
      <c r="H96" s="295"/>
      <c r="L96" s="777">
        <v>5</v>
      </c>
      <c r="M96" s="778"/>
      <c r="N96" s="976">
        <v>41</v>
      </c>
      <c r="O96" s="1020">
        <v>39</v>
      </c>
      <c r="P96" s="847">
        <f>VLOOKUP(N96,etat!$A$9:$N$1004,2,FALSE)</f>
        <v>0</v>
      </c>
      <c r="Q96" s="797" t="str">
        <f>VLOOKUP(N96,etat!$A$9:$N$963,7,FALSE)</f>
        <v>3ت ا ق1</v>
      </c>
      <c r="R96" s="797" t="str">
        <f>VLOOKUP(N96,etat!$A$9:$N$1003,9,FALSE)</f>
        <v>خ</v>
      </c>
      <c r="S96" s="866" t="str">
        <f>VLOOKUP(N96,etat!$A$9:$P$905,16,FALSE)</f>
        <v>ذخ3</v>
      </c>
      <c r="T96" s="755">
        <v>45768</v>
      </c>
      <c r="U96" s="791">
        <v>15</v>
      </c>
      <c r="V96" s="784" t="s">
        <v>2275</v>
      </c>
      <c r="W96" s="784" t="s">
        <v>2283</v>
      </c>
      <c r="X96" s="784"/>
      <c r="Y96" s="1118"/>
      <c r="Z96" s="975" t="str">
        <f>VLOOKUP(L96,[2]اس!$S$3:$X$31,3,FALSE)</f>
        <v>.</v>
      </c>
      <c r="AA96" s="967">
        <v>8</v>
      </c>
      <c r="AH96" s="910"/>
      <c r="AI96" s="862"/>
      <c r="AJ96" s="302"/>
      <c r="AK96" s="910"/>
      <c r="AL96" s="911"/>
      <c r="AM96" s="911"/>
      <c r="AN96" s="911"/>
      <c r="AO96" s="911"/>
      <c r="AP96" s="912"/>
      <c r="AQ96" s="911"/>
      <c r="AR96" s="911"/>
      <c r="AS96" s="911"/>
      <c r="AT96" s="26"/>
      <c r="AU96" s="26"/>
      <c r="AV96" s="26"/>
    </row>
    <row r="97" spans="4:48" s="25" customFormat="1" ht="16.5" customHeight="1">
      <c r="D97" s="295"/>
      <c r="E97" s="295"/>
      <c r="F97" s="295"/>
      <c r="G97" s="295"/>
      <c r="H97" s="295"/>
      <c r="L97" s="777">
        <v>5</v>
      </c>
      <c r="M97" s="778"/>
      <c r="N97" s="976">
        <v>42</v>
      </c>
      <c r="O97" s="1020">
        <v>40</v>
      </c>
      <c r="P97" s="847">
        <f>VLOOKUP(N97,etat!$A$9:$N$1004,2,FALSE)</f>
        <v>0</v>
      </c>
      <c r="Q97" s="797" t="str">
        <f>VLOOKUP(N97,etat!$A$9:$N$963,7,FALSE)</f>
        <v>3ت ا ق1</v>
      </c>
      <c r="R97" s="797" t="str">
        <f>VLOOKUP(N97,etat!$A$9:$N$1003,9,FALSE)</f>
        <v>خ</v>
      </c>
      <c r="S97" s="866" t="str">
        <f>VLOOKUP(N97,etat!$A$9:$P$905,16,FALSE)</f>
        <v>ذن/د3</v>
      </c>
      <c r="T97" s="755">
        <v>45767</v>
      </c>
      <c r="U97" s="791">
        <v>16</v>
      </c>
      <c r="V97" s="784" t="s">
        <v>2273</v>
      </c>
      <c r="W97" s="784" t="s">
        <v>2282</v>
      </c>
      <c r="X97" s="784"/>
      <c r="Y97" s="975"/>
      <c r="Z97" s="975" t="str">
        <f>VLOOKUP(L97,[2]اس!$S$3:$X$31,3,FALSE)</f>
        <v>.</v>
      </c>
      <c r="AA97" s="967">
        <v>8</v>
      </c>
      <c r="AH97" s="910"/>
      <c r="AI97" s="862"/>
      <c r="AJ97" s="302"/>
      <c r="AK97" s="910"/>
      <c r="AL97" s="911"/>
      <c r="AM97" s="911"/>
      <c r="AN97" s="911"/>
      <c r="AO97" s="911"/>
      <c r="AP97" s="912"/>
      <c r="AQ97" s="911"/>
      <c r="AR97" s="911"/>
      <c r="AS97" s="911"/>
      <c r="AT97" s="26"/>
      <c r="AU97" s="26"/>
      <c r="AV97" s="26"/>
    </row>
    <row r="98" spans="4:48" s="25" customFormat="1" ht="16.5" customHeight="1">
      <c r="D98" s="295"/>
      <c r="E98" s="295"/>
      <c r="F98" s="295"/>
      <c r="G98" s="295"/>
      <c r="H98" s="295"/>
      <c r="L98" s="777">
        <v>5</v>
      </c>
      <c r="M98" s="778"/>
      <c r="N98" s="976">
        <v>43</v>
      </c>
      <c r="O98" s="1020">
        <v>41</v>
      </c>
      <c r="P98" s="847">
        <f>VLOOKUP(N98,etat!$A$9:$N$1004,2,FALSE)</f>
        <v>0</v>
      </c>
      <c r="Q98" s="797" t="str">
        <f>VLOOKUP(N98,etat!$A$9:$N$963,7,FALSE)</f>
        <v>3ت ا ق1</v>
      </c>
      <c r="R98" s="797" t="str">
        <f>VLOOKUP(N98,etat!$A$9:$N$1003,9,FALSE)</f>
        <v>خ</v>
      </c>
      <c r="S98" s="866" t="str">
        <f>VLOOKUP(N98,etat!$A$9:$P$905,16,FALSE)</f>
        <v>ذن/د3</v>
      </c>
      <c r="T98" s="755">
        <v>45781</v>
      </c>
      <c r="U98" s="791">
        <v>2</v>
      </c>
      <c r="V98" s="784"/>
      <c r="W98" s="784"/>
      <c r="X98" s="784"/>
      <c r="Y98" s="975"/>
      <c r="Z98" s="975"/>
      <c r="AA98" s="967">
        <v>8</v>
      </c>
      <c r="AH98" s="910"/>
      <c r="AI98" s="862"/>
      <c r="AJ98" s="302"/>
      <c r="AK98" s="910"/>
      <c r="AL98" s="911"/>
      <c r="AM98" s="911"/>
      <c r="AN98" s="911"/>
      <c r="AO98" s="911"/>
      <c r="AP98" s="912"/>
      <c r="AQ98" s="911"/>
      <c r="AR98" s="911"/>
      <c r="AS98" s="911"/>
      <c r="AT98" s="26"/>
      <c r="AU98" s="26"/>
      <c r="AV98" s="26"/>
    </row>
    <row r="99" spans="4:48" s="25" customFormat="1" ht="16.5" customHeight="1">
      <c r="D99" s="295"/>
      <c r="E99" s="295"/>
      <c r="F99" s="295"/>
      <c r="G99" s="295"/>
      <c r="H99" s="295"/>
      <c r="L99" s="777">
        <v>5</v>
      </c>
      <c r="M99" s="778"/>
      <c r="N99" s="976">
        <v>44</v>
      </c>
      <c r="O99" s="1020">
        <v>42</v>
      </c>
      <c r="P99" s="847">
        <f>VLOOKUP(N99,etat!$A$9:$N$1004,2,FALSE)</f>
        <v>0</v>
      </c>
      <c r="Q99" s="797" t="str">
        <f>VLOOKUP(N99,etat!$A$9:$N$963,7,FALSE)</f>
        <v>3ت ا ق1</v>
      </c>
      <c r="R99" s="797" t="str">
        <f>VLOOKUP(N99,etat!$A$9:$N$1003,9,FALSE)</f>
        <v>خ</v>
      </c>
      <c r="S99" s="866" t="str">
        <f>VLOOKUP(N99,etat!$A$9:$P$905,16,FALSE)</f>
        <v>ان/د3</v>
      </c>
      <c r="T99" s="755">
        <v>45782</v>
      </c>
      <c r="U99" s="791">
        <v>1</v>
      </c>
      <c r="V99" s="784"/>
      <c r="W99" s="784"/>
      <c r="X99" s="784"/>
      <c r="Y99" s="975"/>
      <c r="Z99" s="975" t="str">
        <f>VLOOKUP(L99,[2]اس!$S$3:$X$31,3,FALSE)</f>
        <v>.</v>
      </c>
      <c r="AA99" s="967">
        <v>4</v>
      </c>
      <c r="AH99" s="910"/>
      <c r="AI99" s="862"/>
      <c r="AJ99" s="302"/>
      <c r="AK99" s="910"/>
      <c r="AL99" s="911"/>
      <c r="AM99" s="911"/>
      <c r="AN99" s="911"/>
      <c r="AO99" s="911"/>
      <c r="AP99" s="912"/>
      <c r="AQ99" s="911"/>
      <c r="AR99" s="911"/>
      <c r="AS99" s="911"/>
      <c r="AT99" s="26"/>
      <c r="AU99" s="26"/>
      <c r="AV99" s="26"/>
    </row>
    <row r="100" spans="4:48" s="25" customFormat="1" ht="16.5" customHeight="1">
      <c r="D100" s="295"/>
      <c r="E100" s="295"/>
      <c r="F100" s="295"/>
      <c r="G100" s="295"/>
      <c r="H100" s="295"/>
      <c r="L100" s="777">
        <v>5</v>
      </c>
      <c r="M100" s="778"/>
      <c r="N100" s="976">
        <v>45</v>
      </c>
      <c r="O100" s="1020">
        <v>43</v>
      </c>
      <c r="P100" s="847">
        <f>VLOOKUP(N100,etat!$A$9:$N$1004,2,FALSE)</f>
        <v>0</v>
      </c>
      <c r="Q100" s="797" t="str">
        <f>VLOOKUP(N100,etat!$A$9:$N$963,7,FALSE)</f>
        <v>3ت ا ق1</v>
      </c>
      <c r="R100" s="797" t="str">
        <f>VLOOKUP(N100,etat!$A$9:$N$1003,9,FALSE)</f>
        <v>خ</v>
      </c>
      <c r="S100" s="866" t="str">
        <f>VLOOKUP(N100,etat!$A$9:$P$905,16,FALSE)</f>
        <v>ان/د3</v>
      </c>
      <c r="T100" s="755">
        <v>45775</v>
      </c>
      <c r="U100" s="791">
        <v>8</v>
      </c>
      <c r="V100" s="784" t="s">
        <v>2282</v>
      </c>
      <c r="W100" s="784"/>
      <c r="X100" s="784"/>
      <c r="Y100" s="975"/>
      <c r="Z100" s="975" t="str">
        <f>VLOOKUP(L100,[2]اس!$S$3:$X$31,3,FALSE)</f>
        <v>.</v>
      </c>
      <c r="AA100" s="967">
        <v>8</v>
      </c>
      <c r="AH100" s="910"/>
      <c r="AI100" s="862"/>
      <c r="AJ100" s="302"/>
      <c r="AK100" s="910"/>
      <c r="AL100" s="911"/>
      <c r="AM100" s="911"/>
      <c r="AN100" s="911"/>
      <c r="AO100" s="911"/>
      <c r="AP100" s="912"/>
      <c r="AQ100" s="911"/>
      <c r="AR100" s="911"/>
      <c r="AS100" s="911"/>
      <c r="AT100" s="26"/>
      <c r="AU100" s="26"/>
      <c r="AV100" s="26"/>
    </row>
    <row r="101" spans="4:48" s="25" customFormat="1" ht="16.5" customHeight="1">
      <c r="D101" s="295"/>
      <c r="E101" s="295"/>
      <c r="F101" s="295"/>
      <c r="G101" s="295"/>
      <c r="H101" s="295"/>
      <c r="L101" s="777">
        <v>5</v>
      </c>
      <c r="M101" s="778"/>
      <c r="N101" s="976">
        <v>46</v>
      </c>
      <c r="O101" s="1020">
        <v>44</v>
      </c>
      <c r="P101" s="847">
        <f>VLOOKUP(N101,etat!$A$9:$N$1004,2,FALSE)</f>
        <v>0</v>
      </c>
      <c r="Q101" s="797" t="str">
        <f>VLOOKUP(N101,etat!$A$9:$N$963,7,FALSE)</f>
        <v>3ت ا ق1</v>
      </c>
      <c r="R101" s="797" t="str">
        <f>VLOOKUP(N101,etat!$A$9:$N$1003,9,FALSE)</f>
        <v>خ</v>
      </c>
      <c r="S101" s="866" t="str">
        <f>VLOOKUP(N101,etat!$A$9:$P$905,16,FALSE)</f>
        <v>اخ3</v>
      </c>
      <c r="T101" s="755">
        <v>45775</v>
      </c>
      <c r="U101" s="791">
        <v>8</v>
      </c>
      <c r="V101" s="784" t="s">
        <v>2282</v>
      </c>
      <c r="W101" s="784"/>
      <c r="X101" s="784"/>
      <c r="Y101" s="975"/>
      <c r="Z101" s="975" t="str">
        <f>VLOOKUP(L101,[2]اس!$S$3:$X$31,3,FALSE)</f>
        <v>.</v>
      </c>
      <c r="AA101" s="967">
        <v>8</v>
      </c>
      <c r="AH101" s="910"/>
      <c r="AI101" s="862"/>
      <c r="AJ101" s="302"/>
      <c r="AK101" s="910"/>
      <c r="AL101" s="911"/>
      <c r="AM101" s="911"/>
      <c r="AN101" s="911"/>
      <c r="AO101" s="911"/>
      <c r="AP101" s="912"/>
      <c r="AQ101" s="911"/>
      <c r="AR101" s="911"/>
      <c r="AS101" s="911"/>
      <c r="AT101" s="26"/>
      <c r="AU101" s="26"/>
      <c r="AV101" s="26"/>
    </row>
    <row r="102" spans="4:48" s="25" customFormat="1" ht="16.5" customHeight="1">
      <c r="D102" s="295"/>
      <c r="E102" s="295"/>
      <c r="F102" s="295"/>
      <c r="G102" s="295"/>
      <c r="H102" s="295"/>
      <c r="L102" s="777">
        <v>5</v>
      </c>
      <c r="M102" s="864"/>
      <c r="N102" s="976">
        <v>47</v>
      </c>
      <c r="O102" s="1020">
        <v>45</v>
      </c>
      <c r="P102" s="847">
        <f>VLOOKUP(N102,etat!$A$9:$N$1004,2,FALSE)</f>
        <v>0</v>
      </c>
      <c r="Q102" s="797" t="str">
        <f>VLOOKUP(N102,etat!$A$9:$N$963,7,FALSE)</f>
        <v>3ت ا ق1</v>
      </c>
      <c r="R102" s="797" t="str">
        <f>VLOOKUP(N102,etat!$A$9:$N$1003,9,FALSE)</f>
        <v>خ</v>
      </c>
      <c r="S102" s="866" t="str">
        <f>VLOOKUP(N102,etat!$A$9:$P$905,16,FALSE)</f>
        <v>اخ3</v>
      </c>
      <c r="T102" s="755">
        <v>45781</v>
      </c>
      <c r="U102" s="791">
        <v>2</v>
      </c>
      <c r="V102" s="784"/>
      <c r="W102" s="784"/>
      <c r="X102" s="784"/>
      <c r="Y102" s="975"/>
      <c r="Z102" s="975"/>
      <c r="AA102" s="967">
        <v>8</v>
      </c>
      <c r="AH102" s="910"/>
      <c r="AI102" s="862"/>
      <c r="AJ102" s="302"/>
      <c r="AK102" s="910"/>
      <c r="AL102" s="911"/>
      <c r="AM102" s="911"/>
      <c r="AN102" s="911"/>
      <c r="AO102" s="911"/>
      <c r="AP102" s="912"/>
      <c r="AQ102" s="911"/>
      <c r="AR102" s="911"/>
      <c r="AS102" s="911"/>
      <c r="AT102" s="26"/>
      <c r="AU102" s="26"/>
      <c r="AV102" s="26"/>
    </row>
    <row r="103" spans="4:48" s="25" customFormat="1" ht="16.5" customHeight="1">
      <c r="D103" s="295"/>
      <c r="E103" s="295"/>
      <c r="F103" s="295"/>
      <c r="G103" s="295"/>
      <c r="H103" s="295"/>
      <c r="L103" s="777">
        <v>5</v>
      </c>
      <c r="M103" s="864"/>
      <c r="N103" s="976">
        <v>48</v>
      </c>
      <c r="O103" s="1020">
        <v>46</v>
      </c>
      <c r="P103" s="847">
        <f>VLOOKUP(N103,etat!$A$9:$N$1004,2,FALSE)</f>
        <v>0</v>
      </c>
      <c r="Q103" s="797" t="str">
        <f>VLOOKUP(N103,etat!$A$9:$N$963,7,FALSE)</f>
        <v>3ت ا ق2</v>
      </c>
      <c r="R103" s="797" t="str">
        <f>VLOOKUP(N103,etat!$A$9:$N$1003,9,FALSE)</f>
        <v>ن/د</v>
      </c>
      <c r="S103" s="866" t="str">
        <f>VLOOKUP(N103,etat!$A$9:$P$905,16,FALSE)</f>
        <v>ذخ3</v>
      </c>
      <c r="T103" s="755">
        <v>45768</v>
      </c>
      <c r="U103" s="791">
        <v>15</v>
      </c>
      <c r="V103" s="784" t="s">
        <v>2275</v>
      </c>
      <c r="W103" s="784" t="s">
        <v>2282</v>
      </c>
      <c r="X103" s="784"/>
      <c r="Y103" s="1116"/>
      <c r="Z103" s="975" t="str">
        <f>VLOOKUP(L103,[2]اس!$S$3:$X$31,3,FALSE)</f>
        <v>.</v>
      </c>
      <c r="AA103" s="967">
        <v>8</v>
      </c>
      <c r="AH103" s="910"/>
      <c r="AI103" s="862"/>
      <c r="AJ103" s="302"/>
      <c r="AK103" s="910"/>
      <c r="AL103" s="911"/>
      <c r="AM103" s="911"/>
      <c r="AN103" s="911"/>
      <c r="AO103" s="911"/>
      <c r="AP103" s="912"/>
      <c r="AQ103" s="911"/>
      <c r="AR103" s="911"/>
      <c r="AS103" s="911"/>
      <c r="AT103" s="26"/>
      <c r="AU103" s="26"/>
      <c r="AV103" s="26"/>
    </row>
    <row r="104" spans="4:48" s="25" customFormat="1" ht="16.5" customHeight="1">
      <c r="D104" s="295"/>
      <c r="E104" s="295"/>
      <c r="F104" s="295"/>
      <c r="G104" s="295"/>
      <c r="H104" s="295"/>
      <c r="L104" s="777">
        <v>5</v>
      </c>
      <c r="M104" s="778"/>
      <c r="N104" s="976">
        <v>50</v>
      </c>
      <c r="O104" s="1020">
        <v>47</v>
      </c>
      <c r="P104" s="847">
        <f>VLOOKUP(N104,etat!$A$9:$N$1004,2,FALSE)</f>
        <v>0</v>
      </c>
      <c r="Q104" s="797" t="str">
        <f>VLOOKUP(N104,etat!$A$9:$N$963,7,FALSE)</f>
        <v>3ت ا ق2</v>
      </c>
      <c r="R104" s="866" t="str">
        <f>VLOOKUP(N104,etat!$A$9:$N$1003,9,FALSE)</f>
        <v>خ</v>
      </c>
      <c r="S104" s="866" t="str">
        <f>VLOOKUP(N104,etat!$A$9:$P$905,16,FALSE)</f>
        <v>اخ3</v>
      </c>
      <c r="T104" s="755">
        <v>45775</v>
      </c>
      <c r="U104" s="791">
        <v>8</v>
      </c>
      <c r="V104" s="784" t="s">
        <v>2282</v>
      </c>
      <c r="W104" s="869"/>
      <c r="X104" s="869"/>
      <c r="Y104" s="975"/>
      <c r="Z104" s="975"/>
      <c r="AA104" s="967">
        <v>8</v>
      </c>
      <c r="AH104" s="910"/>
      <c r="AI104" s="862"/>
      <c r="AJ104" s="302"/>
      <c r="AK104" s="910"/>
      <c r="AL104" s="911"/>
      <c r="AM104" s="911"/>
      <c r="AN104" s="911"/>
      <c r="AO104" s="911"/>
      <c r="AP104" s="912"/>
      <c r="AQ104" s="911"/>
      <c r="AR104" s="911"/>
      <c r="AS104" s="911"/>
      <c r="AT104" s="26"/>
      <c r="AU104" s="26"/>
      <c r="AV104" s="26"/>
    </row>
    <row r="105" spans="4:48" s="25" customFormat="1" ht="16.5" customHeight="1">
      <c r="D105" s="295"/>
      <c r="E105" s="295"/>
      <c r="F105" s="295"/>
      <c r="G105" s="295"/>
      <c r="H105" s="295"/>
      <c r="L105" s="777">
        <v>5</v>
      </c>
      <c r="M105" s="778"/>
      <c r="N105" s="976">
        <v>51</v>
      </c>
      <c r="O105" s="1020">
        <v>48</v>
      </c>
      <c r="P105" s="847">
        <f>VLOOKUP(N105,etat!$A$9:$N$1004,2,FALSE)</f>
        <v>0</v>
      </c>
      <c r="Q105" s="797" t="str">
        <f>VLOOKUP(N105,etat!$A$9:$N$963,7,FALSE)</f>
        <v>3ت ا ق2</v>
      </c>
      <c r="R105" s="797" t="str">
        <f>VLOOKUP(N105,etat!$A$9:$N$1003,9,FALSE)</f>
        <v>خ</v>
      </c>
      <c r="S105" s="866" t="str">
        <f>VLOOKUP(N105,etat!$A$9:$P$905,16,FALSE)</f>
        <v>ذخ3</v>
      </c>
      <c r="T105" s="755">
        <v>45782</v>
      </c>
      <c r="U105" s="791">
        <v>1</v>
      </c>
      <c r="V105" s="784"/>
      <c r="W105" s="784"/>
      <c r="X105" s="784"/>
      <c r="Y105" s="1117"/>
      <c r="Z105" s="967"/>
      <c r="AA105" s="967">
        <v>4</v>
      </c>
      <c r="AH105" s="910"/>
      <c r="AI105" s="862"/>
      <c r="AJ105" s="302"/>
      <c r="AK105" s="910"/>
      <c r="AL105" s="911"/>
      <c r="AM105" s="911"/>
      <c r="AN105" s="911"/>
      <c r="AO105" s="911"/>
      <c r="AP105" s="912"/>
      <c r="AQ105" s="911"/>
      <c r="AR105" s="911"/>
      <c r="AS105" s="911"/>
      <c r="AT105" s="26"/>
      <c r="AU105" s="26"/>
      <c r="AV105" s="26"/>
    </row>
    <row r="106" spans="4:48" s="25" customFormat="1" ht="16.5" customHeight="1">
      <c r="D106" s="295"/>
      <c r="E106" s="295"/>
      <c r="F106" s="295"/>
      <c r="G106" s="295"/>
      <c r="H106" s="295"/>
      <c r="L106" s="777">
        <v>5</v>
      </c>
      <c r="M106" s="778"/>
      <c r="N106" s="976">
        <v>52</v>
      </c>
      <c r="O106" s="1020">
        <v>49</v>
      </c>
      <c r="P106" s="847">
        <f>VLOOKUP(N106,etat!$A$9:$N$1004,2,FALSE)</f>
        <v>0</v>
      </c>
      <c r="Q106" s="797" t="str">
        <f>VLOOKUP(N106,etat!$A$9:$N$963,7,FALSE)</f>
        <v>3ت ا ق2</v>
      </c>
      <c r="R106" s="797" t="str">
        <f>VLOOKUP(N106,etat!$A$9:$N$1003,9,FALSE)</f>
        <v>خ</v>
      </c>
      <c r="S106" s="866" t="str">
        <f>VLOOKUP(N106,etat!$A$9:$P$905,16,FALSE)</f>
        <v>ذخ3</v>
      </c>
      <c r="T106" s="755">
        <v>45782</v>
      </c>
      <c r="U106" s="791">
        <v>1</v>
      </c>
      <c r="V106" s="784"/>
      <c r="W106" s="784"/>
      <c r="X106" s="784"/>
      <c r="Y106" s="1117"/>
      <c r="Z106" s="967"/>
      <c r="AA106" s="967">
        <v>4</v>
      </c>
      <c r="AH106" s="910"/>
      <c r="AI106" s="862"/>
      <c r="AJ106" s="302"/>
      <c r="AK106" s="910"/>
      <c r="AL106" s="911"/>
      <c r="AM106" s="911"/>
      <c r="AN106" s="911"/>
      <c r="AO106" s="911"/>
      <c r="AP106" s="912"/>
      <c r="AQ106" s="911"/>
      <c r="AR106" s="911"/>
      <c r="AS106" s="911"/>
      <c r="AT106" s="26"/>
      <c r="AU106" s="26"/>
      <c r="AV106" s="26"/>
    </row>
    <row r="107" spans="4:48" s="25" customFormat="1" ht="16.5" customHeight="1">
      <c r="D107" s="295"/>
      <c r="E107" s="295"/>
      <c r="F107" s="295"/>
      <c r="G107" s="295"/>
      <c r="H107" s="295"/>
      <c r="L107" s="777">
        <v>5</v>
      </c>
      <c r="M107" s="778"/>
      <c r="N107" s="976">
        <v>54</v>
      </c>
      <c r="O107" s="1020">
        <v>50</v>
      </c>
      <c r="P107" s="847">
        <f>VLOOKUP(N107,etat!$A$9:$N$1004,2,FALSE)</f>
        <v>0</v>
      </c>
      <c r="Q107" s="797" t="str">
        <f>VLOOKUP(N107,etat!$A$9:$N$963,7,FALSE)</f>
        <v>3ت ا ق2</v>
      </c>
      <c r="R107" s="797" t="str">
        <f>VLOOKUP(N107,etat!$A$9:$N$1003,9,FALSE)</f>
        <v>خ</v>
      </c>
      <c r="S107" s="866" t="str">
        <f>VLOOKUP(N107,etat!$A$9:$P$905,16,FALSE)</f>
        <v>ذخ3</v>
      </c>
      <c r="T107" s="755">
        <v>45782</v>
      </c>
      <c r="U107" s="791">
        <v>1</v>
      </c>
      <c r="V107" s="784"/>
      <c r="W107" s="784"/>
      <c r="X107" s="784"/>
      <c r="Y107" s="1117"/>
      <c r="Z107" s="967"/>
      <c r="AA107" s="967">
        <v>4</v>
      </c>
      <c r="AH107" s="910"/>
      <c r="AI107" s="862"/>
      <c r="AJ107" s="302"/>
      <c r="AK107" s="910"/>
      <c r="AL107" s="911"/>
      <c r="AM107" s="911"/>
      <c r="AN107" s="911"/>
      <c r="AO107" s="911"/>
      <c r="AP107" s="912"/>
      <c r="AQ107" s="911"/>
      <c r="AR107" s="911"/>
      <c r="AS107" s="911"/>
      <c r="AT107" s="26"/>
      <c r="AU107" s="26"/>
      <c r="AV107" s="26"/>
    </row>
    <row r="108" spans="4:48" s="25" customFormat="1" ht="16.5" customHeight="1">
      <c r="D108" s="295"/>
      <c r="E108" s="295"/>
      <c r="F108" s="295"/>
      <c r="G108" s="295"/>
      <c r="H108" s="295"/>
      <c r="L108" s="777">
        <v>5</v>
      </c>
      <c r="M108" s="778"/>
      <c r="N108" s="976">
        <v>56</v>
      </c>
      <c r="O108" s="1020">
        <v>51</v>
      </c>
      <c r="P108" s="847">
        <f>VLOOKUP(N108,etat!$A$9:$N$1004,2,FALSE)</f>
        <v>0</v>
      </c>
      <c r="Q108" s="797" t="str">
        <f>VLOOKUP(N108,etat!$A$9:$N$963,7,FALSE)</f>
        <v>3ت ا ق2</v>
      </c>
      <c r="R108" s="797" t="str">
        <f>VLOOKUP(N108,etat!$A$9:$N$1003,9,FALSE)</f>
        <v>خ</v>
      </c>
      <c r="S108" s="866" t="str">
        <f>VLOOKUP(N108,etat!$A$9:$P$905,16,FALSE)</f>
        <v>اخ3</v>
      </c>
      <c r="T108" s="755">
        <v>45771</v>
      </c>
      <c r="U108" s="791">
        <v>12</v>
      </c>
      <c r="V108" s="784" t="s">
        <v>2280</v>
      </c>
      <c r="W108" s="784" t="s">
        <v>2283</v>
      </c>
      <c r="X108" s="784"/>
      <c r="Y108" s="975"/>
      <c r="Z108" s="967"/>
      <c r="AA108" s="967">
        <v>8</v>
      </c>
      <c r="AH108" s="910"/>
      <c r="AI108" s="862"/>
      <c r="AJ108" s="302"/>
      <c r="AK108" s="910"/>
      <c r="AL108" s="911"/>
      <c r="AM108" s="911"/>
      <c r="AN108" s="911"/>
      <c r="AO108" s="911"/>
      <c r="AP108" s="912"/>
      <c r="AQ108" s="911"/>
      <c r="AR108" s="911"/>
      <c r="AS108" s="911"/>
      <c r="AT108" s="26"/>
      <c r="AU108" s="26"/>
      <c r="AV108" s="26"/>
    </row>
    <row r="109" spans="4:48" s="25" customFormat="1" ht="16.5" customHeight="1">
      <c r="D109" s="295"/>
      <c r="E109" s="295"/>
      <c r="F109" s="295"/>
      <c r="G109" s="295"/>
      <c r="H109" s="295"/>
      <c r="L109" s="777">
        <v>5</v>
      </c>
      <c r="M109" s="778"/>
      <c r="N109" s="976">
        <v>57</v>
      </c>
      <c r="O109" s="1020">
        <v>52</v>
      </c>
      <c r="P109" s="847">
        <f>VLOOKUP(N109,etat!$A$9:$N$1004,2,FALSE)</f>
        <v>0</v>
      </c>
      <c r="Q109" s="797" t="str">
        <f>VLOOKUP(N109,etat!$A$9:$N$963,7,FALSE)</f>
        <v>3ت ا ق2</v>
      </c>
      <c r="R109" s="797" t="str">
        <f>VLOOKUP(N109,etat!$A$9:$N$1003,9,FALSE)</f>
        <v>خ</v>
      </c>
      <c r="S109" s="866" t="str">
        <f>VLOOKUP(N109,etat!$A$9:$P$905,16,FALSE)</f>
        <v>ذخ3</v>
      </c>
      <c r="T109" s="755">
        <v>45781</v>
      </c>
      <c r="U109" s="791">
        <v>2</v>
      </c>
      <c r="V109" s="784"/>
      <c r="W109" s="784"/>
      <c r="X109" s="784"/>
      <c r="Y109" s="975"/>
      <c r="Z109" s="975"/>
      <c r="AA109" s="967">
        <v>8</v>
      </c>
      <c r="AH109" s="910"/>
      <c r="AI109" s="862"/>
      <c r="AJ109" s="302"/>
      <c r="AK109" s="910"/>
      <c r="AL109" s="911"/>
      <c r="AM109" s="911"/>
      <c r="AN109" s="911"/>
      <c r="AO109" s="911"/>
      <c r="AP109" s="912"/>
      <c r="AQ109" s="911"/>
      <c r="AR109" s="911"/>
      <c r="AS109" s="911"/>
      <c r="AT109" s="26"/>
      <c r="AU109" s="26"/>
      <c r="AV109" s="26"/>
    </row>
    <row r="110" spans="4:48" s="25" customFormat="1" ht="16.5" customHeight="1">
      <c r="D110" s="295"/>
      <c r="E110" s="295"/>
      <c r="F110" s="295"/>
      <c r="G110" s="295"/>
      <c r="H110" s="295"/>
      <c r="L110" s="777">
        <v>5</v>
      </c>
      <c r="M110" s="778"/>
      <c r="N110" s="976">
        <v>60</v>
      </c>
      <c r="O110" s="1020">
        <v>53</v>
      </c>
      <c r="P110" s="847">
        <f>VLOOKUP(N110,etat!$A$9:$N$1004,2,FALSE)</f>
        <v>0</v>
      </c>
      <c r="Q110" s="797" t="str">
        <f>VLOOKUP(N110,etat!$A$9:$N$963,7,FALSE)</f>
        <v>3ت ا ق2</v>
      </c>
      <c r="R110" s="797" t="str">
        <f>VLOOKUP(N110,etat!$A$9:$N$1003,9,FALSE)</f>
        <v>خ</v>
      </c>
      <c r="S110" s="866" t="str">
        <f>VLOOKUP(N110,etat!$A$9:$P$905,16,FALSE)</f>
        <v>ذخ3</v>
      </c>
      <c r="T110" s="755">
        <v>45762</v>
      </c>
      <c r="U110" s="791">
        <v>21</v>
      </c>
      <c r="V110" s="784" t="s">
        <v>2268</v>
      </c>
      <c r="W110" s="784" t="s">
        <v>2278</v>
      </c>
      <c r="X110" s="784" t="s">
        <v>2283</v>
      </c>
      <c r="Y110" s="975"/>
      <c r="Z110" s="975"/>
      <c r="AA110" s="967">
        <v>8</v>
      </c>
      <c r="AH110" s="910"/>
      <c r="AI110" s="862"/>
      <c r="AJ110" s="302"/>
      <c r="AK110" s="910"/>
      <c r="AL110" s="911"/>
      <c r="AM110" s="911"/>
      <c r="AN110" s="911"/>
      <c r="AO110" s="911"/>
      <c r="AP110" s="912"/>
      <c r="AQ110" s="911"/>
      <c r="AR110" s="911"/>
      <c r="AS110" s="911"/>
      <c r="AT110" s="26"/>
      <c r="AU110" s="26"/>
      <c r="AV110" s="26"/>
    </row>
    <row r="111" spans="4:48" s="25" customFormat="1" ht="16.5" customHeight="1">
      <c r="D111" s="295"/>
      <c r="E111" s="295"/>
      <c r="F111" s="295"/>
      <c r="G111" s="295"/>
      <c r="H111" s="295"/>
      <c r="L111" s="777">
        <v>5</v>
      </c>
      <c r="M111" s="778"/>
      <c r="N111" s="976">
        <v>61</v>
      </c>
      <c r="O111" s="1020">
        <v>54</v>
      </c>
      <c r="P111" s="847">
        <f>VLOOKUP(N111,etat!$A$9:$N$1004,2,FALSE)</f>
        <v>0</v>
      </c>
      <c r="Q111" s="797" t="str">
        <f>VLOOKUP(N111,etat!$A$9:$N$963,7,FALSE)</f>
        <v>3ت ا ق2</v>
      </c>
      <c r="R111" s="797" t="str">
        <f>VLOOKUP(N111,etat!$A$9:$N$1003,9,FALSE)</f>
        <v>خ</v>
      </c>
      <c r="S111" s="866" t="str">
        <f>VLOOKUP(N111,etat!$A$9:$P$905,16,FALSE)</f>
        <v>اخ3</v>
      </c>
      <c r="T111" s="755">
        <v>45774</v>
      </c>
      <c r="U111" s="791">
        <v>9</v>
      </c>
      <c r="V111" s="784" t="s">
        <v>2281</v>
      </c>
      <c r="W111" s="784"/>
      <c r="X111" s="784"/>
      <c r="Y111" s="1117"/>
      <c r="Z111" s="967"/>
      <c r="AA111" s="967">
        <v>8</v>
      </c>
      <c r="AH111" s="910"/>
      <c r="AI111" s="862"/>
      <c r="AJ111" s="302"/>
      <c r="AK111" s="910"/>
      <c r="AL111" s="911"/>
      <c r="AM111" s="911"/>
      <c r="AN111" s="911"/>
      <c r="AO111" s="911"/>
      <c r="AP111" s="912"/>
      <c r="AQ111" s="911"/>
      <c r="AR111" s="911"/>
      <c r="AS111" s="911"/>
      <c r="AT111" s="26"/>
      <c r="AU111" s="26"/>
      <c r="AV111" s="26"/>
    </row>
    <row r="112" spans="4:48" s="25" customFormat="1" ht="16.5" customHeight="1">
      <c r="D112" s="295"/>
      <c r="E112" s="295"/>
      <c r="F112" s="295"/>
      <c r="G112" s="295"/>
      <c r="H112" s="295"/>
      <c r="L112" s="777">
        <v>5</v>
      </c>
      <c r="M112" s="778"/>
      <c r="N112" s="976">
        <v>62</v>
      </c>
      <c r="O112" s="1020">
        <v>55</v>
      </c>
      <c r="P112" s="847">
        <f>VLOOKUP(N112,etat!$A$9:$N$1004,2,FALSE)</f>
        <v>0</v>
      </c>
      <c r="Q112" s="797" t="str">
        <f>VLOOKUP(N112,etat!$A$9:$N$963,7,FALSE)</f>
        <v>3ت ا ق2</v>
      </c>
      <c r="R112" s="797" t="str">
        <f>VLOOKUP(N112,etat!$A$9:$N$1003,9,FALSE)</f>
        <v>خ</v>
      </c>
      <c r="S112" s="866" t="str">
        <f>VLOOKUP(N112,etat!$A$9:$P$905,16,FALSE)</f>
        <v>ذخ3</v>
      </c>
      <c r="T112" s="755">
        <v>45769</v>
      </c>
      <c r="U112" s="791">
        <v>14</v>
      </c>
      <c r="V112" s="784" t="s">
        <v>2278</v>
      </c>
      <c r="W112" s="784" t="s">
        <v>2283</v>
      </c>
      <c r="X112" s="784"/>
      <c r="Y112" s="975"/>
      <c r="Z112" s="975" t="str">
        <f>VLOOKUP(L112,[2]اس!$S$3:$X$31,3,FALSE)</f>
        <v>.</v>
      </c>
      <c r="AA112" s="967">
        <v>8</v>
      </c>
      <c r="AH112" s="910"/>
      <c r="AI112" s="862"/>
      <c r="AJ112" s="302"/>
      <c r="AK112" s="910"/>
      <c r="AL112" s="911"/>
      <c r="AM112" s="911"/>
      <c r="AN112" s="911"/>
      <c r="AO112" s="911"/>
      <c r="AP112" s="912"/>
      <c r="AQ112" s="911"/>
      <c r="AR112" s="911"/>
      <c r="AS112" s="911"/>
      <c r="AT112" s="26"/>
      <c r="AU112" s="26"/>
      <c r="AV112" s="26"/>
    </row>
    <row r="113" spans="4:48" s="25" customFormat="1" ht="16.5" customHeight="1">
      <c r="D113" s="295"/>
      <c r="E113" s="295"/>
      <c r="F113" s="295"/>
      <c r="G113" s="295"/>
      <c r="H113" s="295"/>
      <c r="L113" s="777">
        <v>5</v>
      </c>
      <c r="M113" s="864"/>
      <c r="N113" s="976">
        <v>63</v>
      </c>
      <c r="O113" s="1020">
        <v>56</v>
      </c>
      <c r="P113" s="847">
        <f>VLOOKUP(N113,etat!$A$9:$N$1004,2,FALSE)</f>
        <v>0</v>
      </c>
      <c r="Q113" s="797" t="str">
        <f>VLOOKUP(N113,etat!$A$9:$N$963,7,FALSE)</f>
        <v>3ت ا ق2</v>
      </c>
      <c r="R113" s="797" t="str">
        <f>VLOOKUP(N113,etat!$A$9:$N$1003,9,FALSE)</f>
        <v>خ</v>
      </c>
      <c r="S113" s="866" t="str">
        <f>VLOOKUP(N113,etat!$A$9:$P$905,16,FALSE)</f>
        <v>اخ3</v>
      </c>
      <c r="T113" s="755">
        <v>45763</v>
      </c>
      <c r="U113" s="791">
        <v>20</v>
      </c>
      <c r="V113" s="784" t="s">
        <v>2269</v>
      </c>
      <c r="W113" s="784" t="s">
        <v>2280</v>
      </c>
      <c r="X113" s="784" t="s">
        <v>2283</v>
      </c>
      <c r="Y113" s="975"/>
      <c r="Z113" s="975" t="str">
        <f>VLOOKUP(L113,[2]اس!$S$3:$X$31,3,FALSE)</f>
        <v>.</v>
      </c>
      <c r="AA113" s="967">
        <v>8</v>
      </c>
      <c r="AH113" s="910"/>
      <c r="AI113" s="862"/>
      <c r="AJ113" s="302"/>
      <c r="AK113" s="910"/>
      <c r="AL113" s="911"/>
      <c r="AM113" s="911"/>
      <c r="AN113" s="911"/>
      <c r="AO113" s="911"/>
      <c r="AP113" s="912"/>
      <c r="AQ113" s="911"/>
      <c r="AR113" s="911"/>
      <c r="AS113" s="911"/>
      <c r="AT113" s="26"/>
      <c r="AU113" s="26"/>
      <c r="AV113" s="26"/>
    </row>
    <row r="114" spans="4:48" s="25" customFormat="1" ht="16.5" customHeight="1">
      <c r="D114" s="295"/>
      <c r="E114" s="295"/>
      <c r="F114" s="295"/>
      <c r="G114" s="295"/>
      <c r="H114" s="295"/>
      <c r="L114" s="777">
        <v>5</v>
      </c>
      <c r="M114" s="778"/>
      <c r="N114" s="976">
        <v>64</v>
      </c>
      <c r="O114" s="1020">
        <v>57</v>
      </c>
      <c r="P114" s="847">
        <f>VLOOKUP(N114,etat!$A$9:$N$1004,2,FALSE)</f>
        <v>0</v>
      </c>
      <c r="Q114" s="797" t="str">
        <f>VLOOKUP(N114,etat!$A$9:$N$963,7,FALSE)</f>
        <v>3ت ا ق2</v>
      </c>
      <c r="R114" s="797" t="str">
        <f>VLOOKUP(N114,etat!$A$9:$N$1003,9,FALSE)</f>
        <v>خ</v>
      </c>
      <c r="S114" s="866" t="str">
        <f>VLOOKUP(N114,etat!$A$9:$P$905,16,FALSE)</f>
        <v>اخ3</v>
      </c>
      <c r="T114" s="755">
        <v>45776</v>
      </c>
      <c r="U114" s="791">
        <v>7</v>
      </c>
      <c r="V114" s="784" t="s">
        <v>2283</v>
      </c>
      <c r="W114" s="784"/>
      <c r="X114" s="784"/>
      <c r="Y114" s="975"/>
      <c r="Z114" s="975"/>
      <c r="AA114" s="967">
        <v>8</v>
      </c>
      <c r="AH114" s="910"/>
      <c r="AI114" s="862"/>
      <c r="AJ114" s="302"/>
      <c r="AK114" s="910"/>
      <c r="AL114" s="911"/>
      <c r="AM114" s="911"/>
      <c r="AN114" s="911"/>
      <c r="AO114" s="911"/>
      <c r="AP114" s="912"/>
      <c r="AQ114" s="911"/>
      <c r="AR114" s="911"/>
      <c r="AS114" s="911"/>
      <c r="AT114" s="26"/>
      <c r="AU114" s="26"/>
      <c r="AV114" s="26"/>
    </row>
    <row r="115" spans="4:48" s="25" customFormat="1" ht="16.5" customHeight="1">
      <c r="D115" s="295"/>
      <c r="E115" s="295"/>
      <c r="F115" s="295"/>
      <c r="G115" s="295"/>
      <c r="H115" s="295"/>
      <c r="L115" s="777">
        <v>5</v>
      </c>
      <c r="M115" s="778"/>
      <c r="N115" s="976">
        <v>65</v>
      </c>
      <c r="O115" s="1020">
        <v>58</v>
      </c>
      <c r="P115" s="847">
        <f>VLOOKUP(N115,etat!$A$9:$N$1004,2,FALSE)</f>
        <v>0</v>
      </c>
      <c r="Q115" s="797" t="str">
        <f>VLOOKUP(N115,etat!$A$9:$N$963,7,FALSE)</f>
        <v>3ت ا ق2</v>
      </c>
      <c r="R115" s="797" t="str">
        <f>VLOOKUP(N115,etat!$A$9:$N$1003,9,FALSE)</f>
        <v>خ</v>
      </c>
      <c r="S115" s="866" t="str">
        <f>VLOOKUP(N115,etat!$A$9:$P$905,16,FALSE)</f>
        <v>اخ3</v>
      </c>
      <c r="T115" s="755">
        <v>45776</v>
      </c>
      <c r="U115" s="791">
        <v>7</v>
      </c>
      <c r="V115" s="784" t="s">
        <v>2283</v>
      </c>
      <c r="W115" s="784"/>
      <c r="X115" s="784"/>
      <c r="Y115" s="975"/>
      <c r="Z115" s="975"/>
      <c r="AA115" s="967">
        <v>8</v>
      </c>
      <c r="AH115" s="910"/>
      <c r="AI115" s="862"/>
      <c r="AJ115" s="302"/>
      <c r="AK115" s="910"/>
      <c r="AL115" s="911"/>
      <c r="AM115" s="911"/>
      <c r="AN115" s="911"/>
      <c r="AO115" s="911"/>
      <c r="AP115" s="912"/>
      <c r="AQ115" s="911"/>
      <c r="AR115" s="911"/>
      <c r="AS115" s="911"/>
      <c r="AT115" s="26"/>
      <c r="AU115" s="26"/>
      <c r="AV115" s="26"/>
    </row>
    <row r="116" spans="4:48" s="25" customFormat="1" ht="16.5" customHeight="1">
      <c r="D116" s="295"/>
      <c r="E116" s="295"/>
      <c r="F116" s="295"/>
      <c r="G116" s="295"/>
      <c r="H116" s="295"/>
      <c r="L116" s="777">
        <v>5</v>
      </c>
      <c r="M116" s="778"/>
      <c r="N116" s="976">
        <v>66</v>
      </c>
      <c r="O116" s="1020">
        <v>59</v>
      </c>
      <c r="P116" s="847">
        <f>VLOOKUP(N116,etat!$A$9:$N$1004,2,FALSE)</f>
        <v>0</v>
      </c>
      <c r="Q116" s="797" t="str">
        <f>VLOOKUP(N116,etat!$A$9:$N$963,7,FALSE)</f>
        <v>3ت ا ق2</v>
      </c>
      <c r="R116" s="797" t="str">
        <f>VLOOKUP(N116,etat!$A$9:$N$1003,9,FALSE)</f>
        <v>خ</v>
      </c>
      <c r="S116" s="866" t="str">
        <f>VLOOKUP(N116,etat!$A$9:$P$905,16,FALSE)</f>
        <v>ذخ3</v>
      </c>
      <c r="T116" s="755">
        <v>45782</v>
      </c>
      <c r="U116" s="791">
        <v>1</v>
      </c>
      <c r="V116" s="784"/>
      <c r="W116" s="784"/>
      <c r="X116" s="784"/>
      <c r="Y116" s="1117"/>
      <c r="Z116" s="967"/>
      <c r="AA116" s="967">
        <v>4</v>
      </c>
      <c r="AH116" s="910"/>
      <c r="AI116" s="862"/>
      <c r="AJ116" s="302"/>
      <c r="AK116" s="910"/>
      <c r="AL116" s="911"/>
      <c r="AM116" s="911"/>
      <c r="AN116" s="911"/>
      <c r="AO116" s="911"/>
      <c r="AP116" s="912"/>
      <c r="AQ116" s="911"/>
      <c r="AR116" s="911"/>
      <c r="AS116" s="911"/>
      <c r="AT116" s="26"/>
      <c r="AU116" s="26"/>
      <c r="AV116" s="26"/>
    </row>
    <row r="117" spans="4:48" s="25" customFormat="1" ht="16.5" customHeight="1">
      <c r="D117" s="295"/>
      <c r="E117" s="295"/>
      <c r="F117" s="295"/>
      <c r="G117" s="295"/>
      <c r="H117" s="295"/>
      <c r="L117" s="777">
        <v>5</v>
      </c>
      <c r="M117" s="778"/>
      <c r="N117" s="976">
        <v>67</v>
      </c>
      <c r="O117" s="1020">
        <v>60</v>
      </c>
      <c r="P117" s="847">
        <f>VLOOKUP(N117,etat!$A$9:$N$1004,2,FALSE)</f>
        <v>0</v>
      </c>
      <c r="Q117" s="797" t="str">
        <f>VLOOKUP(N117,etat!$A$9:$N$963,7,FALSE)</f>
        <v>3ت ا ق2</v>
      </c>
      <c r="R117" s="797" t="str">
        <f>VLOOKUP(N117,etat!$A$9:$N$1003,9,FALSE)</f>
        <v>خ</v>
      </c>
      <c r="S117" s="866" t="str">
        <f>VLOOKUP(N117,etat!$A$9:$P$905,16,FALSE)</f>
        <v>اخ3</v>
      </c>
      <c r="T117" s="755">
        <v>45781</v>
      </c>
      <c r="U117" s="791">
        <v>2</v>
      </c>
      <c r="V117" s="784"/>
      <c r="W117" s="784"/>
      <c r="X117" s="784"/>
      <c r="Y117" s="1118"/>
      <c r="Z117" s="975" t="str">
        <f>VLOOKUP(L117,[2]اس!$S$3:$X$31,3,FALSE)</f>
        <v>.</v>
      </c>
      <c r="AA117" s="967">
        <v>8</v>
      </c>
      <c r="AH117" s="910"/>
      <c r="AI117" s="862"/>
      <c r="AJ117" s="302"/>
      <c r="AK117" s="910"/>
      <c r="AL117" s="911"/>
      <c r="AM117" s="911"/>
      <c r="AN117" s="911"/>
      <c r="AO117" s="911"/>
      <c r="AP117" s="912"/>
      <c r="AQ117" s="911"/>
      <c r="AR117" s="911"/>
      <c r="AS117" s="911"/>
      <c r="AT117" s="26"/>
      <c r="AU117" s="26"/>
      <c r="AV117" s="26"/>
    </row>
    <row r="118" spans="4:48" s="25" customFormat="1" ht="16.5" customHeight="1">
      <c r="D118" s="295"/>
      <c r="E118" s="295"/>
      <c r="F118" s="295"/>
      <c r="G118" s="295"/>
      <c r="H118" s="295"/>
      <c r="L118" s="777">
        <v>5</v>
      </c>
      <c r="M118" s="778"/>
      <c r="N118" s="976">
        <v>68</v>
      </c>
      <c r="O118" s="1020">
        <v>61</v>
      </c>
      <c r="P118" s="847">
        <f>VLOOKUP(N118,etat!$A$9:$N$1004,2,FALSE)</f>
        <v>0</v>
      </c>
      <c r="Q118" s="797" t="str">
        <f>VLOOKUP(N118,etat!$A$9:$N$963,7,FALSE)</f>
        <v>3ت ا ق2</v>
      </c>
      <c r="R118" s="797" t="str">
        <f>VLOOKUP(N118,etat!$A$9:$N$1003,9,FALSE)</f>
        <v>خ</v>
      </c>
      <c r="S118" s="866" t="str">
        <f>VLOOKUP(N118,etat!$A$9:$P$905,16,FALSE)</f>
        <v>اخ3</v>
      </c>
      <c r="T118" s="755">
        <v>45782</v>
      </c>
      <c r="U118" s="791">
        <v>1</v>
      </c>
      <c r="V118" s="784"/>
      <c r="W118" s="784"/>
      <c r="X118" s="784"/>
      <c r="Y118" s="1134"/>
      <c r="Z118" s="967"/>
      <c r="AA118" s="967">
        <v>4</v>
      </c>
      <c r="AH118" s="910"/>
      <c r="AI118" s="862"/>
      <c r="AJ118" s="302"/>
      <c r="AK118" s="910"/>
      <c r="AL118" s="911"/>
      <c r="AM118" s="911"/>
      <c r="AN118" s="911"/>
      <c r="AO118" s="911"/>
      <c r="AP118" s="912"/>
      <c r="AQ118" s="911"/>
      <c r="AR118" s="911"/>
      <c r="AS118" s="911"/>
      <c r="AT118" s="26"/>
      <c r="AU118" s="26"/>
      <c r="AV118" s="26"/>
    </row>
    <row r="119" spans="4:48" s="25" customFormat="1" ht="16.5" customHeight="1">
      <c r="D119" s="295"/>
      <c r="E119" s="295"/>
      <c r="F119" s="295"/>
      <c r="G119" s="295"/>
      <c r="H119" s="295"/>
      <c r="L119" s="777">
        <v>5</v>
      </c>
      <c r="M119" s="778"/>
      <c r="N119" s="976">
        <v>69</v>
      </c>
      <c r="O119" s="1020">
        <v>62</v>
      </c>
      <c r="P119" s="847">
        <f>VLOOKUP(N119,etat!$A$9:$N$1004,2,FALSE)</f>
        <v>0</v>
      </c>
      <c r="Q119" s="797" t="str">
        <f>VLOOKUP(N119,etat!$A$9:$N$963,7,FALSE)</f>
        <v>3ع ت1</v>
      </c>
      <c r="R119" s="797" t="str">
        <f>VLOOKUP(N119,etat!$A$9:$N$1003,9,FALSE)</f>
        <v>ن/د</v>
      </c>
      <c r="S119" s="866" t="str">
        <f>VLOOKUP(N119,etat!$A$9:$P$905,16,FALSE)</f>
        <v>ذخ3</v>
      </c>
      <c r="T119" s="755">
        <v>45768</v>
      </c>
      <c r="U119" s="791">
        <v>15</v>
      </c>
      <c r="V119" s="784" t="s">
        <v>2275</v>
      </c>
      <c r="W119" s="784" t="s">
        <v>2283</v>
      </c>
      <c r="X119" s="784"/>
      <c r="Y119" s="975"/>
      <c r="Z119" s="975" t="str">
        <f>VLOOKUP(L119,[2]اس!$S$3:$X$31,3,FALSE)</f>
        <v>.</v>
      </c>
      <c r="AA119" s="967">
        <v>8</v>
      </c>
      <c r="AH119" s="910"/>
      <c r="AI119" s="862"/>
      <c r="AJ119" s="302"/>
      <c r="AK119" s="910"/>
      <c r="AL119" s="911"/>
      <c r="AM119" s="911"/>
      <c r="AN119" s="911"/>
      <c r="AO119" s="911"/>
      <c r="AP119" s="912"/>
      <c r="AQ119" s="911"/>
      <c r="AR119" s="911"/>
      <c r="AS119" s="911"/>
      <c r="AT119" s="26"/>
      <c r="AU119" s="26"/>
      <c r="AV119" s="26"/>
    </row>
    <row r="120" spans="4:48" s="25" customFormat="1" ht="16.5" customHeight="1">
      <c r="D120" s="295"/>
      <c r="E120" s="295"/>
      <c r="F120" s="295"/>
      <c r="G120" s="295"/>
      <c r="H120" s="295"/>
      <c r="L120" s="777">
        <v>5</v>
      </c>
      <c r="M120" s="778"/>
      <c r="N120" s="976">
        <v>70</v>
      </c>
      <c r="O120" s="1020">
        <v>63</v>
      </c>
      <c r="P120" s="847">
        <f>VLOOKUP(N120,etat!$A$9:$N$1004,2,FALSE)</f>
        <v>0</v>
      </c>
      <c r="Q120" s="797" t="str">
        <f>VLOOKUP(N120,etat!$A$9:$N$963,7,FALSE)</f>
        <v>3ع ت1</v>
      </c>
      <c r="R120" s="797" t="str">
        <f>VLOOKUP(N120,etat!$A$9:$N$1003,9,FALSE)</f>
        <v>ن/د</v>
      </c>
      <c r="S120" s="866" t="str">
        <f>VLOOKUP(N120,etat!$A$9:$P$905,16,FALSE)</f>
        <v>ذخ3</v>
      </c>
      <c r="T120" s="755">
        <v>45781</v>
      </c>
      <c r="U120" s="791">
        <v>2</v>
      </c>
      <c r="V120" s="784"/>
      <c r="W120" s="784"/>
      <c r="X120" s="784"/>
      <c r="Y120" s="1116"/>
      <c r="Z120" s="975"/>
      <c r="AA120" s="967">
        <v>8</v>
      </c>
      <c r="AH120" s="910"/>
      <c r="AI120" s="862"/>
      <c r="AJ120" s="302"/>
      <c r="AK120" s="910"/>
      <c r="AL120" s="911"/>
      <c r="AM120" s="911"/>
      <c r="AN120" s="911"/>
      <c r="AO120" s="911"/>
      <c r="AP120" s="912"/>
      <c r="AQ120" s="911"/>
      <c r="AR120" s="911"/>
      <c r="AS120" s="911"/>
      <c r="AT120" s="26"/>
      <c r="AU120" s="26"/>
      <c r="AV120" s="26"/>
    </row>
    <row r="121" spans="4:48" s="25" customFormat="1" ht="16.5" customHeight="1">
      <c r="D121" s="295"/>
      <c r="E121" s="295"/>
      <c r="F121" s="295"/>
      <c r="G121" s="295"/>
      <c r="H121" s="295"/>
      <c r="L121" s="777">
        <v>5</v>
      </c>
      <c r="M121" s="778"/>
      <c r="N121" s="976">
        <v>72</v>
      </c>
      <c r="O121" s="1020">
        <v>64</v>
      </c>
      <c r="P121" s="847">
        <f>VLOOKUP(N121,etat!$A$9:$N$1004,2,FALSE)</f>
        <v>0</v>
      </c>
      <c r="Q121" s="797" t="str">
        <f>VLOOKUP(N121,etat!$A$9:$N$963,7,FALSE)</f>
        <v>3ع ت1</v>
      </c>
      <c r="R121" s="797" t="str">
        <f>VLOOKUP(N121,etat!$A$9:$N$1003,9,FALSE)</f>
        <v>ن/د</v>
      </c>
      <c r="S121" s="866" t="str">
        <f>VLOOKUP(N121,etat!$A$9:$P$905,16,FALSE)</f>
        <v>ان/د3</v>
      </c>
      <c r="T121" s="755">
        <v>45769</v>
      </c>
      <c r="U121" s="791">
        <v>14</v>
      </c>
      <c r="V121" s="784" t="s">
        <v>2278</v>
      </c>
      <c r="W121" s="784" t="s">
        <v>2283</v>
      </c>
      <c r="X121" s="784"/>
      <c r="Y121" s="1116"/>
      <c r="Z121" s="975" t="str">
        <f>VLOOKUP(L121,[2]اس!$S$3:$X$31,3,FALSE)</f>
        <v>.</v>
      </c>
      <c r="AA121" s="967">
        <v>8</v>
      </c>
      <c r="AH121" s="910"/>
      <c r="AI121" s="862"/>
      <c r="AJ121" s="302"/>
      <c r="AK121" s="910"/>
      <c r="AL121" s="911"/>
      <c r="AM121" s="911"/>
      <c r="AN121" s="911"/>
      <c r="AO121" s="911"/>
      <c r="AP121" s="912"/>
      <c r="AQ121" s="911"/>
      <c r="AR121" s="911"/>
      <c r="AS121" s="911"/>
      <c r="AT121" s="26"/>
      <c r="AU121" s="26"/>
      <c r="AV121" s="26"/>
    </row>
    <row r="122" spans="4:48" s="25" customFormat="1" ht="16.5" customHeight="1">
      <c r="D122" s="295"/>
      <c r="E122" s="295"/>
      <c r="F122" s="295"/>
      <c r="G122" s="295"/>
      <c r="H122" s="295"/>
      <c r="L122" s="777">
        <v>5</v>
      </c>
      <c r="M122" s="778"/>
      <c r="N122" s="976">
        <v>73</v>
      </c>
      <c r="O122" s="1020">
        <v>65</v>
      </c>
      <c r="P122" s="847">
        <f>VLOOKUP(N122,etat!$A$9:$N$1004,2,FALSE)</f>
        <v>0</v>
      </c>
      <c r="Q122" s="797" t="str">
        <f>VLOOKUP(N122,etat!$A$9:$N$963,7,FALSE)</f>
        <v>3ع ت1</v>
      </c>
      <c r="R122" s="797" t="str">
        <f>VLOOKUP(N122,etat!$A$9:$N$1003,9,FALSE)</f>
        <v>ن/د</v>
      </c>
      <c r="S122" s="866" t="str">
        <f>VLOOKUP(N122,etat!$A$9:$P$905,16,FALSE)</f>
        <v>ان/د3</v>
      </c>
      <c r="T122" s="755">
        <v>45769</v>
      </c>
      <c r="U122" s="791">
        <v>14</v>
      </c>
      <c r="V122" s="784" t="s">
        <v>2278</v>
      </c>
      <c r="W122" s="784" t="s">
        <v>2283</v>
      </c>
      <c r="X122" s="784"/>
      <c r="Y122" s="975"/>
      <c r="Z122" s="975" t="str">
        <f>VLOOKUP(L122,[2]اس!$S$3:$X$31,3,FALSE)</f>
        <v>.</v>
      </c>
      <c r="AA122" s="967">
        <v>8</v>
      </c>
      <c r="AH122" s="910"/>
      <c r="AI122" s="862"/>
      <c r="AJ122" s="302"/>
      <c r="AK122" s="910"/>
      <c r="AL122" s="911"/>
      <c r="AM122" s="911"/>
      <c r="AN122" s="911"/>
      <c r="AO122" s="911"/>
      <c r="AP122" s="912"/>
      <c r="AQ122" s="911"/>
      <c r="AR122" s="911"/>
      <c r="AS122" s="911"/>
      <c r="AT122" s="26"/>
      <c r="AU122" s="26"/>
      <c r="AV122" s="26"/>
    </row>
    <row r="123" spans="4:48" s="25" customFormat="1" ht="16.5" customHeight="1">
      <c r="D123" s="295"/>
      <c r="E123" s="295"/>
      <c r="F123" s="295"/>
      <c r="G123" s="295"/>
      <c r="H123" s="295"/>
      <c r="L123" s="777">
        <v>5</v>
      </c>
      <c r="M123" s="778"/>
      <c r="N123" s="976">
        <v>74</v>
      </c>
      <c r="O123" s="1020">
        <v>66</v>
      </c>
      <c r="P123" s="847">
        <f>VLOOKUP(N123,etat!$A$9:$N$1004,2,FALSE)</f>
        <v>0</v>
      </c>
      <c r="Q123" s="797" t="str">
        <f>VLOOKUP(N123,etat!$A$9:$N$963,7,FALSE)</f>
        <v>3ع ت1</v>
      </c>
      <c r="R123" s="797" t="str">
        <f>VLOOKUP(N123,etat!$A$9:$N$1003,9,FALSE)</f>
        <v>خ</v>
      </c>
      <c r="S123" s="866" t="str">
        <f>VLOOKUP(N123,etat!$A$9:$P$905,16,FALSE)</f>
        <v>ان/د3</v>
      </c>
      <c r="T123" s="755">
        <v>45782</v>
      </c>
      <c r="U123" s="791">
        <v>1</v>
      </c>
      <c r="V123" s="784"/>
      <c r="W123" s="784"/>
      <c r="X123" s="784"/>
      <c r="Y123" s="1117"/>
      <c r="Z123" s="967"/>
      <c r="AA123" s="967">
        <v>4</v>
      </c>
      <c r="AH123" s="910"/>
      <c r="AI123" s="862"/>
      <c r="AJ123" s="302"/>
      <c r="AK123" s="910"/>
      <c r="AL123" s="911"/>
      <c r="AM123" s="911"/>
      <c r="AN123" s="911"/>
      <c r="AO123" s="911"/>
      <c r="AP123" s="912"/>
      <c r="AQ123" s="911"/>
      <c r="AR123" s="911"/>
      <c r="AS123" s="911"/>
      <c r="AT123" s="26"/>
      <c r="AU123" s="26"/>
      <c r="AV123" s="26"/>
    </row>
    <row r="124" spans="4:48" s="25" customFormat="1" ht="16.5" customHeight="1">
      <c r="D124" s="295"/>
      <c r="E124" s="295"/>
      <c r="F124" s="295"/>
      <c r="G124" s="295"/>
      <c r="H124" s="295"/>
      <c r="L124" s="777">
        <v>5</v>
      </c>
      <c r="M124" s="778"/>
      <c r="N124" s="976">
        <v>75</v>
      </c>
      <c r="O124" s="1020">
        <v>67</v>
      </c>
      <c r="P124" s="847">
        <f>VLOOKUP(N124,etat!$A$9:$N$1004,2,FALSE)</f>
        <v>0</v>
      </c>
      <c r="Q124" s="797" t="str">
        <f>VLOOKUP(N124,etat!$A$9:$N$963,7,FALSE)</f>
        <v>3ع ت1</v>
      </c>
      <c r="R124" s="797" t="str">
        <f>VLOOKUP(N124,etat!$A$9:$N$1003,9,FALSE)</f>
        <v>خ</v>
      </c>
      <c r="S124" s="866" t="str">
        <f>VLOOKUP(N124,etat!$A$9:$P$905,16,FALSE)</f>
        <v>اخ3</v>
      </c>
      <c r="T124" s="755">
        <v>45769</v>
      </c>
      <c r="U124" s="791">
        <v>14</v>
      </c>
      <c r="V124" s="784" t="s">
        <v>2278</v>
      </c>
      <c r="W124" s="784" t="s">
        <v>2283</v>
      </c>
      <c r="X124" s="784"/>
      <c r="Y124" s="975"/>
      <c r="Z124" s="975" t="str">
        <f>VLOOKUP(L124,[2]اس!$S$3:$X$31,3,FALSE)</f>
        <v>.</v>
      </c>
      <c r="AA124" s="967">
        <v>8</v>
      </c>
      <c r="AH124" s="910"/>
      <c r="AI124" s="862"/>
      <c r="AJ124" s="302"/>
      <c r="AK124" s="910"/>
      <c r="AL124" s="911"/>
      <c r="AM124" s="911"/>
      <c r="AN124" s="911"/>
      <c r="AO124" s="911"/>
      <c r="AP124" s="912"/>
      <c r="AQ124" s="911"/>
      <c r="AR124" s="911"/>
      <c r="AS124" s="911"/>
      <c r="AT124" s="26"/>
      <c r="AU124" s="26"/>
      <c r="AV124" s="26"/>
    </row>
    <row r="125" spans="4:48" s="25" customFormat="1" ht="16.5" customHeight="1">
      <c r="D125" s="295"/>
      <c r="E125" s="295"/>
      <c r="F125" s="295"/>
      <c r="G125" s="295"/>
      <c r="H125" s="295"/>
      <c r="L125" s="777">
        <v>5</v>
      </c>
      <c r="M125" s="778"/>
      <c r="N125" s="976">
        <v>77</v>
      </c>
      <c r="O125" s="1020">
        <v>68</v>
      </c>
      <c r="P125" s="847">
        <f>VLOOKUP(N125,etat!$A$9:$N$1004,2,FALSE)</f>
        <v>0</v>
      </c>
      <c r="Q125" s="797" t="str">
        <f>VLOOKUP(N125,etat!$A$9:$N$963,7,FALSE)</f>
        <v>3ع ت1</v>
      </c>
      <c r="R125" s="797" t="str">
        <f>VLOOKUP(N125,etat!$A$9:$N$1003,9,FALSE)</f>
        <v>خ</v>
      </c>
      <c r="S125" s="866" t="str">
        <f>VLOOKUP(N125,etat!$A$9:$P$905,16,FALSE)</f>
        <v>ذخ3</v>
      </c>
      <c r="T125" s="755">
        <v>45782</v>
      </c>
      <c r="U125" s="791">
        <v>1</v>
      </c>
      <c r="V125" s="784"/>
      <c r="W125" s="784"/>
      <c r="X125" s="784"/>
      <c r="Y125" s="1117"/>
      <c r="Z125" s="967"/>
      <c r="AA125" s="967">
        <v>4</v>
      </c>
      <c r="AH125" s="910"/>
      <c r="AI125" s="862"/>
      <c r="AJ125" s="302"/>
      <c r="AK125" s="910"/>
      <c r="AL125" s="911"/>
      <c r="AM125" s="911"/>
      <c r="AN125" s="911"/>
      <c r="AO125" s="911"/>
      <c r="AP125" s="912"/>
      <c r="AQ125" s="911"/>
      <c r="AR125" s="911"/>
      <c r="AS125" s="911"/>
      <c r="AT125" s="26"/>
      <c r="AU125" s="26"/>
      <c r="AV125" s="26"/>
    </row>
    <row r="126" spans="4:48" s="25" customFormat="1" ht="16.5" customHeight="1">
      <c r="D126" s="295"/>
      <c r="E126" s="295"/>
      <c r="F126" s="295"/>
      <c r="G126" s="295"/>
      <c r="H126" s="295"/>
      <c r="L126" s="777">
        <v>5</v>
      </c>
      <c r="M126" s="778"/>
      <c r="N126" s="976">
        <v>78</v>
      </c>
      <c r="O126" s="1020">
        <v>69</v>
      </c>
      <c r="P126" s="847">
        <f>VLOOKUP(N126,etat!$A$9:$N$1004,2,FALSE)</f>
        <v>0</v>
      </c>
      <c r="Q126" s="797" t="str">
        <f>VLOOKUP(N126,etat!$A$9:$N$963,7,FALSE)</f>
        <v>3ع ت1</v>
      </c>
      <c r="R126" s="797" t="str">
        <f>VLOOKUP(N126,etat!$A$9:$N$1003,9,FALSE)</f>
        <v>خ</v>
      </c>
      <c r="S126" s="866" t="str">
        <f>VLOOKUP(N126,etat!$A$9:$P$905,16,FALSE)</f>
        <v>ذخ3</v>
      </c>
      <c r="T126" s="755">
        <v>45781</v>
      </c>
      <c r="U126" s="791">
        <v>2</v>
      </c>
      <c r="V126" s="784"/>
      <c r="W126" s="784"/>
      <c r="X126" s="784"/>
      <c r="Y126" s="1118"/>
      <c r="Z126" s="975"/>
      <c r="AA126" s="967">
        <v>8</v>
      </c>
      <c r="AH126" s="910"/>
      <c r="AI126" s="862"/>
      <c r="AJ126" s="302"/>
      <c r="AK126" s="910"/>
      <c r="AL126" s="911"/>
      <c r="AM126" s="911"/>
      <c r="AN126" s="911"/>
      <c r="AO126" s="911"/>
      <c r="AP126" s="912"/>
      <c r="AQ126" s="911"/>
      <c r="AR126" s="911"/>
      <c r="AS126" s="911"/>
      <c r="AT126" s="26"/>
      <c r="AU126" s="26"/>
      <c r="AV126" s="26"/>
    </row>
    <row r="127" spans="4:48" s="25" customFormat="1" ht="16.5" customHeight="1">
      <c r="D127" s="295"/>
      <c r="E127" s="295"/>
      <c r="F127" s="295"/>
      <c r="G127" s="295"/>
      <c r="H127" s="295"/>
      <c r="L127" s="777">
        <v>5</v>
      </c>
      <c r="M127" s="778"/>
      <c r="N127" s="976">
        <v>83</v>
      </c>
      <c r="O127" s="1020">
        <v>70</v>
      </c>
      <c r="P127" s="847">
        <f>VLOOKUP(N127,etat!$A$9:$N$1004,2,FALSE)</f>
        <v>0</v>
      </c>
      <c r="Q127" s="797" t="str">
        <f>VLOOKUP(N127,etat!$A$9:$N$963,7,FALSE)</f>
        <v>3ع ت1</v>
      </c>
      <c r="R127" s="797" t="str">
        <f>VLOOKUP(N127,etat!$A$9:$N$1003,9,FALSE)</f>
        <v>خ</v>
      </c>
      <c r="S127" s="866" t="str">
        <f>VLOOKUP(N127,etat!$A$9:$P$905,16,FALSE)</f>
        <v>اخ3</v>
      </c>
      <c r="T127" s="755">
        <v>45781</v>
      </c>
      <c r="U127" s="791">
        <v>2</v>
      </c>
      <c r="V127" s="784"/>
      <c r="W127" s="784"/>
      <c r="X127" s="784"/>
      <c r="Y127" s="975"/>
      <c r="Z127" s="975"/>
      <c r="AA127" s="967">
        <v>8</v>
      </c>
      <c r="AH127" s="910"/>
      <c r="AI127" s="862"/>
      <c r="AJ127" s="302"/>
      <c r="AK127" s="910"/>
      <c r="AL127" s="911"/>
      <c r="AM127" s="911"/>
      <c r="AN127" s="911"/>
      <c r="AO127" s="911"/>
      <c r="AP127" s="912"/>
      <c r="AQ127" s="911"/>
      <c r="AR127" s="911"/>
      <c r="AS127" s="911"/>
      <c r="AT127" s="26"/>
      <c r="AU127" s="26"/>
      <c r="AV127" s="26"/>
    </row>
    <row r="128" spans="4:48" s="25" customFormat="1" ht="16.5" customHeight="1">
      <c r="D128" s="295"/>
      <c r="E128" s="295"/>
      <c r="F128" s="295"/>
      <c r="G128" s="295"/>
      <c r="H128" s="295"/>
      <c r="L128" s="777">
        <v>5</v>
      </c>
      <c r="M128" s="778"/>
      <c r="N128" s="976">
        <v>84</v>
      </c>
      <c r="O128" s="1020">
        <v>71</v>
      </c>
      <c r="P128" s="847">
        <f>VLOOKUP(N128,etat!$A$9:$N$1004,2,FALSE)</f>
        <v>0</v>
      </c>
      <c r="Q128" s="797" t="str">
        <f>VLOOKUP(N128,etat!$A$9:$N$963,7,FALSE)</f>
        <v>3ع ت1</v>
      </c>
      <c r="R128" s="797" t="str">
        <f>VLOOKUP(N128,etat!$A$9:$N$1003,9,FALSE)</f>
        <v>خ</v>
      </c>
      <c r="S128" s="866" t="str">
        <f>VLOOKUP(N128,etat!$A$9:$P$905,16,FALSE)</f>
        <v>اخ3</v>
      </c>
      <c r="T128" s="755">
        <v>45781</v>
      </c>
      <c r="U128" s="791">
        <v>2</v>
      </c>
      <c r="V128" s="784"/>
      <c r="W128" s="784"/>
      <c r="X128" s="784"/>
      <c r="Y128" s="975"/>
      <c r="Z128" s="975"/>
      <c r="AA128" s="967">
        <v>8</v>
      </c>
      <c r="AH128" s="910"/>
      <c r="AI128" s="862"/>
      <c r="AJ128" s="302"/>
      <c r="AK128" s="910"/>
      <c r="AL128" s="911"/>
      <c r="AM128" s="911"/>
      <c r="AN128" s="911"/>
      <c r="AO128" s="911"/>
      <c r="AP128" s="912"/>
      <c r="AQ128" s="911"/>
      <c r="AR128" s="911"/>
      <c r="AS128" s="911"/>
      <c r="AT128" s="26"/>
      <c r="AU128" s="26"/>
      <c r="AV128" s="26"/>
    </row>
    <row r="129" spans="4:48" s="25" customFormat="1" ht="16.5" customHeight="1">
      <c r="D129" s="295"/>
      <c r="E129" s="295"/>
      <c r="F129" s="295"/>
      <c r="G129" s="295"/>
      <c r="H129" s="295"/>
      <c r="L129" s="777">
        <v>5</v>
      </c>
      <c r="M129" s="778"/>
      <c r="N129" s="976">
        <v>85</v>
      </c>
      <c r="O129" s="1020">
        <v>72</v>
      </c>
      <c r="P129" s="847">
        <f>VLOOKUP(N129,etat!$A$9:$N$1004,2,FALSE)</f>
        <v>0</v>
      </c>
      <c r="Q129" s="797" t="str">
        <f>VLOOKUP(N129,etat!$A$9:$N$963,7,FALSE)</f>
        <v>3ع ت1</v>
      </c>
      <c r="R129" s="797" t="str">
        <f>VLOOKUP(N129,etat!$A$9:$N$1003,9,FALSE)</f>
        <v>خ</v>
      </c>
      <c r="S129" s="866" t="str">
        <f>VLOOKUP(N129,etat!$A$9:$P$905,16,FALSE)</f>
        <v>اخ3</v>
      </c>
      <c r="T129" s="755">
        <v>45781</v>
      </c>
      <c r="U129" s="791">
        <v>2</v>
      </c>
      <c r="V129" s="784"/>
      <c r="W129" s="784"/>
      <c r="X129" s="784"/>
      <c r="Y129" s="975"/>
      <c r="Z129" s="975"/>
      <c r="AA129" s="967">
        <v>8</v>
      </c>
      <c r="AH129" s="910"/>
      <c r="AI129" s="862"/>
      <c r="AJ129" s="302"/>
      <c r="AK129" s="910"/>
      <c r="AL129" s="911"/>
      <c r="AM129" s="911"/>
      <c r="AN129" s="911"/>
      <c r="AO129" s="911"/>
      <c r="AP129" s="912"/>
      <c r="AQ129" s="911"/>
      <c r="AR129" s="911"/>
      <c r="AS129" s="911"/>
      <c r="AT129" s="26"/>
      <c r="AU129" s="26"/>
      <c r="AV129" s="26"/>
    </row>
    <row r="130" spans="4:48" s="25" customFormat="1" ht="16.5" customHeight="1">
      <c r="D130" s="295"/>
      <c r="E130" s="295"/>
      <c r="F130" s="295"/>
      <c r="G130" s="295"/>
      <c r="H130" s="295"/>
      <c r="L130" s="777">
        <v>5</v>
      </c>
      <c r="M130" s="778"/>
      <c r="N130" s="976">
        <v>86</v>
      </c>
      <c r="O130" s="1020">
        <v>73</v>
      </c>
      <c r="P130" s="847">
        <f>VLOOKUP(N130,etat!$A$9:$N$1004,2,FALSE)</f>
        <v>0</v>
      </c>
      <c r="Q130" s="797" t="str">
        <f>VLOOKUP(N130,etat!$A$9:$N$963,7,FALSE)</f>
        <v>3ع ت1</v>
      </c>
      <c r="R130" s="866" t="str">
        <f>VLOOKUP(N130,etat!$A$9:$N$1003,9,FALSE)</f>
        <v>خ</v>
      </c>
      <c r="S130" s="866" t="str">
        <f>VLOOKUP(N130,etat!$A$9:$P$905,16,FALSE)</f>
        <v>اخ3</v>
      </c>
      <c r="T130" s="755">
        <v>45781</v>
      </c>
      <c r="U130" s="791">
        <v>2</v>
      </c>
      <c r="V130" s="784"/>
      <c r="W130" s="784"/>
      <c r="X130" s="784"/>
      <c r="Y130" s="975"/>
      <c r="Z130" s="975"/>
      <c r="AA130" s="967">
        <v>8</v>
      </c>
      <c r="AH130" s="910"/>
      <c r="AI130" s="862"/>
      <c r="AJ130" s="302"/>
      <c r="AK130" s="910"/>
      <c r="AL130" s="911"/>
      <c r="AM130" s="911"/>
      <c r="AN130" s="911"/>
      <c r="AO130" s="911"/>
      <c r="AP130" s="912"/>
      <c r="AQ130" s="911"/>
      <c r="AR130" s="911"/>
      <c r="AS130" s="911"/>
      <c r="AT130" s="26"/>
      <c r="AU130" s="26"/>
      <c r="AV130" s="26"/>
    </row>
    <row r="131" spans="4:48" s="25" customFormat="1" ht="16.5" customHeight="1">
      <c r="D131" s="295"/>
      <c r="E131" s="295"/>
      <c r="F131" s="295"/>
      <c r="G131" s="295"/>
      <c r="H131" s="295"/>
      <c r="L131" s="777">
        <v>5</v>
      </c>
      <c r="M131" s="778"/>
      <c r="N131" s="976">
        <v>87</v>
      </c>
      <c r="O131" s="1020">
        <v>74</v>
      </c>
      <c r="P131" s="847">
        <f>VLOOKUP(N131,etat!$A$9:$N$1004,2,FALSE)</f>
        <v>0</v>
      </c>
      <c r="Q131" s="797" t="str">
        <f>VLOOKUP(N131,etat!$A$9:$N$963,7,FALSE)</f>
        <v>3ع ت1</v>
      </c>
      <c r="R131" s="797" t="str">
        <f>VLOOKUP(N131,etat!$A$9:$N$1003,9,FALSE)</f>
        <v>خ</v>
      </c>
      <c r="S131" s="866" t="str">
        <f>VLOOKUP(N131,etat!$A$9:$P$905,16,FALSE)</f>
        <v>اخ3</v>
      </c>
      <c r="T131" s="755">
        <v>45769</v>
      </c>
      <c r="U131" s="791">
        <v>14</v>
      </c>
      <c r="V131" s="784" t="s">
        <v>2278</v>
      </c>
      <c r="W131" s="784" t="s">
        <v>2283</v>
      </c>
      <c r="X131" s="784"/>
      <c r="Y131" s="975"/>
      <c r="Z131" s="975" t="str">
        <f>VLOOKUP(L131,[2]اس!$S$3:$X$31,3,FALSE)</f>
        <v>.</v>
      </c>
      <c r="AA131" s="967">
        <v>8</v>
      </c>
      <c r="AH131" s="910"/>
      <c r="AI131" s="862"/>
      <c r="AJ131" s="302"/>
      <c r="AK131" s="910"/>
      <c r="AL131" s="911"/>
      <c r="AM131" s="911"/>
      <c r="AN131" s="911"/>
      <c r="AO131" s="911"/>
      <c r="AP131" s="912"/>
      <c r="AQ131" s="911"/>
      <c r="AR131" s="911"/>
      <c r="AS131" s="911"/>
      <c r="AT131" s="26"/>
      <c r="AU131" s="26"/>
      <c r="AV131" s="26"/>
    </row>
    <row r="132" spans="4:48" s="25" customFormat="1" ht="16.5" customHeight="1">
      <c r="D132" s="295"/>
      <c r="E132" s="295"/>
      <c r="F132" s="295"/>
      <c r="G132" s="295"/>
      <c r="H132" s="295"/>
      <c r="L132" s="777">
        <v>5</v>
      </c>
      <c r="M132" s="778"/>
      <c r="N132" s="976">
        <v>88</v>
      </c>
      <c r="O132" s="1020">
        <v>75</v>
      </c>
      <c r="P132" s="847">
        <f>VLOOKUP(N132,etat!$A$9:$N$1004,2,FALSE)</f>
        <v>0</v>
      </c>
      <c r="Q132" s="797" t="str">
        <f>VLOOKUP(N132,etat!$A$9:$N$963,7,FALSE)</f>
        <v>3ع ت1</v>
      </c>
      <c r="R132" s="797" t="str">
        <f>VLOOKUP(N132,etat!$A$9:$N$1003,9,FALSE)</f>
        <v>خ</v>
      </c>
      <c r="S132" s="866" t="str">
        <f>VLOOKUP(N132,etat!$A$9:$P$905,16,FALSE)</f>
        <v>ذخ3</v>
      </c>
      <c r="T132" s="755">
        <v>45770</v>
      </c>
      <c r="U132" s="791">
        <v>13</v>
      </c>
      <c r="V132" s="784" t="s">
        <v>2280</v>
      </c>
      <c r="W132" s="784" t="s">
        <v>2283</v>
      </c>
      <c r="X132" s="784"/>
      <c r="Y132" s="975"/>
      <c r="Z132" s="975" t="str">
        <f>VLOOKUP(L132,[2]اس!$S$3:$X$31,3,FALSE)</f>
        <v>.</v>
      </c>
      <c r="AA132" s="967">
        <v>8</v>
      </c>
    </row>
    <row r="133" spans="4:48" s="25" customFormat="1" ht="16.5" customHeight="1">
      <c r="D133" s="295"/>
      <c r="E133" s="295"/>
      <c r="F133" s="295"/>
      <c r="G133" s="295"/>
      <c r="H133" s="295"/>
      <c r="L133" s="777">
        <v>5</v>
      </c>
      <c r="M133" s="778"/>
      <c r="N133" s="976">
        <v>89</v>
      </c>
      <c r="O133" s="1020">
        <v>76</v>
      </c>
      <c r="P133" s="847">
        <f>VLOOKUP(N133,etat!$A$9:$N$1004,2,FALSE)</f>
        <v>0</v>
      </c>
      <c r="Q133" s="797" t="str">
        <f>VLOOKUP(N133,etat!$A$9:$N$963,7,FALSE)</f>
        <v>3ع ت1</v>
      </c>
      <c r="R133" s="797" t="str">
        <f>VLOOKUP(N133,etat!$A$9:$N$1003,9,FALSE)</f>
        <v>خ</v>
      </c>
      <c r="S133" s="866" t="str">
        <f>VLOOKUP(N133,etat!$A$9:$P$905,16,FALSE)</f>
        <v>ذخ3</v>
      </c>
      <c r="T133" s="755">
        <v>45769</v>
      </c>
      <c r="U133" s="791">
        <v>14</v>
      </c>
      <c r="V133" s="784" t="s">
        <v>2278</v>
      </c>
      <c r="W133" s="784" t="s">
        <v>2283</v>
      </c>
      <c r="X133" s="784"/>
      <c r="Y133" s="975"/>
      <c r="Z133" s="975" t="str">
        <f>VLOOKUP(L133,[2]اس!$S$3:$X$31,3,FALSE)</f>
        <v>.</v>
      </c>
      <c r="AA133" s="967">
        <v>8</v>
      </c>
    </row>
    <row r="134" spans="4:48" s="25" customFormat="1" ht="16.5" customHeight="1">
      <c r="D134" s="295"/>
      <c r="E134" s="295"/>
      <c r="F134" s="295"/>
      <c r="G134" s="295"/>
      <c r="H134" s="295"/>
      <c r="L134" s="777">
        <v>5</v>
      </c>
      <c r="M134" s="778"/>
      <c r="N134" s="976">
        <v>90</v>
      </c>
      <c r="O134" s="1020">
        <v>77</v>
      </c>
      <c r="P134" s="847">
        <f>VLOOKUP(N134,etat!$A$9:$N$1004,2,FALSE)</f>
        <v>0</v>
      </c>
      <c r="Q134" s="797" t="str">
        <f>VLOOKUP(N134,etat!$A$9:$N$963,7,FALSE)</f>
        <v>3ع ت1</v>
      </c>
      <c r="R134" s="797" t="str">
        <f>VLOOKUP(N134,etat!$A$9:$N$1003,9,FALSE)</f>
        <v>خ</v>
      </c>
      <c r="S134" s="866" t="str">
        <f>VLOOKUP(N134,etat!$A$9:$P$905,16,FALSE)</f>
        <v>ذخ3</v>
      </c>
      <c r="T134" s="755">
        <v>45762</v>
      </c>
      <c r="U134" s="791">
        <v>21</v>
      </c>
      <c r="V134" s="784" t="s">
        <v>2268</v>
      </c>
      <c r="W134" s="784" t="s">
        <v>2278</v>
      </c>
      <c r="X134" s="784" t="s">
        <v>2283</v>
      </c>
      <c r="Y134" s="975"/>
      <c r="Z134" s="975" t="str">
        <f>VLOOKUP(L134,[2]اس!$S$3:$X$31,3,FALSE)</f>
        <v>.</v>
      </c>
      <c r="AA134" s="967">
        <v>8</v>
      </c>
    </row>
    <row r="135" spans="4:48" s="25" customFormat="1" ht="16.5" customHeight="1">
      <c r="D135" s="295"/>
      <c r="E135" s="295"/>
      <c r="F135" s="295"/>
      <c r="G135" s="295"/>
      <c r="H135" s="295"/>
      <c r="L135" s="777">
        <v>5</v>
      </c>
      <c r="M135" s="778"/>
      <c r="N135" s="976">
        <v>91</v>
      </c>
      <c r="O135" s="1020">
        <v>78</v>
      </c>
      <c r="P135" s="847">
        <f>VLOOKUP(N135,etat!$A$9:$N$1004,2,FALSE)</f>
        <v>0</v>
      </c>
      <c r="Q135" s="797" t="str">
        <f>VLOOKUP(N135,etat!$A$9:$N$963,7,FALSE)</f>
        <v>3ع ت1</v>
      </c>
      <c r="R135" s="797" t="str">
        <f>VLOOKUP(N135,etat!$A$9:$N$1003,9,FALSE)</f>
        <v>خ</v>
      </c>
      <c r="S135" s="866" t="str">
        <f>VLOOKUP(N135,etat!$A$9:$P$905,16,FALSE)</f>
        <v>اخ3</v>
      </c>
      <c r="T135" s="755">
        <v>45769</v>
      </c>
      <c r="U135" s="791">
        <v>14</v>
      </c>
      <c r="V135" s="784" t="s">
        <v>2278</v>
      </c>
      <c r="W135" s="784" t="s">
        <v>2283</v>
      </c>
      <c r="X135" s="784"/>
      <c r="Y135" s="975"/>
      <c r="Z135" s="967"/>
      <c r="AA135" s="967">
        <v>8</v>
      </c>
    </row>
    <row r="136" spans="4:48" s="25" customFormat="1" ht="16.5" customHeight="1">
      <c r="D136" s="295"/>
      <c r="E136" s="295"/>
      <c r="F136" s="295"/>
      <c r="G136" s="295"/>
      <c r="H136" s="295"/>
      <c r="L136" s="777">
        <v>5</v>
      </c>
      <c r="M136" s="778"/>
      <c r="N136" s="976">
        <v>93</v>
      </c>
      <c r="O136" s="1020">
        <v>79</v>
      </c>
      <c r="P136" s="847">
        <f>VLOOKUP(N136,etat!$A$9:$N$1004,2,FALSE)</f>
        <v>0</v>
      </c>
      <c r="Q136" s="797" t="str">
        <f>VLOOKUP(N136,etat!$A$9:$N$963,7,FALSE)</f>
        <v>3ع ت1</v>
      </c>
      <c r="R136" s="797" t="str">
        <f>VLOOKUP(N136,etat!$A$9:$N$1003,9,FALSE)</f>
        <v>خ</v>
      </c>
      <c r="S136" s="866" t="str">
        <f>VLOOKUP(N136,etat!$A$9:$P$905,16,FALSE)</f>
        <v>اخ3</v>
      </c>
      <c r="T136" s="755">
        <v>45781</v>
      </c>
      <c r="U136" s="791">
        <v>2</v>
      </c>
      <c r="V136" s="784"/>
      <c r="W136" s="784"/>
      <c r="X136" s="784"/>
      <c r="Y136" s="975"/>
      <c r="Z136" s="967"/>
      <c r="AA136" s="967">
        <v>8</v>
      </c>
    </row>
    <row r="137" spans="4:48" s="25" customFormat="1" ht="16.5" customHeight="1">
      <c r="D137" s="295"/>
      <c r="E137" s="295"/>
      <c r="F137" s="295"/>
      <c r="G137" s="295"/>
      <c r="H137" s="295"/>
      <c r="L137" s="777">
        <v>5</v>
      </c>
      <c r="M137" s="778"/>
      <c r="N137" s="976">
        <v>94</v>
      </c>
      <c r="O137" s="1020">
        <v>80</v>
      </c>
      <c r="P137" s="847">
        <f>VLOOKUP(N137,etat!$A$9:$N$1004,2,FALSE)</f>
        <v>0</v>
      </c>
      <c r="Q137" s="797" t="str">
        <f>VLOOKUP(N137,etat!$A$9:$N$963,7,FALSE)</f>
        <v>3ع ت1</v>
      </c>
      <c r="R137" s="797" t="str">
        <f>VLOOKUP(N137,etat!$A$9:$N$1003,9,FALSE)</f>
        <v>خ</v>
      </c>
      <c r="S137" s="866" t="str">
        <f>VLOOKUP(N137,etat!$A$9:$P$905,16,FALSE)</f>
        <v>اخ3</v>
      </c>
      <c r="T137" s="755">
        <v>45781</v>
      </c>
      <c r="U137" s="791">
        <v>2</v>
      </c>
      <c r="V137" s="784"/>
      <c r="W137" s="784"/>
      <c r="X137" s="784"/>
      <c r="Y137" s="975"/>
      <c r="Z137" s="975"/>
      <c r="AA137" s="967">
        <v>8</v>
      </c>
    </row>
    <row r="138" spans="4:48" s="25" customFormat="1" ht="16.5" customHeight="1">
      <c r="D138" s="295"/>
      <c r="E138" s="295"/>
      <c r="F138" s="295"/>
      <c r="G138" s="295"/>
      <c r="H138" s="295"/>
      <c r="L138" s="777">
        <v>5</v>
      </c>
      <c r="M138" s="778"/>
      <c r="N138" s="976">
        <v>95</v>
      </c>
      <c r="O138" s="1020">
        <v>81</v>
      </c>
      <c r="P138" s="847">
        <f>VLOOKUP(N138,etat!$A$9:$N$1004,2,FALSE)</f>
        <v>0</v>
      </c>
      <c r="Q138" s="797" t="str">
        <f>VLOOKUP(N138,etat!$A$9:$N$963,7,FALSE)</f>
        <v>3ع ت2</v>
      </c>
      <c r="R138" s="797" t="str">
        <f>VLOOKUP(N138,etat!$A$9:$N$1003,9,FALSE)</f>
        <v>ن/د</v>
      </c>
      <c r="S138" s="866" t="str">
        <f>VLOOKUP(N138,etat!$A$9:$P$905,16,FALSE)</f>
        <v>ذخ3</v>
      </c>
      <c r="T138" s="755">
        <v>45781</v>
      </c>
      <c r="U138" s="791">
        <v>2</v>
      </c>
      <c r="V138" s="784"/>
      <c r="W138" s="784"/>
      <c r="X138" s="784"/>
      <c r="Y138" s="975"/>
      <c r="Z138" s="975"/>
      <c r="AA138" s="967">
        <v>8</v>
      </c>
    </row>
    <row r="139" spans="4:48" s="25" customFormat="1" ht="16.5" customHeight="1">
      <c r="D139" s="295"/>
      <c r="E139" s="295"/>
      <c r="F139" s="295"/>
      <c r="G139" s="295"/>
      <c r="H139" s="295"/>
      <c r="L139" s="777">
        <v>5</v>
      </c>
      <c r="M139" s="778"/>
      <c r="N139" s="976">
        <v>96</v>
      </c>
      <c r="O139" s="1020">
        <v>82</v>
      </c>
      <c r="P139" s="847">
        <f>VLOOKUP(N139,etat!$A$9:$N$1004,2,FALSE)</f>
        <v>0</v>
      </c>
      <c r="Q139" s="797" t="str">
        <f>VLOOKUP(N139,etat!$A$9:$N$963,7,FALSE)</f>
        <v>3ع ت2</v>
      </c>
      <c r="R139" s="866" t="str">
        <f>VLOOKUP(N139,etat!$A$9:$N$1003,9,FALSE)</f>
        <v>خ</v>
      </c>
      <c r="S139" s="866" t="str">
        <f>VLOOKUP(N139,etat!$A$9:$P$905,16,FALSE)</f>
        <v>ذخ3</v>
      </c>
      <c r="T139" s="755">
        <v>45781</v>
      </c>
      <c r="U139" s="791">
        <v>2</v>
      </c>
      <c r="V139" s="784"/>
      <c r="W139" s="784"/>
      <c r="X139" s="784"/>
      <c r="Y139" s="1118"/>
      <c r="Z139" s="975"/>
      <c r="AA139" s="967">
        <v>8</v>
      </c>
    </row>
    <row r="140" spans="4:48" s="25" customFormat="1" ht="16.5" customHeight="1">
      <c r="D140" s="295"/>
      <c r="E140" s="295"/>
      <c r="F140" s="295"/>
      <c r="G140" s="295"/>
      <c r="H140" s="295"/>
      <c r="L140" s="777">
        <v>5</v>
      </c>
      <c r="M140" s="778"/>
      <c r="N140" s="976">
        <v>97</v>
      </c>
      <c r="O140" s="1020">
        <v>83</v>
      </c>
      <c r="P140" s="847">
        <f>VLOOKUP(N140,etat!$A$9:$N$1004,2,FALSE)</f>
        <v>0</v>
      </c>
      <c r="Q140" s="797" t="str">
        <f>VLOOKUP(N140,etat!$A$9:$N$963,7,FALSE)</f>
        <v>3ع ت2</v>
      </c>
      <c r="R140" s="797" t="str">
        <f>VLOOKUP(N140,etat!$A$9:$N$1003,9,FALSE)</f>
        <v>خ</v>
      </c>
      <c r="S140" s="866" t="str">
        <f>VLOOKUP(N140,etat!$A$9:$P$905,16,FALSE)</f>
        <v>اخ3</v>
      </c>
      <c r="T140" s="755">
        <v>45769</v>
      </c>
      <c r="U140" s="791">
        <v>14</v>
      </c>
      <c r="V140" s="784" t="s">
        <v>2278</v>
      </c>
      <c r="W140" s="784" t="s">
        <v>2283</v>
      </c>
      <c r="X140" s="784"/>
      <c r="Y140" s="1118"/>
      <c r="Z140" s="975"/>
      <c r="AA140" s="967">
        <v>8</v>
      </c>
    </row>
    <row r="141" spans="4:48" s="25" customFormat="1" ht="16.5" customHeight="1">
      <c r="D141" s="295"/>
      <c r="E141" s="295"/>
      <c r="F141" s="295"/>
      <c r="G141" s="295"/>
      <c r="H141" s="295"/>
      <c r="L141" s="777">
        <v>5</v>
      </c>
      <c r="M141" s="778"/>
      <c r="N141" s="976">
        <v>99</v>
      </c>
      <c r="O141" s="1020">
        <v>84</v>
      </c>
      <c r="P141" s="847">
        <f>VLOOKUP(N141,etat!$A$9:$N$1004,2,FALSE)</f>
        <v>0</v>
      </c>
      <c r="Q141" s="797" t="str">
        <f>VLOOKUP(N141,etat!$A$9:$N$963,7,FALSE)</f>
        <v>3ع ت2</v>
      </c>
      <c r="R141" s="797" t="str">
        <f>VLOOKUP(N141,etat!$A$9:$N$1003,9,FALSE)</f>
        <v>خ</v>
      </c>
      <c r="S141" s="866" t="str">
        <f>VLOOKUP(N141,etat!$A$9:$P$905,16,FALSE)</f>
        <v>ذخ3</v>
      </c>
      <c r="T141" s="755">
        <v>45781</v>
      </c>
      <c r="U141" s="791">
        <v>2</v>
      </c>
      <c r="V141" s="784"/>
      <c r="W141" s="784"/>
      <c r="X141" s="784"/>
      <c r="Y141" s="975"/>
      <c r="Z141" s="975"/>
      <c r="AA141" s="967">
        <v>8</v>
      </c>
    </row>
    <row r="142" spans="4:48" s="25" customFormat="1" ht="16.5" customHeight="1">
      <c r="D142" s="295"/>
      <c r="E142" s="295"/>
      <c r="F142" s="295"/>
      <c r="G142" s="295"/>
      <c r="H142" s="295"/>
      <c r="L142" s="777">
        <v>5</v>
      </c>
      <c r="M142" s="778"/>
      <c r="N142" s="976">
        <v>100</v>
      </c>
      <c r="O142" s="1020">
        <v>85</v>
      </c>
      <c r="P142" s="847">
        <f>VLOOKUP(N142,etat!$A$9:$N$1004,2,FALSE)</f>
        <v>0</v>
      </c>
      <c r="Q142" s="797" t="str">
        <f>VLOOKUP(N142,etat!$A$9:$N$963,7,FALSE)</f>
        <v>3ع ت2</v>
      </c>
      <c r="R142" s="797" t="str">
        <f>VLOOKUP(N142,etat!$A$9:$N$1003,9,FALSE)</f>
        <v>خ</v>
      </c>
      <c r="S142" s="866" t="str">
        <f>VLOOKUP(N142,etat!$A$9:$P$905,16,FALSE)</f>
        <v>ذخ3</v>
      </c>
      <c r="T142" s="755">
        <v>45769</v>
      </c>
      <c r="U142" s="791">
        <v>14</v>
      </c>
      <c r="V142" s="784" t="s">
        <v>2278</v>
      </c>
      <c r="W142" s="784" t="s">
        <v>2283</v>
      </c>
      <c r="X142" s="784"/>
      <c r="Y142" s="975"/>
      <c r="Z142" s="975" t="str">
        <f>VLOOKUP(L142,[2]اس!$S$3:$X$31,3,FALSE)</f>
        <v>.</v>
      </c>
      <c r="AA142" s="967">
        <v>8</v>
      </c>
    </row>
    <row r="143" spans="4:48" s="25" customFormat="1" ht="16.5" customHeight="1">
      <c r="D143" s="295"/>
      <c r="E143" s="295"/>
      <c r="F143" s="295"/>
      <c r="G143" s="295"/>
      <c r="H143" s="295"/>
      <c r="L143" s="777">
        <v>5</v>
      </c>
      <c r="M143" s="778"/>
      <c r="N143" s="976">
        <v>101</v>
      </c>
      <c r="O143" s="1020">
        <v>86</v>
      </c>
      <c r="P143" s="847">
        <f>VLOOKUP(N143,etat!$A$9:$N$1004,2,FALSE)</f>
        <v>0</v>
      </c>
      <c r="Q143" s="797" t="str">
        <f>VLOOKUP(N143,etat!$A$9:$N$963,7,FALSE)</f>
        <v>3ع ت2</v>
      </c>
      <c r="R143" s="797" t="str">
        <f>VLOOKUP(N143,etat!$A$9:$N$1003,9,FALSE)</f>
        <v>خ</v>
      </c>
      <c r="S143" s="866" t="str">
        <f>VLOOKUP(N143,etat!$A$9:$P$905,16,FALSE)</f>
        <v>ذخ3</v>
      </c>
      <c r="T143" s="755">
        <v>45769</v>
      </c>
      <c r="U143" s="791">
        <v>14</v>
      </c>
      <c r="V143" s="784" t="s">
        <v>2278</v>
      </c>
      <c r="W143" s="784" t="s">
        <v>2283</v>
      </c>
      <c r="X143" s="784"/>
      <c r="Y143" s="975"/>
      <c r="Z143" s="975" t="str">
        <f>VLOOKUP(L143,[2]اس!$S$3:$X$31,3,FALSE)</f>
        <v>.</v>
      </c>
      <c r="AA143" s="967">
        <v>8</v>
      </c>
    </row>
    <row r="144" spans="4:48" s="25" customFormat="1" ht="16.5" customHeight="1">
      <c r="D144" s="295"/>
      <c r="E144" s="295"/>
      <c r="F144" s="295"/>
      <c r="G144" s="295"/>
      <c r="H144" s="295"/>
      <c r="L144" s="777">
        <v>5</v>
      </c>
      <c r="M144" s="778"/>
      <c r="N144" s="976">
        <v>103</v>
      </c>
      <c r="O144" s="1020">
        <v>87</v>
      </c>
      <c r="P144" s="847">
        <f>VLOOKUP(N144,etat!$A$9:$N$1004,2,FALSE)</f>
        <v>0</v>
      </c>
      <c r="Q144" s="797" t="str">
        <f>VLOOKUP(N144,etat!$A$9:$N$963,7,FALSE)</f>
        <v>3ع ت2</v>
      </c>
      <c r="R144" s="866" t="str">
        <f>VLOOKUP(N144,etat!$A$9:$N$1003,9,FALSE)</f>
        <v>خ</v>
      </c>
      <c r="S144" s="866" t="str">
        <f>VLOOKUP(N144,etat!$A$9:$P$905,16,FALSE)</f>
        <v>اخ3</v>
      </c>
      <c r="T144" s="755">
        <v>45775</v>
      </c>
      <c r="U144" s="791">
        <v>8</v>
      </c>
      <c r="V144" s="784" t="s">
        <v>2282</v>
      </c>
      <c r="W144" s="869"/>
      <c r="X144" s="869"/>
      <c r="Y144" s="1116"/>
      <c r="Z144" s="967"/>
      <c r="AA144" s="967">
        <v>8</v>
      </c>
    </row>
    <row r="145" spans="4:27" s="25" customFormat="1" ht="16.5" customHeight="1">
      <c r="D145" s="295"/>
      <c r="E145" s="295"/>
      <c r="F145" s="295"/>
      <c r="G145" s="295"/>
      <c r="H145" s="295"/>
      <c r="L145" s="777">
        <v>5</v>
      </c>
      <c r="M145" s="778"/>
      <c r="N145" s="976">
        <v>104</v>
      </c>
      <c r="O145" s="1020">
        <v>88</v>
      </c>
      <c r="P145" s="847">
        <f>VLOOKUP(N145,etat!$A$9:$N$1004,2,FALSE)</f>
        <v>0</v>
      </c>
      <c r="Q145" s="797" t="str">
        <f>VLOOKUP(N145,etat!$A$9:$N$963,7,FALSE)</f>
        <v>3ع ت2</v>
      </c>
      <c r="R145" s="797" t="str">
        <f>VLOOKUP(N145,etat!$A$9:$N$1003,9,FALSE)</f>
        <v>ن/د</v>
      </c>
      <c r="S145" s="866" t="str">
        <f>VLOOKUP(N145,etat!$A$9:$P$905,16,FALSE)</f>
        <v>ذن/د3</v>
      </c>
      <c r="T145" s="755">
        <v>45769</v>
      </c>
      <c r="U145" s="791">
        <v>14</v>
      </c>
      <c r="V145" s="784" t="s">
        <v>2278</v>
      </c>
      <c r="W145" s="784" t="s">
        <v>2283</v>
      </c>
      <c r="X145" s="784"/>
      <c r="Y145" s="1116"/>
      <c r="Z145" s="975" t="str">
        <f>VLOOKUP(L145,[2]اس!$S$3:$X$31,3,FALSE)</f>
        <v>.</v>
      </c>
      <c r="AA145" s="967">
        <v>8</v>
      </c>
    </row>
    <row r="146" spans="4:27" s="25" customFormat="1" ht="16.5" customHeight="1">
      <c r="D146" s="295"/>
      <c r="E146" s="295"/>
      <c r="F146" s="295"/>
      <c r="G146" s="295"/>
      <c r="H146" s="295"/>
      <c r="L146" s="777">
        <v>10</v>
      </c>
      <c r="M146" s="778"/>
      <c r="N146" s="976">
        <v>105</v>
      </c>
      <c r="O146" s="1020">
        <v>89</v>
      </c>
      <c r="P146" s="847">
        <f>VLOOKUP(N146,etat!$A$9:$N$1004,2,FALSE)</f>
        <v>0</v>
      </c>
      <c r="Q146" s="797" t="str">
        <f>VLOOKUP(N146,etat!$A$9:$N$963,7,FALSE)</f>
        <v>3ع ت2</v>
      </c>
      <c r="R146" s="797" t="str">
        <f>VLOOKUP(N146,etat!$A$9:$N$1003,9,FALSE)</f>
        <v>خ</v>
      </c>
      <c r="S146" s="866" t="str">
        <f>VLOOKUP(N146,etat!$A$9:$P$905,16,FALSE)</f>
        <v>ان/د3</v>
      </c>
      <c r="T146" s="755">
        <v>45781</v>
      </c>
      <c r="U146" s="791">
        <v>2</v>
      </c>
      <c r="V146" s="784"/>
      <c r="W146" s="784"/>
      <c r="X146" s="784"/>
      <c r="Y146" s="975"/>
      <c r="Z146" s="975"/>
      <c r="AA146" s="967">
        <v>8</v>
      </c>
    </row>
    <row r="147" spans="4:27" s="25" customFormat="1" ht="16.5" customHeight="1">
      <c r="D147" s="295"/>
      <c r="E147" s="295"/>
      <c r="F147" s="295"/>
      <c r="G147" s="295"/>
      <c r="H147" s="295"/>
      <c r="L147" s="777">
        <v>5</v>
      </c>
      <c r="M147" s="778"/>
      <c r="N147" s="976">
        <v>106</v>
      </c>
      <c r="O147" s="1020">
        <v>90</v>
      </c>
      <c r="P147" s="847">
        <f>VLOOKUP(N147,etat!$A$9:$N$1004,2,FALSE)</f>
        <v>0</v>
      </c>
      <c r="Q147" s="797" t="str">
        <f>VLOOKUP(N147,etat!$A$9:$N$963,7,FALSE)</f>
        <v>3ع ت2</v>
      </c>
      <c r="R147" s="797" t="str">
        <f>VLOOKUP(N147,etat!$A$9:$N$1003,9,FALSE)</f>
        <v>خ</v>
      </c>
      <c r="S147" s="866" t="str">
        <f>VLOOKUP(N147,etat!$A$9:$P$905,16,FALSE)</f>
        <v>ان/د3</v>
      </c>
      <c r="T147" s="755">
        <v>45762</v>
      </c>
      <c r="U147" s="791">
        <v>21</v>
      </c>
      <c r="V147" s="784" t="s">
        <v>2268</v>
      </c>
      <c r="W147" s="784" t="s">
        <v>2278</v>
      </c>
      <c r="X147" s="784" t="s">
        <v>2283</v>
      </c>
      <c r="Y147" s="975"/>
      <c r="Z147" s="975" t="str">
        <f>VLOOKUP(L147,[2]اس!$S$3:$X$31,3,FALSE)</f>
        <v>.</v>
      </c>
      <c r="AA147" s="967">
        <v>8</v>
      </c>
    </row>
    <row r="148" spans="4:27" s="25" customFormat="1" ht="16.5" customHeight="1">
      <c r="D148" s="295"/>
      <c r="E148" s="295"/>
      <c r="F148" s="295"/>
      <c r="G148" s="295"/>
      <c r="H148" s="295"/>
      <c r="L148" s="777">
        <v>5</v>
      </c>
      <c r="M148" s="778"/>
      <c r="N148" s="976">
        <v>107</v>
      </c>
      <c r="O148" s="1020">
        <v>91</v>
      </c>
      <c r="P148" s="847">
        <f>VLOOKUP(N148,etat!$A$9:$N$1004,2,FALSE)</f>
        <v>0</v>
      </c>
      <c r="Q148" s="797" t="str">
        <f>VLOOKUP(N148,etat!$A$9:$N$963,7,FALSE)</f>
        <v>3ع ت2</v>
      </c>
      <c r="R148" s="797" t="str">
        <f>VLOOKUP(N148,etat!$A$9:$N$1003,9,FALSE)</f>
        <v>خ</v>
      </c>
      <c r="S148" s="866" t="str">
        <f>VLOOKUP(N148,etat!$A$9:$P$905,16,FALSE)</f>
        <v>ان/د3</v>
      </c>
      <c r="T148" s="755">
        <v>45781</v>
      </c>
      <c r="U148" s="791">
        <v>2</v>
      </c>
      <c r="V148" s="784"/>
      <c r="W148" s="784"/>
      <c r="X148" s="784"/>
      <c r="Y148" s="975"/>
      <c r="Z148" s="975"/>
      <c r="AA148" s="967">
        <v>8</v>
      </c>
    </row>
    <row r="149" spans="4:27" s="25" customFormat="1" ht="16.5" customHeight="1">
      <c r="D149" s="295"/>
      <c r="E149" s="295"/>
      <c r="F149" s="295"/>
      <c r="G149" s="295"/>
      <c r="H149" s="295"/>
      <c r="L149" s="777">
        <v>5</v>
      </c>
      <c r="M149" s="778"/>
      <c r="N149" s="976">
        <v>108</v>
      </c>
      <c r="O149" s="1020">
        <v>92</v>
      </c>
      <c r="P149" s="847">
        <f>VLOOKUP(N149,etat!$A$9:$N$1004,2,FALSE)</f>
        <v>0</v>
      </c>
      <c r="Q149" s="797" t="str">
        <f>VLOOKUP(N149,etat!$A$9:$N$963,7,FALSE)</f>
        <v>3ع ت2</v>
      </c>
      <c r="R149" s="797" t="str">
        <f>VLOOKUP(N149,etat!$A$9:$N$1003,9,FALSE)</f>
        <v>خ</v>
      </c>
      <c r="S149" s="866" t="str">
        <f>VLOOKUP(N149,etat!$A$9:$P$905,16,FALSE)</f>
        <v>ان/د3</v>
      </c>
      <c r="T149" s="755">
        <v>45781</v>
      </c>
      <c r="U149" s="791">
        <v>2</v>
      </c>
      <c r="V149" s="784"/>
      <c r="W149" s="784"/>
      <c r="X149" s="784"/>
      <c r="Y149" s="1118"/>
      <c r="Z149" s="975"/>
      <c r="AA149" s="967">
        <v>8</v>
      </c>
    </row>
    <row r="150" spans="4:27" s="25" customFormat="1" ht="16.5" customHeight="1">
      <c r="D150" s="295"/>
      <c r="E150" s="295"/>
      <c r="F150" s="295"/>
      <c r="G150" s="295"/>
      <c r="H150" s="295"/>
      <c r="L150" s="777">
        <v>5</v>
      </c>
      <c r="M150" s="778"/>
      <c r="N150" s="976">
        <v>109</v>
      </c>
      <c r="O150" s="1020">
        <v>93</v>
      </c>
      <c r="P150" s="847">
        <f>VLOOKUP(N150,etat!$A$9:$N$1004,2,FALSE)</f>
        <v>0</v>
      </c>
      <c r="Q150" s="797" t="str">
        <f>VLOOKUP(N150,etat!$A$9:$N$963,7,FALSE)</f>
        <v>3ع ت2</v>
      </c>
      <c r="R150" s="797" t="str">
        <f>VLOOKUP(N150,etat!$A$9:$N$1003,9,FALSE)</f>
        <v>خ</v>
      </c>
      <c r="S150" s="866" t="str">
        <f>VLOOKUP(N150,etat!$A$9:$P$905,16,FALSE)</f>
        <v>اخ3</v>
      </c>
      <c r="T150" s="755">
        <v>45782</v>
      </c>
      <c r="U150" s="791">
        <v>1</v>
      </c>
      <c r="V150" s="784"/>
      <c r="W150" s="784"/>
      <c r="X150" s="784"/>
      <c r="Y150" s="1134"/>
      <c r="Z150" s="975"/>
      <c r="AA150" s="967">
        <v>4</v>
      </c>
    </row>
    <row r="151" spans="4:27" s="25" customFormat="1" ht="16.5" customHeight="1">
      <c r="D151" s="295"/>
      <c r="E151" s="295"/>
      <c r="F151" s="295"/>
      <c r="G151" s="295"/>
      <c r="H151" s="295"/>
      <c r="L151" s="777">
        <v>5</v>
      </c>
      <c r="M151" s="778"/>
      <c r="N151" s="976">
        <v>110</v>
      </c>
      <c r="O151" s="1020">
        <v>94</v>
      </c>
      <c r="P151" s="847">
        <f>VLOOKUP(N151,etat!$A$9:$N$1004,2,FALSE)</f>
        <v>0</v>
      </c>
      <c r="Q151" s="797" t="str">
        <f>VLOOKUP(N151,etat!$A$9:$N$963,7,FALSE)</f>
        <v>3ع ت2</v>
      </c>
      <c r="R151" s="797" t="str">
        <f>VLOOKUP(N151,etat!$A$9:$N$1003,9,FALSE)</f>
        <v>خ</v>
      </c>
      <c r="S151" s="866" t="str">
        <f>VLOOKUP(N151,etat!$A$9:$P$905,16,FALSE)</f>
        <v>ذخ3</v>
      </c>
      <c r="T151" s="755">
        <v>45781</v>
      </c>
      <c r="U151" s="791">
        <v>2</v>
      </c>
      <c r="V151" s="784"/>
      <c r="W151" s="784"/>
      <c r="X151" s="784"/>
      <c r="Y151" s="975"/>
      <c r="Z151" s="975"/>
      <c r="AA151" s="967">
        <v>8</v>
      </c>
    </row>
    <row r="152" spans="4:27" s="25" customFormat="1" ht="16.5" customHeight="1">
      <c r="D152" s="295"/>
      <c r="E152" s="295"/>
      <c r="F152" s="295"/>
      <c r="G152" s="295"/>
      <c r="H152" s="295"/>
      <c r="L152" s="777">
        <v>5</v>
      </c>
      <c r="M152" s="778"/>
      <c r="N152" s="976">
        <v>111</v>
      </c>
      <c r="O152" s="1020">
        <v>95</v>
      </c>
      <c r="P152" s="847">
        <f>VLOOKUP(N152,etat!$A$9:$N$1004,2,FALSE)</f>
        <v>0</v>
      </c>
      <c r="Q152" s="797" t="str">
        <f>VLOOKUP(N152,etat!$A$9:$N$963,7,FALSE)</f>
        <v>3ع ت2</v>
      </c>
      <c r="R152" s="797" t="str">
        <f>VLOOKUP(N152,etat!$A$9:$N$1003,9,FALSE)</f>
        <v>خ</v>
      </c>
      <c r="S152" s="866" t="str">
        <f>VLOOKUP(N152,etat!$A$9:$P$905,16,FALSE)</f>
        <v>اخ3</v>
      </c>
      <c r="T152" s="755">
        <v>45781</v>
      </c>
      <c r="U152" s="791">
        <v>2</v>
      </c>
      <c r="V152" s="784"/>
      <c r="W152" s="784"/>
      <c r="X152" s="784"/>
      <c r="Y152" s="975"/>
      <c r="Z152" s="975"/>
      <c r="AA152" s="967">
        <v>8</v>
      </c>
    </row>
    <row r="153" spans="4:27" s="25" customFormat="1" ht="16.5" customHeight="1">
      <c r="D153" s="295"/>
      <c r="E153" s="295"/>
      <c r="F153" s="295"/>
      <c r="G153" s="295"/>
      <c r="H153" s="295"/>
      <c r="L153" s="777">
        <v>5</v>
      </c>
      <c r="M153" s="778"/>
      <c r="N153" s="976">
        <v>799</v>
      </c>
      <c r="O153" s="1020">
        <v>96</v>
      </c>
      <c r="P153" s="847">
        <f>VLOOKUP(N153,etat!$A$9:$N$1004,2,FALSE)</f>
        <v>0</v>
      </c>
      <c r="Q153" s="797">
        <f>VLOOKUP(N153,etat!$A$9:$N$963,7,FALSE)</f>
        <v>0</v>
      </c>
      <c r="R153" s="797">
        <f>VLOOKUP(N153,etat!$A$9:$N$1003,9,FALSE)</f>
        <v>0</v>
      </c>
      <c r="S153" s="866">
        <f>VLOOKUP(N153,etat!$A$9:$P$905,16,FALSE)</f>
        <v>0</v>
      </c>
      <c r="T153" s="755">
        <v>45776</v>
      </c>
      <c r="U153" s="791">
        <v>7</v>
      </c>
      <c r="V153" s="784" t="s">
        <v>2283</v>
      </c>
      <c r="W153" s="784"/>
      <c r="X153" s="784"/>
      <c r="Y153" s="1117"/>
      <c r="Z153" s="975" t="str">
        <f>VLOOKUP(L153,[2]اس!$S$3:$X$31,3,FALSE)</f>
        <v>.</v>
      </c>
      <c r="AA153" s="967">
        <v>8</v>
      </c>
    </row>
    <row r="154" spans="4:27" s="25" customFormat="1" ht="16.5" customHeight="1">
      <c r="D154" s="295"/>
      <c r="E154" s="295"/>
      <c r="F154" s="295"/>
      <c r="G154" s="295"/>
      <c r="H154" s="295"/>
      <c r="L154" s="777">
        <v>5</v>
      </c>
      <c r="M154" s="778"/>
      <c r="N154" s="976">
        <v>117</v>
      </c>
      <c r="O154" s="1020">
        <v>97</v>
      </c>
      <c r="P154" s="847">
        <f>VLOOKUP(N154,etat!$A$9:$N$1004,2,FALSE)</f>
        <v>0</v>
      </c>
      <c r="Q154" s="797" t="str">
        <f>VLOOKUP(N154,etat!$A$9:$N$963,7,FALSE)</f>
        <v>3ع ت2</v>
      </c>
      <c r="R154" s="797" t="str">
        <f>VLOOKUP(N154,etat!$A$9:$N$1003,9,FALSE)</f>
        <v>خ</v>
      </c>
      <c r="S154" s="866" t="str">
        <f>VLOOKUP(N154,etat!$A$9:$P$905,16,FALSE)</f>
        <v>ذخ3</v>
      </c>
      <c r="T154" s="755">
        <v>45771</v>
      </c>
      <c r="U154" s="791">
        <v>12</v>
      </c>
      <c r="V154" s="784" t="s">
        <v>2280</v>
      </c>
      <c r="W154" s="784" t="s">
        <v>2283</v>
      </c>
      <c r="X154" s="784"/>
      <c r="Y154" s="975"/>
      <c r="Z154" s="975"/>
      <c r="AA154" s="967">
        <v>7</v>
      </c>
    </row>
    <row r="155" spans="4:27" s="25" customFormat="1" ht="16.5" customHeight="1">
      <c r="D155" s="295"/>
      <c r="E155" s="295"/>
      <c r="F155" s="295"/>
      <c r="G155" s="295"/>
      <c r="H155" s="295"/>
      <c r="L155" s="777">
        <v>5</v>
      </c>
      <c r="M155" s="778"/>
      <c r="N155" s="976">
        <v>118</v>
      </c>
      <c r="O155" s="1020">
        <v>98</v>
      </c>
      <c r="P155" s="847">
        <f>VLOOKUP(N155,etat!$A$9:$N$1004,2,FALSE)</f>
        <v>0</v>
      </c>
      <c r="Q155" s="797" t="str">
        <f>VLOOKUP(N155,etat!$A$9:$N$963,7,FALSE)</f>
        <v>3ع ت2</v>
      </c>
      <c r="R155" s="797" t="str">
        <f>VLOOKUP(N155,etat!$A$9:$N$1003,9,FALSE)</f>
        <v>خ</v>
      </c>
      <c r="S155" s="866" t="str">
        <f>VLOOKUP(N155,etat!$A$9:$P$905,16,FALSE)</f>
        <v>اخ3</v>
      </c>
      <c r="T155" s="755">
        <v>45771</v>
      </c>
      <c r="U155" s="791">
        <v>12</v>
      </c>
      <c r="V155" s="784" t="s">
        <v>2280</v>
      </c>
      <c r="W155" s="784" t="s">
        <v>2283</v>
      </c>
      <c r="X155" s="784"/>
      <c r="Y155" s="975"/>
      <c r="Z155" s="975"/>
      <c r="AA155" s="967">
        <v>7</v>
      </c>
    </row>
    <row r="156" spans="4:27" s="25" customFormat="1" ht="16.5" customHeight="1">
      <c r="D156" s="295"/>
      <c r="E156" s="295"/>
      <c r="F156" s="295"/>
      <c r="G156" s="295"/>
      <c r="H156" s="295"/>
      <c r="L156" s="777">
        <v>5</v>
      </c>
      <c r="M156" s="778"/>
      <c r="N156" s="976">
        <v>126</v>
      </c>
      <c r="O156" s="1020">
        <v>99</v>
      </c>
      <c r="P156" s="847">
        <f>VLOOKUP(N156,etat!$A$9:$N$1004,2,FALSE)</f>
        <v>0</v>
      </c>
      <c r="Q156" s="797" t="str">
        <f>VLOOKUP(N156,etat!$A$9:$N$963,7,FALSE)</f>
        <v>3أ ف1</v>
      </c>
      <c r="R156" s="797" t="str">
        <f>VLOOKUP(N156,etat!$A$9:$N$1003,9,FALSE)</f>
        <v>ن/د</v>
      </c>
      <c r="S156" s="866" t="str">
        <f>VLOOKUP(N156,etat!$A$9:$P$905,16,FALSE)</f>
        <v>اخ3</v>
      </c>
      <c r="T156" s="755">
        <v>45774</v>
      </c>
      <c r="U156" s="791">
        <v>9</v>
      </c>
      <c r="V156" s="784" t="s">
        <v>2281</v>
      </c>
      <c r="W156" s="784"/>
      <c r="X156" s="784"/>
      <c r="Y156" s="1117"/>
      <c r="Z156" s="967"/>
      <c r="AA156" s="967">
        <v>7</v>
      </c>
    </row>
    <row r="157" spans="4:27" s="25" customFormat="1" ht="16.5" customHeight="1">
      <c r="D157" s="295"/>
      <c r="E157" s="295"/>
      <c r="F157" s="295"/>
      <c r="G157" s="295"/>
      <c r="H157" s="295"/>
      <c r="L157" s="777">
        <v>5</v>
      </c>
      <c r="M157" s="778"/>
      <c r="N157" s="976">
        <v>129</v>
      </c>
      <c r="O157" s="1020">
        <v>100</v>
      </c>
      <c r="P157" s="847">
        <f>VLOOKUP(N157,etat!$A$9:$N$1004,2,FALSE)</f>
        <v>0</v>
      </c>
      <c r="Q157" s="797" t="str">
        <f>VLOOKUP(N157,etat!$A$9:$N$963,7,FALSE)</f>
        <v>3أ ف1</v>
      </c>
      <c r="R157" s="797" t="str">
        <f>VLOOKUP(N157,etat!$A$9:$N$1003,9,FALSE)</f>
        <v>خ</v>
      </c>
      <c r="S157" s="866" t="str">
        <f>VLOOKUP(N157,etat!$A$9:$P$905,16,FALSE)</f>
        <v>اخ3</v>
      </c>
      <c r="T157" s="755">
        <v>45771</v>
      </c>
      <c r="U157" s="791">
        <v>11</v>
      </c>
      <c r="V157" s="784" t="s">
        <v>2280</v>
      </c>
      <c r="W157" s="784" t="s">
        <v>2283</v>
      </c>
      <c r="X157" s="784"/>
      <c r="Y157" s="975"/>
      <c r="Z157" s="975"/>
      <c r="AA157" s="967">
        <v>7</v>
      </c>
    </row>
    <row r="158" spans="4:27" s="25" customFormat="1" ht="16.5" customHeight="1">
      <c r="D158" s="295"/>
      <c r="E158" s="295"/>
      <c r="F158" s="295"/>
      <c r="G158" s="295"/>
      <c r="H158" s="295"/>
      <c r="L158" s="777">
        <v>5</v>
      </c>
      <c r="M158" s="778"/>
      <c r="N158" s="976">
        <v>131</v>
      </c>
      <c r="O158" s="1020">
        <v>101</v>
      </c>
      <c r="P158" s="847">
        <f>VLOOKUP(N158,etat!$A$9:$N$1004,2,FALSE)</f>
        <v>0</v>
      </c>
      <c r="Q158" s="797" t="str">
        <f>VLOOKUP(N158,etat!$A$9:$N$963,7,FALSE)</f>
        <v>3أ ف1</v>
      </c>
      <c r="R158" s="797" t="str">
        <f>VLOOKUP(N158,etat!$A$9:$N$1003,9,FALSE)</f>
        <v>خ</v>
      </c>
      <c r="S158" s="866" t="str">
        <f>VLOOKUP(N158,etat!$A$9:$P$905,16,FALSE)</f>
        <v>ذخ3</v>
      </c>
      <c r="T158" s="755">
        <v>45764</v>
      </c>
      <c r="U158" s="791">
        <v>18</v>
      </c>
      <c r="V158" s="784" t="s">
        <v>2269</v>
      </c>
      <c r="W158" s="784" t="s">
        <v>2280</v>
      </c>
      <c r="X158" s="784" t="s">
        <v>2283</v>
      </c>
      <c r="Y158" s="975"/>
      <c r="Z158" s="975" t="str">
        <f>VLOOKUP(L158,[2]اس!$S$3:$X$31,3,FALSE)</f>
        <v>.</v>
      </c>
      <c r="AA158" s="967">
        <v>7</v>
      </c>
    </row>
    <row r="159" spans="4:27" s="25" customFormat="1" ht="16.5" customHeight="1">
      <c r="D159" s="295"/>
      <c r="E159" s="295"/>
      <c r="F159" s="295"/>
      <c r="G159" s="295"/>
      <c r="H159" s="295"/>
      <c r="L159" s="777">
        <v>5</v>
      </c>
      <c r="M159" s="778"/>
      <c r="N159" s="976">
        <v>134</v>
      </c>
      <c r="O159" s="1020">
        <v>102</v>
      </c>
      <c r="P159" s="847">
        <f>VLOOKUP(N159,etat!$A$9:$N$1004,2,FALSE)</f>
        <v>0</v>
      </c>
      <c r="Q159" s="797" t="str">
        <f>VLOOKUP(N159,etat!$A$9:$N$963,7,FALSE)</f>
        <v>3أ ف1</v>
      </c>
      <c r="R159" s="797" t="str">
        <f>VLOOKUP(N159,etat!$A$9:$N$1003,9,FALSE)</f>
        <v>خ</v>
      </c>
      <c r="S159" s="866" t="str">
        <f>VLOOKUP(N159,etat!$A$9:$P$905,16,FALSE)</f>
        <v>اخ3</v>
      </c>
      <c r="T159" s="755">
        <v>45771</v>
      </c>
      <c r="U159" s="791">
        <v>12</v>
      </c>
      <c r="V159" s="784" t="s">
        <v>2280</v>
      </c>
      <c r="W159" s="784" t="s">
        <v>2283</v>
      </c>
      <c r="X159" s="784"/>
      <c r="Y159" s="975"/>
      <c r="Z159" s="975"/>
      <c r="AA159" s="967">
        <v>7</v>
      </c>
    </row>
    <row r="160" spans="4:27" s="25" customFormat="1" ht="16.5" customHeight="1">
      <c r="D160" s="295"/>
      <c r="E160" s="295"/>
      <c r="F160" s="295"/>
      <c r="G160" s="295"/>
      <c r="H160" s="295"/>
      <c r="L160" s="777">
        <v>5</v>
      </c>
      <c r="M160" s="778"/>
      <c r="N160" s="976">
        <v>137</v>
      </c>
      <c r="O160" s="1020">
        <v>103</v>
      </c>
      <c r="P160" s="847">
        <f>VLOOKUP(N160,etat!$A$9:$N$1004,2,FALSE)</f>
        <v>0</v>
      </c>
      <c r="Q160" s="797" t="str">
        <f>VLOOKUP(N160,etat!$A$9:$N$963,7,FALSE)</f>
        <v>3أ ف1</v>
      </c>
      <c r="R160" s="797" t="str">
        <f>VLOOKUP(N160,etat!$A$9:$N$1003,9,FALSE)</f>
        <v>خ</v>
      </c>
      <c r="S160" s="866" t="str">
        <f>VLOOKUP(N160,etat!$A$9:$P$905,16,FALSE)</f>
        <v>ان/د3</v>
      </c>
      <c r="T160" s="755">
        <v>45771</v>
      </c>
      <c r="U160" s="791">
        <v>12</v>
      </c>
      <c r="V160" s="784" t="s">
        <v>2280</v>
      </c>
      <c r="W160" s="784" t="s">
        <v>2283</v>
      </c>
      <c r="X160" s="784"/>
      <c r="Y160" s="975"/>
      <c r="Z160" s="975"/>
      <c r="AA160" s="967">
        <v>7</v>
      </c>
    </row>
    <row r="161" spans="4:27" s="25" customFormat="1" ht="16.5" customHeight="1">
      <c r="D161" s="295"/>
      <c r="E161" s="295"/>
      <c r="F161" s="295"/>
      <c r="G161" s="295"/>
      <c r="H161" s="295"/>
      <c r="L161" s="777">
        <v>5</v>
      </c>
      <c r="M161" s="778"/>
      <c r="N161" s="976">
        <v>138</v>
      </c>
      <c r="O161" s="1020">
        <v>104</v>
      </c>
      <c r="P161" s="847">
        <f>VLOOKUP(N161,etat!$A$9:$N$1004,2,FALSE)</f>
        <v>0</v>
      </c>
      <c r="Q161" s="797" t="str">
        <f>VLOOKUP(N161,etat!$A$9:$N$963,7,FALSE)</f>
        <v>3أ ف1</v>
      </c>
      <c r="R161" s="866" t="str">
        <f>VLOOKUP(N161,etat!$A$9:$N$1003,9,FALSE)</f>
        <v>خ</v>
      </c>
      <c r="S161" s="866" t="str">
        <f>VLOOKUP(N161,etat!$A$9:$P$905,16,FALSE)</f>
        <v>ان/د3</v>
      </c>
      <c r="T161" s="755">
        <v>45775</v>
      </c>
      <c r="U161" s="791">
        <v>8</v>
      </c>
      <c r="V161" s="784" t="s">
        <v>2282</v>
      </c>
      <c r="W161" s="869"/>
      <c r="X161" s="869"/>
      <c r="Y161" s="975"/>
      <c r="Z161" s="975"/>
      <c r="AA161" s="967">
        <v>7</v>
      </c>
    </row>
    <row r="162" spans="4:27" s="25" customFormat="1" ht="16.5" customHeight="1">
      <c r="D162" s="295"/>
      <c r="E162" s="295"/>
      <c r="F162" s="295"/>
      <c r="G162" s="295"/>
      <c r="H162" s="295"/>
      <c r="L162" s="777">
        <v>5</v>
      </c>
      <c r="M162" s="778"/>
      <c r="N162" s="976">
        <v>139</v>
      </c>
      <c r="O162" s="1020">
        <v>105</v>
      </c>
      <c r="P162" s="847">
        <f>VLOOKUP(N162,etat!$A$9:$N$1004,2,FALSE)</f>
        <v>0</v>
      </c>
      <c r="Q162" s="797" t="str">
        <f>VLOOKUP(N162,etat!$A$9:$N$963,7,FALSE)</f>
        <v>3أ ف1</v>
      </c>
      <c r="R162" s="797" t="str">
        <f>VLOOKUP(N162,etat!$A$9:$N$1003,9,FALSE)</f>
        <v>خ</v>
      </c>
      <c r="S162" s="866" t="str">
        <f>VLOOKUP(N162,etat!$A$9:$P$905,16,FALSE)</f>
        <v>ذن/د3</v>
      </c>
      <c r="T162" s="755">
        <v>45771</v>
      </c>
      <c r="U162" s="791">
        <v>12</v>
      </c>
      <c r="V162" s="784" t="s">
        <v>2280</v>
      </c>
      <c r="W162" s="784" t="s">
        <v>2283</v>
      </c>
      <c r="X162" s="784"/>
      <c r="Y162" s="1116"/>
      <c r="Z162" s="975"/>
      <c r="AA162" s="967">
        <v>7</v>
      </c>
    </row>
    <row r="163" spans="4:27" s="25" customFormat="1" ht="16.5" customHeight="1">
      <c r="D163" s="295"/>
      <c r="E163" s="295"/>
      <c r="F163" s="295"/>
      <c r="G163" s="295"/>
      <c r="H163" s="295"/>
      <c r="L163" s="777">
        <v>5</v>
      </c>
      <c r="M163" s="864"/>
      <c r="N163" s="976">
        <v>140</v>
      </c>
      <c r="O163" s="1020">
        <v>106</v>
      </c>
      <c r="P163" s="847">
        <f>VLOOKUP(N163,etat!$A$9:$N$1004,2,FALSE)</f>
        <v>0</v>
      </c>
      <c r="Q163" s="797" t="str">
        <f>VLOOKUP(N163,etat!$A$9:$N$963,7,FALSE)</f>
        <v>3أ ف1</v>
      </c>
      <c r="R163" s="797" t="str">
        <f>VLOOKUP(N163,etat!$A$9:$N$1003,9,FALSE)</f>
        <v>خ</v>
      </c>
      <c r="S163" s="866" t="str">
        <f>VLOOKUP(N163,etat!$A$9:$P$905,16,FALSE)</f>
        <v>ان/د3</v>
      </c>
      <c r="T163" s="755">
        <v>45781</v>
      </c>
      <c r="U163" s="791">
        <v>2</v>
      </c>
      <c r="V163" s="784"/>
      <c r="W163" s="784"/>
      <c r="X163" s="784"/>
      <c r="Y163" s="975"/>
      <c r="Z163" s="975"/>
      <c r="AA163" s="967">
        <v>7</v>
      </c>
    </row>
    <row r="164" spans="4:27" s="25" customFormat="1" ht="16.5" customHeight="1">
      <c r="D164" s="295"/>
      <c r="E164" s="295"/>
      <c r="F164" s="295"/>
      <c r="G164" s="295"/>
      <c r="H164" s="295"/>
      <c r="L164" s="777">
        <v>5</v>
      </c>
      <c r="M164" s="864"/>
      <c r="N164" s="976">
        <v>142</v>
      </c>
      <c r="O164" s="1020">
        <v>107</v>
      </c>
      <c r="P164" s="847">
        <f>VLOOKUP(N164,etat!$A$9:$N$1004,2,FALSE)</f>
        <v>0</v>
      </c>
      <c r="Q164" s="797" t="str">
        <f>VLOOKUP(N164,etat!$A$9:$N$963,7,FALSE)</f>
        <v>3أ ف1</v>
      </c>
      <c r="R164" s="866" t="str">
        <f>VLOOKUP(N164,etat!$A$9:$N$1003,9,FALSE)</f>
        <v>خ</v>
      </c>
      <c r="S164" s="866" t="str">
        <f>VLOOKUP(N164,etat!$A$9:$P$905,16,FALSE)</f>
        <v>اخ3</v>
      </c>
      <c r="T164" s="755">
        <v>45775</v>
      </c>
      <c r="U164" s="791">
        <v>8</v>
      </c>
      <c r="V164" s="784" t="s">
        <v>2282</v>
      </c>
      <c r="W164" s="869"/>
      <c r="X164" s="869"/>
      <c r="Y164" s="975"/>
      <c r="Z164" s="975"/>
      <c r="AA164" s="967">
        <v>7</v>
      </c>
    </row>
    <row r="165" spans="4:27" s="25" customFormat="1" ht="16.5" customHeight="1">
      <c r="D165" s="295"/>
      <c r="E165" s="295"/>
      <c r="F165" s="295"/>
      <c r="G165" s="295"/>
      <c r="H165" s="295"/>
      <c r="L165" s="777">
        <v>5</v>
      </c>
      <c r="M165" s="864"/>
      <c r="N165" s="976">
        <v>143</v>
      </c>
      <c r="O165" s="1020">
        <v>108</v>
      </c>
      <c r="P165" s="847">
        <f>VLOOKUP(N165,etat!$A$9:$N$1004,2,FALSE)</f>
        <v>0</v>
      </c>
      <c r="Q165" s="797" t="str">
        <f>VLOOKUP(N165,etat!$A$9:$N$963,7,FALSE)</f>
        <v>3أ ف1</v>
      </c>
      <c r="R165" s="797" t="str">
        <f>VLOOKUP(N165,etat!$A$9:$N$1003,9,FALSE)</f>
        <v>خ</v>
      </c>
      <c r="S165" s="866" t="str">
        <f>VLOOKUP(N165,etat!$A$9:$P$905,16,FALSE)</f>
        <v>اخ3</v>
      </c>
      <c r="T165" s="755">
        <v>45771</v>
      </c>
      <c r="U165" s="791">
        <v>12</v>
      </c>
      <c r="V165" s="784" t="s">
        <v>2280</v>
      </c>
      <c r="W165" s="784" t="s">
        <v>2283</v>
      </c>
      <c r="X165" s="784"/>
      <c r="Y165" s="975"/>
      <c r="Z165" s="975"/>
      <c r="AA165" s="967">
        <v>7</v>
      </c>
    </row>
    <row r="166" spans="4:27" s="25" customFormat="1" ht="16.5" customHeight="1">
      <c r="D166" s="295"/>
      <c r="E166" s="295"/>
      <c r="F166" s="295"/>
      <c r="G166" s="295"/>
      <c r="H166" s="295"/>
      <c r="L166" s="777">
        <v>5</v>
      </c>
      <c r="M166" s="778"/>
      <c r="N166" s="976">
        <v>144</v>
      </c>
      <c r="O166" s="1020">
        <v>109</v>
      </c>
      <c r="P166" s="847">
        <f>VLOOKUP(N166,etat!$A$9:$N$1004,2,FALSE)</f>
        <v>0</v>
      </c>
      <c r="Q166" s="797" t="str">
        <f>VLOOKUP(N166,etat!$A$9:$N$963,7,FALSE)</f>
        <v>3أ ف1</v>
      </c>
      <c r="R166" s="797" t="str">
        <f>VLOOKUP(N166,etat!$A$9:$N$1003,9,FALSE)</f>
        <v>خ</v>
      </c>
      <c r="S166" s="866" t="str">
        <f>VLOOKUP(N166,etat!$A$9:$P$905,16,FALSE)</f>
        <v>ذخ3</v>
      </c>
      <c r="T166" s="755">
        <v>45771</v>
      </c>
      <c r="U166" s="791">
        <v>12</v>
      </c>
      <c r="V166" s="784" t="s">
        <v>2280</v>
      </c>
      <c r="W166" s="784" t="s">
        <v>2283</v>
      </c>
      <c r="X166" s="784"/>
      <c r="Y166" s="975"/>
      <c r="Z166" s="975"/>
      <c r="AA166" s="967">
        <v>7</v>
      </c>
    </row>
    <row r="167" spans="4:27" s="25" customFormat="1" ht="16.5" customHeight="1">
      <c r="D167" s="295"/>
      <c r="E167" s="295"/>
      <c r="F167" s="295"/>
      <c r="G167" s="295"/>
      <c r="H167" s="295"/>
      <c r="L167" s="777">
        <v>5</v>
      </c>
      <c r="M167" s="778"/>
      <c r="N167" s="976">
        <v>146</v>
      </c>
      <c r="O167" s="1020">
        <v>110</v>
      </c>
      <c r="P167" s="847">
        <f>VLOOKUP(N167,etat!$A$9:$N$1004,2,FALSE)</f>
        <v>0</v>
      </c>
      <c r="Q167" s="797" t="str">
        <f>VLOOKUP(N167,etat!$A$9:$N$963,7,FALSE)</f>
        <v>3أ ف1</v>
      </c>
      <c r="R167" s="797" t="str">
        <f>VLOOKUP(N167,etat!$A$9:$N$1003,9,FALSE)</f>
        <v>خ</v>
      </c>
      <c r="S167" s="866" t="str">
        <f>VLOOKUP(N167,etat!$A$9:$P$905,16,FALSE)</f>
        <v>ذخ3</v>
      </c>
      <c r="T167" s="755">
        <v>45777</v>
      </c>
      <c r="U167" s="1129" t="s">
        <v>420</v>
      </c>
      <c r="V167" s="784" t="s">
        <v>2283</v>
      </c>
      <c r="W167" s="784"/>
      <c r="X167" s="784"/>
      <c r="Y167" s="975"/>
      <c r="Z167" s="975" t="str">
        <f>VLOOKUP(L167,[2]اس!$S$3:$X$31,3,FALSE)</f>
        <v>.</v>
      </c>
      <c r="AA167" s="967">
        <v>7</v>
      </c>
    </row>
    <row r="168" spans="4:27" s="25" customFormat="1" ht="16.5" customHeight="1">
      <c r="D168" s="295"/>
      <c r="E168" s="295"/>
      <c r="F168" s="295"/>
      <c r="G168" s="295"/>
      <c r="H168" s="295"/>
      <c r="L168" s="777">
        <v>5</v>
      </c>
      <c r="M168" s="778"/>
      <c r="N168" s="976">
        <v>133</v>
      </c>
      <c r="O168" s="1020">
        <v>111</v>
      </c>
      <c r="P168" s="847">
        <f>VLOOKUP(N168,etat!$A$9:$N$1004,2,FALSE)</f>
        <v>0</v>
      </c>
      <c r="Q168" s="797" t="str">
        <f>VLOOKUP(N168,etat!$A$9:$N$963,7,FALSE)</f>
        <v>3أ ف1</v>
      </c>
      <c r="R168" s="797" t="str">
        <f>VLOOKUP(N168,etat!$A$9:$N$1003,9,FALSE)</f>
        <v>خ</v>
      </c>
      <c r="S168" s="866" t="str">
        <f>VLOOKUP(N168,etat!$A$9:$P$905,16,FALSE)</f>
        <v>ذخ3</v>
      </c>
      <c r="T168" s="755">
        <v>45782</v>
      </c>
      <c r="U168" s="791">
        <v>1</v>
      </c>
      <c r="V168" s="784"/>
      <c r="W168" s="784"/>
      <c r="X168" s="784"/>
      <c r="Y168" s="975"/>
      <c r="Z168" s="975"/>
      <c r="AA168" s="967">
        <v>3</v>
      </c>
    </row>
    <row r="169" spans="4:27" s="25" customFormat="1" ht="16.5" customHeight="1">
      <c r="D169" s="295"/>
      <c r="E169" s="295"/>
      <c r="F169" s="295"/>
      <c r="G169" s="295"/>
      <c r="H169" s="295"/>
      <c r="L169" s="777">
        <v>5</v>
      </c>
      <c r="M169" s="778"/>
      <c r="N169" s="976">
        <v>130</v>
      </c>
      <c r="O169" s="1020">
        <v>112</v>
      </c>
      <c r="P169" s="847">
        <f>VLOOKUP(N169,etat!$A$9:$N$1004,2,FALSE)</f>
        <v>0</v>
      </c>
      <c r="Q169" s="797" t="str">
        <f>VLOOKUP(N169,etat!$A$9:$N$963,7,FALSE)</f>
        <v>3أ ف1</v>
      </c>
      <c r="R169" s="797" t="str">
        <f>VLOOKUP(N169,etat!$A$9:$N$1003,9,FALSE)</f>
        <v>خ</v>
      </c>
      <c r="S169" s="866" t="str">
        <f>VLOOKUP(N169,etat!$A$9:$P$905,16,FALSE)</f>
        <v>اخ3</v>
      </c>
      <c r="T169" s="755">
        <v>45782</v>
      </c>
      <c r="U169" s="791">
        <v>1</v>
      </c>
      <c r="V169" s="784"/>
      <c r="W169" s="784"/>
      <c r="X169" s="784"/>
      <c r="Y169" s="975"/>
      <c r="Z169" s="975"/>
      <c r="AA169" s="967">
        <v>3</v>
      </c>
    </row>
    <row r="170" spans="4:27" s="25" customFormat="1" ht="16.5" customHeight="1">
      <c r="D170" s="295"/>
      <c r="E170" s="295"/>
      <c r="F170" s="295"/>
      <c r="G170" s="295"/>
      <c r="H170" s="295"/>
      <c r="L170" s="777">
        <v>5</v>
      </c>
      <c r="M170" s="778"/>
      <c r="N170" s="976">
        <v>147</v>
      </c>
      <c r="O170" s="1020">
        <v>113</v>
      </c>
      <c r="P170" s="847">
        <f>VLOOKUP(N170,etat!$A$9:$N$1004,2,FALSE)</f>
        <v>0</v>
      </c>
      <c r="Q170" s="797" t="str">
        <f>VLOOKUP(N170,etat!$A$9:$N$963,7,FALSE)</f>
        <v>3أ ف1</v>
      </c>
      <c r="R170" s="797" t="str">
        <f>VLOOKUP(N170,etat!$A$9:$N$1003,9,FALSE)</f>
        <v>خ</v>
      </c>
      <c r="S170" s="866" t="str">
        <f>VLOOKUP(N170,etat!$A$9:$P$905,16,FALSE)</f>
        <v>اخ3</v>
      </c>
      <c r="T170" s="755">
        <v>45777</v>
      </c>
      <c r="U170" s="1129" t="s">
        <v>420</v>
      </c>
      <c r="V170" s="784" t="s">
        <v>2283</v>
      </c>
      <c r="W170" s="784"/>
      <c r="X170" s="784"/>
      <c r="Y170" s="975"/>
      <c r="Z170" s="975" t="str">
        <f>VLOOKUP(L170,[2]اس!$S$3:$X$31,3,FALSE)</f>
        <v>.</v>
      </c>
      <c r="AA170" s="967">
        <v>6</v>
      </c>
    </row>
    <row r="171" spans="4:27" s="25" customFormat="1" ht="16.5" customHeight="1">
      <c r="D171" s="295"/>
      <c r="E171" s="295"/>
      <c r="F171" s="295"/>
      <c r="G171" s="295"/>
      <c r="H171" s="295"/>
      <c r="L171" s="777">
        <v>5</v>
      </c>
      <c r="M171" s="778"/>
      <c r="N171" s="976">
        <v>148</v>
      </c>
      <c r="O171" s="1020">
        <v>114</v>
      </c>
      <c r="P171" s="847">
        <f>VLOOKUP(N171,etat!$A$9:$N$1004,2,FALSE)</f>
        <v>0</v>
      </c>
      <c r="Q171" s="797" t="str">
        <f>VLOOKUP(N171,etat!$A$9:$N$963,7,FALSE)</f>
        <v>3أ ف1</v>
      </c>
      <c r="R171" s="797" t="str">
        <f>VLOOKUP(N171,etat!$A$9:$N$1003,9,FALSE)</f>
        <v>خ</v>
      </c>
      <c r="S171" s="866" t="str">
        <f>VLOOKUP(N171,etat!$A$9:$P$905,16,FALSE)</f>
        <v>ذخ3</v>
      </c>
      <c r="T171" s="755">
        <v>45757</v>
      </c>
      <c r="U171" s="791">
        <v>26</v>
      </c>
      <c r="V171" s="784" t="s">
        <v>2265</v>
      </c>
      <c r="W171" s="784" t="s">
        <v>2269</v>
      </c>
      <c r="X171" s="784" t="s">
        <v>2280</v>
      </c>
      <c r="Y171" s="975"/>
      <c r="Z171" s="967"/>
      <c r="AA171" s="967">
        <v>6</v>
      </c>
    </row>
    <row r="172" spans="4:27" s="25" customFormat="1" ht="16.5" customHeight="1">
      <c r="D172" s="295"/>
      <c r="E172" s="295"/>
      <c r="F172" s="295"/>
      <c r="G172" s="295"/>
      <c r="H172" s="295"/>
      <c r="L172" s="777">
        <v>5</v>
      </c>
      <c r="M172" s="778"/>
      <c r="N172" s="976">
        <v>149</v>
      </c>
      <c r="O172" s="1020">
        <v>115</v>
      </c>
      <c r="P172" s="847">
        <f>VLOOKUP(N172,etat!$A$9:$N$1004,2,FALSE)</f>
        <v>0</v>
      </c>
      <c r="Q172" s="797" t="str">
        <f>VLOOKUP(N172,etat!$A$9:$N$963,7,FALSE)</f>
        <v>3أ ف1</v>
      </c>
      <c r="R172" s="797" t="str">
        <f>VLOOKUP(N172,etat!$A$9:$N$1003,9,FALSE)</f>
        <v>خ</v>
      </c>
      <c r="S172" s="866" t="str">
        <f>VLOOKUP(N172,etat!$A$9:$P$905,16,FALSE)</f>
        <v>اخ3</v>
      </c>
      <c r="T172" s="755">
        <v>45769</v>
      </c>
      <c r="U172" s="791">
        <v>14</v>
      </c>
      <c r="V172" s="784" t="s">
        <v>2278</v>
      </c>
      <c r="W172" s="784" t="s">
        <v>2283</v>
      </c>
      <c r="X172" s="784"/>
      <c r="Y172" s="975"/>
      <c r="Z172" s="967"/>
      <c r="AA172" s="967">
        <v>6</v>
      </c>
    </row>
    <row r="173" spans="4:27" s="25" customFormat="1" ht="16.5" customHeight="1">
      <c r="D173" s="295"/>
      <c r="E173" s="295"/>
      <c r="F173" s="295"/>
      <c r="G173" s="295"/>
      <c r="H173" s="295"/>
      <c r="L173" s="777">
        <v>5</v>
      </c>
      <c r="M173" s="778"/>
      <c r="N173" s="976">
        <v>150</v>
      </c>
      <c r="O173" s="1020">
        <v>116</v>
      </c>
      <c r="P173" s="847">
        <f>VLOOKUP(N173,etat!$A$9:$N$1004,2,FALSE)</f>
        <v>0</v>
      </c>
      <c r="Q173" s="797" t="str">
        <f>VLOOKUP(N173,etat!$A$9:$N$963,7,FALSE)</f>
        <v>3أ ف1</v>
      </c>
      <c r="R173" s="866" t="str">
        <f>VLOOKUP(N173,etat!$A$9:$N$1003,9,FALSE)</f>
        <v>خ</v>
      </c>
      <c r="S173" s="866" t="str">
        <f>VLOOKUP(N173,etat!$A$9:$P$905,16,FALSE)</f>
        <v>ذخ3</v>
      </c>
      <c r="T173" s="755">
        <v>45776</v>
      </c>
      <c r="U173" s="791">
        <v>7</v>
      </c>
      <c r="V173" s="784" t="s">
        <v>2283</v>
      </c>
      <c r="W173" s="784"/>
      <c r="X173" s="784"/>
      <c r="Y173" s="1118"/>
      <c r="Z173" s="975"/>
      <c r="AA173" s="967">
        <v>6</v>
      </c>
    </row>
    <row r="174" spans="4:27" s="25" customFormat="1" ht="16.5" customHeight="1">
      <c r="D174" s="295"/>
      <c r="E174" s="295"/>
      <c r="F174" s="295"/>
      <c r="G174" s="295"/>
      <c r="H174" s="295"/>
      <c r="L174" s="777">
        <v>5</v>
      </c>
      <c r="M174" s="778"/>
      <c r="N174" s="976">
        <v>151</v>
      </c>
      <c r="O174" s="1020">
        <v>117</v>
      </c>
      <c r="P174" s="847">
        <f>VLOOKUP(N174,etat!$A$9:$N$1004,2,FALSE)</f>
        <v>0</v>
      </c>
      <c r="Q174" s="797" t="str">
        <f>VLOOKUP(N174,etat!$A$9:$N$963,7,FALSE)</f>
        <v>3أ ف2</v>
      </c>
      <c r="R174" s="866" t="str">
        <f>VLOOKUP(N174,etat!$A$9:$N$1003,9,FALSE)</f>
        <v>ن/د</v>
      </c>
      <c r="S174" s="866" t="str">
        <f>VLOOKUP(N174,etat!$A$9:$P$905,16,FALSE)</f>
        <v>اخ3</v>
      </c>
      <c r="T174" s="755">
        <v>45775</v>
      </c>
      <c r="U174" s="791">
        <v>8</v>
      </c>
      <c r="V174" s="784" t="s">
        <v>2282</v>
      </c>
      <c r="W174" s="869"/>
      <c r="X174" s="869"/>
      <c r="Y174" s="975"/>
      <c r="Z174" s="975"/>
      <c r="AA174" s="967">
        <v>6</v>
      </c>
    </row>
    <row r="175" spans="4:27" s="25" customFormat="1" ht="16.5" customHeight="1">
      <c r="D175" s="295"/>
      <c r="E175" s="295"/>
      <c r="F175" s="295"/>
      <c r="G175" s="295"/>
      <c r="H175" s="295"/>
      <c r="L175" s="777">
        <v>5</v>
      </c>
      <c r="M175" s="778"/>
      <c r="N175" s="976">
        <v>154</v>
      </c>
      <c r="O175" s="1020">
        <v>118</v>
      </c>
      <c r="P175" s="847">
        <f>VLOOKUP(N175,etat!$A$9:$N$1004,2,FALSE)</f>
        <v>0</v>
      </c>
      <c r="Q175" s="797" t="str">
        <f>VLOOKUP(N175,etat!$A$9:$N$963,7,FALSE)</f>
        <v>3أ ف2</v>
      </c>
      <c r="R175" s="797" t="str">
        <f>VLOOKUP(N175,etat!$A$9:$N$1003,9,FALSE)</f>
        <v>ن/د</v>
      </c>
      <c r="S175" s="866" t="str">
        <f>VLOOKUP(N175,etat!$A$9:$P$905,16,FALSE)</f>
        <v>ذخ3</v>
      </c>
      <c r="T175" s="755">
        <v>45776</v>
      </c>
      <c r="U175" s="791">
        <v>7</v>
      </c>
      <c r="V175" s="784" t="s">
        <v>2283</v>
      </c>
      <c r="W175" s="784"/>
      <c r="X175" s="784"/>
      <c r="Y175" s="1118"/>
      <c r="Z175" s="975" t="str">
        <f>VLOOKUP(L176,[2]اس!$S$3:$X$31,3,FALSE)</f>
        <v>.</v>
      </c>
      <c r="AA175" s="967">
        <v>6</v>
      </c>
    </row>
    <row r="176" spans="4:27" s="25" customFormat="1" ht="16.5" customHeight="1">
      <c r="D176" s="295"/>
      <c r="E176" s="295"/>
      <c r="F176" s="295"/>
      <c r="G176" s="295"/>
      <c r="H176" s="295"/>
      <c r="L176" s="777">
        <v>5</v>
      </c>
      <c r="M176" s="778"/>
      <c r="N176" s="976">
        <v>155</v>
      </c>
      <c r="O176" s="1020">
        <v>119</v>
      </c>
      <c r="P176" s="847">
        <f>VLOOKUP(N176,etat!$A$9:$N$1004,2,FALSE)</f>
        <v>0</v>
      </c>
      <c r="Q176" s="797" t="str">
        <f>VLOOKUP(N176,etat!$A$9:$N$963,7,FALSE)</f>
        <v>3أ ف2</v>
      </c>
      <c r="R176" s="797" t="str">
        <f>VLOOKUP(N176,etat!$A$9:$N$1003,9,FALSE)</f>
        <v>ن/د</v>
      </c>
      <c r="S176" s="866" t="str">
        <f>VLOOKUP(N176,etat!$A$9:$P$905,16,FALSE)</f>
        <v>اخ3</v>
      </c>
      <c r="T176" s="755">
        <v>45776</v>
      </c>
      <c r="U176" s="791">
        <v>7</v>
      </c>
      <c r="V176" s="784" t="s">
        <v>2283</v>
      </c>
      <c r="W176" s="784"/>
      <c r="X176" s="784"/>
      <c r="Y176" s="1118"/>
      <c r="Z176" s="967"/>
      <c r="AA176" s="967">
        <v>6</v>
      </c>
    </row>
    <row r="177" spans="4:27" s="25" customFormat="1" ht="16.5" customHeight="1">
      <c r="D177" s="295"/>
      <c r="E177" s="295"/>
      <c r="F177" s="295"/>
      <c r="G177" s="295"/>
      <c r="H177" s="295"/>
      <c r="L177" s="777">
        <v>5</v>
      </c>
      <c r="M177" s="778"/>
      <c r="N177" s="976">
        <v>159</v>
      </c>
      <c r="O177" s="1020">
        <v>120</v>
      </c>
      <c r="P177" s="847">
        <f>VLOOKUP(N177,etat!$A$9:$N$1004,2,FALSE)</f>
        <v>0</v>
      </c>
      <c r="Q177" s="797" t="str">
        <f>VLOOKUP(N177,etat!$A$9:$N$963,7,FALSE)</f>
        <v>3أ ف2</v>
      </c>
      <c r="R177" s="797" t="str">
        <f>VLOOKUP(N177,etat!$A$9:$N$1003,9,FALSE)</f>
        <v>خ</v>
      </c>
      <c r="S177" s="866" t="str">
        <f>VLOOKUP(N177,etat!$A$9:$P$905,16,FALSE)</f>
        <v>ذخ3</v>
      </c>
      <c r="T177" s="755">
        <v>45770</v>
      </c>
      <c r="U177" s="791">
        <v>13</v>
      </c>
      <c r="V177" s="784" t="s">
        <v>2280</v>
      </c>
      <c r="W177" s="784" t="s">
        <v>2283</v>
      </c>
      <c r="X177" s="784"/>
      <c r="Y177" s="975"/>
      <c r="Z177" s="975" t="str">
        <f>VLOOKUP(L178,[2]اس!$S$3:$X$31,3,FALSE)</f>
        <v>.</v>
      </c>
      <c r="AA177" s="967">
        <v>6</v>
      </c>
    </row>
    <row r="178" spans="4:27" s="25" customFormat="1" ht="16.5" customHeight="1">
      <c r="D178" s="295"/>
      <c r="E178" s="295"/>
      <c r="F178" s="295"/>
      <c r="G178" s="295"/>
      <c r="H178" s="295"/>
      <c r="L178" s="777">
        <v>5</v>
      </c>
      <c r="M178" s="778"/>
      <c r="N178" s="976">
        <v>160</v>
      </c>
      <c r="O178" s="1020">
        <v>121</v>
      </c>
      <c r="P178" s="847">
        <f>VLOOKUP(N178,etat!$A$9:$N$1004,2,FALSE)</f>
        <v>0</v>
      </c>
      <c r="Q178" s="797" t="str">
        <f>VLOOKUP(N178,etat!$A$9:$N$963,7,FALSE)</f>
        <v>3أ ف2</v>
      </c>
      <c r="R178" s="797" t="str">
        <f>VLOOKUP(N178,etat!$A$9:$N$1003,9,FALSE)</f>
        <v>خ</v>
      </c>
      <c r="S178" s="866" t="str">
        <f>VLOOKUP(N178,etat!$A$9:$P$905,16,FALSE)</f>
        <v>ذخ3</v>
      </c>
      <c r="T178" s="755">
        <v>45757</v>
      </c>
      <c r="U178" s="791">
        <v>26</v>
      </c>
      <c r="V178" s="784" t="s">
        <v>2265</v>
      </c>
      <c r="W178" s="784" t="s">
        <v>2269</v>
      </c>
      <c r="X178" s="784" t="s">
        <v>2280</v>
      </c>
      <c r="Y178" s="975"/>
      <c r="Z178" s="975" t="str">
        <f>VLOOKUP(L179,[2]اس!$S$3:$X$31,3,FALSE)</f>
        <v>.</v>
      </c>
      <c r="AA178" s="967">
        <v>6</v>
      </c>
    </row>
    <row r="179" spans="4:27" s="25" customFormat="1" ht="16.5" customHeight="1">
      <c r="D179" s="295"/>
      <c r="E179" s="295"/>
      <c r="F179" s="295"/>
      <c r="G179" s="295"/>
      <c r="H179" s="295"/>
      <c r="L179" s="777">
        <v>5</v>
      </c>
      <c r="M179" s="778"/>
      <c r="N179" s="976">
        <v>161</v>
      </c>
      <c r="O179" s="1020">
        <v>122</v>
      </c>
      <c r="P179" s="847">
        <f>VLOOKUP(N179,etat!$A$9:$N$1004,2,FALSE)</f>
        <v>0</v>
      </c>
      <c r="Q179" s="797" t="str">
        <f>VLOOKUP(N179,etat!$A$9:$N$963,7,FALSE)</f>
        <v>3أ ف2</v>
      </c>
      <c r="R179" s="797" t="str">
        <f>VLOOKUP(N179,etat!$A$9:$N$1003,9,FALSE)</f>
        <v>خ</v>
      </c>
      <c r="S179" s="866" t="str">
        <f>VLOOKUP(N179,etat!$A$9:$P$905,16,FALSE)</f>
        <v>اخ3</v>
      </c>
      <c r="T179" s="755">
        <v>45774</v>
      </c>
      <c r="U179" s="791">
        <v>9</v>
      </c>
      <c r="V179" s="784" t="s">
        <v>2281</v>
      </c>
      <c r="W179" s="784"/>
      <c r="X179" s="784"/>
      <c r="Y179" s="1117"/>
      <c r="Z179" s="967"/>
      <c r="AA179" s="967">
        <v>6</v>
      </c>
    </row>
    <row r="180" spans="4:27" s="25" customFormat="1" ht="16.5" customHeight="1">
      <c r="D180" s="295"/>
      <c r="E180" s="295"/>
      <c r="F180" s="295"/>
      <c r="G180" s="295"/>
      <c r="H180" s="295"/>
      <c r="L180" s="777">
        <v>5</v>
      </c>
      <c r="M180" s="778"/>
      <c r="N180" s="976">
        <v>162</v>
      </c>
      <c r="O180" s="1020">
        <v>123</v>
      </c>
      <c r="P180" s="847">
        <f>VLOOKUP(N180,etat!$A$9:$N$1004,2,FALSE)</f>
        <v>0</v>
      </c>
      <c r="Q180" s="797" t="str">
        <f>VLOOKUP(N180,etat!$A$9:$N$963,7,FALSE)</f>
        <v>3أ ف2</v>
      </c>
      <c r="R180" s="797" t="str">
        <f>VLOOKUP(N180,etat!$A$9:$N$1003,9,FALSE)</f>
        <v>خ</v>
      </c>
      <c r="S180" s="866" t="str">
        <f>VLOOKUP(N180,etat!$A$9:$P$905,16,FALSE)</f>
        <v>اخ3</v>
      </c>
      <c r="T180" s="755">
        <v>45768</v>
      </c>
      <c r="U180" s="791">
        <v>15</v>
      </c>
      <c r="V180" s="784" t="s">
        <v>2273</v>
      </c>
      <c r="W180" s="784" t="s">
        <v>2282</v>
      </c>
      <c r="X180" s="784"/>
      <c r="Y180" s="975"/>
      <c r="Z180" s="967"/>
      <c r="AA180" s="967">
        <v>6</v>
      </c>
    </row>
    <row r="181" spans="4:27" s="25" customFormat="1" ht="16.5" customHeight="1">
      <c r="D181" s="295"/>
      <c r="E181" s="295"/>
      <c r="F181" s="295"/>
      <c r="G181" s="295"/>
      <c r="H181" s="295"/>
      <c r="L181" s="777">
        <v>5</v>
      </c>
      <c r="M181" s="778"/>
      <c r="N181" s="976">
        <v>163</v>
      </c>
      <c r="O181" s="1020">
        <v>124</v>
      </c>
      <c r="P181" s="847">
        <f>VLOOKUP(N181,etat!$A$9:$N$1004,2,FALSE)</f>
        <v>0</v>
      </c>
      <c r="Q181" s="797" t="str">
        <f>VLOOKUP(N181,etat!$A$9:$N$963,7,FALSE)</f>
        <v>3أ ف2</v>
      </c>
      <c r="R181" s="797" t="str">
        <f>VLOOKUP(N181,etat!$A$9:$N$1003,9,FALSE)</f>
        <v>خ</v>
      </c>
      <c r="S181" s="866" t="str">
        <f>VLOOKUP(N181,etat!$A$9:$P$905,16,FALSE)</f>
        <v>اخ3</v>
      </c>
      <c r="T181" s="755">
        <v>45770</v>
      </c>
      <c r="U181" s="791">
        <v>13</v>
      </c>
      <c r="V181" s="784" t="s">
        <v>2280</v>
      </c>
      <c r="W181" s="784" t="s">
        <v>2283</v>
      </c>
      <c r="X181" s="784"/>
      <c r="Y181" s="1116"/>
      <c r="Z181" s="975" t="str">
        <f>VLOOKUP(L182,[2]اس!$S$3:$X$31,3,FALSE)</f>
        <v>.</v>
      </c>
      <c r="AA181" s="967">
        <v>6</v>
      </c>
    </row>
    <row r="182" spans="4:27" s="25" customFormat="1" ht="16.5" customHeight="1">
      <c r="D182" s="295"/>
      <c r="E182" s="295"/>
      <c r="F182" s="295"/>
      <c r="G182" s="295"/>
      <c r="H182" s="295"/>
      <c r="L182" s="777">
        <v>5</v>
      </c>
      <c r="M182" s="778"/>
      <c r="N182" s="976">
        <v>164</v>
      </c>
      <c r="O182" s="1020">
        <v>125</v>
      </c>
      <c r="P182" s="847">
        <f>VLOOKUP(N182,etat!$A$9:$N$1004,2,FALSE)</f>
        <v>0</v>
      </c>
      <c r="Q182" s="797" t="str">
        <f>VLOOKUP(N182,etat!$A$9:$N$963,7,FALSE)</f>
        <v>3أ ف2</v>
      </c>
      <c r="R182" s="797" t="str">
        <f>VLOOKUP(N182,etat!$A$9:$N$1003,9,FALSE)</f>
        <v>خ</v>
      </c>
      <c r="S182" s="866" t="str">
        <f>VLOOKUP(N182,etat!$A$9:$P$905,16,FALSE)</f>
        <v>ذخ3</v>
      </c>
      <c r="T182" s="755">
        <v>45768</v>
      </c>
      <c r="U182" s="791">
        <v>15</v>
      </c>
      <c r="V182" s="784" t="s">
        <v>2273</v>
      </c>
      <c r="W182" s="784" t="s">
        <v>2282</v>
      </c>
      <c r="X182" s="784"/>
      <c r="Y182" s="1118"/>
      <c r="Z182" s="967"/>
      <c r="AA182" s="967">
        <v>6</v>
      </c>
    </row>
    <row r="183" spans="4:27" s="25" customFormat="1" ht="16.5" customHeight="1">
      <c r="D183" s="295"/>
      <c r="E183" s="295"/>
      <c r="F183" s="295"/>
      <c r="G183" s="295"/>
      <c r="H183" s="295"/>
      <c r="L183" s="777">
        <v>5</v>
      </c>
      <c r="M183" s="778"/>
      <c r="N183" s="976">
        <v>165</v>
      </c>
      <c r="O183" s="1020">
        <v>126</v>
      </c>
      <c r="P183" s="847">
        <f>VLOOKUP(N183,etat!$A$9:$N$1004,2,FALSE)</f>
        <v>0</v>
      </c>
      <c r="Q183" s="797" t="str">
        <f>VLOOKUP(N183,etat!$A$9:$N$963,7,FALSE)</f>
        <v>3أ ف2</v>
      </c>
      <c r="R183" s="797" t="str">
        <f>VLOOKUP(N183,etat!$A$9:$N$1003,9,FALSE)</f>
        <v>خ</v>
      </c>
      <c r="S183" s="866" t="str">
        <f>VLOOKUP(N183,etat!$A$9:$P$905,16,FALSE)</f>
        <v>ذخ3</v>
      </c>
      <c r="T183" s="755">
        <v>45776</v>
      </c>
      <c r="U183" s="791">
        <v>7</v>
      </c>
      <c r="V183" s="784" t="s">
        <v>2283</v>
      </c>
      <c r="W183" s="784"/>
      <c r="X183" s="784"/>
      <c r="Y183" s="1116"/>
      <c r="Z183" s="975"/>
      <c r="AA183" s="967">
        <v>6</v>
      </c>
    </row>
    <row r="184" spans="4:27" s="25" customFormat="1" ht="16.5" customHeight="1">
      <c r="D184" s="295"/>
      <c r="E184" s="295"/>
      <c r="F184" s="295"/>
      <c r="G184" s="295"/>
      <c r="H184" s="295"/>
      <c r="L184" s="777">
        <v>5</v>
      </c>
      <c r="M184" s="778"/>
      <c r="N184" s="976">
        <v>166</v>
      </c>
      <c r="O184" s="1020">
        <v>127</v>
      </c>
      <c r="P184" s="847">
        <f>VLOOKUP(N184,etat!$A$9:$N$1004,2,FALSE)</f>
        <v>0</v>
      </c>
      <c r="Q184" s="797" t="str">
        <f>VLOOKUP(N184,etat!$A$9:$N$963,7,FALSE)</f>
        <v>3أ ف2</v>
      </c>
      <c r="R184" s="797" t="str">
        <f>VLOOKUP(N184,etat!$A$9:$N$1003,9,FALSE)</f>
        <v>خ</v>
      </c>
      <c r="S184" s="866" t="str">
        <f>VLOOKUP(N184,etat!$A$9:$P$905,16,FALSE)</f>
        <v>ذن/د3</v>
      </c>
      <c r="T184" s="755">
        <v>45770</v>
      </c>
      <c r="U184" s="791">
        <v>13</v>
      </c>
      <c r="V184" s="784" t="s">
        <v>2280</v>
      </c>
      <c r="W184" s="784" t="s">
        <v>2283</v>
      </c>
      <c r="X184" s="784"/>
      <c r="Y184" s="1116"/>
      <c r="Z184" s="967"/>
      <c r="AA184" s="967">
        <v>6</v>
      </c>
    </row>
    <row r="185" spans="4:27" s="25" customFormat="1" ht="16.5" customHeight="1">
      <c r="D185" s="295"/>
      <c r="E185" s="295"/>
      <c r="F185" s="295"/>
      <c r="G185" s="295"/>
      <c r="H185" s="295"/>
      <c r="L185" s="777">
        <v>5</v>
      </c>
      <c r="M185" s="778"/>
      <c r="N185" s="976">
        <v>167</v>
      </c>
      <c r="O185" s="1020">
        <v>128</v>
      </c>
      <c r="P185" s="847">
        <f>VLOOKUP(N185,etat!$A$9:$N$1004,2,FALSE)</f>
        <v>0</v>
      </c>
      <c r="Q185" s="797" t="str">
        <f>VLOOKUP(N185,etat!$A$9:$N$963,7,FALSE)</f>
        <v>3أ ف2</v>
      </c>
      <c r="R185" s="797" t="str">
        <f>VLOOKUP(N185,etat!$A$9:$N$1003,9,FALSE)</f>
        <v>خ</v>
      </c>
      <c r="S185" s="866" t="str">
        <f>VLOOKUP(N185,etat!$A$9:$P$905,16,FALSE)</f>
        <v>ان/د3</v>
      </c>
      <c r="T185" s="755">
        <v>45762</v>
      </c>
      <c r="U185" s="791">
        <v>21</v>
      </c>
      <c r="V185" s="784" t="s">
        <v>2268</v>
      </c>
      <c r="W185" s="784" t="s">
        <v>2278</v>
      </c>
      <c r="X185" s="784" t="s">
        <v>2283</v>
      </c>
      <c r="Y185" s="1116"/>
      <c r="Z185" s="975" t="str">
        <f>VLOOKUP(L189,[2]اس!$S$3:$X$31,3,FALSE)</f>
        <v>.</v>
      </c>
      <c r="AA185" s="967">
        <v>6</v>
      </c>
    </row>
    <row r="186" spans="4:27" s="25" customFormat="1" ht="16.5" customHeight="1">
      <c r="D186" s="295"/>
      <c r="E186" s="295"/>
      <c r="F186" s="295"/>
      <c r="G186" s="295"/>
      <c r="H186" s="295"/>
      <c r="L186" s="777">
        <v>5</v>
      </c>
      <c r="M186" s="778"/>
      <c r="N186" s="976">
        <v>169</v>
      </c>
      <c r="O186" s="1020">
        <v>129</v>
      </c>
      <c r="P186" s="847">
        <f>VLOOKUP(N186,etat!$A$9:$N$1004,2,FALSE)</f>
        <v>0</v>
      </c>
      <c r="Q186" s="797" t="str">
        <f>VLOOKUP(N186,etat!$A$9:$N$963,7,FALSE)</f>
        <v>3أ ف2</v>
      </c>
      <c r="R186" s="797" t="str">
        <f>VLOOKUP(N186,etat!$A$9:$N$1003,9,FALSE)</f>
        <v>خ</v>
      </c>
      <c r="S186" s="866" t="str">
        <f>VLOOKUP(N186,etat!$A$9:$P$905,16,FALSE)</f>
        <v>ان/د3</v>
      </c>
      <c r="T186" s="755">
        <v>45757</v>
      </c>
      <c r="U186" s="791">
        <v>26</v>
      </c>
      <c r="V186" s="784" t="s">
        <v>2265</v>
      </c>
      <c r="W186" s="784" t="s">
        <v>2269</v>
      </c>
      <c r="X186" s="784" t="s">
        <v>2280</v>
      </c>
      <c r="Y186" s="975"/>
      <c r="Z186" s="967"/>
      <c r="AA186" s="967">
        <v>6</v>
      </c>
    </row>
    <row r="187" spans="4:27" s="25" customFormat="1" ht="16.5" customHeight="1">
      <c r="D187" s="295"/>
      <c r="E187" s="295"/>
      <c r="F187" s="295"/>
      <c r="G187" s="295"/>
      <c r="H187" s="295"/>
      <c r="L187" s="777">
        <v>5</v>
      </c>
      <c r="M187" s="778"/>
      <c r="N187" s="976">
        <v>170</v>
      </c>
      <c r="O187" s="1020">
        <v>130</v>
      </c>
      <c r="P187" s="847">
        <f>VLOOKUP(N187,etat!$A$9:$N$1004,2,FALSE)</f>
        <v>0</v>
      </c>
      <c r="Q187" s="797" t="str">
        <f>VLOOKUP(N187,etat!$A$9:$N$963,7,FALSE)</f>
        <v>3أ ف2</v>
      </c>
      <c r="R187" s="866" t="str">
        <f>VLOOKUP(N187,etat!$A$9:$N$1003,9,FALSE)</f>
        <v>خ</v>
      </c>
      <c r="S187" s="866" t="str">
        <f>VLOOKUP(N187,etat!$A$9:$P$905,16,FALSE)</f>
        <v>ان/د3</v>
      </c>
      <c r="T187" s="755">
        <v>45775</v>
      </c>
      <c r="U187" s="791">
        <v>8</v>
      </c>
      <c r="V187" s="784" t="s">
        <v>2282</v>
      </c>
      <c r="W187" s="869"/>
      <c r="X187" s="869"/>
      <c r="Y187" s="1118"/>
      <c r="Z187" s="975"/>
      <c r="AA187" s="967">
        <v>6</v>
      </c>
    </row>
    <row r="188" spans="4:27" s="25" customFormat="1" ht="16.5" customHeight="1">
      <c r="D188" s="295"/>
      <c r="E188" s="295"/>
      <c r="F188" s="295"/>
      <c r="G188" s="295"/>
      <c r="H188" s="295"/>
      <c r="L188" s="777">
        <v>5</v>
      </c>
      <c r="M188" s="778"/>
      <c r="N188" s="976">
        <v>171</v>
      </c>
      <c r="O188" s="1020">
        <v>131</v>
      </c>
      <c r="P188" s="847">
        <f>VLOOKUP(N188,etat!$A$9:$N$1004,2,FALSE)</f>
        <v>0</v>
      </c>
      <c r="Q188" s="797" t="str">
        <f>VLOOKUP(N188,etat!$A$9:$N$963,7,FALSE)</f>
        <v>3أ ف2</v>
      </c>
      <c r="R188" s="797" t="str">
        <f>VLOOKUP(N188,etat!$A$9:$N$1003,9,FALSE)</f>
        <v>خ</v>
      </c>
      <c r="S188" s="866" t="str">
        <f>VLOOKUP(N188,etat!$A$9:$P$905,16,FALSE)</f>
        <v>ذن/د3</v>
      </c>
      <c r="T188" s="755">
        <v>45776</v>
      </c>
      <c r="U188" s="791">
        <v>7</v>
      </c>
      <c r="V188" s="784" t="s">
        <v>2283</v>
      </c>
      <c r="W188" s="784"/>
      <c r="X188" s="784"/>
      <c r="Y188" s="975"/>
      <c r="Z188" s="975"/>
      <c r="AA188" s="967">
        <v>6</v>
      </c>
    </row>
    <row r="189" spans="4:27" s="25" customFormat="1" ht="16.5" customHeight="1">
      <c r="D189" s="295"/>
      <c r="E189" s="295"/>
      <c r="F189" s="295"/>
      <c r="G189" s="295"/>
      <c r="H189" s="295"/>
      <c r="L189" s="777">
        <v>5</v>
      </c>
      <c r="M189" s="778"/>
      <c r="N189" s="976">
        <v>172</v>
      </c>
      <c r="O189" s="1020">
        <v>132</v>
      </c>
      <c r="P189" s="847">
        <f>VLOOKUP(N189,etat!$A$9:$N$1004,2,FALSE)</f>
        <v>0</v>
      </c>
      <c r="Q189" s="797" t="str">
        <f>VLOOKUP(N189,etat!$A$9:$N$963,7,FALSE)</f>
        <v>3أ ف2</v>
      </c>
      <c r="R189" s="797" t="str">
        <f>VLOOKUP(N189,etat!$A$9:$N$1003,9,FALSE)</f>
        <v>خ</v>
      </c>
      <c r="S189" s="866" t="str">
        <f>VLOOKUP(N189,etat!$A$9:$P$905,16,FALSE)</f>
        <v>ان/د3</v>
      </c>
      <c r="T189" s="755">
        <v>45777</v>
      </c>
      <c r="U189" s="1129" t="s">
        <v>420</v>
      </c>
      <c r="V189" s="784" t="s">
        <v>2283</v>
      </c>
      <c r="W189" s="784"/>
      <c r="X189" s="784"/>
      <c r="Y189" s="975"/>
      <c r="Z189" s="975"/>
      <c r="AA189" s="967">
        <v>6</v>
      </c>
    </row>
    <row r="190" spans="4:27" s="25" customFormat="1" ht="16.5" customHeight="1">
      <c r="D190" s="295"/>
      <c r="E190" s="295"/>
      <c r="F190" s="295"/>
      <c r="G190" s="295"/>
      <c r="H190" s="295"/>
      <c r="L190" s="777">
        <v>5</v>
      </c>
      <c r="M190" s="778"/>
      <c r="N190" s="976">
        <v>175</v>
      </c>
      <c r="O190" s="1020">
        <v>133</v>
      </c>
      <c r="P190" s="847">
        <f>VLOOKUP(N190,etat!$A$9:$N$1004,2,FALSE)</f>
        <v>0</v>
      </c>
      <c r="Q190" s="797" t="str">
        <f>VLOOKUP(N190,etat!$A$9:$N$963,7,FALSE)</f>
        <v>3أ ف2</v>
      </c>
      <c r="R190" s="797" t="str">
        <f>VLOOKUP(N190,etat!$A$9:$N$1003,9,FALSE)</f>
        <v>خ</v>
      </c>
      <c r="S190" s="866" t="str">
        <f>VLOOKUP(N190,etat!$A$9:$P$905,16,FALSE)</f>
        <v>اخ3</v>
      </c>
      <c r="T190" s="755">
        <v>45777</v>
      </c>
      <c r="U190" s="1129" t="s">
        <v>420</v>
      </c>
      <c r="V190" s="784" t="s">
        <v>2283</v>
      </c>
      <c r="W190" s="784"/>
      <c r="X190" s="784"/>
      <c r="Y190" s="975"/>
      <c r="Z190" s="967"/>
      <c r="AA190" s="967">
        <v>6</v>
      </c>
    </row>
    <row r="191" spans="4:27" s="25" customFormat="1" ht="16.5" customHeight="1">
      <c r="D191" s="295"/>
      <c r="E191" s="295"/>
      <c r="F191" s="295"/>
      <c r="G191" s="295"/>
      <c r="H191" s="295"/>
      <c r="L191" s="777">
        <v>5</v>
      </c>
      <c r="M191" s="778"/>
      <c r="N191" s="976">
        <v>177</v>
      </c>
      <c r="O191" s="1020">
        <v>134</v>
      </c>
      <c r="P191" s="847">
        <f>VLOOKUP(N191,etat!$A$9:$N$1004,2,FALSE)</f>
        <v>0</v>
      </c>
      <c r="Q191" s="797" t="str">
        <f>VLOOKUP(N191,etat!$A$9:$N$963,7,FALSE)</f>
        <v>3أ ف2</v>
      </c>
      <c r="R191" s="797" t="str">
        <f>VLOOKUP(N191,etat!$A$9:$N$1003,9,FALSE)</f>
        <v>خ</v>
      </c>
      <c r="S191" s="866" t="str">
        <f>VLOOKUP(N191,etat!$A$9:$P$905,16,FALSE)</f>
        <v>اخ3</v>
      </c>
      <c r="T191" s="755">
        <v>45771</v>
      </c>
      <c r="U191" s="791">
        <v>12</v>
      </c>
      <c r="V191" s="784" t="s">
        <v>2280</v>
      </c>
      <c r="W191" s="784" t="s">
        <v>2283</v>
      </c>
      <c r="X191" s="784"/>
      <c r="Y191" s="975"/>
      <c r="Z191" s="975" t="str">
        <f>VLOOKUP(L191,[2]اس!$S$3:$X$31,3,FALSE)</f>
        <v>.</v>
      </c>
      <c r="AA191" s="967">
        <v>6</v>
      </c>
    </row>
    <row r="192" spans="4:27" s="25" customFormat="1" ht="16.5" customHeight="1">
      <c r="D192" s="295"/>
      <c r="E192" s="295"/>
      <c r="F192" s="295"/>
      <c r="G192" s="295"/>
      <c r="H192" s="295"/>
      <c r="L192" s="777">
        <v>5</v>
      </c>
      <c r="M192" s="864"/>
      <c r="N192" s="976">
        <v>179</v>
      </c>
      <c r="O192" s="1020">
        <v>135</v>
      </c>
      <c r="P192" s="847">
        <f>VLOOKUP(N192,etat!$A$9:$N$1004,2,FALSE)</f>
        <v>0</v>
      </c>
      <c r="Q192" s="797" t="str">
        <f>VLOOKUP(N192,etat!$A$9:$N$963,7,FALSE)</f>
        <v>3ل أ</v>
      </c>
      <c r="R192" s="866" t="str">
        <f>VLOOKUP(N192,etat!$A$9:$N$1003,9,FALSE)</f>
        <v>ن/د</v>
      </c>
      <c r="S192" s="866" t="str">
        <f>VLOOKUP(N192,etat!$A$9:$P$905,16,FALSE)</f>
        <v>ذخ3</v>
      </c>
      <c r="T192" s="755">
        <v>45777</v>
      </c>
      <c r="U192" s="1129" t="s">
        <v>420</v>
      </c>
      <c r="V192" s="784" t="s">
        <v>2283</v>
      </c>
      <c r="W192" s="784"/>
      <c r="X192" s="784"/>
      <c r="Y192" s="975"/>
      <c r="Z192" s="975"/>
      <c r="AA192" s="967">
        <v>6</v>
      </c>
    </row>
    <row r="193" spans="4:27" s="25" customFormat="1" ht="16.5" customHeight="1">
      <c r="D193" s="295"/>
      <c r="E193" s="295"/>
      <c r="F193" s="295"/>
      <c r="G193" s="295"/>
      <c r="H193" s="295"/>
      <c r="L193" s="777">
        <v>5</v>
      </c>
      <c r="M193" s="864"/>
      <c r="N193" s="976">
        <v>180</v>
      </c>
      <c r="O193" s="1020">
        <v>136</v>
      </c>
      <c r="P193" s="847">
        <f>VLOOKUP(N193,etat!$A$9:$N$1004,2,FALSE)</f>
        <v>0</v>
      </c>
      <c r="Q193" s="797" t="str">
        <f>VLOOKUP(N193,etat!$A$9:$N$963,7,FALSE)</f>
        <v>3ل أ</v>
      </c>
      <c r="R193" s="797" t="str">
        <f>VLOOKUP(N193,etat!$A$9:$N$1003,9,FALSE)</f>
        <v>ن/د</v>
      </c>
      <c r="S193" s="866" t="str">
        <f>VLOOKUP(N193,etat!$A$9:$P$905,16,FALSE)</f>
        <v>اخ3</v>
      </c>
      <c r="T193" s="755">
        <v>45777</v>
      </c>
      <c r="U193" s="1129" t="s">
        <v>420</v>
      </c>
      <c r="V193" s="784" t="s">
        <v>2283</v>
      </c>
      <c r="W193" s="784"/>
      <c r="X193" s="784"/>
      <c r="Y193" s="975"/>
      <c r="Z193" s="975"/>
      <c r="AA193" s="967">
        <v>6</v>
      </c>
    </row>
    <row r="194" spans="4:27" s="25" customFormat="1" ht="16.5" customHeight="1">
      <c r="D194" s="295"/>
      <c r="E194" s="295"/>
      <c r="F194" s="295"/>
      <c r="G194" s="295"/>
      <c r="H194" s="295"/>
      <c r="L194" s="777">
        <v>5</v>
      </c>
      <c r="M194" s="778"/>
      <c r="N194" s="976">
        <v>181</v>
      </c>
      <c r="O194" s="1020">
        <v>137</v>
      </c>
      <c r="P194" s="847">
        <f>VLOOKUP(N194,etat!$A$9:$N$1004,2,FALSE)</f>
        <v>0</v>
      </c>
      <c r="Q194" s="797" t="str">
        <f>VLOOKUP(N194,etat!$A$9:$N$963,7,FALSE)</f>
        <v>3ل أ</v>
      </c>
      <c r="R194" s="797" t="str">
        <f>VLOOKUP(N194,etat!$A$9:$N$1003,9,FALSE)</f>
        <v>ن/د</v>
      </c>
      <c r="S194" s="866" t="str">
        <f>VLOOKUP(N194,etat!$A$9:$P$905,16,FALSE)</f>
        <v>اخ3</v>
      </c>
      <c r="T194" s="755">
        <v>45770</v>
      </c>
      <c r="U194" s="791">
        <v>13</v>
      </c>
      <c r="V194" s="784" t="s">
        <v>2280</v>
      </c>
      <c r="W194" s="784" t="s">
        <v>2283</v>
      </c>
      <c r="X194" s="784"/>
      <c r="Y194" s="975"/>
      <c r="Z194" s="975" t="str">
        <f>VLOOKUP(L194,[2]اس!$S$3:$X$31,3,FALSE)</f>
        <v>.</v>
      </c>
      <c r="AA194" s="967">
        <v>6</v>
      </c>
    </row>
    <row r="195" spans="4:27" s="25" customFormat="1" ht="16.5" customHeight="1">
      <c r="D195" s="295"/>
      <c r="E195" s="295"/>
      <c r="F195" s="295"/>
      <c r="G195" s="295"/>
      <c r="H195" s="295"/>
      <c r="L195" s="777">
        <v>5</v>
      </c>
      <c r="M195" s="778"/>
      <c r="N195" s="976">
        <v>182</v>
      </c>
      <c r="O195" s="1020">
        <v>138</v>
      </c>
      <c r="P195" s="847">
        <f>VLOOKUP(N195,etat!$A$9:$N$1004,2,FALSE)</f>
        <v>0</v>
      </c>
      <c r="Q195" s="797" t="str">
        <f>VLOOKUP(N195,etat!$A$9:$N$963,7,FALSE)</f>
        <v>3ل أ</v>
      </c>
      <c r="R195" s="797" t="str">
        <f>VLOOKUP(N195,etat!$A$9:$N$1003,9,FALSE)</f>
        <v>خ</v>
      </c>
      <c r="S195" s="866" t="str">
        <f>VLOOKUP(N195,etat!$A$9:$P$905,16,FALSE)</f>
        <v>اخ3</v>
      </c>
      <c r="T195" s="755">
        <v>45769</v>
      </c>
      <c r="U195" s="791">
        <v>14</v>
      </c>
      <c r="V195" s="784" t="s">
        <v>2278</v>
      </c>
      <c r="W195" s="784" t="s">
        <v>2283</v>
      </c>
      <c r="X195" s="784"/>
      <c r="Y195" s="975"/>
      <c r="Z195" s="975" t="str">
        <f>VLOOKUP(L195,[2]اس!$S$3:$X$31,3,FALSE)</f>
        <v>.</v>
      </c>
      <c r="AA195" s="967">
        <v>6</v>
      </c>
    </row>
    <row r="196" spans="4:27" s="25" customFormat="1" ht="16.5" customHeight="1">
      <c r="D196" s="295"/>
      <c r="E196" s="295"/>
      <c r="F196" s="295"/>
      <c r="G196" s="295"/>
      <c r="H196" s="295"/>
      <c r="L196" s="777">
        <v>5</v>
      </c>
      <c r="M196" s="778"/>
      <c r="N196" s="976">
        <v>183</v>
      </c>
      <c r="O196" s="1020">
        <v>139</v>
      </c>
      <c r="P196" s="847">
        <f>VLOOKUP(N196,etat!$A$9:$N$1004,2,FALSE)</f>
        <v>0</v>
      </c>
      <c r="Q196" s="797" t="str">
        <f>VLOOKUP(N196,etat!$A$9:$N$963,7,FALSE)</f>
        <v>3ل أ</v>
      </c>
      <c r="R196" s="797" t="str">
        <f>VLOOKUP(N196,etat!$A$9:$N$1003,9,FALSE)</f>
        <v>خ</v>
      </c>
      <c r="S196" s="866" t="str">
        <f>VLOOKUP(N196,etat!$A$9:$P$905,16,FALSE)</f>
        <v>اخ3</v>
      </c>
      <c r="T196" s="755">
        <v>45756</v>
      </c>
      <c r="U196" s="791">
        <v>27</v>
      </c>
      <c r="V196" s="784" t="s">
        <v>2265</v>
      </c>
      <c r="W196" s="784" t="s">
        <v>2269</v>
      </c>
      <c r="X196" s="784" t="s">
        <v>2280</v>
      </c>
      <c r="Y196" s="975"/>
      <c r="Z196" s="975" t="str">
        <f>VLOOKUP(L196,[2]اس!$S$3:$X$31,3,FALSE)</f>
        <v>.</v>
      </c>
      <c r="AA196" s="967">
        <v>6</v>
      </c>
    </row>
    <row r="197" spans="4:27" s="25" customFormat="1" ht="16.5" customHeight="1">
      <c r="D197" s="295"/>
      <c r="E197" s="295"/>
      <c r="F197" s="295"/>
      <c r="G197" s="295"/>
      <c r="H197" s="295"/>
      <c r="L197" s="777">
        <v>5</v>
      </c>
      <c r="M197" s="778"/>
      <c r="N197" s="976">
        <v>185</v>
      </c>
      <c r="O197" s="1020">
        <v>140</v>
      </c>
      <c r="P197" s="847">
        <f>VLOOKUP(N197,etat!$A$9:$N$1004,2,FALSE)</f>
        <v>0</v>
      </c>
      <c r="Q197" s="797" t="str">
        <f>VLOOKUP(N197,etat!$A$9:$N$963,7,FALSE)</f>
        <v>3ل أ</v>
      </c>
      <c r="R197" s="866" t="str">
        <f>VLOOKUP(N197,etat!$A$9:$N$1003,9,FALSE)</f>
        <v>خ</v>
      </c>
      <c r="S197" s="866" t="str">
        <f>VLOOKUP(N197,etat!$A$9:$P$905,16,FALSE)</f>
        <v>اخ3</v>
      </c>
      <c r="T197" s="755">
        <v>45775</v>
      </c>
      <c r="U197" s="791">
        <v>8</v>
      </c>
      <c r="V197" s="784" t="s">
        <v>2282</v>
      </c>
      <c r="W197" s="869"/>
      <c r="X197" s="869"/>
      <c r="Y197" s="975"/>
      <c r="Z197" s="975"/>
      <c r="AA197" s="967">
        <v>6</v>
      </c>
    </row>
    <row r="198" spans="4:27" s="25" customFormat="1" ht="16.5" customHeight="1">
      <c r="D198" s="295"/>
      <c r="E198" s="295"/>
      <c r="F198" s="295"/>
      <c r="G198" s="295"/>
      <c r="H198" s="295"/>
      <c r="L198" s="777">
        <v>5</v>
      </c>
      <c r="M198" s="778"/>
      <c r="N198" s="976">
        <v>186</v>
      </c>
      <c r="O198" s="1020">
        <v>141</v>
      </c>
      <c r="P198" s="847">
        <f>VLOOKUP(N198,etat!$A$9:$N$1004,2,FALSE)</f>
        <v>0</v>
      </c>
      <c r="Q198" s="797" t="str">
        <f>VLOOKUP(N198,etat!$A$9:$N$963,7,FALSE)</f>
        <v>3ل أ</v>
      </c>
      <c r="R198" s="797" t="str">
        <f>VLOOKUP(N198,etat!$A$9:$N$1003,9,FALSE)</f>
        <v>خ</v>
      </c>
      <c r="S198" s="866" t="str">
        <f>VLOOKUP(N198,etat!$A$9:$P$905,16,FALSE)</f>
        <v>اخ3</v>
      </c>
      <c r="T198" s="755">
        <v>45769</v>
      </c>
      <c r="U198" s="791">
        <v>14</v>
      </c>
      <c r="V198" s="784" t="s">
        <v>2278</v>
      </c>
      <c r="W198" s="784" t="s">
        <v>2283</v>
      </c>
      <c r="X198" s="784"/>
      <c r="Y198" s="975"/>
      <c r="Z198" s="975" t="str">
        <f>VLOOKUP(L198,[2]اس!$S$3:$X$31,3,FALSE)</f>
        <v>.</v>
      </c>
      <c r="AA198" s="967">
        <v>6</v>
      </c>
    </row>
    <row r="199" spans="4:27" s="25" customFormat="1" ht="16.5" customHeight="1">
      <c r="D199" s="295"/>
      <c r="E199" s="295"/>
      <c r="F199" s="295"/>
      <c r="G199" s="295"/>
      <c r="H199" s="295"/>
      <c r="L199" s="777">
        <v>5</v>
      </c>
      <c r="M199" s="778"/>
      <c r="N199" s="976">
        <v>187</v>
      </c>
      <c r="O199" s="1020">
        <v>142</v>
      </c>
      <c r="P199" s="847">
        <f>VLOOKUP(N199,etat!$A$9:$N$1004,2,FALSE)</f>
        <v>0</v>
      </c>
      <c r="Q199" s="797" t="str">
        <f>VLOOKUP(N199,etat!$A$9:$N$963,7,FALSE)</f>
        <v>3ل أ</v>
      </c>
      <c r="R199" s="866" t="str">
        <f>VLOOKUP(N199,etat!$A$9:$N$1003,9,FALSE)</f>
        <v>خ</v>
      </c>
      <c r="S199" s="866" t="str">
        <f>VLOOKUP(N199,etat!$A$9:$P$905,16,FALSE)</f>
        <v>ذخ3</v>
      </c>
      <c r="T199" s="755">
        <v>45775</v>
      </c>
      <c r="U199" s="791">
        <v>9</v>
      </c>
      <c r="V199" s="784" t="s">
        <v>2282</v>
      </c>
      <c r="W199" s="869"/>
      <c r="X199" s="869"/>
      <c r="Y199" s="975"/>
      <c r="Z199" s="975"/>
      <c r="AA199" s="967">
        <v>6</v>
      </c>
    </row>
    <row r="200" spans="4:27" s="25" customFormat="1" ht="16.5" customHeight="1">
      <c r="D200" s="295"/>
      <c r="E200" s="295"/>
      <c r="F200" s="295"/>
      <c r="G200" s="295"/>
      <c r="H200" s="295"/>
      <c r="L200" s="777">
        <v>5</v>
      </c>
      <c r="M200" s="778"/>
      <c r="N200" s="976">
        <v>191</v>
      </c>
      <c r="O200" s="1020">
        <v>143</v>
      </c>
      <c r="P200" s="847">
        <f>VLOOKUP(N200,etat!$A$9:$N$1004,2,FALSE)</f>
        <v>0</v>
      </c>
      <c r="Q200" s="797" t="str">
        <f>VLOOKUP(N200,etat!$A$9:$N$963,7,FALSE)</f>
        <v>3ل أ</v>
      </c>
      <c r="R200" s="797" t="str">
        <f>VLOOKUP(N200,etat!$A$9:$N$1003,9,FALSE)</f>
        <v>خ</v>
      </c>
      <c r="S200" s="866" t="str">
        <f>VLOOKUP(N200,etat!$A$9:$P$905,16,FALSE)</f>
        <v>ان/د3</v>
      </c>
      <c r="T200" s="755">
        <v>45763</v>
      </c>
      <c r="U200" s="791">
        <v>20</v>
      </c>
      <c r="V200" s="784" t="s">
        <v>2269</v>
      </c>
      <c r="W200" s="784" t="s">
        <v>2280</v>
      </c>
      <c r="X200" s="784" t="s">
        <v>2283</v>
      </c>
      <c r="Y200" s="975"/>
      <c r="Z200" s="967"/>
      <c r="AA200" s="967">
        <v>6</v>
      </c>
    </row>
    <row r="201" spans="4:27" s="25" customFormat="1" ht="16.5" customHeight="1">
      <c r="D201" s="295"/>
      <c r="E201" s="295"/>
      <c r="F201" s="295"/>
      <c r="G201" s="295"/>
      <c r="H201" s="295"/>
      <c r="L201" s="777">
        <v>5</v>
      </c>
      <c r="M201" s="778"/>
      <c r="N201" s="976">
        <v>192</v>
      </c>
      <c r="O201" s="1020">
        <v>144</v>
      </c>
      <c r="P201" s="847">
        <f>VLOOKUP(N201,etat!$A$9:$N$1004,2,FALSE)</f>
        <v>0</v>
      </c>
      <c r="Q201" s="797" t="str">
        <f>VLOOKUP(N201,etat!$A$9:$N$963,7,FALSE)</f>
        <v>3ل أ</v>
      </c>
      <c r="R201" s="797" t="str">
        <f>VLOOKUP(N201,etat!$A$9:$N$1003,9,FALSE)</f>
        <v>خ</v>
      </c>
      <c r="S201" s="866" t="str">
        <f>VLOOKUP(N201,etat!$A$9:$P$905,16,FALSE)</f>
        <v>ان/د3</v>
      </c>
      <c r="T201" s="755">
        <v>45762</v>
      </c>
      <c r="U201" s="791">
        <v>21</v>
      </c>
      <c r="V201" s="784" t="s">
        <v>2268</v>
      </c>
      <c r="W201" s="784" t="s">
        <v>2278</v>
      </c>
      <c r="X201" s="784" t="s">
        <v>2283</v>
      </c>
      <c r="Y201" s="975"/>
      <c r="Z201" s="975" t="str">
        <f>VLOOKUP(L201,[2]اس!$S$3:$X$31,3,FALSE)</f>
        <v>.</v>
      </c>
      <c r="AA201" s="967">
        <v>6</v>
      </c>
    </row>
    <row r="202" spans="4:27" s="25" customFormat="1" ht="16.5" customHeight="1">
      <c r="D202" s="295"/>
      <c r="E202" s="295"/>
      <c r="F202" s="295"/>
      <c r="G202" s="295"/>
      <c r="H202" s="295"/>
      <c r="L202" s="777">
        <v>5</v>
      </c>
      <c r="M202" s="778"/>
      <c r="N202" s="976">
        <v>193</v>
      </c>
      <c r="O202" s="1020">
        <v>145</v>
      </c>
      <c r="P202" s="847">
        <f>VLOOKUP(N202,etat!$A$9:$N$1004,2,FALSE)</f>
        <v>0</v>
      </c>
      <c r="Q202" s="797" t="str">
        <f>VLOOKUP(N202,etat!$A$9:$N$963,7,FALSE)</f>
        <v>3ل أ</v>
      </c>
      <c r="R202" s="797" t="str">
        <f>VLOOKUP(N202,etat!$A$9:$N$1003,9,FALSE)</f>
        <v>خ</v>
      </c>
      <c r="S202" s="866" t="str">
        <f>VLOOKUP(N202,etat!$A$9:$P$905,16,FALSE)</f>
        <v>ان/د3</v>
      </c>
      <c r="T202" s="755">
        <v>45754</v>
      </c>
      <c r="U202" s="791">
        <v>29</v>
      </c>
      <c r="V202" s="784" t="s">
        <v>2264</v>
      </c>
      <c r="W202" s="784" t="s">
        <v>2267</v>
      </c>
      <c r="X202" s="784" t="s">
        <v>2275</v>
      </c>
      <c r="Y202" s="975"/>
      <c r="Z202" s="975" t="str">
        <f>VLOOKUP(L202,[2]اس!$S$3:$X$31,3,FALSE)</f>
        <v>.</v>
      </c>
      <c r="AA202" s="967">
        <v>6</v>
      </c>
    </row>
    <row r="203" spans="4:27" s="25" customFormat="1" ht="16.5" customHeight="1">
      <c r="D203" s="295"/>
      <c r="E203" s="295"/>
      <c r="F203" s="295"/>
      <c r="G203" s="295"/>
      <c r="H203" s="295"/>
      <c r="L203" s="777">
        <v>5</v>
      </c>
      <c r="M203" s="778"/>
      <c r="N203" s="976">
        <v>194</v>
      </c>
      <c r="O203" s="1020">
        <v>146</v>
      </c>
      <c r="P203" s="847">
        <f>VLOOKUP(N203,etat!$A$9:$N$1004,2,FALSE)</f>
        <v>0</v>
      </c>
      <c r="Q203" s="797" t="str">
        <f>VLOOKUP(N203,etat!$A$9:$N$963,7,FALSE)</f>
        <v>3ل أ</v>
      </c>
      <c r="R203" s="797" t="str">
        <f>VLOOKUP(N203,etat!$A$9:$N$1003,9,FALSE)</f>
        <v>خ</v>
      </c>
      <c r="S203" s="866" t="str">
        <f>VLOOKUP(N203,etat!$A$9:$P$905,16,FALSE)</f>
        <v>ذن/د3</v>
      </c>
      <c r="T203" s="755">
        <v>45774</v>
      </c>
      <c r="U203" s="791">
        <v>9</v>
      </c>
      <c r="V203" s="784" t="s">
        <v>2281</v>
      </c>
      <c r="W203" s="784"/>
      <c r="X203" s="784"/>
      <c r="Y203" s="848"/>
      <c r="Z203" s="967"/>
      <c r="AA203" s="967">
        <v>6</v>
      </c>
    </row>
    <row r="204" spans="4:27" s="25" customFormat="1" ht="16.5" customHeight="1">
      <c r="D204" s="295"/>
      <c r="E204" s="295"/>
      <c r="F204" s="295"/>
      <c r="G204" s="295"/>
      <c r="H204" s="295"/>
      <c r="L204" s="777">
        <v>5</v>
      </c>
      <c r="M204" s="778"/>
      <c r="N204" s="976">
        <v>197</v>
      </c>
      <c r="O204" s="1020">
        <v>147</v>
      </c>
      <c r="P204" s="847">
        <f>VLOOKUP(N204,etat!$A$9:$N$1004,2,FALSE)</f>
        <v>0</v>
      </c>
      <c r="Q204" s="797" t="str">
        <f>VLOOKUP(N204,etat!$A$9:$N$963,7,FALSE)</f>
        <v>2ت ر كه</v>
      </c>
      <c r="R204" s="797" t="str">
        <f>VLOOKUP(N204,etat!$A$9:$N$1003,9,FALSE)</f>
        <v>ن/د</v>
      </c>
      <c r="S204" s="866" t="str">
        <f>VLOOKUP(N204,etat!$A$9:$P$905,16,FALSE)</f>
        <v>ان/د3</v>
      </c>
      <c r="T204" s="755">
        <v>45775</v>
      </c>
      <c r="U204" s="791">
        <v>8</v>
      </c>
      <c r="V204" s="784" t="s">
        <v>2282</v>
      </c>
      <c r="W204" s="784"/>
      <c r="X204" s="784"/>
      <c r="Y204" s="975"/>
      <c r="Z204" s="975"/>
      <c r="AA204" s="967">
        <v>6</v>
      </c>
    </row>
    <row r="205" spans="4:27" s="25" customFormat="1" ht="16.5" customHeight="1">
      <c r="D205" s="295"/>
      <c r="E205" s="295"/>
      <c r="F205" s="295"/>
      <c r="G205" s="295"/>
      <c r="H205" s="295"/>
      <c r="L205" s="777">
        <v>5</v>
      </c>
      <c r="M205" s="778"/>
      <c r="N205" s="976">
        <v>198</v>
      </c>
      <c r="O205" s="1020">
        <v>148</v>
      </c>
      <c r="P205" s="268">
        <f>VLOOKUP(N205,etat!$A$9:$N$1004,2,FALSE)</f>
        <v>0</v>
      </c>
      <c r="Q205" s="797" t="str">
        <f>VLOOKUP(N205,etat!$A$9:$N$963,7,FALSE)</f>
        <v>2ت ر كه</v>
      </c>
      <c r="R205" s="928" t="str">
        <f>VLOOKUP(N205,etat!$A$9:$N$1003,9,FALSE)</f>
        <v>خ</v>
      </c>
      <c r="S205" s="866" t="str">
        <f>VLOOKUP(N205,etat!$A$9:$P$905,16,FALSE)</f>
        <v>ذخ3</v>
      </c>
      <c r="T205" s="755">
        <v>45777</v>
      </c>
      <c r="U205" s="1129" t="s">
        <v>420</v>
      </c>
      <c r="V205" s="784" t="s">
        <v>2283</v>
      </c>
      <c r="W205" s="784"/>
      <c r="X205" s="784"/>
      <c r="Y205" s="975"/>
      <c r="Z205" s="975" t="str">
        <f>VLOOKUP(L205,[2]اس!$S$3:$X$31,3,FALSE)</f>
        <v>.</v>
      </c>
      <c r="AA205" s="967">
        <v>6</v>
      </c>
    </row>
    <row r="206" spans="4:27" s="25" customFormat="1" ht="16.5" customHeight="1">
      <c r="D206" s="295"/>
      <c r="E206" s="295"/>
      <c r="F206" s="295"/>
      <c r="G206" s="295"/>
      <c r="H206" s="295"/>
      <c r="L206" s="777">
        <v>5</v>
      </c>
      <c r="M206" s="778"/>
      <c r="N206" s="976">
        <v>199</v>
      </c>
      <c r="O206" s="1020">
        <v>149</v>
      </c>
      <c r="P206" s="847">
        <f>VLOOKUP(N206,etat!$A$9:$N$1004,2,FALSE)</f>
        <v>0</v>
      </c>
      <c r="Q206" s="797" t="str">
        <f>VLOOKUP(N206,etat!$A$9:$N$963,7,FALSE)</f>
        <v>2ت ر كه</v>
      </c>
      <c r="R206" s="797" t="str">
        <f>VLOOKUP(N206,etat!$A$9:$N$1003,9,FALSE)</f>
        <v>خ</v>
      </c>
      <c r="S206" s="866" t="str">
        <f>VLOOKUP(N206,etat!$A$9:$P$905,16,FALSE)</f>
        <v>ذخ3</v>
      </c>
      <c r="T206" s="755">
        <v>45776</v>
      </c>
      <c r="U206" s="791">
        <v>7</v>
      </c>
      <c r="V206" s="784" t="s">
        <v>2283</v>
      </c>
      <c r="W206" s="784"/>
      <c r="X206" s="784"/>
      <c r="Y206" s="975"/>
      <c r="Z206" s="975"/>
      <c r="AA206" s="967">
        <v>6</v>
      </c>
    </row>
    <row r="207" spans="4:27" s="25" customFormat="1" ht="16.5" customHeight="1">
      <c r="D207" s="295"/>
      <c r="E207" s="295"/>
      <c r="F207" s="295"/>
      <c r="G207" s="295"/>
      <c r="H207" s="295"/>
      <c r="L207" s="777">
        <v>5</v>
      </c>
      <c r="M207" s="778"/>
      <c r="N207" s="976">
        <v>201</v>
      </c>
      <c r="O207" s="1020">
        <v>150</v>
      </c>
      <c r="P207" s="847">
        <f>VLOOKUP(N207,etat!$A$9:$N$1004,2,FALSE)</f>
        <v>0</v>
      </c>
      <c r="Q207" s="797" t="str">
        <f>VLOOKUP(N207,etat!$A$9:$N$963,7,FALSE)</f>
        <v>2ت ر كه</v>
      </c>
      <c r="R207" s="797" t="str">
        <f>VLOOKUP(N207,etat!$A$9:$N$1003,9,FALSE)</f>
        <v>خ</v>
      </c>
      <c r="S207" s="866" t="str">
        <f>VLOOKUP(N207,etat!$A$9:$P$905,16,FALSE)</f>
        <v>اخ3</v>
      </c>
      <c r="T207" s="755">
        <v>45769</v>
      </c>
      <c r="U207" s="791">
        <v>14</v>
      </c>
      <c r="V207" s="784" t="s">
        <v>2278</v>
      </c>
      <c r="W207" s="784" t="s">
        <v>2283</v>
      </c>
      <c r="X207" s="784"/>
      <c r="Y207" s="975"/>
      <c r="Z207" s="975" t="str">
        <f>VLOOKUP(L207,[2]اس!$S$3:$X$31,3,FALSE)</f>
        <v>.</v>
      </c>
      <c r="AA207" s="967">
        <v>6</v>
      </c>
    </row>
    <row r="208" spans="4:27" s="25" customFormat="1" ht="16.5" customHeight="1">
      <c r="D208" s="295"/>
      <c r="E208" s="295"/>
      <c r="F208" s="295"/>
      <c r="G208" s="295"/>
      <c r="H208" s="295"/>
      <c r="L208" s="777">
        <v>5</v>
      </c>
      <c r="M208" s="778"/>
      <c r="N208" s="976">
        <v>202</v>
      </c>
      <c r="O208" s="1020">
        <v>151</v>
      </c>
      <c r="P208" s="847">
        <f>VLOOKUP(N208,etat!$A$9:$N$1004,2,FALSE)</f>
        <v>0</v>
      </c>
      <c r="Q208" s="797" t="str">
        <f>VLOOKUP(N208,etat!$A$9:$N$963,7,FALSE)</f>
        <v>2ت ر كه</v>
      </c>
      <c r="R208" s="797" t="str">
        <f>VLOOKUP(N208,etat!$A$9:$N$1003,9,FALSE)</f>
        <v>خ</v>
      </c>
      <c r="S208" s="866" t="str">
        <f>VLOOKUP(N208,etat!$A$9:$P$905,16,FALSE)</f>
        <v>اخ3</v>
      </c>
      <c r="T208" s="755">
        <v>45764</v>
      </c>
      <c r="U208" s="791">
        <v>19</v>
      </c>
      <c r="V208" s="784" t="s">
        <v>2269</v>
      </c>
      <c r="W208" s="784" t="s">
        <v>2280</v>
      </c>
      <c r="X208" s="784"/>
      <c r="Y208" s="1116"/>
      <c r="Z208" s="975" t="str">
        <f>VLOOKUP(L208,[2]اس!$S$3:$X$31,3,FALSE)</f>
        <v>.</v>
      </c>
      <c r="AA208" s="967">
        <v>6</v>
      </c>
    </row>
    <row r="209" spans="4:27" s="25" customFormat="1" ht="16.5" customHeight="1">
      <c r="D209" s="295"/>
      <c r="E209" s="295"/>
      <c r="F209" s="295"/>
      <c r="G209" s="295"/>
      <c r="H209" s="295"/>
      <c r="L209" s="777">
        <v>5</v>
      </c>
      <c r="M209" s="778"/>
      <c r="N209" s="976">
        <v>786</v>
      </c>
      <c r="O209" s="1020">
        <v>152</v>
      </c>
      <c r="P209" s="847">
        <f>VLOOKUP(N209,etat!$A$9:$N$1004,2,FALSE)</f>
        <v>0</v>
      </c>
      <c r="Q209" s="797">
        <f>VLOOKUP(N209,etat!$A$9:$N$963,7,FALSE)</f>
        <v>0</v>
      </c>
      <c r="R209" s="866">
        <f>VLOOKUP(N209,etat!$A$9:$N$1003,9,FALSE)</f>
        <v>0</v>
      </c>
      <c r="S209" s="866">
        <f>VLOOKUP(N209,etat!$A$9:$P$905,16,FALSE)</f>
        <v>0</v>
      </c>
      <c r="T209" s="755">
        <v>45775</v>
      </c>
      <c r="U209" s="791">
        <v>8</v>
      </c>
      <c r="V209" s="784" t="s">
        <v>2282</v>
      </c>
      <c r="W209" s="784"/>
      <c r="X209" s="869"/>
      <c r="Y209" s="975"/>
      <c r="Z209" s="975"/>
      <c r="AA209" s="967">
        <v>6</v>
      </c>
    </row>
    <row r="210" spans="4:27" s="25" customFormat="1" ht="16.5" customHeight="1">
      <c r="D210" s="295"/>
      <c r="E210" s="295"/>
      <c r="F210" s="295"/>
      <c r="G210" s="295"/>
      <c r="H210" s="295"/>
      <c r="L210" s="777">
        <v>5</v>
      </c>
      <c r="M210" s="778"/>
      <c r="N210" s="976">
        <v>200</v>
      </c>
      <c r="O210" s="1020">
        <v>153</v>
      </c>
      <c r="P210" s="847">
        <f>VLOOKUP(N210,etat!$A$9:$N$1004,2,FALSE)</f>
        <v>0</v>
      </c>
      <c r="Q210" s="797" t="str">
        <f>VLOOKUP(N210,etat!$A$9:$N$963,7,FALSE)</f>
        <v>2ت ر كه</v>
      </c>
      <c r="R210" s="797" t="str">
        <f>VLOOKUP(N210,etat!$A$9:$N$1003,9,FALSE)</f>
        <v>خ</v>
      </c>
      <c r="S210" s="866" t="str">
        <f>VLOOKUP(N210,etat!$A$9:$P$905,16,FALSE)</f>
        <v>اخ3</v>
      </c>
      <c r="T210" s="755">
        <v>45782</v>
      </c>
      <c r="U210" s="791">
        <v>1</v>
      </c>
      <c r="V210" s="784"/>
      <c r="W210" s="784"/>
      <c r="X210" s="784"/>
      <c r="Y210" s="975"/>
      <c r="Z210" s="975"/>
      <c r="AA210" s="967">
        <v>6</v>
      </c>
    </row>
    <row r="211" spans="4:27" s="25" customFormat="1" ht="16.5" customHeight="1">
      <c r="D211" s="295"/>
      <c r="E211" s="295"/>
      <c r="F211" s="295"/>
      <c r="G211" s="295"/>
      <c r="H211" s="295"/>
      <c r="L211" s="777">
        <v>5</v>
      </c>
      <c r="M211" s="778"/>
      <c r="N211" s="976">
        <v>203</v>
      </c>
      <c r="O211" s="1020">
        <v>154</v>
      </c>
      <c r="P211" s="268">
        <f>VLOOKUP(N211,etat!$A$9:$N$1004,2,FALSE)</f>
        <v>0</v>
      </c>
      <c r="Q211" s="797" t="str">
        <f>VLOOKUP(N211,etat!$A$9:$N$963,7,FALSE)</f>
        <v>2ت ر مك</v>
      </c>
      <c r="R211" s="928" t="str">
        <f>VLOOKUP(N211,etat!$A$9:$N$1003,9,FALSE)</f>
        <v>خ</v>
      </c>
      <c r="S211" s="866" t="str">
        <f>VLOOKUP(N211,etat!$A$9:$P$905,16,FALSE)</f>
        <v>ذخ3</v>
      </c>
      <c r="T211" s="755">
        <v>45771</v>
      </c>
      <c r="U211" s="791">
        <v>12</v>
      </c>
      <c r="V211" s="784" t="s">
        <v>2280</v>
      </c>
      <c r="W211" s="784" t="s">
        <v>2283</v>
      </c>
      <c r="X211" s="784"/>
      <c r="Y211" s="975"/>
      <c r="Z211" s="975" t="str">
        <f>VLOOKUP(L211,[2]اس!$S$3:$X$31,3,FALSE)</f>
        <v>.</v>
      </c>
      <c r="AA211" s="967">
        <v>8</v>
      </c>
    </row>
    <row r="212" spans="4:27" s="25" customFormat="1" ht="16.5" customHeight="1">
      <c r="D212" s="295"/>
      <c r="E212" s="295"/>
      <c r="F212" s="295"/>
      <c r="G212" s="295"/>
      <c r="H212" s="295"/>
      <c r="L212" s="777">
        <v>5</v>
      </c>
      <c r="M212" s="778"/>
      <c r="N212" s="976">
        <v>204</v>
      </c>
      <c r="O212" s="1020">
        <v>155</v>
      </c>
      <c r="P212" s="268">
        <f>VLOOKUP(N212,etat!$A$9:$N$1004,2,FALSE)</f>
        <v>0</v>
      </c>
      <c r="Q212" s="797" t="str">
        <f>VLOOKUP(N212,etat!$A$9:$N$963,7,FALSE)</f>
        <v>2ت ر مك</v>
      </c>
      <c r="R212" s="928" t="str">
        <f>VLOOKUP(N212,etat!$A$9:$N$1003,9,FALSE)</f>
        <v>خ</v>
      </c>
      <c r="S212" s="866" t="str">
        <f>VLOOKUP(N212,etat!$A$9:$P$905,16,FALSE)</f>
        <v>ذخ3</v>
      </c>
      <c r="T212" s="755">
        <v>45771</v>
      </c>
      <c r="U212" s="791">
        <v>12</v>
      </c>
      <c r="V212" s="784" t="s">
        <v>2280</v>
      </c>
      <c r="W212" s="784" t="s">
        <v>2283</v>
      </c>
      <c r="X212" s="784"/>
      <c r="Y212" s="975"/>
      <c r="Z212" s="967"/>
      <c r="AA212" s="967">
        <v>8</v>
      </c>
    </row>
    <row r="213" spans="4:27" s="25" customFormat="1" ht="16.5" customHeight="1">
      <c r="D213" s="295"/>
      <c r="E213" s="295"/>
      <c r="F213" s="295"/>
      <c r="G213" s="295"/>
      <c r="H213" s="295"/>
      <c r="L213" s="777">
        <v>5</v>
      </c>
      <c r="M213" s="778"/>
      <c r="N213" s="976">
        <v>205</v>
      </c>
      <c r="O213" s="1020">
        <v>156</v>
      </c>
      <c r="P213" s="847">
        <f>VLOOKUP(N213,etat!$A$9:$N$1004,2,FALSE)</f>
        <v>0</v>
      </c>
      <c r="Q213" s="797" t="str">
        <f>VLOOKUP(N213,etat!$A$9:$N$963,7,FALSE)</f>
        <v>2ت ر مك</v>
      </c>
      <c r="R213" s="797" t="str">
        <f>VLOOKUP(N213,etat!$A$9:$N$1003,9,FALSE)</f>
        <v>خ</v>
      </c>
      <c r="S213" s="866" t="str">
        <f>VLOOKUP(N213,etat!$A$9:$P$905,16,FALSE)</f>
        <v>اخ3</v>
      </c>
      <c r="T213" s="755">
        <v>45781</v>
      </c>
      <c r="U213" s="791">
        <v>2</v>
      </c>
      <c r="V213" s="784"/>
      <c r="W213" s="784"/>
      <c r="X213" s="784"/>
      <c r="Y213" s="975"/>
      <c r="Z213" s="975"/>
      <c r="AA213" s="967">
        <v>8</v>
      </c>
    </row>
    <row r="214" spans="4:27" s="25" customFormat="1" ht="16.5" customHeight="1">
      <c r="D214" s="295"/>
      <c r="E214" s="295"/>
      <c r="F214" s="295"/>
      <c r="G214" s="295"/>
      <c r="H214" s="295"/>
      <c r="L214" s="777">
        <v>5</v>
      </c>
      <c r="M214" s="778"/>
      <c r="N214" s="976">
        <v>208</v>
      </c>
      <c r="O214" s="1020">
        <v>157</v>
      </c>
      <c r="P214" s="847">
        <f>VLOOKUP(N214,etat!$A$9:$N$1004,2,FALSE)</f>
        <v>0</v>
      </c>
      <c r="Q214" s="797" t="str">
        <f>VLOOKUP(N214,etat!$A$9:$N$963,7,FALSE)</f>
        <v>2ت ر طرا</v>
      </c>
      <c r="R214" s="797" t="str">
        <f>VLOOKUP(N214,etat!$A$9:$N$1003,9,FALSE)</f>
        <v>خ</v>
      </c>
      <c r="S214" s="866" t="str">
        <f>VLOOKUP(N214,etat!$A$9:$P$905,16,FALSE)</f>
        <v>ذخ3</v>
      </c>
      <c r="T214" s="755">
        <v>45782</v>
      </c>
      <c r="U214" s="791">
        <v>1</v>
      </c>
      <c r="V214" s="784"/>
      <c r="W214" s="784"/>
      <c r="X214" s="784"/>
      <c r="Y214" s="975"/>
      <c r="Z214" s="975"/>
      <c r="AA214" s="967">
        <v>4</v>
      </c>
    </row>
    <row r="215" spans="4:27" s="25" customFormat="1" ht="16.5" customHeight="1">
      <c r="D215" s="295"/>
      <c r="E215" s="295"/>
      <c r="F215" s="295"/>
      <c r="G215" s="295"/>
      <c r="H215" s="295"/>
      <c r="L215" s="777">
        <v>5</v>
      </c>
      <c r="M215" s="778"/>
      <c r="N215" s="976">
        <v>209</v>
      </c>
      <c r="O215" s="1020">
        <v>158</v>
      </c>
      <c r="P215" s="847">
        <f>VLOOKUP(N215,etat!$A$9:$N$1004,2,FALSE)</f>
        <v>0</v>
      </c>
      <c r="Q215" s="797" t="str">
        <f>VLOOKUP(N215,etat!$A$9:$N$963,7,FALSE)</f>
        <v>2ت ر طرا</v>
      </c>
      <c r="R215" s="866" t="str">
        <f>VLOOKUP(N215,etat!$A$9:$N$1003,9,FALSE)</f>
        <v>خ</v>
      </c>
      <c r="S215" s="866" t="str">
        <f>VLOOKUP(N215,etat!$A$9:$P$905,16,FALSE)</f>
        <v>ذخ3</v>
      </c>
      <c r="T215" s="755">
        <v>45781</v>
      </c>
      <c r="U215" s="791">
        <v>2</v>
      </c>
      <c r="V215" s="784"/>
      <c r="W215" s="784"/>
      <c r="X215" s="784"/>
      <c r="Y215" s="975"/>
      <c r="Z215" s="975"/>
      <c r="AA215" s="967">
        <v>8</v>
      </c>
    </row>
    <row r="216" spans="4:27" s="25" customFormat="1" ht="16.5" customHeight="1">
      <c r="D216" s="295"/>
      <c r="E216" s="295"/>
      <c r="F216" s="295"/>
      <c r="G216" s="295"/>
      <c r="H216" s="295"/>
      <c r="L216" s="777">
        <v>5</v>
      </c>
      <c r="M216" s="778"/>
      <c r="N216" s="976">
        <v>210</v>
      </c>
      <c r="O216" s="1020">
        <v>159</v>
      </c>
      <c r="P216" s="847">
        <f>VLOOKUP(N216,etat!$A$9:$N$1004,2,FALSE)</f>
        <v>0</v>
      </c>
      <c r="Q216" s="797" t="str">
        <f>VLOOKUP(N216,etat!$A$9:$N$963,7,FALSE)</f>
        <v>2ت ر طرا</v>
      </c>
      <c r="R216" s="866" t="str">
        <f>VLOOKUP(N216,etat!$A$9:$N$1003,9,FALSE)</f>
        <v>خ</v>
      </c>
      <c r="S216" s="866" t="str">
        <f>VLOOKUP(N216,etat!$A$9:$P$905,16,FALSE)</f>
        <v>اخ3</v>
      </c>
      <c r="T216" s="755">
        <v>45782</v>
      </c>
      <c r="U216" s="791">
        <v>1</v>
      </c>
      <c r="V216" s="784"/>
      <c r="W216" s="784"/>
      <c r="X216" s="784"/>
      <c r="Y216" s="975"/>
      <c r="Z216" s="975"/>
      <c r="AA216" s="967">
        <v>4</v>
      </c>
    </row>
    <row r="217" spans="4:27" s="25" customFormat="1" ht="16.5" customHeight="1">
      <c r="D217" s="295"/>
      <c r="E217" s="295"/>
      <c r="F217" s="295"/>
      <c r="G217" s="295"/>
      <c r="H217" s="295"/>
      <c r="L217" s="777">
        <v>5</v>
      </c>
      <c r="M217" s="778"/>
      <c r="N217" s="976">
        <v>211</v>
      </c>
      <c r="O217" s="1020">
        <v>160</v>
      </c>
      <c r="P217" s="1121">
        <f>VLOOKUP(N217,etat!$A$9:$N$1004,2,FALSE)</f>
        <v>0</v>
      </c>
      <c r="Q217" s="797" t="str">
        <f>VLOOKUP(N217,etat!$A$9:$N$963,7,FALSE)</f>
        <v>2ت ر طرا</v>
      </c>
      <c r="R217" s="866" t="str">
        <f>VLOOKUP(N217,etat!$A$9:$N$1003,9,FALSE)</f>
        <v>خ</v>
      </c>
      <c r="S217" s="866" t="str">
        <f>VLOOKUP(N217,etat!$A$9:$P$905,16,FALSE)</f>
        <v>اخ3</v>
      </c>
      <c r="T217" s="755">
        <v>45782</v>
      </c>
      <c r="U217" s="791">
        <v>1</v>
      </c>
      <c r="V217" s="784"/>
      <c r="W217" s="784"/>
      <c r="X217" s="784"/>
      <c r="Y217" s="975"/>
      <c r="Z217" s="975"/>
      <c r="AA217" s="967">
        <v>4</v>
      </c>
    </row>
    <row r="218" spans="4:27" s="25" customFormat="1" ht="16.5" customHeight="1">
      <c r="D218" s="295"/>
      <c r="E218" s="295"/>
      <c r="F218" s="295"/>
      <c r="G218" s="295"/>
      <c r="H218" s="295"/>
      <c r="L218" s="777">
        <v>5</v>
      </c>
      <c r="M218" s="778"/>
      <c r="N218" s="976">
        <v>212</v>
      </c>
      <c r="O218" s="1020">
        <v>161</v>
      </c>
      <c r="P218" s="858">
        <f>VLOOKUP(N218,etat!$A$9:$N$1004,2,FALSE)</f>
        <v>0</v>
      </c>
      <c r="Q218" s="797" t="str">
        <f>VLOOKUP(N218,etat!$A$9:$N$963,7,FALSE)</f>
        <v>2ت ر طرا</v>
      </c>
      <c r="R218" s="928" t="str">
        <f>VLOOKUP(N218,etat!$A$9:$N$1003,9,FALSE)</f>
        <v>خ</v>
      </c>
      <c r="S218" s="866" t="str">
        <f>VLOOKUP(N218,etat!$A$9:$P$905,16,FALSE)</f>
        <v>اخ3</v>
      </c>
      <c r="T218" s="755">
        <v>45771</v>
      </c>
      <c r="U218" s="791">
        <v>12</v>
      </c>
      <c r="V218" s="784" t="s">
        <v>2280</v>
      </c>
      <c r="W218" s="784" t="s">
        <v>2283</v>
      </c>
      <c r="X218" s="784"/>
      <c r="Y218" s="975"/>
      <c r="Z218" s="967"/>
      <c r="AA218" s="967">
        <v>8</v>
      </c>
    </row>
    <row r="219" spans="4:27" s="25" customFormat="1" ht="16.5" customHeight="1">
      <c r="D219" s="295"/>
      <c r="E219" s="295"/>
      <c r="F219" s="295"/>
      <c r="G219" s="295"/>
      <c r="H219" s="295"/>
      <c r="L219" s="777">
        <v>5</v>
      </c>
      <c r="M219" s="778"/>
      <c r="N219" s="976">
        <v>213</v>
      </c>
      <c r="O219" s="1020">
        <v>162</v>
      </c>
      <c r="P219" s="1121">
        <f>VLOOKUP(N219,etat!$A$9:$N$1004,2,FALSE)</f>
        <v>0</v>
      </c>
      <c r="Q219" s="797" t="str">
        <f>VLOOKUP(N219,etat!$A$9:$N$963,7,FALSE)</f>
        <v>2ت ر طرا</v>
      </c>
      <c r="R219" s="866" t="str">
        <f>VLOOKUP(N219,etat!$A$9:$N$1003,9,FALSE)</f>
        <v>خ</v>
      </c>
      <c r="S219" s="866" t="str">
        <f>VLOOKUP(N219,etat!$A$9:$P$905,16,FALSE)</f>
        <v>اخ3</v>
      </c>
      <c r="T219" s="755">
        <v>45782</v>
      </c>
      <c r="U219" s="791">
        <v>1</v>
      </c>
      <c r="V219" s="784"/>
      <c r="W219" s="784"/>
      <c r="X219" s="784"/>
      <c r="Y219" s="975"/>
      <c r="Z219" s="975"/>
      <c r="AA219" s="967">
        <v>4</v>
      </c>
    </row>
    <row r="220" spans="4:27" s="25" customFormat="1" ht="16.5" customHeight="1">
      <c r="D220" s="295"/>
      <c r="E220" s="295"/>
      <c r="F220" s="295"/>
      <c r="G220" s="295"/>
      <c r="H220" s="295"/>
      <c r="L220" s="777">
        <v>5</v>
      </c>
      <c r="M220" s="778"/>
      <c r="N220" s="976">
        <v>215</v>
      </c>
      <c r="O220" s="1020">
        <v>163</v>
      </c>
      <c r="P220" s="858">
        <f>VLOOKUP(N220,etat!$A$9:$N$1004,2,FALSE)</f>
        <v>0</v>
      </c>
      <c r="Q220" s="797" t="str">
        <f>VLOOKUP(N220,etat!$A$9:$N$963,7,FALSE)</f>
        <v>2ت ر طرا</v>
      </c>
      <c r="R220" s="928" t="str">
        <f>VLOOKUP(N220,etat!$A$9:$N$1003,9,FALSE)</f>
        <v>خ</v>
      </c>
      <c r="S220" s="866" t="str">
        <f>VLOOKUP(N220,etat!$A$9:$P$905,16,FALSE)</f>
        <v>اخ3</v>
      </c>
      <c r="T220" s="755">
        <v>45771</v>
      </c>
      <c r="U220" s="791">
        <v>12</v>
      </c>
      <c r="V220" s="784" t="s">
        <v>2280</v>
      </c>
      <c r="W220" s="784" t="s">
        <v>2283</v>
      </c>
      <c r="X220" s="784"/>
      <c r="Y220" s="975"/>
      <c r="Z220" s="967"/>
      <c r="AA220" s="967">
        <v>8</v>
      </c>
    </row>
    <row r="221" spans="4:27" s="25" customFormat="1" ht="16.5" customHeight="1">
      <c r="D221" s="295"/>
      <c r="E221" s="295"/>
      <c r="F221" s="295"/>
      <c r="G221" s="295"/>
      <c r="H221" s="295"/>
      <c r="L221" s="777">
        <v>5</v>
      </c>
      <c r="M221" s="778"/>
      <c r="N221" s="976">
        <v>216</v>
      </c>
      <c r="O221" s="1020">
        <v>164</v>
      </c>
      <c r="P221" s="268">
        <f>VLOOKUP(N221,etat!$A$9:$N$1004,2,FALSE)</f>
        <v>0</v>
      </c>
      <c r="Q221" s="797" t="str">
        <f>VLOOKUP(N221,etat!$A$9:$N$963,7,FALSE)</f>
        <v>2ت ر طرا</v>
      </c>
      <c r="R221" s="928" t="str">
        <f>VLOOKUP(N221,etat!$A$9:$N$1003,9,FALSE)</f>
        <v>خ</v>
      </c>
      <c r="S221" s="866" t="str">
        <f>VLOOKUP(N221,etat!$A$9:$P$905,16,FALSE)</f>
        <v>ذخ3</v>
      </c>
      <c r="T221" s="755">
        <v>45770</v>
      </c>
      <c r="U221" s="791">
        <v>13</v>
      </c>
      <c r="V221" s="784" t="s">
        <v>2280</v>
      </c>
      <c r="W221" s="784" t="s">
        <v>2283</v>
      </c>
      <c r="X221" s="784"/>
      <c r="Y221" s="1119"/>
      <c r="Z221" s="975" t="str">
        <f>VLOOKUP(L221,[2]اس!$S$3:$X$31,3,FALSE)</f>
        <v>.</v>
      </c>
      <c r="AA221" s="967">
        <v>8</v>
      </c>
    </row>
    <row r="222" spans="4:27" s="25" customFormat="1" ht="16.5" customHeight="1">
      <c r="D222" s="295"/>
      <c r="E222" s="295"/>
      <c r="F222" s="295"/>
      <c r="G222" s="295"/>
      <c r="H222" s="295"/>
      <c r="L222" s="777">
        <v>5</v>
      </c>
      <c r="M222" s="778"/>
      <c r="N222" s="976">
        <v>217</v>
      </c>
      <c r="O222" s="1020">
        <v>165</v>
      </c>
      <c r="P222" s="847">
        <f>VLOOKUP(N222,etat!$A$9:$N$1004,2,FALSE)</f>
        <v>0</v>
      </c>
      <c r="Q222" s="797" t="str">
        <f>VLOOKUP(N222,etat!$A$9:$N$963,7,FALSE)</f>
        <v>2ت ر طرا</v>
      </c>
      <c r="R222" s="797" t="str">
        <f>VLOOKUP(N222,etat!$A$9:$N$1003,9,FALSE)</f>
        <v>خ</v>
      </c>
      <c r="S222" s="866" t="str">
        <f>VLOOKUP(N222,etat!$A$9:$P$905,16,FALSE)</f>
        <v>ان/د3</v>
      </c>
      <c r="T222" s="755">
        <v>45782</v>
      </c>
      <c r="U222" s="791">
        <v>1</v>
      </c>
      <c r="V222" s="784"/>
      <c r="W222" s="784"/>
      <c r="X222" s="784"/>
      <c r="Y222" s="975"/>
      <c r="Z222" s="975"/>
      <c r="AA222" s="967">
        <v>4</v>
      </c>
    </row>
    <row r="223" spans="4:27" s="25" customFormat="1" ht="16.5" customHeight="1">
      <c r="D223" s="295"/>
      <c r="E223" s="295"/>
      <c r="F223" s="295"/>
      <c r="G223" s="295"/>
      <c r="H223" s="295"/>
      <c r="L223" s="777">
        <v>5</v>
      </c>
      <c r="M223" s="778"/>
      <c r="N223" s="976">
        <v>218</v>
      </c>
      <c r="O223" s="1020">
        <v>166</v>
      </c>
      <c r="P223" s="847">
        <f>VLOOKUP(N223,etat!$A$9:$N$1004,2,FALSE)</f>
        <v>0</v>
      </c>
      <c r="Q223" s="797" t="str">
        <f>VLOOKUP(N223,etat!$A$9:$N$963,7,FALSE)</f>
        <v>2ت ا ق1</v>
      </c>
      <c r="R223" s="797" t="str">
        <f>VLOOKUP(N223,etat!$A$9:$N$1003,9,FALSE)</f>
        <v>ن/د</v>
      </c>
      <c r="S223" s="866" t="str">
        <f>VLOOKUP(N223,etat!$A$9:$P$905,16,FALSE)</f>
        <v>ان/د3</v>
      </c>
      <c r="T223" s="755">
        <v>45782</v>
      </c>
      <c r="U223" s="791">
        <v>1</v>
      </c>
      <c r="V223" s="784"/>
      <c r="W223" s="784"/>
      <c r="X223" s="784"/>
      <c r="Y223" s="975"/>
      <c r="Z223" s="967"/>
      <c r="AA223" s="967">
        <v>4</v>
      </c>
    </row>
    <row r="224" spans="4:27" s="25" customFormat="1" ht="16.5" customHeight="1">
      <c r="D224" s="295"/>
      <c r="E224" s="295"/>
      <c r="F224" s="295"/>
      <c r="G224" s="295"/>
      <c r="H224" s="295"/>
      <c r="L224" s="777">
        <v>5</v>
      </c>
      <c r="M224" s="778"/>
      <c r="N224" s="976">
        <v>219</v>
      </c>
      <c r="O224" s="1020">
        <v>167</v>
      </c>
      <c r="P224" s="268">
        <f>VLOOKUP(N224,etat!$A$9:$N$1004,2,FALSE)</f>
        <v>0</v>
      </c>
      <c r="Q224" s="797" t="str">
        <f>VLOOKUP(N224,etat!$A$9:$N$963,7,FALSE)</f>
        <v>2ت ا ق1</v>
      </c>
      <c r="R224" s="928" t="str">
        <f>VLOOKUP(N224,etat!$A$9:$N$1003,9,FALSE)</f>
        <v>ن/د</v>
      </c>
      <c r="S224" s="866" t="str">
        <f>VLOOKUP(N224,etat!$A$9:$P$905,16,FALSE)</f>
        <v>ان/د3</v>
      </c>
      <c r="T224" s="755">
        <v>45781</v>
      </c>
      <c r="U224" s="791">
        <v>2</v>
      </c>
      <c r="V224" s="784"/>
      <c r="W224" s="784"/>
      <c r="X224" s="784"/>
      <c r="Y224" s="975"/>
      <c r="Z224" s="975"/>
      <c r="AA224" s="967">
        <v>8</v>
      </c>
    </row>
    <row r="225" spans="4:27" s="25" customFormat="1" ht="16.5" customHeight="1">
      <c r="D225" s="295"/>
      <c r="E225" s="295"/>
      <c r="F225" s="295"/>
      <c r="G225" s="295"/>
      <c r="H225" s="295"/>
      <c r="L225" s="777">
        <v>5</v>
      </c>
      <c r="M225" s="778"/>
      <c r="N225" s="976">
        <v>220</v>
      </c>
      <c r="O225" s="1020">
        <v>168</v>
      </c>
      <c r="P225" s="847">
        <f>VLOOKUP(N225,etat!$A$9:$N$1004,2,FALSE)</f>
        <v>0</v>
      </c>
      <c r="Q225" s="797" t="str">
        <f>VLOOKUP(N225,etat!$A$9:$N$963,7,FALSE)</f>
        <v>2ت ا ق1</v>
      </c>
      <c r="R225" s="866" t="str">
        <f>VLOOKUP(N225,etat!$A$9:$N$1003,9,FALSE)</f>
        <v>ن/د</v>
      </c>
      <c r="S225" s="866" t="str">
        <f>VLOOKUP(N225,etat!$A$9:$P$905,16,FALSE)</f>
        <v>اخ3</v>
      </c>
      <c r="T225" s="755">
        <v>45782</v>
      </c>
      <c r="U225" s="791">
        <v>1</v>
      </c>
      <c r="V225" s="784"/>
      <c r="W225" s="784"/>
      <c r="X225" s="784"/>
      <c r="Y225" s="975"/>
      <c r="Z225" s="975"/>
      <c r="AA225" s="967">
        <v>4</v>
      </c>
    </row>
    <row r="226" spans="4:27" s="25" customFormat="1" ht="16.5" customHeight="1">
      <c r="D226" s="295"/>
      <c r="E226" s="295"/>
      <c r="F226" s="295"/>
      <c r="G226" s="295"/>
      <c r="H226" s="295"/>
      <c r="L226" s="777">
        <v>5</v>
      </c>
      <c r="M226" s="778"/>
      <c r="N226" s="976">
        <v>222</v>
      </c>
      <c r="O226" s="1020">
        <v>169</v>
      </c>
      <c r="P226" s="847">
        <f>VLOOKUP(N226,etat!$A$9:$N$1004,2,FALSE)</f>
        <v>0</v>
      </c>
      <c r="Q226" s="797" t="str">
        <f>VLOOKUP(N226,etat!$A$9:$N$963,7,FALSE)</f>
        <v>2ت ا ق1</v>
      </c>
      <c r="R226" s="866" t="str">
        <f>VLOOKUP(N226,etat!$A$9:$N$1003,9,FALSE)</f>
        <v>ن/د</v>
      </c>
      <c r="S226" s="866" t="str">
        <f>VLOOKUP(N226,etat!$A$9:$P$905,16,FALSE)</f>
        <v>اخ3</v>
      </c>
      <c r="T226" s="755">
        <v>45775</v>
      </c>
      <c r="U226" s="791">
        <v>8</v>
      </c>
      <c r="V226" s="784" t="s">
        <v>2282</v>
      </c>
      <c r="W226" s="869"/>
      <c r="X226" s="869"/>
      <c r="Y226" s="975"/>
      <c r="Z226" s="975"/>
      <c r="AA226" s="967">
        <v>8</v>
      </c>
    </row>
    <row r="227" spans="4:27" s="25" customFormat="1" ht="16.5" customHeight="1">
      <c r="D227" s="295"/>
      <c r="E227" s="295"/>
      <c r="F227" s="295"/>
      <c r="G227" s="295"/>
      <c r="H227" s="295"/>
      <c r="L227" s="777">
        <v>5</v>
      </c>
      <c r="M227" s="778"/>
      <c r="N227" s="976">
        <v>223</v>
      </c>
      <c r="O227" s="1020">
        <v>170</v>
      </c>
      <c r="P227" s="268">
        <f>VLOOKUP(N227,etat!$A$9:$N$1004,2,FALSE)</f>
        <v>0</v>
      </c>
      <c r="Q227" s="797" t="str">
        <f>VLOOKUP(N227,etat!$A$9:$N$963,7,FALSE)</f>
        <v>2ت ا ق1</v>
      </c>
      <c r="R227" s="928" t="str">
        <f>VLOOKUP(N227,etat!$A$9:$N$1003,9,FALSE)</f>
        <v>ن/د</v>
      </c>
      <c r="S227" s="866" t="str">
        <f>VLOOKUP(N227,etat!$A$9:$P$905,16,FALSE)</f>
        <v>ذخ3</v>
      </c>
      <c r="T227" s="755">
        <v>45770</v>
      </c>
      <c r="U227" s="791">
        <v>13</v>
      </c>
      <c r="V227" s="784" t="s">
        <v>2280</v>
      </c>
      <c r="W227" s="784" t="s">
        <v>2283</v>
      </c>
      <c r="X227" s="784"/>
      <c r="Y227" s="1119"/>
      <c r="Z227" s="967"/>
      <c r="AA227" s="967">
        <v>8</v>
      </c>
    </row>
    <row r="228" spans="4:27" s="25" customFormat="1" ht="16.5" customHeight="1">
      <c r="D228" s="295"/>
      <c r="E228" s="295"/>
      <c r="F228" s="295"/>
      <c r="G228" s="295"/>
      <c r="H228" s="295"/>
      <c r="L228" s="777">
        <v>5</v>
      </c>
      <c r="M228" s="778"/>
      <c r="N228" s="976">
        <v>224</v>
      </c>
      <c r="O228" s="1020">
        <v>171</v>
      </c>
      <c r="P228" s="847">
        <f>VLOOKUP(N228,etat!$A$9:$N$1004,2,FALSE)</f>
        <v>0</v>
      </c>
      <c r="Q228" s="797" t="str">
        <f>VLOOKUP(N228,etat!$A$9:$N$963,7,FALSE)</f>
        <v>2ت ا ق1</v>
      </c>
      <c r="R228" s="797" t="str">
        <f>VLOOKUP(N228,etat!$A$9:$N$1003,9,FALSE)</f>
        <v>خ</v>
      </c>
      <c r="S228" s="866" t="str">
        <f>VLOOKUP(N228,etat!$A$9:$P$905,16,FALSE)</f>
        <v>اخ3</v>
      </c>
      <c r="T228" s="755">
        <v>45782</v>
      </c>
      <c r="U228" s="791">
        <v>1</v>
      </c>
      <c r="V228" s="784"/>
      <c r="W228" s="784"/>
      <c r="X228" s="784"/>
      <c r="Y228" s="975"/>
      <c r="Z228" s="975"/>
      <c r="AA228" s="967">
        <v>4</v>
      </c>
    </row>
    <row r="229" spans="4:27" s="25" customFormat="1" ht="16.5" customHeight="1">
      <c r="D229" s="295"/>
      <c r="E229" s="295"/>
      <c r="F229" s="295"/>
      <c r="G229" s="295"/>
      <c r="H229" s="295"/>
      <c r="L229" s="777">
        <v>5</v>
      </c>
      <c r="M229" s="778"/>
      <c r="N229" s="976">
        <v>226</v>
      </c>
      <c r="O229" s="1020">
        <v>172</v>
      </c>
      <c r="P229" s="847">
        <f>VLOOKUP(N229,etat!$A$9:$N$1004,2,FALSE)</f>
        <v>0</v>
      </c>
      <c r="Q229" s="797" t="str">
        <f>VLOOKUP(N229,etat!$A$9:$N$963,7,FALSE)</f>
        <v>2ت ا ق1</v>
      </c>
      <c r="R229" s="866" t="str">
        <f>VLOOKUP(N229,etat!$A$9:$N$1003,9,FALSE)</f>
        <v>خ</v>
      </c>
      <c r="S229" s="866" t="str">
        <f>VLOOKUP(N229,etat!$A$9:$P$905,16,FALSE)</f>
        <v>اخ3</v>
      </c>
      <c r="T229" s="755">
        <v>45781</v>
      </c>
      <c r="U229" s="791">
        <v>2</v>
      </c>
      <c r="V229" s="784"/>
      <c r="W229" s="784"/>
      <c r="X229" s="784"/>
      <c r="Y229" s="975"/>
      <c r="Z229" s="975"/>
      <c r="AA229" s="967">
        <v>8</v>
      </c>
    </row>
    <row r="230" spans="4:27" s="25" customFormat="1" ht="16.5" customHeight="1">
      <c r="D230" s="295"/>
      <c r="E230" s="295"/>
      <c r="F230" s="295"/>
      <c r="G230" s="295"/>
      <c r="H230" s="295"/>
      <c r="L230" s="777">
        <v>5</v>
      </c>
      <c r="M230" s="778"/>
      <c r="N230" s="976">
        <v>227</v>
      </c>
      <c r="O230" s="1020">
        <v>173</v>
      </c>
      <c r="P230" s="847">
        <f>VLOOKUP(N230,etat!$A$9:$N$1004,2,FALSE)</f>
        <v>0</v>
      </c>
      <c r="Q230" s="797" t="str">
        <f>VLOOKUP(N230,etat!$A$9:$N$963,7,FALSE)</f>
        <v>2ت ا ق1</v>
      </c>
      <c r="R230" s="797" t="str">
        <f>VLOOKUP(N230,etat!$A$9:$N$1003,9,FALSE)</f>
        <v>خ</v>
      </c>
      <c r="S230" s="866" t="str">
        <f>VLOOKUP(N230,etat!$A$9:$P$905,16,FALSE)</f>
        <v>اخ3</v>
      </c>
      <c r="T230" s="755">
        <v>45769</v>
      </c>
      <c r="U230" s="791">
        <v>14</v>
      </c>
      <c r="V230" s="784" t="s">
        <v>2278</v>
      </c>
      <c r="W230" s="784" t="s">
        <v>2283</v>
      </c>
      <c r="X230" s="784"/>
      <c r="Y230" s="975"/>
      <c r="Z230" s="975"/>
      <c r="AA230" s="967">
        <v>8</v>
      </c>
    </row>
    <row r="231" spans="4:27" s="25" customFormat="1" ht="16.5" customHeight="1">
      <c r="D231" s="295"/>
      <c r="E231" s="295"/>
      <c r="F231" s="295"/>
      <c r="G231" s="295"/>
      <c r="H231" s="295"/>
      <c r="L231" s="777">
        <v>5</v>
      </c>
      <c r="M231" s="778"/>
      <c r="N231" s="976">
        <v>229</v>
      </c>
      <c r="O231" s="1020">
        <v>174</v>
      </c>
      <c r="P231" s="847">
        <f>VLOOKUP(N231,etat!$A$9:$N$1004,2,FALSE)</f>
        <v>0</v>
      </c>
      <c r="Q231" s="797" t="str">
        <f>VLOOKUP(N231,etat!$A$9:$N$963,7,FALSE)</f>
        <v>2ت ا ق1</v>
      </c>
      <c r="R231" s="797" t="str">
        <f>VLOOKUP(N231,etat!$A$9:$N$1003,9,FALSE)</f>
        <v>خ</v>
      </c>
      <c r="S231" s="866" t="str">
        <f>VLOOKUP(N231,etat!$A$9:$P$905,16,FALSE)</f>
        <v>ذخ3</v>
      </c>
      <c r="T231" s="755">
        <v>45763</v>
      </c>
      <c r="U231" s="791">
        <v>20</v>
      </c>
      <c r="V231" s="784" t="s">
        <v>2269</v>
      </c>
      <c r="W231" s="784" t="s">
        <v>2280</v>
      </c>
      <c r="X231" s="784" t="s">
        <v>2283</v>
      </c>
      <c r="Y231" s="975"/>
      <c r="Z231" s="975" t="str">
        <f>VLOOKUP(L231,[2]اس!$S$3:$X$31,3,FALSE)</f>
        <v>.</v>
      </c>
      <c r="AA231" s="967">
        <v>8</v>
      </c>
    </row>
    <row r="232" spans="4:27" s="25" customFormat="1" ht="16.5" customHeight="1">
      <c r="D232" s="295"/>
      <c r="E232" s="295"/>
      <c r="F232" s="295"/>
      <c r="G232" s="295"/>
      <c r="H232" s="295"/>
      <c r="L232" s="777">
        <v>5</v>
      </c>
      <c r="M232" s="778"/>
      <c r="N232" s="976">
        <v>230</v>
      </c>
      <c r="O232" s="1020">
        <v>175</v>
      </c>
      <c r="P232" s="847">
        <f>VLOOKUP(N232,etat!$A$9:$N$1004,2,FALSE)</f>
        <v>0</v>
      </c>
      <c r="Q232" s="797" t="str">
        <f>VLOOKUP(N232,etat!$A$9:$N$963,7,FALSE)</f>
        <v>2ت ا ق1</v>
      </c>
      <c r="R232" s="797" t="str">
        <f>VLOOKUP(N232,etat!$A$9:$N$1003,9,FALSE)</f>
        <v>خ</v>
      </c>
      <c r="S232" s="866" t="str">
        <f>VLOOKUP(N232,etat!$A$9:$P$905,16,FALSE)</f>
        <v>اخ3</v>
      </c>
      <c r="T232" s="755">
        <v>45763</v>
      </c>
      <c r="U232" s="791">
        <v>20</v>
      </c>
      <c r="V232" s="784" t="s">
        <v>2269</v>
      </c>
      <c r="W232" s="784" t="s">
        <v>2280</v>
      </c>
      <c r="X232" s="784" t="s">
        <v>2283</v>
      </c>
      <c r="Y232" s="975"/>
      <c r="Z232" s="975" t="str">
        <f>VLOOKUP(L232,[2]اس!$S$3:$X$31,3,FALSE)</f>
        <v>.</v>
      </c>
      <c r="AA232" s="967">
        <v>8</v>
      </c>
    </row>
    <row r="233" spans="4:27" s="25" customFormat="1" ht="16.5" customHeight="1">
      <c r="D233" s="295"/>
      <c r="E233" s="295"/>
      <c r="F233" s="295"/>
      <c r="G233" s="295"/>
      <c r="H233" s="295"/>
      <c r="L233" s="777">
        <v>5</v>
      </c>
      <c r="M233" s="778"/>
      <c r="N233" s="976">
        <v>795</v>
      </c>
      <c r="O233" s="1020">
        <v>176</v>
      </c>
      <c r="P233" s="268">
        <f>VLOOKUP(N233,etat!$A$9:$N$1004,2,FALSE)</f>
        <v>0</v>
      </c>
      <c r="Q233" s="797">
        <f>VLOOKUP(N233,etat!$A$9:$N$963,7,FALSE)</f>
        <v>0</v>
      </c>
      <c r="R233" s="928">
        <f>VLOOKUP(N233,etat!$A$9:$N$1003,9,FALSE)</f>
        <v>0</v>
      </c>
      <c r="S233" s="866">
        <f>VLOOKUP(N233,etat!$A$9:$P$905,16,FALSE)</f>
        <v>0</v>
      </c>
      <c r="T233" s="755">
        <v>45781</v>
      </c>
      <c r="U233" s="791">
        <v>2</v>
      </c>
      <c r="V233" s="784"/>
      <c r="W233" s="784"/>
      <c r="X233" s="784"/>
      <c r="Y233" s="975"/>
      <c r="Z233" s="975"/>
      <c r="AA233" s="967">
        <v>8</v>
      </c>
    </row>
    <row r="234" spans="4:27" s="25" customFormat="1" ht="16.5" customHeight="1">
      <c r="D234" s="295"/>
      <c r="E234" s="295"/>
      <c r="F234" s="295"/>
      <c r="G234" s="295"/>
      <c r="H234" s="295"/>
      <c r="L234" s="777">
        <v>5</v>
      </c>
      <c r="M234" s="778"/>
      <c r="N234" s="976">
        <v>231</v>
      </c>
      <c r="O234" s="1020">
        <v>177</v>
      </c>
      <c r="P234" s="847">
        <f>VLOOKUP(N234,etat!$A$9:$N$1004,2,FALSE)</f>
        <v>0</v>
      </c>
      <c r="Q234" s="797" t="str">
        <f>VLOOKUP(N234,etat!$A$9:$N$963,7,FALSE)</f>
        <v>2ت ا ق1</v>
      </c>
      <c r="R234" s="797" t="str">
        <f>VLOOKUP(N234,etat!$A$9:$N$1003,9,FALSE)</f>
        <v>خ</v>
      </c>
      <c r="S234" s="866" t="str">
        <f>VLOOKUP(N234,etat!$A$9:$P$905,16,FALSE)</f>
        <v>ذخ3</v>
      </c>
      <c r="T234" s="755">
        <v>45769</v>
      </c>
      <c r="U234" s="791">
        <v>14</v>
      </c>
      <c r="V234" s="784" t="s">
        <v>2278</v>
      </c>
      <c r="W234" s="784" t="s">
        <v>2283</v>
      </c>
      <c r="X234" s="784"/>
      <c r="Y234" s="975"/>
      <c r="Z234" s="975" t="str">
        <f>VLOOKUP(L234,[2]اس!$S$3:$X$31,3,FALSE)</f>
        <v>.</v>
      </c>
      <c r="AA234" s="967">
        <v>7</v>
      </c>
    </row>
    <row r="235" spans="4:27" s="25" customFormat="1" ht="16.5" customHeight="1">
      <c r="D235" s="295"/>
      <c r="E235" s="295"/>
      <c r="F235" s="295"/>
      <c r="G235" s="295"/>
      <c r="H235" s="295"/>
      <c r="L235" s="777">
        <v>5</v>
      </c>
      <c r="M235" s="778"/>
      <c r="N235" s="976">
        <v>233</v>
      </c>
      <c r="O235" s="1020">
        <v>178</v>
      </c>
      <c r="P235" s="847">
        <f>VLOOKUP(N235,etat!$A$9:$N$1004,2,FALSE)</f>
        <v>0</v>
      </c>
      <c r="Q235" s="797" t="str">
        <f>VLOOKUP(N235,etat!$A$9:$N$963,7,FALSE)</f>
        <v>2ت ا ق1</v>
      </c>
      <c r="R235" s="866" t="str">
        <f>VLOOKUP(N235,etat!$A$9:$N$1003,9,FALSE)</f>
        <v>خ</v>
      </c>
      <c r="S235" s="866" t="str">
        <f>VLOOKUP(N235,etat!$A$9:$P$905,16,FALSE)</f>
        <v>ذخ3</v>
      </c>
      <c r="T235" s="755">
        <v>45775</v>
      </c>
      <c r="U235" s="791">
        <v>8</v>
      </c>
      <c r="V235" s="784" t="s">
        <v>2282</v>
      </c>
      <c r="W235" s="869"/>
      <c r="X235" s="869"/>
      <c r="Y235" s="975"/>
      <c r="Z235" s="975"/>
      <c r="AA235" s="967">
        <v>7</v>
      </c>
    </row>
    <row r="236" spans="4:27" s="25" customFormat="1" ht="16.5" customHeight="1">
      <c r="D236" s="295"/>
      <c r="E236" s="295"/>
      <c r="F236" s="295"/>
      <c r="G236" s="295"/>
      <c r="H236" s="295"/>
      <c r="L236" s="777">
        <v>5</v>
      </c>
      <c r="M236" s="778"/>
      <c r="N236" s="976">
        <v>234</v>
      </c>
      <c r="O236" s="1020">
        <v>179</v>
      </c>
      <c r="P236" s="847">
        <f>VLOOKUP(N236,etat!$A$9:$N$1004,2,FALSE)</f>
        <v>0</v>
      </c>
      <c r="Q236" s="797" t="str">
        <f>VLOOKUP(N236,etat!$A$9:$N$963,7,FALSE)</f>
        <v>2ت ا ق1</v>
      </c>
      <c r="R236" s="866" t="str">
        <f>VLOOKUP(N236,etat!$A$9:$N$1003,9,FALSE)</f>
        <v>خ</v>
      </c>
      <c r="S236" s="866" t="str">
        <f>VLOOKUP(N236,etat!$A$9:$P$905,16,FALSE)</f>
        <v>اخ3</v>
      </c>
      <c r="T236" s="755">
        <v>45775</v>
      </c>
      <c r="U236" s="791">
        <v>8</v>
      </c>
      <c r="V236" s="784" t="s">
        <v>2282</v>
      </c>
      <c r="W236" s="869"/>
      <c r="X236" s="869"/>
      <c r="Y236" s="975"/>
      <c r="Z236" s="975"/>
      <c r="AA236" s="967">
        <v>7</v>
      </c>
    </row>
    <row r="237" spans="4:27" s="25" customFormat="1" ht="16.5" customHeight="1">
      <c r="D237" s="295"/>
      <c r="E237" s="295"/>
      <c r="F237" s="295"/>
      <c r="G237" s="295"/>
      <c r="H237" s="295"/>
      <c r="L237" s="777">
        <v>5</v>
      </c>
      <c r="M237" s="778"/>
      <c r="N237" s="976">
        <v>235</v>
      </c>
      <c r="O237" s="1020">
        <v>180</v>
      </c>
      <c r="P237" s="847">
        <f>VLOOKUP(N237,etat!$A$9:$N$1004,2,FALSE)</f>
        <v>0</v>
      </c>
      <c r="Q237" s="797" t="str">
        <f>VLOOKUP(N237,etat!$A$9:$N$963,7,FALSE)</f>
        <v>2ت ا ق1</v>
      </c>
      <c r="R237" s="866" t="str">
        <f>VLOOKUP(N237,etat!$A$9:$N$1003,9,FALSE)</f>
        <v>خ</v>
      </c>
      <c r="S237" s="866" t="str">
        <f>VLOOKUP(N237,etat!$A$9:$P$905,16,FALSE)</f>
        <v>اخ3</v>
      </c>
      <c r="T237" s="755">
        <v>45775</v>
      </c>
      <c r="U237" s="791">
        <v>8</v>
      </c>
      <c r="V237" s="784" t="s">
        <v>2282</v>
      </c>
      <c r="W237" s="869"/>
      <c r="X237" s="869"/>
      <c r="Y237" s="975"/>
      <c r="Z237" s="975"/>
      <c r="AA237" s="967">
        <v>7</v>
      </c>
    </row>
    <row r="238" spans="4:27" s="25" customFormat="1" ht="16.5" customHeight="1">
      <c r="D238" s="295"/>
      <c r="E238" s="295"/>
      <c r="F238" s="295"/>
      <c r="G238" s="295"/>
      <c r="H238" s="295"/>
      <c r="L238" s="777">
        <v>5</v>
      </c>
      <c r="M238" s="778"/>
      <c r="N238" s="976">
        <v>237</v>
      </c>
      <c r="O238" s="1020">
        <v>181</v>
      </c>
      <c r="P238" s="847">
        <f>VLOOKUP(N238,etat!$A$9:$N$1004,2,FALSE)</f>
        <v>0</v>
      </c>
      <c r="Q238" s="797" t="str">
        <f>VLOOKUP(N238,etat!$A$9:$N$963,7,FALSE)</f>
        <v>2ت ا ق1</v>
      </c>
      <c r="R238" s="797" t="str">
        <f>VLOOKUP(N238,etat!$A$9:$N$1003,9,FALSE)</f>
        <v>خ</v>
      </c>
      <c r="S238" s="866" t="str">
        <f>VLOOKUP(N238,etat!$A$9:$P$905,16,FALSE)</f>
        <v>اخ3</v>
      </c>
      <c r="T238" s="755">
        <v>45763</v>
      </c>
      <c r="U238" s="791">
        <v>20</v>
      </c>
      <c r="V238" s="784" t="s">
        <v>2269</v>
      </c>
      <c r="W238" s="784" t="s">
        <v>2280</v>
      </c>
      <c r="X238" s="784" t="s">
        <v>2283</v>
      </c>
      <c r="Y238" s="975"/>
      <c r="Z238" s="975" t="str">
        <f>VLOOKUP(L238,[2]اس!$S$3:$X$31,3,FALSE)</f>
        <v>.</v>
      </c>
      <c r="AA238" s="967">
        <v>7</v>
      </c>
    </row>
    <row r="239" spans="4:27" s="25" customFormat="1" ht="16.5" customHeight="1">
      <c r="D239" s="295"/>
      <c r="E239" s="295"/>
      <c r="F239" s="295"/>
      <c r="G239" s="295"/>
      <c r="H239" s="295"/>
      <c r="L239" s="777">
        <v>5</v>
      </c>
      <c r="M239" s="778"/>
      <c r="N239" s="976">
        <v>238</v>
      </c>
      <c r="O239" s="1020">
        <v>182</v>
      </c>
      <c r="P239" s="847">
        <f>VLOOKUP(N239,etat!$A$9:$N$1004,2,FALSE)</f>
        <v>0</v>
      </c>
      <c r="Q239" s="797" t="str">
        <f>VLOOKUP(N239,etat!$A$9:$N$963,7,FALSE)</f>
        <v>2ت ا ق1</v>
      </c>
      <c r="R239" s="797" t="str">
        <f>VLOOKUP(N239,etat!$A$9:$N$1003,9,FALSE)</f>
        <v>خ</v>
      </c>
      <c r="S239" s="866" t="str">
        <f>VLOOKUP(N239,etat!$A$9:$P$905,16,FALSE)</f>
        <v>اخ3</v>
      </c>
      <c r="T239" s="755">
        <v>45770</v>
      </c>
      <c r="U239" s="791">
        <v>13</v>
      </c>
      <c r="V239" s="784" t="s">
        <v>2280</v>
      </c>
      <c r="W239" s="784" t="s">
        <v>2283</v>
      </c>
      <c r="X239" s="784"/>
      <c r="Y239" s="975"/>
      <c r="Z239" s="967"/>
      <c r="AA239" s="967">
        <v>7</v>
      </c>
    </row>
    <row r="240" spans="4:27" s="25" customFormat="1" ht="16.5" customHeight="1">
      <c r="D240" s="295"/>
      <c r="E240" s="295"/>
      <c r="F240" s="295"/>
      <c r="G240" s="295"/>
      <c r="H240" s="295"/>
      <c r="L240" s="777">
        <v>5</v>
      </c>
      <c r="M240" s="778"/>
      <c r="N240" s="976">
        <v>242</v>
      </c>
      <c r="O240" s="1020">
        <v>183</v>
      </c>
      <c r="P240" s="847">
        <f>VLOOKUP(N240,etat!$A$9:$N$1004,2,FALSE)</f>
        <v>0</v>
      </c>
      <c r="Q240" s="797" t="str">
        <f>VLOOKUP(N240,etat!$A$9:$N$963,7,FALSE)</f>
        <v>2ت ا ق1</v>
      </c>
      <c r="R240" s="866" t="str">
        <f>VLOOKUP(N240,etat!$A$9:$N$1003,9,FALSE)</f>
        <v>خ</v>
      </c>
      <c r="S240" s="866" t="str">
        <f>VLOOKUP(N240,etat!$A$9:$P$905,16,FALSE)</f>
        <v>اخ3</v>
      </c>
      <c r="T240" s="755">
        <v>45775</v>
      </c>
      <c r="U240" s="791">
        <v>8</v>
      </c>
      <c r="V240" s="784" t="s">
        <v>2282</v>
      </c>
      <c r="W240" s="869"/>
      <c r="X240" s="869"/>
      <c r="Y240" s="975"/>
      <c r="Z240" s="975"/>
      <c r="AA240" s="967">
        <v>7</v>
      </c>
    </row>
    <row r="241" spans="4:49" s="25" customFormat="1" ht="16.5" customHeight="1">
      <c r="D241" s="295"/>
      <c r="E241" s="295"/>
      <c r="F241" s="295"/>
      <c r="G241" s="295"/>
      <c r="H241" s="295"/>
      <c r="L241" s="777">
        <v>5</v>
      </c>
      <c r="M241" s="778"/>
      <c r="N241" s="976">
        <v>243</v>
      </c>
      <c r="O241" s="1020">
        <v>184</v>
      </c>
      <c r="P241" s="847">
        <f>VLOOKUP(N241,etat!$A$9:$N$1004,2,FALSE)</f>
        <v>0</v>
      </c>
      <c r="Q241" s="797" t="str">
        <f>VLOOKUP(N241,etat!$A$9:$N$963,7,FALSE)</f>
        <v>2ت ا ق1</v>
      </c>
      <c r="R241" s="797" t="str">
        <f>VLOOKUP(N241,etat!$A$9:$N$1003,9,FALSE)</f>
        <v>خ</v>
      </c>
      <c r="S241" s="866" t="str">
        <f>VLOOKUP(N241,etat!$A$9:$P$905,16,FALSE)</f>
        <v>اخ3</v>
      </c>
      <c r="T241" s="755">
        <v>45774</v>
      </c>
      <c r="U241" s="791">
        <v>9</v>
      </c>
      <c r="V241" s="784" t="s">
        <v>2281</v>
      </c>
      <c r="W241" s="784"/>
      <c r="X241" s="784"/>
      <c r="Y241" s="1117"/>
      <c r="Z241" s="967"/>
      <c r="AA241" s="967">
        <v>7</v>
      </c>
    </row>
    <row r="242" spans="4:49" s="25" customFormat="1" ht="16.5" customHeight="1">
      <c r="D242" s="295"/>
      <c r="E242" s="295"/>
      <c r="F242" s="295"/>
      <c r="G242" s="295"/>
      <c r="H242" s="295"/>
      <c r="L242" s="777">
        <v>5</v>
      </c>
      <c r="M242" s="778"/>
      <c r="N242" s="976">
        <v>244</v>
      </c>
      <c r="O242" s="1020">
        <v>185</v>
      </c>
      <c r="P242" s="847">
        <f>VLOOKUP(N242,etat!$A$9:$N$1004,2,FALSE)</f>
        <v>0</v>
      </c>
      <c r="Q242" s="797" t="str">
        <f>VLOOKUP(N242,etat!$A$9:$N$963,7,FALSE)</f>
        <v>2ت ا ق1</v>
      </c>
      <c r="R242" s="797" t="str">
        <f>VLOOKUP(N242,etat!$A$9:$N$1003,9,FALSE)</f>
        <v>خ</v>
      </c>
      <c r="S242" s="866" t="str">
        <f>VLOOKUP(N242,etat!$A$9:$P$905,16,FALSE)</f>
        <v>اخ3</v>
      </c>
      <c r="T242" s="755">
        <v>45760</v>
      </c>
      <c r="U242" s="791">
        <v>23</v>
      </c>
      <c r="V242" s="784" t="s">
        <v>2266</v>
      </c>
      <c r="W242" s="784" t="s">
        <v>2273</v>
      </c>
      <c r="X242" s="784" t="s">
        <v>2281</v>
      </c>
      <c r="Y242" s="975"/>
      <c r="Z242" s="975" t="str">
        <f>VLOOKUP(L242,[2]اس!$S$3:$X$31,3,FALSE)</f>
        <v>.</v>
      </c>
      <c r="AA242" s="967">
        <v>7</v>
      </c>
    </row>
    <row r="243" spans="4:49" s="25" customFormat="1" ht="16.5" customHeight="1">
      <c r="D243" s="295"/>
      <c r="E243" s="295"/>
      <c r="F243" s="295"/>
      <c r="G243" s="295"/>
      <c r="H243" s="295"/>
      <c r="L243" s="777">
        <v>5</v>
      </c>
      <c r="M243" s="778"/>
      <c r="N243" s="976">
        <v>246</v>
      </c>
      <c r="O243" s="1020">
        <v>186</v>
      </c>
      <c r="P243" s="847">
        <f>VLOOKUP(N243,etat!$A$9:$N$1004,2,FALSE)</f>
        <v>0</v>
      </c>
      <c r="Q243" s="797" t="str">
        <f>VLOOKUP(N243,etat!$A$9:$N$963,7,FALSE)</f>
        <v>2ت ا ق1</v>
      </c>
      <c r="R243" s="866" t="str">
        <f>VLOOKUP(N243,etat!$A$9:$N$1003,9,FALSE)</f>
        <v>خ</v>
      </c>
      <c r="S243" s="866" t="str">
        <f>VLOOKUP(N243,etat!$A$9:$P$905,16,FALSE)</f>
        <v>ان/د2</v>
      </c>
      <c r="T243" s="755">
        <v>45775</v>
      </c>
      <c r="U243" s="791">
        <v>8</v>
      </c>
      <c r="V243" s="784" t="s">
        <v>2282</v>
      </c>
      <c r="W243" s="869"/>
      <c r="X243" s="869"/>
      <c r="Y243" s="975"/>
      <c r="Z243" s="975"/>
      <c r="AA243" s="967">
        <v>7</v>
      </c>
    </row>
    <row r="244" spans="4:49" s="25" customFormat="1" ht="16.5" customHeight="1">
      <c r="D244" s="295"/>
      <c r="E244" s="295"/>
      <c r="F244" s="295"/>
      <c r="G244" s="295"/>
      <c r="H244" s="295"/>
      <c r="L244" s="777">
        <v>5</v>
      </c>
      <c r="M244" s="778"/>
      <c r="N244" s="976">
        <v>247</v>
      </c>
      <c r="O244" s="1020">
        <v>187</v>
      </c>
      <c r="P244" s="847">
        <f>VLOOKUP(N244,etat!$A$9:$N$1004,2,FALSE)</f>
        <v>0</v>
      </c>
      <c r="Q244" s="797" t="str">
        <f>VLOOKUP(N244,etat!$A$9:$N$963,7,FALSE)</f>
        <v>2ت ا ق1</v>
      </c>
      <c r="R244" s="797" t="str">
        <f>VLOOKUP(N244,etat!$A$9:$N$1003,9,FALSE)</f>
        <v>خ</v>
      </c>
      <c r="S244" s="866" t="str">
        <f>VLOOKUP(N244,etat!$A$9:$P$905,16,FALSE)</f>
        <v>ذن/د2</v>
      </c>
      <c r="T244" s="755">
        <v>45767</v>
      </c>
      <c r="U244" s="791">
        <v>15</v>
      </c>
      <c r="V244" s="784" t="s">
        <v>2273</v>
      </c>
      <c r="W244" s="784" t="s">
        <v>2281</v>
      </c>
      <c r="X244" s="784"/>
      <c r="Y244" s="975"/>
      <c r="Z244" s="967"/>
      <c r="AA244" s="967">
        <v>7</v>
      </c>
      <c r="AC244" s="302"/>
      <c r="AD244" s="302"/>
      <c r="AE244" s="302"/>
      <c r="AF244" s="302"/>
      <c r="AG244" s="302"/>
      <c r="AH244" s="302"/>
      <c r="AI244" s="302"/>
      <c r="AJ244" s="302"/>
      <c r="AK244" s="302"/>
      <c r="AL244" s="302"/>
      <c r="AM244" s="302"/>
      <c r="AN244" s="302"/>
      <c r="AO244" s="302"/>
      <c r="AP244" s="302"/>
      <c r="AQ244" s="302"/>
      <c r="AR244" s="302"/>
      <c r="AS244" s="302"/>
      <c r="AT244" s="302"/>
      <c r="AU244" s="302"/>
      <c r="AV244" s="302"/>
      <c r="AW244" s="302"/>
    </row>
    <row r="245" spans="4:49" s="25" customFormat="1" ht="16.5" customHeight="1">
      <c r="D245" s="295"/>
      <c r="E245" s="295"/>
      <c r="F245" s="295"/>
      <c r="G245" s="295"/>
      <c r="H245" s="295"/>
      <c r="L245" s="777">
        <v>5</v>
      </c>
      <c r="M245" s="778"/>
      <c r="N245" s="976">
        <v>248</v>
      </c>
      <c r="O245" s="1020">
        <v>188</v>
      </c>
      <c r="P245" s="847">
        <f>VLOOKUP(N245,etat!$A$9:$N$1004,2,FALSE)</f>
        <v>0</v>
      </c>
      <c r="Q245" s="797" t="str">
        <f>VLOOKUP(N245,etat!$A$9:$N$963,7,FALSE)</f>
        <v>2ت ا ق1</v>
      </c>
      <c r="R245" s="797" t="str">
        <f>VLOOKUP(N245,etat!$A$9:$N$1003,9,FALSE)</f>
        <v>خ</v>
      </c>
      <c r="S245" s="866" t="str">
        <f>VLOOKUP(N245,etat!$A$9:$P$905,16,FALSE)</f>
        <v>ان/د2</v>
      </c>
      <c r="T245" s="755">
        <v>45761</v>
      </c>
      <c r="U245" s="791">
        <v>22</v>
      </c>
      <c r="V245" s="784" t="s">
        <v>2267</v>
      </c>
      <c r="W245" s="784" t="s">
        <v>2275</v>
      </c>
      <c r="X245" s="784" t="s">
        <v>2282</v>
      </c>
      <c r="Y245" s="1116"/>
      <c r="Z245" s="975" t="str">
        <f>VLOOKUP(L245,[2]اس!$S$3:$X$31,3,FALSE)</f>
        <v>.</v>
      </c>
      <c r="AA245" s="967">
        <v>7</v>
      </c>
      <c r="AC245" s="302"/>
      <c r="AD245" s="302"/>
      <c r="AE245" s="302"/>
      <c r="AF245" s="302"/>
      <c r="AG245" s="302"/>
      <c r="AH245" s="302"/>
      <c r="AI245" s="302"/>
      <c r="AJ245" s="302"/>
      <c r="AK245" s="302"/>
      <c r="AL245" s="302"/>
      <c r="AM245" s="302"/>
      <c r="AN245" s="302"/>
      <c r="AO245" s="302"/>
      <c r="AP245" s="302"/>
      <c r="AQ245" s="302"/>
      <c r="AR245" s="302"/>
      <c r="AS245" s="302"/>
      <c r="AT245" s="302"/>
      <c r="AU245" s="302"/>
      <c r="AV245" s="302"/>
      <c r="AW245" s="302"/>
    </row>
    <row r="246" spans="4:49" s="25" customFormat="1" ht="16.5" customHeight="1">
      <c r="D246" s="295"/>
      <c r="E246" s="295"/>
      <c r="F246" s="295"/>
      <c r="G246" s="295"/>
      <c r="H246" s="295"/>
      <c r="L246" s="777">
        <v>5</v>
      </c>
      <c r="M246" s="778"/>
      <c r="N246" s="976">
        <v>250</v>
      </c>
      <c r="O246" s="1020">
        <v>189</v>
      </c>
      <c r="P246" s="847">
        <f>VLOOKUP(N246,etat!$A$9:$N$1004,2,FALSE)</f>
        <v>0</v>
      </c>
      <c r="Q246" s="797" t="str">
        <f>VLOOKUP(N246,etat!$A$9:$N$963,7,FALSE)</f>
        <v>2ت ا ق1</v>
      </c>
      <c r="R246" s="866" t="str">
        <f>VLOOKUP(N246,etat!$A$9:$N$1003,9,FALSE)</f>
        <v>خ</v>
      </c>
      <c r="S246" s="866" t="str">
        <f>VLOOKUP(N246,etat!$A$9:$P$905,16,FALSE)</f>
        <v>ذخ2</v>
      </c>
      <c r="T246" s="755">
        <v>45775</v>
      </c>
      <c r="U246" s="791">
        <v>8</v>
      </c>
      <c r="V246" s="784" t="s">
        <v>2282</v>
      </c>
      <c r="W246" s="869"/>
      <c r="X246" s="869"/>
      <c r="Y246" s="975"/>
      <c r="Z246" s="975"/>
      <c r="AA246" s="967">
        <v>7</v>
      </c>
      <c r="AC246" s="302"/>
      <c r="AD246" s="302"/>
      <c r="AE246" s="302"/>
      <c r="AF246" s="302"/>
      <c r="AG246" s="302"/>
      <c r="AH246" s="302"/>
      <c r="AI246" s="302"/>
      <c r="AJ246" s="302"/>
      <c r="AK246" s="302"/>
      <c r="AL246" s="302"/>
      <c r="AM246" s="302"/>
      <c r="AN246" s="302"/>
      <c r="AO246" s="302"/>
      <c r="AP246" s="302"/>
      <c r="AQ246" s="302"/>
      <c r="AR246" s="302"/>
      <c r="AS246" s="302"/>
      <c r="AT246" s="302"/>
      <c r="AU246" s="302"/>
      <c r="AV246" s="302"/>
      <c r="AW246" s="302"/>
    </row>
    <row r="247" spans="4:49" s="25" customFormat="1" ht="16.5" customHeight="1">
      <c r="D247" s="295"/>
      <c r="E247" s="295"/>
      <c r="F247" s="295"/>
      <c r="G247" s="295"/>
      <c r="H247" s="295"/>
      <c r="L247" s="777">
        <v>5</v>
      </c>
      <c r="M247" s="778"/>
      <c r="N247" s="976">
        <v>252</v>
      </c>
      <c r="O247" s="1020">
        <v>190</v>
      </c>
      <c r="P247" s="847">
        <f>VLOOKUP(N247,etat!$A$9:$N$1004,2,FALSE)</f>
        <v>0</v>
      </c>
      <c r="Q247" s="797" t="str">
        <f>VLOOKUP(N247,etat!$A$9:$N$963,7,FALSE)</f>
        <v>2ت ا ق1</v>
      </c>
      <c r="R247" s="797" t="str">
        <f>VLOOKUP(N247,etat!$A$9:$N$1003,9,FALSE)</f>
        <v>خ</v>
      </c>
      <c r="S247" s="866" t="str">
        <f>VLOOKUP(N247,etat!$A$9:$P$905,16,FALSE)</f>
        <v>اخ2</v>
      </c>
      <c r="T247" s="755">
        <v>45774</v>
      </c>
      <c r="U247" s="791">
        <v>9</v>
      </c>
      <c r="V247" s="784" t="s">
        <v>2281</v>
      </c>
      <c r="W247" s="784"/>
      <c r="X247" s="784"/>
      <c r="Y247" s="1117"/>
      <c r="Z247" s="967"/>
      <c r="AA247" s="967">
        <v>7</v>
      </c>
      <c r="AC247" s="302"/>
      <c r="AD247" s="302"/>
      <c r="AE247" s="302"/>
      <c r="AF247" s="302"/>
      <c r="AG247" s="302"/>
      <c r="AH247" s="302"/>
      <c r="AI247" s="302"/>
      <c r="AJ247" s="302"/>
      <c r="AK247" s="302"/>
      <c r="AL247" s="302"/>
      <c r="AM247" s="302"/>
      <c r="AN247" s="302"/>
      <c r="AO247" s="302"/>
      <c r="AP247" s="302"/>
      <c r="AQ247" s="302"/>
      <c r="AR247" s="302"/>
      <c r="AS247" s="302"/>
      <c r="AT247" s="302"/>
      <c r="AU247" s="302"/>
      <c r="AV247" s="302"/>
      <c r="AW247" s="302"/>
    </row>
    <row r="248" spans="4:49" s="25" customFormat="1" ht="16.5" customHeight="1">
      <c r="D248" s="295"/>
      <c r="E248" s="295"/>
      <c r="F248" s="295"/>
      <c r="G248" s="295"/>
      <c r="H248" s="295"/>
      <c r="L248" s="777">
        <v>5</v>
      </c>
      <c r="M248" s="778"/>
      <c r="N248" s="976">
        <v>253</v>
      </c>
      <c r="O248" s="1020">
        <v>191</v>
      </c>
      <c r="P248" s="847">
        <f>VLOOKUP(N248,etat!$A$9:$N$1004,2,FALSE)</f>
        <v>0</v>
      </c>
      <c r="Q248" s="797" t="str">
        <f>VLOOKUP(N248,etat!$A$9:$N$963,7,FALSE)</f>
        <v>2ت ا ق1</v>
      </c>
      <c r="R248" s="797" t="str">
        <f>VLOOKUP(N248,etat!$A$9:$N$1003,9,FALSE)</f>
        <v>خ</v>
      </c>
      <c r="S248" s="866" t="str">
        <f>VLOOKUP(N248,etat!$A$9:$P$905,16,FALSE)</f>
        <v>اخ2</v>
      </c>
      <c r="T248" s="755">
        <v>45776</v>
      </c>
      <c r="U248" s="791">
        <v>7</v>
      </c>
      <c r="V248" s="784" t="s">
        <v>2283</v>
      </c>
      <c r="W248" s="784"/>
      <c r="X248" s="784"/>
      <c r="Y248" s="975"/>
      <c r="Z248" s="975"/>
      <c r="AA248" s="967">
        <v>7</v>
      </c>
      <c r="AC248" s="302"/>
      <c r="AD248" s="302"/>
      <c r="AE248" s="302"/>
      <c r="AF248" s="302"/>
      <c r="AG248" s="302"/>
      <c r="AH248" s="302"/>
      <c r="AI248" s="302"/>
      <c r="AJ248" s="302"/>
      <c r="AK248" s="302"/>
      <c r="AL248" s="302"/>
      <c r="AM248" s="302"/>
      <c r="AN248" s="302"/>
      <c r="AO248" s="302"/>
      <c r="AP248" s="302"/>
      <c r="AQ248" s="302"/>
      <c r="AR248" s="302"/>
      <c r="AS248" s="302"/>
      <c r="AT248" s="302"/>
      <c r="AU248" s="302"/>
      <c r="AV248" s="302"/>
      <c r="AW248" s="302"/>
    </row>
    <row r="249" spans="4:49" s="25" customFormat="1" ht="16.5" customHeight="1">
      <c r="D249" s="295"/>
      <c r="E249" s="295"/>
      <c r="F249" s="295"/>
      <c r="G249" s="295"/>
      <c r="H249" s="295"/>
      <c r="L249" s="777">
        <v>5</v>
      </c>
      <c r="M249" s="778"/>
      <c r="N249" s="976">
        <v>254</v>
      </c>
      <c r="O249" s="1020">
        <v>192</v>
      </c>
      <c r="P249" s="847">
        <f>VLOOKUP(N249,etat!$A$9:$N$1004,2,FALSE)</f>
        <v>0</v>
      </c>
      <c r="Q249" s="797" t="str">
        <f>VLOOKUP(N249,etat!$A$9:$N$963,7,FALSE)</f>
        <v>2ت ا ق1</v>
      </c>
      <c r="R249" s="797" t="str">
        <f>VLOOKUP(N249,etat!$A$9:$N$1003,9,FALSE)</f>
        <v>خ</v>
      </c>
      <c r="S249" s="866" t="str">
        <f>VLOOKUP(N249,etat!$A$9:$P$905,16,FALSE)</f>
        <v>اخ2</v>
      </c>
      <c r="T249" s="755">
        <v>45770</v>
      </c>
      <c r="U249" s="791">
        <v>13</v>
      </c>
      <c r="V249" s="784" t="s">
        <v>2280</v>
      </c>
      <c r="W249" s="784" t="s">
        <v>2283</v>
      </c>
      <c r="X249" s="784"/>
      <c r="Y249" s="975"/>
      <c r="Z249" s="967"/>
      <c r="AA249" s="967">
        <v>7</v>
      </c>
      <c r="AC249" s="302"/>
      <c r="AD249" s="302"/>
      <c r="AE249" s="302"/>
      <c r="AF249" s="302"/>
      <c r="AG249" s="302"/>
      <c r="AH249" s="302"/>
      <c r="AI249" s="302"/>
      <c r="AJ249" s="302"/>
      <c r="AK249" s="302"/>
      <c r="AL249" s="302"/>
      <c r="AM249" s="302"/>
      <c r="AN249" s="302"/>
      <c r="AO249" s="302"/>
      <c r="AP249" s="302"/>
      <c r="AQ249" s="302"/>
      <c r="AR249" s="302"/>
      <c r="AS249" s="302"/>
      <c r="AT249" s="302"/>
      <c r="AU249" s="302"/>
      <c r="AV249" s="302"/>
      <c r="AW249" s="302"/>
    </row>
    <row r="250" spans="4:49" s="25" customFormat="1" ht="16.5" customHeight="1">
      <c r="D250" s="295"/>
      <c r="E250" s="295"/>
      <c r="F250" s="295"/>
      <c r="G250" s="295"/>
      <c r="H250" s="295"/>
      <c r="L250" s="777">
        <v>5</v>
      </c>
      <c r="M250" s="778"/>
      <c r="N250" s="976">
        <v>255</v>
      </c>
      <c r="O250" s="1020">
        <v>193</v>
      </c>
      <c r="P250" s="847">
        <f>VLOOKUP(N250,etat!$A$9:$N$1004,2,FALSE)</f>
        <v>0</v>
      </c>
      <c r="Q250" s="797" t="str">
        <f>VLOOKUP(N250,etat!$A$9:$N$963,7,FALSE)</f>
        <v>2ت ا ق1</v>
      </c>
      <c r="R250" s="866" t="str">
        <f>VLOOKUP(N250,etat!$A$9:$N$1003,9,FALSE)</f>
        <v>خ</v>
      </c>
      <c r="S250" s="866" t="str">
        <f>VLOOKUP(N250,etat!$A$9:$P$905,16,FALSE)</f>
        <v>اخ2</v>
      </c>
      <c r="T250" s="755">
        <v>45775</v>
      </c>
      <c r="U250" s="791">
        <v>8</v>
      </c>
      <c r="V250" s="784" t="s">
        <v>2282</v>
      </c>
      <c r="W250" s="869"/>
      <c r="X250" s="869"/>
      <c r="Y250" s="975"/>
      <c r="Z250" s="975"/>
      <c r="AA250" s="967">
        <v>7</v>
      </c>
      <c r="AB250" s="302"/>
      <c r="AC250" s="302"/>
      <c r="AD250" s="302"/>
      <c r="AE250" s="302"/>
      <c r="AF250" s="302"/>
      <c r="AG250" s="302"/>
      <c r="AH250" s="302"/>
      <c r="AI250" s="302"/>
      <c r="AJ250" s="302"/>
      <c r="AK250" s="302"/>
      <c r="AL250" s="302"/>
      <c r="AM250" s="302"/>
      <c r="AN250" s="302"/>
      <c r="AO250" s="302"/>
      <c r="AP250" s="302"/>
      <c r="AQ250" s="302"/>
      <c r="AR250" s="302"/>
      <c r="AS250" s="302"/>
      <c r="AT250" s="302"/>
      <c r="AU250" s="302"/>
      <c r="AV250" s="302"/>
      <c r="AW250" s="302"/>
    </row>
    <row r="251" spans="4:49" s="25" customFormat="1" ht="16.5" customHeight="1">
      <c r="D251" s="295"/>
      <c r="E251" s="295"/>
      <c r="F251" s="295"/>
      <c r="G251" s="295"/>
      <c r="H251" s="295"/>
      <c r="L251" s="777">
        <v>5</v>
      </c>
      <c r="M251" s="778"/>
      <c r="N251" s="976">
        <v>257</v>
      </c>
      <c r="O251" s="1020">
        <v>194</v>
      </c>
      <c r="P251" s="847">
        <f>VLOOKUP(N251,etat!$A$9:$N$1004,2,FALSE)</f>
        <v>0</v>
      </c>
      <c r="Q251" s="797" t="str">
        <f>VLOOKUP(N251,etat!$A$9:$N$963,7,FALSE)</f>
        <v>2ت ا ق1</v>
      </c>
      <c r="R251" s="866" t="str">
        <f>VLOOKUP(N251,etat!$A$9:$N$1003,9,FALSE)</f>
        <v>خ</v>
      </c>
      <c r="S251" s="866" t="str">
        <f>VLOOKUP(N251,etat!$A$9:$P$905,16,FALSE)</f>
        <v>ذخ2</v>
      </c>
      <c r="T251" s="755">
        <v>45775</v>
      </c>
      <c r="U251" s="791">
        <v>8</v>
      </c>
      <c r="V251" s="784" t="s">
        <v>2282</v>
      </c>
      <c r="W251" s="869"/>
      <c r="X251" s="869"/>
      <c r="Y251" s="975"/>
      <c r="Z251" s="975"/>
      <c r="AA251" s="967">
        <v>7</v>
      </c>
      <c r="AB251" s="302"/>
      <c r="AC251" s="302"/>
      <c r="AD251" s="302"/>
      <c r="AE251" s="302"/>
      <c r="AF251" s="302"/>
      <c r="AG251" s="302"/>
      <c r="AH251" s="302"/>
      <c r="AI251" s="302"/>
      <c r="AJ251" s="302"/>
      <c r="AK251" s="302"/>
      <c r="AL251" s="302"/>
      <c r="AM251" s="302"/>
      <c r="AN251" s="302"/>
      <c r="AO251" s="302"/>
      <c r="AP251" s="302"/>
      <c r="AQ251" s="302"/>
      <c r="AR251" s="302"/>
      <c r="AS251" s="302"/>
      <c r="AT251" s="302"/>
      <c r="AU251" s="302"/>
      <c r="AV251" s="302"/>
      <c r="AW251" s="302"/>
    </row>
    <row r="252" spans="4:49" s="25" customFormat="1" ht="16.5" customHeight="1">
      <c r="D252" s="295"/>
      <c r="E252" s="295"/>
      <c r="F252" s="295"/>
      <c r="G252" s="295"/>
      <c r="H252" s="295"/>
      <c r="L252" s="777">
        <v>5</v>
      </c>
      <c r="M252" s="778"/>
      <c r="N252" s="976">
        <v>258</v>
      </c>
      <c r="O252" s="1020">
        <v>195</v>
      </c>
      <c r="P252" s="847">
        <f>VLOOKUP(N252,etat!$A$9:$N$1004,2,FALSE)</f>
        <v>0</v>
      </c>
      <c r="Q252" s="797" t="str">
        <f>VLOOKUP(N252,etat!$A$9:$N$963,7,FALSE)</f>
        <v>2ت ا ق1</v>
      </c>
      <c r="R252" s="866" t="str">
        <f>VLOOKUP(N252,etat!$A$9:$N$1003,9,FALSE)</f>
        <v>خ</v>
      </c>
      <c r="S252" s="866" t="str">
        <f>VLOOKUP(N252,etat!$A$9:$P$905,16,FALSE)</f>
        <v>اخ2</v>
      </c>
      <c r="T252" s="755">
        <v>45775</v>
      </c>
      <c r="U252" s="791">
        <v>8</v>
      </c>
      <c r="V252" s="784" t="s">
        <v>2282</v>
      </c>
      <c r="W252" s="869"/>
      <c r="X252" s="869"/>
      <c r="Y252" s="975"/>
      <c r="Z252" s="975"/>
      <c r="AA252" s="967">
        <v>7</v>
      </c>
      <c r="AB252" s="302"/>
      <c r="AC252" s="302"/>
      <c r="AD252" s="302"/>
      <c r="AE252" s="302"/>
      <c r="AF252" s="302"/>
      <c r="AG252" s="302"/>
      <c r="AH252" s="302"/>
      <c r="AI252" s="302"/>
      <c r="AJ252" s="302"/>
      <c r="AK252" s="302"/>
      <c r="AL252" s="302"/>
      <c r="AM252" s="302"/>
      <c r="AN252" s="302"/>
      <c r="AO252" s="302"/>
      <c r="AP252" s="302"/>
      <c r="AQ252" s="302"/>
      <c r="AR252" s="302"/>
      <c r="AS252" s="302"/>
      <c r="AT252" s="302"/>
      <c r="AU252" s="302"/>
      <c r="AV252" s="302"/>
      <c r="AW252" s="302"/>
    </row>
    <row r="253" spans="4:49" s="25" customFormat="1" ht="16.5" customHeight="1">
      <c r="D253" s="295"/>
      <c r="E253" s="295"/>
      <c r="F253" s="295"/>
      <c r="G253" s="295"/>
      <c r="H253" s="295"/>
      <c r="L253" s="777">
        <v>5</v>
      </c>
      <c r="M253" s="778"/>
      <c r="N253" s="976">
        <v>259</v>
      </c>
      <c r="O253" s="1020">
        <v>196</v>
      </c>
      <c r="P253" s="847">
        <f>VLOOKUP(N253,etat!$A$9:$N$1004,2,FALSE)</f>
        <v>0</v>
      </c>
      <c r="Q253" s="797" t="str">
        <f>VLOOKUP(N253,etat!$A$9:$N$963,7,FALSE)</f>
        <v>2ت ا ق1</v>
      </c>
      <c r="R253" s="797" t="str">
        <f>VLOOKUP(N253,etat!$A$9:$N$1003,9,FALSE)</f>
        <v>خ</v>
      </c>
      <c r="S253" s="866" t="str">
        <f>VLOOKUP(N253,etat!$A$9:$P$905,16,FALSE)</f>
        <v>ذخ2</v>
      </c>
      <c r="T253" s="755">
        <v>45776</v>
      </c>
      <c r="U253" s="791">
        <v>7</v>
      </c>
      <c r="V253" s="784" t="s">
        <v>2283</v>
      </c>
      <c r="W253" s="784"/>
      <c r="X253" s="784"/>
      <c r="Y253" s="975"/>
      <c r="Z253" s="975"/>
      <c r="AA253" s="967">
        <v>7</v>
      </c>
      <c r="AB253" s="302"/>
      <c r="AC253" s="302"/>
      <c r="AD253" s="302"/>
      <c r="AE253" s="302"/>
      <c r="AF253" s="302"/>
      <c r="AG253" s="302"/>
      <c r="AH253" s="302"/>
      <c r="AI253" s="302"/>
      <c r="AJ253" s="302"/>
      <c r="AK253" s="302"/>
      <c r="AL253" s="302"/>
      <c r="AM253" s="302"/>
      <c r="AN253" s="302"/>
      <c r="AO253" s="302"/>
      <c r="AP253" s="302"/>
      <c r="AQ253" s="302"/>
      <c r="AR253" s="302"/>
      <c r="AS253" s="302"/>
      <c r="AT253" s="302"/>
      <c r="AU253" s="302"/>
      <c r="AV253" s="302"/>
      <c r="AW253" s="302"/>
    </row>
    <row r="254" spans="4:49" s="25" customFormat="1" ht="16.5" customHeight="1">
      <c r="D254" s="295"/>
      <c r="E254" s="295"/>
      <c r="F254" s="295"/>
      <c r="G254" s="295"/>
      <c r="H254" s="295"/>
      <c r="L254" s="777">
        <v>5</v>
      </c>
      <c r="M254" s="778"/>
      <c r="N254" s="976">
        <v>261</v>
      </c>
      <c r="O254" s="1020">
        <v>197</v>
      </c>
      <c r="P254" s="847">
        <f>VLOOKUP(N254,etat!$A$9:$N$1004,2,FALSE)</f>
        <v>0</v>
      </c>
      <c r="Q254" s="797" t="str">
        <f>VLOOKUP(N254,etat!$A$9:$N$963,7,FALSE)</f>
        <v>2ت ا ق1</v>
      </c>
      <c r="R254" s="866" t="str">
        <f>VLOOKUP(N254,etat!$A$9:$N$1003,9,FALSE)</f>
        <v>خ</v>
      </c>
      <c r="S254" s="866" t="str">
        <f>VLOOKUP(N254,etat!$A$9:$P$905,16,FALSE)</f>
        <v>ذخ2</v>
      </c>
      <c r="T254" s="755">
        <v>45775</v>
      </c>
      <c r="U254" s="791">
        <v>8</v>
      </c>
      <c r="V254" s="784" t="s">
        <v>2282</v>
      </c>
      <c r="W254" s="869"/>
      <c r="X254" s="869"/>
      <c r="Y254" s="975"/>
      <c r="Z254" s="975"/>
      <c r="AA254" s="967">
        <v>7</v>
      </c>
      <c r="AB254" s="302"/>
      <c r="AC254" s="302"/>
      <c r="AD254" s="302"/>
      <c r="AE254" s="302"/>
      <c r="AF254" s="302"/>
      <c r="AG254" s="302"/>
      <c r="AH254" s="302"/>
      <c r="AI254" s="302"/>
      <c r="AJ254" s="302"/>
      <c r="AK254" s="302"/>
      <c r="AL254" s="302"/>
      <c r="AM254" s="302"/>
      <c r="AN254" s="302"/>
      <c r="AO254" s="302"/>
      <c r="AP254" s="302"/>
      <c r="AQ254" s="302"/>
      <c r="AR254" s="302"/>
      <c r="AS254" s="302"/>
      <c r="AT254" s="302"/>
      <c r="AU254" s="302"/>
      <c r="AV254" s="302"/>
      <c r="AW254" s="302"/>
    </row>
    <row r="255" spans="4:49" s="25" customFormat="1" ht="16.5" customHeight="1">
      <c r="D255" s="295"/>
      <c r="E255" s="295"/>
      <c r="F255" s="295"/>
      <c r="G255" s="295"/>
      <c r="H255" s="295"/>
      <c r="L255" s="777">
        <v>5</v>
      </c>
      <c r="M255" s="778"/>
      <c r="N255" s="976">
        <v>262</v>
      </c>
      <c r="O255" s="1020">
        <v>198</v>
      </c>
      <c r="P255" s="847">
        <f>VLOOKUP(N255,etat!$A$9:$N$1004,2,FALSE)</f>
        <v>0</v>
      </c>
      <c r="Q255" s="797" t="str">
        <f>VLOOKUP(N255,etat!$A$9:$N$963,7,FALSE)</f>
        <v>2ت ا ق1</v>
      </c>
      <c r="R255" s="866" t="str">
        <f>VLOOKUP(N255,etat!$A$9:$N$1003,9,FALSE)</f>
        <v>خ</v>
      </c>
      <c r="S255" s="866" t="str">
        <f>VLOOKUP(N255,etat!$A$9:$P$905,16,FALSE)</f>
        <v>اخ2</v>
      </c>
      <c r="T255" s="755">
        <v>45775</v>
      </c>
      <c r="U255" s="791">
        <v>8</v>
      </c>
      <c r="V255" s="784" t="s">
        <v>2282</v>
      </c>
      <c r="W255" s="869"/>
      <c r="X255" s="869"/>
      <c r="Y255" s="975"/>
      <c r="Z255" s="975"/>
      <c r="AA255" s="967">
        <v>7</v>
      </c>
      <c r="AB255" s="302"/>
      <c r="AC255" s="302"/>
      <c r="AD255" s="302"/>
      <c r="AE255" s="302"/>
      <c r="AF255" s="302"/>
      <c r="AG255" s="302"/>
      <c r="AH255" s="302"/>
      <c r="AI255" s="302"/>
      <c r="AJ255" s="302"/>
      <c r="AK255" s="302"/>
      <c r="AL255" s="302"/>
      <c r="AM255" s="302"/>
      <c r="AN255" s="302"/>
      <c r="AO255" s="302"/>
      <c r="AP255" s="302"/>
      <c r="AQ255" s="302"/>
      <c r="AR255" s="302"/>
      <c r="AS255" s="302"/>
      <c r="AT255" s="302"/>
      <c r="AU255" s="302"/>
      <c r="AV255" s="302"/>
      <c r="AW255" s="302"/>
    </row>
    <row r="256" spans="4:49" s="25" customFormat="1" ht="16.5" customHeight="1">
      <c r="D256" s="295"/>
      <c r="E256" s="295"/>
      <c r="F256" s="295"/>
      <c r="G256" s="295"/>
      <c r="H256" s="295"/>
      <c r="L256" s="777">
        <v>5</v>
      </c>
      <c r="M256" s="778"/>
      <c r="N256" s="976">
        <v>263</v>
      </c>
      <c r="O256" s="1020">
        <v>199</v>
      </c>
      <c r="P256" s="847">
        <f>VLOOKUP(N256,etat!$A$9:$N$1004,2,FALSE)</f>
        <v>0</v>
      </c>
      <c r="Q256" s="797" t="str">
        <f>VLOOKUP(N256,etat!$A$9:$N$963,7,FALSE)</f>
        <v>2ع ت1</v>
      </c>
      <c r="R256" s="866" t="str">
        <f>VLOOKUP(N256,etat!$A$9:$N$1003,9,FALSE)</f>
        <v>ن/د</v>
      </c>
      <c r="S256" s="866" t="str">
        <f>VLOOKUP(N256,etat!$A$9:$P$905,16,FALSE)</f>
        <v>ذخ2</v>
      </c>
      <c r="T256" s="755">
        <v>45777</v>
      </c>
      <c r="U256" s="1129" t="s">
        <v>420</v>
      </c>
      <c r="V256" s="784" t="s">
        <v>2283</v>
      </c>
      <c r="W256" s="784"/>
      <c r="X256" s="784"/>
      <c r="Y256" s="975"/>
      <c r="Z256" s="975"/>
      <c r="AA256" s="967">
        <v>7</v>
      </c>
      <c r="AB256" s="302"/>
      <c r="AC256" s="302"/>
      <c r="AD256" s="302"/>
      <c r="AE256" s="302"/>
      <c r="AF256" s="302"/>
      <c r="AG256" s="302"/>
      <c r="AH256" s="302"/>
      <c r="AI256" s="302"/>
      <c r="AJ256" s="302"/>
      <c r="AK256" s="302"/>
      <c r="AL256" s="302"/>
      <c r="AM256" s="302"/>
      <c r="AN256" s="302"/>
      <c r="AO256" s="302"/>
      <c r="AP256" s="302"/>
      <c r="AQ256" s="302"/>
      <c r="AR256" s="302"/>
      <c r="AS256" s="302"/>
      <c r="AT256" s="302"/>
      <c r="AU256" s="302"/>
      <c r="AV256" s="302"/>
      <c r="AW256" s="302"/>
    </row>
    <row r="257" spans="1:49" s="25" customFormat="1" ht="16.5" customHeight="1">
      <c r="D257" s="295"/>
      <c r="E257" s="295"/>
      <c r="F257" s="295"/>
      <c r="G257" s="295"/>
      <c r="H257" s="295"/>
      <c r="L257" s="777">
        <v>5</v>
      </c>
      <c r="M257" s="778"/>
      <c r="N257" s="976">
        <v>264</v>
      </c>
      <c r="O257" s="1020">
        <v>200</v>
      </c>
      <c r="P257" s="847">
        <f>VLOOKUP(N257,etat!$A$9:$N$1004,2,FALSE)</f>
        <v>0</v>
      </c>
      <c r="Q257" s="797" t="str">
        <f>VLOOKUP(N257,etat!$A$9:$N$963,7,FALSE)</f>
        <v>2ع ت1</v>
      </c>
      <c r="R257" s="797" t="str">
        <f>VLOOKUP(N257,etat!$A$9:$N$1003,9,FALSE)</f>
        <v>ن/د</v>
      </c>
      <c r="S257" s="866" t="str">
        <f>VLOOKUP(N257,etat!$A$9:$P$905,16,FALSE)</f>
        <v>اخ2</v>
      </c>
      <c r="T257" s="755">
        <v>45775</v>
      </c>
      <c r="U257" s="791">
        <v>8</v>
      </c>
      <c r="V257" s="784" t="s">
        <v>2282</v>
      </c>
      <c r="W257" s="869"/>
      <c r="X257" s="869"/>
      <c r="Y257" s="975"/>
      <c r="Z257" s="975"/>
      <c r="AA257" s="967">
        <v>7</v>
      </c>
      <c r="AB257" s="302"/>
      <c r="AC257" s="302"/>
      <c r="AD257" s="302"/>
      <c r="AE257" s="302"/>
      <c r="AF257" s="302"/>
      <c r="AG257" s="302"/>
      <c r="AH257" s="302"/>
      <c r="AI257" s="302"/>
      <c r="AJ257" s="302"/>
      <c r="AK257" s="302"/>
      <c r="AL257" s="302"/>
      <c r="AM257" s="302"/>
      <c r="AN257" s="302"/>
      <c r="AO257" s="302"/>
      <c r="AP257" s="302"/>
      <c r="AQ257" s="302"/>
      <c r="AR257" s="302"/>
      <c r="AS257" s="302"/>
      <c r="AT257" s="302"/>
      <c r="AU257" s="302"/>
      <c r="AV257" s="302"/>
      <c r="AW257" s="302"/>
    </row>
    <row r="258" spans="1:49" s="25" customFormat="1" ht="16.5" customHeight="1">
      <c r="D258" s="295"/>
      <c r="E258" s="295"/>
      <c r="F258" s="295"/>
      <c r="G258" s="295"/>
      <c r="H258" s="295"/>
      <c r="L258" s="777">
        <v>5</v>
      </c>
      <c r="M258" s="778"/>
      <c r="N258" s="976">
        <v>265</v>
      </c>
      <c r="O258" s="1020">
        <v>201</v>
      </c>
      <c r="P258" s="847">
        <f>VLOOKUP(N258,etat!$A$9:$N$1004,2,FALSE)</f>
        <v>0</v>
      </c>
      <c r="Q258" s="797" t="str">
        <f>VLOOKUP(N258,etat!$A$9:$N$963,7,FALSE)</f>
        <v>2ع ت1</v>
      </c>
      <c r="R258" s="866" t="str">
        <f>VLOOKUP(N258,etat!$A$9:$N$1003,9,FALSE)</f>
        <v>ن/د</v>
      </c>
      <c r="S258" s="866" t="str">
        <f>VLOOKUP(N258,etat!$A$9:$P$905,16,FALSE)</f>
        <v>ذخ2</v>
      </c>
      <c r="T258" s="755">
        <v>45775</v>
      </c>
      <c r="U258" s="791">
        <v>8</v>
      </c>
      <c r="V258" s="784" t="s">
        <v>2282</v>
      </c>
      <c r="W258" s="869"/>
      <c r="X258" s="869"/>
      <c r="Y258" s="975"/>
      <c r="Z258" s="975"/>
      <c r="AA258" s="967">
        <v>7</v>
      </c>
      <c r="AB258" s="302"/>
      <c r="AC258" s="302"/>
      <c r="AD258" s="302"/>
      <c r="AE258" s="302"/>
      <c r="AF258" s="302"/>
      <c r="AG258" s="302"/>
      <c r="AH258" s="302"/>
      <c r="AI258" s="302"/>
      <c r="AJ258" s="302"/>
      <c r="AK258" s="302"/>
      <c r="AL258" s="302"/>
      <c r="AM258" s="302"/>
      <c r="AN258" s="302"/>
      <c r="AO258" s="302"/>
      <c r="AP258" s="302"/>
      <c r="AQ258" s="302"/>
      <c r="AR258" s="302"/>
      <c r="AS258" s="302"/>
      <c r="AT258" s="302"/>
      <c r="AU258" s="302"/>
      <c r="AV258" s="302"/>
      <c r="AW258" s="302"/>
    </row>
    <row r="259" spans="1:49" s="25" customFormat="1" ht="16.5" customHeight="1">
      <c r="D259" s="295"/>
      <c r="E259" s="295"/>
      <c r="F259" s="295"/>
      <c r="G259" s="295"/>
      <c r="H259" s="295"/>
      <c r="L259" s="777">
        <v>5</v>
      </c>
      <c r="M259" s="778"/>
      <c r="N259" s="976">
        <v>266</v>
      </c>
      <c r="O259" s="1020">
        <v>202</v>
      </c>
      <c r="P259" s="847">
        <f>VLOOKUP(N259,etat!$A$9:$N$1004,2,FALSE)</f>
        <v>0</v>
      </c>
      <c r="Q259" s="797" t="str">
        <f>VLOOKUP(N259,etat!$A$9:$N$963,7,FALSE)</f>
        <v>2ع ت1</v>
      </c>
      <c r="R259" s="797" t="str">
        <f>VLOOKUP(N259,etat!$A$9:$N$1003,9,FALSE)</f>
        <v>خ</v>
      </c>
      <c r="S259" s="866" t="str">
        <f>VLOOKUP(N259,etat!$A$9:$P$905,16,FALSE)</f>
        <v>اخ2</v>
      </c>
      <c r="T259" s="755">
        <v>45769</v>
      </c>
      <c r="U259" s="791">
        <v>14</v>
      </c>
      <c r="V259" s="784" t="s">
        <v>2278</v>
      </c>
      <c r="W259" s="784" t="s">
        <v>2283</v>
      </c>
      <c r="X259" s="784"/>
      <c r="Y259" s="975"/>
      <c r="Z259" s="975" t="str">
        <f>VLOOKUP(L259,[2]اس!$S$3:$X$31,3,FALSE)</f>
        <v>.</v>
      </c>
      <c r="AA259" s="967">
        <v>7</v>
      </c>
      <c r="AB259" s="302"/>
      <c r="AC259" s="302"/>
      <c r="AD259" s="302"/>
      <c r="AE259" s="302"/>
      <c r="AF259" s="302"/>
      <c r="AG259" s="302"/>
      <c r="AH259" s="302"/>
      <c r="AI259" s="302"/>
      <c r="AJ259" s="302"/>
      <c r="AK259" s="302"/>
      <c r="AL259" s="302"/>
      <c r="AM259" s="302"/>
      <c r="AN259" s="302"/>
      <c r="AO259" s="302"/>
      <c r="AP259" s="302"/>
      <c r="AQ259" s="302"/>
      <c r="AR259" s="302"/>
      <c r="AS259" s="302"/>
      <c r="AT259" s="302"/>
      <c r="AU259" s="302"/>
      <c r="AV259" s="302"/>
      <c r="AW259" s="302"/>
    </row>
    <row r="260" spans="1:49" s="25" customFormat="1" ht="16.5" customHeight="1">
      <c r="A260" s="302"/>
      <c r="B260" s="302"/>
      <c r="C260" s="302"/>
      <c r="D260" s="303"/>
      <c r="E260" s="303"/>
      <c r="F260" s="303"/>
      <c r="G260" s="303"/>
      <c r="H260" s="303"/>
      <c r="I260" s="302"/>
      <c r="J260" s="302"/>
      <c r="K260" s="302"/>
      <c r="L260" s="777">
        <v>5</v>
      </c>
      <c r="M260" s="778"/>
      <c r="N260" s="976">
        <v>267</v>
      </c>
      <c r="O260" s="1020">
        <v>203</v>
      </c>
      <c r="P260" s="847">
        <f>VLOOKUP(N260,etat!$A$9:$N$1004,2,FALSE)</f>
        <v>0</v>
      </c>
      <c r="Q260" s="797" t="str">
        <f>VLOOKUP(N260,etat!$A$9:$N$963,7,FALSE)</f>
        <v>2ع ت1</v>
      </c>
      <c r="R260" s="866" t="str">
        <f>VLOOKUP(N260,etat!$A$9:$N$1003,9,FALSE)</f>
        <v>خ</v>
      </c>
      <c r="S260" s="866" t="str">
        <f>VLOOKUP(N260,etat!$A$9:$P$905,16,FALSE)</f>
        <v>ان/د2</v>
      </c>
      <c r="T260" s="755">
        <v>45775</v>
      </c>
      <c r="U260" s="791">
        <v>8</v>
      </c>
      <c r="V260" s="784" t="s">
        <v>2282</v>
      </c>
      <c r="W260" s="869"/>
      <c r="X260" s="869"/>
      <c r="Y260" s="975"/>
      <c r="Z260" s="975"/>
      <c r="AA260" s="967">
        <v>7</v>
      </c>
      <c r="AB260" s="302"/>
      <c r="AC260" s="302"/>
      <c r="AD260" s="302"/>
      <c r="AE260" s="302"/>
      <c r="AF260" s="302"/>
      <c r="AG260" s="302"/>
      <c r="AH260" s="302"/>
      <c r="AI260" s="302"/>
      <c r="AJ260" s="302"/>
      <c r="AK260" s="302"/>
      <c r="AL260" s="302"/>
      <c r="AM260" s="302"/>
      <c r="AN260" s="302"/>
      <c r="AO260" s="302"/>
      <c r="AP260" s="302"/>
      <c r="AQ260" s="302"/>
      <c r="AR260" s="302"/>
      <c r="AS260" s="302"/>
      <c r="AT260" s="302"/>
      <c r="AU260" s="302"/>
      <c r="AV260" s="302"/>
      <c r="AW260" s="302"/>
    </row>
    <row r="261" spans="1:49" s="25" customFormat="1" ht="16.5" customHeight="1">
      <c r="A261" s="302"/>
      <c r="B261" s="302"/>
      <c r="C261" s="302"/>
      <c r="D261" s="303"/>
      <c r="E261" s="303"/>
      <c r="F261" s="303"/>
      <c r="G261" s="303"/>
      <c r="H261" s="303"/>
      <c r="I261" s="302"/>
      <c r="J261" s="302"/>
      <c r="K261" s="302"/>
      <c r="L261" s="777">
        <v>5</v>
      </c>
      <c r="M261" s="778"/>
      <c r="N261" s="976">
        <v>787</v>
      </c>
      <c r="O261" s="1020">
        <v>204</v>
      </c>
      <c r="P261" s="1121">
        <f>VLOOKUP(N261,etat!$A$9:$N$1004,2,FALSE)</f>
        <v>0</v>
      </c>
      <c r="Q261" s="797">
        <f>VLOOKUP(N261,etat!$A$9:$N$963,7,FALSE)</f>
        <v>0</v>
      </c>
      <c r="R261" s="866">
        <f>VLOOKUP(N261,etat!$A$9:$N$1003,9,FALSE)</f>
        <v>0</v>
      </c>
      <c r="S261" s="866">
        <f>VLOOKUP(N261,etat!$A$9:$P$905,16,FALSE)</f>
        <v>0</v>
      </c>
      <c r="T261" s="755">
        <v>45781</v>
      </c>
      <c r="U261" s="791">
        <v>2</v>
      </c>
      <c r="V261" s="784"/>
      <c r="W261" s="784"/>
      <c r="X261" s="784"/>
      <c r="Y261" s="975"/>
      <c r="Z261" s="975"/>
      <c r="AA261" s="967">
        <v>7</v>
      </c>
      <c r="AB261" s="302"/>
      <c r="AC261" s="302"/>
      <c r="AD261" s="302"/>
      <c r="AE261" s="302"/>
      <c r="AF261" s="302"/>
      <c r="AG261" s="302"/>
      <c r="AH261" s="302"/>
      <c r="AI261" s="302"/>
      <c r="AJ261" s="302"/>
      <c r="AK261" s="302"/>
      <c r="AL261" s="302"/>
      <c r="AM261" s="302"/>
      <c r="AN261" s="302"/>
      <c r="AO261" s="302"/>
      <c r="AP261" s="302"/>
      <c r="AQ261" s="302"/>
      <c r="AR261" s="302"/>
      <c r="AS261" s="302"/>
      <c r="AT261" s="302"/>
      <c r="AU261" s="302"/>
      <c r="AV261" s="302"/>
      <c r="AW261" s="302"/>
    </row>
    <row r="262" spans="1:49" s="25" customFormat="1" ht="16.5" customHeight="1">
      <c r="A262" s="302"/>
      <c r="B262" s="302"/>
      <c r="C262" s="302"/>
      <c r="D262" s="303"/>
      <c r="E262" s="303"/>
      <c r="F262" s="303"/>
      <c r="G262" s="303"/>
      <c r="H262" s="303"/>
      <c r="I262" s="302"/>
      <c r="J262" s="302"/>
      <c r="K262" s="302"/>
      <c r="L262" s="777">
        <v>5</v>
      </c>
      <c r="M262" s="864"/>
      <c r="N262" s="976">
        <v>791</v>
      </c>
      <c r="O262" s="1020">
        <v>205</v>
      </c>
      <c r="P262" s="847">
        <f>VLOOKUP(N262,etat!$A$9:$N$1004,2,FALSE)</f>
        <v>0</v>
      </c>
      <c r="Q262" s="797">
        <f>VLOOKUP(N262,etat!$A$9:$N$963,7,FALSE)</f>
        <v>0</v>
      </c>
      <c r="R262" s="797">
        <f>VLOOKUP(N262,etat!$A$9:$N$1003,9,FALSE)</f>
        <v>0</v>
      </c>
      <c r="S262" s="866">
        <f>VLOOKUP(N262,etat!$A$9:$P$905,16,FALSE)</f>
        <v>0</v>
      </c>
      <c r="T262" s="755">
        <v>45761</v>
      </c>
      <c r="U262" s="791">
        <v>22</v>
      </c>
      <c r="V262" s="784" t="s">
        <v>2267</v>
      </c>
      <c r="W262" s="784" t="s">
        <v>2275</v>
      </c>
      <c r="X262" s="784" t="s">
        <v>2282</v>
      </c>
      <c r="Y262" s="975"/>
      <c r="Z262" s="975" t="str">
        <f>VLOOKUP(L262,[2]اس!$S$3:$X$31,3,FALSE)</f>
        <v>.</v>
      </c>
      <c r="AA262" s="967">
        <v>7</v>
      </c>
      <c r="AB262" s="302"/>
      <c r="AC262" s="302"/>
      <c r="AD262" s="302"/>
      <c r="AE262" s="302"/>
      <c r="AF262" s="302"/>
      <c r="AG262" s="302"/>
      <c r="AH262" s="302"/>
      <c r="AI262" s="302"/>
      <c r="AJ262" s="302"/>
      <c r="AK262" s="302"/>
      <c r="AL262" s="302"/>
      <c r="AM262" s="302"/>
      <c r="AN262" s="302"/>
      <c r="AO262" s="302"/>
      <c r="AP262" s="302"/>
      <c r="AQ262" s="302"/>
      <c r="AR262" s="302"/>
      <c r="AS262" s="302"/>
      <c r="AT262" s="302"/>
      <c r="AU262" s="302"/>
      <c r="AV262" s="302"/>
      <c r="AW262" s="302"/>
    </row>
    <row r="263" spans="1:49" s="25" customFormat="1" ht="16.5" customHeight="1">
      <c r="A263" s="302"/>
      <c r="B263" s="302"/>
      <c r="C263" s="302"/>
      <c r="D263" s="303"/>
      <c r="E263" s="303"/>
      <c r="F263" s="303"/>
      <c r="G263" s="303"/>
      <c r="H263" s="303"/>
      <c r="I263" s="302"/>
      <c r="J263" s="302"/>
      <c r="K263" s="302"/>
      <c r="L263" s="777">
        <v>5</v>
      </c>
      <c r="M263" s="864"/>
      <c r="N263" s="976">
        <v>269</v>
      </c>
      <c r="O263" s="1020">
        <v>206</v>
      </c>
      <c r="P263" s="847">
        <f>VLOOKUP(N263,etat!$A$9:$N$1004,2,FALSE)</f>
        <v>0</v>
      </c>
      <c r="Q263" s="797" t="str">
        <f>VLOOKUP(N263,etat!$A$9:$N$963,7,FALSE)</f>
        <v>2ع ت1</v>
      </c>
      <c r="R263" s="797" t="str">
        <f>VLOOKUP(N263,etat!$A$9:$N$1003,9,FALSE)</f>
        <v>خ</v>
      </c>
      <c r="S263" s="866" t="str">
        <f>VLOOKUP(N263,etat!$A$9:$P$905,16,FALSE)</f>
        <v>ان/د2</v>
      </c>
      <c r="T263" s="755">
        <v>45777</v>
      </c>
      <c r="U263" s="1129" t="s">
        <v>420</v>
      </c>
      <c r="V263" s="784" t="s">
        <v>2283</v>
      </c>
      <c r="W263" s="784"/>
      <c r="X263" s="784"/>
      <c r="Y263" s="1116"/>
      <c r="Z263" s="967"/>
      <c r="AA263" s="967">
        <v>7</v>
      </c>
      <c r="AB263" s="302"/>
      <c r="AC263" s="302"/>
      <c r="AD263" s="302"/>
      <c r="AE263" s="302"/>
      <c r="AF263" s="302"/>
      <c r="AG263" s="302"/>
      <c r="AH263" s="302"/>
      <c r="AI263" s="302"/>
      <c r="AJ263" s="302"/>
      <c r="AK263" s="302"/>
      <c r="AL263" s="302"/>
      <c r="AM263" s="302"/>
      <c r="AN263" s="302"/>
      <c r="AO263" s="302"/>
      <c r="AP263" s="302"/>
      <c r="AQ263" s="302"/>
      <c r="AR263" s="302"/>
      <c r="AS263" s="302"/>
      <c r="AT263" s="302"/>
      <c r="AU263" s="302"/>
      <c r="AV263" s="302"/>
      <c r="AW263" s="302"/>
    </row>
    <row r="264" spans="1:49" s="25" customFormat="1" ht="16.5" customHeight="1">
      <c r="A264" s="302"/>
      <c r="B264" s="302"/>
      <c r="C264" s="302"/>
      <c r="D264" s="303"/>
      <c r="E264" s="303"/>
      <c r="F264" s="303"/>
      <c r="G264" s="303"/>
      <c r="H264" s="303"/>
      <c r="I264" s="302"/>
      <c r="J264" s="302"/>
      <c r="K264" s="302"/>
      <c r="L264" s="777">
        <v>5</v>
      </c>
      <c r="M264" s="864"/>
      <c r="N264" s="976">
        <v>304</v>
      </c>
      <c r="O264" s="1020">
        <v>207</v>
      </c>
      <c r="P264" s="847">
        <f>VLOOKUP(N264,etat!$A$9:$N$1004,2,FALSE)</f>
        <v>0</v>
      </c>
      <c r="Q264" s="797" t="str">
        <f>VLOOKUP(N264,etat!$A$9:$N$963,7,FALSE)</f>
        <v>2أف1</v>
      </c>
      <c r="R264" s="954" t="str">
        <f>VLOOKUP(N264,etat!$A$9:$N$1003,9,FALSE)</f>
        <v>ن/د</v>
      </c>
      <c r="S264" s="866" t="str">
        <f>VLOOKUP(N264,etat!$A$9:$P$905,16,FALSE)</f>
        <v>ان/د2</v>
      </c>
      <c r="T264" s="755">
        <v>45782</v>
      </c>
      <c r="U264" s="784" t="s">
        <v>357</v>
      </c>
      <c r="V264" s="784"/>
      <c r="W264" s="784"/>
      <c r="X264" s="784"/>
      <c r="Y264" s="975"/>
      <c r="Z264" s="975"/>
      <c r="AA264" s="967">
        <v>6</v>
      </c>
      <c r="AB264" s="302"/>
      <c r="AC264" s="302"/>
      <c r="AD264" s="302"/>
      <c r="AE264" s="302"/>
      <c r="AF264" s="302"/>
      <c r="AG264" s="302"/>
      <c r="AH264" s="302"/>
      <c r="AI264" s="302"/>
      <c r="AJ264" s="302"/>
      <c r="AK264" s="302"/>
      <c r="AL264" s="302"/>
      <c r="AM264" s="302"/>
      <c r="AN264" s="302"/>
      <c r="AO264" s="302"/>
      <c r="AP264" s="302"/>
      <c r="AQ264" s="302"/>
      <c r="AR264" s="302"/>
      <c r="AS264" s="302"/>
      <c r="AT264" s="302"/>
      <c r="AU264" s="302"/>
      <c r="AV264" s="302"/>
      <c r="AW264" s="302"/>
    </row>
    <row r="265" spans="1:49" s="25" customFormat="1" ht="16.5" customHeight="1">
      <c r="A265" s="302"/>
      <c r="B265" s="302"/>
      <c r="C265" s="302"/>
      <c r="D265" s="303"/>
      <c r="E265" s="303"/>
      <c r="F265" s="303"/>
      <c r="G265" s="303"/>
      <c r="H265" s="303"/>
      <c r="I265" s="302"/>
      <c r="J265" s="302"/>
      <c r="K265" s="302"/>
      <c r="L265" s="777">
        <v>5</v>
      </c>
      <c r="M265" s="778"/>
      <c r="N265" s="976">
        <v>306</v>
      </c>
      <c r="O265" s="1020">
        <v>208</v>
      </c>
      <c r="P265" s="847">
        <f>VLOOKUP(N265,etat!$A$9:$N$1004,2,FALSE)</f>
        <v>0</v>
      </c>
      <c r="Q265" s="797" t="str">
        <f>VLOOKUP(N265,etat!$A$9:$N$963,7,FALSE)</f>
        <v>2أف1</v>
      </c>
      <c r="R265" s="954" t="str">
        <f>VLOOKUP(N265,etat!$A$9:$N$1003,9,FALSE)</f>
        <v>خ</v>
      </c>
      <c r="S265" s="866" t="str">
        <f>VLOOKUP(N265,etat!$A$9:$P$905,16,FALSE)</f>
        <v>اخ2</v>
      </c>
      <c r="T265" s="755">
        <v>45782</v>
      </c>
      <c r="U265" s="784" t="s">
        <v>357</v>
      </c>
      <c r="V265" s="784"/>
      <c r="W265" s="784"/>
      <c r="X265" s="784"/>
      <c r="Y265" s="975"/>
      <c r="Z265" s="975"/>
      <c r="AA265" s="967">
        <v>7</v>
      </c>
      <c r="AB265" s="302"/>
      <c r="AC265" s="302"/>
      <c r="AD265" s="302"/>
      <c r="AE265" s="302"/>
      <c r="AF265" s="302"/>
      <c r="AG265" s="302"/>
      <c r="AH265" s="302"/>
      <c r="AI265" s="302"/>
      <c r="AJ265" s="302"/>
      <c r="AK265" s="302"/>
      <c r="AL265" s="302"/>
      <c r="AM265" s="302"/>
      <c r="AN265" s="302"/>
      <c r="AO265" s="302"/>
      <c r="AP265" s="302"/>
      <c r="AQ265" s="302"/>
      <c r="AR265" s="302"/>
      <c r="AS265" s="302"/>
      <c r="AT265" s="302"/>
      <c r="AU265" s="302"/>
      <c r="AV265" s="302"/>
      <c r="AW265" s="302"/>
    </row>
    <row r="266" spans="1:49" s="25" customFormat="1" ht="16.5" customHeight="1">
      <c r="A266" s="302"/>
      <c r="B266" s="302"/>
      <c r="C266" s="302"/>
      <c r="D266" s="303"/>
      <c r="E266" s="303"/>
      <c r="F266" s="303"/>
      <c r="G266" s="303"/>
      <c r="H266" s="303"/>
      <c r="I266" s="302"/>
      <c r="J266" s="302"/>
      <c r="K266" s="302"/>
      <c r="L266" s="777">
        <v>5</v>
      </c>
      <c r="M266" s="778"/>
      <c r="N266" s="976">
        <v>334</v>
      </c>
      <c r="O266" s="1020">
        <v>209</v>
      </c>
      <c r="P266" s="847">
        <f>VLOOKUP(N266,etat!$A$9:$N$1004,2,FALSE)</f>
        <v>0</v>
      </c>
      <c r="Q266" s="797" t="str">
        <f>VLOOKUP(N266,etat!$A$9:$N$963,7,FALSE)</f>
        <v>2أف1</v>
      </c>
      <c r="R266" s="954" t="str">
        <f>VLOOKUP(N266,etat!$A$9:$N$1003,9,FALSE)</f>
        <v>خ</v>
      </c>
      <c r="S266" s="866" t="str">
        <f>VLOOKUP(N266,etat!$A$9:$P$905,16,FALSE)</f>
        <v>ذن/د2</v>
      </c>
      <c r="T266" s="755">
        <v>45782</v>
      </c>
      <c r="U266" s="784" t="s">
        <v>357</v>
      </c>
      <c r="V266" s="784"/>
      <c r="W266" s="784"/>
      <c r="X266" s="784"/>
      <c r="Y266" s="975"/>
      <c r="Z266" s="975"/>
      <c r="AA266" s="967">
        <v>6</v>
      </c>
      <c r="AB266" s="302"/>
      <c r="AC266" s="302"/>
      <c r="AD266" s="302"/>
      <c r="AE266" s="302"/>
      <c r="AF266" s="302"/>
      <c r="AG266" s="302"/>
      <c r="AH266" s="302"/>
      <c r="AI266" s="302"/>
      <c r="AJ266" s="302"/>
      <c r="AK266" s="302"/>
      <c r="AL266" s="302"/>
      <c r="AM266" s="302"/>
      <c r="AN266" s="302"/>
      <c r="AO266" s="302"/>
      <c r="AP266" s="302"/>
      <c r="AQ266" s="302"/>
      <c r="AR266" s="302"/>
      <c r="AS266" s="302"/>
      <c r="AT266" s="302"/>
      <c r="AU266" s="302"/>
      <c r="AV266" s="302"/>
      <c r="AW266" s="302"/>
    </row>
    <row r="267" spans="1:49" s="25" customFormat="1" ht="16.5" customHeight="1">
      <c r="A267" s="302"/>
      <c r="B267" s="302"/>
      <c r="C267" s="302"/>
      <c r="D267" s="303"/>
      <c r="E267" s="303"/>
      <c r="F267" s="303"/>
      <c r="G267" s="303"/>
      <c r="H267" s="303"/>
      <c r="I267" s="302"/>
      <c r="J267" s="302"/>
      <c r="K267" s="302"/>
      <c r="L267" s="777">
        <v>5</v>
      </c>
      <c r="M267" s="778"/>
      <c r="N267" s="976">
        <v>409</v>
      </c>
      <c r="O267" s="1020">
        <v>210</v>
      </c>
      <c r="P267" s="847">
        <f>VLOOKUP(N267,etat!$A$9:$N$1004,2,FALSE)</f>
        <v>0</v>
      </c>
      <c r="Q267" s="797" t="str">
        <f>VLOOKUP(N267,etat!$A$9:$N$963,7,FALSE)</f>
        <v>1ج م ع2</v>
      </c>
      <c r="R267" s="954" t="str">
        <f>VLOOKUP(N267,etat!$A$9:$N$1003,9,FALSE)</f>
        <v>خ</v>
      </c>
      <c r="S267" s="866" t="str">
        <f>VLOOKUP(N267,etat!$A$9:$P$905,16,FALSE)</f>
        <v>ان/د2</v>
      </c>
      <c r="T267" s="755">
        <v>45782</v>
      </c>
      <c r="U267" s="784" t="s">
        <v>357</v>
      </c>
      <c r="V267" s="784"/>
      <c r="W267" s="784"/>
      <c r="X267" s="784"/>
      <c r="Y267" s="975"/>
      <c r="Z267" s="975"/>
      <c r="AA267" s="967">
        <v>6</v>
      </c>
      <c r="AB267" s="302"/>
      <c r="AC267" s="302"/>
      <c r="AD267" s="302"/>
      <c r="AE267" s="302"/>
      <c r="AF267" s="302"/>
      <c r="AG267" s="302"/>
      <c r="AH267" s="302"/>
      <c r="AI267" s="302"/>
      <c r="AJ267" s="302"/>
      <c r="AK267" s="302"/>
      <c r="AL267" s="302"/>
      <c r="AM267" s="302"/>
      <c r="AN267" s="302"/>
      <c r="AO267" s="302"/>
      <c r="AP267" s="302"/>
      <c r="AQ267" s="302"/>
      <c r="AR267" s="302"/>
      <c r="AS267" s="302"/>
      <c r="AT267" s="302"/>
      <c r="AU267" s="302"/>
      <c r="AV267" s="302"/>
      <c r="AW267" s="302"/>
    </row>
    <row r="268" spans="1:49" s="25" customFormat="1" ht="16.5" customHeight="1">
      <c r="A268" s="302"/>
      <c r="B268" s="302"/>
      <c r="C268" s="302"/>
      <c r="D268" s="303"/>
      <c r="E268" s="303"/>
      <c r="F268" s="303"/>
      <c r="G268" s="303"/>
      <c r="H268" s="303"/>
      <c r="I268" s="302"/>
      <c r="J268" s="302"/>
      <c r="K268" s="302"/>
      <c r="L268" s="777">
        <v>5</v>
      </c>
      <c r="M268" s="778"/>
      <c r="N268" s="976">
        <v>448</v>
      </c>
      <c r="O268" s="1020">
        <v>211</v>
      </c>
      <c r="P268" s="847">
        <f>VLOOKUP(N268,etat!$A$9:$N$1004,2,FALSE)</f>
        <v>0</v>
      </c>
      <c r="Q268" s="797" t="str">
        <f>VLOOKUP(N268,etat!$A$9:$N$963,7,FALSE)</f>
        <v>1ج م ع3</v>
      </c>
      <c r="R268" s="954" t="str">
        <f>VLOOKUP(N268,etat!$A$9:$N$1003,9,FALSE)</f>
        <v>خ</v>
      </c>
      <c r="S268" s="866" t="str">
        <f>VLOOKUP(N268,etat!$A$9:$P$905,16,FALSE)</f>
        <v>ذخ2</v>
      </c>
      <c r="T268" s="755">
        <v>45782</v>
      </c>
      <c r="U268" s="784" t="s">
        <v>357</v>
      </c>
      <c r="V268" s="784"/>
      <c r="W268" s="784"/>
      <c r="X268" s="784"/>
      <c r="Y268" s="975"/>
      <c r="Z268" s="975"/>
      <c r="AA268" s="967">
        <v>6</v>
      </c>
      <c r="AB268" s="302"/>
      <c r="AC268" s="302"/>
      <c r="AD268" s="302"/>
      <c r="AE268" s="302"/>
      <c r="AF268" s="302"/>
      <c r="AG268" s="302"/>
      <c r="AH268" s="302"/>
      <c r="AI268" s="302"/>
      <c r="AJ268" s="302"/>
      <c r="AK268" s="302"/>
      <c r="AL268" s="302"/>
      <c r="AM268" s="302"/>
      <c r="AN268" s="302"/>
      <c r="AO268" s="302"/>
      <c r="AP268" s="302"/>
      <c r="AQ268" s="302"/>
      <c r="AR268" s="302"/>
      <c r="AS268" s="302"/>
      <c r="AT268" s="302"/>
      <c r="AU268" s="302"/>
      <c r="AV268" s="302"/>
      <c r="AW268" s="302"/>
    </row>
    <row r="269" spans="1:49" s="25" customFormat="1" ht="16.5" customHeight="1">
      <c r="A269" s="302"/>
      <c r="B269" s="302"/>
      <c r="C269" s="302"/>
      <c r="D269" s="303"/>
      <c r="E269" s="303"/>
      <c r="F269" s="303"/>
      <c r="G269" s="303"/>
      <c r="H269" s="303"/>
      <c r="I269" s="302"/>
      <c r="J269" s="302"/>
      <c r="K269" s="302"/>
      <c r="L269" s="777">
        <v>5</v>
      </c>
      <c r="M269" s="778"/>
      <c r="N269" s="976">
        <v>437</v>
      </c>
      <c r="O269" s="1020">
        <v>212</v>
      </c>
      <c r="P269" s="847">
        <f>VLOOKUP(N269,etat!$A$9:$N$1004,2,FALSE)</f>
        <v>0</v>
      </c>
      <c r="Q269" s="797" t="str">
        <f>VLOOKUP(N269,etat!$A$9:$N$963,7,FALSE)</f>
        <v>1ج م ع3</v>
      </c>
      <c r="R269" s="797" t="str">
        <f>VLOOKUP(N269,etat!$A$9:$N$1003,9,FALSE)</f>
        <v>خ</v>
      </c>
      <c r="S269" s="866" t="str">
        <f>VLOOKUP(N269,etat!$A$9:$P$905,16,FALSE)</f>
        <v>ان/د2</v>
      </c>
      <c r="T269" s="755">
        <v>45781</v>
      </c>
      <c r="U269" s="791">
        <v>2</v>
      </c>
      <c r="V269" s="784"/>
      <c r="W269" s="784"/>
      <c r="X269" s="784"/>
      <c r="Y269" s="848"/>
      <c r="Z269" s="967"/>
      <c r="AA269" s="967">
        <v>6</v>
      </c>
      <c r="AB269" s="302"/>
      <c r="AC269" s="302"/>
      <c r="AD269" s="302"/>
      <c r="AE269" s="302"/>
      <c r="AF269" s="302"/>
      <c r="AG269" s="302"/>
      <c r="AH269" s="302"/>
      <c r="AI269" s="302"/>
      <c r="AJ269" s="302"/>
      <c r="AK269" s="302"/>
      <c r="AL269" s="302"/>
      <c r="AM269" s="302"/>
      <c r="AN269" s="302"/>
      <c r="AO269" s="302"/>
      <c r="AP269" s="302"/>
      <c r="AQ269" s="302"/>
      <c r="AR269" s="302"/>
      <c r="AS269" s="302"/>
      <c r="AT269" s="302"/>
      <c r="AU269" s="302"/>
      <c r="AV269" s="302"/>
      <c r="AW269" s="302"/>
    </row>
    <row r="270" spans="1:49" s="25" customFormat="1" ht="16.5" customHeight="1">
      <c r="A270" s="302"/>
      <c r="B270" s="302"/>
      <c r="C270" s="302"/>
      <c r="D270" s="303"/>
      <c r="E270" s="303"/>
      <c r="F270" s="303"/>
      <c r="G270" s="303"/>
      <c r="H270" s="303"/>
      <c r="I270" s="302"/>
      <c r="J270" s="302"/>
      <c r="K270" s="302"/>
      <c r="L270" s="777">
        <v>5</v>
      </c>
      <c r="M270" s="778"/>
      <c r="N270" s="976">
        <v>446</v>
      </c>
      <c r="O270" s="1020">
        <v>213</v>
      </c>
      <c r="P270" s="847">
        <f>VLOOKUP(N270,etat!$A$9:$N$1004,2,FALSE)</f>
        <v>0</v>
      </c>
      <c r="Q270" s="797" t="str">
        <f>VLOOKUP(N270,etat!$A$9:$N$963,7,FALSE)</f>
        <v>1ج م ع3</v>
      </c>
      <c r="R270" s="797" t="str">
        <f>VLOOKUP(N270,etat!$A$9:$N$1003,9,FALSE)</f>
        <v>خ</v>
      </c>
      <c r="S270" s="866" t="str">
        <f>VLOOKUP(N270,etat!$A$9:$P$905,16,FALSE)</f>
        <v>ان/د2</v>
      </c>
      <c r="T270" s="755">
        <v>45781</v>
      </c>
      <c r="U270" s="791">
        <v>2</v>
      </c>
      <c r="V270" s="784"/>
      <c r="W270" s="784"/>
      <c r="X270" s="784"/>
      <c r="Y270" s="848"/>
      <c r="Z270" s="967"/>
      <c r="AA270" s="967">
        <v>6</v>
      </c>
      <c r="AB270" s="302"/>
      <c r="AC270" s="302"/>
      <c r="AD270" s="302"/>
      <c r="AE270" s="302"/>
      <c r="AF270" s="302"/>
      <c r="AG270" s="302"/>
      <c r="AH270" s="302"/>
      <c r="AI270" s="302"/>
      <c r="AJ270" s="302"/>
      <c r="AK270" s="302"/>
      <c r="AL270" s="302"/>
      <c r="AM270" s="302"/>
      <c r="AN270" s="302"/>
      <c r="AO270" s="302"/>
      <c r="AP270" s="302"/>
      <c r="AQ270" s="302"/>
      <c r="AR270" s="302"/>
      <c r="AS270" s="302"/>
      <c r="AT270" s="302"/>
      <c r="AU270" s="302"/>
      <c r="AV270" s="302"/>
      <c r="AW270" s="302"/>
    </row>
    <row r="271" spans="1:49" s="25" customFormat="1" ht="16.5" customHeight="1">
      <c r="A271" s="302"/>
      <c r="B271" s="302"/>
      <c r="C271" s="302"/>
      <c r="D271" s="303"/>
      <c r="E271" s="303"/>
      <c r="F271" s="303"/>
      <c r="G271" s="303"/>
      <c r="H271" s="303"/>
      <c r="I271" s="302"/>
      <c r="J271" s="302"/>
      <c r="K271" s="302"/>
      <c r="L271" s="777">
        <v>5</v>
      </c>
      <c r="M271" s="864"/>
      <c r="N271" s="976">
        <v>440</v>
      </c>
      <c r="O271" s="1020">
        <v>214</v>
      </c>
      <c r="P271" s="847">
        <f>VLOOKUP(N271,etat!$A$9:$N$1004,2,FALSE)</f>
        <v>0</v>
      </c>
      <c r="Q271" s="797" t="str">
        <f>VLOOKUP(N271,etat!$A$9:$N$963,7,FALSE)</f>
        <v>1ج م ع3</v>
      </c>
      <c r="R271" s="866" t="str">
        <f>VLOOKUP(N271,etat!$A$9:$N$1003,9,FALSE)</f>
        <v>خ</v>
      </c>
      <c r="S271" s="866" t="str">
        <f>VLOOKUP(N271,etat!$A$9:$P$905,16,FALSE)</f>
        <v>ان/د2</v>
      </c>
      <c r="T271" s="755">
        <v>45781</v>
      </c>
      <c r="U271" s="791">
        <v>2</v>
      </c>
      <c r="V271" s="784"/>
      <c r="W271" s="784"/>
      <c r="X271" s="784"/>
      <c r="Y271" s="848"/>
      <c r="Z271" s="967"/>
      <c r="AA271" s="967">
        <v>6</v>
      </c>
      <c r="AB271" s="302"/>
      <c r="AC271" s="302"/>
      <c r="AD271" s="302"/>
      <c r="AE271" s="302"/>
      <c r="AF271" s="302"/>
      <c r="AG271" s="302"/>
      <c r="AH271" s="302"/>
      <c r="AI271" s="302"/>
      <c r="AJ271" s="302"/>
      <c r="AK271" s="302"/>
      <c r="AL271" s="302"/>
      <c r="AM271" s="302"/>
      <c r="AN271" s="302"/>
      <c r="AO271" s="302"/>
      <c r="AP271" s="302"/>
      <c r="AQ271" s="302"/>
      <c r="AR271" s="302"/>
      <c r="AS271" s="302"/>
      <c r="AT271" s="302"/>
      <c r="AU271" s="302"/>
      <c r="AV271" s="302"/>
      <c r="AW271" s="302"/>
    </row>
    <row r="272" spans="1:49" s="25" customFormat="1" ht="16.5" customHeight="1">
      <c r="A272" s="302"/>
      <c r="B272" s="302"/>
      <c r="C272" s="302"/>
      <c r="D272" s="303"/>
      <c r="E272" s="303"/>
      <c r="F272" s="303"/>
      <c r="G272" s="303"/>
      <c r="H272" s="303"/>
      <c r="I272" s="302"/>
      <c r="J272" s="302"/>
      <c r="K272" s="302"/>
      <c r="L272" s="777">
        <v>5</v>
      </c>
      <c r="M272" s="864"/>
      <c r="N272" s="976">
        <v>509</v>
      </c>
      <c r="O272" s="1020">
        <v>215</v>
      </c>
      <c r="P272" s="847">
        <f>VLOOKUP(N272,etat!$A$9:$N$1004,2,FALSE)</f>
        <v>0</v>
      </c>
      <c r="Q272" s="797" t="str">
        <f>VLOOKUP(N272,etat!$A$9:$N$963,7,FALSE)</f>
        <v>1ج م أ1</v>
      </c>
      <c r="R272" s="954" t="str">
        <f>VLOOKUP(N272,etat!$A$9:$N$1003,9,FALSE)</f>
        <v>خ</v>
      </c>
      <c r="S272" s="866" t="str">
        <f>VLOOKUP(N272,etat!$A$9:$P$905,16,FALSE)</f>
        <v>اخ1</v>
      </c>
      <c r="T272" s="755">
        <v>45782</v>
      </c>
      <c r="U272" s="784" t="s">
        <v>357</v>
      </c>
      <c r="V272" s="784"/>
      <c r="W272" s="784"/>
      <c r="X272" s="784"/>
      <c r="Y272" s="975"/>
      <c r="Z272" s="975"/>
      <c r="AA272" s="967">
        <v>8</v>
      </c>
      <c r="AB272" s="302"/>
      <c r="AC272" s="302"/>
      <c r="AD272" s="302"/>
      <c r="AE272" s="302"/>
      <c r="AF272" s="302"/>
      <c r="AG272" s="302"/>
      <c r="AH272" s="302"/>
      <c r="AI272" s="302"/>
      <c r="AJ272" s="302"/>
      <c r="AK272" s="302"/>
      <c r="AL272" s="302"/>
      <c r="AM272" s="302"/>
      <c r="AN272" s="302"/>
      <c r="AO272" s="302"/>
      <c r="AP272" s="302"/>
      <c r="AQ272" s="302"/>
      <c r="AR272" s="302"/>
      <c r="AS272" s="302"/>
      <c r="AT272" s="302"/>
      <c r="AU272" s="302"/>
      <c r="AV272" s="302"/>
      <c r="AW272" s="302"/>
    </row>
    <row r="273" spans="1:49" s="25" customFormat="1" ht="16.5" customHeight="1">
      <c r="A273" s="302"/>
      <c r="B273" s="302"/>
      <c r="C273" s="302"/>
      <c r="D273" s="303"/>
      <c r="E273" s="303"/>
      <c r="F273" s="303"/>
      <c r="G273" s="303"/>
      <c r="H273" s="303"/>
      <c r="I273" s="302"/>
      <c r="J273" s="302"/>
      <c r="K273" s="302"/>
      <c r="L273" s="777">
        <v>5</v>
      </c>
      <c r="M273" s="778"/>
      <c r="N273" s="976">
        <v>510</v>
      </c>
      <c r="O273" s="1020">
        <v>216</v>
      </c>
      <c r="P273" s="847">
        <f>VLOOKUP(N273,etat!$A$9:$N$1004,2,FALSE)</f>
        <v>0</v>
      </c>
      <c r="Q273" s="797" t="str">
        <f>VLOOKUP(N273,etat!$A$9:$N$963,7,FALSE)</f>
        <v>1ج م أ1</v>
      </c>
      <c r="R273" s="797" t="str">
        <f>VLOOKUP(N273,etat!$A$9:$N$1003,9,FALSE)</f>
        <v>خ</v>
      </c>
      <c r="S273" s="866" t="str">
        <f>VLOOKUP(N273,etat!$A$9:$P$905,16,FALSE)</f>
        <v>ذخ1</v>
      </c>
      <c r="T273" s="755">
        <v>45781</v>
      </c>
      <c r="U273" s="791">
        <v>2</v>
      </c>
      <c r="V273" s="784"/>
      <c r="W273" s="784"/>
      <c r="X273" s="784"/>
      <c r="Y273" s="975"/>
      <c r="Z273" s="975" t="str">
        <f>VLOOKUP(L295,[2]اس!$S$3:$X$31,3,FALSE)</f>
        <v>.</v>
      </c>
      <c r="AA273" s="967">
        <v>8</v>
      </c>
      <c r="AB273" s="302"/>
      <c r="AC273" s="302"/>
      <c r="AD273" s="302"/>
      <c r="AE273" s="302"/>
      <c r="AF273" s="302"/>
      <c r="AG273" s="302"/>
      <c r="AH273" s="302"/>
      <c r="AI273" s="302"/>
      <c r="AJ273" s="302"/>
      <c r="AK273" s="302"/>
      <c r="AL273" s="302"/>
      <c r="AM273" s="302"/>
      <c r="AN273" s="302"/>
      <c r="AO273" s="302"/>
      <c r="AP273" s="302"/>
      <c r="AQ273" s="302"/>
      <c r="AR273" s="302"/>
      <c r="AS273" s="302"/>
      <c r="AT273" s="302"/>
      <c r="AU273" s="302"/>
      <c r="AV273" s="302"/>
      <c r="AW273" s="302"/>
    </row>
    <row r="274" spans="1:49" s="25" customFormat="1" ht="16.5" customHeight="1">
      <c r="A274" s="302"/>
      <c r="B274" s="302"/>
      <c r="C274" s="302"/>
      <c r="D274" s="303"/>
      <c r="E274" s="303"/>
      <c r="F274" s="303"/>
      <c r="G274" s="303"/>
      <c r="H274" s="303"/>
      <c r="I274" s="302"/>
      <c r="J274" s="302"/>
      <c r="K274" s="302"/>
      <c r="L274" s="777">
        <v>5</v>
      </c>
      <c r="M274" s="778"/>
      <c r="N274" s="976">
        <v>522</v>
      </c>
      <c r="O274" s="1020">
        <v>217</v>
      </c>
      <c r="P274" s="847">
        <f>VLOOKUP(N274,etat!$A$9:$N$1004,2,FALSE)</f>
        <v>0</v>
      </c>
      <c r="Q274" s="797" t="str">
        <f>VLOOKUP(N274,etat!$A$9:$N$963,7,FALSE)</f>
        <v>1ج م أ1</v>
      </c>
      <c r="R274" s="954" t="str">
        <f>VLOOKUP(N274,etat!$A$9:$N$1003,9,FALSE)</f>
        <v>خ</v>
      </c>
      <c r="S274" s="866" t="str">
        <f>VLOOKUP(N274,etat!$A$9:$P$905,16,FALSE)</f>
        <v>اخ1</v>
      </c>
      <c r="T274" s="755">
        <v>45782</v>
      </c>
      <c r="U274" s="784" t="s">
        <v>357</v>
      </c>
      <c r="V274" s="784"/>
      <c r="W274" s="784"/>
      <c r="X274" s="784"/>
      <c r="Y274" s="975"/>
      <c r="Z274" s="975"/>
      <c r="AA274" s="967">
        <v>7</v>
      </c>
      <c r="AB274" s="1005"/>
      <c r="AC274" s="1005"/>
      <c r="AD274" s="1005"/>
      <c r="AE274" s="1005"/>
      <c r="AF274" s="1005"/>
      <c r="AG274" s="1004"/>
      <c r="AH274" s="1004"/>
      <c r="AI274" s="1004"/>
      <c r="AJ274" s="1004"/>
      <c r="AK274" s="1004"/>
      <c r="AL274" s="1004"/>
      <c r="AM274" s="1004"/>
      <c r="AN274" s="1004"/>
      <c r="AO274" s="1004"/>
      <c r="AP274" s="1004"/>
      <c r="AQ274" s="1004"/>
      <c r="AR274" s="1004"/>
      <c r="AS274" s="1004"/>
      <c r="AT274" s="1004"/>
      <c r="AU274" s="1004"/>
      <c r="AV274" s="1004"/>
      <c r="AW274" s="1004"/>
    </row>
    <row r="275" spans="1:49" s="25" customFormat="1" ht="16.5" customHeight="1">
      <c r="A275" s="302"/>
      <c r="B275" s="302"/>
      <c r="C275" s="302"/>
      <c r="D275" s="303"/>
      <c r="E275" s="303"/>
      <c r="F275" s="303"/>
      <c r="G275" s="303"/>
      <c r="H275" s="303"/>
      <c r="I275" s="302"/>
      <c r="J275" s="302"/>
      <c r="K275" s="302"/>
      <c r="L275" s="777">
        <v>5</v>
      </c>
      <c r="M275" s="864"/>
      <c r="N275" s="976">
        <v>551</v>
      </c>
      <c r="O275" s="1020">
        <v>218</v>
      </c>
      <c r="P275" s="847">
        <f>VLOOKUP(N275,etat!$A$9:$N$1004,2,FALSE)</f>
        <v>0</v>
      </c>
      <c r="Q275" s="797" t="str">
        <f>VLOOKUP(N275,etat!$A$9:$N$963,7,FALSE)</f>
        <v>1ج م أ2</v>
      </c>
      <c r="R275" s="797" t="str">
        <f>VLOOKUP(N275,etat!$A$9:$N$1003,9,FALSE)</f>
        <v>خ</v>
      </c>
      <c r="S275" s="866" t="str">
        <f>VLOOKUP(N275,etat!$A$9:$P$905,16,FALSE)</f>
        <v>اخ1</v>
      </c>
      <c r="T275" s="755">
        <v>45777</v>
      </c>
      <c r="U275" s="1129" t="s">
        <v>420</v>
      </c>
      <c r="V275" s="784" t="s">
        <v>2283</v>
      </c>
      <c r="W275" s="784"/>
      <c r="X275" s="784"/>
      <c r="Y275" s="975"/>
      <c r="Z275" s="975" t="str">
        <f>VLOOKUP(L277,[2]اس!$S$3:$X$31,3,FALSE)</f>
        <v>.</v>
      </c>
      <c r="AA275" s="967">
        <v>7</v>
      </c>
      <c r="AB275" s="1005"/>
      <c r="AC275" s="1005"/>
      <c r="AD275" s="1005"/>
      <c r="AE275" s="1005"/>
      <c r="AF275" s="1005"/>
      <c r="AG275" s="1004"/>
      <c r="AH275" s="1004"/>
      <c r="AI275" s="1004"/>
      <c r="AJ275" s="1004"/>
      <c r="AK275" s="1004"/>
      <c r="AL275" s="1004"/>
      <c r="AM275" s="1004"/>
      <c r="AN275" s="1004"/>
      <c r="AO275" s="1004"/>
      <c r="AP275" s="1004"/>
      <c r="AQ275" s="1004"/>
      <c r="AR275" s="1004"/>
      <c r="AS275" s="1004"/>
      <c r="AT275" s="1004"/>
      <c r="AU275" s="1004"/>
      <c r="AV275" s="1004"/>
      <c r="AW275" s="1004"/>
    </row>
    <row r="276" spans="1:49" s="25" customFormat="1" ht="16.5" customHeight="1">
      <c r="A276" s="302"/>
      <c r="B276" s="302"/>
      <c r="C276" s="302"/>
      <c r="D276" s="303"/>
      <c r="E276" s="303"/>
      <c r="F276" s="303"/>
      <c r="G276" s="303"/>
      <c r="H276" s="303"/>
      <c r="I276" s="302"/>
      <c r="J276" s="302"/>
      <c r="K276" s="302"/>
      <c r="L276" s="777">
        <v>5</v>
      </c>
      <c r="M276" s="778"/>
      <c r="N276" s="976">
        <v>569</v>
      </c>
      <c r="O276" s="1020">
        <v>219</v>
      </c>
      <c r="P276" s="847">
        <f>VLOOKUP(N276,etat!$A$9:$N$1004,2,FALSE)</f>
        <v>0</v>
      </c>
      <c r="Q276" s="797">
        <f>VLOOKUP(N276,etat!$A$9:$N$963,7,FALSE)</f>
        <v>0</v>
      </c>
      <c r="R276" s="797">
        <f>VLOOKUP(N276,etat!$A$9:$N$1003,9,FALSE)</f>
        <v>0</v>
      </c>
      <c r="S276" s="866">
        <f>VLOOKUP(N276,etat!$A$9:$P$905,16,FALSE)</f>
        <v>0</v>
      </c>
      <c r="T276" s="755">
        <v>45781</v>
      </c>
      <c r="U276" s="791">
        <v>2</v>
      </c>
      <c r="V276" s="784"/>
      <c r="W276" s="784"/>
      <c r="X276" s="784"/>
      <c r="Y276" s="975"/>
      <c r="Z276" s="975" t="str">
        <f>VLOOKUP(L279,[2]اس!$S$3:$X$31,3,FALSE)</f>
        <v>.</v>
      </c>
      <c r="AA276" s="967">
        <v>7</v>
      </c>
      <c r="AB276" s="1005"/>
      <c r="AC276" s="1005"/>
      <c r="AD276" s="1005"/>
      <c r="AE276" s="1005"/>
      <c r="AF276" s="1005"/>
      <c r="AG276" s="1004"/>
      <c r="AH276" s="1004"/>
      <c r="AI276" s="1004"/>
      <c r="AJ276" s="1004"/>
      <c r="AK276" s="1004"/>
      <c r="AL276" s="1004"/>
      <c r="AM276" s="1004"/>
      <c r="AN276" s="1004"/>
      <c r="AO276" s="1004"/>
      <c r="AP276" s="1004"/>
      <c r="AQ276" s="1004"/>
      <c r="AR276" s="1004"/>
      <c r="AS276" s="1004"/>
      <c r="AT276" s="1004"/>
      <c r="AU276" s="1004"/>
      <c r="AV276" s="1004"/>
      <c r="AW276" s="1004"/>
    </row>
    <row r="277" spans="1:49" s="25" customFormat="1" ht="16.5" customHeight="1">
      <c r="A277" s="302"/>
      <c r="B277" s="302"/>
      <c r="C277" s="302"/>
      <c r="D277" s="303"/>
      <c r="E277" s="303"/>
      <c r="F277" s="303"/>
      <c r="G277" s="303"/>
      <c r="H277" s="303"/>
      <c r="I277" s="302"/>
      <c r="J277" s="302"/>
      <c r="K277" s="302"/>
      <c r="L277" s="777">
        <v>5</v>
      </c>
      <c r="M277" s="778"/>
      <c r="N277" s="976">
        <v>616</v>
      </c>
      <c r="O277" s="1020">
        <v>220</v>
      </c>
      <c r="P277" s="847">
        <f>VLOOKUP(N277,etat!$A$9:$N$1004,2,FALSE)</f>
        <v>0</v>
      </c>
      <c r="Q277" s="797">
        <f>VLOOKUP(N277,etat!$A$9:$N$963,7,FALSE)</f>
        <v>0</v>
      </c>
      <c r="R277" s="866">
        <f>VLOOKUP(N277,etat!$A$9:$N$1003,9,FALSE)</f>
        <v>0</v>
      </c>
      <c r="S277" s="866">
        <f>VLOOKUP(N277,etat!$A$9:$P$905,16,FALSE)</f>
        <v>0</v>
      </c>
      <c r="T277" s="755">
        <v>45782</v>
      </c>
      <c r="U277" s="784" t="s">
        <v>357</v>
      </c>
      <c r="V277" s="784"/>
      <c r="W277" s="869"/>
      <c r="X277" s="869"/>
      <c r="Y277" s="975"/>
      <c r="Z277" s="975"/>
      <c r="AA277" s="967">
        <v>2</v>
      </c>
      <c r="AB277" s="1073"/>
      <c r="AC277" s="1073"/>
      <c r="AD277" s="1073"/>
      <c r="AE277" s="1073"/>
      <c r="AF277" s="1073"/>
      <c r="AG277" s="1072"/>
      <c r="AH277" s="1072"/>
      <c r="AI277" s="1072"/>
      <c r="AJ277" s="1072"/>
      <c r="AK277" s="1072"/>
      <c r="AL277" s="1072"/>
      <c r="AM277" s="1072"/>
      <c r="AN277" s="1072"/>
      <c r="AO277" s="1072"/>
      <c r="AP277" s="1072"/>
      <c r="AQ277" s="1072"/>
      <c r="AR277" s="1072"/>
      <c r="AS277" s="1072"/>
      <c r="AT277" s="1072"/>
      <c r="AU277" s="1072"/>
      <c r="AV277" s="1072"/>
      <c r="AW277" s="1072"/>
    </row>
    <row r="278" spans="1:49" s="25" customFormat="1" ht="16.5" customHeight="1">
      <c r="A278" s="302"/>
      <c r="B278" s="302"/>
      <c r="C278" s="302"/>
      <c r="D278" s="303"/>
      <c r="E278" s="303"/>
      <c r="F278" s="303"/>
      <c r="G278" s="303"/>
      <c r="H278" s="303"/>
      <c r="I278" s="302"/>
      <c r="J278" s="302"/>
      <c r="K278" s="302"/>
      <c r="L278" s="777">
        <v>5</v>
      </c>
      <c r="M278" s="778"/>
      <c r="N278" s="976">
        <v>597</v>
      </c>
      <c r="O278" s="1020">
        <v>221</v>
      </c>
      <c r="P278" s="847">
        <f>VLOOKUP(N278,etat!$A$9:$N$1004,2,FALSE)</f>
        <v>0</v>
      </c>
      <c r="Q278" s="797">
        <f>VLOOKUP(N278,etat!$A$9:$N$963,7,FALSE)</f>
        <v>0</v>
      </c>
      <c r="R278" s="866">
        <f>VLOOKUP(N278,etat!$A$9:$N$1003,9,FALSE)</f>
        <v>0</v>
      </c>
      <c r="S278" s="866">
        <f>VLOOKUP(N278,etat!$A$9:$P$905,16,FALSE)</f>
        <v>0</v>
      </c>
      <c r="T278" s="755">
        <v>45782</v>
      </c>
      <c r="U278" s="784" t="s">
        <v>357</v>
      </c>
      <c r="V278" s="784"/>
      <c r="W278" s="869"/>
      <c r="X278" s="869"/>
      <c r="Y278" s="975"/>
      <c r="Z278" s="975"/>
      <c r="AA278" s="967">
        <v>3</v>
      </c>
      <c r="AB278" s="1073"/>
      <c r="AC278" s="1073"/>
      <c r="AD278" s="1073"/>
      <c r="AE278" s="1073"/>
      <c r="AF278" s="1073"/>
      <c r="AG278" s="1072"/>
      <c r="AH278" s="1072"/>
      <c r="AI278" s="1072"/>
      <c r="AJ278" s="1072"/>
      <c r="AK278" s="1072"/>
      <c r="AL278" s="1072"/>
      <c r="AM278" s="1072"/>
      <c r="AN278" s="1072"/>
      <c r="AO278" s="1072"/>
      <c r="AP278" s="1072"/>
      <c r="AQ278" s="1072"/>
      <c r="AR278" s="1072"/>
      <c r="AS278" s="1072"/>
      <c r="AT278" s="1072"/>
      <c r="AU278" s="1072"/>
      <c r="AV278" s="1072"/>
      <c r="AW278" s="1072"/>
    </row>
    <row r="279" spans="1:49" s="25" customFormat="1" ht="16.5" customHeight="1">
      <c r="A279" s="302"/>
      <c r="B279" s="302"/>
      <c r="C279" s="302"/>
      <c r="D279" s="303"/>
      <c r="E279" s="303"/>
      <c r="F279" s="303"/>
      <c r="G279" s="303"/>
      <c r="H279" s="303"/>
      <c r="I279" s="302"/>
      <c r="J279" s="302"/>
      <c r="K279" s="302"/>
      <c r="L279" s="777">
        <v>5</v>
      </c>
      <c r="M279" s="778"/>
      <c r="N279" s="976">
        <v>598</v>
      </c>
      <c r="O279" s="1020">
        <v>222</v>
      </c>
      <c r="P279" s="847">
        <f>VLOOKUP(N279,etat!$A$9:$N$1004,2,FALSE)</f>
        <v>0</v>
      </c>
      <c r="Q279" s="797">
        <f>VLOOKUP(N279,etat!$A$9:$N$963,7,FALSE)</f>
        <v>0</v>
      </c>
      <c r="R279" s="797">
        <f>VLOOKUP(N279,etat!$A$9:$N$1003,9,FALSE)</f>
        <v>0</v>
      </c>
      <c r="S279" s="866">
        <f>VLOOKUP(N279,etat!$A$9:$P$905,16,FALSE)</f>
        <v>0</v>
      </c>
      <c r="T279" s="755">
        <v>45771</v>
      </c>
      <c r="U279" s="791">
        <v>12</v>
      </c>
      <c r="V279" s="784" t="s">
        <v>2280</v>
      </c>
      <c r="W279" s="784" t="s">
        <v>2283</v>
      </c>
      <c r="X279" s="784"/>
      <c r="Y279" s="975"/>
      <c r="Z279" s="975" t="str">
        <f>VLOOKUP(L302,[2]اس!$S$3:$X$31,3,FALSE)</f>
        <v>.</v>
      </c>
      <c r="AA279" s="967">
        <v>7</v>
      </c>
      <c r="AB279" s="1073"/>
      <c r="AC279" s="1073"/>
      <c r="AD279" s="1073"/>
      <c r="AE279" s="1073"/>
      <c r="AF279" s="1073"/>
      <c r="AG279" s="1072"/>
      <c r="AH279" s="1072"/>
      <c r="AI279" s="1072"/>
      <c r="AJ279" s="1072"/>
      <c r="AK279" s="1072"/>
      <c r="AL279" s="1072"/>
      <c r="AM279" s="1072"/>
      <c r="AN279" s="1072"/>
      <c r="AO279" s="1072"/>
      <c r="AP279" s="1072"/>
      <c r="AQ279" s="1072"/>
      <c r="AR279" s="1072"/>
      <c r="AS279" s="1072"/>
      <c r="AT279" s="1072"/>
      <c r="AU279" s="1072"/>
      <c r="AV279" s="1072"/>
      <c r="AW279" s="1072"/>
    </row>
    <row r="280" spans="1:49" s="25" customFormat="1" ht="16.5" customHeight="1">
      <c r="A280" s="302"/>
      <c r="B280" s="302"/>
      <c r="C280" s="302"/>
      <c r="D280" s="303"/>
      <c r="E280" s="303"/>
      <c r="F280" s="303"/>
      <c r="G280" s="303"/>
      <c r="H280" s="303"/>
      <c r="I280" s="302"/>
      <c r="J280" s="302"/>
      <c r="K280" s="302"/>
      <c r="L280" s="777">
        <v>5</v>
      </c>
      <c r="M280" s="778"/>
      <c r="N280" s="976">
        <v>602</v>
      </c>
      <c r="O280" s="1020">
        <v>223</v>
      </c>
      <c r="P280" s="847">
        <f>VLOOKUP(N280,etat!$A$9:$N$1004,2,FALSE)</f>
        <v>0</v>
      </c>
      <c r="Q280" s="797">
        <f>VLOOKUP(N280,etat!$A$9:$N$963,7,FALSE)</f>
        <v>0</v>
      </c>
      <c r="R280" s="797">
        <f>VLOOKUP(N280,etat!$A$9:$N$1003,9,FALSE)</f>
        <v>0</v>
      </c>
      <c r="S280" s="866">
        <f>VLOOKUP(N280,etat!$A$9:$P$905,16,FALSE)</f>
        <v>0</v>
      </c>
      <c r="T280" s="755">
        <v>45777</v>
      </c>
      <c r="U280" s="784" t="s">
        <v>420</v>
      </c>
      <c r="V280" s="784" t="s">
        <v>2283</v>
      </c>
      <c r="W280" s="784"/>
      <c r="X280" s="784"/>
      <c r="Y280" s="975"/>
      <c r="Z280" s="967"/>
      <c r="AA280" s="967">
        <v>7</v>
      </c>
      <c r="AB280" s="1073"/>
      <c r="AC280" s="1073"/>
      <c r="AD280" s="1073"/>
      <c r="AE280" s="1073"/>
      <c r="AF280" s="1073"/>
      <c r="AG280" s="1072"/>
      <c r="AH280" s="1072"/>
      <c r="AI280" s="1072"/>
      <c r="AJ280" s="1072"/>
      <c r="AK280" s="1072"/>
      <c r="AL280" s="1072"/>
      <c r="AM280" s="1072"/>
      <c r="AN280" s="1072"/>
      <c r="AO280" s="1072"/>
      <c r="AP280" s="1072"/>
      <c r="AQ280" s="1072"/>
      <c r="AR280" s="1072"/>
      <c r="AS280" s="1072"/>
      <c r="AT280" s="1072"/>
      <c r="AU280" s="1072"/>
      <c r="AV280" s="1072"/>
      <c r="AW280" s="1072"/>
    </row>
    <row r="281" spans="1:49" s="25" customFormat="1" ht="16.5" customHeight="1">
      <c r="A281" s="302"/>
      <c r="B281" s="302"/>
      <c r="C281" s="302"/>
      <c r="D281" s="303"/>
      <c r="E281" s="303"/>
      <c r="F281" s="303"/>
      <c r="G281" s="303"/>
      <c r="H281" s="303"/>
      <c r="I281" s="302"/>
      <c r="J281" s="302"/>
      <c r="K281" s="302"/>
      <c r="L281" s="777">
        <v>5</v>
      </c>
      <c r="M281" s="778"/>
      <c r="N281" s="976">
        <v>624</v>
      </c>
      <c r="O281" s="1020">
        <v>224</v>
      </c>
      <c r="P281" s="847">
        <f>VLOOKUP(N281,etat!$A$9:$N$1004,2,FALSE)</f>
        <v>0</v>
      </c>
      <c r="Q281" s="797">
        <f>VLOOKUP(N281,etat!$A$9:$N$963,7,FALSE)</f>
        <v>0</v>
      </c>
      <c r="R281" s="797">
        <f>VLOOKUP(N281,etat!$A$9:$N$1003,9,FALSE)</f>
        <v>0</v>
      </c>
      <c r="S281" s="866">
        <f>VLOOKUP(N281,etat!$A$9:$P$905,16,FALSE)</f>
        <v>0</v>
      </c>
      <c r="T281" s="755">
        <v>45774</v>
      </c>
      <c r="U281" s="791">
        <v>9</v>
      </c>
      <c r="V281" s="784" t="s">
        <v>2281</v>
      </c>
      <c r="W281" s="784"/>
      <c r="X281" s="784"/>
      <c r="Y281" s="975"/>
      <c r="Z281" s="975" t="str">
        <f>VLOOKUP(L284,[2]اس!$S$3:$X$31,3,FALSE)</f>
        <v>.</v>
      </c>
      <c r="AA281" s="967">
        <v>7</v>
      </c>
      <c r="AB281" s="1073"/>
      <c r="AC281" s="1073"/>
      <c r="AD281" s="1073"/>
      <c r="AE281" s="1073"/>
      <c r="AF281" s="1073"/>
      <c r="AG281" s="1072"/>
      <c r="AH281" s="1072"/>
      <c r="AI281" s="1072"/>
      <c r="AJ281" s="1072"/>
      <c r="AK281" s="1072"/>
      <c r="AL281" s="1072"/>
      <c r="AM281" s="1072"/>
      <c r="AN281" s="1072"/>
      <c r="AO281" s="1072"/>
      <c r="AP281" s="1072"/>
      <c r="AQ281" s="1072"/>
      <c r="AR281" s="1072"/>
      <c r="AS281" s="1072"/>
      <c r="AT281" s="1072"/>
      <c r="AU281" s="1072"/>
      <c r="AV281" s="1072"/>
      <c r="AW281" s="1072"/>
    </row>
    <row r="282" spans="1:49" s="25" customFormat="1" ht="16.5" customHeight="1">
      <c r="A282" s="302"/>
      <c r="B282" s="302"/>
      <c r="C282" s="302"/>
      <c r="D282" s="303"/>
      <c r="E282" s="303"/>
      <c r="F282" s="303"/>
      <c r="G282" s="303"/>
      <c r="H282" s="303"/>
      <c r="I282" s="302"/>
      <c r="J282" s="302"/>
      <c r="K282" s="302"/>
      <c r="L282" s="777">
        <v>5</v>
      </c>
      <c r="M282" s="778"/>
      <c r="N282" s="976">
        <v>631</v>
      </c>
      <c r="O282" s="1020">
        <v>225</v>
      </c>
      <c r="P282" s="847">
        <f>VLOOKUP(N282,etat!$A$9:$N$1004,2,FALSE)</f>
        <v>0</v>
      </c>
      <c r="Q282" s="797">
        <f>VLOOKUP(N282,etat!$A$9:$N$963,7,FALSE)</f>
        <v>0</v>
      </c>
      <c r="R282" s="797">
        <f>VLOOKUP(N282,etat!$A$9:$N$1003,9,FALSE)</f>
        <v>0</v>
      </c>
      <c r="S282" s="866">
        <f>VLOOKUP(N282,etat!$A$9:$P$905,16,FALSE)</f>
        <v>0</v>
      </c>
      <c r="T282" s="755">
        <v>45770</v>
      </c>
      <c r="U282" s="791">
        <v>13</v>
      </c>
      <c r="V282" s="784" t="s">
        <v>2280</v>
      </c>
      <c r="W282" s="784" t="s">
        <v>2283</v>
      </c>
      <c r="X282" s="784"/>
      <c r="Y282" s="975"/>
      <c r="Z282" s="967"/>
      <c r="AA282" s="967">
        <v>7</v>
      </c>
      <c r="AB282" s="1073"/>
      <c r="AC282" s="1073"/>
      <c r="AD282" s="1073"/>
      <c r="AE282" s="1073"/>
      <c r="AF282" s="1073"/>
      <c r="AG282" s="1072"/>
      <c r="AH282" s="1072"/>
      <c r="AI282" s="1072"/>
      <c r="AJ282" s="1072"/>
      <c r="AK282" s="1072"/>
      <c r="AL282" s="1072"/>
      <c r="AM282" s="1072"/>
      <c r="AN282" s="1072"/>
      <c r="AO282" s="1072"/>
      <c r="AP282" s="1072"/>
      <c r="AQ282" s="1072"/>
      <c r="AR282" s="1072"/>
      <c r="AS282" s="1072"/>
      <c r="AT282" s="1072"/>
      <c r="AU282" s="1072"/>
      <c r="AV282" s="1072"/>
      <c r="AW282" s="1072"/>
    </row>
    <row r="283" spans="1:49" s="25" customFormat="1" ht="16.5" customHeight="1">
      <c r="A283" s="302"/>
      <c r="B283" s="302"/>
      <c r="C283" s="302"/>
      <c r="D283" s="303"/>
      <c r="E283" s="303"/>
      <c r="F283" s="303"/>
      <c r="G283" s="303"/>
      <c r="H283" s="303"/>
      <c r="I283" s="302"/>
      <c r="J283" s="302"/>
      <c r="K283" s="302"/>
      <c r="L283" s="777">
        <v>5</v>
      </c>
      <c r="M283" s="778"/>
      <c r="N283" s="976">
        <v>648</v>
      </c>
      <c r="O283" s="1020">
        <v>226</v>
      </c>
      <c r="P283" s="847">
        <f>VLOOKUP(N283,etat!$A$9:$N$1004,2,FALSE)</f>
        <v>0</v>
      </c>
      <c r="Q283" s="797">
        <f>VLOOKUP(N283,etat!$A$9:$N$963,7,FALSE)</f>
        <v>0</v>
      </c>
      <c r="R283" s="866">
        <f>VLOOKUP(N283,etat!$A$9:$N$1003,9,FALSE)</f>
        <v>0</v>
      </c>
      <c r="S283" s="866">
        <f>VLOOKUP(N283,etat!$A$9:$P$905,16,FALSE)</f>
        <v>0</v>
      </c>
      <c r="T283" s="755">
        <v>45781</v>
      </c>
      <c r="U283" s="791">
        <v>2</v>
      </c>
      <c r="V283" s="784"/>
      <c r="W283" s="784"/>
      <c r="X283" s="784"/>
      <c r="Y283" s="975"/>
      <c r="Z283" s="975"/>
      <c r="AA283" s="967">
        <v>7</v>
      </c>
      <c r="AB283" s="1073"/>
      <c r="AC283" s="1073"/>
      <c r="AD283" s="1073"/>
      <c r="AE283" s="1073"/>
      <c r="AF283" s="1073"/>
      <c r="AG283" s="1072"/>
      <c r="AH283" s="1072"/>
      <c r="AI283" s="1072"/>
      <c r="AJ283" s="1072"/>
      <c r="AK283" s="1072"/>
      <c r="AL283" s="1072"/>
      <c r="AM283" s="1072"/>
      <c r="AN283" s="1072"/>
      <c r="AO283" s="1072"/>
      <c r="AP283" s="1072"/>
      <c r="AQ283" s="1072"/>
      <c r="AR283" s="1072"/>
      <c r="AS283" s="1072"/>
      <c r="AT283" s="1072"/>
      <c r="AU283" s="1072"/>
      <c r="AV283" s="1072"/>
      <c r="AW283" s="1072"/>
    </row>
    <row r="284" spans="1:49" s="25" customFormat="1" ht="16.5" customHeight="1">
      <c r="A284" s="302"/>
      <c r="B284" s="302"/>
      <c r="C284" s="302"/>
      <c r="D284" s="303"/>
      <c r="E284" s="303"/>
      <c r="F284" s="303"/>
      <c r="G284" s="303"/>
      <c r="H284" s="303"/>
      <c r="I284" s="302"/>
      <c r="J284" s="302"/>
      <c r="K284" s="302"/>
      <c r="L284" s="777">
        <v>5</v>
      </c>
      <c r="M284" s="778"/>
      <c r="N284" s="976">
        <v>653</v>
      </c>
      <c r="O284" s="1020">
        <v>227</v>
      </c>
      <c r="P284" s="847">
        <f>VLOOKUP(N284,etat!$A$9:$N$1004,2,FALSE)</f>
        <v>0</v>
      </c>
      <c r="Q284" s="797">
        <f>VLOOKUP(N284,etat!$A$9:$N$963,7,FALSE)</f>
        <v>0</v>
      </c>
      <c r="R284" s="866">
        <f>VLOOKUP(N284,etat!$A$9:$N$1003,9,FALSE)</f>
        <v>0</v>
      </c>
      <c r="S284" s="866">
        <f>VLOOKUP(N284,etat!$A$9:$P$905,16,FALSE)</f>
        <v>0</v>
      </c>
      <c r="T284" s="755">
        <v>45782</v>
      </c>
      <c r="U284" s="784" t="s">
        <v>357</v>
      </c>
      <c r="V284" s="784"/>
      <c r="W284" s="869"/>
      <c r="X284" s="869"/>
      <c r="Y284" s="975"/>
      <c r="Z284" s="975"/>
      <c r="AA284" s="967">
        <v>7</v>
      </c>
      <c r="AB284" s="1073"/>
      <c r="AC284" s="1073"/>
      <c r="AD284" s="1073"/>
      <c r="AE284" s="1073"/>
      <c r="AF284" s="1073"/>
      <c r="AG284" s="1072"/>
      <c r="AH284" s="1072"/>
      <c r="AI284" s="1072"/>
      <c r="AJ284" s="1072"/>
      <c r="AK284" s="1072"/>
      <c r="AL284" s="1072"/>
      <c r="AM284" s="1072"/>
      <c r="AN284" s="1072"/>
      <c r="AO284" s="1072"/>
      <c r="AP284" s="1072"/>
      <c r="AQ284" s="1072"/>
      <c r="AR284" s="1072"/>
      <c r="AS284" s="1072"/>
      <c r="AT284" s="1072"/>
      <c r="AU284" s="1072"/>
      <c r="AV284" s="1072"/>
      <c r="AW284" s="1072"/>
    </row>
    <row r="285" spans="1:49" s="25" customFormat="1" ht="16.5" customHeight="1">
      <c r="A285" s="302"/>
      <c r="B285" s="302"/>
      <c r="C285" s="302"/>
      <c r="D285" s="303"/>
      <c r="E285" s="303"/>
      <c r="F285" s="303"/>
      <c r="G285" s="303"/>
      <c r="H285" s="303"/>
      <c r="I285" s="302"/>
      <c r="J285" s="302"/>
      <c r="K285" s="302"/>
      <c r="L285" s="777">
        <v>5</v>
      </c>
      <c r="M285" s="778"/>
      <c r="N285" s="976">
        <v>633</v>
      </c>
      <c r="O285" s="1020">
        <v>228</v>
      </c>
      <c r="P285" s="847">
        <f>VLOOKUP(N285,etat!$A$9:$N$1004,2,FALSE)</f>
        <v>0</v>
      </c>
      <c r="Q285" s="797">
        <f>VLOOKUP(N285,etat!$A$9:$N$963,7,FALSE)</f>
        <v>0</v>
      </c>
      <c r="R285" s="797">
        <f>VLOOKUP(N285,etat!$A$9:$N$1003,9,FALSE)</f>
        <v>0</v>
      </c>
      <c r="S285" s="866">
        <f>VLOOKUP(N285,etat!$A$9:$P$905,16,FALSE)</f>
        <v>0</v>
      </c>
      <c r="T285" s="755">
        <v>45781</v>
      </c>
      <c r="U285" s="791">
        <v>2</v>
      </c>
      <c r="V285" s="784"/>
      <c r="W285" s="784"/>
      <c r="X285" s="784"/>
      <c r="Y285" s="975"/>
      <c r="Z285" s="975" t="str">
        <f>VLOOKUP(L312,[2]اس!$S$3:$X$31,3,FALSE)</f>
        <v>.</v>
      </c>
      <c r="AA285" s="967">
        <v>7</v>
      </c>
      <c r="AB285" s="1005"/>
      <c r="AC285" s="1005"/>
      <c r="AD285" s="1005"/>
      <c r="AE285" s="1005"/>
      <c r="AF285" s="1005"/>
      <c r="AG285" s="1004"/>
      <c r="AH285" s="1004"/>
      <c r="AI285" s="1004"/>
      <c r="AJ285" s="1004"/>
      <c r="AK285" s="1004"/>
      <c r="AL285" s="1004"/>
      <c r="AM285" s="1004"/>
      <c r="AN285" s="1004"/>
      <c r="AO285" s="1004"/>
      <c r="AP285" s="1004"/>
      <c r="AQ285" s="1004"/>
      <c r="AR285" s="1004"/>
      <c r="AS285" s="1004"/>
      <c r="AT285" s="1004"/>
      <c r="AU285" s="1004"/>
      <c r="AV285" s="1004"/>
      <c r="AW285" s="1004"/>
    </row>
    <row r="286" spans="1:49" s="25" customFormat="1" ht="16.5" customHeight="1">
      <c r="A286" s="302"/>
      <c r="B286" s="302"/>
      <c r="C286" s="302"/>
      <c r="D286" s="303"/>
      <c r="E286" s="303"/>
      <c r="F286" s="303"/>
      <c r="G286" s="303"/>
      <c r="H286" s="303"/>
      <c r="I286" s="302"/>
      <c r="J286" s="302"/>
      <c r="K286" s="302"/>
      <c r="L286" s="777">
        <v>5</v>
      </c>
      <c r="M286" s="778"/>
      <c r="N286" s="976">
        <v>679</v>
      </c>
      <c r="O286" s="1020">
        <v>229</v>
      </c>
      <c r="P286" s="847">
        <f>VLOOKUP(N286,etat!$A$9:$N$1004,2,FALSE)</f>
        <v>0</v>
      </c>
      <c r="Q286" s="797">
        <f>VLOOKUP(N286,etat!$A$9:$N$963,7,FALSE)</f>
        <v>0</v>
      </c>
      <c r="R286" s="866">
        <f>VLOOKUP(N286,etat!$A$9:$N$1003,9,FALSE)</f>
        <v>0</v>
      </c>
      <c r="S286" s="866">
        <f>VLOOKUP(N286,etat!$A$9:$P$905,16,FALSE)</f>
        <v>0</v>
      </c>
      <c r="T286" s="755">
        <v>45776</v>
      </c>
      <c r="U286" s="791">
        <v>7</v>
      </c>
      <c r="V286" s="784" t="s">
        <v>2283</v>
      </c>
      <c r="W286" s="784"/>
      <c r="X286" s="784"/>
      <c r="Y286" s="975"/>
      <c r="Z286" s="975"/>
      <c r="AA286" s="967">
        <v>6</v>
      </c>
      <c r="AB286" s="1005"/>
      <c r="AC286" s="1005"/>
      <c r="AD286" s="1005"/>
      <c r="AE286" s="1005"/>
      <c r="AF286" s="1005"/>
      <c r="AG286" s="1004"/>
      <c r="AH286" s="1004"/>
      <c r="AI286" s="1004"/>
      <c r="AJ286" s="1004"/>
      <c r="AK286" s="1004"/>
      <c r="AL286" s="1004"/>
      <c r="AM286" s="1004"/>
      <c r="AN286" s="1004"/>
      <c r="AO286" s="1004"/>
      <c r="AP286" s="1004"/>
      <c r="AQ286" s="1004"/>
      <c r="AR286" s="1004"/>
      <c r="AS286" s="1004"/>
      <c r="AT286" s="1004"/>
      <c r="AU286" s="1004"/>
      <c r="AV286" s="1004"/>
      <c r="AW286" s="1004"/>
    </row>
    <row r="287" spans="1:49" s="25" customFormat="1" ht="16.5" customHeight="1">
      <c r="A287" s="302"/>
      <c r="B287" s="302"/>
      <c r="C287" s="302"/>
      <c r="D287" s="303"/>
      <c r="E287" s="303"/>
      <c r="F287" s="303"/>
      <c r="G287" s="303"/>
      <c r="H287" s="303"/>
      <c r="I287" s="302"/>
      <c r="J287" s="302"/>
      <c r="K287" s="302"/>
      <c r="L287" s="777">
        <v>5</v>
      </c>
      <c r="M287" s="778"/>
      <c r="N287" s="976">
        <v>689</v>
      </c>
      <c r="O287" s="1020">
        <v>230</v>
      </c>
      <c r="P287" s="847">
        <f>VLOOKUP(N287,etat!$A$9:$N$1004,2,FALSE)</f>
        <v>0</v>
      </c>
      <c r="Q287" s="797">
        <f>VLOOKUP(N287,etat!$A$9:$N$963,7,FALSE)</f>
        <v>0</v>
      </c>
      <c r="R287" s="797">
        <f>VLOOKUP(N287,etat!$A$9:$N$1003,9,FALSE)</f>
        <v>0</v>
      </c>
      <c r="S287" s="866">
        <f>VLOOKUP(N287,etat!$A$9:$P$905,16,FALSE)</f>
        <v>0</v>
      </c>
      <c r="T287" s="755">
        <v>45777</v>
      </c>
      <c r="U287" s="1129" t="s">
        <v>420</v>
      </c>
      <c r="V287" s="784" t="s">
        <v>2283</v>
      </c>
      <c r="W287" s="784"/>
      <c r="X287" s="784"/>
      <c r="Y287" s="975"/>
      <c r="Z287" s="967"/>
      <c r="AA287" s="967">
        <v>6</v>
      </c>
      <c r="AB287" s="1005"/>
      <c r="AC287" s="1005"/>
      <c r="AD287" s="1005"/>
      <c r="AE287" s="1005"/>
      <c r="AF287" s="1005"/>
      <c r="AG287" s="1004"/>
      <c r="AH287" s="1004"/>
      <c r="AI287" s="1004"/>
      <c r="AJ287" s="1004"/>
      <c r="AK287" s="1004"/>
      <c r="AL287" s="1004"/>
      <c r="AM287" s="1004"/>
      <c r="AN287" s="1004"/>
      <c r="AO287" s="1004"/>
      <c r="AP287" s="1004"/>
      <c r="AQ287" s="1004"/>
      <c r="AR287" s="1004"/>
      <c r="AS287" s="1004"/>
      <c r="AT287" s="1004"/>
      <c r="AU287" s="1004"/>
      <c r="AV287" s="1004"/>
      <c r="AW287" s="1004"/>
    </row>
    <row r="288" spans="1:49" s="25" customFormat="1" ht="16.5" customHeight="1">
      <c r="A288" s="302"/>
      <c r="B288" s="302"/>
      <c r="C288" s="302"/>
      <c r="D288" s="303"/>
      <c r="E288" s="303"/>
      <c r="F288" s="303"/>
      <c r="G288" s="303"/>
      <c r="H288" s="303"/>
      <c r="I288" s="302"/>
      <c r="J288" s="302"/>
      <c r="K288" s="302"/>
      <c r="L288" s="777">
        <v>5</v>
      </c>
      <c r="M288" s="778"/>
      <c r="N288" s="976">
        <v>726</v>
      </c>
      <c r="O288" s="1020">
        <v>231</v>
      </c>
      <c r="P288" s="847">
        <f>VLOOKUP(N288,etat!$A$9:$N$1004,2,FALSE)</f>
        <v>0</v>
      </c>
      <c r="Q288" s="797">
        <f>VLOOKUP(N288,etat!$A$9:$N$963,7,FALSE)</f>
        <v>0</v>
      </c>
      <c r="R288" s="797">
        <f>VLOOKUP(N288,etat!$A$9:$N$1003,9,FALSE)</f>
        <v>0</v>
      </c>
      <c r="S288" s="866">
        <f>VLOOKUP(N288,etat!$A$9:$P$905,16,FALSE)</f>
        <v>0</v>
      </c>
      <c r="T288" s="755">
        <v>45781</v>
      </c>
      <c r="U288" s="791">
        <v>2</v>
      </c>
      <c r="V288" s="784"/>
      <c r="W288" s="784"/>
      <c r="X288" s="784"/>
      <c r="Y288" s="975"/>
      <c r="Z288" s="967"/>
      <c r="AA288" s="967">
        <v>7</v>
      </c>
      <c r="AB288" s="1005"/>
      <c r="AC288" s="1005"/>
      <c r="AD288" s="1005"/>
      <c r="AE288" s="1005"/>
      <c r="AF288" s="1005"/>
      <c r="AG288" s="1004"/>
      <c r="AH288" s="1004"/>
      <c r="AI288" s="1004"/>
      <c r="AJ288" s="1004"/>
      <c r="AK288" s="1004"/>
      <c r="AL288" s="1004"/>
      <c r="AM288" s="1004"/>
      <c r="AN288" s="1004"/>
      <c r="AO288" s="1004"/>
      <c r="AP288" s="1004"/>
      <c r="AQ288" s="1004"/>
      <c r="AR288" s="1004"/>
      <c r="AS288" s="1004"/>
      <c r="AT288" s="1004"/>
      <c r="AU288" s="1004"/>
      <c r="AV288" s="1004"/>
      <c r="AW288" s="1004"/>
    </row>
    <row r="289" spans="1:49" s="25" customFormat="1" ht="16.5" customHeight="1">
      <c r="A289" s="302"/>
      <c r="B289" s="302"/>
      <c r="C289" s="302"/>
      <c r="D289" s="303"/>
      <c r="E289" s="303"/>
      <c r="F289" s="303"/>
      <c r="G289" s="303"/>
      <c r="H289" s="303"/>
      <c r="I289" s="302"/>
      <c r="J289" s="302"/>
      <c r="K289" s="302"/>
      <c r="L289" s="777">
        <v>5</v>
      </c>
      <c r="M289" s="778"/>
      <c r="N289" s="976">
        <v>728</v>
      </c>
      <c r="O289" s="1020">
        <v>232</v>
      </c>
      <c r="P289" s="847">
        <f>VLOOKUP(N289,etat!$A$9:$N$1004,2,FALSE)</f>
        <v>0</v>
      </c>
      <c r="Q289" s="797">
        <f>VLOOKUP(N289,etat!$A$9:$N$963,7,FALSE)</f>
        <v>0</v>
      </c>
      <c r="R289" s="797">
        <f>VLOOKUP(N289,etat!$A$9:$N$1003,9,FALSE)</f>
        <v>0</v>
      </c>
      <c r="S289" s="866">
        <f>VLOOKUP(N289,etat!$A$9:$P$905,16,FALSE)</f>
        <v>0</v>
      </c>
      <c r="T289" s="755">
        <v>45781</v>
      </c>
      <c r="U289" s="791">
        <v>2</v>
      </c>
      <c r="V289" s="784"/>
      <c r="W289" s="784"/>
      <c r="X289" s="784"/>
      <c r="Y289" s="975"/>
      <c r="Z289" s="975" t="str">
        <f>VLOOKUP(L293,[2]اس!$S$3:$X$31,3,FALSE)</f>
        <v>.</v>
      </c>
      <c r="AA289" s="967">
        <v>7</v>
      </c>
      <c r="AB289" s="1005"/>
      <c r="AC289" s="1005"/>
      <c r="AD289" s="1005"/>
      <c r="AE289" s="1005"/>
      <c r="AF289" s="1005"/>
      <c r="AG289" s="1004"/>
      <c r="AH289" s="1004"/>
      <c r="AI289" s="1004"/>
      <c r="AJ289" s="1004"/>
      <c r="AK289" s="1004"/>
      <c r="AL289" s="1004"/>
      <c r="AM289" s="1004"/>
      <c r="AN289" s="1004"/>
      <c r="AO289" s="1004"/>
      <c r="AP289" s="1004"/>
      <c r="AQ289" s="1004"/>
      <c r="AR289" s="1004"/>
      <c r="AS289" s="1004"/>
      <c r="AT289" s="1004"/>
      <c r="AU289" s="1004"/>
      <c r="AV289" s="1004"/>
      <c r="AW289" s="1004"/>
    </row>
    <row r="290" spans="1:49" s="25" customFormat="1" ht="16.5" customHeight="1">
      <c r="A290" s="302"/>
      <c r="B290" s="302"/>
      <c r="C290" s="302"/>
      <c r="D290" s="303"/>
      <c r="E290" s="303"/>
      <c r="F290" s="303"/>
      <c r="G290" s="303"/>
      <c r="H290" s="303"/>
      <c r="I290" s="302"/>
      <c r="J290" s="302"/>
      <c r="K290" s="302"/>
      <c r="L290" s="777">
        <v>5</v>
      </c>
      <c r="M290" s="778"/>
      <c r="N290" s="976">
        <v>748</v>
      </c>
      <c r="O290" s="1020">
        <v>233</v>
      </c>
      <c r="P290" s="847">
        <f>VLOOKUP(N290,etat!$A$9:$N$1004,2,FALSE)</f>
        <v>0</v>
      </c>
      <c r="Q290" s="797">
        <f>VLOOKUP(N290,etat!$A$9:$N$963,7,FALSE)</f>
        <v>0</v>
      </c>
      <c r="R290" s="954">
        <f>VLOOKUP(N290,etat!$A$9:$N$1003,9,FALSE)</f>
        <v>0</v>
      </c>
      <c r="S290" s="866">
        <f>VLOOKUP(N290,etat!$A$9:$P$905,16,FALSE)</f>
        <v>0</v>
      </c>
      <c r="T290" s="755">
        <v>45781</v>
      </c>
      <c r="U290" s="791">
        <v>2</v>
      </c>
      <c r="V290" s="784"/>
      <c r="W290" s="784"/>
      <c r="X290" s="784"/>
      <c r="Y290" s="975"/>
      <c r="Z290" s="975" t="e">
        <f>VLOOKUP(#REF!,[2]اس!$S$3:$X$31,3,FALSE)</f>
        <v>#REF!</v>
      </c>
      <c r="AA290" s="967">
        <v>8</v>
      </c>
      <c r="AB290" s="1005"/>
      <c r="AC290" s="1005"/>
      <c r="AD290" s="1005"/>
      <c r="AE290" s="1005"/>
      <c r="AF290" s="1005"/>
      <c r="AG290" s="1004"/>
      <c r="AH290" s="1004"/>
      <c r="AI290" s="1004"/>
      <c r="AJ290" s="1004"/>
      <c r="AK290" s="1004"/>
      <c r="AL290" s="1004"/>
      <c r="AM290" s="1004"/>
      <c r="AN290" s="1004"/>
      <c r="AO290" s="1004"/>
      <c r="AP290" s="1004"/>
      <c r="AQ290" s="1004"/>
      <c r="AR290" s="1004"/>
      <c r="AS290" s="1004"/>
      <c r="AT290" s="1004"/>
      <c r="AU290" s="1004"/>
      <c r="AV290" s="1004"/>
      <c r="AW290" s="1004"/>
    </row>
    <row r="291" spans="1:49" s="25" customFormat="1" ht="16.5" customHeight="1">
      <c r="A291" s="302"/>
      <c r="B291" s="302"/>
      <c r="C291" s="302"/>
      <c r="D291" s="303"/>
      <c r="E291" s="303"/>
      <c r="F291" s="303"/>
      <c r="G291" s="303"/>
      <c r="H291" s="303"/>
      <c r="I291" s="302"/>
      <c r="J291" s="302"/>
      <c r="K291" s="302"/>
      <c r="L291" s="777">
        <v>5</v>
      </c>
      <c r="M291" s="778"/>
      <c r="N291" s="976">
        <v>752</v>
      </c>
      <c r="O291" s="1020">
        <v>234</v>
      </c>
      <c r="P291" s="847">
        <f>VLOOKUP(N291,etat!$A$9:$N$1004,2,FALSE)</f>
        <v>0</v>
      </c>
      <c r="Q291" s="797">
        <f>VLOOKUP(N291,etat!$A$9:$N$963,7,FALSE)</f>
        <v>0</v>
      </c>
      <c r="R291" s="954">
        <f>VLOOKUP(N291,etat!$A$9:$N$1003,9,FALSE)</f>
        <v>0</v>
      </c>
      <c r="S291" s="866">
        <f>VLOOKUP(N291,etat!$A$9:$P$905,16,FALSE)</f>
        <v>0</v>
      </c>
      <c r="T291" s="755">
        <v>45781</v>
      </c>
      <c r="U291" s="791">
        <v>2</v>
      </c>
      <c r="V291" s="784"/>
      <c r="W291" s="784"/>
      <c r="X291" s="784"/>
      <c r="Y291" s="975"/>
      <c r="Z291" s="975" t="str">
        <f>VLOOKUP(L294,[2]اس!$S$3:$X$31,3,FALSE)</f>
        <v>.</v>
      </c>
      <c r="AA291" s="967">
        <v>8</v>
      </c>
      <c r="AB291" s="1073"/>
      <c r="AC291" s="1073"/>
      <c r="AD291" s="1073"/>
      <c r="AE291" s="1073"/>
      <c r="AF291" s="1073"/>
      <c r="AG291" s="1072"/>
      <c r="AH291" s="1072"/>
      <c r="AI291" s="1072"/>
      <c r="AJ291" s="1072"/>
      <c r="AK291" s="1072"/>
      <c r="AL291" s="1072"/>
      <c r="AM291" s="1072"/>
      <c r="AN291" s="1072"/>
      <c r="AO291" s="1072"/>
      <c r="AP291" s="1072"/>
      <c r="AQ291" s="1072"/>
      <c r="AR291" s="1072"/>
      <c r="AS291" s="1072"/>
      <c r="AT291" s="1072"/>
      <c r="AU291" s="1072"/>
      <c r="AV291" s="1072"/>
      <c r="AW291" s="1072"/>
    </row>
    <row r="292" spans="1:49" s="25" customFormat="1" ht="16.5" customHeight="1">
      <c r="A292" s="302"/>
      <c r="B292" s="302"/>
      <c r="C292" s="302"/>
      <c r="D292" s="303"/>
      <c r="E292" s="303"/>
      <c r="F292" s="303"/>
      <c r="G292" s="303"/>
      <c r="H292" s="303"/>
      <c r="I292" s="302"/>
      <c r="J292" s="302"/>
      <c r="K292" s="302"/>
      <c r="L292" s="777">
        <v>5</v>
      </c>
      <c r="M292" s="778"/>
      <c r="N292" s="976">
        <v>761</v>
      </c>
      <c r="O292" s="1020">
        <v>235</v>
      </c>
      <c r="P292" s="847">
        <f>VLOOKUP(N292,etat!$A$9:$N$1004,2,FALSE)</f>
        <v>0</v>
      </c>
      <c r="Q292" s="797">
        <f>VLOOKUP(N292,etat!$A$9:$N$963,7,FALSE)</f>
        <v>0</v>
      </c>
      <c r="R292" s="954">
        <f>VLOOKUP(N292,etat!$A$9:$N$1003,9,FALSE)</f>
        <v>0</v>
      </c>
      <c r="S292" s="866">
        <f>VLOOKUP(N292,etat!$A$9:$P$905,16,FALSE)</f>
        <v>0</v>
      </c>
      <c r="T292" s="755">
        <v>45781</v>
      </c>
      <c r="U292" s="791">
        <v>2</v>
      </c>
      <c r="V292" s="784"/>
      <c r="W292" s="784"/>
      <c r="X292" s="784"/>
      <c r="Y292" s="975"/>
      <c r="Z292" s="975" t="str">
        <f>VLOOKUP(L321,[2]اس!$S$3:$X$31,3,FALSE)</f>
        <v>.</v>
      </c>
      <c r="AA292" s="967">
        <v>8</v>
      </c>
      <c r="AB292" s="1073"/>
      <c r="AC292" s="1073"/>
      <c r="AD292" s="1073"/>
      <c r="AE292" s="1073"/>
      <c r="AF292" s="1073"/>
      <c r="AG292" s="1072"/>
      <c r="AH292" s="1072"/>
      <c r="AI292" s="1072"/>
      <c r="AJ292" s="1072"/>
      <c r="AK292" s="1072"/>
      <c r="AL292" s="1072"/>
      <c r="AM292" s="1072"/>
      <c r="AN292" s="1072"/>
      <c r="AO292" s="1072"/>
      <c r="AP292" s="1072"/>
      <c r="AQ292" s="1072"/>
      <c r="AR292" s="1072"/>
      <c r="AS292" s="1072"/>
      <c r="AT292" s="1072"/>
      <c r="AU292" s="1072"/>
      <c r="AV292" s="1072"/>
      <c r="AW292" s="1072"/>
    </row>
    <row r="293" spans="1:49" s="25" customFormat="1" ht="16.5" customHeight="1">
      <c r="A293" s="302"/>
      <c r="B293" s="302"/>
      <c r="C293" s="302"/>
      <c r="D293" s="303"/>
      <c r="E293" s="303"/>
      <c r="F293" s="303"/>
      <c r="G293" s="303"/>
      <c r="H293" s="303"/>
      <c r="I293" s="302"/>
      <c r="J293" s="302"/>
      <c r="K293" s="302"/>
      <c r="L293" s="777">
        <v>5</v>
      </c>
      <c r="M293" s="778"/>
      <c r="N293" s="976">
        <v>767</v>
      </c>
      <c r="O293" s="1020">
        <v>236</v>
      </c>
      <c r="P293" s="847">
        <f>VLOOKUP(N293,etat!$A$9:$N$1004,2,FALSE)</f>
        <v>0</v>
      </c>
      <c r="Q293" s="797">
        <f>VLOOKUP(N293,etat!$A$9:$N$963,7,FALSE)</f>
        <v>0</v>
      </c>
      <c r="R293" s="954">
        <f>VLOOKUP(N293,etat!$A$9:$N$1003,9,FALSE)</f>
        <v>0</v>
      </c>
      <c r="S293" s="866">
        <f>VLOOKUP(N293,etat!$A$9:$P$905,16,FALSE)</f>
        <v>0</v>
      </c>
      <c r="T293" s="755">
        <v>45781</v>
      </c>
      <c r="U293" s="791">
        <v>2</v>
      </c>
      <c r="V293" s="784"/>
      <c r="W293" s="784"/>
      <c r="X293" s="784"/>
      <c r="Y293" s="975"/>
      <c r="Z293" s="975" t="str">
        <f>VLOOKUP(L322,[2]اس!$S$3:$X$31,3,FALSE)</f>
        <v>.</v>
      </c>
      <c r="AA293" s="967">
        <v>8</v>
      </c>
      <c r="AB293" s="1005"/>
      <c r="AC293" s="1005"/>
      <c r="AD293" s="1005"/>
      <c r="AE293" s="1005"/>
      <c r="AF293" s="1005"/>
      <c r="AG293" s="1004"/>
      <c r="AH293" s="1004"/>
      <c r="AI293" s="1004"/>
      <c r="AJ293" s="1004"/>
      <c r="AK293" s="1004"/>
      <c r="AL293" s="1004"/>
      <c r="AM293" s="1004"/>
      <c r="AN293" s="1004"/>
      <c r="AO293" s="1004"/>
      <c r="AP293" s="1004"/>
      <c r="AQ293" s="1004"/>
      <c r="AR293" s="1004"/>
      <c r="AS293" s="1004"/>
      <c r="AT293" s="1004"/>
      <c r="AU293" s="1004"/>
      <c r="AV293" s="1004"/>
      <c r="AW293" s="1004"/>
    </row>
    <row r="294" spans="1:49" s="25" customFormat="1" ht="16.5" customHeight="1">
      <c r="A294" s="302"/>
      <c r="B294" s="302"/>
      <c r="C294" s="302"/>
      <c r="D294" s="303"/>
      <c r="E294" s="303"/>
      <c r="F294" s="303"/>
      <c r="G294" s="303"/>
      <c r="H294" s="303"/>
      <c r="I294" s="302"/>
      <c r="J294" s="302"/>
      <c r="K294" s="302"/>
      <c r="L294" s="777">
        <v>5</v>
      </c>
      <c r="M294" s="778"/>
      <c r="N294" s="976">
        <v>760</v>
      </c>
      <c r="O294" s="1020">
        <v>237</v>
      </c>
      <c r="P294" s="847">
        <f>VLOOKUP(N294,etat!$A$9:$N$1004,2,FALSE)</f>
        <v>0</v>
      </c>
      <c r="Q294" s="797">
        <f>VLOOKUP(N294,etat!$A$9:$N$963,7,FALSE)</f>
        <v>0</v>
      </c>
      <c r="R294" s="866">
        <f>VLOOKUP(N294,etat!$A$9:$N$1003,9,FALSE)</f>
        <v>0</v>
      </c>
      <c r="S294" s="866">
        <f>VLOOKUP(N294,etat!$A$9:$P$905,16,FALSE)</f>
        <v>0</v>
      </c>
      <c r="T294" s="755">
        <v>45782</v>
      </c>
      <c r="U294" s="784" t="s">
        <v>357</v>
      </c>
      <c r="V294" s="784"/>
      <c r="W294" s="869"/>
      <c r="X294" s="869"/>
      <c r="Y294" s="975"/>
      <c r="Z294" s="975"/>
      <c r="AA294" s="967">
        <v>4</v>
      </c>
      <c r="AB294" s="1005"/>
      <c r="AC294" s="1005"/>
      <c r="AD294" s="1005"/>
      <c r="AE294" s="1005"/>
      <c r="AF294" s="1005"/>
      <c r="AG294" s="1004"/>
      <c r="AH294" s="1004"/>
      <c r="AI294" s="1004"/>
      <c r="AJ294" s="1004"/>
      <c r="AK294" s="1004"/>
      <c r="AL294" s="1004"/>
      <c r="AM294" s="1004"/>
      <c r="AN294" s="1004"/>
      <c r="AO294" s="1004"/>
      <c r="AP294" s="1004"/>
      <c r="AQ294" s="1004"/>
      <c r="AR294" s="1004"/>
      <c r="AS294" s="1004"/>
      <c r="AT294" s="1004"/>
      <c r="AU294" s="1004"/>
      <c r="AV294" s="1004"/>
      <c r="AW294" s="1004"/>
    </row>
    <row r="295" spans="1:49" s="25" customFormat="1" ht="16.5" customHeight="1">
      <c r="A295" s="302"/>
      <c r="B295" s="302"/>
      <c r="C295" s="302"/>
      <c r="D295" s="303"/>
      <c r="E295" s="303"/>
      <c r="F295" s="303"/>
      <c r="G295" s="303"/>
      <c r="H295" s="303"/>
      <c r="I295" s="302"/>
      <c r="J295" s="302"/>
      <c r="K295" s="302"/>
      <c r="L295" s="777">
        <v>5</v>
      </c>
      <c r="M295" s="778"/>
      <c r="N295" s="976"/>
      <c r="O295" s="1020">
        <v>238</v>
      </c>
      <c r="P295" s="847" t="e">
        <f>VLOOKUP(N295,etat!$A$9:$N$1004,2,FALSE)</f>
        <v>#N/A</v>
      </c>
      <c r="Q295" s="797" t="e">
        <f>VLOOKUP(N295,etat!$A$9:$N$963,7,FALSE)</f>
        <v>#N/A</v>
      </c>
      <c r="R295" s="866" t="e">
        <f>VLOOKUP(N295,etat!$A$9:$N$1003,9,FALSE)</f>
        <v>#N/A</v>
      </c>
      <c r="S295" s="866" t="e">
        <f>VLOOKUP(N295,etat!$A$9:$P$905,16,FALSE)</f>
        <v>#N/A</v>
      </c>
      <c r="T295" s="755"/>
      <c r="U295" s="791"/>
      <c r="V295" s="784"/>
      <c r="W295" s="869"/>
      <c r="X295" s="869"/>
      <c r="Y295" s="975"/>
      <c r="Z295" s="975"/>
      <c r="AA295" s="967"/>
      <c r="AB295" s="1005"/>
      <c r="AC295" s="1005"/>
      <c r="AD295" s="1005"/>
      <c r="AE295" s="1005"/>
      <c r="AF295" s="1005"/>
      <c r="AG295" s="1004"/>
      <c r="AH295" s="1004"/>
      <c r="AI295" s="1004"/>
      <c r="AJ295" s="1004"/>
      <c r="AK295" s="1004"/>
      <c r="AL295" s="1004"/>
      <c r="AM295" s="1004"/>
      <c r="AN295" s="1004"/>
      <c r="AO295" s="1004"/>
      <c r="AP295" s="1004"/>
      <c r="AQ295" s="1004"/>
      <c r="AR295" s="1004"/>
      <c r="AS295" s="1004"/>
      <c r="AT295" s="1004"/>
      <c r="AU295" s="1004"/>
      <c r="AV295" s="1004"/>
      <c r="AW295" s="1004"/>
    </row>
    <row r="296" spans="1:49" s="25" customFormat="1" ht="16.5" customHeight="1">
      <c r="A296" s="302"/>
      <c r="B296" s="302"/>
      <c r="C296" s="302"/>
      <c r="D296" s="303"/>
      <c r="E296" s="303"/>
      <c r="F296" s="303"/>
      <c r="G296" s="303"/>
      <c r="H296" s="303"/>
      <c r="I296" s="302"/>
      <c r="J296" s="302"/>
      <c r="K296" s="302"/>
      <c r="L296" s="777">
        <v>5</v>
      </c>
      <c r="M296" s="778"/>
      <c r="N296" s="976"/>
      <c r="O296" s="1020">
        <v>239</v>
      </c>
      <c r="P296" s="847" t="e">
        <f>VLOOKUP(N296,etat!$A$9:$N$1004,2,FALSE)</f>
        <v>#N/A</v>
      </c>
      <c r="Q296" s="797" t="e">
        <f>VLOOKUP(N296,etat!$A$9:$N$963,7,FALSE)</f>
        <v>#N/A</v>
      </c>
      <c r="R296" s="866" t="e">
        <f>VLOOKUP(N296,etat!$A$9:$N$1003,9,FALSE)</f>
        <v>#N/A</v>
      </c>
      <c r="S296" s="866" t="e">
        <f>VLOOKUP(N296,etat!$A$9:$P$905,16,FALSE)</f>
        <v>#N/A</v>
      </c>
      <c r="T296" s="755"/>
      <c r="U296" s="791"/>
      <c r="V296" s="784"/>
      <c r="W296" s="869"/>
      <c r="X296" s="869"/>
      <c r="Y296" s="975"/>
      <c r="Z296" s="975"/>
      <c r="AA296" s="967"/>
      <c r="AB296" s="1005"/>
      <c r="AC296" s="1005"/>
      <c r="AD296" s="1005"/>
      <c r="AE296" s="1005"/>
      <c r="AF296" s="1005"/>
      <c r="AG296" s="1004"/>
      <c r="AH296" s="1004"/>
      <c r="AI296" s="1004"/>
      <c r="AJ296" s="1004"/>
      <c r="AK296" s="1004"/>
      <c r="AL296" s="1004"/>
      <c r="AM296" s="1004"/>
      <c r="AN296" s="1004"/>
      <c r="AO296" s="1004"/>
      <c r="AP296" s="1004"/>
      <c r="AQ296" s="1004"/>
      <c r="AR296" s="1004"/>
      <c r="AS296" s="1004"/>
      <c r="AT296" s="1004"/>
      <c r="AU296" s="1004"/>
      <c r="AV296" s="1004"/>
      <c r="AW296" s="1004"/>
    </row>
    <row r="297" spans="1:49" s="25" customFormat="1" ht="16.5" customHeight="1">
      <c r="A297" s="302"/>
      <c r="B297" s="302"/>
      <c r="C297" s="302"/>
      <c r="D297" s="303"/>
      <c r="E297" s="303"/>
      <c r="F297" s="303"/>
      <c r="G297" s="303"/>
      <c r="H297" s="303"/>
      <c r="I297" s="302"/>
      <c r="J297" s="302"/>
      <c r="K297" s="302"/>
      <c r="L297" s="777">
        <v>5</v>
      </c>
      <c r="M297" s="778"/>
      <c r="N297" s="976"/>
      <c r="O297" s="1020">
        <v>240</v>
      </c>
      <c r="P297" s="847" t="e">
        <f>VLOOKUP(N297,etat!$A$9:$N$1004,2,FALSE)</f>
        <v>#N/A</v>
      </c>
      <c r="Q297" s="797" t="e">
        <f>VLOOKUP(N297,etat!$A$9:$N$963,7,FALSE)</f>
        <v>#N/A</v>
      </c>
      <c r="R297" s="797" t="e">
        <f>VLOOKUP(N297,etat!$A$9:$N$1003,9,FALSE)</f>
        <v>#N/A</v>
      </c>
      <c r="S297" s="866" t="e">
        <f>VLOOKUP(N297,etat!$A$9:$P$905,16,FALSE)</f>
        <v>#N/A</v>
      </c>
      <c r="T297" s="755"/>
      <c r="U297" s="1129"/>
      <c r="V297" s="784"/>
      <c r="W297" s="784"/>
      <c r="X297" s="784"/>
      <c r="Y297" s="975"/>
      <c r="Z297" s="975"/>
      <c r="AA297" s="967"/>
      <c r="AB297" s="1005"/>
      <c r="AC297" s="1005"/>
      <c r="AD297" s="1005"/>
      <c r="AE297" s="1005"/>
      <c r="AF297" s="1005"/>
      <c r="AG297" s="1004"/>
      <c r="AH297" s="1004"/>
      <c r="AI297" s="1004"/>
      <c r="AJ297" s="1004"/>
      <c r="AK297" s="1004"/>
      <c r="AL297" s="1004"/>
      <c r="AM297" s="1004"/>
      <c r="AN297" s="1004"/>
      <c r="AO297" s="1004"/>
      <c r="AP297" s="1004"/>
      <c r="AQ297" s="1004"/>
      <c r="AR297" s="1004"/>
      <c r="AS297" s="1004"/>
      <c r="AT297" s="1004"/>
      <c r="AU297" s="1004"/>
      <c r="AV297" s="1004"/>
      <c r="AW297" s="1004"/>
    </row>
    <row r="298" spans="1:49" s="25" customFormat="1" ht="16.5" customHeight="1">
      <c r="A298" s="302"/>
      <c r="B298" s="302"/>
      <c r="C298" s="302"/>
      <c r="D298" s="303"/>
      <c r="E298" s="303"/>
      <c r="F298" s="303"/>
      <c r="G298" s="303"/>
      <c r="H298" s="303"/>
      <c r="I298" s="302"/>
      <c r="J298" s="302"/>
      <c r="K298" s="302"/>
      <c r="L298" s="777">
        <v>5</v>
      </c>
      <c r="M298" s="778"/>
      <c r="N298" s="976"/>
      <c r="O298" s="1020">
        <v>241</v>
      </c>
      <c r="P298" s="847" t="e">
        <f>VLOOKUP(N298,etat!$A$9:$N$1004,2,FALSE)</f>
        <v>#N/A</v>
      </c>
      <c r="Q298" s="797" t="e">
        <f>VLOOKUP(N298,etat!$A$9:$N$963,7,FALSE)</f>
        <v>#N/A</v>
      </c>
      <c r="R298" s="866" t="e">
        <f>VLOOKUP(N298,etat!$A$9:$N$1003,9,FALSE)</f>
        <v>#N/A</v>
      </c>
      <c r="S298" s="866" t="e">
        <f>VLOOKUP(N298,etat!$A$9:$P$905,16,FALSE)</f>
        <v>#N/A</v>
      </c>
      <c r="T298" s="755"/>
      <c r="U298" s="791"/>
      <c r="V298" s="784"/>
      <c r="W298" s="869"/>
      <c r="X298" s="869"/>
      <c r="Y298" s="975"/>
      <c r="Z298" s="975"/>
      <c r="AA298" s="967"/>
      <c r="AB298" s="1005"/>
      <c r="AC298" s="1005"/>
      <c r="AD298" s="1005"/>
      <c r="AE298" s="1005"/>
      <c r="AF298" s="1005"/>
      <c r="AG298" s="1004"/>
      <c r="AH298" s="1004"/>
      <c r="AI298" s="1004"/>
      <c r="AJ298" s="1004"/>
      <c r="AK298" s="1004"/>
      <c r="AL298" s="1004"/>
      <c r="AM298" s="1004"/>
      <c r="AN298" s="1004"/>
      <c r="AO298" s="1004"/>
      <c r="AP298" s="1004"/>
      <c r="AQ298" s="1004"/>
      <c r="AR298" s="1004"/>
      <c r="AS298" s="1004"/>
      <c r="AT298" s="1004"/>
      <c r="AU298" s="1004"/>
      <c r="AV298" s="1004"/>
      <c r="AW298" s="1004"/>
    </row>
    <row r="299" spans="1:49" s="25" customFormat="1" ht="16.5" customHeight="1">
      <c r="A299" s="302"/>
      <c r="B299" s="302"/>
      <c r="C299" s="302"/>
      <c r="D299" s="303"/>
      <c r="E299" s="303"/>
      <c r="F299" s="303"/>
      <c r="G299" s="303"/>
      <c r="H299" s="303"/>
      <c r="I299" s="302"/>
      <c r="J299" s="302"/>
      <c r="K299" s="302"/>
      <c r="L299" s="777">
        <v>5</v>
      </c>
      <c r="M299" s="778"/>
      <c r="N299" s="976"/>
      <c r="O299" s="1020">
        <v>242</v>
      </c>
      <c r="P299" s="847" t="e">
        <f>VLOOKUP(N299,etat!$A$9:$N$1004,2,FALSE)</f>
        <v>#N/A</v>
      </c>
      <c r="Q299" s="797" t="e">
        <f>VLOOKUP(N299,etat!$A$9:$N$963,7,FALSE)</f>
        <v>#N/A</v>
      </c>
      <c r="R299" s="797" t="e">
        <f>VLOOKUP(N299,etat!$A$9:$N$1003,9,FALSE)</f>
        <v>#N/A</v>
      </c>
      <c r="S299" s="866" t="e">
        <f>VLOOKUP(N299,etat!$A$9:$P$905,16,FALSE)</f>
        <v>#N/A</v>
      </c>
      <c r="T299" s="755"/>
      <c r="U299" s="1129"/>
      <c r="V299" s="784"/>
      <c r="W299" s="784"/>
      <c r="X299" s="784"/>
      <c r="Y299" s="975"/>
      <c r="Z299" s="975"/>
      <c r="AA299" s="967"/>
      <c r="AB299" s="1005"/>
      <c r="AC299" s="1005"/>
      <c r="AD299" s="1005"/>
      <c r="AE299" s="1005"/>
      <c r="AF299" s="1005"/>
      <c r="AG299" s="1004"/>
      <c r="AH299" s="1004"/>
      <c r="AI299" s="1004"/>
      <c r="AJ299" s="1004"/>
      <c r="AK299" s="1004"/>
      <c r="AL299" s="1004"/>
      <c r="AM299" s="1004"/>
      <c r="AN299" s="1004"/>
      <c r="AO299" s="1004"/>
      <c r="AP299" s="1004"/>
      <c r="AQ299" s="1004"/>
      <c r="AR299" s="1004"/>
      <c r="AS299" s="1004"/>
      <c r="AT299" s="1004"/>
      <c r="AU299" s="1004"/>
      <c r="AV299" s="1004"/>
      <c r="AW299" s="1004"/>
    </row>
    <row r="300" spans="1:49" s="25" customFormat="1" ht="16.5" customHeight="1">
      <c r="A300" s="302"/>
      <c r="B300" s="302"/>
      <c r="C300" s="302"/>
      <c r="D300" s="303"/>
      <c r="E300" s="303"/>
      <c r="F300" s="303"/>
      <c r="G300" s="303"/>
      <c r="H300" s="303"/>
      <c r="I300" s="302"/>
      <c r="J300" s="302"/>
      <c r="K300" s="302"/>
      <c r="L300" s="777">
        <v>5</v>
      </c>
      <c r="M300" s="778"/>
      <c r="N300" s="976"/>
      <c r="O300" s="1020">
        <v>243</v>
      </c>
      <c r="P300" s="847" t="e">
        <f>VLOOKUP(N300,etat!$A$9:$N$1004,2,FALSE)</f>
        <v>#N/A</v>
      </c>
      <c r="Q300" s="797" t="e">
        <f>VLOOKUP(N300,etat!$A$9:$N$963,7,FALSE)</f>
        <v>#N/A</v>
      </c>
      <c r="R300" s="797" t="e">
        <f>VLOOKUP(N300,etat!$A$9:$N$1003,9,FALSE)</f>
        <v>#N/A</v>
      </c>
      <c r="S300" s="866" t="e">
        <f>VLOOKUP(N300,etat!$A$9:$P$905,16,FALSE)</f>
        <v>#N/A</v>
      </c>
      <c r="T300" s="755"/>
      <c r="U300" s="1129"/>
      <c r="V300" s="784"/>
      <c r="W300" s="784"/>
      <c r="X300" s="784"/>
      <c r="Y300" s="975"/>
      <c r="Z300" s="975"/>
      <c r="AA300" s="967"/>
      <c r="AB300" s="1005"/>
      <c r="AC300" s="1005"/>
      <c r="AD300" s="1005"/>
      <c r="AE300" s="1005"/>
      <c r="AF300" s="1005"/>
      <c r="AG300" s="1004"/>
      <c r="AH300" s="1004"/>
      <c r="AI300" s="1004"/>
      <c r="AJ300" s="1004"/>
      <c r="AK300" s="1004"/>
      <c r="AL300" s="1004"/>
      <c r="AM300" s="1004"/>
      <c r="AN300" s="1004"/>
      <c r="AO300" s="1004"/>
      <c r="AP300" s="1004"/>
      <c r="AQ300" s="1004"/>
      <c r="AR300" s="1004"/>
      <c r="AS300" s="1004"/>
      <c r="AT300" s="1004"/>
      <c r="AU300" s="1004"/>
      <c r="AV300" s="1004"/>
      <c r="AW300" s="1004"/>
    </row>
    <row r="301" spans="1:49" s="25" customFormat="1" ht="16.5" customHeight="1">
      <c r="A301" s="302"/>
      <c r="B301" s="302"/>
      <c r="C301" s="302"/>
      <c r="D301" s="303"/>
      <c r="E301" s="303"/>
      <c r="F301" s="303"/>
      <c r="G301" s="303"/>
      <c r="H301" s="303"/>
      <c r="I301" s="302"/>
      <c r="J301" s="302"/>
      <c r="K301" s="302"/>
      <c r="L301" s="777">
        <v>5</v>
      </c>
      <c r="M301" s="778"/>
      <c r="N301" s="976"/>
      <c r="O301" s="1020">
        <v>244</v>
      </c>
      <c r="P301" s="847" t="e">
        <f>VLOOKUP(N301,etat!$A$9:$N$1004,2,FALSE)</f>
        <v>#N/A</v>
      </c>
      <c r="Q301" s="797" t="e">
        <f>VLOOKUP(N301,etat!$A$9:$N$963,7,FALSE)</f>
        <v>#N/A</v>
      </c>
      <c r="R301" s="954" t="e">
        <f>VLOOKUP(N301,etat!$A$9:$N$1003,9,FALSE)</f>
        <v>#N/A</v>
      </c>
      <c r="S301" s="866" t="e">
        <f>VLOOKUP(N301,etat!$A$9:$P$905,16,FALSE)</f>
        <v>#N/A</v>
      </c>
      <c r="T301" s="755"/>
      <c r="U301" s="784"/>
      <c r="V301" s="784"/>
      <c r="W301" s="784"/>
      <c r="X301" s="784"/>
      <c r="Y301" s="975"/>
      <c r="Z301" s="975"/>
      <c r="AA301" s="967"/>
      <c r="AB301" s="1005"/>
      <c r="AC301" s="1005"/>
      <c r="AD301" s="1005"/>
      <c r="AE301" s="1005"/>
      <c r="AF301" s="1005"/>
      <c r="AG301" s="1004"/>
      <c r="AH301" s="1004"/>
      <c r="AI301" s="1004"/>
      <c r="AJ301" s="1004"/>
      <c r="AK301" s="1004"/>
      <c r="AL301" s="1004"/>
      <c r="AM301" s="1004"/>
      <c r="AN301" s="1004"/>
      <c r="AO301" s="1004"/>
      <c r="AP301" s="1004"/>
      <c r="AQ301" s="1004"/>
      <c r="AR301" s="1004"/>
      <c r="AS301" s="1004"/>
      <c r="AT301" s="1004"/>
      <c r="AU301" s="1004"/>
      <c r="AV301" s="1004"/>
      <c r="AW301" s="1004"/>
    </row>
    <row r="302" spans="1:49" s="25" customFormat="1" ht="16.5" customHeight="1">
      <c r="A302" s="302"/>
      <c r="B302" s="302"/>
      <c r="C302" s="302"/>
      <c r="D302" s="303"/>
      <c r="E302" s="303"/>
      <c r="F302" s="303"/>
      <c r="G302" s="303"/>
      <c r="H302" s="303"/>
      <c r="I302" s="302"/>
      <c r="J302" s="302"/>
      <c r="K302" s="302"/>
      <c r="L302" s="777">
        <v>5</v>
      </c>
      <c r="M302" s="778"/>
      <c r="N302" s="976"/>
      <c r="O302" s="1020">
        <v>245</v>
      </c>
      <c r="P302" s="847" t="e">
        <f>VLOOKUP(N302,etat!$A$9:$N$1004,2,FALSE)</f>
        <v>#N/A</v>
      </c>
      <c r="Q302" s="797" t="e">
        <f>VLOOKUP(N302,etat!$A$9:$N$963,7,FALSE)</f>
        <v>#N/A</v>
      </c>
      <c r="R302" s="954" t="e">
        <f>VLOOKUP(N302,etat!$A$9:$N$1003,9,FALSE)</f>
        <v>#N/A</v>
      </c>
      <c r="S302" s="866" t="e">
        <f>VLOOKUP(N302,etat!$A$9:$P$905,16,FALSE)</f>
        <v>#N/A</v>
      </c>
      <c r="T302" s="755"/>
      <c r="U302" s="784"/>
      <c r="V302" s="784"/>
      <c r="W302" s="784"/>
      <c r="X302" s="784"/>
      <c r="Y302" s="975"/>
      <c r="Z302" s="975"/>
      <c r="AA302" s="967"/>
      <c r="AB302" s="1005"/>
      <c r="AC302" s="1005"/>
      <c r="AD302" s="1005"/>
      <c r="AE302" s="1005"/>
      <c r="AF302" s="1005"/>
      <c r="AG302" s="1004"/>
      <c r="AH302" s="1004"/>
      <c r="AI302" s="1004"/>
      <c r="AJ302" s="1004"/>
      <c r="AK302" s="1004"/>
      <c r="AL302" s="1004"/>
      <c r="AM302" s="1004"/>
      <c r="AN302" s="1004"/>
      <c r="AO302" s="1004"/>
      <c r="AP302" s="1004"/>
      <c r="AQ302" s="1004"/>
      <c r="AR302" s="1004"/>
      <c r="AS302" s="1004"/>
      <c r="AT302" s="1004"/>
      <c r="AU302" s="1004"/>
      <c r="AV302" s="1004"/>
      <c r="AW302" s="1004"/>
    </row>
    <row r="303" spans="1:49" s="25" customFormat="1" ht="16.5" customHeight="1">
      <c r="A303" s="302"/>
      <c r="B303" s="302"/>
      <c r="C303" s="302"/>
      <c r="D303" s="303"/>
      <c r="E303" s="303"/>
      <c r="F303" s="303"/>
      <c r="G303" s="303"/>
      <c r="H303" s="303"/>
      <c r="I303" s="302"/>
      <c r="J303" s="302"/>
      <c r="K303" s="302"/>
      <c r="L303" s="777">
        <v>5</v>
      </c>
      <c r="M303" s="778"/>
      <c r="N303" s="976"/>
      <c r="O303" s="1020">
        <v>246</v>
      </c>
      <c r="P303" s="847" t="e">
        <f>VLOOKUP(N303,etat!$A$9:$N$1004,2,FALSE)</f>
        <v>#N/A</v>
      </c>
      <c r="Q303" s="797" t="e">
        <f>VLOOKUP(N303,etat!$A$9:$N$963,7,FALSE)</f>
        <v>#N/A</v>
      </c>
      <c r="R303" s="954" t="e">
        <f>VLOOKUP(N303,etat!$A$9:$N$1003,9,FALSE)</f>
        <v>#N/A</v>
      </c>
      <c r="S303" s="866" t="e">
        <f>VLOOKUP(N303,etat!$A$9:$P$905,16,FALSE)</f>
        <v>#N/A</v>
      </c>
      <c r="T303" s="755"/>
      <c r="U303" s="784"/>
      <c r="V303" s="784"/>
      <c r="W303" s="784"/>
      <c r="X303" s="784"/>
      <c r="Y303" s="975"/>
      <c r="Z303" s="975"/>
      <c r="AA303" s="967"/>
      <c r="AB303" s="1005"/>
      <c r="AC303" s="1005"/>
      <c r="AD303" s="1005"/>
      <c r="AE303" s="1005"/>
      <c r="AF303" s="1005"/>
      <c r="AG303" s="1004"/>
      <c r="AH303" s="1004"/>
      <c r="AI303" s="1004"/>
      <c r="AJ303" s="1004"/>
      <c r="AK303" s="1004"/>
      <c r="AL303" s="1004"/>
      <c r="AM303" s="1004"/>
      <c r="AN303" s="1004"/>
      <c r="AO303" s="1004"/>
      <c r="AP303" s="1004"/>
      <c r="AQ303" s="1004"/>
      <c r="AR303" s="1004"/>
      <c r="AS303" s="1004"/>
      <c r="AT303" s="1004"/>
      <c r="AU303" s="1004"/>
      <c r="AV303" s="1004"/>
      <c r="AW303" s="1004"/>
    </row>
    <row r="304" spans="1:49" s="25" customFormat="1" ht="16.5" customHeight="1">
      <c r="A304" s="302"/>
      <c r="B304" s="302"/>
      <c r="C304" s="302"/>
      <c r="D304" s="303"/>
      <c r="E304" s="303"/>
      <c r="F304" s="303"/>
      <c r="G304" s="303"/>
      <c r="H304" s="303"/>
      <c r="I304" s="302"/>
      <c r="J304" s="302"/>
      <c r="K304" s="302"/>
      <c r="L304" s="777">
        <v>5</v>
      </c>
      <c r="M304" s="778"/>
      <c r="N304" s="976"/>
      <c r="O304" s="1020">
        <v>247</v>
      </c>
      <c r="P304" s="847" t="e">
        <f>VLOOKUP(N304,etat!$A$9:$N$1004,2,FALSE)</f>
        <v>#N/A</v>
      </c>
      <c r="Q304" s="797" t="e">
        <f>VLOOKUP(N304,etat!$A$9:$N$963,7,FALSE)</f>
        <v>#N/A</v>
      </c>
      <c r="R304" s="954" t="e">
        <f>VLOOKUP(N304,etat!$A$9:$N$1003,9,FALSE)</f>
        <v>#N/A</v>
      </c>
      <c r="S304" s="866" t="e">
        <f>VLOOKUP(N304,etat!$A$9:$P$905,16,FALSE)</f>
        <v>#N/A</v>
      </c>
      <c r="T304" s="755"/>
      <c r="U304" s="784"/>
      <c r="V304" s="784"/>
      <c r="W304" s="784"/>
      <c r="X304" s="784"/>
      <c r="Y304" s="975"/>
      <c r="Z304" s="975"/>
      <c r="AA304" s="967"/>
      <c r="AB304" s="1005"/>
      <c r="AC304" s="1005"/>
      <c r="AD304" s="1005"/>
      <c r="AE304" s="1005"/>
      <c r="AF304" s="1005"/>
      <c r="AG304" s="1004"/>
      <c r="AH304" s="1004"/>
      <c r="AI304" s="1004"/>
      <c r="AJ304" s="1004"/>
      <c r="AK304" s="1004"/>
      <c r="AL304" s="1004"/>
      <c r="AM304" s="1004"/>
      <c r="AN304" s="1004"/>
      <c r="AO304" s="1004"/>
      <c r="AP304" s="1004"/>
      <c r="AQ304" s="1004"/>
      <c r="AR304" s="1004"/>
      <c r="AS304" s="1004"/>
      <c r="AT304" s="1004"/>
      <c r="AU304" s="1004"/>
      <c r="AV304" s="1004"/>
      <c r="AW304" s="1004"/>
    </row>
    <row r="305" spans="1:49" s="25" customFormat="1" ht="16.5" customHeight="1">
      <c r="A305" s="1004"/>
      <c r="B305" s="1004"/>
      <c r="C305" s="1004"/>
      <c r="D305" s="166"/>
      <c r="E305" s="166"/>
      <c r="F305" s="166"/>
      <c r="G305" s="166"/>
      <c r="H305" s="166"/>
      <c r="I305" s="1004"/>
      <c r="J305" s="1004"/>
      <c r="K305" s="1004"/>
      <c r="L305" s="777">
        <v>5</v>
      </c>
      <c r="M305" s="778"/>
      <c r="N305" s="976"/>
      <c r="O305" s="1020">
        <v>248</v>
      </c>
      <c r="P305" s="847" t="e">
        <f>VLOOKUP(N305,etat!$A$9:$N$1004,2,FALSE)</f>
        <v>#N/A</v>
      </c>
      <c r="Q305" s="797" t="e">
        <f>VLOOKUP(N305,etat!$A$9:$N$963,7,FALSE)</f>
        <v>#N/A</v>
      </c>
      <c r="R305" s="954" t="e">
        <f>VLOOKUP(N305,etat!$A$9:$N$1003,9,FALSE)</f>
        <v>#N/A</v>
      </c>
      <c r="S305" s="866" t="e">
        <f>VLOOKUP(N305,etat!$A$9:$P$905,16,FALSE)</f>
        <v>#N/A</v>
      </c>
      <c r="T305" s="755"/>
      <c r="U305" s="784"/>
      <c r="V305" s="784"/>
      <c r="W305" s="784"/>
      <c r="X305" s="784"/>
      <c r="Y305" s="975"/>
      <c r="Z305" s="975"/>
      <c r="AA305" s="967"/>
      <c r="AB305" s="1005"/>
      <c r="AC305" s="1005"/>
      <c r="AD305" s="1005"/>
      <c r="AE305" s="1005"/>
      <c r="AF305" s="1005"/>
      <c r="AG305" s="1004"/>
      <c r="AH305" s="1004"/>
      <c r="AI305" s="1004"/>
      <c r="AJ305" s="1004"/>
      <c r="AK305" s="1004"/>
      <c r="AL305" s="1004"/>
      <c r="AM305" s="1004"/>
      <c r="AN305" s="1004"/>
      <c r="AO305" s="1004"/>
      <c r="AP305" s="1004"/>
      <c r="AQ305" s="1004"/>
      <c r="AR305" s="1004"/>
      <c r="AS305" s="1004"/>
      <c r="AT305" s="1004"/>
      <c r="AU305" s="1004"/>
      <c r="AV305" s="1004"/>
      <c r="AW305" s="1004"/>
    </row>
    <row r="306" spans="1:49" s="25" customFormat="1" ht="16.5" customHeight="1">
      <c r="A306" s="1004"/>
      <c r="B306" s="1004"/>
      <c r="C306" s="1004"/>
      <c r="D306" s="166"/>
      <c r="E306" s="166"/>
      <c r="F306" s="166"/>
      <c r="G306" s="166"/>
      <c r="H306" s="166"/>
      <c r="I306" s="1004"/>
      <c r="J306" s="1004"/>
      <c r="K306" s="1004"/>
      <c r="L306" s="777">
        <v>5</v>
      </c>
      <c r="M306" s="778"/>
      <c r="N306" s="976"/>
      <c r="O306" s="1020">
        <v>249</v>
      </c>
      <c r="P306" s="847" t="e">
        <f>VLOOKUP(N306,etat!$A$9:$N$1004,2,FALSE)</f>
        <v>#N/A</v>
      </c>
      <c r="Q306" s="797" t="e">
        <f>VLOOKUP(N306,etat!$A$9:$N$963,7,FALSE)</f>
        <v>#N/A</v>
      </c>
      <c r="R306" s="954" t="e">
        <f>VLOOKUP(N306,etat!$A$9:$N$1003,9,FALSE)</f>
        <v>#N/A</v>
      </c>
      <c r="S306" s="866" t="e">
        <f>VLOOKUP(N306,etat!$A$9:$P$905,16,FALSE)</f>
        <v>#N/A</v>
      </c>
      <c r="T306" s="755"/>
      <c r="U306" s="784"/>
      <c r="V306" s="784"/>
      <c r="W306" s="784"/>
      <c r="X306" s="784"/>
      <c r="Y306" s="975"/>
      <c r="Z306" s="975"/>
      <c r="AA306" s="967"/>
      <c r="AB306" s="1005"/>
      <c r="AC306" s="1005"/>
      <c r="AD306" s="1005"/>
      <c r="AE306" s="1005"/>
      <c r="AF306" s="1005"/>
      <c r="AG306" s="1004"/>
      <c r="AH306" s="1004"/>
      <c r="AI306" s="1004"/>
      <c r="AJ306" s="1004"/>
      <c r="AK306" s="1004"/>
      <c r="AL306" s="1004"/>
      <c r="AM306" s="1004"/>
      <c r="AN306" s="1004"/>
      <c r="AO306" s="1004"/>
      <c r="AP306" s="1004"/>
      <c r="AQ306" s="1004"/>
      <c r="AR306" s="1004"/>
      <c r="AS306" s="1004"/>
      <c r="AT306" s="1004"/>
      <c r="AU306" s="1004"/>
      <c r="AV306" s="1004"/>
      <c r="AW306" s="1004"/>
    </row>
    <row r="307" spans="1:49" s="25" customFormat="1" ht="16.5" customHeight="1">
      <c r="A307" s="1004"/>
      <c r="B307" s="1004"/>
      <c r="C307" s="1004"/>
      <c r="D307" s="166"/>
      <c r="E307" s="166"/>
      <c r="F307" s="166"/>
      <c r="G307" s="166"/>
      <c r="H307" s="166"/>
      <c r="I307" s="1004"/>
      <c r="J307" s="1004"/>
      <c r="K307" s="1004"/>
      <c r="L307" s="777">
        <v>5</v>
      </c>
      <c r="M307" s="778"/>
      <c r="N307" s="976"/>
      <c r="O307" s="1020">
        <v>250</v>
      </c>
      <c r="P307" s="847" t="e">
        <f>VLOOKUP(N307,etat!$A$9:$N$1004,2,FALSE)</f>
        <v>#N/A</v>
      </c>
      <c r="Q307" s="797" t="e">
        <f>VLOOKUP(N307,etat!$A$9:$N$963,7,FALSE)</f>
        <v>#N/A</v>
      </c>
      <c r="R307" s="954" t="e">
        <f>VLOOKUP(N307,etat!$A$9:$N$1003,9,FALSE)</f>
        <v>#N/A</v>
      </c>
      <c r="S307" s="866" t="e">
        <f>VLOOKUP(N307,etat!$A$9:$P$905,16,FALSE)</f>
        <v>#N/A</v>
      </c>
      <c r="T307" s="755"/>
      <c r="U307" s="784"/>
      <c r="V307" s="784"/>
      <c r="W307" s="784"/>
      <c r="X307" s="784"/>
      <c r="Y307" s="975"/>
      <c r="Z307" s="975"/>
      <c r="AA307" s="967"/>
      <c r="AB307" s="1005"/>
      <c r="AC307" s="1005"/>
      <c r="AD307" s="1005"/>
      <c r="AE307" s="1005"/>
      <c r="AF307" s="1005"/>
      <c r="AG307" s="1004"/>
      <c r="AH307" s="1004"/>
      <c r="AI307" s="1004"/>
      <c r="AJ307" s="1004"/>
      <c r="AK307" s="1004"/>
      <c r="AL307" s="1004"/>
      <c r="AM307" s="1004"/>
      <c r="AN307" s="1004"/>
      <c r="AO307" s="1004"/>
      <c r="AP307" s="1004"/>
      <c r="AQ307" s="1004"/>
      <c r="AR307" s="1004"/>
      <c r="AS307" s="1004"/>
      <c r="AT307" s="1004"/>
      <c r="AU307" s="1004"/>
      <c r="AV307" s="1004"/>
      <c r="AW307" s="1004"/>
    </row>
    <row r="308" spans="1:49" s="25" customFormat="1" ht="16.5" customHeight="1">
      <c r="A308" s="1004"/>
      <c r="B308" s="1004"/>
      <c r="C308" s="1004"/>
      <c r="D308" s="166"/>
      <c r="E308" s="166"/>
      <c r="F308" s="166"/>
      <c r="G308" s="166"/>
      <c r="H308" s="166"/>
      <c r="I308" s="1004"/>
      <c r="J308" s="1004"/>
      <c r="K308" s="1004"/>
      <c r="L308" s="777">
        <v>5</v>
      </c>
      <c r="M308" s="778"/>
      <c r="N308" s="976"/>
      <c r="O308" s="1020">
        <v>251</v>
      </c>
      <c r="P308" s="847" t="e">
        <f>VLOOKUP(N308,etat!$A$9:$N$1004,2,FALSE)</f>
        <v>#N/A</v>
      </c>
      <c r="Q308" s="797" t="e">
        <f>VLOOKUP(N308,etat!$A$9:$N$963,7,FALSE)</f>
        <v>#N/A</v>
      </c>
      <c r="R308" s="954" t="e">
        <f>VLOOKUP(N308,etat!$A$9:$N$1003,9,FALSE)</f>
        <v>#N/A</v>
      </c>
      <c r="S308" s="866" t="e">
        <f>VLOOKUP(N308,etat!$A$9:$P$905,16,FALSE)</f>
        <v>#N/A</v>
      </c>
      <c r="T308" s="755"/>
      <c r="U308" s="784"/>
      <c r="V308" s="784"/>
      <c r="W308" s="784"/>
      <c r="X308" s="784"/>
      <c r="Y308" s="975"/>
      <c r="Z308" s="975"/>
      <c r="AA308" s="967"/>
      <c r="AB308" s="1005"/>
      <c r="AC308" s="1005"/>
      <c r="AD308" s="1005"/>
      <c r="AE308" s="1005"/>
      <c r="AF308" s="1005"/>
      <c r="AG308" s="1004"/>
      <c r="AH308" s="1004"/>
      <c r="AI308" s="1004"/>
      <c r="AJ308" s="1004"/>
      <c r="AK308" s="1004"/>
      <c r="AL308" s="1004"/>
      <c r="AM308" s="1004"/>
      <c r="AN308" s="1004"/>
      <c r="AO308" s="1004"/>
      <c r="AP308" s="1004"/>
      <c r="AQ308" s="1004"/>
      <c r="AR308" s="1004"/>
      <c r="AS308" s="1004"/>
      <c r="AT308" s="1004"/>
      <c r="AU308" s="1004"/>
      <c r="AV308" s="1004"/>
      <c r="AW308" s="1004"/>
    </row>
    <row r="309" spans="1:49" s="25" customFormat="1" ht="16.5" customHeight="1">
      <c r="A309" s="1004"/>
      <c r="B309" s="1004"/>
      <c r="C309" s="1004"/>
      <c r="D309" s="166"/>
      <c r="E309" s="166"/>
      <c r="F309" s="166"/>
      <c r="G309" s="166"/>
      <c r="H309" s="166"/>
      <c r="I309" s="1004"/>
      <c r="J309" s="1004"/>
      <c r="K309" s="1004"/>
      <c r="L309" s="777">
        <v>5</v>
      </c>
      <c r="M309" s="778"/>
      <c r="N309" s="976"/>
      <c r="O309" s="1020">
        <v>252</v>
      </c>
      <c r="P309" s="847" t="e">
        <f>VLOOKUP(N309,etat!$A$9:$N$1004,2,FALSE)</f>
        <v>#N/A</v>
      </c>
      <c r="Q309" s="797" t="e">
        <f>VLOOKUP(N309,etat!$A$9:$N$963,7,FALSE)</f>
        <v>#N/A</v>
      </c>
      <c r="R309" s="954" t="e">
        <f>VLOOKUP(N309,etat!$A$9:$N$1003,9,FALSE)</f>
        <v>#N/A</v>
      </c>
      <c r="S309" s="866" t="e">
        <f>VLOOKUP(N309,etat!$A$9:$P$905,16,FALSE)</f>
        <v>#N/A</v>
      </c>
      <c r="T309" s="755"/>
      <c r="U309" s="784"/>
      <c r="V309" s="784"/>
      <c r="W309" s="784"/>
      <c r="X309" s="784"/>
      <c r="Y309" s="975"/>
      <c r="Z309" s="1022"/>
      <c r="AA309" s="967"/>
      <c r="AB309" s="1005"/>
      <c r="AC309" s="1005"/>
      <c r="AD309" s="1005"/>
      <c r="AE309" s="1005"/>
      <c r="AF309" s="1005"/>
      <c r="AG309" s="1004"/>
      <c r="AH309" s="1004"/>
      <c r="AI309" s="1004"/>
      <c r="AJ309" s="1004"/>
      <c r="AK309" s="1004"/>
      <c r="AL309" s="1004"/>
      <c r="AM309" s="1004"/>
      <c r="AN309" s="1004"/>
      <c r="AO309" s="1004"/>
      <c r="AP309" s="1004"/>
      <c r="AQ309" s="1004"/>
      <c r="AR309" s="1004"/>
      <c r="AS309" s="1004"/>
      <c r="AT309" s="1004"/>
      <c r="AU309" s="1004"/>
      <c r="AV309" s="1004"/>
      <c r="AW309" s="1004"/>
    </row>
    <row r="310" spans="1:49" s="25" customFormat="1" ht="16.5" customHeight="1">
      <c r="A310" s="1004"/>
      <c r="B310" s="1004"/>
      <c r="C310" s="1004"/>
      <c r="D310" s="166"/>
      <c r="E310" s="166"/>
      <c r="F310" s="166"/>
      <c r="G310" s="166"/>
      <c r="H310" s="166"/>
      <c r="I310" s="1004"/>
      <c r="J310" s="1004"/>
      <c r="K310" s="1004"/>
      <c r="L310" s="777">
        <v>5</v>
      </c>
      <c r="M310" s="778"/>
      <c r="N310" s="976"/>
      <c r="O310" s="1020">
        <v>253</v>
      </c>
      <c r="P310" s="847" t="e">
        <f>VLOOKUP(N310,etat!$A$9:$N$1004,2,FALSE)</f>
        <v>#N/A</v>
      </c>
      <c r="Q310" s="797" t="e">
        <f>VLOOKUP(N310,etat!$A$9:$N$963,7,FALSE)</f>
        <v>#N/A</v>
      </c>
      <c r="R310" s="954" t="e">
        <f>VLOOKUP(N310,etat!$A$9:$N$1003,9,FALSE)</f>
        <v>#N/A</v>
      </c>
      <c r="S310" s="866" t="e">
        <f>VLOOKUP(N310,etat!$A$9:$P$905,16,FALSE)</f>
        <v>#N/A</v>
      </c>
      <c r="T310" s="755"/>
      <c r="U310" s="784"/>
      <c r="V310" s="784"/>
      <c r="W310" s="784"/>
      <c r="X310" s="784"/>
      <c r="Y310" s="975"/>
      <c r="Z310" s="1022"/>
      <c r="AA310" s="967"/>
      <c r="AB310" s="1005"/>
      <c r="AC310" s="1005"/>
      <c r="AD310" s="1005"/>
      <c r="AE310" s="1005"/>
      <c r="AF310" s="1005"/>
      <c r="AG310" s="1004"/>
      <c r="AH310" s="1004"/>
      <c r="AI310" s="1004"/>
      <c r="AJ310" s="1004"/>
      <c r="AK310" s="1004"/>
      <c r="AL310" s="1004"/>
      <c r="AM310" s="1004"/>
      <c r="AN310" s="1004"/>
      <c r="AO310" s="1004"/>
      <c r="AP310" s="1004"/>
      <c r="AQ310" s="1004"/>
      <c r="AR310" s="1004"/>
      <c r="AS310" s="1004"/>
      <c r="AT310" s="1004"/>
      <c r="AU310" s="1004"/>
      <c r="AV310" s="1004"/>
      <c r="AW310" s="1004"/>
    </row>
    <row r="311" spans="1:49" s="25" customFormat="1" ht="16.5" customHeight="1">
      <c r="A311" s="1004"/>
      <c r="B311" s="1004"/>
      <c r="C311" s="1004"/>
      <c r="D311" s="166"/>
      <c r="E311" s="166"/>
      <c r="F311" s="166"/>
      <c r="G311" s="166"/>
      <c r="H311" s="166"/>
      <c r="I311" s="1004"/>
      <c r="J311" s="1004"/>
      <c r="K311" s="1004"/>
      <c r="L311" s="777">
        <v>5</v>
      </c>
      <c r="M311" s="778"/>
      <c r="N311" s="976"/>
      <c r="O311" s="1020">
        <v>254</v>
      </c>
      <c r="P311" s="847" t="e">
        <f>VLOOKUP(N311,etat!$A$9:$N$1004,2,FALSE)</f>
        <v>#N/A</v>
      </c>
      <c r="Q311" s="797" t="e">
        <f>VLOOKUP(N311,etat!$A$9:$N$963,7,FALSE)</f>
        <v>#N/A</v>
      </c>
      <c r="R311" s="954" t="e">
        <f>VLOOKUP(N311,etat!$A$9:$N$1003,9,FALSE)</f>
        <v>#N/A</v>
      </c>
      <c r="S311" s="866" t="e">
        <f>VLOOKUP(N311,etat!$A$9:$P$905,16,FALSE)</f>
        <v>#N/A</v>
      </c>
      <c r="T311" s="755"/>
      <c r="U311" s="784"/>
      <c r="V311" s="784"/>
      <c r="W311" s="784"/>
      <c r="X311" s="784"/>
      <c r="Y311" s="975"/>
      <c r="Z311" s="1022"/>
      <c r="AA311" s="967"/>
      <c r="AB311" s="1005"/>
      <c r="AC311" s="1005"/>
      <c r="AD311" s="1005"/>
      <c r="AE311" s="1005"/>
      <c r="AF311" s="1005"/>
      <c r="AG311" s="1004"/>
      <c r="AH311" s="1004"/>
      <c r="AI311" s="1004"/>
      <c r="AJ311" s="1004"/>
      <c r="AK311" s="1004"/>
      <c r="AL311" s="1004"/>
      <c r="AM311" s="1004"/>
      <c r="AN311" s="1004"/>
      <c r="AO311" s="1004"/>
      <c r="AP311" s="1004"/>
      <c r="AQ311" s="1004"/>
      <c r="AR311" s="1004"/>
      <c r="AS311" s="1004"/>
      <c r="AT311" s="1004"/>
      <c r="AU311" s="1004"/>
      <c r="AV311" s="1004"/>
      <c r="AW311" s="1004"/>
    </row>
    <row r="312" spans="1:49" s="25" customFormat="1" ht="16.5" customHeight="1">
      <c r="A312" s="1004"/>
      <c r="B312" s="1004"/>
      <c r="C312" s="1004"/>
      <c r="D312" s="166"/>
      <c r="E312" s="166"/>
      <c r="F312" s="166"/>
      <c r="G312" s="166"/>
      <c r="H312" s="166"/>
      <c r="I312" s="1004"/>
      <c r="J312" s="1004"/>
      <c r="K312" s="1004"/>
      <c r="L312" s="777">
        <v>5</v>
      </c>
      <c r="M312" s="778"/>
      <c r="N312" s="976"/>
      <c r="O312" s="1020">
        <v>255</v>
      </c>
      <c r="P312" s="847" t="e">
        <f>VLOOKUP(N312,etat!$A$9:$N$1004,2,FALSE)</f>
        <v>#N/A</v>
      </c>
      <c r="Q312" s="797" t="e">
        <f>VLOOKUP(N312,etat!$A$9:$N$963,7,FALSE)</f>
        <v>#N/A</v>
      </c>
      <c r="R312" s="954" t="e">
        <f>VLOOKUP(N312,etat!$A$9:$N$1003,9,FALSE)</f>
        <v>#N/A</v>
      </c>
      <c r="S312" s="866" t="e">
        <f>VLOOKUP(N312,etat!$A$9:$P$905,16,FALSE)</f>
        <v>#N/A</v>
      </c>
      <c r="T312" s="755"/>
      <c r="U312" s="784"/>
      <c r="V312" s="784"/>
      <c r="W312" s="784"/>
      <c r="X312" s="784"/>
      <c r="Y312" s="975"/>
      <c r="Z312" s="1022"/>
      <c r="AA312" s="967"/>
      <c r="AB312" s="1005"/>
      <c r="AC312" s="1005"/>
      <c r="AD312" s="1005"/>
      <c r="AE312" s="1005"/>
      <c r="AF312" s="1005"/>
      <c r="AG312" s="1004"/>
      <c r="AH312" s="1004"/>
      <c r="AI312" s="1004"/>
      <c r="AJ312" s="1004"/>
      <c r="AK312" s="1004"/>
      <c r="AL312" s="1004"/>
      <c r="AM312" s="1004"/>
      <c r="AN312" s="1004"/>
      <c r="AO312" s="1004"/>
      <c r="AP312" s="1004"/>
      <c r="AQ312" s="1004"/>
      <c r="AR312" s="1004"/>
      <c r="AS312" s="1004"/>
      <c r="AT312" s="1004"/>
      <c r="AU312" s="1004"/>
      <c r="AV312" s="1004"/>
      <c r="AW312" s="1004"/>
    </row>
    <row r="313" spans="1:49" s="25" customFormat="1" ht="16.5" customHeight="1">
      <c r="A313" s="1004"/>
      <c r="B313" s="1004"/>
      <c r="C313" s="1004"/>
      <c r="D313" s="166"/>
      <c r="E313" s="166"/>
      <c r="F313" s="166"/>
      <c r="G313" s="166"/>
      <c r="H313" s="166"/>
      <c r="I313" s="1004"/>
      <c r="J313" s="1004"/>
      <c r="K313" s="1004"/>
      <c r="L313" s="777">
        <v>5</v>
      </c>
      <c r="M313" s="778"/>
      <c r="N313" s="976"/>
      <c r="O313" s="1020">
        <v>256</v>
      </c>
      <c r="P313" s="847" t="e">
        <f>VLOOKUP(N313,etat!$A$9:$N$1004,2,FALSE)</f>
        <v>#N/A</v>
      </c>
      <c r="Q313" s="797" t="e">
        <f>VLOOKUP(N313,etat!$A$9:$N$963,7,FALSE)</f>
        <v>#N/A</v>
      </c>
      <c r="R313" s="954" t="e">
        <f>VLOOKUP(N313,etat!$A$9:$N$1003,9,FALSE)</f>
        <v>#N/A</v>
      </c>
      <c r="S313" s="866" t="e">
        <f>VLOOKUP(N313,etat!$A$9:$P$905,16,FALSE)</f>
        <v>#N/A</v>
      </c>
      <c r="T313" s="755"/>
      <c r="U313" s="784"/>
      <c r="V313" s="784"/>
      <c r="W313" s="784"/>
      <c r="X313" s="784"/>
      <c r="Y313" s="975"/>
      <c r="Z313" s="1022"/>
      <c r="AA313" s="967"/>
      <c r="AB313" s="1005"/>
      <c r="AC313" s="1005"/>
      <c r="AD313" s="1005"/>
      <c r="AE313" s="1005"/>
      <c r="AF313" s="1005"/>
      <c r="AG313" s="1004"/>
      <c r="AH313" s="1004"/>
      <c r="AI313" s="1004"/>
      <c r="AJ313" s="1004"/>
      <c r="AK313" s="1004"/>
      <c r="AL313" s="1004"/>
      <c r="AM313" s="1004"/>
      <c r="AN313" s="1004"/>
      <c r="AO313" s="1004"/>
      <c r="AP313" s="1004"/>
      <c r="AQ313" s="1004"/>
      <c r="AR313" s="1004"/>
      <c r="AS313" s="1004"/>
      <c r="AT313" s="1004"/>
      <c r="AU313" s="1004"/>
      <c r="AV313" s="1004"/>
      <c r="AW313" s="1004"/>
    </row>
    <row r="314" spans="1:49" s="25" customFormat="1" ht="16.5" customHeight="1">
      <c r="A314" s="1004"/>
      <c r="B314" s="1004"/>
      <c r="C314" s="1004"/>
      <c r="D314" s="166"/>
      <c r="E314" s="166"/>
      <c r="F314" s="166"/>
      <c r="G314" s="166"/>
      <c r="H314" s="166"/>
      <c r="I314" s="1004"/>
      <c r="J314" s="1004"/>
      <c r="K314" s="1004"/>
      <c r="L314" s="777">
        <v>5</v>
      </c>
      <c r="M314" s="778"/>
      <c r="N314" s="976"/>
      <c r="O314" s="1020">
        <v>257</v>
      </c>
      <c r="P314" s="847" t="e">
        <f>VLOOKUP(N314,etat!$A$9:$N$1004,2,FALSE)</f>
        <v>#N/A</v>
      </c>
      <c r="Q314" s="797" t="e">
        <f>VLOOKUP(N314,etat!$A$9:$N$963,7,FALSE)</f>
        <v>#N/A</v>
      </c>
      <c r="R314" s="954" t="e">
        <f>VLOOKUP(N314,etat!$A$9:$N$1003,9,FALSE)</f>
        <v>#N/A</v>
      </c>
      <c r="S314" s="866" t="e">
        <f>VLOOKUP(N314,etat!$A$9:$P$905,16,FALSE)</f>
        <v>#N/A</v>
      </c>
      <c r="T314" s="755"/>
      <c r="U314" s="784"/>
      <c r="V314" s="784"/>
      <c r="W314" s="784"/>
      <c r="X314" s="784"/>
      <c r="Y314" s="975"/>
      <c r="Z314" s="1022"/>
      <c r="AA314" s="967"/>
      <c r="AB314" s="1005"/>
      <c r="AC314" s="1005"/>
      <c r="AD314" s="1005"/>
      <c r="AE314" s="1005"/>
      <c r="AF314" s="1005"/>
      <c r="AG314" s="1004"/>
      <c r="AH314" s="1004"/>
      <c r="AI314" s="1004"/>
      <c r="AJ314" s="1004"/>
      <c r="AK314" s="1004"/>
      <c r="AL314" s="1004"/>
      <c r="AM314" s="1004"/>
      <c r="AN314" s="1004"/>
      <c r="AO314" s="1004"/>
      <c r="AP314" s="1004"/>
      <c r="AQ314" s="1004"/>
      <c r="AR314" s="1004"/>
      <c r="AS314" s="1004"/>
      <c r="AT314" s="1004"/>
      <c r="AU314" s="1004"/>
      <c r="AV314" s="1004"/>
      <c r="AW314" s="1004"/>
    </row>
    <row r="315" spans="1:49" s="25" customFormat="1" ht="16.5" customHeight="1">
      <c r="A315" s="1004"/>
      <c r="B315" s="1004"/>
      <c r="C315" s="1004"/>
      <c r="D315" s="166"/>
      <c r="E315" s="166"/>
      <c r="F315" s="166"/>
      <c r="G315" s="166"/>
      <c r="H315" s="166"/>
      <c r="I315" s="1004"/>
      <c r="J315" s="1004"/>
      <c r="K315" s="1004"/>
      <c r="L315" s="777">
        <v>5</v>
      </c>
      <c r="M315" s="778"/>
      <c r="N315" s="976"/>
      <c r="O315" s="1020">
        <v>258</v>
      </c>
      <c r="P315" s="847" t="e">
        <f>VLOOKUP(N315,etat!$A$9:$N$1004,2,FALSE)</f>
        <v>#N/A</v>
      </c>
      <c r="Q315" s="797" t="e">
        <f>VLOOKUP(N315,etat!$A$9:$N$963,7,FALSE)</f>
        <v>#N/A</v>
      </c>
      <c r="R315" s="954" t="e">
        <f>VLOOKUP(N315,etat!$A$9:$N$1003,9,FALSE)</f>
        <v>#N/A</v>
      </c>
      <c r="S315" s="866" t="e">
        <f>VLOOKUP(N315,etat!$A$9:$P$905,16,FALSE)</f>
        <v>#N/A</v>
      </c>
      <c r="T315" s="755"/>
      <c r="U315" s="784"/>
      <c r="V315" s="784"/>
      <c r="W315" s="784"/>
      <c r="X315" s="784"/>
      <c r="Y315" s="956"/>
      <c r="Z315" s="1022"/>
      <c r="AA315" s="967"/>
      <c r="AB315" s="1005"/>
      <c r="AC315" s="1005"/>
      <c r="AD315" s="1005"/>
      <c r="AE315" s="1005"/>
      <c r="AF315" s="1005"/>
      <c r="AG315" s="1004"/>
      <c r="AH315" s="1004"/>
      <c r="AI315" s="1004"/>
      <c r="AJ315" s="1004"/>
      <c r="AK315" s="1004"/>
      <c r="AL315" s="1004"/>
      <c r="AM315" s="1004"/>
      <c r="AN315" s="1004"/>
      <c r="AO315" s="1004"/>
      <c r="AP315" s="1004"/>
      <c r="AQ315" s="1004"/>
      <c r="AR315" s="1004"/>
      <c r="AS315" s="1004"/>
      <c r="AT315" s="1004"/>
      <c r="AU315" s="1004"/>
      <c r="AV315" s="1004"/>
      <c r="AW315" s="1004"/>
    </row>
    <row r="316" spans="1:49" s="25" customFormat="1" ht="16.5" customHeight="1">
      <c r="A316" s="1004"/>
      <c r="B316" s="1004"/>
      <c r="C316" s="1004"/>
      <c r="D316" s="166"/>
      <c r="E316" s="166"/>
      <c r="F316" s="166"/>
      <c r="G316" s="166"/>
      <c r="H316" s="166"/>
      <c r="I316" s="1004"/>
      <c r="J316" s="1004"/>
      <c r="K316" s="1004"/>
      <c r="L316" s="777">
        <v>5</v>
      </c>
      <c r="M316" s="778"/>
      <c r="N316" s="976"/>
      <c r="O316" s="1020">
        <v>259</v>
      </c>
      <c r="P316" s="847" t="e">
        <f>VLOOKUP(N316,etat!$A$9:$N$1004,2,FALSE)</f>
        <v>#N/A</v>
      </c>
      <c r="Q316" s="797" t="e">
        <f>VLOOKUP(N316,etat!$A$9:$N$963,7,FALSE)</f>
        <v>#N/A</v>
      </c>
      <c r="R316" s="954" t="e">
        <f>VLOOKUP(N316,etat!$A$9:$N$1003,9,FALSE)</f>
        <v>#N/A</v>
      </c>
      <c r="S316" s="866" t="e">
        <f>VLOOKUP(N316,etat!$A$9:$P$905,16,FALSE)</f>
        <v>#N/A</v>
      </c>
      <c r="T316" s="755"/>
      <c r="U316" s="784"/>
      <c r="V316" s="784"/>
      <c r="W316" s="784"/>
      <c r="X316" s="784"/>
      <c r="Y316" s="956"/>
      <c r="Z316" s="1022"/>
      <c r="AA316" s="967"/>
      <c r="AB316" s="1005"/>
      <c r="AC316" s="1005"/>
      <c r="AD316" s="1005"/>
      <c r="AE316" s="1005"/>
      <c r="AF316" s="1005"/>
      <c r="AG316" s="1004"/>
      <c r="AH316" s="1004"/>
      <c r="AI316" s="1004"/>
      <c r="AJ316" s="1004"/>
      <c r="AK316" s="1004"/>
      <c r="AL316" s="1004"/>
      <c r="AM316" s="1004"/>
      <c r="AN316" s="1004"/>
      <c r="AO316" s="1004"/>
      <c r="AP316" s="1004"/>
      <c r="AQ316" s="1004"/>
      <c r="AR316" s="1004"/>
      <c r="AS316" s="1004"/>
      <c r="AT316" s="1004"/>
      <c r="AU316" s="1004"/>
      <c r="AV316" s="1004"/>
      <c r="AW316" s="1004"/>
    </row>
    <row r="317" spans="1:49" s="25" customFormat="1" ht="16.5" customHeight="1">
      <c r="A317" s="1004"/>
      <c r="B317" s="1004"/>
      <c r="C317" s="1004"/>
      <c r="D317" s="166"/>
      <c r="E317" s="166"/>
      <c r="F317" s="166"/>
      <c r="G317" s="166"/>
      <c r="H317" s="166"/>
      <c r="I317" s="1004"/>
      <c r="J317" s="1004"/>
      <c r="K317" s="1004"/>
      <c r="L317" s="777">
        <v>5</v>
      </c>
      <c r="M317" s="778"/>
      <c r="N317" s="976"/>
      <c r="O317" s="1020">
        <v>260</v>
      </c>
      <c r="P317" s="847" t="e">
        <f>VLOOKUP(N317,etat!$A$9:$N$1004,2,FALSE)</f>
        <v>#N/A</v>
      </c>
      <c r="Q317" s="797" t="e">
        <f>VLOOKUP(N317,etat!$A$9:$N$963,7,FALSE)</f>
        <v>#N/A</v>
      </c>
      <c r="R317" s="797" t="e">
        <f>VLOOKUP(N317,etat!$A$9:$N$1003,9,FALSE)</f>
        <v>#N/A</v>
      </c>
      <c r="S317" s="866" t="e">
        <f>VLOOKUP(N317,etat!$A$9:$P$905,16,FALSE)</f>
        <v>#N/A</v>
      </c>
      <c r="T317" s="755"/>
      <c r="U317" s="784"/>
      <c r="V317" s="784"/>
      <c r="W317" s="784"/>
      <c r="X317" s="784"/>
      <c r="Y317" s="975"/>
      <c r="Z317" s="1022"/>
      <c r="AA317" s="967"/>
      <c r="AB317" s="1005"/>
      <c r="AC317" s="1005"/>
      <c r="AD317" s="1005"/>
      <c r="AE317" s="1005"/>
      <c r="AF317" s="1005"/>
      <c r="AG317" s="1004"/>
      <c r="AH317" s="1004"/>
      <c r="AI317" s="1004"/>
      <c r="AJ317" s="1004"/>
      <c r="AK317" s="1004"/>
      <c r="AL317" s="1004"/>
      <c r="AM317" s="1004"/>
      <c r="AN317" s="1004"/>
      <c r="AO317" s="1004"/>
      <c r="AP317" s="1004"/>
      <c r="AQ317" s="1004"/>
      <c r="AR317" s="1004"/>
      <c r="AS317" s="1004"/>
      <c r="AT317" s="1004"/>
      <c r="AU317" s="1004"/>
      <c r="AV317" s="1004"/>
      <c r="AW317" s="1004"/>
    </row>
    <row r="318" spans="1:49" s="25" customFormat="1" ht="16.5" customHeight="1">
      <c r="A318" s="1004"/>
      <c r="B318" s="1004"/>
      <c r="C318" s="1004"/>
      <c r="D318" s="166"/>
      <c r="E318" s="166"/>
      <c r="F318" s="166"/>
      <c r="G318" s="166"/>
      <c r="H318" s="166"/>
      <c r="I318" s="1004"/>
      <c r="J318" s="1004"/>
      <c r="K318" s="1004"/>
      <c r="L318" s="777">
        <v>5</v>
      </c>
      <c r="M318" s="778"/>
      <c r="N318" s="976"/>
      <c r="O318" s="1020">
        <v>261</v>
      </c>
      <c r="P318" s="847" t="e">
        <f>VLOOKUP(N318,etat!$A$9:$N$1004,2,FALSE)</f>
        <v>#N/A</v>
      </c>
      <c r="Q318" s="797" t="e">
        <f>VLOOKUP(N318,etat!$A$9:$N$963,7,FALSE)</f>
        <v>#N/A</v>
      </c>
      <c r="R318" s="797" t="e">
        <f>VLOOKUP(N318,etat!$A$9:$N$1003,9,FALSE)</f>
        <v>#N/A</v>
      </c>
      <c r="S318" s="866" t="e">
        <f>VLOOKUP(N318,etat!$A$9:$P$905,16,FALSE)</f>
        <v>#N/A</v>
      </c>
      <c r="T318" s="755"/>
      <c r="U318" s="784"/>
      <c r="V318" s="784"/>
      <c r="W318" s="755"/>
      <c r="X318" s="784"/>
      <c r="Y318" s="975"/>
      <c r="Z318" s="1022"/>
      <c r="AA318" s="967"/>
      <c r="AB318" s="1005"/>
      <c r="AC318" s="1005"/>
      <c r="AD318" s="1005"/>
      <c r="AE318" s="1005"/>
      <c r="AF318" s="1005"/>
      <c r="AG318" s="1004"/>
      <c r="AH318" s="1004"/>
      <c r="AI318" s="1004"/>
      <c r="AJ318" s="1004"/>
      <c r="AK318" s="1004"/>
      <c r="AL318" s="1004"/>
      <c r="AM318" s="1004"/>
      <c r="AN318" s="1004"/>
      <c r="AO318" s="1004"/>
      <c r="AP318" s="1004"/>
      <c r="AQ318" s="1004"/>
      <c r="AR318" s="1004"/>
      <c r="AS318" s="1004"/>
      <c r="AT318" s="1004"/>
      <c r="AU318" s="1004"/>
      <c r="AV318" s="1004"/>
      <c r="AW318" s="1004"/>
    </row>
    <row r="319" spans="1:49" s="25" customFormat="1" ht="16.5" customHeight="1">
      <c r="A319" s="1004"/>
      <c r="B319" s="1004"/>
      <c r="C319" s="1004"/>
      <c r="D319" s="166"/>
      <c r="E319" s="166"/>
      <c r="F319" s="166"/>
      <c r="G319" s="166"/>
      <c r="H319" s="166"/>
      <c r="I319" s="1004"/>
      <c r="J319" s="1004"/>
      <c r="K319" s="1004"/>
      <c r="L319" s="777">
        <v>5</v>
      </c>
      <c r="M319" s="778"/>
      <c r="N319" s="976"/>
      <c r="O319" s="1020">
        <v>262</v>
      </c>
      <c r="P319" s="847" t="e">
        <f>VLOOKUP(N319,etat!$A$9:$N$1004,2,FALSE)</f>
        <v>#N/A</v>
      </c>
      <c r="Q319" s="797" t="e">
        <f>VLOOKUP(N319,etat!$A$9:$N$963,7,FALSE)</f>
        <v>#N/A</v>
      </c>
      <c r="R319" s="797" t="e">
        <f>VLOOKUP(N319,etat!$A$9:$N$1003,9,FALSE)</f>
        <v>#N/A</v>
      </c>
      <c r="S319" s="866" t="e">
        <f>VLOOKUP(N319,etat!$A$9:$P$905,16,FALSE)</f>
        <v>#N/A</v>
      </c>
      <c r="T319" s="755"/>
      <c r="U319" s="784"/>
      <c r="V319" s="784"/>
      <c r="W319" s="943"/>
      <c r="X319" s="944"/>
      <c r="Y319" s="975"/>
      <c r="Z319" s="1022"/>
      <c r="AA319" s="967"/>
      <c r="AB319" s="1005"/>
      <c r="AC319" s="1005"/>
      <c r="AD319" s="1005"/>
      <c r="AE319" s="1005"/>
      <c r="AF319" s="1005"/>
      <c r="AG319" s="1004"/>
      <c r="AH319" s="1004"/>
      <c r="AI319" s="1004"/>
      <c r="AJ319" s="1004"/>
      <c r="AK319" s="1004"/>
      <c r="AL319" s="1004"/>
      <c r="AM319" s="1004"/>
      <c r="AN319" s="1004"/>
      <c r="AO319" s="1004"/>
      <c r="AP319" s="1004"/>
      <c r="AQ319" s="1004"/>
      <c r="AR319" s="1004"/>
      <c r="AS319" s="1004"/>
      <c r="AT319" s="1004"/>
      <c r="AU319" s="1004"/>
      <c r="AV319" s="1004"/>
      <c r="AW319" s="1004"/>
    </row>
    <row r="320" spans="1:49" s="25" customFormat="1" ht="16.5" customHeight="1">
      <c r="A320" s="1004"/>
      <c r="B320" s="1004"/>
      <c r="C320" s="1004"/>
      <c r="D320" s="166"/>
      <c r="E320" s="166"/>
      <c r="F320" s="166"/>
      <c r="G320" s="166"/>
      <c r="H320" s="166"/>
      <c r="I320" s="1004"/>
      <c r="J320" s="1004"/>
      <c r="K320" s="1004"/>
      <c r="L320" s="777">
        <v>5</v>
      </c>
      <c r="M320" s="778"/>
      <c r="N320" s="976"/>
      <c r="O320" s="1020">
        <v>263</v>
      </c>
      <c r="P320" s="847" t="e">
        <f>VLOOKUP(N320,etat!$A$9:$N$1004,2,FALSE)</f>
        <v>#N/A</v>
      </c>
      <c r="Q320" s="797" t="e">
        <f>VLOOKUP(N320,etat!$A$9:$N$963,7,FALSE)</f>
        <v>#N/A</v>
      </c>
      <c r="R320" s="797" t="e">
        <f>VLOOKUP(N320,etat!$A$9:$N$1003,9,FALSE)</f>
        <v>#N/A</v>
      </c>
      <c r="S320" s="866" t="e">
        <f>VLOOKUP(N320,etat!$A$9:$P$905,16,FALSE)</f>
        <v>#N/A</v>
      </c>
      <c r="T320" s="755"/>
      <c r="U320" s="784"/>
      <c r="V320" s="784"/>
      <c r="W320" s="755"/>
      <c r="X320" s="784"/>
      <c r="Y320" s="975"/>
      <c r="Z320" s="1022"/>
      <c r="AA320" s="967"/>
      <c r="AB320" s="1005"/>
      <c r="AC320" s="1005"/>
      <c r="AD320" s="1005"/>
      <c r="AE320" s="1005"/>
      <c r="AF320" s="1005"/>
      <c r="AG320" s="1004"/>
      <c r="AH320" s="1004"/>
      <c r="AI320" s="1004"/>
      <c r="AJ320" s="1004"/>
      <c r="AK320" s="1004"/>
      <c r="AL320" s="1004"/>
      <c r="AM320" s="1004"/>
      <c r="AN320" s="1004"/>
      <c r="AO320" s="1004"/>
      <c r="AP320" s="1004"/>
      <c r="AQ320" s="1004"/>
      <c r="AR320" s="1004"/>
      <c r="AS320" s="1004"/>
      <c r="AT320" s="1004"/>
      <c r="AU320" s="1004"/>
      <c r="AV320" s="1004"/>
      <c r="AW320" s="1004"/>
    </row>
    <row r="321" spans="1:49" s="25" customFormat="1" ht="16.5" customHeight="1">
      <c r="A321" s="1004"/>
      <c r="B321" s="1004"/>
      <c r="C321" s="1004"/>
      <c r="D321" s="166"/>
      <c r="E321" s="166"/>
      <c r="F321" s="166"/>
      <c r="G321" s="166"/>
      <c r="H321" s="166"/>
      <c r="I321" s="1004"/>
      <c r="J321" s="1004"/>
      <c r="K321" s="1004"/>
      <c r="L321" s="777">
        <v>5</v>
      </c>
      <c r="M321" s="778"/>
      <c r="N321" s="976"/>
      <c r="O321" s="1020">
        <v>264</v>
      </c>
      <c r="P321" s="847" t="e">
        <f>VLOOKUP(N321,etat!$A$9:$N$1004,2,FALSE)</f>
        <v>#N/A</v>
      </c>
      <c r="Q321" s="797" t="e">
        <f>VLOOKUP(N321,etat!$A$9:$N$963,7,FALSE)</f>
        <v>#N/A</v>
      </c>
      <c r="R321" s="797" t="e">
        <f>VLOOKUP(N321,etat!$A$9:$N$1003,9,FALSE)</f>
        <v>#N/A</v>
      </c>
      <c r="S321" s="866" t="e">
        <f>VLOOKUP(N321,etat!$A$9:$P$905,16,FALSE)</f>
        <v>#N/A</v>
      </c>
      <c r="T321" s="755"/>
      <c r="U321" s="784"/>
      <c r="V321" s="784"/>
      <c r="W321" s="943"/>
      <c r="X321" s="944"/>
      <c r="Y321" s="975"/>
      <c r="Z321" s="1022"/>
      <c r="AA321" s="967"/>
      <c r="AB321" s="1005"/>
      <c r="AC321" s="1005"/>
      <c r="AD321" s="1005"/>
      <c r="AE321" s="1005"/>
      <c r="AF321" s="1005"/>
      <c r="AG321" s="1004"/>
      <c r="AH321" s="1004"/>
      <c r="AI321" s="1004"/>
      <c r="AJ321" s="1004"/>
      <c r="AK321" s="1004"/>
      <c r="AL321" s="1004"/>
      <c r="AM321" s="1004"/>
      <c r="AN321" s="1004"/>
      <c r="AO321" s="1004"/>
      <c r="AP321" s="1004"/>
      <c r="AQ321" s="1004"/>
      <c r="AR321" s="1004"/>
      <c r="AS321" s="1004"/>
      <c r="AT321" s="1004"/>
      <c r="AU321" s="1004"/>
      <c r="AV321" s="1004"/>
      <c r="AW321" s="1004"/>
    </row>
    <row r="322" spans="1:49" s="25" customFormat="1" ht="16.5" customHeight="1">
      <c r="A322" s="1004"/>
      <c r="B322" s="1004"/>
      <c r="C322" s="1004"/>
      <c r="D322" s="166"/>
      <c r="E322" s="166"/>
      <c r="F322" s="166"/>
      <c r="G322" s="166"/>
      <c r="H322" s="166"/>
      <c r="I322" s="1004"/>
      <c r="J322" s="1004"/>
      <c r="K322" s="1004"/>
      <c r="L322" s="777">
        <v>5</v>
      </c>
      <c r="M322" s="778"/>
      <c r="N322" s="976"/>
      <c r="O322" s="1020">
        <v>265</v>
      </c>
      <c r="P322" s="847" t="e">
        <f>VLOOKUP(N322,etat!$A$9:$N$1004,2,FALSE)</f>
        <v>#N/A</v>
      </c>
      <c r="Q322" s="797" t="e">
        <f>VLOOKUP(N322,etat!$A$9:$N$963,7,FALSE)</f>
        <v>#N/A</v>
      </c>
      <c r="R322" s="797" t="e">
        <f>VLOOKUP(N322,etat!$A$9:$N$1003,9,FALSE)</f>
        <v>#N/A</v>
      </c>
      <c r="S322" s="866" t="e">
        <f>VLOOKUP(N322,etat!$A$9:$P$905,16,FALSE)</f>
        <v>#N/A</v>
      </c>
      <c r="T322" s="755"/>
      <c r="U322" s="784"/>
      <c r="V322" s="784"/>
      <c r="W322" s="943"/>
      <c r="X322" s="944"/>
      <c r="Y322" s="975"/>
      <c r="Z322" s="1022"/>
      <c r="AA322" s="967"/>
      <c r="AB322" s="1005"/>
      <c r="AC322" s="1005"/>
      <c r="AD322" s="1005"/>
      <c r="AE322" s="1005"/>
      <c r="AF322" s="1005"/>
      <c r="AG322" s="1004"/>
      <c r="AH322" s="1004"/>
      <c r="AI322" s="1004"/>
      <c r="AJ322" s="1004"/>
      <c r="AK322" s="1004"/>
      <c r="AL322" s="1004"/>
      <c r="AM322" s="1004"/>
      <c r="AN322" s="1004"/>
      <c r="AO322" s="1004"/>
      <c r="AP322" s="1004"/>
      <c r="AQ322" s="1004"/>
      <c r="AR322" s="1004"/>
      <c r="AS322" s="1004"/>
      <c r="AT322" s="1004"/>
      <c r="AU322" s="1004"/>
      <c r="AV322" s="1004"/>
      <c r="AW322" s="1004"/>
    </row>
    <row r="323" spans="1:49" s="25" customFormat="1" ht="16.5" customHeight="1">
      <c r="A323" s="1072"/>
      <c r="B323" s="1072"/>
      <c r="C323" s="1072"/>
      <c r="D323" s="166"/>
      <c r="E323" s="166"/>
      <c r="F323" s="166"/>
      <c r="G323" s="166"/>
      <c r="H323" s="166"/>
      <c r="I323" s="1072"/>
      <c r="J323" s="1072"/>
      <c r="K323" s="1072"/>
      <c r="L323" s="777">
        <v>5</v>
      </c>
      <c r="M323" s="778"/>
      <c r="N323" s="976"/>
      <c r="O323" s="1020">
        <v>266</v>
      </c>
      <c r="P323" s="847" t="e">
        <f>VLOOKUP(N323,etat!$A$9:$N$1004,2,FALSE)</f>
        <v>#N/A</v>
      </c>
      <c r="Q323" s="797" t="e">
        <f>VLOOKUP(N323,etat!$A$9:$N$963,7,FALSE)</f>
        <v>#N/A</v>
      </c>
      <c r="R323" s="797" t="e">
        <f>VLOOKUP(N323,etat!$A$9:$N$1003,9,FALSE)</f>
        <v>#N/A</v>
      </c>
      <c r="S323" s="866" t="e">
        <f>VLOOKUP(N323,etat!$A$9:$P$905,16,FALSE)</f>
        <v>#N/A</v>
      </c>
      <c r="T323" s="755"/>
      <c r="U323" s="784"/>
      <c r="V323" s="784"/>
      <c r="W323" s="943"/>
      <c r="X323" s="944"/>
      <c r="Y323" s="975"/>
      <c r="Z323" s="1022"/>
      <c r="AA323" s="967"/>
      <c r="AB323" s="1073"/>
      <c r="AC323" s="1073"/>
      <c r="AD323" s="1073"/>
      <c r="AE323" s="1073"/>
      <c r="AF323" s="1073"/>
      <c r="AG323" s="1072"/>
      <c r="AH323" s="1072"/>
      <c r="AI323" s="1072"/>
      <c r="AJ323" s="1072"/>
      <c r="AK323" s="1072"/>
      <c r="AL323" s="1072"/>
      <c r="AM323" s="1072"/>
      <c r="AN323" s="1072"/>
      <c r="AO323" s="1072"/>
      <c r="AP323" s="1072"/>
      <c r="AQ323" s="1072"/>
      <c r="AR323" s="1072"/>
      <c r="AS323" s="1072"/>
      <c r="AT323" s="1072"/>
      <c r="AU323" s="1072"/>
      <c r="AV323" s="1072"/>
      <c r="AW323" s="1072"/>
    </row>
    <row r="324" spans="1:49" s="25" customFormat="1" ht="16.5" customHeight="1">
      <c r="A324" s="1004"/>
      <c r="B324" s="1004"/>
      <c r="C324" s="1004"/>
      <c r="D324" s="166"/>
      <c r="E324" s="166"/>
      <c r="F324" s="166"/>
      <c r="G324" s="166"/>
      <c r="H324" s="166"/>
      <c r="I324" s="1004"/>
      <c r="J324" s="1004"/>
      <c r="K324" s="1004"/>
      <c r="L324" s="777">
        <v>5</v>
      </c>
      <c r="M324" s="778"/>
      <c r="N324" s="976"/>
      <c r="O324" s="1020">
        <v>267</v>
      </c>
      <c r="P324" s="847" t="e">
        <f>VLOOKUP(N324,etat!$A$9:$N$1004,2,FALSE)</f>
        <v>#N/A</v>
      </c>
      <c r="Q324" s="797" t="e">
        <f>VLOOKUP(N324,etat!$A$9:$N$963,7,FALSE)</f>
        <v>#N/A</v>
      </c>
      <c r="R324" s="797" t="e">
        <f>VLOOKUP(N324,etat!$A$9:$N$1003,9,FALSE)</f>
        <v>#N/A</v>
      </c>
      <c r="S324" s="866" t="e">
        <f>VLOOKUP(N324,etat!$A$9:$P$905,16,FALSE)</f>
        <v>#N/A</v>
      </c>
      <c r="T324" s="755"/>
      <c r="U324" s="784"/>
      <c r="V324" s="784"/>
      <c r="W324" s="784"/>
      <c r="X324" s="784"/>
      <c r="Y324" s="975"/>
      <c r="Z324" s="1022"/>
      <c r="AA324" s="967"/>
      <c r="AB324" s="1005"/>
      <c r="AC324" s="1005"/>
      <c r="AD324" s="1005"/>
      <c r="AE324" s="1005"/>
      <c r="AF324" s="1005"/>
      <c r="AG324" s="1004"/>
      <c r="AH324" s="1004"/>
      <c r="AI324" s="1004"/>
      <c r="AJ324" s="1004"/>
      <c r="AK324" s="1004"/>
      <c r="AL324" s="1004"/>
      <c r="AM324" s="1004"/>
      <c r="AN324" s="1004"/>
      <c r="AO324" s="1004"/>
      <c r="AP324" s="1004"/>
      <c r="AQ324" s="1004"/>
      <c r="AR324" s="1004"/>
      <c r="AS324" s="1004"/>
      <c r="AT324" s="1004"/>
      <c r="AU324" s="1004"/>
      <c r="AV324" s="1004"/>
      <c r="AW324" s="1004"/>
    </row>
    <row r="325" spans="1:49" s="25" customFormat="1" ht="16.5" customHeight="1">
      <c r="A325" s="1004"/>
      <c r="B325" s="1004"/>
      <c r="C325" s="1004"/>
      <c r="D325" s="166"/>
      <c r="E325" s="166"/>
      <c r="F325" s="166"/>
      <c r="G325" s="166"/>
      <c r="H325" s="166"/>
      <c r="I325" s="1004"/>
      <c r="J325" s="1004"/>
      <c r="K325" s="1004"/>
      <c r="L325" s="777">
        <v>5</v>
      </c>
      <c r="M325" s="778"/>
      <c r="N325" s="976"/>
      <c r="O325" s="1020">
        <v>268</v>
      </c>
      <c r="P325" s="847" t="e">
        <f>VLOOKUP(N325,etat!$A$9:$N$1004,2,FALSE)</f>
        <v>#N/A</v>
      </c>
      <c r="Q325" s="797" t="e">
        <f>VLOOKUP(N325,etat!$A$9:$N$963,7,FALSE)</f>
        <v>#N/A</v>
      </c>
      <c r="R325" s="797" t="e">
        <f>VLOOKUP(N325,etat!$A$9:$N$1003,9,FALSE)</f>
        <v>#N/A</v>
      </c>
      <c r="S325" s="866" t="e">
        <f>VLOOKUP(N325,etat!$A$9:$P$905,16,FALSE)</f>
        <v>#N/A</v>
      </c>
      <c r="T325" s="755"/>
      <c r="U325" s="784"/>
      <c r="V325" s="784"/>
      <c r="W325" s="784"/>
      <c r="X325" s="784"/>
      <c r="Y325" s="784"/>
      <c r="Z325" s="1112"/>
      <c r="AA325" s="967"/>
      <c r="AB325" s="1005"/>
      <c r="AC325" s="1005"/>
      <c r="AD325" s="1005"/>
      <c r="AE325" s="1005"/>
      <c r="AF325" s="1005"/>
      <c r="AG325" s="1004"/>
      <c r="AH325" s="1004"/>
      <c r="AI325" s="1004"/>
      <c r="AJ325" s="1004"/>
      <c r="AK325" s="1004"/>
      <c r="AL325" s="1004"/>
      <c r="AM325" s="1004"/>
      <c r="AN325" s="1004"/>
      <c r="AO325" s="1004"/>
      <c r="AP325" s="1004"/>
      <c r="AQ325" s="1004"/>
      <c r="AR325" s="1004"/>
      <c r="AS325" s="1004"/>
      <c r="AT325" s="1004"/>
      <c r="AU325" s="1004"/>
      <c r="AV325" s="1004"/>
      <c r="AW325" s="1004"/>
    </row>
    <row r="326" spans="1:49" s="25" customFormat="1" ht="16.5" customHeight="1">
      <c r="A326" s="1004"/>
      <c r="B326" s="1004"/>
      <c r="C326" s="1004"/>
      <c r="D326" s="166"/>
      <c r="E326" s="166"/>
      <c r="F326" s="166"/>
      <c r="G326" s="166"/>
      <c r="H326" s="166"/>
      <c r="I326" s="1004"/>
      <c r="J326" s="1004"/>
      <c r="K326" s="1004"/>
      <c r="L326" s="777">
        <v>5</v>
      </c>
      <c r="M326" s="778"/>
      <c r="N326" s="976"/>
      <c r="O326" s="1020">
        <v>269</v>
      </c>
      <c r="P326" s="847" t="e">
        <f>VLOOKUP(N326,etat!$A$9:$N$1004,2,FALSE)</f>
        <v>#N/A</v>
      </c>
      <c r="Q326" s="797" t="e">
        <f>VLOOKUP(N326,etat!$A$9:$N$963,7,FALSE)</f>
        <v>#N/A</v>
      </c>
      <c r="R326" s="797" t="e">
        <f>VLOOKUP(N326,etat!$A$9:$N$1003,9,FALSE)</f>
        <v>#N/A</v>
      </c>
      <c r="S326" s="866" t="e">
        <f>VLOOKUP(N326,etat!$A$9:$P$905,16,FALSE)</f>
        <v>#N/A</v>
      </c>
      <c r="T326" s="755"/>
      <c r="U326" s="784"/>
      <c r="V326" s="784"/>
      <c r="W326" s="784"/>
      <c r="X326" s="784"/>
      <c r="Y326" s="975"/>
      <c r="Z326" s="1022"/>
      <c r="AA326" s="967"/>
      <c r="AB326" s="1005"/>
      <c r="AC326" s="1005"/>
      <c r="AD326" s="1005"/>
      <c r="AE326" s="1005"/>
      <c r="AF326" s="1005"/>
      <c r="AG326" s="1004"/>
      <c r="AH326" s="1004"/>
      <c r="AI326" s="1004"/>
      <c r="AJ326" s="1004"/>
      <c r="AK326" s="1004"/>
      <c r="AL326" s="1004"/>
      <c r="AM326" s="1004"/>
      <c r="AN326" s="1004"/>
      <c r="AO326" s="1004"/>
      <c r="AP326" s="1004"/>
      <c r="AQ326" s="1004"/>
      <c r="AR326" s="1004"/>
      <c r="AS326" s="1004"/>
      <c r="AT326" s="1004"/>
      <c r="AU326" s="1004"/>
      <c r="AV326" s="1004"/>
      <c r="AW326" s="1004"/>
    </row>
    <row r="327" spans="1:49" s="25" customFormat="1" ht="16.5" customHeight="1">
      <c r="A327" s="1004"/>
      <c r="B327" s="1004"/>
      <c r="C327" s="1004"/>
      <c r="D327" s="166"/>
      <c r="E327" s="166"/>
      <c r="F327" s="166"/>
      <c r="G327" s="166"/>
      <c r="H327" s="166"/>
      <c r="I327" s="1004"/>
      <c r="J327" s="1004"/>
      <c r="K327" s="1004"/>
      <c r="L327" s="777">
        <v>5</v>
      </c>
      <c r="M327" s="778"/>
      <c r="N327" s="976"/>
      <c r="O327" s="1020">
        <v>270</v>
      </c>
      <c r="P327" s="847" t="e">
        <f>VLOOKUP(N327,etat!$A$9:$N$1004,2,FALSE)</f>
        <v>#N/A</v>
      </c>
      <c r="Q327" s="797" t="e">
        <f>VLOOKUP(N327,etat!$A$9:$N$963,7,FALSE)</f>
        <v>#N/A</v>
      </c>
      <c r="R327" s="797" t="e">
        <f>VLOOKUP(N327,etat!$A$9:$N$1003,9,FALSE)</f>
        <v>#N/A</v>
      </c>
      <c r="S327" s="866" t="e">
        <f>VLOOKUP(N327,etat!$A$9:$P$905,16,FALSE)</f>
        <v>#N/A</v>
      </c>
      <c r="T327" s="755"/>
      <c r="U327" s="784"/>
      <c r="V327" s="784"/>
      <c r="W327" s="784"/>
      <c r="X327" s="784"/>
      <c r="Y327" s="784"/>
      <c r="Z327" s="1112"/>
      <c r="AA327" s="967"/>
      <c r="AB327" s="1005"/>
      <c r="AC327" s="1005"/>
      <c r="AD327" s="1005"/>
      <c r="AE327" s="1005"/>
      <c r="AF327" s="1005"/>
      <c r="AG327" s="1004"/>
      <c r="AH327" s="1004"/>
      <c r="AI327" s="1004"/>
      <c r="AJ327" s="1004"/>
      <c r="AK327" s="1004"/>
      <c r="AL327" s="1004"/>
      <c r="AM327" s="1004"/>
      <c r="AN327" s="1004"/>
      <c r="AO327" s="1004"/>
      <c r="AP327" s="1004"/>
      <c r="AQ327" s="1004"/>
      <c r="AR327" s="1004"/>
      <c r="AS327" s="1004"/>
      <c r="AT327" s="1004"/>
      <c r="AU327" s="1004"/>
      <c r="AV327" s="1004"/>
      <c r="AW327" s="1004"/>
    </row>
    <row r="328" spans="1:49" s="25" customFormat="1" ht="16.5" customHeight="1">
      <c r="A328" s="1004"/>
      <c r="B328" s="1004"/>
      <c r="C328" s="1004"/>
      <c r="D328" s="166"/>
      <c r="E328" s="166"/>
      <c r="F328" s="166"/>
      <c r="G328" s="166"/>
      <c r="H328" s="166"/>
      <c r="I328" s="1004"/>
      <c r="J328" s="1004"/>
      <c r="K328" s="1004"/>
      <c r="L328" s="777">
        <v>5</v>
      </c>
      <c r="M328" s="778"/>
      <c r="N328" s="976"/>
      <c r="O328" s="1020">
        <v>271</v>
      </c>
      <c r="P328" s="847" t="e">
        <f>VLOOKUP(N328,etat!$A$9:$N$1004,2,FALSE)</f>
        <v>#N/A</v>
      </c>
      <c r="Q328" s="797" t="e">
        <f>VLOOKUP(N328,etat!$A$9:$N$963,7,FALSE)</f>
        <v>#N/A</v>
      </c>
      <c r="R328" s="797" t="e">
        <f>VLOOKUP(N328,etat!$A$9:$N$1003,9,FALSE)</f>
        <v>#N/A</v>
      </c>
      <c r="S328" s="866" t="e">
        <f>VLOOKUP(N328,etat!$A$9:$P$905,16,FALSE)</f>
        <v>#N/A</v>
      </c>
      <c r="T328" s="755"/>
      <c r="U328" s="784"/>
      <c r="V328" s="784"/>
      <c r="W328" s="784"/>
      <c r="X328" s="784"/>
      <c r="Y328" s="975"/>
      <c r="Z328" s="1022"/>
      <c r="AA328" s="967"/>
      <c r="AB328" s="1005"/>
      <c r="AC328" s="1005"/>
      <c r="AD328" s="1005"/>
      <c r="AE328" s="1005"/>
      <c r="AF328" s="1005"/>
      <c r="AG328" s="1004"/>
      <c r="AH328" s="1004"/>
      <c r="AI328" s="1004"/>
      <c r="AJ328" s="1004"/>
      <c r="AK328" s="1004"/>
      <c r="AL328" s="1004"/>
      <c r="AM328" s="1004"/>
      <c r="AN328" s="1004"/>
      <c r="AO328" s="1004"/>
      <c r="AP328" s="1004"/>
      <c r="AQ328" s="1004"/>
      <c r="AR328" s="1004"/>
      <c r="AS328" s="1004"/>
      <c r="AT328" s="1004"/>
      <c r="AU328" s="1004"/>
      <c r="AV328" s="1004"/>
      <c r="AW328" s="1004"/>
    </row>
    <row r="329" spans="1:49" s="25" customFormat="1" ht="16.5" customHeight="1">
      <c r="A329" s="1072"/>
      <c r="B329" s="1072"/>
      <c r="C329" s="1072"/>
      <c r="D329" s="166"/>
      <c r="E329" s="166"/>
      <c r="F329" s="166"/>
      <c r="G329" s="166"/>
      <c r="H329" s="166"/>
      <c r="I329" s="1072"/>
      <c r="J329" s="1072"/>
      <c r="K329" s="1072"/>
      <c r="L329" s="777">
        <v>5</v>
      </c>
      <c r="M329" s="778"/>
      <c r="N329" s="976"/>
      <c r="O329" s="1020">
        <v>272</v>
      </c>
      <c r="P329" s="847" t="e">
        <f>VLOOKUP(N329,etat!$A$9:$N$1004,2,FALSE)</f>
        <v>#N/A</v>
      </c>
      <c r="Q329" s="797" t="e">
        <f>VLOOKUP(N329,etat!$A$9:$N$963,7,FALSE)</f>
        <v>#N/A</v>
      </c>
      <c r="R329" s="797" t="e">
        <f>VLOOKUP(N329,etat!$A$9:$N$1003,9,FALSE)</f>
        <v>#N/A</v>
      </c>
      <c r="S329" s="866" t="e">
        <f>VLOOKUP(N329,etat!$A$9:$P$905,16,FALSE)</f>
        <v>#N/A</v>
      </c>
      <c r="T329" s="755"/>
      <c r="U329" s="784"/>
      <c r="V329" s="784"/>
      <c r="W329" s="784"/>
      <c r="X329" s="784"/>
      <c r="Y329" s="975"/>
      <c r="Z329" s="1022"/>
      <c r="AA329" s="967"/>
      <c r="AB329" s="1073"/>
      <c r="AC329" s="1073"/>
      <c r="AD329" s="1073"/>
      <c r="AE329" s="1073"/>
      <c r="AF329" s="1073"/>
      <c r="AG329" s="1072"/>
      <c r="AH329" s="1072"/>
      <c r="AI329" s="1072"/>
      <c r="AJ329" s="1072"/>
      <c r="AK329" s="1072"/>
      <c r="AL329" s="1072"/>
      <c r="AM329" s="1072"/>
      <c r="AN329" s="1072"/>
      <c r="AO329" s="1072"/>
      <c r="AP329" s="1072"/>
      <c r="AQ329" s="1072"/>
      <c r="AR329" s="1072"/>
      <c r="AS329" s="1072"/>
      <c r="AT329" s="1072"/>
      <c r="AU329" s="1072"/>
      <c r="AV329" s="1072"/>
      <c r="AW329" s="1072"/>
    </row>
    <row r="330" spans="1:49" s="25" customFormat="1" ht="16.5" customHeight="1">
      <c r="A330" s="1072"/>
      <c r="B330" s="1072"/>
      <c r="C330" s="1072"/>
      <c r="D330" s="166"/>
      <c r="E330" s="166"/>
      <c r="F330" s="166"/>
      <c r="G330" s="166"/>
      <c r="H330" s="166"/>
      <c r="I330" s="1072"/>
      <c r="J330" s="1072"/>
      <c r="K330" s="1072"/>
      <c r="L330" s="777">
        <v>5</v>
      </c>
      <c r="M330" s="778"/>
      <c r="N330" s="976"/>
      <c r="O330" s="1020">
        <v>273</v>
      </c>
      <c r="P330" s="847" t="e">
        <f>VLOOKUP(N330,etat!$A$9:$N$1004,2,FALSE)</f>
        <v>#N/A</v>
      </c>
      <c r="Q330" s="797" t="e">
        <f>VLOOKUP(N330,etat!$A$9:$N$963,7,FALSE)</f>
        <v>#N/A</v>
      </c>
      <c r="R330" s="954" t="e">
        <f>VLOOKUP(N330,etat!$A$9:$N$1003,9,FALSE)</f>
        <v>#N/A</v>
      </c>
      <c r="S330" s="866" t="e">
        <f>VLOOKUP(N330,etat!$A$9:$P$905,16,FALSE)</f>
        <v>#N/A</v>
      </c>
      <c r="T330" s="755"/>
      <c r="U330" s="784"/>
      <c r="V330" s="784"/>
      <c r="W330" s="784"/>
      <c r="X330" s="784"/>
      <c r="Y330" s="975"/>
      <c r="Z330" s="1022"/>
      <c r="AA330" s="967"/>
      <c r="AB330" s="1073"/>
      <c r="AC330" s="1073"/>
      <c r="AD330" s="1073"/>
      <c r="AE330" s="1073"/>
      <c r="AF330" s="1073"/>
      <c r="AG330" s="1072"/>
      <c r="AH330" s="1072"/>
      <c r="AI330" s="1072"/>
      <c r="AJ330" s="1072"/>
      <c r="AK330" s="1072"/>
      <c r="AL330" s="1072"/>
      <c r="AM330" s="1072"/>
      <c r="AN330" s="1072"/>
      <c r="AO330" s="1072"/>
      <c r="AP330" s="1072"/>
      <c r="AQ330" s="1072"/>
      <c r="AR330" s="1072"/>
      <c r="AS330" s="1072"/>
      <c r="AT330" s="1072"/>
      <c r="AU330" s="1072"/>
      <c r="AV330" s="1072"/>
      <c r="AW330" s="1072"/>
    </row>
    <row r="331" spans="1:49" s="25" customFormat="1" ht="16.5" customHeight="1">
      <c r="A331" s="1072"/>
      <c r="B331" s="1072"/>
      <c r="C331" s="1072"/>
      <c r="D331" s="166"/>
      <c r="E331" s="166"/>
      <c r="F331" s="166"/>
      <c r="G331" s="166"/>
      <c r="H331" s="166"/>
      <c r="I331" s="1072"/>
      <c r="J331" s="1072"/>
      <c r="K331" s="1072"/>
      <c r="L331" s="777">
        <v>5</v>
      </c>
      <c r="M331" s="778"/>
      <c r="N331" s="976"/>
      <c r="O331" s="1020">
        <v>274</v>
      </c>
      <c r="P331" s="847" t="e">
        <f>VLOOKUP(N331,etat!$A$9:$N$1004,2,FALSE)</f>
        <v>#N/A</v>
      </c>
      <c r="Q331" s="797" t="e">
        <f>VLOOKUP(N331,etat!$A$9:$N$963,7,FALSE)</f>
        <v>#N/A</v>
      </c>
      <c r="R331" s="954" t="e">
        <f>VLOOKUP(N331,etat!$A$9:$N$1003,9,FALSE)</f>
        <v>#N/A</v>
      </c>
      <c r="S331" s="866" t="e">
        <f>VLOOKUP(N331,etat!$A$9:$P$905,16,FALSE)</f>
        <v>#N/A</v>
      </c>
      <c r="T331" s="755"/>
      <c r="U331" s="784"/>
      <c r="V331" s="784"/>
      <c r="W331" s="784"/>
      <c r="X331" s="784"/>
      <c r="Y331" s="956"/>
      <c r="Z331" s="1022"/>
      <c r="AA331" s="967"/>
      <c r="AB331" s="1073"/>
      <c r="AC331" s="1073"/>
      <c r="AD331" s="1073"/>
      <c r="AE331" s="1073"/>
      <c r="AF331" s="1073"/>
      <c r="AG331" s="1072"/>
      <c r="AH331" s="1072"/>
      <c r="AI331" s="1072"/>
      <c r="AJ331" s="1072"/>
      <c r="AK331" s="1072"/>
      <c r="AL331" s="1072"/>
      <c r="AM331" s="1072"/>
      <c r="AN331" s="1072"/>
      <c r="AO331" s="1072"/>
      <c r="AP331" s="1072"/>
      <c r="AQ331" s="1072"/>
      <c r="AR331" s="1072"/>
      <c r="AS331" s="1072"/>
      <c r="AT331" s="1072"/>
      <c r="AU331" s="1072"/>
      <c r="AV331" s="1072"/>
      <c r="AW331" s="1072"/>
    </row>
    <row r="332" spans="1:49" s="25" customFormat="1" ht="16.5" customHeight="1">
      <c r="A332" s="1004"/>
      <c r="B332" s="1004"/>
      <c r="C332" s="1004"/>
      <c r="D332" s="166"/>
      <c r="E332" s="166"/>
      <c r="F332" s="166"/>
      <c r="G332" s="166"/>
      <c r="H332" s="166"/>
      <c r="I332" s="1004"/>
      <c r="J332" s="1004"/>
      <c r="K332" s="1004"/>
      <c r="L332" s="777">
        <v>5</v>
      </c>
      <c r="M332" s="778"/>
      <c r="N332" s="976"/>
      <c r="O332" s="1020">
        <v>275</v>
      </c>
      <c r="P332" s="847" t="e">
        <f>VLOOKUP(N332,etat!$A$9:$N$1004,2,FALSE)</f>
        <v>#N/A</v>
      </c>
      <c r="Q332" s="797" t="e">
        <f>VLOOKUP(N332,etat!$A$9:$N$963,7,FALSE)</f>
        <v>#N/A</v>
      </c>
      <c r="R332" s="954" t="e">
        <f>VLOOKUP(N332,etat!$A$9:$N$1003,9,FALSE)</f>
        <v>#N/A</v>
      </c>
      <c r="S332" s="866" t="e">
        <f>VLOOKUP(N332,etat!$A$9:$P$905,16,FALSE)</f>
        <v>#N/A</v>
      </c>
      <c r="T332" s="755"/>
      <c r="U332" s="784"/>
      <c r="V332" s="784"/>
      <c r="W332" s="784"/>
      <c r="X332" s="784"/>
      <c r="Y332" s="956"/>
      <c r="Z332" s="1022"/>
      <c r="AA332" s="967"/>
      <c r="AB332" s="1005"/>
      <c r="AC332" s="1005"/>
      <c r="AD332" s="1005"/>
      <c r="AE332" s="1005"/>
      <c r="AF332" s="1005"/>
      <c r="AG332" s="1004"/>
      <c r="AH332" s="1004"/>
      <c r="AI332" s="1004"/>
      <c r="AJ332" s="1004"/>
      <c r="AK332" s="1004"/>
      <c r="AL332" s="1004"/>
      <c r="AM332" s="1004"/>
      <c r="AN332" s="1004"/>
      <c r="AO332" s="1004"/>
      <c r="AP332" s="1004"/>
      <c r="AQ332" s="1004"/>
      <c r="AR332" s="1004"/>
      <c r="AS332" s="1004"/>
      <c r="AT332" s="1004"/>
      <c r="AU332" s="1004"/>
      <c r="AV332" s="1004"/>
      <c r="AW332" s="1004"/>
    </row>
    <row r="333" spans="1:49" s="25" customFormat="1" ht="16.5" customHeight="1">
      <c r="A333" s="1004"/>
      <c r="B333" s="1004"/>
      <c r="C333" s="1004"/>
      <c r="D333" s="166"/>
      <c r="E333" s="166"/>
      <c r="F333" s="166"/>
      <c r="G333" s="166"/>
      <c r="H333" s="166"/>
      <c r="I333" s="1004"/>
      <c r="J333" s="1004"/>
      <c r="K333" s="1004"/>
      <c r="L333" s="777">
        <v>5</v>
      </c>
      <c r="M333" s="778"/>
      <c r="N333" s="976"/>
      <c r="O333" s="1020">
        <v>276</v>
      </c>
      <c r="P333" s="847" t="e">
        <f>VLOOKUP(N333,etat!$A$9:$N$1004,2,FALSE)</f>
        <v>#N/A</v>
      </c>
      <c r="Q333" s="797" t="e">
        <f>VLOOKUP(N333,etat!$A$9:$N$963,7,FALSE)</f>
        <v>#N/A</v>
      </c>
      <c r="R333" s="797" t="e">
        <f>VLOOKUP(N333,etat!$A$9:$N$1003,9,FALSE)</f>
        <v>#N/A</v>
      </c>
      <c r="S333" s="866" t="e">
        <f>VLOOKUP(N333,etat!$A$9:$P$905,16,FALSE)</f>
        <v>#N/A</v>
      </c>
      <c r="T333" s="755"/>
      <c r="U333" s="784"/>
      <c r="V333" s="784"/>
      <c r="W333" s="784"/>
      <c r="X333" s="784"/>
      <c r="Y333" s="975"/>
      <c r="Z333" s="1022"/>
      <c r="AA333" s="967"/>
      <c r="AB333" s="1005"/>
      <c r="AC333" s="1005"/>
      <c r="AD333" s="1005"/>
      <c r="AE333" s="1005"/>
      <c r="AF333" s="1005"/>
      <c r="AG333" s="1004"/>
      <c r="AH333" s="1004"/>
      <c r="AI333" s="1004"/>
      <c r="AJ333" s="1004"/>
      <c r="AK333" s="1004"/>
      <c r="AL333" s="1004"/>
      <c r="AM333" s="1004"/>
      <c r="AN333" s="1004"/>
      <c r="AO333" s="1004"/>
      <c r="AP333" s="1004"/>
      <c r="AQ333" s="1004"/>
      <c r="AR333" s="1004"/>
      <c r="AS333" s="1004"/>
      <c r="AT333" s="1004"/>
      <c r="AU333" s="1004"/>
      <c r="AV333" s="1004"/>
      <c r="AW333" s="1004"/>
    </row>
    <row r="334" spans="1:49" s="25" customFormat="1" ht="16.5" customHeight="1">
      <c r="A334" s="1072"/>
      <c r="B334" s="1072"/>
      <c r="C334" s="1072"/>
      <c r="D334" s="166"/>
      <c r="E334" s="166"/>
      <c r="F334" s="166"/>
      <c r="G334" s="166"/>
      <c r="H334" s="166"/>
      <c r="I334" s="1072"/>
      <c r="J334" s="1072"/>
      <c r="K334" s="1072"/>
      <c r="L334" s="777">
        <v>5</v>
      </c>
      <c r="M334" s="778"/>
      <c r="N334" s="976"/>
      <c r="O334" s="1020">
        <v>277</v>
      </c>
      <c r="P334" s="847" t="e">
        <f>VLOOKUP(N334,etat!$A$9:$N$1004,2,FALSE)</f>
        <v>#N/A</v>
      </c>
      <c r="Q334" s="797" t="e">
        <f>VLOOKUP(N334,etat!$A$9:$N$963,7,FALSE)</f>
        <v>#N/A</v>
      </c>
      <c r="R334" s="797" t="e">
        <f>VLOOKUP(N334,etat!$A$9:$N$1003,9,FALSE)</f>
        <v>#N/A</v>
      </c>
      <c r="S334" s="866" t="e">
        <f>VLOOKUP(N334,etat!$A$9:$P$905,16,FALSE)</f>
        <v>#N/A</v>
      </c>
      <c r="T334" s="755"/>
      <c r="U334" s="784"/>
      <c r="V334" s="784"/>
      <c r="W334" s="755"/>
      <c r="X334" s="784"/>
      <c r="Y334" s="975"/>
      <c r="Z334" s="1022"/>
      <c r="AA334" s="967"/>
      <c r="AB334" s="1073"/>
      <c r="AC334" s="1073"/>
      <c r="AD334" s="1073"/>
      <c r="AE334" s="1073"/>
      <c r="AF334" s="1073"/>
      <c r="AG334" s="1072"/>
      <c r="AH334" s="1072"/>
      <c r="AI334" s="1072"/>
      <c r="AJ334" s="1072"/>
      <c r="AK334" s="1072"/>
      <c r="AL334" s="1072"/>
      <c r="AM334" s="1072"/>
      <c r="AN334" s="1072"/>
      <c r="AO334" s="1072"/>
      <c r="AP334" s="1072"/>
      <c r="AQ334" s="1072"/>
      <c r="AR334" s="1072"/>
      <c r="AS334" s="1072"/>
      <c r="AT334" s="1072"/>
      <c r="AU334" s="1072"/>
      <c r="AV334" s="1072"/>
      <c r="AW334" s="1072"/>
    </row>
    <row r="335" spans="1:49" s="25" customFormat="1" ht="16.5" customHeight="1">
      <c r="A335" s="1004"/>
      <c r="B335" s="1004"/>
      <c r="C335" s="1004"/>
      <c r="D335" s="166"/>
      <c r="E335" s="166"/>
      <c r="F335" s="166"/>
      <c r="G335" s="166"/>
      <c r="H335" s="166"/>
      <c r="I335" s="1004"/>
      <c r="J335" s="1004"/>
      <c r="K335" s="1004"/>
      <c r="L335" s="777">
        <v>5</v>
      </c>
      <c r="M335" s="778"/>
      <c r="N335" s="976"/>
      <c r="O335" s="1020">
        <v>278</v>
      </c>
      <c r="P335" s="847" t="e">
        <f>VLOOKUP(N335,etat!$A$9:$N$1004,2,FALSE)</f>
        <v>#N/A</v>
      </c>
      <c r="Q335" s="797" t="e">
        <f>VLOOKUP(N335,etat!$A$9:$N$963,7,FALSE)</f>
        <v>#N/A</v>
      </c>
      <c r="R335" s="954" t="e">
        <f>VLOOKUP(N335,etat!$A$9:$N$1003,9,FALSE)</f>
        <v>#N/A</v>
      </c>
      <c r="S335" s="866" t="e">
        <f>VLOOKUP(N335,etat!$A$9:$P$905,16,FALSE)</f>
        <v>#N/A</v>
      </c>
      <c r="T335" s="755"/>
      <c r="U335" s="784"/>
      <c r="V335" s="784"/>
      <c r="W335" s="784"/>
      <c r="X335" s="784"/>
      <c r="Y335" s="975"/>
      <c r="Z335" s="1022"/>
      <c r="AA335" s="967"/>
      <c r="AB335" s="1005"/>
      <c r="AC335" s="1005"/>
      <c r="AD335" s="1005"/>
      <c r="AE335" s="1005"/>
      <c r="AF335" s="1005"/>
      <c r="AG335" s="1004"/>
      <c r="AH335" s="1004"/>
      <c r="AI335" s="1004"/>
      <c r="AJ335" s="1004"/>
      <c r="AK335" s="1004"/>
      <c r="AL335" s="1004"/>
      <c r="AM335" s="1004"/>
      <c r="AN335" s="1004"/>
      <c r="AO335" s="1004"/>
      <c r="AP335" s="1004"/>
      <c r="AQ335" s="1004"/>
      <c r="AR335" s="1004"/>
      <c r="AS335" s="1004"/>
      <c r="AT335" s="1004"/>
      <c r="AU335" s="1004"/>
      <c r="AV335" s="1004"/>
      <c r="AW335" s="1004"/>
    </row>
    <row r="336" spans="1:49" s="25" customFormat="1" ht="16.5" customHeight="1">
      <c r="A336" s="1004"/>
      <c r="B336" s="1004"/>
      <c r="C336" s="1004"/>
      <c r="D336" s="166"/>
      <c r="E336" s="166"/>
      <c r="F336" s="166"/>
      <c r="G336" s="166"/>
      <c r="H336" s="166"/>
      <c r="I336" s="1004"/>
      <c r="J336" s="1004"/>
      <c r="K336" s="1004"/>
      <c r="L336" s="777">
        <v>5</v>
      </c>
      <c r="M336" s="778"/>
      <c r="N336" s="976"/>
      <c r="O336" s="1020">
        <v>279</v>
      </c>
      <c r="P336" s="847" t="e">
        <f>VLOOKUP(N336,etat!$A$9:$N$1004,2,FALSE)</f>
        <v>#N/A</v>
      </c>
      <c r="Q336" s="797" t="e">
        <f>VLOOKUP(N336,etat!$A$9:$N$963,7,FALSE)</f>
        <v>#N/A</v>
      </c>
      <c r="R336" s="954" t="e">
        <f>VLOOKUP(N336,etat!$A$9:$N$1003,9,FALSE)</f>
        <v>#N/A</v>
      </c>
      <c r="S336" s="866" t="e">
        <f>VLOOKUP(N336,etat!$A$9:$P$905,16,FALSE)</f>
        <v>#N/A</v>
      </c>
      <c r="T336" s="755"/>
      <c r="U336" s="784"/>
      <c r="V336" s="784"/>
      <c r="W336" s="784"/>
      <c r="X336" s="784"/>
      <c r="Y336" s="975"/>
      <c r="Z336" s="1022"/>
      <c r="AA336" s="967"/>
      <c r="AB336" s="1005"/>
      <c r="AC336" s="1005"/>
      <c r="AD336" s="1005"/>
      <c r="AE336" s="1005"/>
      <c r="AF336" s="1005"/>
      <c r="AG336" s="1004"/>
      <c r="AH336" s="1004"/>
      <c r="AI336" s="1004"/>
      <c r="AJ336" s="1004"/>
      <c r="AK336" s="1004"/>
      <c r="AL336" s="1004"/>
      <c r="AM336" s="1004"/>
      <c r="AN336" s="1004"/>
      <c r="AO336" s="1004"/>
      <c r="AP336" s="1004"/>
      <c r="AQ336" s="1004"/>
      <c r="AR336" s="1004"/>
      <c r="AS336" s="1004"/>
      <c r="AT336" s="1004"/>
      <c r="AU336" s="1004"/>
      <c r="AV336" s="1004"/>
      <c r="AW336" s="1004"/>
    </row>
    <row r="337" spans="1:49" s="25" customFormat="1" ht="16.5" customHeight="1">
      <c r="A337" s="1004"/>
      <c r="B337" s="1004"/>
      <c r="C337" s="1004"/>
      <c r="D337" s="166"/>
      <c r="E337" s="166"/>
      <c r="F337" s="166"/>
      <c r="G337" s="166"/>
      <c r="H337" s="166"/>
      <c r="I337" s="1004"/>
      <c r="J337" s="1004"/>
      <c r="K337" s="1004"/>
      <c r="L337" s="777">
        <v>5</v>
      </c>
      <c r="M337" s="778"/>
      <c r="N337" s="976"/>
      <c r="O337" s="1020">
        <v>280</v>
      </c>
      <c r="P337" s="847" t="e">
        <f>VLOOKUP(N337,etat!$A$9:$N$1004,2,FALSE)</f>
        <v>#N/A</v>
      </c>
      <c r="Q337" s="797" t="e">
        <f>VLOOKUP(N337,etat!$A$9:$N$963,7,FALSE)</f>
        <v>#N/A</v>
      </c>
      <c r="R337" s="954" t="e">
        <f>VLOOKUP(N337,etat!$A$9:$N$1003,9,FALSE)</f>
        <v>#N/A</v>
      </c>
      <c r="S337" s="866" t="e">
        <f>VLOOKUP(N337,etat!$A$9:$P$905,16,FALSE)</f>
        <v>#N/A</v>
      </c>
      <c r="T337" s="755"/>
      <c r="U337" s="784"/>
      <c r="V337" s="784"/>
      <c r="W337" s="784"/>
      <c r="X337" s="784"/>
      <c r="Y337" s="975"/>
      <c r="Z337" s="1022"/>
      <c r="AA337" s="967"/>
      <c r="AB337" s="1005"/>
      <c r="AC337" s="1005"/>
      <c r="AD337" s="1005"/>
      <c r="AE337" s="1005"/>
      <c r="AF337" s="1005"/>
      <c r="AG337" s="1004"/>
      <c r="AH337" s="1004"/>
      <c r="AI337" s="1004"/>
      <c r="AJ337" s="1004"/>
      <c r="AK337" s="1004"/>
      <c r="AL337" s="1004"/>
      <c r="AM337" s="1004"/>
      <c r="AN337" s="1004"/>
      <c r="AO337" s="1004"/>
      <c r="AP337" s="1004"/>
      <c r="AQ337" s="1004"/>
      <c r="AR337" s="1004"/>
      <c r="AS337" s="1004"/>
      <c r="AT337" s="1004"/>
      <c r="AU337" s="1004"/>
      <c r="AV337" s="1004"/>
      <c r="AW337" s="1004"/>
    </row>
    <row r="338" spans="1:49" s="25" customFormat="1" ht="16.5" customHeight="1">
      <c r="A338" s="1072"/>
      <c r="B338" s="1072"/>
      <c r="C338" s="1072"/>
      <c r="D338" s="166"/>
      <c r="E338" s="166"/>
      <c r="F338" s="166"/>
      <c r="G338" s="166"/>
      <c r="H338" s="166"/>
      <c r="I338" s="1072"/>
      <c r="J338" s="1072"/>
      <c r="K338" s="1072"/>
      <c r="L338" s="777">
        <v>5</v>
      </c>
      <c r="M338" s="778"/>
      <c r="N338" s="976"/>
      <c r="O338" s="1020">
        <v>281</v>
      </c>
      <c r="P338" s="847" t="e">
        <f>VLOOKUP(N338,etat!$A$9:$N$1004,2,FALSE)</f>
        <v>#N/A</v>
      </c>
      <c r="Q338" s="797" t="e">
        <f>VLOOKUP(N338,etat!$A$9:$N$963,7,FALSE)</f>
        <v>#N/A</v>
      </c>
      <c r="R338" s="954" t="e">
        <f>VLOOKUP(N338,etat!$A$9:$N$1003,9,FALSE)</f>
        <v>#N/A</v>
      </c>
      <c r="S338" s="866" t="e">
        <f>VLOOKUP(N338,etat!$A$9:$P$905,16,FALSE)</f>
        <v>#N/A</v>
      </c>
      <c r="T338" s="755"/>
      <c r="U338" s="784"/>
      <c r="V338" s="784"/>
      <c r="W338" s="784"/>
      <c r="X338" s="784"/>
      <c r="Y338" s="975"/>
      <c r="Z338" s="1022"/>
      <c r="AA338" s="967"/>
      <c r="AB338" s="1073"/>
      <c r="AC338" s="1073"/>
      <c r="AD338" s="1073"/>
      <c r="AE338" s="1073"/>
      <c r="AF338" s="1073"/>
      <c r="AG338" s="1072"/>
      <c r="AH338" s="1072"/>
      <c r="AI338" s="1072"/>
      <c r="AJ338" s="1072"/>
      <c r="AK338" s="1072"/>
      <c r="AL338" s="1072"/>
      <c r="AM338" s="1072"/>
      <c r="AN338" s="1072"/>
      <c r="AO338" s="1072"/>
      <c r="AP338" s="1072"/>
      <c r="AQ338" s="1072"/>
      <c r="AR338" s="1072"/>
      <c r="AS338" s="1072"/>
      <c r="AT338" s="1072"/>
      <c r="AU338" s="1072"/>
      <c r="AV338" s="1072"/>
      <c r="AW338" s="1072"/>
    </row>
    <row r="339" spans="1:49" s="25" customFormat="1" ht="16.5" customHeight="1">
      <c r="A339" s="1072"/>
      <c r="B339" s="1072"/>
      <c r="C339" s="1072"/>
      <c r="D339" s="166"/>
      <c r="E339" s="166"/>
      <c r="F339" s="166"/>
      <c r="G339" s="166"/>
      <c r="H339" s="166"/>
      <c r="I339" s="1072"/>
      <c r="J339" s="1072"/>
      <c r="K339" s="1072"/>
      <c r="L339" s="777">
        <v>5</v>
      </c>
      <c r="M339" s="778"/>
      <c r="N339" s="976"/>
      <c r="O339" s="1020">
        <v>282</v>
      </c>
      <c r="P339" s="847" t="e">
        <f>VLOOKUP(N339,etat!$A$9:$N$1004,2,FALSE)</f>
        <v>#N/A</v>
      </c>
      <c r="Q339" s="797" t="e">
        <f>VLOOKUP(N339,etat!$A$9:$N$963,7,FALSE)</f>
        <v>#N/A</v>
      </c>
      <c r="R339" s="954" t="e">
        <f>VLOOKUP(N339,etat!$A$9:$N$1003,9,FALSE)</f>
        <v>#N/A</v>
      </c>
      <c r="S339" s="866" t="e">
        <f>VLOOKUP(N339,etat!$A$9:$P$905,16,FALSE)</f>
        <v>#N/A</v>
      </c>
      <c r="T339" s="755"/>
      <c r="U339" s="784"/>
      <c r="V339" s="784"/>
      <c r="W339" s="784"/>
      <c r="X339" s="784"/>
      <c r="Y339" s="975"/>
      <c r="Z339" s="1022"/>
      <c r="AA339" s="967"/>
      <c r="AB339" s="1073"/>
      <c r="AC339" s="1073"/>
      <c r="AD339" s="1073"/>
      <c r="AE339" s="1073"/>
      <c r="AF339" s="1073"/>
      <c r="AG339" s="1072"/>
      <c r="AH339" s="1072"/>
      <c r="AI339" s="1072"/>
      <c r="AJ339" s="1072"/>
      <c r="AK339" s="1072"/>
      <c r="AL339" s="1072"/>
      <c r="AM339" s="1072"/>
      <c r="AN339" s="1072"/>
      <c r="AO339" s="1072"/>
      <c r="AP339" s="1072"/>
      <c r="AQ339" s="1072"/>
      <c r="AR339" s="1072"/>
      <c r="AS339" s="1072"/>
      <c r="AT339" s="1072"/>
      <c r="AU339" s="1072"/>
      <c r="AV339" s="1072"/>
      <c r="AW339" s="1072"/>
    </row>
    <row r="340" spans="1:49" s="25" customFormat="1" ht="16.5" customHeight="1">
      <c r="A340" s="1072"/>
      <c r="B340" s="1072"/>
      <c r="C340" s="1072"/>
      <c r="D340" s="166"/>
      <c r="E340" s="166"/>
      <c r="F340" s="166"/>
      <c r="G340" s="166"/>
      <c r="H340" s="166"/>
      <c r="I340" s="1072"/>
      <c r="J340" s="1072"/>
      <c r="K340" s="1072"/>
      <c r="L340" s="777">
        <v>5</v>
      </c>
      <c r="M340" s="778"/>
      <c r="N340" s="976"/>
      <c r="O340" s="1020">
        <v>283</v>
      </c>
      <c r="P340" s="847" t="e">
        <f>VLOOKUP(N340,etat!$A$9:$N$1004,2,FALSE)</f>
        <v>#N/A</v>
      </c>
      <c r="Q340" s="797" t="e">
        <f>VLOOKUP(N340,etat!$A$9:$N$963,7,FALSE)</f>
        <v>#N/A</v>
      </c>
      <c r="R340" s="954" t="e">
        <f>VLOOKUP(N340,etat!$A$9:$N$1003,9,FALSE)</f>
        <v>#N/A</v>
      </c>
      <c r="S340" s="866" t="e">
        <f>VLOOKUP(N340,etat!$A$9:$P$905,16,FALSE)</f>
        <v>#N/A</v>
      </c>
      <c r="T340" s="755"/>
      <c r="U340" s="784"/>
      <c r="V340" s="784"/>
      <c r="W340" s="784"/>
      <c r="X340" s="784"/>
      <c r="Y340" s="975"/>
      <c r="Z340" s="1022"/>
      <c r="AA340" s="967"/>
      <c r="AB340" s="1073"/>
      <c r="AC340" s="1073"/>
      <c r="AD340" s="1073"/>
      <c r="AE340" s="1073"/>
      <c r="AF340" s="1073"/>
      <c r="AG340" s="1072"/>
      <c r="AH340" s="1072"/>
      <c r="AI340" s="1072"/>
      <c r="AJ340" s="1072"/>
      <c r="AK340" s="1072"/>
      <c r="AL340" s="1072"/>
      <c r="AM340" s="1072"/>
      <c r="AN340" s="1072"/>
      <c r="AO340" s="1072"/>
      <c r="AP340" s="1072"/>
      <c r="AQ340" s="1072"/>
      <c r="AR340" s="1072"/>
      <c r="AS340" s="1072"/>
      <c r="AT340" s="1072"/>
      <c r="AU340" s="1072"/>
      <c r="AV340" s="1072"/>
      <c r="AW340" s="1072"/>
    </row>
    <row r="341" spans="1:49" s="25" customFormat="1" ht="16.5" customHeight="1">
      <c r="A341" s="1072"/>
      <c r="B341" s="1072"/>
      <c r="C341" s="1072"/>
      <c r="D341" s="166"/>
      <c r="E341" s="166"/>
      <c r="F341" s="166"/>
      <c r="G341" s="166"/>
      <c r="H341" s="166"/>
      <c r="I341" s="1072"/>
      <c r="J341" s="1072"/>
      <c r="K341" s="1072"/>
      <c r="L341" s="777">
        <v>5</v>
      </c>
      <c r="M341" s="778"/>
      <c r="N341" s="976"/>
      <c r="O341" s="1020">
        <v>284</v>
      </c>
      <c r="P341" s="847" t="e">
        <f>VLOOKUP(N341,etat!$A$9:$N$1004,2,FALSE)</f>
        <v>#N/A</v>
      </c>
      <c r="Q341" s="797" t="e">
        <f>VLOOKUP(N341,etat!$A$9:$N$963,7,FALSE)</f>
        <v>#N/A</v>
      </c>
      <c r="R341" s="954" t="e">
        <f>VLOOKUP(N341,etat!$A$9:$N$1003,9,FALSE)</f>
        <v>#N/A</v>
      </c>
      <c r="S341" s="866" t="e">
        <f>VLOOKUP(N341,etat!$A$9:$P$905,16,FALSE)</f>
        <v>#N/A</v>
      </c>
      <c r="T341" s="755"/>
      <c r="U341" s="784"/>
      <c r="V341" s="784"/>
      <c r="W341" s="784"/>
      <c r="X341" s="784"/>
      <c r="Y341" s="956"/>
      <c r="Z341" s="1022"/>
      <c r="AA341" s="967"/>
      <c r="AB341" s="1073"/>
      <c r="AC341" s="1073"/>
      <c r="AD341" s="1073"/>
      <c r="AE341" s="1073"/>
      <c r="AF341" s="1073"/>
      <c r="AG341" s="1072"/>
      <c r="AH341" s="1072"/>
      <c r="AI341" s="1072"/>
      <c r="AJ341" s="1072"/>
      <c r="AK341" s="1072"/>
      <c r="AL341" s="1072"/>
      <c r="AM341" s="1072"/>
      <c r="AN341" s="1072"/>
      <c r="AO341" s="1072"/>
      <c r="AP341" s="1072"/>
      <c r="AQ341" s="1072"/>
      <c r="AR341" s="1072"/>
      <c r="AS341" s="1072"/>
      <c r="AT341" s="1072"/>
      <c r="AU341" s="1072"/>
      <c r="AV341" s="1072"/>
      <c r="AW341" s="1072"/>
    </row>
    <row r="342" spans="1:49" s="25" customFormat="1" ht="16.5" customHeight="1">
      <c r="A342" s="1004"/>
      <c r="B342" s="1004"/>
      <c r="C342" s="1004"/>
      <c r="D342" s="166"/>
      <c r="E342" s="166"/>
      <c r="F342" s="166"/>
      <c r="G342" s="166"/>
      <c r="H342" s="166"/>
      <c r="I342" s="1004"/>
      <c r="J342" s="1004"/>
      <c r="K342" s="1004"/>
      <c r="L342" s="777">
        <v>5</v>
      </c>
      <c r="M342" s="778"/>
      <c r="N342" s="976"/>
      <c r="O342" s="1020">
        <v>285</v>
      </c>
      <c r="P342" s="847" t="e">
        <f>VLOOKUP(N342,etat!$A$9:$N$1004,2,FALSE)</f>
        <v>#N/A</v>
      </c>
      <c r="Q342" s="797" t="e">
        <f>VLOOKUP(N342,etat!$A$9:$N$963,7,FALSE)</f>
        <v>#N/A</v>
      </c>
      <c r="R342" s="954" t="e">
        <f>VLOOKUP(N342,etat!$A$9:$N$1003,9,FALSE)</f>
        <v>#N/A</v>
      </c>
      <c r="S342" s="866" t="e">
        <f>VLOOKUP(N342,etat!$A$9:$P$905,16,FALSE)</f>
        <v>#N/A</v>
      </c>
      <c r="T342" s="755"/>
      <c r="U342" s="784"/>
      <c r="V342" s="784"/>
      <c r="W342" s="784"/>
      <c r="X342" s="784"/>
      <c r="Y342" s="956"/>
      <c r="Z342" s="1022"/>
      <c r="AA342" s="967"/>
      <c r="AB342" s="1005"/>
      <c r="AC342" s="1005"/>
      <c r="AD342" s="1005"/>
      <c r="AE342" s="1005"/>
      <c r="AF342" s="1005"/>
      <c r="AG342" s="1004"/>
      <c r="AH342" s="1004"/>
      <c r="AI342" s="1004"/>
      <c r="AJ342" s="1004"/>
      <c r="AK342" s="1004"/>
      <c r="AL342" s="1004"/>
      <c r="AM342" s="1004"/>
      <c r="AN342" s="1004"/>
      <c r="AO342" s="1004"/>
      <c r="AP342" s="1004"/>
      <c r="AQ342" s="1004"/>
      <c r="AR342" s="1004"/>
      <c r="AS342" s="1004"/>
      <c r="AT342" s="1004"/>
      <c r="AU342" s="1004"/>
      <c r="AV342" s="1004"/>
      <c r="AW342" s="1004"/>
    </row>
    <row r="343" spans="1:49" s="25" customFormat="1" ht="16.5" customHeight="1">
      <c r="A343" s="1004"/>
      <c r="B343" s="1004"/>
      <c r="C343" s="1004"/>
      <c r="D343" s="166"/>
      <c r="E343" s="166"/>
      <c r="F343" s="166"/>
      <c r="G343" s="166"/>
      <c r="H343" s="166"/>
      <c r="I343" s="1004"/>
      <c r="J343" s="1004"/>
      <c r="K343" s="1004"/>
      <c r="L343" s="777">
        <v>5</v>
      </c>
      <c r="M343" s="778"/>
      <c r="N343" s="976"/>
      <c r="O343" s="1020">
        <v>286</v>
      </c>
      <c r="P343" s="847" t="e">
        <f>VLOOKUP(N343,etat!$A$9:$N$1004,2,FALSE)</f>
        <v>#N/A</v>
      </c>
      <c r="Q343" s="797" t="e">
        <f>VLOOKUP(N343,etat!$A$9:$N$963,7,FALSE)</f>
        <v>#N/A</v>
      </c>
      <c r="R343" s="797" t="e">
        <f>VLOOKUP(N343,etat!$A$9:$N$1003,9,FALSE)</f>
        <v>#N/A</v>
      </c>
      <c r="S343" s="866" t="e">
        <f>VLOOKUP(N343,etat!$A$9:$P$905,16,FALSE)</f>
        <v>#N/A</v>
      </c>
      <c r="T343" s="755"/>
      <c r="U343" s="784"/>
      <c r="V343" s="784"/>
      <c r="W343" s="784"/>
      <c r="X343" s="784"/>
      <c r="Y343" s="975"/>
      <c r="Z343" s="1022"/>
      <c r="AA343" s="967"/>
      <c r="AB343" s="1005"/>
      <c r="AC343" s="1005"/>
      <c r="AD343" s="1005"/>
      <c r="AE343" s="1005"/>
      <c r="AF343" s="1005"/>
      <c r="AG343" s="1004"/>
      <c r="AH343" s="1004"/>
      <c r="AI343" s="1004"/>
      <c r="AJ343" s="1004"/>
      <c r="AK343" s="1004"/>
      <c r="AL343" s="1004"/>
      <c r="AM343" s="1004"/>
      <c r="AN343" s="1004"/>
      <c r="AO343" s="1004"/>
      <c r="AP343" s="1004"/>
      <c r="AQ343" s="1004"/>
      <c r="AR343" s="1004"/>
      <c r="AS343" s="1004"/>
      <c r="AT343" s="1004"/>
      <c r="AU343" s="1004"/>
      <c r="AV343" s="1004"/>
      <c r="AW343" s="1004"/>
    </row>
    <row r="344" spans="1:49" s="25" customFormat="1" ht="16.5" customHeight="1">
      <c r="A344" s="1004"/>
      <c r="B344" s="1004"/>
      <c r="C344" s="1004"/>
      <c r="D344" s="166"/>
      <c r="E344" s="166"/>
      <c r="F344" s="166"/>
      <c r="G344" s="166"/>
      <c r="H344" s="166"/>
      <c r="I344" s="1004"/>
      <c r="J344" s="1004"/>
      <c r="K344" s="1004"/>
      <c r="L344" s="777">
        <v>5</v>
      </c>
      <c r="M344" s="778"/>
      <c r="N344" s="976"/>
      <c r="O344" s="1020">
        <v>287</v>
      </c>
      <c r="P344" s="847" t="e">
        <f>VLOOKUP(N344,etat!$A$9:$N$1004,2,FALSE)</f>
        <v>#N/A</v>
      </c>
      <c r="Q344" s="797" t="e">
        <f>VLOOKUP(N344,etat!$A$9:$N$963,7,FALSE)</f>
        <v>#N/A</v>
      </c>
      <c r="R344" s="797" t="e">
        <f>VLOOKUP(N344,etat!$A$9:$N$1003,9,FALSE)</f>
        <v>#N/A</v>
      </c>
      <c r="S344" s="866" t="e">
        <f>VLOOKUP(N344,etat!$A$9:$P$905,16,FALSE)</f>
        <v>#N/A</v>
      </c>
      <c r="T344" s="755"/>
      <c r="U344" s="784"/>
      <c r="V344" s="784"/>
      <c r="W344" s="755"/>
      <c r="X344" s="784"/>
      <c r="Y344" s="975"/>
      <c r="Z344" s="1022"/>
      <c r="AA344" s="967"/>
      <c r="AB344" s="1005"/>
      <c r="AC344" s="1005"/>
      <c r="AD344" s="1005"/>
      <c r="AE344" s="1005"/>
      <c r="AF344" s="1005"/>
      <c r="AG344" s="1004"/>
      <c r="AH344" s="1004"/>
      <c r="AI344" s="1004"/>
      <c r="AJ344" s="1004"/>
      <c r="AK344" s="1004"/>
      <c r="AL344" s="1004"/>
      <c r="AM344" s="1004"/>
      <c r="AN344" s="1004"/>
      <c r="AO344" s="1004"/>
      <c r="AP344" s="1004"/>
      <c r="AQ344" s="1004"/>
      <c r="AR344" s="1004"/>
      <c r="AS344" s="1004"/>
      <c r="AT344" s="1004"/>
      <c r="AU344" s="1004"/>
      <c r="AV344" s="1004"/>
      <c r="AW344" s="1004"/>
    </row>
    <row r="345" spans="1:49" s="25" customFormat="1" ht="16.5" customHeight="1">
      <c r="A345" s="1004"/>
      <c r="B345" s="1004"/>
      <c r="C345" s="1004"/>
      <c r="D345" s="166"/>
      <c r="E345" s="166"/>
      <c r="F345" s="166"/>
      <c r="G345" s="166"/>
      <c r="H345" s="166"/>
      <c r="I345" s="1004"/>
      <c r="J345" s="1004"/>
      <c r="K345" s="1004"/>
      <c r="L345" s="777">
        <v>5</v>
      </c>
      <c r="M345" s="778"/>
      <c r="N345" s="976"/>
      <c r="O345" s="1020">
        <v>288</v>
      </c>
      <c r="P345" s="847" t="e">
        <f>VLOOKUP(N345,etat!$A$9:$N$1004,2,FALSE)</f>
        <v>#N/A</v>
      </c>
      <c r="Q345" s="797" t="e">
        <f>VLOOKUP(N345,etat!$A$9:$N$963,7,FALSE)</f>
        <v>#N/A</v>
      </c>
      <c r="R345" s="797" t="e">
        <f>VLOOKUP(N345,etat!$A$9:$N$1003,9,FALSE)</f>
        <v>#N/A</v>
      </c>
      <c r="S345" s="866" t="e">
        <f>VLOOKUP(N345,etat!$A$9:$P$905,16,FALSE)</f>
        <v>#N/A</v>
      </c>
      <c r="T345" s="755"/>
      <c r="U345" s="784"/>
      <c r="V345" s="784"/>
      <c r="W345" s="943"/>
      <c r="X345" s="944"/>
      <c r="Y345" s="975"/>
      <c r="Z345" s="1022"/>
      <c r="AA345" s="967"/>
      <c r="AB345" s="1005"/>
      <c r="AC345" s="1005"/>
      <c r="AD345" s="1005"/>
      <c r="AE345" s="1005"/>
      <c r="AF345" s="1005"/>
      <c r="AG345" s="1004"/>
      <c r="AH345" s="1004"/>
      <c r="AI345" s="1004"/>
      <c r="AJ345" s="1004"/>
      <c r="AK345" s="1004"/>
      <c r="AL345" s="1004"/>
      <c r="AM345" s="1004"/>
      <c r="AN345" s="1004"/>
      <c r="AO345" s="1004"/>
      <c r="AP345" s="1004"/>
      <c r="AQ345" s="1004"/>
      <c r="AR345" s="1004"/>
      <c r="AS345" s="1004"/>
      <c r="AT345" s="1004"/>
      <c r="AU345" s="1004"/>
      <c r="AV345" s="1004"/>
      <c r="AW345" s="1004"/>
    </row>
    <row r="346" spans="1:49" s="25" customFormat="1" ht="16.5" customHeight="1">
      <c r="A346" s="1004"/>
      <c r="B346" s="1004"/>
      <c r="C346" s="1004"/>
      <c r="D346" s="166"/>
      <c r="E346" s="166"/>
      <c r="F346" s="166"/>
      <c r="G346" s="166"/>
      <c r="H346" s="166"/>
      <c r="I346" s="1004"/>
      <c r="J346" s="1004"/>
      <c r="K346" s="1004"/>
      <c r="L346" s="777">
        <v>5</v>
      </c>
      <c r="M346" s="778"/>
      <c r="N346" s="976"/>
      <c r="O346" s="1020">
        <v>289</v>
      </c>
      <c r="P346" s="847" t="e">
        <f>VLOOKUP(N346,etat!$A$9:$N$1004,2,FALSE)</f>
        <v>#N/A</v>
      </c>
      <c r="Q346" s="797" t="e">
        <f>VLOOKUP(N346,etat!$A$9:$N$963,7,FALSE)</f>
        <v>#N/A</v>
      </c>
      <c r="R346" s="797" t="e">
        <f>VLOOKUP(N346,etat!$A$9:$N$1003,9,FALSE)</f>
        <v>#N/A</v>
      </c>
      <c r="S346" s="866" t="e">
        <f>VLOOKUP(N346,etat!$A$9:$P$905,16,FALSE)</f>
        <v>#N/A</v>
      </c>
      <c r="T346" s="755"/>
      <c r="U346" s="784"/>
      <c r="V346" s="784"/>
      <c r="W346" s="755"/>
      <c r="X346" s="784"/>
      <c r="Y346" s="975"/>
      <c r="Z346" s="1022"/>
      <c r="AA346" s="967"/>
      <c r="AB346" s="1005"/>
      <c r="AC346" s="1005"/>
      <c r="AD346" s="1005"/>
      <c r="AE346" s="1005"/>
      <c r="AF346" s="1005"/>
      <c r="AG346" s="1004"/>
      <c r="AH346" s="1004"/>
      <c r="AI346" s="1004"/>
      <c r="AJ346" s="1004"/>
      <c r="AK346" s="1004"/>
      <c r="AL346" s="1004"/>
      <c r="AM346" s="1004"/>
      <c r="AN346" s="1004"/>
      <c r="AO346" s="1004"/>
      <c r="AP346" s="1004"/>
      <c r="AQ346" s="1004"/>
      <c r="AR346" s="1004"/>
      <c r="AS346" s="1004"/>
      <c r="AT346" s="1004"/>
      <c r="AU346" s="1004"/>
      <c r="AV346" s="1004"/>
      <c r="AW346" s="1004"/>
    </row>
    <row r="347" spans="1:49" s="25" customFormat="1" ht="16.5" customHeight="1">
      <c r="A347" s="1004"/>
      <c r="B347" s="1004"/>
      <c r="C347" s="1004"/>
      <c r="D347" s="166"/>
      <c r="E347" s="166"/>
      <c r="F347" s="166"/>
      <c r="G347" s="166"/>
      <c r="H347" s="166"/>
      <c r="I347" s="1004"/>
      <c r="J347" s="1004"/>
      <c r="K347" s="1004"/>
      <c r="L347" s="777">
        <v>5</v>
      </c>
      <c r="M347" s="778"/>
      <c r="N347" s="976"/>
      <c r="O347" s="1020">
        <v>290</v>
      </c>
      <c r="P347" s="847" t="e">
        <f>VLOOKUP(N347,etat!$A$9:$N$1004,2,FALSE)</f>
        <v>#N/A</v>
      </c>
      <c r="Q347" s="797" t="e">
        <f>VLOOKUP(N347,etat!$A$9:$N$963,7,FALSE)</f>
        <v>#N/A</v>
      </c>
      <c r="R347" s="797" t="e">
        <f>VLOOKUP(N347,etat!$A$9:$N$1003,9,FALSE)</f>
        <v>#N/A</v>
      </c>
      <c r="S347" s="866" t="e">
        <f>VLOOKUP(N347,etat!$A$9:$P$905,16,FALSE)</f>
        <v>#N/A</v>
      </c>
      <c r="T347" s="755"/>
      <c r="U347" s="784"/>
      <c r="V347" s="784"/>
      <c r="W347" s="943"/>
      <c r="X347" s="944"/>
      <c r="Y347" s="975"/>
      <c r="Z347" s="1022"/>
      <c r="AA347" s="967"/>
      <c r="AB347" s="1005"/>
      <c r="AC347" s="1005"/>
      <c r="AD347" s="1005"/>
      <c r="AE347" s="1005"/>
      <c r="AF347" s="1005"/>
      <c r="AG347" s="1004"/>
      <c r="AH347" s="1004"/>
      <c r="AI347" s="1004"/>
      <c r="AJ347" s="1004"/>
      <c r="AK347" s="1004"/>
      <c r="AL347" s="1004"/>
      <c r="AM347" s="1004"/>
      <c r="AN347" s="1004"/>
      <c r="AO347" s="1004"/>
      <c r="AP347" s="1004"/>
      <c r="AQ347" s="1004"/>
      <c r="AR347" s="1004"/>
      <c r="AS347" s="1004"/>
      <c r="AT347" s="1004"/>
      <c r="AU347" s="1004"/>
      <c r="AV347" s="1004"/>
      <c r="AW347" s="1004"/>
    </row>
    <row r="348" spans="1:49" s="25" customFormat="1" ht="16.5" customHeight="1">
      <c r="A348" s="1004"/>
      <c r="B348" s="1004"/>
      <c r="C348" s="1004"/>
      <c r="D348" s="166"/>
      <c r="E348" s="166"/>
      <c r="F348" s="166"/>
      <c r="G348" s="166"/>
      <c r="H348" s="166"/>
      <c r="I348" s="1004"/>
      <c r="J348" s="1004"/>
      <c r="K348" s="1004"/>
      <c r="L348" s="777">
        <v>5</v>
      </c>
      <c r="M348" s="778"/>
      <c r="N348" s="976"/>
      <c r="O348" s="1020">
        <v>291</v>
      </c>
      <c r="P348" s="847" t="e">
        <f>VLOOKUP(N348,etat!$A$9:$N$1004,2,FALSE)</f>
        <v>#N/A</v>
      </c>
      <c r="Q348" s="797" t="e">
        <f>VLOOKUP(N348,etat!$A$9:$N$963,7,FALSE)</f>
        <v>#N/A</v>
      </c>
      <c r="R348" s="797" t="e">
        <f>VLOOKUP(N348,etat!$A$9:$N$1003,9,FALSE)</f>
        <v>#N/A</v>
      </c>
      <c r="S348" s="866" t="e">
        <f>VLOOKUP(N348,etat!$A$9:$P$905,16,FALSE)</f>
        <v>#N/A</v>
      </c>
      <c r="T348" s="755"/>
      <c r="U348" s="784"/>
      <c r="V348" s="784"/>
      <c r="W348" s="943"/>
      <c r="X348" s="944"/>
      <c r="Y348" s="975"/>
      <c r="Z348" s="1022"/>
      <c r="AA348" s="967"/>
      <c r="AB348" s="1005"/>
      <c r="AC348" s="1005"/>
      <c r="AD348" s="1005"/>
      <c r="AE348" s="1005"/>
      <c r="AF348" s="1005"/>
      <c r="AG348" s="1004"/>
      <c r="AH348" s="1004"/>
      <c r="AI348" s="1004"/>
      <c r="AJ348" s="1004"/>
      <c r="AK348" s="1004"/>
      <c r="AL348" s="1004"/>
      <c r="AM348" s="1004"/>
      <c r="AN348" s="1004"/>
      <c r="AO348" s="1004"/>
      <c r="AP348" s="1004"/>
      <c r="AQ348" s="1004"/>
      <c r="AR348" s="1004"/>
      <c r="AS348" s="1004"/>
      <c r="AT348" s="1004"/>
      <c r="AU348" s="1004"/>
      <c r="AV348" s="1004"/>
      <c r="AW348" s="1004"/>
    </row>
    <row r="349" spans="1:49" s="25" customFormat="1" ht="16.5" customHeight="1">
      <c r="A349" s="1072"/>
      <c r="B349" s="1072"/>
      <c r="C349" s="1072"/>
      <c r="D349" s="166"/>
      <c r="E349" s="166"/>
      <c r="F349" s="166"/>
      <c r="G349" s="166"/>
      <c r="H349" s="166"/>
      <c r="I349" s="1072"/>
      <c r="J349" s="1072"/>
      <c r="K349" s="1072"/>
      <c r="L349" s="777">
        <v>5</v>
      </c>
      <c r="M349" s="778"/>
      <c r="N349" s="976"/>
      <c r="O349" s="1020">
        <v>292</v>
      </c>
      <c r="P349" s="847" t="e">
        <f>VLOOKUP(N349,etat!$A$9:$N$1004,2,FALSE)</f>
        <v>#N/A</v>
      </c>
      <c r="Q349" s="797" t="e">
        <f>VLOOKUP(N349,etat!$A$9:$N$963,7,FALSE)</f>
        <v>#N/A</v>
      </c>
      <c r="R349" s="797" t="e">
        <f>VLOOKUP(N349,etat!$A$9:$N$1003,9,FALSE)</f>
        <v>#N/A</v>
      </c>
      <c r="S349" s="866" t="e">
        <f>VLOOKUP(N349,etat!$A$9:$P$905,16,FALSE)</f>
        <v>#N/A</v>
      </c>
      <c r="T349" s="755"/>
      <c r="U349" s="784"/>
      <c r="V349" s="784"/>
      <c r="W349" s="943"/>
      <c r="X349" s="944"/>
      <c r="Y349" s="975"/>
      <c r="Z349" s="1022"/>
      <c r="AA349" s="967"/>
      <c r="AB349" s="1073"/>
      <c r="AC349" s="1073"/>
      <c r="AD349" s="1073"/>
      <c r="AE349" s="1073"/>
      <c r="AF349" s="1073"/>
      <c r="AG349" s="1072"/>
      <c r="AH349" s="1072"/>
      <c r="AI349" s="1072"/>
      <c r="AJ349" s="1072"/>
      <c r="AK349" s="1072"/>
      <c r="AL349" s="1072"/>
      <c r="AM349" s="1072"/>
      <c r="AN349" s="1072"/>
      <c r="AO349" s="1072"/>
      <c r="AP349" s="1072"/>
      <c r="AQ349" s="1072"/>
      <c r="AR349" s="1072"/>
      <c r="AS349" s="1072"/>
      <c r="AT349" s="1072"/>
      <c r="AU349" s="1072"/>
      <c r="AV349" s="1072"/>
      <c r="AW349" s="1072"/>
    </row>
    <row r="350" spans="1:49" s="25" customFormat="1" ht="16.5" customHeight="1">
      <c r="A350" s="1072"/>
      <c r="B350" s="1072"/>
      <c r="C350" s="1072"/>
      <c r="D350" s="166"/>
      <c r="E350" s="166"/>
      <c r="F350" s="166"/>
      <c r="G350" s="166"/>
      <c r="H350" s="166"/>
      <c r="I350" s="1072"/>
      <c r="J350" s="1072"/>
      <c r="K350" s="1072"/>
      <c r="L350" s="777">
        <v>5</v>
      </c>
      <c r="M350" s="778"/>
      <c r="N350" s="976"/>
      <c r="O350" s="1020">
        <v>293</v>
      </c>
      <c r="P350" s="847" t="e">
        <f>VLOOKUP(N350,etat!$A$9:$N$1004,2,FALSE)</f>
        <v>#N/A</v>
      </c>
      <c r="Q350" s="797" t="e">
        <f>VLOOKUP(N350,etat!$A$9:$N$963,7,FALSE)</f>
        <v>#N/A</v>
      </c>
      <c r="R350" s="797" t="e">
        <f>VLOOKUP(N350,etat!$A$9:$N$1003,9,FALSE)</f>
        <v>#N/A</v>
      </c>
      <c r="S350" s="866" t="e">
        <f>VLOOKUP(N350,etat!$A$9:$P$905,16,FALSE)</f>
        <v>#N/A</v>
      </c>
      <c r="T350" s="755"/>
      <c r="U350" s="784"/>
      <c r="V350" s="784"/>
      <c r="W350" s="784"/>
      <c r="X350" s="784"/>
      <c r="Y350" s="975"/>
      <c r="Z350" s="1022"/>
      <c r="AA350" s="967"/>
      <c r="AB350" s="1073"/>
      <c r="AC350" s="1073"/>
      <c r="AD350" s="1073"/>
      <c r="AE350" s="1073"/>
      <c r="AF350" s="1073"/>
      <c r="AG350" s="1072"/>
      <c r="AH350" s="1072"/>
      <c r="AI350" s="1072"/>
      <c r="AJ350" s="1072"/>
      <c r="AK350" s="1072"/>
      <c r="AL350" s="1072"/>
      <c r="AM350" s="1072"/>
      <c r="AN350" s="1072"/>
      <c r="AO350" s="1072"/>
      <c r="AP350" s="1072"/>
      <c r="AQ350" s="1072"/>
      <c r="AR350" s="1072"/>
      <c r="AS350" s="1072"/>
      <c r="AT350" s="1072"/>
      <c r="AU350" s="1072"/>
      <c r="AV350" s="1072"/>
      <c r="AW350" s="1072"/>
    </row>
    <row r="351" spans="1:49" s="25" customFormat="1" ht="16.5" customHeight="1">
      <c r="A351" s="1072"/>
      <c r="B351" s="1072"/>
      <c r="C351" s="1072"/>
      <c r="D351" s="166"/>
      <c r="E351" s="166"/>
      <c r="F351" s="166"/>
      <c r="G351" s="166"/>
      <c r="H351" s="166"/>
      <c r="I351" s="1072"/>
      <c r="J351" s="1072"/>
      <c r="K351" s="1072"/>
      <c r="L351" s="777">
        <v>5</v>
      </c>
      <c r="M351" s="778"/>
      <c r="N351" s="976"/>
      <c r="O351" s="1020">
        <v>294</v>
      </c>
      <c r="P351" s="847" t="e">
        <f>VLOOKUP(N351,etat!$A$9:$N$1004,2,FALSE)</f>
        <v>#N/A</v>
      </c>
      <c r="Q351" s="797" t="e">
        <f>VLOOKUP(N351,etat!$A$9:$N$963,7,FALSE)</f>
        <v>#N/A</v>
      </c>
      <c r="R351" s="797" t="e">
        <f>VLOOKUP(N351,etat!$A$9:$N$1003,9,FALSE)</f>
        <v>#N/A</v>
      </c>
      <c r="S351" s="866" t="e">
        <f>VLOOKUP(N351,etat!$A$9:$P$905,16,FALSE)</f>
        <v>#N/A</v>
      </c>
      <c r="T351" s="755"/>
      <c r="U351" s="784"/>
      <c r="V351" s="784"/>
      <c r="W351" s="784"/>
      <c r="X351" s="784"/>
      <c r="Y351" s="784"/>
      <c r="Z351" s="1112"/>
      <c r="AA351" s="967"/>
      <c r="AB351" s="1073"/>
      <c r="AC351" s="1073"/>
      <c r="AD351" s="1073"/>
      <c r="AE351" s="1073"/>
      <c r="AF351" s="1073"/>
      <c r="AG351" s="1072"/>
      <c r="AH351" s="1072"/>
      <c r="AI351" s="1072"/>
      <c r="AJ351" s="1072"/>
      <c r="AK351" s="1072"/>
      <c r="AL351" s="1072"/>
      <c r="AM351" s="1072"/>
      <c r="AN351" s="1072"/>
      <c r="AO351" s="1072"/>
      <c r="AP351" s="1072"/>
      <c r="AQ351" s="1072"/>
      <c r="AR351" s="1072"/>
      <c r="AS351" s="1072"/>
      <c r="AT351" s="1072"/>
      <c r="AU351" s="1072"/>
      <c r="AV351" s="1072"/>
      <c r="AW351" s="1072"/>
    </row>
    <row r="352" spans="1:49" s="25" customFormat="1" ht="16.5" customHeight="1">
      <c r="A352" s="1004"/>
      <c r="B352" s="1004"/>
      <c r="C352" s="1004"/>
      <c r="D352" s="166"/>
      <c r="E352" s="166"/>
      <c r="F352" s="166"/>
      <c r="G352" s="166"/>
      <c r="H352" s="166"/>
      <c r="I352" s="1004"/>
      <c r="J352" s="1004"/>
      <c r="K352" s="1004"/>
      <c r="L352" s="777">
        <v>5</v>
      </c>
      <c r="M352" s="778"/>
      <c r="N352" s="976"/>
      <c r="O352" s="1020">
        <v>295</v>
      </c>
      <c r="P352" s="847" t="e">
        <f>VLOOKUP(N352,etat!$A$9:$N$1004,2,FALSE)</f>
        <v>#N/A</v>
      </c>
      <c r="Q352" s="797" t="e">
        <f>VLOOKUP(N352,etat!$A$9:$N$963,7,FALSE)</f>
        <v>#N/A</v>
      </c>
      <c r="R352" s="797" t="e">
        <f>VLOOKUP(N352,etat!$A$9:$N$1003,9,FALSE)</f>
        <v>#N/A</v>
      </c>
      <c r="S352" s="866" t="e">
        <f>VLOOKUP(N352,etat!$A$9:$P$905,16,FALSE)</f>
        <v>#N/A</v>
      </c>
      <c r="T352" s="755"/>
      <c r="U352" s="784"/>
      <c r="V352" s="784"/>
      <c r="W352" s="784"/>
      <c r="X352" s="784"/>
      <c r="Y352" s="975"/>
      <c r="Z352" s="1022"/>
      <c r="AA352" s="967"/>
      <c r="AB352" s="1005"/>
      <c r="AC352" s="1005"/>
      <c r="AD352" s="1005"/>
      <c r="AE352" s="1005"/>
      <c r="AF352" s="1005"/>
      <c r="AG352" s="1004"/>
      <c r="AH352" s="1004"/>
      <c r="AI352" s="1004"/>
      <c r="AJ352" s="1004"/>
      <c r="AK352" s="1004"/>
      <c r="AL352" s="1004"/>
      <c r="AM352" s="1004"/>
      <c r="AN352" s="1004"/>
      <c r="AO352" s="1004"/>
      <c r="AP352" s="1004"/>
      <c r="AQ352" s="1004"/>
      <c r="AR352" s="1004"/>
      <c r="AS352" s="1004"/>
      <c r="AT352" s="1004"/>
      <c r="AU352" s="1004"/>
      <c r="AV352" s="1004"/>
      <c r="AW352" s="1004"/>
    </row>
    <row r="353" spans="1:49" s="25" customFormat="1" ht="16.5" customHeight="1">
      <c r="A353" s="1004"/>
      <c r="B353" s="1004"/>
      <c r="C353" s="1004"/>
      <c r="D353" s="166"/>
      <c r="E353" s="166"/>
      <c r="F353" s="166"/>
      <c r="G353" s="166"/>
      <c r="H353" s="166"/>
      <c r="I353" s="1004"/>
      <c r="J353" s="1004"/>
      <c r="K353" s="1004"/>
      <c r="L353" s="777">
        <v>5</v>
      </c>
      <c r="M353" s="778"/>
      <c r="N353" s="976"/>
      <c r="O353" s="1020">
        <v>296</v>
      </c>
      <c r="P353" s="847" t="e">
        <f>VLOOKUP(N353,etat!$A$9:$N$1004,2,FALSE)</f>
        <v>#N/A</v>
      </c>
      <c r="Q353" s="797" t="e">
        <f>VLOOKUP(N353,etat!$A$9:$N$963,7,FALSE)</f>
        <v>#N/A</v>
      </c>
      <c r="R353" s="797" t="e">
        <f>VLOOKUP(N353,etat!$A$9:$N$1003,9,FALSE)</f>
        <v>#N/A</v>
      </c>
      <c r="S353" s="866" t="e">
        <f>VLOOKUP(N353,etat!$A$9:$P$905,16,FALSE)</f>
        <v>#N/A</v>
      </c>
      <c r="T353" s="755"/>
      <c r="U353" s="784"/>
      <c r="V353" s="784"/>
      <c r="W353" s="784"/>
      <c r="X353" s="784"/>
      <c r="Y353" s="784"/>
      <c r="Z353" s="1112"/>
      <c r="AA353" s="967"/>
      <c r="AB353" s="1005"/>
      <c r="AC353" s="1005"/>
      <c r="AD353" s="1005"/>
      <c r="AE353" s="1005"/>
      <c r="AF353" s="1005"/>
      <c r="AG353" s="1004"/>
      <c r="AH353" s="1004"/>
      <c r="AI353" s="1004"/>
      <c r="AJ353" s="1004"/>
      <c r="AK353" s="1004"/>
      <c r="AL353" s="1004"/>
      <c r="AM353" s="1004"/>
      <c r="AN353" s="1004"/>
      <c r="AO353" s="1004"/>
      <c r="AP353" s="1004"/>
      <c r="AQ353" s="1004"/>
      <c r="AR353" s="1004"/>
      <c r="AS353" s="1004"/>
      <c r="AT353" s="1004"/>
      <c r="AU353" s="1004"/>
      <c r="AV353" s="1004"/>
      <c r="AW353" s="1004"/>
    </row>
    <row r="354" spans="1:49" s="25" customFormat="1" ht="16.5" customHeight="1">
      <c r="A354" s="1004"/>
      <c r="B354" s="1004"/>
      <c r="C354" s="1004"/>
      <c r="D354" s="166"/>
      <c r="E354" s="166"/>
      <c r="F354" s="166"/>
      <c r="G354" s="166"/>
      <c r="H354" s="166"/>
      <c r="I354" s="1004"/>
      <c r="J354" s="1004"/>
      <c r="K354" s="1004"/>
      <c r="L354" s="777">
        <v>5</v>
      </c>
      <c r="M354" s="778"/>
      <c r="N354" s="976"/>
      <c r="O354" s="1020">
        <v>297</v>
      </c>
      <c r="P354" s="847" t="e">
        <f>VLOOKUP(N354,etat!$A$9:$N$1004,2,FALSE)</f>
        <v>#N/A</v>
      </c>
      <c r="Q354" s="797" t="e">
        <f>VLOOKUP(N354,etat!$A$9:$N$963,7,FALSE)</f>
        <v>#N/A</v>
      </c>
      <c r="R354" s="797" t="e">
        <f>VLOOKUP(N354,etat!$A$9:$N$1003,9,FALSE)</f>
        <v>#N/A</v>
      </c>
      <c r="S354" s="866" t="e">
        <f>VLOOKUP(N354,etat!$A$9:$P$905,16,FALSE)</f>
        <v>#N/A</v>
      </c>
      <c r="T354" s="755"/>
      <c r="U354" s="784"/>
      <c r="V354" s="784"/>
      <c r="W354" s="784"/>
      <c r="X354" s="784"/>
      <c r="Y354" s="975"/>
      <c r="Z354" s="1022"/>
      <c r="AA354" s="967"/>
      <c r="AB354" s="1005"/>
      <c r="AC354" s="1005"/>
      <c r="AD354" s="1005"/>
      <c r="AE354" s="1005"/>
      <c r="AF354" s="1005"/>
      <c r="AG354" s="1004"/>
      <c r="AH354" s="1004"/>
      <c r="AI354" s="1004"/>
      <c r="AJ354" s="1004"/>
      <c r="AK354" s="1004"/>
      <c r="AL354" s="1004"/>
      <c r="AM354" s="1004"/>
      <c r="AN354" s="1004"/>
      <c r="AO354" s="1004"/>
      <c r="AP354" s="1004"/>
      <c r="AQ354" s="1004"/>
      <c r="AR354" s="1004"/>
      <c r="AS354" s="1004"/>
      <c r="AT354" s="1004"/>
      <c r="AU354" s="1004"/>
      <c r="AV354" s="1004"/>
      <c r="AW354" s="1004"/>
    </row>
    <row r="355" spans="1:49" s="25" customFormat="1" ht="16.5" customHeight="1">
      <c r="A355" s="1072"/>
      <c r="B355" s="1072"/>
      <c r="C355" s="1072"/>
      <c r="D355" s="166"/>
      <c r="E355" s="166"/>
      <c r="F355" s="166"/>
      <c r="G355" s="166"/>
      <c r="H355" s="166"/>
      <c r="I355" s="1072"/>
      <c r="J355" s="1072"/>
      <c r="K355" s="1072"/>
      <c r="L355" s="777">
        <v>5</v>
      </c>
      <c r="M355" s="778"/>
      <c r="N355" s="976"/>
      <c r="O355" s="1020">
        <v>298</v>
      </c>
      <c r="P355" s="847" t="e">
        <f>VLOOKUP(N355,etat!$A$9:$N$1004,2,FALSE)</f>
        <v>#N/A</v>
      </c>
      <c r="Q355" s="797" t="e">
        <f>VLOOKUP(N355,etat!$A$9:$N$963,7,FALSE)</f>
        <v>#N/A</v>
      </c>
      <c r="R355" s="797" t="e">
        <f>VLOOKUP(N355,etat!$A$9:$N$1003,9,FALSE)</f>
        <v>#N/A</v>
      </c>
      <c r="S355" s="866" t="e">
        <f>VLOOKUP(N355,etat!$A$9:$P$905,16,FALSE)</f>
        <v>#N/A</v>
      </c>
      <c r="T355" s="755"/>
      <c r="U355" s="784"/>
      <c r="V355" s="784"/>
      <c r="W355" s="784"/>
      <c r="X355" s="784"/>
      <c r="Y355" s="975"/>
      <c r="Z355" s="1022"/>
      <c r="AA355" s="967"/>
      <c r="AB355" s="1073"/>
      <c r="AC355" s="1073"/>
      <c r="AD355" s="1073"/>
      <c r="AE355" s="1073"/>
      <c r="AF355" s="1073"/>
      <c r="AG355" s="1072"/>
      <c r="AH355" s="1072"/>
      <c r="AI355" s="1072"/>
      <c r="AJ355" s="1072"/>
      <c r="AK355" s="1072"/>
      <c r="AL355" s="1072"/>
      <c r="AM355" s="1072"/>
      <c r="AN355" s="1072"/>
      <c r="AO355" s="1072"/>
      <c r="AP355" s="1072"/>
      <c r="AQ355" s="1072"/>
      <c r="AR355" s="1072"/>
      <c r="AS355" s="1072"/>
      <c r="AT355" s="1072"/>
      <c r="AU355" s="1072"/>
      <c r="AV355" s="1072"/>
      <c r="AW355" s="1072"/>
    </row>
    <row r="356" spans="1:49" s="25" customFormat="1" ht="16.5" customHeight="1">
      <c r="A356" s="1004"/>
      <c r="B356" s="1004"/>
      <c r="C356" s="1004"/>
      <c r="D356" s="166"/>
      <c r="E356" s="166"/>
      <c r="F356" s="166"/>
      <c r="G356" s="166"/>
      <c r="H356" s="166"/>
      <c r="I356" s="1004"/>
      <c r="J356" s="1004"/>
      <c r="K356" s="1004"/>
      <c r="L356" s="777">
        <v>5</v>
      </c>
      <c r="M356" s="778"/>
      <c r="N356" s="976"/>
      <c r="O356" s="1020">
        <v>299</v>
      </c>
      <c r="P356" s="847" t="e">
        <f>VLOOKUP(N356,etat!$A$9:$N$1004,2,FALSE)</f>
        <v>#N/A</v>
      </c>
      <c r="Q356" s="797" t="e">
        <f>VLOOKUP(N356,etat!$A$9:$N$963,7,FALSE)</f>
        <v>#N/A</v>
      </c>
      <c r="R356" s="954" t="e">
        <f>VLOOKUP(N356,etat!$A$9:$N$1003,9,FALSE)</f>
        <v>#N/A</v>
      </c>
      <c r="S356" s="866" t="e">
        <f>VLOOKUP(N356,etat!$A$9:$P$905,16,FALSE)</f>
        <v>#N/A</v>
      </c>
      <c r="T356" s="755"/>
      <c r="U356" s="784"/>
      <c r="V356" s="784"/>
      <c r="W356" s="784"/>
      <c r="X356" s="784"/>
      <c r="Y356" s="975"/>
      <c r="Z356" s="1022"/>
      <c r="AA356" s="967"/>
      <c r="AB356" s="1005"/>
      <c r="AC356" s="1005"/>
      <c r="AD356" s="1005"/>
      <c r="AE356" s="1005"/>
      <c r="AF356" s="1005"/>
      <c r="AG356" s="1004"/>
      <c r="AH356" s="1004"/>
      <c r="AI356" s="1004"/>
      <c r="AJ356" s="1004"/>
      <c r="AK356" s="1004"/>
      <c r="AL356" s="1004"/>
      <c r="AM356" s="1004"/>
      <c r="AN356" s="1004"/>
      <c r="AO356" s="1004"/>
      <c r="AP356" s="1004"/>
      <c r="AQ356" s="1004"/>
      <c r="AR356" s="1004"/>
      <c r="AS356" s="1004"/>
      <c r="AT356" s="1004"/>
      <c r="AU356" s="1004"/>
      <c r="AV356" s="1004"/>
      <c r="AW356" s="1004"/>
    </row>
    <row r="357" spans="1:49" s="25" customFormat="1" ht="16.5" customHeight="1">
      <c r="A357" s="1004"/>
      <c r="B357" s="1004"/>
      <c r="C357" s="1004"/>
      <c r="D357" s="166"/>
      <c r="E357" s="166"/>
      <c r="F357" s="166"/>
      <c r="G357" s="166"/>
      <c r="H357" s="166"/>
      <c r="I357" s="1004"/>
      <c r="J357" s="1004"/>
      <c r="K357" s="1004"/>
      <c r="L357" s="777">
        <v>5</v>
      </c>
      <c r="M357" s="778"/>
      <c r="N357" s="976"/>
      <c r="O357" s="1020">
        <v>300</v>
      </c>
      <c r="P357" s="847" t="e">
        <f>VLOOKUP(N357,etat!$A$9:$N$1004,2,FALSE)</f>
        <v>#N/A</v>
      </c>
      <c r="Q357" s="797" t="e">
        <f>VLOOKUP(N357,etat!$A$9:$N$963,7,FALSE)</f>
        <v>#N/A</v>
      </c>
      <c r="R357" s="954" t="e">
        <f>VLOOKUP(N357,etat!$A$9:$N$1003,9,FALSE)</f>
        <v>#N/A</v>
      </c>
      <c r="S357" s="866" t="e">
        <f>VLOOKUP(N357,etat!$A$9:$P$905,16,FALSE)</f>
        <v>#N/A</v>
      </c>
      <c r="T357" s="755"/>
      <c r="U357" s="784"/>
      <c r="V357" s="784"/>
      <c r="W357" s="784"/>
      <c r="X357" s="784"/>
      <c r="Y357" s="956"/>
      <c r="Z357" s="1022"/>
      <c r="AA357" s="967"/>
      <c r="AB357" s="1005"/>
      <c r="AC357" s="1005"/>
      <c r="AD357" s="1005"/>
      <c r="AE357" s="1005"/>
      <c r="AF357" s="1005"/>
      <c r="AG357" s="1004"/>
      <c r="AH357" s="1004"/>
      <c r="AI357" s="1004"/>
      <c r="AJ357" s="1004"/>
      <c r="AK357" s="1004"/>
      <c r="AL357" s="1004"/>
      <c r="AM357" s="1004"/>
      <c r="AN357" s="1004"/>
      <c r="AO357" s="1004"/>
      <c r="AP357" s="1004"/>
      <c r="AQ357" s="1004"/>
      <c r="AR357" s="1004"/>
      <c r="AS357" s="1004"/>
      <c r="AT357" s="1004"/>
      <c r="AU357" s="1004"/>
      <c r="AV357" s="1004"/>
      <c r="AW357" s="1004"/>
    </row>
    <row r="358" spans="1:49" s="25" customFormat="1" ht="16.5" customHeight="1">
      <c r="A358" s="1004"/>
      <c r="B358" s="1004"/>
      <c r="C358" s="1004"/>
      <c r="D358" s="166"/>
      <c r="E358" s="166"/>
      <c r="F358" s="166"/>
      <c r="G358" s="166"/>
      <c r="H358" s="166"/>
      <c r="I358" s="1004"/>
      <c r="J358" s="1004"/>
      <c r="K358" s="1004"/>
      <c r="L358" s="777">
        <v>5</v>
      </c>
      <c r="M358" s="778"/>
      <c r="N358" s="976"/>
      <c r="O358" s="1020">
        <v>301</v>
      </c>
      <c r="P358" s="847" t="e">
        <f>VLOOKUP(N358,etat!$A$9:$N$1004,2,FALSE)</f>
        <v>#N/A</v>
      </c>
      <c r="Q358" s="797" t="e">
        <f>VLOOKUP(N358,etat!$A$9:$N$963,7,FALSE)</f>
        <v>#N/A</v>
      </c>
      <c r="R358" s="954" t="e">
        <f>VLOOKUP(N358,etat!$A$9:$N$1003,9,FALSE)</f>
        <v>#N/A</v>
      </c>
      <c r="S358" s="866" t="e">
        <f>VLOOKUP(N358,etat!$A$9:$P$905,16,FALSE)</f>
        <v>#N/A</v>
      </c>
      <c r="T358" s="755"/>
      <c r="U358" s="784"/>
      <c r="V358" s="784"/>
      <c r="W358" s="784"/>
      <c r="X358" s="784"/>
      <c r="Y358" s="956"/>
      <c r="Z358" s="1022"/>
      <c r="AA358" s="967"/>
      <c r="AB358" s="1005"/>
      <c r="AC358" s="1005"/>
      <c r="AD358" s="1005"/>
      <c r="AE358" s="1005"/>
      <c r="AF358" s="1005"/>
      <c r="AG358" s="1004"/>
      <c r="AH358" s="1004"/>
      <c r="AI358" s="1004"/>
      <c r="AJ358" s="1004"/>
      <c r="AK358" s="1004"/>
      <c r="AL358" s="1004"/>
      <c r="AM358" s="1004"/>
      <c r="AN358" s="1004"/>
      <c r="AO358" s="1004"/>
      <c r="AP358" s="1004"/>
      <c r="AQ358" s="1004"/>
      <c r="AR358" s="1004"/>
      <c r="AS358" s="1004"/>
      <c r="AT358" s="1004"/>
      <c r="AU358" s="1004"/>
      <c r="AV358" s="1004"/>
      <c r="AW358" s="1004"/>
    </row>
    <row r="359" spans="1:49" s="25" customFormat="1" ht="16.5" customHeight="1">
      <c r="A359" s="1004"/>
      <c r="B359" s="1004"/>
      <c r="C359" s="1004"/>
      <c r="D359" s="166"/>
      <c r="E359" s="166"/>
      <c r="F359" s="166"/>
      <c r="G359" s="166"/>
      <c r="H359" s="166"/>
      <c r="I359" s="1004"/>
      <c r="J359" s="1004"/>
      <c r="K359" s="1004"/>
      <c r="L359" s="777">
        <v>5</v>
      </c>
      <c r="M359" s="778"/>
      <c r="N359" s="976"/>
      <c r="O359" s="1020">
        <v>302</v>
      </c>
      <c r="P359" s="847" t="e">
        <f>VLOOKUP(N359,etat!$A$9:$N$1004,2,FALSE)</f>
        <v>#N/A</v>
      </c>
      <c r="Q359" s="797" t="e">
        <f>VLOOKUP(N359,etat!$A$9:$N$963,7,FALSE)</f>
        <v>#N/A</v>
      </c>
      <c r="R359" s="797" t="e">
        <f>VLOOKUP(N359,etat!$A$9:$N$1003,9,FALSE)</f>
        <v>#N/A</v>
      </c>
      <c r="S359" s="866" t="e">
        <f>VLOOKUP(N359,etat!$A$9:$P$905,16,FALSE)</f>
        <v>#N/A</v>
      </c>
      <c r="T359" s="755"/>
      <c r="U359" s="784"/>
      <c r="V359" s="784"/>
      <c r="W359" s="784"/>
      <c r="X359" s="784"/>
      <c r="Y359" s="975"/>
      <c r="Z359" s="1022"/>
      <c r="AA359" s="967"/>
      <c r="AB359" s="1005"/>
      <c r="AC359" s="1005"/>
      <c r="AD359" s="1005"/>
      <c r="AE359" s="1005"/>
      <c r="AF359" s="1005"/>
      <c r="AG359" s="1004"/>
      <c r="AH359" s="1004"/>
      <c r="AI359" s="1004"/>
      <c r="AJ359" s="1004"/>
      <c r="AK359" s="1004"/>
      <c r="AL359" s="1004"/>
      <c r="AM359" s="1004"/>
      <c r="AN359" s="1004"/>
      <c r="AO359" s="1004"/>
      <c r="AP359" s="1004"/>
      <c r="AQ359" s="1004"/>
      <c r="AR359" s="1004"/>
      <c r="AS359" s="1004"/>
      <c r="AT359" s="1004"/>
      <c r="AU359" s="1004"/>
      <c r="AV359" s="1004"/>
      <c r="AW359" s="1004"/>
    </row>
    <row r="360" spans="1:49" s="25" customFormat="1" ht="16.5" customHeight="1">
      <c r="A360" s="1004"/>
      <c r="B360" s="1004"/>
      <c r="C360" s="1004"/>
      <c r="D360" s="166"/>
      <c r="E360" s="166"/>
      <c r="F360" s="166"/>
      <c r="G360" s="166"/>
      <c r="H360" s="166"/>
      <c r="I360" s="1004"/>
      <c r="J360" s="1004"/>
      <c r="K360" s="1004"/>
      <c r="L360" s="777">
        <v>5</v>
      </c>
      <c r="M360" s="778"/>
      <c r="N360" s="976"/>
      <c r="O360" s="1020">
        <v>303</v>
      </c>
      <c r="P360" s="847" t="e">
        <f>VLOOKUP(N360,etat!$A$9:$N$1004,2,FALSE)</f>
        <v>#N/A</v>
      </c>
      <c r="Q360" s="797" t="e">
        <f>VLOOKUP(N360,etat!$A$9:$N$963,7,FALSE)</f>
        <v>#N/A</v>
      </c>
      <c r="R360" s="797" t="e">
        <f>VLOOKUP(N360,etat!$A$9:$N$1003,9,FALSE)</f>
        <v>#N/A</v>
      </c>
      <c r="S360" s="866" t="e">
        <f>VLOOKUP(N360,etat!$A$9:$P$905,16,FALSE)</f>
        <v>#N/A</v>
      </c>
      <c r="T360" s="755"/>
      <c r="U360" s="784"/>
      <c r="V360" s="784"/>
      <c r="W360" s="755"/>
      <c r="X360" s="784"/>
      <c r="Y360" s="975"/>
      <c r="Z360" s="1022"/>
      <c r="AA360" s="967"/>
      <c r="AB360" s="1005"/>
      <c r="AC360" s="1005"/>
      <c r="AD360" s="1005"/>
      <c r="AE360" s="1005"/>
      <c r="AF360" s="1005"/>
      <c r="AG360" s="1004"/>
      <c r="AH360" s="1004"/>
      <c r="AI360" s="1004"/>
      <c r="AJ360" s="1004"/>
      <c r="AK360" s="1004"/>
      <c r="AL360" s="1004"/>
      <c r="AM360" s="1004"/>
      <c r="AN360" s="1004"/>
      <c r="AO360" s="1004"/>
      <c r="AP360" s="1004"/>
      <c r="AQ360" s="1004"/>
      <c r="AR360" s="1004"/>
      <c r="AS360" s="1004"/>
      <c r="AT360" s="1004"/>
      <c r="AU360" s="1004"/>
      <c r="AV360" s="1004"/>
      <c r="AW360" s="1004"/>
    </row>
    <row r="361" spans="1:49" s="25" customFormat="1" ht="16.5" customHeight="1">
      <c r="A361" s="1004"/>
      <c r="B361" s="1004"/>
      <c r="C361" s="1004"/>
      <c r="D361" s="166"/>
      <c r="E361" s="166"/>
      <c r="F361" s="166"/>
      <c r="G361" s="166"/>
      <c r="H361" s="166"/>
      <c r="I361" s="1004"/>
      <c r="J361" s="1004"/>
      <c r="K361" s="1004"/>
      <c r="L361" s="777">
        <v>5</v>
      </c>
      <c r="M361" s="778"/>
      <c r="N361" s="976"/>
      <c r="O361" s="1020">
        <v>304</v>
      </c>
      <c r="P361" s="847" t="e">
        <f>VLOOKUP(N361,etat!$A$9:$N$1004,2,FALSE)</f>
        <v>#N/A</v>
      </c>
      <c r="Q361" s="797" t="e">
        <f>VLOOKUP(N361,etat!$A$9:$N$963,7,FALSE)</f>
        <v>#N/A</v>
      </c>
      <c r="R361" s="797" t="e">
        <f>VLOOKUP(N361,etat!$A$9:$N$1003,9,FALSE)</f>
        <v>#N/A</v>
      </c>
      <c r="S361" s="866" t="e">
        <f>VLOOKUP(N361,etat!$A$9:$P$905,16,FALSE)</f>
        <v>#N/A</v>
      </c>
      <c r="T361" s="755"/>
      <c r="U361" s="784"/>
      <c r="V361" s="784"/>
      <c r="W361" s="943"/>
      <c r="X361" s="944"/>
      <c r="Y361" s="975"/>
      <c r="Z361" s="1022"/>
      <c r="AA361" s="967"/>
      <c r="AB361" s="1005"/>
      <c r="AC361" s="1005"/>
      <c r="AD361" s="1005"/>
      <c r="AE361" s="1005"/>
      <c r="AF361" s="1005"/>
      <c r="AG361" s="1004"/>
      <c r="AH361" s="1004"/>
      <c r="AI361" s="1004"/>
      <c r="AJ361" s="1004"/>
      <c r="AK361" s="1004"/>
      <c r="AL361" s="1004"/>
      <c r="AM361" s="1004"/>
      <c r="AN361" s="1004"/>
      <c r="AO361" s="1004"/>
      <c r="AP361" s="1004"/>
      <c r="AQ361" s="1004"/>
      <c r="AR361" s="1004"/>
      <c r="AS361" s="1004"/>
      <c r="AT361" s="1004"/>
      <c r="AU361" s="1004"/>
      <c r="AV361" s="1004"/>
      <c r="AW361" s="1004"/>
    </row>
    <row r="362" spans="1:49" s="25" customFormat="1" ht="16.5" customHeight="1">
      <c r="A362" s="1072"/>
      <c r="B362" s="1072"/>
      <c r="C362" s="1072"/>
      <c r="D362" s="166"/>
      <c r="E362" s="166"/>
      <c r="F362" s="166"/>
      <c r="G362" s="166"/>
      <c r="H362" s="166"/>
      <c r="I362" s="1072"/>
      <c r="J362" s="1072"/>
      <c r="K362" s="1072"/>
      <c r="L362" s="777">
        <v>5</v>
      </c>
      <c r="M362" s="778"/>
      <c r="N362" s="976"/>
      <c r="O362" s="1020">
        <v>305</v>
      </c>
      <c r="P362" s="847" t="e">
        <f>VLOOKUP(N362,etat!$A$9:$N$1004,2,FALSE)</f>
        <v>#N/A</v>
      </c>
      <c r="Q362" s="797" t="e">
        <f>VLOOKUP(N362,etat!$A$9:$N$963,7,FALSE)</f>
        <v>#N/A</v>
      </c>
      <c r="R362" s="797" t="e">
        <f>VLOOKUP(N362,etat!$A$9:$N$1003,9,FALSE)</f>
        <v>#N/A</v>
      </c>
      <c r="S362" s="866" t="e">
        <f>VLOOKUP(N362,etat!$A$9:$P$905,16,FALSE)</f>
        <v>#N/A</v>
      </c>
      <c r="T362" s="755"/>
      <c r="U362" s="784"/>
      <c r="V362" s="784"/>
      <c r="W362" s="755"/>
      <c r="X362" s="784"/>
      <c r="Y362" s="975"/>
      <c r="Z362" s="1022"/>
      <c r="AA362" s="967"/>
      <c r="AB362" s="1073"/>
      <c r="AC362" s="1073"/>
      <c r="AD362" s="1073"/>
      <c r="AE362" s="1073"/>
      <c r="AF362" s="1073"/>
      <c r="AG362" s="1072"/>
      <c r="AH362" s="1072"/>
      <c r="AI362" s="1072"/>
      <c r="AJ362" s="1072"/>
      <c r="AK362" s="1072"/>
      <c r="AL362" s="1072"/>
      <c r="AM362" s="1072"/>
      <c r="AN362" s="1072"/>
      <c r="AO362" s="1072"/>
      <c r="AP362" s="1072"/>
      <c r="AQ362" s="1072"/>
      <c r="AR362" s="1072"/>
      <c r="AS362" s="1072"/>
      <c r="AT362" s="1072"/>
      <c r="AU362" s="1072"/>
      <c r="AV362" s="1072"/>
      <c r="AW362" s="1072"/>
    </row>
    <row r="363" spans="1:49" s="25" customFormat="1" ht="16.5" customHeight="1">
      <c r="A363" s="1072"/>
      <c r="B363" s="1072"/>
      <c r="C363" s="1072"/>
      <c r="D363" s="166"/>
      <c r="E363" s="166"/>
      <c r="F363" s="166"/>
      <c r="G363" s="166"/>
      <c r="H363" s="166"/>
      <c r="I363" s="1072"/>
      <c r="J363" s="1072"/>
      <c r="K363" s="1072"/>
      <c r="L363" s="777">
        <v>5</v>
      </c>
      <c r="M363" s="778"/>
      <c r="N363" s="976"/>
      <c r="O363" s="1020">
        <v>306</v>
      </c>
      <c r="P363" s="847" t="e">
        <f>VLOOKUP(N363,etat!$A$9:$N$1004,2,FALSE)</f>
        <v>#N/A</v>
      </c>
      <c r="Q363" s="797" t="e">
        <f>VLOOKUP(N363,etat!$A$9:$N$963,7,FALSE)</f>
        <v>#N/A</v>
      </c>
      <c r="R363" s="797" t="e">
        <f>VLOOKUP(N363,etat!$A$9:$N$1003,9,FALSE)</f>
        <v>#N/A</v>
      </c>
      <c r="S363" s="866" t="e">
        <f>VLOOKUP(N363,etat!$A$9:$P$905,16,FALSE)</f>
        <v>#N/A</v>
      </c>
      <c r="T363" s="755"/>
      <c r="U363" s="784"/>
      <c r="V363" s="784"/>
      <c r="W363" s="943"/>
      <c r="X363" s="944"/>
      <c r="Y363" s="975"/>
      <c r="Z363" s="1022"/>
      <c r="AA363" s="967"/>
      <c r="AB363" s="1073"/>
      <c r="AC363" s="1073"/>
      <c r="AD363" s="1073"/>
      <c r="AE363" s="1073"/>
      <c r="AF363" s="1073"/>
      <c r="AG363" s="1072"/>
      <c r="AH363" s="1072"/>
      <c r="AI363" s="1072"/>
      <c r="AJ363" s="1072"/>
      <c r="AK363" s="1072"/>
      <c r="AL363" s="1072"/>
      <c r="AM363" s="1072"/>
      <c r="AN363" s="1072"/>
      <c r="AO363" s="1072"/>
      <c r="AP363" s="1072"/>
      <c r="AQ363" s="1072"/>
      <c r="AR363" s="1072"/>
      <c r="AS363" s="1072"/>
      <c r="AT363" s="1072"/>
      <c r="AU363" s="1072"/>
      <c r="AV363" s="1072"/>
      <c r="AW363" s="1072"/>
    </row>
    <row r="364" spans="1:49" s="25" customFormat="1" ht="16.5" customHeight="1">
      <c r="A364" s="1072"/>
      <c r="B364" s="1072"/>
      <c r="C364" s="1072"/>
      <c r="D364" s="166"/>
      <c r="E364" s="166"/>
      <c r="F364" s="166"/>
      <c r="G364" s="166"/>
      <c r="H364" s="166"/>
      <c r="I364" s="1072"/>
      <c r="J364" s="1072"/>
      <c r="K364" s="1072"/>
      <c r="L364" s="777">
        <v>5</v>
      </c>
      <c r="M364" s="778"/>
      <c r="N364" s="976"/>
      <c r="O364" s="1020">
        <v>307</v>
      </c>
      <c r="P364" s="847" t="e">
        <f>VLOOKUP(N364,etat!$A$9:$N$1004,2,FALSE)</f>
        <v>#N/A</v>
      </c>
      <c r="Q364" s="797" t="e">
        <f>VLOOKUP(N364,etat!$A$9:$N$963,7,FALSE)</f>
        <v>#N/A</v>
      </c>
      <c r="R364" s="797" t="e">
        <f>VLOOKUP(N364,etat!$A$9:$N$1003,9,FALSE)</f>
        <v>#N/A</v>
      </c>
      <c r="S364" s="866" t="e">
        <f>VLOOKUP(N364,etat!$A$9:$P$905,16,FALSE)</f>
        <v>#N/A</v>
      </c>
      <c r="T364" s="755"/>
      <c r="U364" s="784"/>
      <c r="V364" s="784"/>
      <c r="W364" s="943"/>
      <c r="X364" s="944"/>
      <c r="Y364" s="975"/>
      <c r="Z364" s="1022"/>
      <c r="AA364" s="967"/>
      <c r="AB364" s="1073"/>
      <c r="AC364" s="1073"/>
      <c r="AD364" s="1073"/>
      <c r="AE364" s="1073"/>
      <c r="AF364" s="1073"/>
      <c r="AG364" s="1072"/>
      <c r="AH364" s="1072"/>
      <c r="AI364" s="1072"/>
      <c r="AJ364" s="1072"/>
      <c r="AK364" s="1072"/>
      <c r="AL364" s="1072"/>
      <c r="AM364" s="1072"/>
      <c r="AN364" s="1072"/>
      <c r="AO364" s="1072"/>
      <c r="AP364" s="1072"/>
      <c r="AQ364" s="1072"/>
      <c r="AR364" s="1072"/>
      <c r="AS364" s="1072"/>
      <c r="AT364" s="1072"/>
      <c r="AU364" s="1072"/>
      <c r="AV364" s="1072"/>
      <c r="AW364" s="1072"/>
    </row>
    <row r="365" spans="1:49" s="25" customFormat="1" ht="16.5" customHeight="1">
      <c r="A365" s="1072"/>
      <c r="B365" s="1072"/>
      <c r="C365" s="1072"/>
      <c r="D365" s="166"/>
      <c r="E365" s="166"/>
      <c r="F365" s="166"/>
      <c r="G365" s="166"/>
      <c r="H365" s="166"/>
      <c r="I365" s="1072"/>
      <c r="J365" s="1072"/>
      <c r="K365" s="1072"/>
      <c r="L365" s="777">
        <v>5</v>
      </c>
      <c r="M365" s="778"/>
      <c r="N365" s="976"/>
      <c r="O365" s="1020">
        <v>308</v>
      </c>
      <c r="P365" s="847" t="e">
        <f>VLOOKUP(N365,etat!$A$9:$N$1004,2,FALSE)</f>
        <v>#N/A</v>
      </c>
      <c r="Q365" s="797" t="e">
        <f>VLOOKUP(N365,etat!$A$9:$N$963,7,FALSE)</f>
        <v>#N/A</v>
      </c>
      <c r="R365" s="797" t="e">
        <f>VLOOKUP(N365,etat!$A$9:$N$1003,9,FALSE)</f>
        <v>#N/A</v>
      </c>
      <c r="S365" s="866" t="e">
        <f>VLOOKUP(N365,etat!$A$9:$P$905,16,FALSE)</f>
        <v>#N/A</v>
      </c>
      <c r="T365" s="755"/>
      <c r="U365" s="784"/>
      <c r="V365" s="784"/>
      <c r="W365" s="943"/>
      <c r="X365" s="944"/>
      <c r="Y365" s="975"/>
      <c r="Z365" s="1022"/>
      <c r="AA365" s="967"/>
      <c r="AB365" s="1073"/>
      <c r="AC365" s="1073"/>
      <c r="AD365" s="1073"/>
      <c r="AE365" s="1073"/>
      <c r="AF365" s="1073"/>
      <c r="AG365" s="1072"/>
      <c r="AH365" s="1072"/>
      <c r="AI365" s="1072"/>
      <c r="AJ365" s="1072"/>
      <c r="AK365" s="1072"/>
      <c r="AL365" s="1072"/>
      <c r="AM365" s="1072"/>
      <c r="AN365" s="1072"/>
      <c r="AO365" s="1072"/>
      <c r="AP365" s="1072"/>
      <c r="AQ365" s="1072"/>
      <c r="AR365" s="1072"/>
      <c r="AS365" s="1072"/>
      <c r="AT365" s="1072"/>
      <c r="AU365" s="1072"/>
      <c r="AV365" s="1072"/>
      <c r="AW365" s="1072"/>
    </row>
    <row r="366" spans="1:49" s="25" customFormat="1" ht="16.5" customHeight="1">
      <c r="A366" s="1072"/>
      <c r="B366" s="1072"/>
      <c r="C366" s="1072"/>
      <c r="D366" s="166"/>
      <c r="E366" s="166"/>
      <c r="F366" s="166"/>
      <c r="G366" s="166"/>
      <c r="H366" s="166"/>
      <c r="I366" s="1072"/>
      <c r="J366" s="1072"/>
      <c r="K366" s="1072"/>
      <c r="L366" s="777">
        <v>5</v>
      </c>
      <c r="M366" s="778"/>
      <c r="N366" s="976"/>
      <c r="O366" s="1020">
        <v>309</v>
      </c>
      <c r="P366" s="847" t="e">
        <f>VLOOKUP(N366,etat!$A$9:$N$1004,2,FALSE)</f>
        <v>#N/A</v>
      </c>
      <c r="Q366" s="797" t="e">
        <f>VLOOKUP(N366,etat!$A$9:$N$963,7,FALSE)</f>
        <v>#N/A</v>
      </c>
      <c r="R366" s="797" t="e">
        <f>VLOOKUP(N366,etat!$A$9:$N$1003,9,FALSE)</f>
        <v>#N/A</v>
      </c>
      <c r="S366" s="866" t="e">
        <f>VLOOKUP(N366,etat!$A$9:$P$905,16,FALSE)</f>
        <v>#N/A</v>
      </c>
      <c r="T366" s="755"/>
      <c r="U366" s="784"/>
      <c r="V366" s="784"/>
      <c r="W366" s="784"/>
      <c r="X366" s="784"/>
      <c r="Y366" s="975"/>
      <c r="Z366" s="1022"/>
      <c r="AA366" s="967"/>
      <c r="AB366" s="1073"/>
      <c r="AC366" s="1073"/>
      <c r="AD366" s="1073"/>
      <c r="AE366" s="1073"/>
      <c r="AF366" s="1073"/>
      <c r="AG366" s="1072"/>
      <c r="AH366" s="1072"/>
      <c r="AI366" s="1072"/>
      <c r="AJ366" s="1072"/>
      <c r="AK366" s="1072"/>
      <c r="AL366" s="1072"/>
      <c r="AM366" s="1072"/>
      <c r="AN366" s="1072"/>
      <c r="AO366" s="1072"/>
      <c r="AP366" s="1072"/>
      <c r="AQ366" s="1072"/>
      <c r="AR366" s="1072"/>
      <c r="AS366" s="1072"/>
      <c r="AT366" s="1072"/>
      <c r="AU366" s="1072"/>
      <c r="AV366" s="1072"/>
      <c r="AW366" s="1072"/>
    </row>
    <row r="367" spans="1:49" s="25" customFormat="1" ht="16.5" customHeight="1">
      <c r="A367" s="1072"/>
      <c r="B367" s="1072"/>
      <c r="C367" s="1072"/>
      <c r="D367" s="166"/>
      <c r="E367" s="166"/>
      <c r="F367" s="166"/>
      <c r="G367" s="166"/>
      <c r="H367" s="166"/>
      <c r="I367" s="1072"/>
      <c r="J367" s="1072"/>
      <c r="K367" s="1072"/>
      <c r="L367" s="777">
        <v>5</v>
      </c>
      <c r="M367" s="778"/>
      <c r="N367" s="976"/>
      <c r="O367" s="1020">
        <v>310</v>
      </c>
      <c r="P367" s="847" t="e">
        <f>VLOOKUP(N367,etat!$A$9:$N$1004,2,FALSE)</f>
        <v>#N/A</v>
      </c>
      <c r="Q367" s="797" t="e">
        <f>VLOOKUP(N367,etat!$A$9:$N$963,7,FALSE)</f>
        <v>#N/A</v>
      </c>
      <c r="R367" s="797" t="e">
        <f>VLOOKUP(N367,etat!$A$9:$N$1003,9,FALSE)</f>
        <v>#N/A</v>
      </c>
      <c r="S367" s="866" t="e">
        <f>VLOOKUP(N367,etat!$A$9:$P$905,16,FALSE)</f>
        <v>#N/A</v>
      </c>
      <c r="T367" s="755"/>
      <c r="U367" s="784"/>
      <c r="V367" s="784"/>
      <c r="W367" s="784"/>
      <c r="X367" s="784"/>
      <c r="Y367" s="784"/>
      <c r="Z367" s="1112"/>
      <c r="AA367" s="967"/>
      <c r="AB367" s="1073"/>
      <c r="AC367" s="1073"/>
      <c r="AD367" s="1073"/>
      <c r="AE367" s="1073"/>
      <c r="AF367" s="1073"/>
      <c r="AG367" s="1072"/>
      <c r="AH367" s="1072"/>
      <c r="AI367" s="1072"/>
      <c r="AJ367" s="1072"/>
      <c r="AK367" s="1072"/>
      <c r="AL367" s="1072"/>
      <c r="AM367" s="1072"/>
      <c r="AN367" s="1072"/>
      <c r="AO367" s="1072"/>
      <c r="AP367" s="1072"/>
      <c r="AQ367" s="1072"/>
      <c r="AR367" s="1072"/>
      <c r="AS367" s="1072"/>
      <c r="AT367" s="1072"/>
      <c r="AU367" s="1072"/>
      <c r="AV367" s="1072"/>
      <c r="AW367" s="1072"/>
    </row>
    <row r="368" spans="1:49" s="25" customFormat="1" ht="16.5" customHeight="1">
      <c r="A368" s="1072"/>
      <c r="B368" s="1072"/>
      <c r="C368" s="1072"/>
      <c r="D368" s="166"/>
      <c r="E368" s="166"/>
      <c r="F368" s="166"/>
      <c r="G368" s="166"/>
      <c r="H368" s="166"/>
      <c r="I368" s="1072"/>
      <c r="J368" s="1072"/>
      <c r="K368" s="1072"/>
      <c r="L368" s="777">
        <v>5</v>
      </c>
      <c r="M368" s="778"/>
      <c r="N368" s="976"/>
      <c r="O368" s="1020">
        <v>311</v>
      </c>
      <c r="P368" s="847" t="e">
        <f>VLOOKUP(N368,etat!$A$9:$N$1004,2,FALSE)</f>
        <v>#N/A</v>
      </c>
      <c r="Q368" s="797" t="e">
        <f>VLOOKUP(N368,etat!$A$9:$N$963,7,FALSE)</f>
        <v>#N/A</v>
      </c>
      <c r="R368" s="797" t="e">
        <f>VLOOKUP(N368,etat!$A$9:$N$1003,9,FALSE)</f>
        <v>#N/A</v>
      </c>
      <c r="S368" s="866" t="e">
        <f>VLOOKUP(N368,etat!$A$9:$P$905,16,FALSE)</f>
        <v>#N/A</v>
      </c>
      <c r="T368" s="755"/>
      <c r="U368" s="784"/>
      <c r="V368" s="784"/>
      <c r="W368" s="784"/>
      <c r="X368" s="784"/>
      <c r="Y368" s="975"/>
      <c r="Z368" s="1022"/>
      <c r="AA368" s="967"/>
      <c r="AB368" s="1073"/>
      <c r="AC368" s="1073"/>
      <c r="AD368" s="1073"/>
      <c r="AE368" s="1073"/>
      <c r="AF368" s="1073"/>
      <c r="AG368" s="1072"/>
      <c r="AH368" s="1072"/>
      <c r="AI368" s="1072"/>
      <c r="AJ368" s="1072"/>
      <c r="AK368" s="1072"/>
      <c r="AL368" s="1072"/>
      <c r="AM368" s="1072"/>
      <c r="AN368" s="1072"/>
      <c r="AO368" s="1072"/>
      <c r="AP368" s="1072"/>
      <c r="AQ368" s="1072"/>
      <c r="AR368" s="1072"/>
      <c r="AS368" s="1072"/>
      <c r="AT368" s="1072"/>
      <c r="AU368" s="1072"/>
      <c r="AV368" s="1072"/>
      <c r="AW368" s="1072"/>
    </row>
    <row r="369" spans="1:49" s="25" customFormat="1" ht="16.5" customHeight="1">
      <c r="A369" s="1072"/>
      <c r="B369" s="1072"/>
      <c r="C369" s="1072"/>
      <c r="D369" s="166"/>
      <c r="E369" s="166"/>
      <c r="F369" s="166"/>
      <c r="G369" s="166"/>
      <c r="H369" s="166"/>
      <c r="I369" s="1072"/>
      <c r="J369" s="1072"/>
      <c r="K369" s="1072"/>
      <c r="L369" s="777">
        <v>5</v>
      </c>
      <c r="M369" s="778"/>
      <c r="N369" s="976"/>
      <c r="O369" s="1020">
        <v>312</v>
      </c>
      <c r="P369" s="847" t="e">
        <f>VLOOKUP(N369,etat!$A$9:$N$1004,2,FALSE)</f>
        <v>#N/A</v>
      </c>
      <c r="Q369" s="797" t="e">
        <f>VLOOKUP(N369,etat!$A$9:$N$963,7,FALSE)</f>
        <v>#N/A</v>
      </c>
      <c r="R369" s="797" t="e">
        <f>VLOOKUP(N369,etat!$A$9:$N$1003,9,FALSE)</f>
        <v>#N/A</v>
      </c>
      <c r="S369" s="866" t="e">
        <f>VLOOKUP(N369,etat!$A$9:$P$905,16,FALSE)</f>
        <v>#N/A</v>
      </c>
      <c r="T369" s="755"/>
      <c r="U369" s="784"/>
      <c r="V369" s="784"/>
      <c r="W369" s="784"/>
      <c r="X369" s="784"/>
      <c r="Y369" s="784"/>
      <c r="Z369" s="1112"/>
      <c r="AA369" s="967"/>
      <c r="AB369" s="1073"/>
      <c r="AC369" s="1073"/>
      <c r="AD369" s="1073"/>
      <c r="AE369" s="1073"/>
      <c r="AF369" s="1073"/>
      <c r="AG369" s="1072"/>
      <c r="AH369" s="1072"/>
      <c r="AI369" s="1072"/>
      <c r="AJ369" s="1072"/>
      <c r="AK369" s="1072"/>
      <c r="AL369" s="1072"/>
      <c r="AM369" s="1072"/>
      <c r="AN369" s="1072"/>
      <c r="AO369" s="1072"/>
      <c r="AP369" s="1072"/>
      <c r="AQ369" s="1072"/>
      <c r="AR369" s="1072"/>
      <c r="AS369" s="1072"/>
      <c r="AT369" s="1072"/>
      <c r="AU369" s="1072"/>
      <c r="AV369" s="1072"/>
      <c r="AW369" s="1072"/>
    </row>
    <row r="370" spans="1:49" s="25" customFormat="1" ht="16.5" customHeight="1">
      <c r="A370" s="1072"/>
      <c r="B370" s="1072"/>
      <c r="C370" s="1072"/>
      <c r="D370" s="166"/>
      <c r="E370" s="166"/>
      <c r="F370" s="166"/>
      <c r="G370" s="166"/>
      <c r="H370" s="166"/>
      <c r="I370" s="1072"/>
      <c r="J370" s="1072"/>
      <c r="K370" s="1072"/>
      <c r="L370" s="777">
        <v>5</v>
      </c>
      <c r="M370" s="778"/>
      <c r="N370" s="976"/>
      <c r="O370" s="1020">
        <v>313</v>
      </c>
      <c r="P370" s="847" t="e">
        <f>VLOOKUP(N370,etat!$A$9:$N$1004,2,FALSE)</f>
        <v>#N/A</v>
      </c>
      <c r="Q370" s="797" t="e">
        <f>VLOOKUP(N370,etat!$A$9:$N$963,7,FALSE)</f>
        <v>#N/A</v>
      </c>
      <c r="R370" s="797" t="e">
        <f>VLOOKUP(N370,etat!$A$9:$N$1003,9,FALSE)</f>
        <v>#N/A</v>
      </c>
      <c r="S370" s="866" t="e">
        <f>VLOOKUP(N370,etat!$A$9:$P$905,16,FALSE)</f>
        <v>#N/A</v>
      </c>
      <c r="T370" s="755"/>
      <c r="U370" s="784"/>
      <c r="V370" s="784"/>
      <c r="W370" s="784"/>
      <c r="X370" s="784"/>
      <c r="Y370" s="975"/>
      <c r="Z370" s="1022"/>
      <c r="AA370" s="967"/>
      <c r="AB370" s="1073"/>
      <c r="AC370" s="1073"/>
      <c r="AD370" s="1073"/>
      <c r="AE370" s="1073"/>
      <c r="AF370" s="1073"/>
      <c r="AG370" s="1072"/>
      <c r="AH370" s="1072"/>
      <c r="AI370" s="1072"/>
      <c r="AJ370" s="1072"/>
      <c r="AK370" s="1072"/>
      <c r="AL370" s="1072"/>
      <c r="AM370" s="1072"/>
      <c r="AN370" s="1072"/>
      <c r="AO370" s="1072"/>
      <c r="AP370" s="1072"/>
      <c r="AQ370" s="1072"/>
      <c r="AR370" s="1072"/>
      <c r="AS370" s="1072"/>
      <c r="AT370" s="1072"/>
      <c r="AU370" s="1072"/>
      <c r="AV370" s="1072"/>
      <c r="AW370" s="1072"/>
    </row>
    <row r="371" spans="1:49" s="25" customFormat="1" ht="16.5" customHeight="1">
      <c r="A371" s="1072"/>
      <c r="B371" s="1072"/>
      <c r="C371" s="1072"/>
      <c r="D371" s="166"/>
      <c r="E371" s="166"/>
      <c r="F371" s="166"/>
      <c r="G371" s="166"/>
      <c r="H371" s="166"/>
      <c r="I371" s="1072"/>
      <c r="J371" s="1072"/>
      <c r="K371" s="1072"/>
      <c r="L371" s="777">
        <v>5</v>
      </c>
      <c r="M371" s="778"/>
      <c r="N371" s="976"/>
      <c r="O371" s="1020">
        <v>314</v>
      </c>
      <c r="P371" s="847" t="e">
        <f>VLOOKUP(N371,etat!$A$9:$N$1004,2,FALSE)</f>
        <v>#N/A</v>
      </c>
      <c r="Q371" s="797" t="e">
        <f>VLOOKUP(N371,etat!$A$9:$N$963,7,FALSE)</f>
        <v>#N/A</v>
      </c>
      <c r="R371" s="797" t="e">
        <f>VLOOKUP(N371,etat!$A$9:$N$1003,9,FALSE)</f>
        <v>#N/A</v>
      </c>
      <c r="S371" s="866" t="e">
        <f>VLOOKUP(N371,etat!$A$9:$P$905,16,FALSE)</f>
        <v>#N/A</v>
      </c>
      <c r="T371" s="755"/>
      <c r="U371" s="784"/>
      <c r="V371" s="784"/>
      <c r="W371" s="784"/>
      <c r="X371" s="784"/>
      <c r="Y371" s="975"/>
      <c r="Z371" s="1022"/>
      <c r="AA371" s="967"/>
      <c r="AB371" s="1073"/>
      <c r="AC371" s="1073"/>
      <c r="AD371" s="1073"/>
      <c r="AE371" s="1073"/>
      <c r="AF371" s="1073"/>
      <c r="AG371" s="1072"/>
      <c r="AH371" s="1072"/>
      <c r="AI371" s="1072"/>
      <c r="AJ371" s="1072"/>
      <c r="AK371" s="1072"/>
      <c r="AL371" s="1072"/>
      <c r="AM371" s="1072"/>
      <c r="AN371" s="1072"/>
      <c r="AO371" s="1072"/>
      <c r="AP371" s="1072"/>
      <c r="AQ371" s="1072"/>
      <c r="AR371" s="1072"/>
      <c r="AS371" s="1072"/>
      <c r="AT371" s="1072"/>
      <c r="AU371" s="1072"/>
      <c r="AV371" s="1072"/>
      <c r="AW371" s="1072"/>
    </row>
    <row r="372" spans="1:49" s="25" customFormat="1" ht="16.5" customHeight="1">
      <c r="A372" s="1072"/>
      <c r="B372" s="1072"/>
      <c r="C372" s="1072"/>
      <c r="D372" s="166"/>
      <c r="E372" s="166"/>
      <c r="F372" s="166"/>
      <c r="G372" s="166"/>
      <c r="H372" s="166"/>
      <c r="I372" s="1072"/>
      <c r="J372" s="1072"/>
      <c r="K372" s="1072"/>
      <c r="L372" s="777">
        <v>5</v>
      </c>
      <c r="M372" s="778"/>
      <c r="N372" s="976"/>
      <c r="O372" s="1020">
        <v>315</v>
      </c>
      <c r="P372" s="847" t="e">
        <f>VLOOKUP(N372,etat!$A$9:$N$1004,2,FALSE)</f>
        <v>#N/A</v>
      </c>
      <c r="Q372" s="797" t="e">
        <f>VLOOKUP(N372,etat!$A$9:$N$963,7,FALSE)</f>
        <v>#N/A</v>
      </c>
      <c r="R372" s="797" t="e">
        <f>VLOOKUP(N372,etat!$A$9:$N$1003,9,FALSE)</f>
        <v>#N/A</v>
      </c>
      <c r="S372" s="866" t="e">
        <f>VLOOKUP(N372,etat!$A$9:$P$905,16,FALSE)</f>
        <v>#N/A</v>
      </c>
      <c r="T372" s="755"/>
      <c r="U372" s="784"/>
      <c r="V372" s="784"/>
      <c r="W372" s="784"/>
      <c r="X372" s="784"/>
      <c r="Y372" s="975"/>
      <c r="Z372" s="1022"/>
      <c r="AA372" s="967"/>
      <c r="AB372" s="1073"/>
      <c r="AC372" s="1073"/>
      <c r="AD372" s="1073"/>
      <c r="AE372" s="1073"/>
      <c r="AF372" s="1073"/>
      <c r="AG372" s="1072"/>
      <c r="AH372" s="1072"/>
      <c r="AI372" s="1072"/>
      <c r="AJ372" s="1072"/>
      <c r="AK372" s="1072"/>
      <c r="AL372" s="1072"/>
      <c r="AM372" s="1072"/>
      <c r="AN372" s="1072"/>
      <c r="AO372" s="1072"/>
      <c r="AP372" s="1072"/>
      <c r="AQ372" s="1072"/>
      <c r="AR372" s="1072"/>
      <c r="AS372" s="1072"/>
      <c r="AT372" s="1072"/>
      <c r="AU372" s="1072"/>
      <c r="AV372" s="1072"/>
      <c r="AW372" s="1072"/>
    </row>
    <row r="373" spans="1:49" s="25" customFormat="1" ht="16.5" customHeight="1">
      <c r="A373" s="1072"/>
      <c r="B373" s="1072"/>
      <c r="C373" s="1072"/>
      <c r="D373" s="166"/>
      <c r="E373" s="166"/>
      <c r="F373" s="166"/>
      <c r="G373" s="166"/>
      <c r="H373" s="166"/>
      <c r="I373" s="1072"/>
      <c r="J373" s="1072"/>
      <c r="K373" s="1072"/>
      <c r="L373" s="777">
        <v>5</v>
      </c>
      <c r="M373" s="778"/>
      <c r="N373" s="976"/>
      <c r="O373" s="1020">
        <v>316</v>
      </c>
      <c r="P373" s="847" t="e">
        <f>VLOOKUP(N373,etat!$A$9:$N$1004,2,FALSE)</f>
        <v>#N/A</v>
      </c>
      <c r="Q373" s="797" t="e">
        <f>VLOOKUP(N373,etat!$A$9:$N$963,7,FALSE)</f>
        <v>#N/A</v>
      </c>
      <c r="R373" s="797" t="e">
        <f>VLOOKUP(N373,etat!$A$9:$N$1003,9,FALSE)</f>
        <v>#N/A</v>
      </c>
      <c r="S373" s="866" t="e">
        <f>VLOOKUP(N373,etat!$A$9:$P$905,16,FALSE)</f>
        <v>#N/A</v>
      </c>
      <c r="T373" s="755"/>
      <c r="U373" s="784"/>
      <c r="V373" s="784"/>
      <c r="W373" s="784"/>
      <c r="X373" s="784"/>
      <c r="Y373" s="975"/>
      <c r="Z373" s="1022"/>
      <c r="AA373" s="967"/>
      <c r="AB373" s="1073"/>
      <c r="AC373" s="1073"/>
      <c r="AD373" s="1073"/>
      <c r="AE373" s="1073"/>
      <c r="AF373" s="1073"/>
      <c r="AG373" s="1072"/>
      <c r="AH373" s="1072"/>
      <c r="AI373" s="1072"/>
      <c r="AJ373" s="1072"/>
      <c r="AK373" s="1072"/>
      <c r="AL373" s="1072"/>
      <c r="AM373" s="1072"/>
      <c r="AN373" s="1072"/>
      <c r="AO373" s="1072"/>
      <c r="AP373" s="1072"/>
      <c r="AQ373" s="1072"/>
      <c r="AR373" s="1072"/>
      <c r="AS373" s="1072"/>
      <c r="AT373" s="1072"/>
      <c r="AU373" s="1072"/>
      <c r="AV373" s="1072"/>
      <c r="AW373" s="1072"/>
    </row>
    <row r="374" spans="1:49" s="25" customFormat="1" ht="16.5" customHeight="1">
      <c r="A374" s="1072"/>
      <c r="B374" s="1072"/>
      <c r="C374" s="1072"/>
      <c r="D374" s="166"/>
      <c r="E374" s="166"/>
      <c r="F374" s="166"/>
      <c r="G374" s="166"/>
      <c r="H374" s="166"/>
      <c r="I374" s="1072"/>
      <c r="J374" s="1072"/>
      <c r="K374" s="1072"/>
      <c r="L374" s="777">
        <v>5</v>
      </c>
      <c r="M374" s="778"/>
      <c r="N374" s="976"/>
      <c r="O374" s="1020">
        <v>317</v>
      </c>
      <c r="P374" s="847" t="e">
        <f>VLOOKUP(N374,etat!$A$9:$N$1004,2,FALSE)</f>
        <v>#N/A</v>
      </c>
      <c r="Q374" s="797" t="e">
        <f>VLOOKUP(N374,etat!$A$9:$N$963,7,FALSE)</f>
        <v>#N/A</v>
      </c>
      <c r="R374" s="797" t="e">
        <f>VLOOKUP(N374,etat!$A$9:$N$1003,9,FALSE)</f>
        <v>#N/A</v>
      </c>
      <c r="S374" s="866" t="e">
        <f>VLOOKUP(N374,etat!$A$9:$P$905,16,FALSE)</f>
        <v>#N/A</v>
      </c>
      <c r="T374" s="755"/>
      <c r="U374" s="784"/>
      <c r="V374" s="784"/>
      <c r="W374" s="784"/>
      <c r="X374" s="784"/>
      <c r="Y374" s="784"/>
      <c r="Z374" s="1022"/>
      <c r="AA374" s="967"/>
      <c r="AB374" s="1073"/>
      <c r="AC374" s="1073"/>
      <c r="AD374" s="1073"/>
      <c r="AE374" s="1073"/>
      <c r="AF374" s="1073"/>
      <c r="AG374" s="1072"/>
      <c r="AH374" s="1072"/>
      <c r="AI374" s="1072"/>
      <c r="AJ374" s="1072"/>
      <c r="AK374" s="1072"/>
      <c r="AL374" s="1072"/>
      <c r="AM374" s="1072"/>
      <c r="AN374" s="1072"/>
      <c r="AO374" s="1072"/>
      <c r="AP374" s="1072"/>
      <c r="AQ374" s="1072"/>
      <c r="AR374" s="1072"/>
      <c r="AS374" s="1072"/>
      <c r="AT374" s="1072"/>
      <c r="AU374" s="1072"/>
      <c r="AV374" s="1072"/>
      <c r="AW374" s="1072"/>
    </row>
    <row r="375" spans="1:49" s="25" customFormat="1" ht="16.5" customHeight="1">
      <c r="A375" s="1072"/>
      <c r="B375" s="1072"/>
      <c r="C375" s="1072"/>
      <c r="D375" s="166"/>
      <c r="E375" s="166"/>
      <c r="F375" s="166"/>
      <c r="G375" s="166"/>
      <c r="H375" s="166"/>
      <c r="I375" s="1072"/>
      <c r="J375" s="1072"/>
      <c r="K375" s="1072"/>
      <c r="L375" s="777">
        <v>5</v>
      </c>
      <c r="M375" s="778"/>
      <c r="N375" s="976"/>
      <c r="O375" s="1020">
        <v>318</v>
      </c>
      <c r="P375" s="847" t="e">
        <f>VLOOKUP(N375,etat!$A$9:$N$1004,2,FALSE)</f>
        <v>#N/A</v>
      </c>
      <c r="Q375" s="797" t="e">
        <f>VLOOKUP(N375,etat!$A$9:$N$963,7,FALSE)</f>
        <v>#N/A</v>
      </c>
      <c r="R375" s="797" t="e">
        <f>VLOOKUP(N375,etat!$A$9:$N$1003,9,FALSE)</f>
        <v>#N/A</v>
      </c>
      <c r="S375" s="866" t="e">
        <f>VLOOKUP(N375,etat!$A$9:$P$905,16,FALSE)</f>
        <v>#N/A</v>
      </c>
      <c r="T375" s="755"/>
      <c r="U375" s="784"/>
      <c r="V375" s="784"/>
      <c r="W375" s="784"/>
      <c r="X375" s="784"/>
      <c r="Y375" s="784"/>
      <c r="Z375" s="1022"/>
      <c r="AA375" s="967"/>
      <c r="AB375" s="1073"/>
      <c r="AC375" s="1073"/>
      <c r="AD375" s="1073"/>
      <c r="AE375" s="1073"/>
      <c r="AF375" s="1073"/>
      <c r="AG375" s="1072"/>
      <c r="AH375" s="1072"/>
      <c r="AI375" s="1072"/>
      <c r="AJ375" s="1072"/>
      <c r="AK375" s="1072"/>
      <c r="AL375" s="1072"/>
      <c r="AM375" s="1072"/>
      <c r="AN375" s="1072"/>
      <c r="AO375" s="1072"/>
      <c r="AP375" s="1072"/>
      <c r="AQ375" s="1072"/>
      <c r="AR375" s="1072"/>
      <c r="AS375" s="1072"/>
      <c r="AT375" s="1072"/>
      <c r="AU375" s="1072"/>
      <c r="AV375" s="1072"/>
      <c r="AW375" s="1072"/>
    </row>
    <row r="376" spans="1:49" s="25" customFormat="1" ht="16.5" customHeight="1">
      <c r="A376" s="1072"/>
      <c r="B376" s="1072"/>
      <c r="C376" s="1072"/>
      <c r="D376" s="166"/>
      <c r="E376" s="166"/>
      <c r="F376" s="166"/>
      <c r="G376" s="166"/>
      <c r="H376" s="166"/>
      <c r="I376" s="1072"/>
      <c r="J376" s="1072"/>
      <c r="K376" s="1072"/>
      <c r="L376" s="777">
        <v>5</v>
      </c>
      <c r="M376" s="778"/>
      <c r="N376" s="976"/>
      <c r="O376" s="1020">
        <v>319</v>
      </c>
      <c r="P376" s="847" t="e">
        <f>VLOOKUP(N376,etat!$A$9:$N$1004,2,FALSE)</f>
        <v>#N/A</v>
      </c>
      <c r="Q376" s="797" t="e">
        <f>VLOOKUP(N376,etat!$A$9:$N$963,7,FALSE)</f>
        <v>#N/A</v>
      </c>
      <c r="R376" s="797" t="e">
        <f>VLOOKUP(N376,etat!$A$9:$N$1003,9,FALSE)</f>
        <v>#N/A</v>
      </c>
      <c r="S376" s="866" t="e">
        <f>VLOOKUP(N376,etat!$A$9:$P$905,16,FALSE)</f>
        <v>#N/A</v>
      </c>
      <c r="T376" s="755"/>
      <c r="U376" s="784"/>
      <c r="V376" s="784"/>
      <c r="W376" s="784"/>
      <c r="X376" s="784"/>
      <c r="Y376" s="784"/>
      <c r="Z376" s="1022"/>
      <c r="AA376" s="967"/>
      <c r="AB376" s="1073"/>
      <c r="AC376" s="1073"/>
      <c r="AD376" s="1073"/>
      <c r="AE376" s="1073"/>
      <c r="AF376" s="1073"/>
      <c r="AG376" s="1072"/>
      <c r="AH376" s="1072"/>
      <c r="AI376" s="1072"/>
      <c r="AJ376" s="1072"/>
      <c r="AK376" s="1072"/>
      <c r="AL376" s="1072"/>
      <c r="AM376" s="1072"/>
      <c r="AN376" s="1072"/>
      <c r="AO376" s="1072"/>
      <c r="AP376" s="1072"/>
      <c r="AQ376" s="1072"/>
      <c r="AR376" s="1072"/>
      <c r="AS376" s="1072"/>
      <c r="AT376" s="1072"/>
      <c r="AU376" s="1072"/>
      <c r="AV376" s="1072"/>
      <c r="AW376" s="1072"/>
    </row>
    <row r="377" spans="1:49" s="25" customFormat="1" ht="16.5" customHeight="1">
      <c r="A377" s="1004"/>
      <c r="B377" s="1004"/>
      <c r="C377" s="1004"/>
      <c r="D377" s="166"/>
      <c r="E377" s="166"/>
      <c r="F377" s="166"/>
      <c r="G377" s="166"/>
      <c r="H377" s="166"/>
      <c r="I377" s="1004"/>
      <c r="J377" s="1004"/>
      <c r="K377" s="1004"/>
      <c r="L377" s="777">
        <v>5</v>
      </c>
      <c r="M377" s="778"/>
      <c r="N377" s="976"/>
      <c r="O377" s="1020">
        <v>320</v>
      </c>
      <c r="P377" s="847" t="e">
        <f>VLOOKUP(N377,etat!$A$9:$N$1004,2,FALSE)</f>
        <v>#N/A</v>
      </c>
      <c r="Q377" s="797" t="e">
        <f>VLOOKUP(N377,etat!$A$9:$N$963,7,FALSE)</f>
        <v>#N/A</v>
      </c>
      <c r="R377" s="797" t="e">
        <f>VLOOKUP(N377,etat!$A$9:$N$1003,9,FALSE)</f>
        <v>#N/A</v>
      </c>
      <c r="S377" s="866" t="e">
        <f>VLOOKUP(N377,etat!$A$9:$P$905,16,FALSE)</f>
        <v>#N/A</v>
      </c>
      <c r="T377" s="755"/>
      <c r="U377" s="784"/>
      <c r="V377" s="784"/>
      <c r="W377" s="784"/>
      <c r="X377" s="784"/>
      <c r="Y377" s="784"/>
      <c r="Z377" s="1022"/>
      <c r="AA377" s="967"/>
      <c r="AB377" s="1005"/>
      <c r="AC377" s="1005"/>
      <c r="AD377" s="1005"/>
      <c r="AE377" s="1005"/>
      <c r="AF377" s="1005"/>
      <c r="AG377" s="1004"/>
      <c r="AH377" s="1004"/>
      <c r="AI377" s="1004"/>
      <c r="AJ377" s="1004"/>
      <c r="AK377" s="1004"/>
      <c r="AL377" s="1004"/>
      <c r="AM377" s="1004"/>
      <c r="AN377" s="1004"/>
      <c r="AO377" s="1004"/>
      <c r="AP377" s="1004"/>
      <c r="AQ377" s="1004"/>
      <c r="AR377" s="1004"/>
      <c r="AS377" s="1004"/>
      <c r="AT377" s="1004"/>
      <c r="AU377" s="1004"/>
      <c r="AV377" s="1004"/>
      <c r="AW377" s="1004"/>
    </row>
    <row r="378" spans="1:49" s="25" customFormat="1" ht="16.5" customHeight="1">
      <c r="A378" s="1004"/>
      <c r="B378" s="1004"/>
      <c r="C378" s="1004"/>
      <c r="D378" s="166"/>
      <c r="E378" s="166"/>
      <c r="F378" s="166"/>
      <c r="G378" s="166"/>
      <c r="H378" s="166"/>
      <c r="I378" s="1004"/>
      <c r="J378" s="1004"/>
      <c r="K378" s="1004"/>
      <c r="L378" s="777">
        <v>5</v>
      </c>
      <c r="M378" s="778"/>
      <c r="N378" s="976"/>
      <c r="O378" s="1020">
        <v>321</v>
      </c>
      <c r="P378" s="847" t="e">
        <f>VLOOKUP(N378,etat!$A$9:$N$1004,2,FALSE)</f>
        <v>#N/A</v>
      </c>
      <c r="Q378" s="797" t="e">
        <f>VLOOKUP(N378,etat!$A$9:$N$963,7,FALSE)</f>
        <v>#N/A</v>
      </c>
      <c r="R378" s="797" t="e">
        <f>VLOOKUP(N378,etat!$A$9:$N$1003,9,FALSE)</f>
        <v>#N/A</v>
      </c>
      <c r="S378" s="866" t="e">
        <f>VLOOKUP(N378,etat!$A$9:$P$905,16,FALSE)</f>
        <v>#N/A</v>
      </c>
      <c r="T378" s="755"/>
      <c r="U378" s="784"/>
      <c r="V378" s="784"/>
      <c r="W378" s="784"/>
      <c r="X378" s="784"/>
      <c r="Y378" s="784"/>
      <c r="Z378" s="1022"/>
      <c r="AA378" s="967"/>
      <c r="AB378" s="1005"/>
      <c r="AC378" s="1005"/>
      <c r="AD378" s="1005"/>
      <c r="AE378" s="1005"/>
      <c r="AF378" s="1005"/>
      <c r="AG378" s="1004"/>
      <c r="AH378" s="1004"/>
      <c r="AI378" s="1004"/>
      <c r="AJ378" s="1004"/>
      <c r="AK378" s="1004"/>
      <c r="AL378" s="1004"/>
      <c r="AM378" s="1004"/>
      <c r="AN378" s="1004"/>
      <c r="AO378" s="1004"/>
      <c r="AP378" s="1004"/>
      <c r="AQ378" s="1004"/>
      <c r="AR378" s="1004"/>
      <c r="AS378" s="1004"/>
      <c r="AT378" s="1004"/>
      <c r="AU378" s="1004"/>
      <c r="AV378" s="1004"/>
      <c r="AW378" s="1004"/>
    </row>
    <row r="379" spans="1:49" s="25" customFormat="1" ht="16.5" customHeight="1">
      <c r="A379" s="1004"/>
      <c r="B379" s="1004"/>
      <c r="C379" s="1004"/>
      <c r="D379" s="166"/>
      <c r="E379" s="166"/>
      <c r="F379" s="166"/>
      <c r="G379" s="166"/>
      <c r="H379" s="166"/>
      <c r="I379" s="1004"/>
      <c r="J379" s="1004"/>
      <c r="K379" s="1004"/>
      <c r="L379" s="777">
        <v>5</v>
      </c>
      <c r="M379" s="778"/>
      <c r="N379" s="976"/>
      <c r="O379" s="1020">
        <v>322</v>
      </c>
      <c r="P379" s="847" t="e">
        <f>VLOOKUP(N379,etat!$A$9:$N$1004,2,FALSE)</f>
        <v>#N/A</v>
      </c>
      <c r="Q379" s="797" t="e">
        <f>VLOOKUP(N379,etat!$A$9:$N$963,7,FALSE)</f>
        <v>#N/A</v>
      </c>
      <c r="R379" s="797" t="e">
        <f>VLOOKUP(N379,etat!$A$9:$N$1003,9,FALSE)</f>
        <v>#N/A</v>
      </c>
      <c r="S379" s="866" t="e">
        <f>VLOOKUP(N379,etat!$A$9:$P$905,16,FALSE)</f>
        <v>#N/A</v>
      </c>
      <c r="T379" s="755"/>
      <c r="U379" s="784"/>
      <c r="V379" s="784"/>
      <c r="W379" s="943"/>
      <c r="X379" s="944"/>
      <c r="Y379" s="975"/>
      <c r="Z379" s="1022"/>
      <c r="AA379" s="967"/>
      <c r="AB379" s="1005"/>
      <c r="AC379" s="1005"/>
      <c r="AD379" s="1005"/>
      <c r="AE379" s="1005"/>
      <c r="AF379" s="1005"/>
      <c r="AG379" s="1004"/>
      <c r="AH379" s="1004"/>
      <c r="AI379" s="1004"/>
      <c r="AJ379" s="1004"/>
      <c r="AK379" s="1004"/>
      <c r="AL379" s="1004"/>
      <c r="AM379" s="1004"/>
      <c r="AN379" s="1004"/>
      <c r="AO379" s="1004"/>
      <c r="AP379" s="1004"/>
      <c r="AQ379" s="1004"/>
      <c r="AR379" s="1004"/>
      <c r="AS379" s="1004"/>
      <c r="AT379" s="1004"/>
      <c r="AU379" s="1004"/>
      <c r="AV379" s="1004"/>
      <c r="AW379" s="1004"/>
    </row>
    <row r="380" spans="1:49" s="25" customFormat="1" ht="16.5" customHeight="1">
      <c r="A380" s="1004"/>
      <c r="B380" s="1004"/>
      <c r="C380" s="1004"/>
      <c r="D380" s="166"/>
      <c r="E380" s="166"/>
      <c r="F380" s="166"/>
      <c r="G380" s="166"/>
      <c r="H380" s="166"/>
      <c r="I380" s="1004"/>
      <c r="J380" s="1004"/>
      <c r="K380" s="1004"/>
      <c r="L380" s="777">
        <v>5</v>
      </c>
      <c r="M380" s="778"/>
      <c r="N380" s="976"/>
      <c r="O380" s="1020">
        <v>323</v>
      </c>
      <c r="P380" s="847" t="e">
        <f>VLOOKUP(N380,etat!$A$9:$N$1004,2,FALSE)</f>
        <v>#N/A</v>
      </c>
      <c r="Q380" s="797" t="e">
        <f>VLOOKUP(N380,etat!$A$9:$N$963,7,FALSE)</f>
        <v>#N/A</v>
      </c>
      <c r="R380" s="797" t="e">
        <f>VLOOKUP(N380,etat!$A$9:$N$1003,9,FALSE)</f>
        <v>#N/A</v>
      </c>
      <c r="S380" s="866" t="e">
        <f>VLOOKUP(N380,etat!$A$9:$P$905,16,FALSE)</f>
        <v>#N/A</v>
      </c>
      <c r="T380" s="755"/>
      <c r="U380" s="784"/>
      <c r="V380" s="784"/>
      <c r="W380" s="943"/>
      <c r="X380" s="944"/>
      <c r="Y380" s="975"/>
      <c r="Z380" s="1022"/>
      <c r="AA380" s="967"/>
      <c r="AB380" s="1005"/>
      <c r="AC380" s="1005"/>
      <c r="AD380" s="1005"/>
      <c r="AE380" s="1005"/>
      <c r="AF380" s="1005"/>
      <c r="AG380" s="1004"/>
      <c r="AH380" s="1004"/>
      <c r="AI380" s="1004"/>
      <c r="AJ380" s="1004"/>
      <c r="AK380" s="1004"/>
      <c r="AL380" s="1004"/>
      <c r="AM380" s="1004"/>
      <c r="AN380" s="1004"/>
      <c r="AO380" s="1004"/>
      <c r="AP380" s="1004"/>
      <c r="AQ380" s="1004"/>
      <c r="AR380" s="1004"/>
      <c r="AS380" s="1004"/>
      <c r="AT380" s="1004"/>
      <c r="AU380" s="1004"/>
      <c r="AV380" s="1004"/>
      <c r="AW380" s="1004"/>
    </row>
    <row r="381" spans="1:49" s="25" customFormat="1" ht="17.45" customHeight="1">
      <c r="A381" s="1004"/>
      <c r="B381" s="1004"/>
      <c r="C381" s="1004"/>
      <c r="D381" s="166"/>
      <c r="E381" s="166"/>
      <c r="F381" s="166"/>
      <c r="G381" s="166"/>
      <c r="H381" s="166"/>
      <c r="I381" s="1004"/>
      <c r="J381" s="1004"/>
      <c r="K381" s="1004"/>
      <c r="L381" s="777">
        <v>5</v>
      </c>
      <c r="M381" s="778"/>
      <c r="N381" s="976"/>
      <c r="O381" s="1020">
        <v>324</v>
      </c>
      <c r="P381" s="847" t="e">
        <f>VLOOKUP(N381,etat!$A$9:$N$1004,2,FALSE)</f>
        <v>#N/A</v>
      </c>
      <c r="Q381" s="797" t="e">
        <f>VLOOKUP(N381,etat!$A$9:$N$963,7,FALSE)</f>
        <v>#N/A</v>
      </c>
      <c r="R381" s="797" t="e">
        <f>VLOOKUP(N381,etat!$A$9:$N$1003,9,FALSE)</f>
        <v>#N/A</v>
      </c>
      <c r="S381" s="866" t="e">
        <f>VLOOKUP(N381,etat!$A$9:$P$905,16,FALSE)</f>
        <v>#N/A</v>
      </c>
      <c r="T381" s="755"/>
      <c r="U381" s="784"/>
      <c r="V381" s="784"/>
      <c r="W381" s="784"/>
      <c r="X381" s="784"/>
      <c r="Y381" s="975"/>
      <c r="Z381" s="1022"/>
      <c r="AA381" s="967"/>
      <c r="AB381" s="1005"/>
      <c r="AC381" s="1005"/>
      <c r="AD381" s="1005"/>
      <c r="AE381" s="1005"/>
      <c r="AF381" s="1005"/>
      <c r="AG381" s="1004"/>
      <c r="AH381" s="1004"/>
      <c r="AI381" s="1004"/>
      <c r="AJ381" s="1004"/>
      <c r="AK381" s="1004"/>
      <c r="AL381" s="1004"/>
      <c r="AM381" s="1004"/>
      <c r="AN381" s="1004"/>
      <c r="AO381" s="1004"/>
      <c r="AP381" s="1004"/>
      <c r="AQ381" s="1004"/>
      <c r="AR381" s="1004"/>
      <c r="AS381" s="1004"/>
      <c r="AT381" s="1004"/>
      <c r="AU381" s="1004"/>
      <c r="AV381" s="1004"/>
      <c r="AW381" s="1004"/>
    </row>
    <row r="382" spans="1:49" s="25" customFormat="1" ht="17.45" customHeight="1">
      <c r="A382" s="1004"/>
      <c r="B382" s="1004"/>
      <c r="C382" s="1004"/>
      <c r="D382" s="166"/>
      <c r="E382" s="166"/>
      <c r="F382" s="166"/>
      <c r="G382" s="166"/>
      <c r="H382" s="166"/>
      <c r="I382" s="1004"/>
      <c r="J382" s="1004"/>
      <c r="K382" s="1004"/>
      <c r="L382" s="777">
        <v>5</v>
      </c>
      <c r="M382" s="778"/>
      <c r="N382" s="976"/>
      <c r="O382" s="1020">
        <v>325</v>
      </c>
      <c r="P382" s="847" t="e">
        <f>VLOOKUP(N382,etat!$A$9:$N$1004,2,FALSE)</f>
        <v>#N/A</v>
      </c>
      <c r="Q382" s="797" t="e">
        <f>VLOOKUP(N382,etat!$A$9:$N$963,7,FALSE)</f>
        <v>#N/A</v>
      </c>
      <c r="R382" s="797" t="e">
        <f>VLOOKUP(N382,etat!$A$9:$N$1003,9,FALSE)</f>
        <v>#N/A</v>
      </c>
      <c r="S382" s="866" t="e">
        <f>VLOOKUP(N382,etat!$A$9:$P$905,16,FALSE)</f>
        <v>#N/A</v>
      </c>
      <c r="T382" s="755"/>
      <c r="U382" s="784"/>
      <c r="V382" s="784"/>
      <c r="W382" s="784"/>
      <c r="X382" s="784"/>
      <c r="Y382" s="975"/>
      <c r="Z382" s="1022"/>
      <c r="AA382" s="967"/>
      <c r="AB382" s="1005"/>
      <c r="AC382" s="1005"/>
      <c r="AD382" s="1005"/>
      <c r="AE382" s="1005"/>
      <c r="AF382" s="1005"/>
      <c r="AG382" s="1004"/>
      <c r="AH382" s="1004"/>
      <c r="AI382" s="1004"/>
      <c r="AJ382" s="1004"/>
      <c r="AK382" s="1004"/>
      <c r="AL382" s="1004"/>
      <c r="AM382" s="1004"/>
      <c r="AN382" s="1004"/>
      <c r="AO382" s="1004"/>
      <c r="AP382" s="1004"/>
      <c r="AQ382" s="1004"/>
      <c r="AR382" s="1004"/>
      <c r="AS382" s="1004"/>
      <c r="AT382" s="1004"/>
      <c r="AU382" s="1004"/>
      <c r="AV382" s="1004"/>
      <c r="AW382" s="1004"/>
    </row>
    <row r="383" spans="1:49" s="25" customFormat="1" ht="17.45" customHeight="1">
      <c r="A383" s="1004"/>
      <c r="B383" s="1004"/>
      <c r="C383" s="1004"/>
      <c r="D383" s="166"/>
      <c r="E383" s="166"/>
      <c r="F383" s="166"/>
      <c r="G383" s="166"/>
      <c r="H383" s="166"/>
      <c r="I383" s="1004"/>
      <c r="J383" s="1004"/>
      <c r="K383" s="1004"/>
      <c r="L383" s="777">
        <v>5</v>
      </c>
      <c r="M383" s="778"/>
      <c r="N383" s="976"/>
      <c r="O383" s="1020">
        <v>326</v>
      </c>
      <c r="P383" s="847" t="e">
        <f>VLOOKUP(N383,etat!$A$9:$N$1004,2,FALSE)</f>
        <v>#N/A</v>
      </c>
      <c r="Q383" s="797" t="e">
        <f>VLOOKUP(N383,etat!$A$9:$N$963,7,FALSE)</f>
        <v>#N/A</v>
      </c>
      <c r="R383" s="797" t="e">
        <f>VLOOKUP(N383,etat!$A$9:$N$1003,9,FALSE)</f>
        <v>#N/A</v>
      </c>
      <c r="S383" s="866" t="e">
        <f>VLOOKUP(N383,etat!$A$9:$P$905,16,FALSE)</f>
        <v>#N/A</v>
      </c>
      <c r="T383" s="755"/>
      <c r="U383" s="784"/>
      <c r="V383" s="784"/>
      <c r="W383" s="784"/>
      <c r="X383" s="784"/>
      <c r="Y383" s="784"/>
      <c r="Z383" s="1112"/>
      <c r="AA383" s="967"/>
      <c r="AB383" s="1005"/>
      <c r="AC383" s="1005"/>
      <c r="AD383" s="1005"/>
      <c r="AE383" s="1005"/>
      <c r="AF383" s="1005"/>
      <c r="AG383" s="1004"/>
      <c r="AH383" s="1004"/>
      <c r="AI383" s="1004"/>
      <c r="AJ383" s="1004"/>
      <c r="AK383" s="1004"/>
      <c r="AL383" s="1004"/>
      <c r="AM383" s="1004"/>
      <c r="AN383" s="1004"/>
      <c r="AO383" s="1004"/>
      <c r="AP383" s="1004"/>
      <c r="AQ383" s="1004"/>
      <c r="AR383" s="1004"/>
      <c r="AS383" s="1004"/>
      <c r="AT383" s="1004"/>
      <c r="AU383" s="1004"/>
      <c r="AV383" s="1004"/>
      <c r="AW383" s="1004"/>
    </row>
    <row r="384" spans="1:49" s="25" customFormat="1" ht="17.45" customHeight="1">
      <c r="A384" s="1004"/>
      <c r="B384" s="1004"/>
      <c r="C384" s="1004"/>
      <c r="D384" s="166"/>
      <c r="E384" s="166"/>
      <c r="F384" s="166"/>
      <c r="G384" s="166"/>
      <c r="H384" s="166"/>
      <c r="I384" s="1004"/>
      <c r="J384" s="1004"/>
      <c r="K384" s="1004"/>
      <c r="L384" s="777">
        <v>5</v>
      </c>
      <c r="M384" s="778"/>
      <c r="N384" s="976"/>
      <c r="O384" s="1020">
        <v>327</v>
      </c>
      <c r="P384" s="847" t="e">
        <f>VLOOKUP(N384,etat!$A$9:$N$1004,2,FALSE)</f>
        <v>#N/A</v>
      </c>
      <c r="Q384" s="797" t="e">
        <f>VLOOKUP(N384,etat!$A$9:$N$963,7,FALSE)</f>
        <v>#N/A</v>
      </c>
      <c r="R384" s="797" t="e">
        <f>VLOOKUP(N384,etat!$A$9:$N$1003,9,FALSE)</f>
        <v>#N/A</v>
      </c>
      <c r="S384" s="866" t="e">
        <f>VLOOKUP(N384,etat!$A$9:$P$905,16,FALSE)</f>
        <v>#N/A</v>
      </c>
      <c r="T384" s="755"/>
      <c r="U384" s="784"/>
      <c r="V384" s="784"/>
      <c r="W384" s="784"/>
      <c r="X384" s="784"/>
      <c r="Y384" s="975"/>
      <c r="Z384" s="1022"/>
      <c r="AA384" s="967"/>
      <c r="AB384" s="1005"/>
      <c r="AC384" s="1005"/>
      <c r="AD384" s="1005"/>
      <c r="AE384" s="1005"/>
      <c r="AF384" s="1005"/>
      <c r="AG384" s="1004"/>
      <c r="AH384" s="1004"/>
      <c r="AI384" s="1004"/>
      <c r="AJ384" s="1004"/>
      <c r="AK384" s="1004"/>
      <c r="AL384" s="1004"/>
      <c r="AM384" s="1004"/>
      <c r="AN384" s="1004"/>
      <c r="AO384" s="1004"/>
      <c r="AP384" s="1004"/>
      <c r="AQ384" s="1004"/>
      <c r="AR384" s="1004"/>
      <c r="AS384" s="1004"/>
      <c r="AT384" s="1004"/>
      <c r="AU384" s="1004"/>
      <c r="AV384" s="1004"/>
      <c r="AW384" s="1004"/>
    </row>
    <row r="385" spans="1:49" s="25" customFormat="1" ht="17.45" customHeight="1">
      <c r="A385" s="1004"/>
      <c r="B385" s="1004"/>
      <c r="C385" s="1004"/>
      <c r="D385" s="166"/>
      <c r="E385" s="166"/>
      <c r="F385" s="166"/>
      <c r="G385" s="166"/>
      <c r="H385" s="166"/>
      <c r="I385" s="1004"/>
      <c r="J385" s="1004"/>
      <c r="K385" s="1004"/>
      <c r="L385" s="777">
        <v>5</v>
      </c>
      <c r="M385" s="778"/>
      <c r="N385" s="976"/>
      <c r="O385" s="1020">
        <v>328</v>
      </c>
      <c r="P385" s="847" t="e">
        <f>VLOOKUP(N385,etat!$A$9:$N$1004,2,FALSE)</f>
        <v>#N/A</v>
      </c>
      <c r="Q385" s="797" t="e">
        <f>VLOOKUP(N385,etat!$A$9:$N$963,7,FALSE)</f>
        <v>#N/A</v>
      </c>
      <c r="R385" s="797" t="e">
        <f>VLOOKUP(N385,etat!$A$9:$N$1003,9,FALSE)</f>
        <v>#N/A</v>
      </c>
      <c r="S385" s="866" t="e">
        <f>VLOOKUP(N385,etat!$A$9:$P$905,16,FALSE)</f>
        <v>#N/A</v>
      </c>
      <c r="T385" s="755"/>
      <c r="U385" s="784"/>
      <c r="V385" s="784"/>
      <c r="W385" s="784"/>
      <c r="X385" s="784"/>
      <c r="Y385" s="975"/>
      <c r="Z385" s="1022"/>
      <c r="AA385" s="967"/>
      <c r="AB385" s="1005"/>
      <c r="AC385" s="1005"/>
      <c r="AD385" s="1005"/>
      <c r="AE385" s="1005"/>
      <c r="AF385" s="1005"/>
      <c r="AG385" s="1004"/>
      <c r="AH385" s="1004"/>
      <c r="AI385" s="1004"/>
      <c r="AJ385" s="1004"/>
      <c r="AK385" s="1004"/>
      <c r="AL385" s="1004"/>
      <c r="AM385" s="1004"/>
      <c r="AN385" s="1004"/>
      <c r="AO385" s="1004"/>
      <c r="AP385" s="1004"/>
      <c r="AQ385" s="1004"/>
      <c r="AR385" s="1004"/>
      <c r="AS385" s="1004"/>
      <c r="AT385" s="1004"/>
      <c r="AU385" s="1004"/>
      <c r="AV385" s="1004"/>
      <c r="AW385" s="1004"/>
    </row>
    <row r="386" spans="1:49" s="25" customFormat="1" ht="17.45" customHeight="1">
      <c r="A386" s="1004"/>
      <c r="B386" s="1004"/>
      <c r="C386" s="1004"/>
      <c r="D386" s="166"/>
      <c r="E386" s="166"/>
      <c r="F386" s="166"/>
      <c r="G386" s="166"/>
      <c r="H386" s="166"/>
      <c r="I386" s="1004"/>
      <c r="J386" s="1004"/>
      <c r="K386" s="1004"/>
      <c r="L386" s="777">
        <v>5</v>
      </c>
      <c r="M386" s="778"/>
      <c r="N386" s="976"/>
      <c r="O386" s="1020">
        <v>329</v>
      </c>
      <c r="P386" s="847" t="e">
        <f>VLOOKUP(N386,etat!$A$9:$N$1004,2,FALSE)</f>
        <v>#N/A</v>
      </c>
      <c r="Q386" s="797" t="e">
        <f>VLOOKUP(N386,etat!$A$9:$N$963,7,FALSE)</f>
        <v>#N/A</v>
      </c>
      <c r="R386" s="797" t="e">
        <f>VLOOKUP(N386,etat!$A$9:$N$1003,9,FALSE)</f>
        <v>#N/A</v>
      </c>
      <c r="S386" s="866" t="e">
        <f>VLOOKUP(N386,etat!$A$9:$P$905,16,FALSE)</f>
        <v>#N/A</v>
      </c>
      <c r="T386" s="755"/>
      <c r="U386" s="784"/>
      <c r="V386" s="784"/>
      <c r="W386" s="784"/>
      <c r="X386" s="784"/>
      <c r="Y386" s="975"/>
      <c r="Z386" s="1022"/>
      <c r="AA386" s="967"/>
      <c r="AB386" s="1005"/>
      <c r="AC386" s="1005"/>
      <c r="AD386" s="1005"/>
      <c r="AE386" s="1005"/>
      <c r="AF386" s="1005"/>
      <c r="AG386" s="1004"/>
      <c r="AH386" s="1004"/>
      <c r="AI386" s="1004"/>
      <c r="AJ386" s="1004"/>
      <c r="AK386" s="1004"/>
      <c r="AL386" s="1004"/>
      <c r="AM386" s="1004"/>
      <c r="AN386" s="1004"/>
      <c r="AO386" s="1004"/>
      <c r="AP386" s="1004"/>
      <c r="AQ386" s="1004"/>
      <c r="AR386" s="1004"/>
      <c r="AS386" s="1004"/>
      <c r="AT386" s="1004"/>
      <c r="AU386" s="1004"/>
      <c r="AV386" s="1004"/>
      <c r="AW386" s="1004"/>
    </row>
    <row r="387" spans="1:49" s="25" customFormat="1" ht="17.45" customHeight="1">
      <c r="A387" s="1004"/>
      <c r="B387" s="1004"/>
      <c r="C387" s="1004"/>
      <c r="D387" s="166"/>
      <c r="E387" s="166"/>
      <c r="F387" s="166"/>
      <c r="G387" s="166"/>
      <c r="H387" s="166"/>
      <c r="I387" s="1004"/>
      <c r="J387" s="1004"/>
      <c r="K387" s="1004"/>
      <c r="L387" s="777">
        <v>5</v>
      </c>
      <c r="M387" s="778"/>
      <c r="N387" s="976"/>
      <c r="O387" s="1020">
        <v>330</v>
      </c>
      <c r="P387" s="847" t="e">
        <f>VLOOKUP(N387,etat!$A$9:$N$1004,2,FALSE)</f>
        <v>#N/A</v>
      </c>
      <c r="Q387" s="797" t="e">
        <f>VLOOKUP(N387,etat!$A$9:$N$963,7,FALSE)</f>
        <v>#N/A</v>
      </c>
      <c r="R387" s="797" t="e">
        <f>VLOOKUP(N387,etat!$A$9:$N$1003,9,FALSE)</f>
        <v>#N/A</v>
      </c>
      <c r="S387" s="866" t="e">
        <f>VLOOKUP(N387,etat!$A$9:$P$905,16,FALSE)</f>
        <v>#N/A</v>
      </c>
      <c r="T387" s="755"/>
      <c r="U387" s="784"/>
      <c r="V387" s="784"/>
      <c r="W387" s="784"/>
      <c r="X387" s="784"/>
      <c r="Y387" s="975"/>
      <c r="Z387" s="1022"/>
      <c r="AA387" s="967"/>
      <c r="AB387" s="1005"/>
      <c r="AC387" s="1005"/>
      <c r="AD387" s="1005"/>
      <c r="AE387" s="1005"/>
      <c r="AF387" s="1005"/>
      <c r="AG387" s="1004"/>
      <c r="AH387" s="1004"/>
      <c r="AI387" s="1004"/>
      <c r="AJ387" s="1004"/>
      <c r="AK387" s="1004"/>
      <c r="AL387" s="1004"/>
      <c r="AM387" s="1004"/>
      <c r="AN387" s="1004"/>
      <c r="AO387" s="1004"/>
      <c r="AP387" s="1004"/>
      <c r="AQ387" s="1004"/>
      <c r="AR387" s="1004"/>
      <c r="AS387" s="1004"/>
      <c r="AT387" s="1004"/>
      <c r="AU387" s="1004"/>
      <c r="AV387" s="1004"/>
      <c r="AW387" s="1004"/>
    </row>
    <row r="388" spans="1:49" s="25" customFormat="1" ht="17.45" customHeight="1">
      <c r="A388" s="1004"/>
      <c r="B388" s="1004"/>
      <c r="C388" s="1004"/>
      <c r="D388" s="166"/>
      <c r="E388" s="166"/>
      <c r="F388" s="166"/>
      <c r="G388" s="166"/>
      <c r="H388" s="166"/>
      <c r="I388" s="1004"/>
      <c r="J388" s="1004"/>
      <c r="K388" s="1004"/>
      <c r="L388" s="777">
        <v>5</v>
      </c>
      <c r="M388" s="778"/>
      <c r="N388" s="976"/>
      <c r="O388" s="1020">
        <v>331</v>
      </c>
      <c r="P388" s="847" t="e">
        <f>VLOOKUP(N388,etat!$A$9:$N$1004,2,FALSE)</f>
        <v>#N/A</v>
      </c>
      <c r="Q388" s="797" t="e">
        <f>VLOOKUP(N388,etat!$A$9:$N$963,7,FALSE)</f>
        <v>#N/A</v>
      </c>
      <c r="R388" s="797" t="e">
        <f>VLOOKUP(N388,etat!$A$9:$N$1003,9,FALSE)</f>
        <v>#N/A</v>
      </c>
      <c r="S388" s="866" t="e">
        <f>VLOOKUP(N388,etat!$A$9:$P$905,16,FALSE)</f>
        <v>#N/A</v>
      </c>
      <c r="T388" s="755"/>
      <c r="U388" s="784"/>
      <c r="V388" s="784"/>
      <c r="W388" s="784"/>
      <c r="X388" s="784"/>
      <c r="Y388" s="784"/>
      <c r="Z388" s="1022"/>
      <c r="AA388" s="967"/>
      <c r="AB388" s="1005"/>
      <c r="AC388" s="1005"/>
      <c r="AD388" s="1005"/>
      <c r="AE388" s="1005"/>
      <c r="AF388" s="1005"/>
      <c r="AG388" s="1004"/>
      <c r="AH388" s="1004"/>
      <c r="AI388" s="1004"/>
      <c r="AJ388" s="1004"/>
      <c r="AK388" s="1004"/>
      <c r="AL388" s="1004"/>
      <c r="AM388" s="1004"/>
      <c r="AN388" s="1004"/>
      <c r="AO388" s="1004"/>
      <c r="AP388" s="1004"/>
      <c r="AQ388" s="1004"/>
      <c r="AR388" s="1004"/>
      <c r="AS388" s="1004"/>
      <c r="AT388" s="1004"/>
      <c r="AU388" s="1004"/>
      <c r="AV388" s="1004"/>
      <c r="AW388" s="1004"/>
    </row>
    <row r="389" spans="1:49" s="25" customFormat="1" ht="17.45" customHeight="1">
      <c r="A389" s="1004"/>
      <c r="B389" s="1004"/>
      <c r="C389" s="1004"/>
      <c r="D389" s="166"/>
      <c r="E389" s="166"/>
      <c r="F389" s="166"/>
      <c r="G389" s="166"/>
      <c r="H389" s="166"/>
      <c r="I389" s="1004"/>
      <c r="J389" s="1004"/>
      <c r="K389" s="1004"/>
      <c r="L389" s="777">
        <v>5</v>
      </c>
      <c r="M389" s="778"/>
      <c r="N389" s="976"/>
      <c r="O389" s="1020">
        <v>332</v>
      </c>
      <c r="P389" s="847" t="e">
        <f>VLOOKUP(N389,etat!$A$9:$N$1004,2,FALSE)</f>
        <v>#N/A</v>
      </c>
      <c r="Q389" s="797" t="e">
        <f>VLOOKUP(N389,etat!$A$9:$N$963,7,FALSE)</f>
        <v>#N/A</v>
      </c>
      <c r="R389" s="797" t="e">
        <f>VLOOKUP(N389,etat!$A$9:$N$1003,9,FALSE)</f>
        <v>#N/A</v>
      </c>
      <c r="S389" s="866" t="e">
        <f>VLOOKUP(N389,etat!$A$9:$P$905,16,FALSE)</f>
        <v>#N/A</v>
      </c>
      <c r="T389" s="755"/>
      <c r="U389" s="784"/>
      <c r="V389" s="784"/>
      <c r="W389" s="784"/>
      <c r="X389" s="784"/>
      <c r="Y389" s="784"/>
      <c r="Z389" s="1022"/>
      <c r="AA389" s="967"/>
      <c r="AB389" s="1005"/>
      <c r="AC389" s="1005"/>
      <c r="AD389" s="1005"/>
      <c r="AE389" s="1005"/>
      <c r="AF389" s="1005"/>
      <c r="AG389" s="1004"/>
      <c r="AH389" s="1004"/>
      <c r="AI389" s="1004"/>
      <c r="AJ389" s="1004"/>
      <c r="AK389" s="1004"/>
      <c r="AL389" s="1004"/>
      <c r="AM389" s="1004"/>
      <c r="AN389" s="1004"/>
      <c r="AO389" s="1004"/>
      <c r="AP389" s="1004"/>
      <c r="AQ389" s="1004"/>
      <c r="AR389" s="1004"/>
      <c r="AS389" s="1004"/>
      <c r="AT389" s="1004"/>
      <c r="AU389" s="1004"/>
      <c r="AV389" s="1004"/>
      <c r="AW389" s="1004"/>
    </row>
    <row r="390" spans="1:49" s="25" customFormat="1" ht="17.45" customHeight="1">
      <c r="A390" s="1004"/>
      <c r="B390" s="1004"/>
      <c r="C390" s="1004"/>
      <c r="D390" s="166"/>
      <c r="E390" s="166"/>
      <c r="F390" s="166"/>
      <c r="G390" s="166"/>
      <c r="H390" s="166"/>
      <c r="I390" s="1004"/>
      <c r="J390" s="1004"/>
      <c r="K390" s="1004"/>
      <c r="L390" s="777">
        <v>5</v>
      </c>
      <c r="M390" s="778"/>
      <c r="N390" s="976"/>
      <c r="O390" s="1020">
        <v>333</v>
      </c>
      <c r="P390" s="847" t="e">
        <f>VLOOKUP(N390,etat!$A$9:$N$1004,2,FALSE)</f>
        <v>#N/A</v>
      </c>
      <c r="Q390" s="797" t="e">
        <f>VLOOKUP(N390,etat!$A$9:$N$963,7,FALSE)</f>
        <v>#N/A</v>
      </c>
      <c r="R390" s="797" t="e">
        <f>VLOOKUP(N390,etat!$A$9:$N$1003,9,FALSE)</f>
        <v>#N/A</v>
      </c>
      <c r="S390" s="866" t="e">
        <f>VLOOKUP(N390,etat!$A$9:$P$905,16,FALSE)</f>
        <v>#N/A</v>
      </c>
      <c r="T390" s="755"/>
      <c r="U390" s="784"/>
      <c r="V390" s="784"/>
      <c r="W390" s="784"/>
      <c r="X390" s="784"/>
      <c r="Y390" s="784"/>
      <c r="Z390" s="1022"/>
      <c r="AA390" s="967"/>
      <c r="AB390" s="1005"/>
      <c r="AC390" s="1005"/>
      <c r="AD390" s="1005"/>
      <c r="AE390" s="1005"/>
      <c r="AF390" s="1005"/>
      <c r="AG390" s="1004"/>
      <c r="AH390" s="1004"/>
      <c r="AI390" s="1004"/>
      <c r="AJ390" s="1004"/>
      <c r="AK390" s="1004"/>
      <c r="AL390" s="1004"/>
      <c r="AM390" s="1004"/>
      <c r="AN390" s="1004"/>
      <c r="AO390" s="1004"/>
      <c r="AP390" s="1004"/>
      <c r="AQ390" s="1004"/>
      <c r="AR390" s="1004"/>
      <c r="AS390" s="1004"/>
      <c r="AT390" s="1004"/>
      <c r="AU390" s="1004"/>
      <c r="AV390" s="1004"/>
      <c r="AW390" s="1004"/>
    </row>
    <row r="391" spans="1:49" s="25" customFormat="1" ht="17.45" customHeight="1">
      <c r="A391" s="1004"/>
      <c r="B391" s="1004"/>
      <c r="C391" s="1004"/>
      <c r="D391" s="166"/>
      <c r="E391" s="166"/>
      <c r="F391" s="166"/>
      <c r="G391" s="166"/>
      <c r="H391" s="166"/>
      <c r="I391" s="1004"/>
      <c r="J391" s="1004"/>
      <c r="K391" s="1004"/>
      <c r="L391" s="777">
        <v>5</v>
      </c>
      <c r="M391" s="778"/>
      <c r="N391" s="976"/>
      <c r="O391" s="1020">
        <v>334</v>
      </c>
      <c r="P391" s="847" t="e">
        <f>VLOOKUP(N391,etat!$A$9:$N$1004,2,FALSE)</f>
        <v>#N/A</v>
      </c>
      <c r="Q391" s="797" t="e">
        <f>VLOOKUP(N391,etat!$A$9:$N$963,7,FALSE)</f>
        <v>#N/A</v>
      </c>
      <c r="R391" s="797" t="e">
        <f>VLOOKUP(N391,etat!$A$9:$N$1003,9,FALSE)</f>
        <v>#N/A</v>
      </c>
      <c r="S391" s="866" t="e">
        <f>VLOOKUP(N391,etat!$A$9:$P$905,16,FALSE)</f>
        <v>#N/A</v>
      </c>
      <c r="T391" s="755"/>
      <c r="U391" s="784"/>
      <c r="V391" s="784"/>
      <c r="W391" s="784"/>
      <c r="X391" s="784"/>
      <c r="Y391" s="784"/>
      <c r="Z391" s="1022"/>
      <c r="AA391" s="967"/>
      <c r="AB391" s="1005"/>
      <c r="AC391" s="1005"/>
      <c r="AD391" s="1005"/>
      <c r="AE391" s="1005"/>
      <c r="AF391" s="1005"/>
      <c r="AG391" s="1004"/>
      <c r="AH391" s="1004"/>
      <c r="AI391" s="1004"/>
      <c r="AJ391" s="1004"/>
      <c r="AK391" s="1004"/>
      <c r="AL391" s="1004"/>
      <c r="AM391" s="1004"/>
      <c r="AN391" s="1004"/>
      <c r="AO391" s="1004"/>
      <c r="AP391" s="1004"/>
      <c r="AQ391" s="1004"/>
      <c r="AR391" s="1004"/>
      <c r="AS391" s="1004"/>
      <c r="AT391" s="1004"/>
      <c r="AU391" s="1004"/>
      <c r="AV391" s="1004"/>
      <c r="AW391" s="1004"/>
    </row>
    <row r="392" spans="1:49" s="25" customFormat="1" ht="17.45" customHeight="1">
      <c r="A392" s="1004"/>
      <c r="B392" s="1004"/>
      <c r="C392" s="1004"/>
      <c r="D392" s="166"/>
      <c r="E392" s="166"/>
      <c r="F392" s="166"/>
      <c r="G392" s="166"/>
      <c r="H392" s="166"/>
      <c r="I392" s="1004"/>
      <c r="J392" s="1004"/>
      <c r="K392" s="1004"/>
      <c r="L392" s="777">
        <v>5</v>
      </c>
      <c r="M392" s="864"/>
      <c r="N392" s="976"/>
      <c r="O392" s="1020">
        <v>335</v>
      </c>
      <c r="P392" s="847" t="e">
        <f>VLOOKUP(N392,etat!$A$9:$N$1004,2,FALSE)</f>
        <v>#N/A</v>
      </c>
      <c r="Q392" s="797" t="e">
        <f>VLOOKUP(N392,etat!$A$9:$N$963,7,FALSE)</f>
        <v>#N/A</v>
      </c>
      <c r="R392" s="797" t="e">
        <f>VLOOKUP(N392,etat!$A$9:$N$1003,9,FALSE)</f>
        <v>#N/A</v>
      </c>
      <c r="S392" s="866" t="e">
        <f>VLOOKUP(N392,etat!$A$9:$P$905,16,FALSE)</f>
        <v>#N/A</v>
      </c>
      <c r="T392" s="755"/>
      <c r="U392" s="784"/>
      <c r="V392" s="784"/>
      <c r="W392" s="784"/>
      <c r="X392" s="784"/>
      <c r="Y392" s="784"/>
      <c r="Z392" s="1022"/>
      <c r="AA392" s="967"/>
      <c r="AB392" s="1005"/>
      <c r="AC392" s="1005"/>
      <c r="AD392" s="1005"/>
      <c r="AE392" s="1005"/>
      <c r="AF392" s="1005"/>
      <c r="AG392" s="1004"/>
      <c r="AH392" s="1004"/>
      <c r="AI392" s="1004"/>
      <c r="AJ392" s="1004"/>
      <c r="AK392" s="1004"/>
      <c r="AL392" s="1004"/>
      <c r="AM392" s="1004"/>
      <c r="AN392" s="1004"/>
      <c r="AO392" s="1004"/>
      <c r="AP392" s="1004"/>
      <c r="AQ392" s="1004"/>
      <c r="AR392" s="1004"/>
      <c r="AS392" s="1004"/>
      <c r="AT392" s="1004"/>
      <c r="AU392" s="1004"/>
      <c r="AV392" s="1004"/>
      <c r="AW392" s="1004"/>
    </row>
    <row r="393" spans="1:49" s="25" customFormat="1" ht="17.45" customHeight="1">
      <c r="A393" s="1004"/>
      <c r="B393" s="1004"/>
      <c r="C393" s="1004"/>
      <c r="D393" s="166"/>
      <c r="E393" s="166"/>
      <c r="F393" s="166"/>
      <c r="G393" s="166"/>
      <c r="H393" s="166"/>
      <c r="I393" s="1004"/>
      <c r="J393" s="1004"/>
      <c r="K393" s="1004"/>
      <c r="L393" s="777">
        <v>5</v>
      </c>
      <c r="M393" s="864"/>
      <c r="N393" s="976"/>
      <c r="O393" s="1020">
        <v>336</v>
      </c>
      <c r="P393" s="847" t="e">
        <f>VLOOKUP(N393,etat!$A$9:$N$1004,2,FALSE)</f>
        <v>#N/A</v>
      </c>
      <c r="Q393" s="797" t="e">
        <f>VLOOKUP(N393,etat!$A$9:$N$963,7,FALSE)</f>
        <v>#N/A</v>
      </c>
      <c r="R393" s="797" t="e">
        <f>VLOOKUP(N393,etat!$A$9:$N$1003,9,FALSE)</f>
        <v>#N/A</v>
      </c>
      <c r="S393" s="866" t="e">
        <f>VLOOKUP(N393,etat!$A$9:$P$905,16,FALSE)</f>
        <v>#N/A</v>
      </c>
      <c r="T393" s="755"/>
      <c r="U393" s="784"/>
      <c r="V393" s="784"/>
      <c r="W393" s="943"/>
      <c r="X393" s="944"/>
      <c r="Y393" s="975"/>
      <c r="Z393" s="1022"/>
      <c r="AA393" s="967"/>
      <c r="AB393" s="1005"/>
      <c r="AC393" s="1005"/>
      <c r="AD393" s="1005"/>
      <c r="AE393" s="1005"/>
      <c r="AF393" s="1005"/>
      <c r="AG393" s="1004"/>
      <c r="AH393" s="1004"/>
      <c r="AI393" s="1004"/>
      <c r="AJ393" s="1004"/>
      <c r="AK393" s="1004"/>
      <c r="AL393" s="1004"/>
      <c r="AM393" s="1004"/>
      <c r="AN393" s="1004"/>
      <c r="AO393" s="1004"/>
      <c r="AP393" s="1004"/>
      <c r="AQ393" s="1004"/>
      <c r="AR393" s="1004"/>
      <c r="AS393" s="1004"/>
      <c r="AT393" s="1004"/>
      <c r="AU393" s="1004"/>
      <c r="AV393" s="1004"/>
      <c r="AW393" s="1004"/>
    </row>
    <row r="394" spans="1:49" s="25" customFormat="1" ht="17.45" customHeight="1">
      <c r="A394" s="1004"/>
      <c r="B394" s="1004"/>
      <c r="C394" s="1004"/>
      <c r="D394" s="166"/>
      <c r="E394" s="166"/>
      <c r="F394" s="166"/>
      <c r="G394" s="166"/>
      <c r="H394" s="166"/>
      <c r="I394" s="1004"/>
      <c r="J394" s="1004"/>
      <c r="K394" s="1004"/>
      <c r="L394" s="777">
        <v>5</v>
      </c>
      <c r="M394" s="864"/>
      <c r="N394" s="976"/>
      <c r="O394" s="1020">
        <v>337</v>
      </c>
      <c r="P394" s="847" t="e">
        <f>VLOOKUP(N394,etat!$A$9:$N$1004,2,FALSE)</f>
        <v>#N/A</v>
      </c>
      <c r="Q394" s="797" t="e">
        <f>VLOOKUP(N394,etat!$A$9:$N$963,7,FALSE)</f>
        <v>#N/A</v>
      </c>
      <c r="R394" s="797" t="e">
        <f>VLOOKUP(N394,etat!$A$9:$N$1003,9,FALSE)</f>
        <v>#N/A</v>
      </c>
      <c r="S394" s="866" t="e">
        <f>VLOOKUP(N394,etat!$A$9:$P$905,16,FALSE)</f>
        <v>#N/A</v>
      </c>
      <c r="T394" s="755"/>
      <c r="U394" s="784"/>
      <c r="V394" s="784"/>
      <c r="W394" s="943"/>
      <c r="X394" s="944"/>
      <c r="Y394" s="975"/>
      <c r="Z394" s="1022"/>
      <c r="AA394" s="967"/>
      <c r="AB394" s="1005"/>
      <c r="AC394" s="1005"/>
      <c r="AD394" s="1005"/>
      <c r="AE394" s="1005"/>
      <c r="AF394" s="1005"/>
      <c r="AG394" s="1004"/>
      <c r="AH394" s="1004"/>
      <c r="AI394" s="1004"/>
      <c r="AJ394" s="1004"/>
      <c r="AK394" s="1004"/>
      <c r="AL394" s="1004"/>
      <c r="AM394" s="1004"/>
      <c r="AN394" s="1004"/>
      <c r="AO394" s="1004"/>
      <c r="AP394" s="1004"/>
      <c r="AQ394" s="1004"/>
      <c r="AR394" s="1004"/>
      <c r="AS394" s="1004"/>
      <c r="AT394" s="1004"/>
      <c r="AU394" s="1004"/>
      <c r="AV394" s="1004"/>
      <c r="AW394" s="1004"/>
    </row>
    <row r="395" spans="1:49" s="25" customFormat="1" ht="17.45" customHeight="1">
      <c r="A395" s="1004"/>
      <c r="B395" s="1004"/>
      <c r="C395" s="1004"/>
      <c r="D395" s="166"/>
      <c r="E395" s="166"/>
      <c r="F395" s="166"/>
      <c r="G395" s="166"/>
      <c r="H395" s="166"/>
      <c r="I395" s="1004"/>
      <c r="J395" s="1004"/>
      <c r="K395" s="1004"/>
      <c r="L395" s="777">
        <v>5</v>
      </c>
      <c r="M395" s="864"/>
      <c r="N395" s="976"/>
      <c r="O395" s="1020">
        <v>338</v>
      </c>
      <c r="P395" s="847" t="e">
        <f>VLOOKUP(N395,etat!$A$9:$N$1004,2,FALSE)</f>
        <v>#N/A</v>
      </c>
      <c r="Q395" s="797" t="e">
        <f>VLOOKUP(N395,etat!$A$9:$N$963,7,FALSE)</f>
        <v>#N/A</v>
      </c>
      <c r="R395" s="797" t="e">
        <f>VLOOKUP(N395,etat!$A$9:$N$1003,9,FALSE)</f>
        <v>#N/A</v>
      </c>
      <c r="S395" s="866" t="e">
        <f>VLOOKUP(N395,etat!$A$9:$P$905,16,FALSE)</f>
        <v>#N/A</v>
      </c>
      <c r="T395" s="755"/>
      <c r="U395" s="784"/>
      <c r="V395" s="784"/>
      <c r="W395" s="784"/>
      <c r="X395" s="784"/>
      <c r="Y395" s="975"/>
      <c r="Z395" s="1022"/>
      <c r="AA395" s="967"/>
      <c r="AB395" s="1005"/>
      <c r="AC395" s="1005"/>
      <c r="AD395" s="1005"/>
      <c r="AE395" s="1005"/>
      <c r="AF395" s="1005"/>
      <c r="AG395" s="1004"/>
      <c r="AH395" s="1004"/>
      <c r="AI395" s="1004"/>
      <c r="AJ395" s="1004"/>
      <c r="AK395" s="1004"/>
      <c r="AL395" s="1004"/>
      <c r="AM395" s="1004"/>
      <c r="AN395" s="1004"/>
      <c r="AO395" s="1004"/>
      <c r="AP395" s="1004"/>
      <c r="AQ395" s="1004"/>
      <c r="AR395" s="1004"/>
      <c r="AS395" s="1004"/>
      <c r="AT395" s="1004"/>
      <c r="AU395" s="1004"/>
      <c r="AV395" s="1004"/>
      <c r="AW395" s="1004"/>
    </row>
    <row r="396" spans="1:49" s="25" customFormat="1" ht="17.45" customHeight="1">
      <c r="A396" s="1004"/>
      <c r="B396" s="1004"/>
      <c r="C396" s="1004"/>
      <c r="D396" s="166"/>
      <c r="E396" s="166"/>
      <c r="F396" s="166"/>
      <c r="G396" s="166"/>
      <c r="H396" s="166"/>
      <c r="I396" s="1004"/>
      <c r="J396" s="1004"/>
      <c r="K396" s="1004"/>
      <c r="L396" s="777">
        <v>5</v>
      </c>
      <c r="M396" s="778"/>
      <c r="N396" s="976"/>
      <c r="O396" s="1020">
        <v>339</v>
      </c>
      <c r="P396" s="847" t="e">
        <f>VLOOKUP(N396,etat!$A$9:$N$1004,2,FALSE)</f>
        <v>#N/A</v>
      </c>
      <c r="Q396" s="797" t="e">
        <f>VLOOKUP(N396,etat!$A$9:$N$963,7,FALSE)</f>
        <v>#N/A</v>
      </c>
      <c r="R396" s="797" t="e">
        <f>VLOOKUP(N396,etat!$A$9:$N$1003,9,FALSE)</f>
        <v>#N/A</v>
      </c>
      <c r="S396" s="866" t="e">
        <f>VLOOKUP(N396,etat!$A$9:$P$905,16,FALSE)</f>
        <v>#N/A</v>
      </c>
      <c r="T396" s="755"/>
      <c r="U396" s="784"/>
      <c r="V396" s="784"/>
      <c r="W396" s="784"/>
      <c r="X396" s="784"/>
      <c r="Y396" s="975"/>
      <c r="Z396" s="1022"/>
      <c r="AA396" s="967"/>
      <c r="AB396" s="1005"/>
      <c r="AC396" s="1005"/>
      <c r="AD396" s="1005"/>
      <c r="AE396" s="1005"/>
      <c r="AF396" s="1005"/>
      <c r="AG396" s="1004"/>
      <c r="AH396" s="1004"/>
      <c r="AI396" s="1004"/>
      <c r="AJ396" s="1004"/>
      <c r="AK396" s="1004"/>
      <c r="AL396" s="1004"/>
      <c r="AM396" s="1004"/>
      <c r="AN396" s="1004"/>
      <c r="AO396" s="1004"/>
      <c r="AP396" s="1004"/>
      <c r="AQ396" s="1004"/>
      <c r="AR396" s="1004"/>
      <c r="AS396" s="1004"/>
      <c r="AT396" s="1004"/>
      <c r="AU396" s="1004"/>
      <c r="AV396" s="1004"/>
      <c r="AW396" s="1004"/>
    </row>
    <row r="397" spans="1:49" s="25" customFormat="1" ht="17.45" customHeight="1">
      <c r="A397" s="1004"/>
      <c r="B397" s="1004"/>
      <c r="C397" s="1004"/>
      <c r="D397" s="166"/>
      <c r="E397" s="166"/>
      <c r="F397" s="166"/>
      <c r="G397" s="166"/>
      <c r="H397" s="166"/>
      <c r="I397" s="1004"/>
      <c r="J397" s="1004"/>
      <c r="K397" s="1004"/>
      <c r="L397" s="777">
        <v>5</v>
      </c>
      <c r="M397" s="864"/>
      <c r="N397" s="976"/>
      <c r="O397" s="1020">
        <v>340</v>
      </c>
      <c r="P397" s="847" t="e">
        <f>VLOOKUP(N397,etat!$A$9:$N$1004,2,FALSE)</f>
        <v>#N/A</v>
      </c>
      <c r="Q397" s="797" t="e">
        <f>VLOOKUP(N397,etat!$A$9:$N$963,7,FALSE)</f>
        <v>#N/A</v>
      </c>
      <c r="R397" s="797" t="e">
        <f>VLOOKUP(N397,etat!$A$9:$N$1003,9,FALSE)</f>
        <v>#N/A</v>
      </c>
      <c r="S397" s="866" t="e">
        <f>VLOOKUP(N397,etat!$A$9:$P$905,16,FALSE)</f>
        <v>#N/A</v>
      </c>
      <c r="T397" s="755"/>
      <c r="U397" s="784"/>
      <c r="V397" s="784"/>
      <c r="W397" s="784"/>
      <c r="X397" s="784"/>
      <c r="Y397" s="975"/>
      <c r="Z397" s="1022"/>
      <c r="AA397" s="967"/>
      <c r="AB397" s="1005"/>
      <c r="AC397" s="1005"/>
      <c r="AD397" s="1005"/>
      <c r="AE397" s="1005"/>
      <c r="AF397" s="1005"/>
      <c r="AG397" s="1004"/>
      <c r="AH397" s="1004"/>
      <c r="AI397" s="1004"/>
      <c r="AJ397" s="1004"/>
      <c r="AK397" s="1004"/>
      <c r="AL397" s="1004"/>
      <c r="AM397" s="1004"/>
      <c r="AN397" s="1004"/>
      <c r="AO397" s="1004"/>
      <c r="AP397" s="1004"/>
      <c r="AQ397" s="1004"/>
      <c r="AR397" s="1004"/>
      <c r="AS397" s="1004"/>
      <c r="AT397" s="1004"/>
      <c r="AU397" s="1004"/>
      <c r="AV397" s="1004"/>
      <c r="AW397" s="1004"/>
    </row>
    <row r="398" spans="1:49" s="25" customFormat="1" ht="17.45" customHeight="1">
      <c r="A398" s="1004"/>
      <c r="B398" s="1004"/>
      <c r="C398" s="1004"/>
      <c r="D398" s="166"/>
      <c r="E398" s="166"/>
      <c r="F398" s="166"/>
      <c r="G398" s="166"/>
      <c r="H398" s="166"/>
      <c r="I398" s="1004"/>
      <c r="J398" s="1004"/>
      <c r="K398" s="1004"/>
      <c r="L398" s="777">
        <v>5</v>
      </c>
      <c r="M398" s="778"/>
      <c r="N398" s="976"/>
      <c r="O398" s="1020">
        <v>341</v>
      </c>
      <c r="P398" s="847" t="e">
        <f>VLOOKUP(N398,etat!$A$9:$N$1004,2,FALSE)</f>
        <v>#N/A</v>
      </c>
      <c r="Q398" s="797" t="e">
        <f>VLOOKUP(N398,etat!$A$9:$N$963,7,FALSE)</f>
        <v>#N/A</v>
      </c>
      <c r="R398" s="797" t="e">
        <f>VLOOKUP(N398,etat!$A$9:$N$1003,9,FALSE)</f>
        <v>#N/A</v>
      </c>
      <c r="S398" s="866" t="e">
        <f>VLOOKUP(N398,etat!$A$9:$P$905,16,FALSE)</f>
        <v>#N/A</v>
      </c>
      <c r="T398" s="755"/>
      <c r="U398" s="784"/>
      <c r="V398" s="784"/>
      <c r="W398" s="784"/>
      <c r="X398" s="784"/>
      <c r="Y398" s="975"/>
      <c r="Z398" s="1022"/>
      <c r="AA398" s="967"/>
      <c r="AB398" s="1005"/>
      <c r="AC398" s="1005"/>
      <c r="AD398" s="1005"/>
      <c r="AE398" s="1005"/>
      <c r="AF398" s="1005"/>
      <c r="AG398" s="1004"/>
      <c r="AH398" s="1004"/>
      <c r="AI398" s="1004"/>
      <c r="AJ398" s="1004"/>
      <c r="AK398" s="1004"/>
      <c r="AL398" s="1004"/>
      <c r="AM398" s="1004"/>
      <c r="AN398" s="1004"/>
      <c r="AO398" s="1004"/>
      <c r="AP398" s="1004"/>
      <c r="AQ398" s="1004"/>
      <c r="AR398" s="1004"/>
      <c r="AS398" s="1004"/>
      <c r="AT398" s="1004"/>
      <c r="AU398" s="1004"/>
      <c r="AV398" s="1004"/>
      <c r="AW398" s="1004"/>
    </row>
    <row r="399" spans="1:49" s="25" customFormat="1" ht="17.45" customHeight="1">
      <c r="A399" s="1004"/>
      <c r="B399" s="1004"/>
      <c r="C399" s="1004"/>
      <c r="D399" s="166"/>
      <c r="E399" s="166"/>
      <c r="F399" s="166"/>
      <c r="G399" s="166"/>
      <c r="H399" s="166"/>
      <c r="I399" s="1004"/>
      <c r="J399" s="1004"/>
      <c r="K399" s="1004"/>
      <c r="L399" s="777">
        <v>5</v>
      </c>
      <c r="M399" s="778"/>
      <c r="N399" s="976"/>
      <c r="O399" s="1020">
        <v>342</v>
      </c>
      <c r="P399" s="847" t="e">
        <f>VLOOKUP(N399,etat!$A$9:$N$1004,2,FALSE)</f>
        <v>#N/A</v>
      </c>
      <c r="Q399" s="797" t="e">
        <f>VLOOKUP(N399,etat!$A$9:$N$963,7,FALSE)</f>
        <v>#N/A</v>
      </c>
      <c r="R399" s="797" t="e">
        <f>VLOOKUP(N399,etat!$A$9:$N$1003,9,FALSE)</f>
        <v>#N/A</v>
      </c>
      <c r="S399" s="866" t="e">
        <f>VLOOKUP(N399,etat!$A$9:$P$905,16,FALSE)</f>
        <v>#N/A</v>
      </c>
      <c r="T399" s="755"/>
      <c r="U399" s="791"/>
      <c r="V399" s="784"/>
      <c r="W399" s="784"/>
      <c r="X399" s="784"/>
      <c r="Y399" s="975"/>
      <c r="Z399" s="1022"/>
      <c r="AA399" s="967"/>
      <c r="AB399" s="1005"/>
      <c r="AC399" s="1005"/>
      <c r="AD399" s="1005"/>
      <c r="AE399" s="1005"/>
      <c r="AF399" s="1005"/>
      <c r="AG399" s="1004"/>
      <c r="AH399" s="1004"/>
      <c r="AI399" s="1004"/>
      <c r="AJ399" s="1004"/>
      <c r="AK399" s="1004"/>
      <c r="AL399" s="1004"/>
      <c r="AM399" s="1004"/>
      <c r="AN399" s="1004"/>
      <c r="AO399" s="1004"/>
      <c r="AP399" s="1004"/>
      <c r="AQ399" s="1004"/>
      <c r="AR399" s="1004"/>
      <c r="AS399" s="1004"/>
      <c r="AT399" s="1004"/>
      <c r="AU399" s="1004"/>
      <c r="AV399" s="1004"/>
      <c r="AW399" s="1004"/>
    </row>
    <row r="400" spans="1:49" s="25" customFormat="1" ht="17.45" customHeight="1">
      <c r="A400" s="1004"/>
      <c r="B400" s="1004"/>
      <c r="C400" s="1004"/>
      <c r="D400" s="166"/>
      <c r="E400" s="166"/>
      <c r="F400" s="166"/>
      <c r="G400" s="166"/>
      <c r="H400" s="166"/>
      <c r="I400" s="1004"/>
      <c r="J400" s="1004"/>
      <c r="K400" s="1004"/>
      <c r="L400" s="777">
        <v>5</v>
      </c>
      <c r="M400" s="864"/>
      <c r="N400" s="976"/>
      <c r="O400" s="1020">
        <v>343</v>
      </c>
      <c r="P400" s="847" t="e">
        <f>VLOOKUP(N400,etat!$A$9:$N$1004,2,FALSE)</f>
        <v>#N/A</v>
      </c>
      <c r="Q400" s="797" t="e">
        <f>VLOOKUP(N400,etat!$A$9:$N$963,7,FALSE)</f>
        <v>#N/A</v>
      </c>
      <c r="R400" s="797" t="e">
        <f>VLOOKUP(N400,etat!$A$9:$N$1003,9,FALSE)</f>
        <v>#N/A</v>
      </c>
      <c r="S400" s="866" t="e">
        <f>VLOOKUP(N400,etat!$A$9:$P$905,16,FALSE)</f>
        <v>#N/A</v>
      </c>
      <c r="T400" s="755"/>
      <c r="U400" s="791"/>
      <c r="V400" s="784"/>
      <c r="W400" s="784"/>
      <c r="X400" s="784"/>
      <c r="Y400" s="975"/>
      <c r="Z400" s="1022"/>
      <c r="AA400" s="967"/>
      <c r="AB400" s="1005"/>
      <c r="AC400" s="1005"/>
      <c r="AD400" s="1005"/>
      <c r="AE400" s="1005"/>
      <c r="AF400" s="1005"/>
      <c r="AG400" s="1004"/>
      <c r="AH400" s="1004"/>
      <c r="AI400" s="1004"/>
      <c r="AJ400" s="1004"/>
      <c r="AK400" s="1004"/>
      <c r="AL400" s="1004"/>
      <c r="AM400" s="1004"/>
      <c r="AN400" s="1004"/>
      <c r="AO400" s="1004"/>
      <c r="AP400" s="1004"/>
      <c r="AQ400" s="1004"/>
      <c r="AR400" s="1004"/>
      <c r="AS400" s="1004"/>
      <c r="AT400" s="1004"/>
      <c r="AU400" s="1004"/>
      <c r="AV400" s="1004"/>
      <c r="AW400" s="1004"/>
    </row>
    <row r="401" spans="1:49" s="25" customFormat="1" ht="17.45" customHeight="1">
      <c r="A401" s="1004"/>
      <c r="B401" s="1004"/>
      <c r="C401" s="1004"/>
      <c r="D401" s="166"/>
      <c r="E401" s="166"/>
      <c r="F401" s="166"/>
      <c r="G401" s="166"/>
      <c r="H401" s="166"/>
      <c r="I401" s="1004"/>
      <c r="J401" s="1004"/>
      <c r="K401" s="1004"/>
      <c r="L401" s="777">
        <v>5</v>
      </c>
      <c r="M401" s="864"/>
      <c r="N401" s="976"/>
      <c r="O401" s="1020">
        <v>344</v>
      </c>
      <c r="P401" s="847" t="e">
        <f>VLOOKUP(N401,etat!$A$9:$N$1004,2,FALSE)</f>
        <v>#N/A</v>
      </c>
      <c r="Q401" s="797" t="e">
        <f>VLOOKUP(N401,etat!$A$9:$N$963,7,FALSE)</f>
        <v>#N/A</v>
      </c>
      <c r="R401" s="797" t="e">
        <f>VLOOKUP(N401,etat!$A$9:$N$1003,9,FALSE)</f>
        <v>#N/A</v>
      </c>
      <c r="S401" s="866" t="e">
        <f>VLOOKUP(N401,etat!$A$9:$P$905,16,FALSE)</f>
        <v>#N/A</v>
      </c>
      <c r="T401" s="755"/>
      <c r="U401" s="791"/>
      <c r="V401" s="784"/>
      <c r="W401" s="784"/>
      <c r="X401" s="784"/>
      <c r="Y401" s="784"/>
      <c r="Z401" s="784"/>
      <c r="AA401" s="967"/>
      <c r="AB401" s="1005"/>
      <c r="AC401" s="1005"/>
      <c r="AD401" s="1005"/>
      <c r="AE401" s="1005"/>
      <c r="AF401" s="1005"/>
      <c r="AG401" s="1004"/>
      <c r="AH401" s="1004"/>
      <c r="AI401" s="1004"/>
      <c r="AJ401" s="1004"/>
      <c r="AK401" s="1004"/>
      <c r="AL401" s="1004"/>
      <c r="AM401" s="1004"/>
      <c r="AN401" s="1004"/>
      <c r="AO401" s="1004"/>
      <c r="AP401" s="1004"/>
      <c r="AQ401" s="1004"/>
      <c r="AR401" s="1004"/>
      <c r="AS401" s="1004"/>
      <c r="AT401" s="1004"/>
      <c r="AU401" s="1004"/>
      <c r="AV401" s="1004"/>
      <c r="AW401" s="1004"/>
    </row>
    <row r="402" spans="1:49" s="25" customFormat="1" ht="17.45" customHeight="1">
      <c r="A402" s="1004"/>
      <c r="B402" s="1004"/>
      <c r="C402" s="1004"/>
      <c r="D402" s="166"/>
      <c r="E402" s="166"/>
      <c r="F402" s="166"/>
      <c r="G402" s="166"/>
      <c r="H402" s="166"/>
      <c r="I402" s="1004"/>
      <c r="J402" s="1004"/>
      <c r="K402" s="1004"/>
      <c r="L402" s="777">
        <v>5</v>
      </c>
      <c r="M402" s="864"/>
      <c r="N402" s="976"/>
      <c r="O402" s="1020">
        <v>345</v>
      </c>
      <c r="P402" s="847" t="e">
        <f>VLOOKUP(N402,etat!$A$9:$N$1004,2,FALSE)</f>
        <v>#N/A</v>
      </c>
      <c r="Q402" s="797" t="e">
        <f>VLOOKUP(N402,etat!$A$9:$N$963,7,FALSE)</f>
        <v>#N/A</v>
      </c>
      <c r="R402" s="797" t="e">
        <f>VLOOKUP(N402,etat!$A$9:$N$1003,9,FALSE)</f>
        <v>#N/A</v>
      </c>
      <c r="S402" s="866" t="e">
        <f>VLOOKUP(N402,etat!$A$9:$P$905,16,FALSE)</f>
        <v>#N/A</v>
      </c>
      <c r="T402" s="755"/>
      <c r="U402" s="791"/>
      <c r="V402" s="784"/>
      <c r="W402" s="784"/>
      <c r="X402" s="784"/>
      <c r="Y402" s="784"/>
      <c r="Z402" s="784"/>
      <c r="AA402" s="967"/>
      <c r="AB402" s="1005"/>
      <c r="AC402" s="1005"/>
      <c r="AD402" s="1005"/>
      <c r="AE402" s="1005"/>
      <c r="AF402" s="1005"/>
      <c r="AG402" s="1004"/>
      <c r="AH402" s="1004"/>
      <c r="AI402" s="1004"/>
      <c r="AJ402" s="1004"/>
      <c r="AK402" s="1004"/>
      <c r="AL402" s="1004"/>
      <c r="AM402" s="1004"/>
      <c r="AN402" s="1004"/>
      <c r="AO402" s="1004"/>
      <c r="AP402" s="1004"/>
      <c r="AQ402" s="1004"/>
      <c r="AR402" s="1004"/>
      <c r="AS402" s="1004"/>
      <c r="AT402" s="1004"/>
      <c r="AU402" s="1004"/>
      <c r="AV402" s="1004"/>
      <c r="AW402" s="1004"/>
    </row>
    <row r="403" spans="1:49" s="25" customFormat="1" ht="17.45" customHeight="1">
      <c r="A403" s="1004"/>
      <c r="B403" s="1004"/>
      <c r="C403" s="1004"/>
      <c r="D403" s="166"/>
      <c r="E403" s="166"/>
      <c r="F403" s="166"/>
      <c r="G403" s="166"/>
      <c r="H403" s="166"/>
      <c r="I403" s="1004"/>
      <c r="J403" s="1004"/>
      <c r="K403" s="1004"/>
      <c r="L403" s="777">
        <v>5</v>
      </c>
      <c r="M403" s="778"/>
      <c r="N403" s="976"/>
      <c r="O403" s="1020">
        <v>346</v>
      </c>
      <c r="P403" s="847" t="e">
        <f>VLOOKUP(N403,etat!$A$9:$N$1004,2,FALSE)</f>
        <v>#N/A</v>
      </c>
      <c r="Q403" s="797" t="e">
        <f>VLOOKUP(N403,etat!$A$9:$N$963,7,FALSE)</f>
        <v>#N/A</v>
      </c>
      <c r="R403" s="797" t="e">
        <f>VLOOKUP(N403,etat!$A$9:$N$1003,9,FALSE)</f>
        <v>#N/A</v>
      </c>
      <c r="S403" s="866" t="e">
        <f>VLOOKUP(N403,etat!$A$9:$P$905,16,FALSE)</f>
        <v>#N/A</v>
      </c>
      <c r="T403" s="755"/>
      <c r="U403" s="791"/>
      <c r="V403" s="784"/>
      <c r="W403" s="784"/>
      <c r="X403" s="784"/>
      <c r="Y403" s="975"/>
      <c r="Z403" s="1022"/>
      <c r="AA403" s="967"/>
      <c r="AB403" s="1005"/>
      <c r="AC403" s="1005"/>
      <c r="AD403" s="1005"/>
      <c r="AE403" s="1005"/>
      <c r="AF403" s="1005"/>
      <c r="AG403" s="1004"/>
      <c r="AH403" s="1004"/>
      <c r="AI403" s="1004"/>
      <c r="AJ403" s="1004"/>
      <c r="AK403" s="1004"/>
      <c r="AL403" s="1004"/>
      <c r="AM403" s="1004"/>
      <c r="AN403" s="1004"/>
      <c r="AO403" s="1004"/>
      <c r="AP403" s="1004"/>
      <c r="AQ403" s="1004"/>
      <c r="AR403" s="1004"/>
      <c r="AS403" s="1004"/>
      <c r="AT403" s="1004"/>
      <c r="AU403" s="1004"/>
      <c r="AV403" s="1004"/>
      <c r="AW403" s="1004"/>
    </row>
    <row r="404" spans="1:49" s="25" customFormat="1" ht="17.45" customHeight="1">
      <c r="A404" s="1004"/>
      <c r="B404" s="1004"/>
      <c r="C404" s="1004"/>
      <c r="D404" s="166"/>
      <c r="E404" s="166"/>
      <c r="F404" s="166"/>
      <c r="G404" s="166"/>
      <c r="H404" s="166"/>
      <c r="I404" s="1004"/>
      <c r="J404" s="1004"/>
      <c r="K404" s="1004"/>
      <c r="L404" s="777">
        <v>5</v>
      </c>
      <c r="M404" s="864"/>
      <c r="N404" s="976"/>
      <c r="O404" s="1020">
        <v>347</v>
      </c>
      <c r="P404" s="847" t="e">
        <f>VLOOKUP(N404,etat!$A$9:$N$1004,2,FALSE)</f>
        <v>#N/A</v>
      </c>
      <c r="Q404" s="797" t="e">
        <f>VLOOKUP(N404,etat!$A$9:$N$963,7,FALSE)</f>
        <v>#N/A</v>
      </c>
      <c r="R404" s="797" t="e">
        <f>VLOOKUP(N404,etat!$A$9:$N$1003,9,FALSE)</f>
        <v>#N/A</v>
      </c>
      <c r="S404" s="866" t="e">
        <f>VLOOKUP(N404,etat!$A$9:$P$905,16,FALSE)</f>
        <v>#N/A</v>
      </c>
      <c r="T404" s="755"/>
      <c r="U404" s="791"/>
      <c r="V404" s="784"/>
      <c r="W404" s="784"/>
      <c r="X404" s="784"/>
      <c r="Y404" s="975"/>
      <c r="Z404" s="1022"/>
      <c r="AA404" s="967"/>
      <c r="AB404" s="1005"/>
      <c r="AC404" s="1005"/>
      <c r="AD404" s="1005"/>
      <c r="AE404" s="1005"/>
      <c r="AF404" s="1005"/>
      <c r="AG404" s="1004"/>
      <c r="AH404" s="1004"/>
      <c r="AI404" s="1004"/>
      <c r="AJ404" s="1004"/>
      <c r="AK404" s="1004"/>
      <c r="AL404" s="1004"/>
      <c r="AM404" s="1004"/>
      <c r="AN404" s="1004"/>
      <c r="AO404" s="1004"/>
      <c r="AP404" s="1004"/>
      <c r="AQ404" s="1004"/>
      <c r="AR404" s="1004"/>
      <c r="AS404" s="1004"/>
      <c r="AT404" s="1004"/>
      <c r="AU404" s="1004"/>
      <c r="AV404" s="1004"/>
      <c r="AW404" s="1004"/>
    </row>
    <row r="405" spans="1:49" s="25" customFormat="1" ht="17.45" customHeight="1">
      <c r="A405" s="1004"/>
      <c r="B405" s="1004"/>
      <c r="C405" s="1004"/>
      <c r="D405" s="166"/>
      <c r="E405" s="166"/>
      <c r="F405" s="166"/>
      <c r="G405" s="166"/>
      <c r="H405" s="166"/>
      <c r="I405" s="1004"/>
      <c r="J405" s="1004"/>
      <c r="K405" s="1004"/>
      <c r="L405" s="777">
        <v>5</v>
      </c>
      <c r="M405" s="778"/>
      <c r="N405" s="976"/>
      <c r="O405" s="1020">
        <v>348</v>
      </c>
      <c r="P405" s="847" t="e">
        <f>VLOOKUP(N405,etat!$A$9:$N$1004,2,FALSE)</f>
        <v>#N/A</v>
      </c>
      <c r="Q405" s="797" t="e">
        <f>VLOOKUP(N405,etat!$A$9:$N$963,7,FALSE)</f>
        <v>#N/A</v>
      </c>
      <c r="R405" s="797" t="e">
        <f>VLOOKUP(N405,etat!$A$9:$N$1003,9,FALSE)</f>
        <v>#N/A</v>
      </c>
      <c r="S405" s="866" t="e">
        <f>VLOOKUP(N405,etat!$A$9:$P$905,16,FALSE)</f>
        <v>#N/A</v>
      </c>
      <c r="T405" s="755"/>
      <c r="U405" s="791"/>
      <c r="V405" s="784"/>
      <c r="W405" s="784"/>
      <c r="X405" s="784"/>
      <c r="Y405" s="784"/>
      <c r="Z405" s="784"/>
      <c r="AA405" s="967"/>
      <c r="AB405" s="1005"/>
      <c r="AC405" s="1005"/>
      <c r="AD405" s="1005"/>
      <c r="AE405" s="1005"/>
      <c r="AF405" s="1005"/>
      <c r="AG405" s="1004"/>
      <c r="AH405" s="1004"/>
      <c r="AI405" s="1004"/>
      <c r="AJ405" s="1004"/>
      <c r="AK405" s="1004"/>
      <c r="AL405" s="1004"/>
      <c r="AM405" s="1004"/>
      <c r="AN405" s="1004"/>
      <c r="AO405" s="1004"/>
      <c r="AP405" s="1004"/>
      <c r="AQ405" s="1004"/>
      <c r="AR405" s="1004"/>
      <c r="AS405" s="1004"/>
      <c r="AT405" s="1004"/>
      <c r="AU405" s="1004"/>
      <c r="AV405" s="1004"/>
      <c r="AW405" s="1004"/>
    </row>
    <row r="406" spans="1:49" s="25" customFormat="1" ht="17.45" customHeight="1">
      <c r="A406" s="1004"/>
      <c r="B406" s="1004"/>
      <c r="C406" s="1004"/>
      <c r="D406" s="166"/>
      <c r="E406" s="166"/>
      <c r="F406" s="166"/>
      <c r="G406" s="166"/>
      <c r="H406" s="166"/>
      <c r="I406" s="1004"/>
      <c r="J406" s="1004"/>
      <c r="K406" s="1004"/>
      <c r="L406" s="777">
        <v>5</v>
      </c>
      <c r="M406" s="778"/>
      <c r="N406" s="976"/>
      <c r="O406" s="1020">
        <v>349</v>
      </c>
      <c r="P406" s="847" t="e">
        <f>VLOOKUP(N406,etat!$A$9:$N$1004,2,FALSE)</f>
        <v>#N/A</v>
      </c>
      <c r="Q406" s="797" t="e">
        <f>VLOOKUP(N406,etat!$A$9:$N$963,7,FALSE)</f>
        <v>#N/A</v>
      </c>
      <c r="R406" s="797" t="e">
        <f>VLOOKUP(N406,etat!$A$9:$N$1003,9,FALSE)</f>
        <v>#N/A</v>
      </c>
      <c r="S406" s="866" t="e">
        <f>VLOOKUP(N406,etat!$A$9:$P$905,16,FALSE)</f>
        <v>#N/A</v>
      </c>
      <c r="T406" s="755"/>
      <c r="U406" s="791"/>
      <c r="V406" s="784"/>
      <c r="W406" s="784"/>
      <c r="X406" s="784"/>
      <c r="Y406" s="975"/>
      <c r="Z406" s="1022"/>
      <c r="AA406" s="967"/>
      <c r="AB406" s="1005"/>
      <c r="AC406" s="1005"/>
      <c r="AD406" s="1005"/>
      <c r="AE406" s="1005"/>
      <c r="AF406" s="1005"/>
      <c r="AG406" s="1004"/>
      <c r="AH406" s="1004"/>
      <c r="AI406" s="1004"/>
      <c r="AJ406" s="1004"/>
      <c r="AK406" s="1004"/>
      <c r="AL406" s="1004"/>
      <c r="AM406" s="1004"/>
      <c r="AN406" s="1004"/>
      <c r="AO406" s="1004"/>
      <c r="AP406" s="1004"/>
      <c r="AQ406" s="1004"/>
      <c r="AR406" s="1004"/>
      <c r="AS406" s="1004"/>
      <c r="AT406" s="1004"/>
      <c r="AU406" s="1004"/>
      <c r="AV406" s="1004"/>
      <c r="AW406" s="1004"/>
    </row>
    <row r="407" spans="1:49" s="25" customFormat="1" ht="17.45" customHeight="1">
      <c r="A407" s="1004"/>
      <c r="B407" s="1004"/>
      <c r="C407" s="1004"/>
      <c r="D407" s="166"/>
      <c r="E407" s="166"/>
      <c r="F407" s="166"/>
      <c r="G407" s="166"/>
      <c r="H407" s="166"/>
      <c r="I407" s="1004"/>
      <c r="J407" s="1004"/>
      <c r="K407" s="1004"/>
      <c r="L407" s="777">
        <v>5</v>
      </c>
      <c r="M407" s="864"/>
      <c r="N407" s="976"/>
      <c r="O407" s="1020">
        <v>350</v>
      </c>
      <c r="P407" s="847" t="e">
        <f>VLOOKUP(N407,etat!$A$9:$N$1004,2,FALSE)</f>
        <v>#N/A</v>
      </c>
      <c r="Q407" s="797" t="e">
        <f>VLOOKUP(N407,etat!$A$9:$N$963,7,FALSE)</f>
        <v>#N/A</v>
      </c>
      <c r="R407" s="797" t="e">
        <f>VLOOKUP(N407,etat!$A$9:$N$1003,9,FALSE)</f>
        <v>#N/A</v>
      </c>
      <c r="S407" s="866" t="e">
        <f>VLOOKUP(N407,etat!$A$9:$P$905,16,FALSE)</f>
        <v>#N/A</v>
      </c>
      <c r="T407" s="755"/>
      <c r="U407" s="791"/>
      <c r="V407" s="784"/>
      <c r="W407" s="784"/>
      <c r="X407" s="784"/>
      <c r="Y407" s="975"/>
      <c r="Z407" s="784"/>
      <c r="AA407" s="967"/>
      <c r="AB407" s="1005"/>
      <c r="AC407" s="1005"/>
      <c r="AD407" s="1005"/>
      <c r="AE407" s="1005"/>
      <c r="AF407" s="1005"/>
      <c r="AG407" s="1004"/>
      <c r="AH407" s="1004"/>
      <c r="AI407" s="1004"/>
      <c r="AJ407" s="1004"/>
      <c r="AK407" s="1004"/>
      <c r="AL407" s="1004"/>
      <c r="AM407" s="1004"/>
      <c r="AN407" s="1004"/>
      <c r="AO407" s="1004"/>
      <c r="AP407" s="1004"/>
      <c r="AQ407" s="1004"/>
      <c r="AR407" s="1004"/>
      <c r="AS407" s="1004"/>
      <c r="AT407" s="1004"/>
      <c r="AU407" s="1004"/>
      <c r="AV407" s="1004"/>
      <c r="AW407" s="1004"/>
    </row>
    <row r="408" spans="1:49" s="25" customFormat="1" ht="17.45" customHeight="1">
      <c r="A408" s="1004"/>
      <c r="B408" s="1004"/>
      <c r="C408" s="1004"/>
      <c r="D408" s="166"/>
      <c r="E408" s="166"/>
      <c r="F408" s="166"/>
      <c r="G408" s="166"/>
      <c r="H408" s="166"/>
      <c r="I408" s="1004"/>
      <c r="J408" s="1004"/>
      <c r="K408" s="1004"/>
      <c r="L408" s="777">
        <v>5</v>
      </c>
      <c r="M408" s="864"/>
      <c r="N408" s="976"/>
      <c r="O408" s="1020">
        <v>351</v>
      </c>
      <c r="P408" s="847" t="e">
        <f>VLOOKUP(N408,etat!$A$9:$N$1004,2,FALSE)</f>
        <v>#N/A</v>
      </c>
      <c r="Q408" s="797" t="e">
        <f>VLOOKUP(N408,etat!$A$9:$N$963,7,FALSE)</f>
        <v>#N/A</v>
      </c>
      <c r="R408" s="797" t="e">
        <f>VLOOKUP(N408,etat!$A$9:$N$1003,9,FALSE)</f>
        <v>#N/A</v>
      </c>
      <c r="S408" s="866" t="e">
        <f>VLOOKUP(N408,etat!$A$9:$P$905,16,FALSE)</f>
        <v>#N/A</v>
      </c>
      <c r="T408" s="755"/>
      <c r="U408" s="791"/>
      <c r="V408" s="784"/>
      <c r="W408" s="784"/>
      <c r="X408" s="784"/>
      <c r="Y408" s="975"/>
      <c r="Z408" s="784"/>
      <c r="AA408" s="967"/>
      <c r="AB408" s="1005"/>
      <c r="AC408" s="1005"/>
      <c r="AD408" s="1005"/>
      <c r="AE408" s="1005"/>
      <c r="AF408" s="1005"/>
      <c r="AG408" s="1004"/>
      <c r="AH408" s="1004"/>
      <c r="AI408" s="1004"/>
      <c r="AJ408" s="1004"/>
      <c r="AK408" s="1004"/>
      <c r="AL408" s="1004"/>
      <c r="AM408" s="1004"/>
      <c r="AN408" s="1004"/>
      <c r="AO408" s="1004"/>
      <c r="AP408" s="1004"/>
      <c r="AQ408" s="1004"/>
      <c r="AR408" s="1004"/>
      <c r="AS408" s="1004"/>
      <c r="AT408" s="1004"/>
      <c r="AU408" s="1004"/>
      <c r="AV408" s="1004"/>
      <c r="AW408" s="1004"/>
    </row>
    <row r="409" spans="1:49" s="25" customFormat="1" ht="17.45" customHeight="1">
      <c r="A409" s="1004"/>
      <c r="B409" s="1004"/>
      <c r="C409" s="1004"/>
      <c r="D409" s="166"/>
      <c r="E409" s="166"/>
      <c r="F409" s="166"/>
      <c r="G409" s="166"/>
      <c r="H409" s="166"/>
      <c r="I409" s="1004"/>
      <c r="J409" s="1004"/>
      <c r="K409" s="1004"/>
      <c r="L409" s="777">
        <v>5</v>
      </c>
      <c r="M409" s="778"/>
      <c r="N409" s="976"/>
      <c r="O409" s="1020">
        <v>352</v>
      </c>
      <c r="P409" s="847" t="e">
        <f>VLOOKUP(N409,etat!$A$9:$N$1004,2,FALSE)</f>
        <v>#N/A</v>
      </c>
      <c r="Q409" s="797" t="e">
        <f>VLOOKUP(N409,etat!$A$9:$N$963,7,FALSE)</f>
        <v>#N/A</v>
      </c>
      <c r="R409" s="797" t="e">
        <f>VLOOKUP(N409,etat!$A$9:$N$1003,9,FALSE)</f>
        <v>#N/A</v>
      </c>
      <c r="S409" s="866" t="e">
        <f>VLOOKUP(N409,etat!$A$9:$P$905,16,FALSE)</f>
        <v>#N/A</v>
      </c>
      <c r="T409" s="755"/>
      <c r="U409" s="791"/>
      <c r="V409" s="784"/>
      <c r="W409" s="784"/>
      <c r="X409" s="784"/>
      <c r="Y409" s="784"/>
      <c r="Z409" s="784"/>
      <c r="AA409" s="967"/>
      <c r="AB409" s="1005"/>
      <c r="AC409" s="1005"/>
      <c r="AD409" s="1005"/>
      <c r="AE409" s="1005"/>
      <c r="AF409" s="1005"/>
      <c r="AG409" s="1004"/>
      <c r="AH409" s="1004"/>
      <c r="AI409" s="1004"/>
      <c r="AJ409" s="1004"/>
      <c r="AK409" s="1004"/>
      <c r="AL409" s="1004"/>
      <c r="AM409" s="1004"/>
      <c r="AN409" s="1004"/>
      <c r="AO409" s="1004"/>
      <c r="AP409" s="1004"/>
      <c r="AQ409" s="1004"/>
      <c r="AR409" s="1004"/>
      <c r="AS409" s="1004"/>
      <c r="AT409" s="1004"/>
      <c r="AU409" s="1004"/>
      <c r="AV409" s="1004"/>
      <c r="AW409" s="1004"/>
    </row>
    <row r="410" spans="1:49" s="25" customFormat="1" ht="17.45" customHeight="1">
      <c r="A410" s="1004"/>
      <c r="B410" s="1004"/>
      <c r="C410" s="1004"/>
      <c r="D410" s="166"/>
      <c r="E410" s="166"/>
      <c r="F410" s="166"/>
      <c r="G410" s="166"/>
      <c r="H410" s="166"/>
      <c r="I410" s="1004"/>
      <c r="J410" s="1004"/>
      <c r="K410" s="1004"/>
      <c r="L410" s="777">
        <v>5</v>
      </c>
      <c r="M410" s="864"/>
      <c r="N410" s="976"/>
      <c r="O410" s="1020">
        <v>353</v>
      </c>
      <c r="P410" s="847" t="e">
        <f>VLOOKUP(N410,etat!$A$9:$N$1004,2,FALSE)</f>
        <v>#N/A</v>
      </c>
      <c r="Q410" s="797" t="e">
        <f>VLOOKUP(N410,etat!$A$9:$N$963,7,FALSE)</f>
        <v>#N/A</v>
      </c>
      <c r="R410" s="797" t="e">
        <f>VLOOKUP(N410,etat!$A$9:$N$1003,9,FALSE)</f>
        <v>#N/A</v>
      </c>
      <c r="S410" s="866" t="e">
        <f>VLOOKUP(N410,etat!$A$9:$P$905,16,FALSE)</f>
        <v>#N/A</v>
      </c>
      <c r="T410" s="755"/>
      <c r="U410" s="791"/>
      <c r="V410" s="784"/>
      <c r="W410" s="784"/>
      <c r="X410" s="784"/>
      <c r="Y410" s="975"/>
      <c r="Z410" s="1022"/>
      <c r="AA410" s="967"/>
      <c r="AB410" s="1005"/>
      <c r="AC410" s="1005"/>
      <c r="AD410" s="1005"/>
      <c r="AE410" s="1005"/>
      <c r="AF410" s="1005"/>
      <c r="AG410" s="1004"/>
      <c r="AH410" s="1004"/>
      <c r="AI410" s="1004"/>
      <c r="AJ410" s="1004"/>
      <c r="AK410" s="1004"/>
      <c r="AL410" s="1004"/>
      <c r="AM410" s="1004"/>
      <c r="AN410" s="1004"/>
      <c r="AO410" s="1004"/>
      <c r="AP410" s="1004"/>
      <c r="AQ410" s="1004"/>
      <c r="AR410" s="1004"/>
      <c r="AS410" s="1004"/>
      <c r="AT410" s="1004"/>
      <c r="AU410" s="1004"/>
      <c r="AV410" s="1004"/>
      <c r="AW410" s="1004"/>
    </row>
    <row r="411" spans="1:49" s="25" customFormat="1" ht="17.45" customHeight="1">
      <c r="A411" s="1004"/>
      <c r="B411" s="1004"/>
      <c r="C411" s="1004"/>
      <c r="D411" s="166"/>
      <c r="E411" s="166"/>
      <c r="F411" s="166"/>
      <c r="G411" s="166"/>
      <c r="H411" s="166"/>
      <c r="I411" s="1004"/>
      <c r="J411" s="1004"/>
      <c r="K411" s="1004"/>
      <c r="L411" s="777">
        <v>5</v>
      </c>
      <c r="M411" s="864"/>
      <c r="N411" s="976"/>
      <c r="O411" s="1020">
        <v>354</v>
      </c>
      <c r="P411" s="847" t="e">
        <f>VLOOKUP(N411,etat!$A$9:$N$1004,2,FALSE)</f>
        <v>#N/A</v>
      </c>
      <c r="Q411" s="797" t="e">
        <f>VLOOKUP(N411,etat!$A$9:$N$963,7,FALSE)</f>
        <v>#N/A</v>
      </c>
      <c r="R411" s="797" t="e">
        <f>VLOOKUP(N411,etat!$A$9:$N$1003,9,FALSE)</f>
        <v>#N/A</v>
      </c>
      <c r="S411" s="866" t="e">
        <f>VLOOKUP(N411,etat!$A$9:$P$905,16,FALSE)</f>
        <v>#N/A</v>
      </c>
      <c r="T411" s="755"/>
      <c r="U411" s="791"/>
      <c r="V411" s="784"/>
      <c r="W411" s="784"/>
      <c r="X411" s="784"/>
      <c r="Y411" s="975"/>
      <c r="Z411" s="1022"/>
      <c r="AA411" s="967"/>
      <c r="AB411" s="1005"/>
      <c r="AC411" s="1005"/>
      <c r="AD411" s="1005"/>
      <c r="AE411" s="1005"/>
      <c r="AF411" s="1005"/>
      <c r="AG411" s="1004"/>
      <c r="AH411" s="1004"/>
      <c r="AI411" s="1004"/>
      <c r="AJ411" s="1004"/>
      <c r="AK411" s="1004"/>
      <c r="AL411" s="1004"/>
      <c r="AM411" s="1004"/>
      <c r="AN411" s="1004"/>
      <c r="AO411" s="1004"/>
      <c r="AP411" s="1004"/>
      <c r="AQ411" s="1004"/>
      <c r="AR411" s="1004"/>
      <c r="AS411" s="1004"/>
      <c r="AT411" s="1004"/>
      <c r="AU411" s="1004"/>
      <c r="AV411" s="1004"/>
      <c r="AW411" s="1004"/>
    </row>
    <row r="412" spans="1:49" s="25" customFormat="1" ht="17.45" customHeight="1">
      <c r="A412" s="1004"/>
      <c r="B412" s="1004"/>
      <c r="C412" s="1004"/>
      <c r="D412" s="166"/>
      <c r="E412" s="166"/>
      <c r="F412" s="166"/>
      <c r="G412" s="166"/>
      <c r="H412" s="166"/>
      <c r="I412" s="1004"/>
      <c r="J412" s="1004"/>
      <c r="K412" s="1004"/>
      <c r="L412" s="777">
        <v>5</v>
      </c>
      <c r="M412" s="864"/>
      <c r="N412" s="976"/>
      <c r="O412" s="1020">
        <v>355</v>
      </c>
      <c r="P412" s="847" t="e">
        <f>VLOOKUP(N412,etat!$A$9:$N$1004,2,FALSE)</f>
        <v>#N/A</v>
      </c>
      <c r="Q412" s="797" t="e">
        <f>VLOOKUP(N412,etat!$A$9:$N$963,7,FALSE)</f>
        <v>#N/A</v>
      </c>
      <c r="R412" s="797" t="e">
        <f>VLOOKUP(N412,etat!$A$9:$N$1003,9,FALSE)</f>
        <v>#N/A</v>
      </c>
      <c r="S412" s="866" t="e">
        <f>VLOOKUP(N412,etat!$A$9:$P$905,16,FALSE)</f>
        <v>#N/A</v>
      </c>
      <c r="T412" s="755"/>
      <c r="U412" s="784"/>
      <c r="V412" s="784"/>
      <c r="W412" s="943"/>
      <c r="X412" s="944"/>
      <c r="Y412" s="975"/>
      <c r="Z412" s="1022"/>
      <c r="AA412" s="967"/>
      <c r="AB412" s="1005"/>
      <c r="AC412" s="1005"/>
      <c r="AD412" s="1005"/>
      <c r="AE412" s="1005"/>
      <c r="AF412" s="1005"/>
      <c r="AG412" s="1004"/>
      <c r="AH412" s="1004"/>
      <c r="AI412" s="1004"/>
      <c r="AJ412" s="1004"/>
      <c r="AK412" s="1004"/>
      <c r="AL412" s="1004"/>
      <c r="AM412" s="1004"/>
      <c r="AN412" s="1004"/>
      <c r="AO412" s="1004"/>
      <c r="AP412" s="1004"/>
      <c r="AQ412" s="1004"/>
      <c r="AR412" s="1004"/>
      <c r="AS412" s="1004"/>
      <c r="AT412" s="1004"/>
      <c r="AU412" s="1004"/>
      <c r="AV412" s="1004"/>
      <c r="AW412" s="1004"/>
    </row>
    <row r="413" spans="1:49" s="25" customFormat="1" ht="17.45" customHeight="1">
      <c r="A413" s="1004"/>
      <c r="B413" s="1004"/>
      <c r="C413" s="1004"/>
      <c r="D413" s="166"/>
      <c r="E413" s="166"/>
      <c r="F413" s="166"/>
      <c r="G413" s="166"/>
      <c r="H413" s="166"/>
      <c r="I413" s="1004"/>
      <c r="J413" s="1004"/>
      <c r="K413" s="1004"/>
      <c r="L413" s="777">
        <v>5</v>
      </c>
      <c r="M413" s="864"/>
      <c r="N413" s="976"/>
      <c r="O413" s="1020">
        <v>356</v>
      </c>
      <c r="P413" s="847" t="e">
        <f>VLOOKUP(N413,etat!$A$9:$N$1004,2,FALSE)</f>
        <v>#N/A</v>
      </c>
      <c r="Q413" s="797" t="e">
        <f>VLOOKUP(N413,etat!$A$9:$N$963,7,FALSE)</f>
        <v>#N/A</v>
      </c>
      <c r="R413" s="797" t="e">
        <f>VLOOKUP(N413,etat!$A$9:$N$1003,9,FALSE)</f>
        <v>#N/A</v>
      </c>
      <c r="S413" s="866" t="e">
        <f>VLOOKUP(N413,etat!$A$9:$P$905,16,FALSE)</f>
        <v>#N/A</v>
      </c>
      <c r="T413" s="755"/>
      <c r="U413" s="784"/>
      <c r="V413" s="784"/>
      <c r="W413" s="943"/>
      <c r="X413" s="944"/>
      <c r="Y413" s="975"/>
      <c r="Z413" s="1022"/>
      <c r="AA413" s="967"/>
      <c r="AB413" s="1005"/>
      <c r="AC413" s="1005"/>
      <c r="AD413" s="1005"/>
      <c r="AE413" s="1005"/>
      <c r="AF413" s="1005"/>
      <c r="AG413" s="1004"/>
      <c r="AH413" s="1004"/>
      <c r="AI413" s="1004"/>
      <c r="AJ413" s="1004"/>
      <c r="AK413" s="1004"/>
      <c r="AL413" s="1004"/>
      <c r="AM413" s="1004"/>
      <c r="AN413" s="1004"/>
      <c r="AO413" s="1004"/>
      <c r="AP413" s="1004"/>
      <c r="AQ413" s="1004"/>
      <c r="AR413" s="1004"/>
      <c r="AS413" s="1004"/>
      <c r="AT413" s="1004"/>
      <c r="AU413" s="1004"/>
      <c r="AV413" s="1004"/>
      <c r="AW413" s="1004"/>
    </row>
    <row r="414" spans="1:49" s="25" customFormat="1" ht="17.45" customHeight="1">
      <c r="A414" s="1004"/>
      <c r="B414" s="1004"/>
      <c r="C414" s="1004"/>
      <c r="D414" s="166"/>
      <c r="E414" s="166"/>
      <c r="F414" s="166"/>
      <c r="G414" s="166"/>
      <c r="H414" s="166"/>
      <c r="I414" s="1004"/>
      <c r="J414" s="1004"/>
      <c r="K414" s="1004"/>
      <c r="L414" s="777">
        <v>5</v>
      </c>
      <c r="M414" s="864"/>
      <c r="N414" s="976"/>
      <c r="O414" s="1020">
        <v>357</v>
      </c>
      <c r="P414" s="847" t="e">
        <f>VLOOKUP(N414,etat!$A$9:$N$1004,2,FALSE)</f>
        <v>#N/A</v>
      </c>
      <c r="Q414" s="797" t="e">
        <f>VLOOKUP(N414,etat!$A$9:$N$963,7,FALSE)</f>
        <v>#N/A</v>
      </c>
      <c r="R414" s="797" t="e">
        <f>VLOOKUP(N414,etat!$A$9:$N$1003,9,FALSE)</f>
        <v>#N/A</v>
      </c>
      <c r="S414" s="866" t="e">
        <f>VLOOKUP(N414,etat!$A$9:$P$905,16,FALSE)</f>
        <v>#N/A</v>
      </c>
      <c r="T414" s="755"/>
      <c r="U414" s="784"/>
      <c r="V414" s="784"/>
      <c r="W414" s="784"/>
      <c r="X414" s="784"/>
      <c r="Y414" s="975"/>
      <c r="Z414" s="1022"/>
      <c r="AA414" s="967"/>
      <c r="AB414" s="1005"/>
      <c r="AC414" s="1005"/>
      <c r="AD414" s="1005"/>
      <c r="AE414" s="1005"/>
      <c r="AF414" s="1005"/>
      <c r="AG414" s="1004"/>
      <c r="AH414" s="1004"/>
      <c r="AI414" s="1004"/>
      <c r="AJ414" s="1004"/>
      <c r="AK414" s="1004"/>
      <c r="AL414" s="1004"/>
      <c r="AM414" s="1004"/>
      <c r="AN414" s="1004"/>
      <c r="AO414" s="1004"/>
      <c r="AP414" s="1004"/>
      <c r="AQ414" s="1004"/>
      <c r="AR414" s="1004"/>
      <c r="AS414" s="1004"/>
      <c r="AT414" s="1004"/>
      <c r="AU414" s="1004"/>
      <c r="AV414" s="1004"/>
      <c r="AW414" s="1004"/>
    </row>
    <row r="415" spans="1:49" s="25" customFormat="1" ht="17.45" customHeight="1">
      <c r="A415" s="1004"/>
      <c r="B415" s="1004"/>
      <c r="C415" s="1004"/>
      <c r="D415" s="166"/>
      <c r="E415" s="166"/>
      <c r="F415" s="166"/>
      <c r="G415" s="166"/>
      <c r="H415" s="166"/>
      <c r="I415" s="1004"/>
      <c r="J415" s="1004"/>
      <c r="K415" s="1004"/>
      <c r="L415" s="777">
        <v>5</v>
      </c>
      <c r="M415" s="778"/>
      <c r="N415" s="976"/>
      <c r="O415" s="1020">
        <v>358</v>
      </c>
      <c r="P415" s="847" t="e">
        <f>VLOOKUP(N415,etat!$A$9:$N$1004,2,FALSE)</f>
        <v>#N/A</v>
      </c>
      <c r="Q415" s="797" t="e">
        <f>VLOOKUP(N415,etat!$A$9:$N$963,7,FALSE)</f>
        <v>#N/A</v>
      </c>
      <c r="R415" s="797" t="e">
        <f>VLOOKUP(N415,etat!$A$9:$N$1003,9,FALSE)</f>
        <v>#N/A</v>
      </c>
      <c r="S415" s="866" t="e">
        <f>VLOOKUP(N415,etat!$A$9:$P$905,16,FALSE)</f>
        <v>#N/A</v>
      </c>
      <c r="T415" s="755"/>
      <c r="U415" s="784"/>
      <c r="V415" s="784"/>
      <c r="W415" s="943"/>
      <c r="X415" s="944"/>
      <c r="Y415" s="975"/>
      <c r="Z415" s="1022"/>
      <c r="AA415" s="967"/>
      <c r="AB415" s="1005"/>
      <c r="AC415" s="1005"/>
      <c r="AD415" s="1005"/>
      <c r="AE415" s="1005"/>
      <c r="AF415" s="1005"/>
      <c r="AG415" s="1004"/>
      <c r="AH415" s="1004"/>
      <c r="AI415" s="1004"/>
      <c r="AJ415" s="1004"/>
      <c r="AK415" s="1004"/>
      <c r="AL415" s="1004"/>
      <c r="AM415" s="1004"/>
      <c r="AN415" s="1004"/>
      <c r="AO415" s="1004"/>
      <c r="AP415" s="1004"/>
      <c r="AQ415" s="1004"/>
      <c r="AR415" s="1004"/>
      <c r="AS415" s="1004"/>
      <c r="AT415" s="1004"/>
      <c r="AU415" s="1004"/>
      <c r="AV415" s="1004"/>
      <c r="AW415" s="1004"/>
    </row>
    <row r="416" spans="1:49" s="25" customFormat="1" ht="17.45" customHeight="1">
      <c r="A416" s="1004"/>
      <c r="B416" s="1004"/>
      <c r="C416" s="1004"/>
      <c r="D416" s="166"/>
      <c r="E416" s="166"/>
      <c r="F416" s="166"/>
      <c r="G416" s="166"/>
      <c r="H416" s="166"/>
      <c r="I416" s="1004"/>
      <c r="J416" s="1004"/>
      <c r="K416" s="1004"/>
      <c r="L416" s="777">
        <v>5</v>
      </c>
      <c r="M416" s="778"/>
      <c r="N416" s="976"/>
      <c r="O416" s="1020">
        <v>359</v>
      </c>
      <c r="P416" s="847" t="e">
        <f>VLOOKUP(N416,etat!$A$9:$N$1004,2,FALSE)</f>
        <v>#N/A</v>
      </c>
      <c r="Q416" s="797" t="e">
        <f>VLOOKUP(N416,etat!$A$9:$N$963,7,FALSE)</f>
        <v>#N/A</v>
      </c>
      <c r="R416" s="797" t="e">
        <f>VLOOKUP(N416,etat!$A$9:$N$1003,9,FALSE)</f>
        <v>#N/A</v>
      </c>
      <c r="S416" s="866" t="e">
        <f>VLOOKUP(N416,etat!$A$9:$P$905,16,FALSE)</f>
        <v>#N/A</v>
      </c>
      <c r="T416" s="755"/>
      <c r="U416" s="784"/>
      <c r="V416" s="784"/>
      <c r="W416" s="784"/>
      <c r="X416" s="784"/>
      <c r="Y416" s="975"/>
      <c r="Z416" s="1022"/>
      <c r="AA416" s="967"/>
      <c r="AB416" s="1005"/>
      <c r="AC416" s="1005"/>
      <c r="AD416" s="1005"/>
      <c r="AE416" s="1005"/>
      <c r="AF416" s="1005"/>
      <c r="AG416" s="1004"/>
      <c r="AH416" s="1004"/>
      <c r="AI416" s="1004"/>
      <c r="AJ416" s="1004"/>
      <c r="AK416" s="1004"/>
      <c r="AL416" s="1004"/>
      <c r="AM416" s="1004"/>
      <c r="AN416" s="1004"/>
      <c r="AO416" s="1004"/>
      <c r="AP416" s="1004"/>
      <c r="AQ416" s="1004"/>
      <c r="AR416" s="1004"/>
      <c r="AS416" s="1004"/>
      <c r="AT416" s="1004"/>
      <c r="AU416" s="1004"/>
      <c r="AV416" s="1004"/>
      <c r="AW416" s="1004"/>
    </row>
    <row r="417" spans="1:49" s="25" customFormat="1" ht="17.45" customHeight="1">
      <c r="A417" s="1004"/>
      <c r="B417" s="1004"/>
      <c r="C417" s="1004"/>
      <c r="D417" s="166"/>
      <c r="E417" s="166"/>
      <c r="F417" s="166"/>
      <c r="G417" s="166"/>
      <c r="H417" s="166"/>
      <c r="I417" s="1004"/>
      <c r="J417" s="1004"/>
      <c r="K417" s="1004"/>
      <c r="L417" s="777">
        <v>5</v>
      </c>
      <c r="M417" s="864"/>
      <c r="N417" s="976"/>
      <c r="O417" s="1020">
        <v>360</v>
      </c>
      <c r="P417" s="847" t="e">
        <f>VLOOKUP(N417,etat!$A$9:$N$1004,2,FALSE)</f>
        <v>#N/A</v>
      </c>
      <c r="Q417" s="797" t="e">
        <f>VLOOKUP(N417,etat!$A$9:$N$963,7,FALSE)</f>
        <v>#N/A</v>
      </c>
      <c r="R417" s="797" t="e">
        <f>VLOOKUP(N417,etat!$A$9:$N$1003,9,FALSE)</f>
        <v>#N/A</v>
      </c>
      <c r="S417" s="866" t="e">
        <f>VLOOKUP(N417,etat!$A$9:$P$905,16,FALSE)</f>
        <v>#N/A</v>
      </c>
      <c r="T417" s="755"/>
      <c r="U417" s="784"/>
      <c r="V417" s="784"/>
      <c r="W417" s="784"/>
      <c r="X417" s="784"/>
      <c r="Y417" s="975"/>
      <c r="Z417" s="1022"/>
      <c r="AA417" s="967"/>
      <c r="AB417" s="1005"/>
      <c r="AC417" s="1005"/>
      <c r="AD417" s="1005"/>
      <c r="AE417" s="1005"/>
      <c r="AF417" s="1005"/>
      <c r="AG417" s="1004"/>
      <c r="AH417" s="1004"/>
      <c r="AI417" s="1004"/>
      <c r="AJ417" s="1004"/>
      <c r="AK417" s="1004"/>
      <c r="AL417" s="1004"/>
      <c r="AM417" s="1004"/>
      <c r="AN417" s="1004"/>
      <c r="AO417" s="1004"/>
      <c r="AP417" s="1004"/>
      <c r="AQ417" s="1004"/>
      <c r="AR417" s="1004"/>
      <c r="AS417" s="1004"/>
      <c r="AT417" s="1004"/>
      <c r="AU417" s="1004"/>
      <c r="AV417" s="1004"/>
      <c r="AW417" s="1004"/>
    </row>
    <row r="418" spans="1:49" s="25" customFormat="1" ht="17.45" customHeight="1">
      <c r="A418" s="1004"/>
      <c r="B418" s="1004"/>
      <c r="C418" s="1004"/>
      <c r="D418" s="166"/>
      <c r="E418" s="166"/>
      <c r="F418" s="166"/>
      <c r="G418" s="166"/>
      <c r="H418" s="166"/>
      <c r="I418" s="1004"/>
      <c r="J418" s="1004"/>
      <c r="K418" s="1004"/>
      <c r="L418" s="777">
        <v>5</v>
      </c>
      <c r="M418" s="864"/>
      <c r="N418" s="976"/>
      <c r="O418" s="1020">
        <v>361</v>
      </c>
      <c r="P418" s="847" t="e">
        <f>VLOOKUP(N418,etat!$A$9:$N$1004,2,FALSE)</f>
        <v>#N/A</v>
      </c>
      <c r="Q418" s="797" t="e">
        <f>VLOOKUP(N418,etat!$A$9:$N$963,7,FALSE)</f>
        <v>#N/A</v>
      </c>
      <c r="R418" s="797" t="e">
        <f>VLOOKUP(N418,etat!$A$9:$N$1003,9,FALSE)</f>
        <v>#N/A</v>
      </c>
      <c r="S418" s="866" t="e">
        <f>VLOOKUP(N418,etat!$A$9:$P$905,16,FALSE)</f>
        <v>#N/A</v>
      </c>
      <c r="T418" s="755"/>
      <c r="U418" s="784"/>
      <c r="V418" s="784"/>
      <c r="W418" s="784"/>
      <c r="X418" s="784"/>
      <c r="Y418" s="975"/>
      <c r="Z418" s="1022"/>
      <c r="AA418" s="967"/>
      <c r="AB418" s="1005"/>
      <c r="AC418" s="1005"/>
      <c r="AD418" s="1005"/>
      <c r="AE418" s="1005"/>
      <c r="AF418" s="1005"/>
      <c r="AG418" s="1004"/>
      <c r="AH418" s="1004"/>
      <c r="AI418" s="1004"/>
      <c r="AJ418" s="1004"/>
      <c r="AK418" s="1004"/>
      <c r="AL418" s="1004"/>
      <c r="AM418" s="1004"/>
      <c r="AN418" s="1004"/>
      <c r="AO418" s="1004"/>
      <c r="AP418" s="1004"/>
      <c r="AQ418" s="1004"/>
      <c r="AR418" s="1004"/>
      <c r="AS418" s="1004"/>
      <c r="AT418" s="1004"/>
      <c r="AU418" s="1004"/>
      <c r="AV418" s="1004"/>
      <c r="AW418" s="1004"/>
    </row>
    <row r="419" spans="1:49" s="25" customFormat="1" ht="17.45" customHeight="1">
      <c r="A419" s="1004"/>
      <c r="B419" s="1004"/>
      <c r="C419" s="1004"/>
      <c r="D419" s="166"/>
      <c r="E419" s="166"/>
      <c r="F419" s="166"/>
      <c r="G419" s="166"/>
      <c r="H419" s="166"/>
      <c r="I419" s="1004"/>
      <c r="J419" s="1004"/>
      <c r="K419" s="1004"/>
      <c r="L419" s="777">
        <v>5</v>
      </c>
      <c r="M419" s="778"/>
      <c r="N419" s="976"/>
      <c r="O419" s="1020">
        <v>362</v>
      </c>
      <c r="P419" s="847" t="e">
        <f>VLOOKUP(N419,etat!$A$9:$N$1004,2,FALSE)</f>
        <v>#N/A</v>
      </c>
      <c r="Q419" s="797" t="e">
        <f>VLOOKUP(N419,etat!$A$9:$N$963,7,FALSE)</f>
        <v>#N/A</v>
      </c>
      <c r="R419" s="797" t="e">
        <f>VLOOKUP(N419,etat!$A$9:$N$1003,9,FALSE)</f>
        <v>#N/A</v>
      </c>
      <c r="S419" s="866" t="e">
        <f>VLOOKUP(N419,etat!$A$9:$P$905,16,FALSE)</f>
        <v>#N/A</v>
      </c>
      <c r="T419" s="755"/>
      <c r="U419" s="784"/>
      <c r="V419" s="784"/>
      <c r="W419" s="784"/>
      <c r="X419" s="784"/>
      <c r="Y419" s="975"/>
      <c r="Z419" s="1022"/>
      <c r="AA419" s="967"/>
      <c r="AB419" s="1005"/>
      <c r="AC419" s="1005"/>
      <c r="AD419" s="1005"/>
      <c r="AE419" s="1005"/>
      <c r="AF419" s="1005"/>
      <c r="AG419" s="1004"/>
      <c r="AH419" s="1004"/>
      <c r="AI419" s="1004"/>
      <c r="AJ419" s="1004"/>
      <c r="AK419" s="1004"/>
      <c r="AL419" s="1004"/>
      <c r="AM419" s="1004"/>
      <c r="AN419" s="1004"/>
      <c r="AO419" s="1004"/>
      <c r="AP419" s="1004"/>
      <c r="AQ419" s="1004"/>
      <c r="AR419" s="1004"/>
      <c r="AS419" s="1004"/>
      <c r="AT419" s="1004"/>
      <c r="AU419" s="1004"/>
      <c r="AV419" s="1004"/>
      <c r="AW419" s="1004"/>
    </row>
    <row r="420" spans="1:49" s="25" customFormat="1" ht="17.45" customHeight="1">
      <c r="A420" s="1004"/>
      <c r="B420" s="1004"/>
      <c r="C420" s="1004"/>
      <c r="D420" s="166"/>
      <c r="E420" s="166"/>
      <c r="F420" s="166"/>
      <c r="G420" s="166"/>
      <c r="H420" s="166"/>
      <c r="I420" s="1004"/>
      <c r="J420" s="1004"/>
      <c r="K420" s="1004"/>
      <c r="L420" s="777">
        <v>5</v>
      </c>
      <c r="M420" s="778"/>
      <c r="N420" s="976"/>
      <c r="O420" s="1020">
        <v>363</v>
      </c>
      <c r="P420" s="847" t="e">
        <f>VLOOKUP(N420,etat!$A$9:$N$1004,2,FALSE)</f>
        <v>#N/A</v>
      </c>
      <c r="Q420" s="797" t="e">
        <f>VLOOKUP(N420,etat!$A$9:$N$963,7,FALSE)</f>
        <v>#N/A</v>
      </c>
      <c r="R420" s="797" t="e">
        <f>VLOOKUP(N420,etat!$A$9:$N$1003,9,FALSE)</f>
        <v>#N/A</v>
      </c>
      <c r="S420" s="866" t="e">
        <f>VLOOKUP(N420,etat!$A$9:$P$905,16,FALSE)</f>
        <v>#N/A</v>
      </c>
      <c r="T420" s="755"/>
      <c r="U420" s="784"/>
      <c r="V420" s="784"/>
      <c r="W420" s="784"/>
      <c r="X420" s="784"/>
      <c r="Y420" s="975"/>
      <c r="Z420" s="1022"/>
      <c r="AA420" s="967"/>
      <c r="AB420" s="1005"/>
      <c r="AC420" s="1005"/>
      <c r="AD420" s="1005"/>
      <c r="AE420" s="1005"/>
      <c r="AF420" s="1005"/>
      <c r="AG420" s="1004"/>
      <c r="AH420" s="1004"/>
      <c r="AI420" s="1004"/>
      <c r="AJ420" s="1004"/>
      <c r="AK420" s="1004"/>
      <c r="AL420" s="1004"/>
      <c r="AM420" s="1004"/>
      <c r="AN420" s="1004"/>
      <c r="AO420" s="1004"/>
      <c r="AP420" s="1004"/>
      <c r="AQ420" s="1004"/>
      <c r="AR420" s="1004"/>
      <c r="AS420" s="1004"/>
      <c r="AT420" s="1004"/>
      <c r="AU420" s="1004"/>
      <c r="AV420" s="1004"/>
      <c r="AW420" s="1004"/>
    </row>
    <row r="421" spans="1:49" s="25" customFormat="1" ht="17.45" customHeight="1">
      <c r="A421" s="1004"/>
      <c r="B421" s="1004"/>
      <c r="C421" s="1004"/>
      <c r="D421" s="166"/>
      <c r="E421" s="166"/>
      <c r="F421" s="166"/>
      <c r="G421" s="166"/>
      <c r="H421" s="166"/>
      <c r="I421" s="1004"/>
      <c r="J421" s="1004"/>
      <c r="K421" s="1004"/>
      <c r="L421" s="777">
        <v>5</v>
      </c>
      <c r="M421" s="864"/>
      <c r="N421" s="976"/>
      <c r="O421" s="1020">
        <v>364</v>
      </c>
      <c r="P421" s="847" t="e">
        <f>VLOOKUP(N421,etat!$A$9:$N$1004,2,FALSE)</f>
        <v>#N/A</v>
      </c>
      <c r="Q421" s="797" t="e">
        <f>VLOOKUP(N421,etat!$A$9:$N$963,7,FALSE)</f>
        <v>#N/A</v>
      </c>
      <c r="R421" s="797" t="e">
        <f>VLOOKUP(N421,etat!$A$9:$N$1003,9,FALSE)</f>
        <v>#N/A</v>
      </c>
      <c r="S421" s="866" t="e">
        <f>VLOOKUP(N421,etat!$A$9:$P$905,16,FALSE)</f>
        <v>#N/A</v>
      </c>
      <c r="T421" s="755"/>
      <c r="U421" s="784"/>
      <c r="V421" s="784"/>
      <c r="W421" s="784"/>
      <c r="X421" s="784"/>
      <c r="Y421" s="975"/>
      <c r="Z421" s="1022"/>
      <c r="AA421" s="967"/>
      <c r="AB421" s="1005"/>
      <c r="AC421" s="1005"/>
      <c r="AD421" s="1005"/>
      <c r="AE421" s="1005"/>
      <c r="AF421" s="1005"/>
      <c r="AG421" s="1004"/>
      <c r="AH421" s="1004"/>
      <c r="AI421" s="1004"/>
      <c r="AJ421" s="1004"/>
      <c r="AK421" s="1004"/>
      <c r="AL421" s="1004"/>
      <c r="AM421" s="1004"/>
      <c r="AN421" s="1004"/>
      <c r="AO421" s="1004"/>
      <c r="AP421" s="1004"/>
      <c r="AQ421" s="1004"/>
      <c r="AR421" s="1004"/>
      <c r="AS421" s="1004"/>
      <c r="AT421" s="1004"/>
      <c r="AU421" s="1004"/>
      <c r="AV421" s="1004"/>
      <c r="AW421" s="1004"/>
    </row>
    <row r="422" spans="1:49" s="25" customFormat="1" ht="17.45" customHeight="1">
      <c r="A422" s="1004"/>
      <c r="B422" s="1004"/>
      <c r="C422" s="1004"/>
      <c r="D422" s="166"/>
      <c r="E422" s="166"/>
      <c r="F422" s="166"/>
      <c r="G422" s="166"/>
      <c r="H422" s="166"/>
      <c r="I422" s="1004"/>
      <c r="J422" s="1004"/>
      <c r="K422" s="1004"/>
      <c r="L422" s="777">
        <v>5</v>
      </c>
      <c r="M422" s="864"/>
      <c r="N422" s="976"/>
      <c r="O422" s="1020">
        <v>365</v>
      </c>
      <c r="P422" s="847" t="e">
        <f>VLOOKUP(N422,etat!$A$9:$N$1004,2,FALSE)</f>
        <v>#N/A</v>
      </c>
      <c r="Q422" s="797" t="e">
        <f>VLOOKUP(N422,etat!$A$9:$N$963,7,FALSE)</f>
        <v>#N/A</v>
      </c>
      <c r="R422" s="797" t="e">
        <f>VLOOKUP(N422,etat!$A$9:$N$1003,9,FALSE)</f>
        <v>#N/A</v>
      </c>
      <c r="S422" s="866" t="e">
        <f>VLOOKUP(N422,etat!$A$9:$P$905,16,FALSE)</f>
        <v>#N/A</v>
      </c>
      <c r="T422" s="755"/>
      <c r="U422" s="791"/>
      <c r="V422" s="784"/>
      <c r="W422" s="784"/>
      <c r="X422" s="784"/>
      <c r="Y422" s="975"/>
      <c r="Z422" s="1022"/>
      <c r="AA422" s="967"/>
      <c r="AB422" s="1005"/>
      <c r="AC422" s="1005"/>
      <c r="AD422" s="1005"/>
      <c r="AE422" s="1005"/>
      <c r="AF422" s="1005"/>
      <c r="AG422" s="1004"/>
      <c r="AH422" s="1004"/>
      <c r="AI422" s="1004"/>
      <c r="AJ422" s="1004"/>
      <c r="AK422" s="1004"/>
      <c r="AL422" s="1004"/>
      <c r="AM422" s="1004"/>
      <c r="AN422" s="1004"/>
      <c r="AO422" s="1004"/>
      <c r="AP422" s="1004"/>
      <c r="AQ422" s="1004"/>
      <c r="AR422" s="1004"/>
      <c r="AS422" s="1004"/>
      <c r="AT422" s="1004"/>
      <c r="AU422" s="1004"/>
      <c r="AV422" s="1004"/>
      <c r="AW422" s="1004"/>
    </row>
    <row r="423" spans="1:49" s="25" customFormat="1" ht="17.45" customHeight="1">
      <c r="A423" s="1004"/>
      <c r="B423" s="1004"/>
      <c r="C423" s="1004"/>
      <c r="D423" s="166"/>
      <c r="E423" s="166"/>
      <c r="F423" s="166"/>
      <c r="G423" s="166"/>
      <c r="H423" s="166"/>
      <c r="I423" s="1004"/>
      <c r="J423" s="1004"/>
      <c r="K423" s="1004"/>
      <c r="L423" s="777">
        <v>5</v>
      </c>
      <c r="M423" s="864"/>
      <c r="N423" s="976"/>
      <c r="O423" s="1020">
        <v>366</v>
      </c>
      <c r="P423" s="847" t="e">
        <f>VLOOKUP(N423,etat!$A$9:$N$1004,2,FALSE)</f>
        <v>#N/A</v>
      </c>
      <c r="Q423" s="797" t="e">
        <f>VLOOKUP(N423,etat!$A$9:$N$963,7,FALSE)</f>
        <v>#N/A</v>
      </c>
      <c r="R423" s="797" t="e">
        <f>VLOOKUP(N423,etat!$A$9:$N$1003,9,FALSE)</f>
        <v>#N/A</v>
      </c>
      <c r="S423" s="866" t="e">
        <f>VLOOKUP(N423,etat!$A$9:$P$905,16,FALSE)</f>
        <v>#N/A</v>
      </c>
      <c r="T423" s="755"/>
      <c r="U423" s="791"/>
      <c r="V423" s="784"/>
      <c r="W423" s="784"/>
      <c r="X423" s="784"/>
      <c r="Y423" s="784"/>
      <c r="Z423" s="784"/>
      <c r="AA423" s="967"/>
      <c r="AB423" s="1005"/>
      <c r="AC423" s="1005"/>
      <c r="AD423" s="1005"/>
      <c r="AE423" s="1005"/>
      <c r="AF423" s="1005"/>
      <c r="AG423" s="1004"/>
      <c r="AH423" s="1004"/>
      <c r="AI423" s="1004"/>
      <c r="AJ423" s="1004"/>
      <c r="AK423" s="1004"/>
      <c r="AL423" s="1004"/>
      <c r="AM423" s="1004"/>
      <c r="AN423" s="1004"/>
      <c r="AO423" s="1004"/>
      <c r="AP423" s="1004"/>
      <c r="AQ423" s="1004"/>
      <c r="AR423" s="1004"/>
      <c r="AS423" s="1004"/>
      <c r="AT423" s="1004"/>
      <c r="AU423" s="1004"/>
      <c r="AV423" s="1004"/>
      <c r="AW423" s="1004"/>
    </row>
    <row r="424" spans="1:49" s="25" customFormat="1" ht="17.45" customHeight="1">
      <c r="A424" s="1004"/>
      <c r="B424" s="1004"/>
      <c r="C424" s="1004"/>
      <c r="D424" s="166"/>
      <c r="E424" s="166"/>
      <c r="F424" s="166"/>
      <c r="G424" s="166"/>
      <c r="H424" s="166"/>
      <c r="I424" s="1004"/>
      <c r="J424" s="1004"/>
      <c r="K424" s="1004"/>
      <c r="L424" s="777">
        <v>5</v>
      </c>
      <c r="M424" s="864"/>
      <c r="N424" s="976"/>
      <c r="O424" s="1020">
        <v>367</v>
      </c>
      <c r="P424" s="847" t="e">
        <f>VLOOKUP(N424,etat!$A$9:$N$1004,2,FALSE)</f>
        <v>#N/A</v>
      </c>
      <c r="Q424" s="797" t="e">
        <f>VLOOKUP(N424,etat!$A$9:$N$963,7,FALSE)</f>
        <v>#N/A</v>
      </c>
      <c r="R424" s="797" t="e">
        <f>VLOOKUP(N424,etat!$A$9:$N$1003,9,FALSE)</f>
        <v>#N/A</v>
      </c>
      <c r="S424" s="866" t="e">
        <f>VLOOKUP(N424,etat!$A$9:$P$905,16,FALSE)</f>
        <v>#N/A</v>
      </c>
      <c r="T424" s="755"/>
      <c r="U424" s="791"/>
      <c r="V424" s="784"/>
      <c r="W424" s="784"/>
      <c r="X424" s="784"/>
      <c r="Y424" s="975"/>
      <c r="Z424" s="1022"/>
      <c r="AA424" s="967"/>
      <c r="AB424" s="1005"/>
      <c r="AC424" s="1005"/>
      <c r="AD424" s="1005"/>
      <c r="AE424" s="1005"/>
      <c r="AF424" s="1005"/>
      <c r="AG424" s="1004"/>
      <c r="AH424" s="1004"/>
      <c r="AI424" s="1004"/>
      <c r="AJ424" s="1004"/>
      <c r="AK424" s="1004"/>
      <c r="AL424" s="1004"/>
      <c r="AM424" s="1004"/>
      <c r="AN424" s="1004"/>
      <c r="AO424" s="1004"/>
      <c r="AP424" s="1004"/>
      <c r="AQ424" s="1004"/>
      <c r="AR424" s="1004"/>
      <c r="AS424" s="1004"/>
      <c r="AT424" s="1004"/>
      <c r="AU424" s="1004"/>
      <c r="AV424" s="1004"/>
      <c r="AW424" s="1004"/>
    </row>
    <row r="425" spans="1:49" s="25" customFormat="1" ht="17.45" customHeight="1">
      <c r="A425" s="1004"/>
      <c r="B425" s="1004"/>
      <c r="C425" s="1004"/>
      <c r="D425" s="166"/>
      <c r="E425" s="166"/>
      <c r="F425" s="166"/>
      <c r="G425" s="166"/>
      <c r="H425" s="166"/>
      <c r="I425" s="1004"/>
      <c r="J425" s="1004"/>
      <c r="K425" s="1004"/>
      <c r="L425" s="777">
        <v>5</v>
      </c>
      <c r="M425" s="778"/>
      <c r="N425" s="976"/>
      <c r="O425" s="1020">
        <v>368</v>
      </c>
      <c r="P425" s="847" t="e">
        <f>VLOOKUP(N425,etat!$A$9:$N$1004,2,FALSE)</f>
        <v>#N/A</v>
      </c>
      <c r="Q425" s="797" t="e">
        <f>VLOOKUP(N425,etat!$A$9:$N$963,7,FALSE)</f>
        <v>#N/A</v>
      </c>
      <c r="R425" s="797" t="e">
        <f>VLOOKUP(N425,etat!$A$9:$N$1003,9,FALSE)</f>
        <v>#N/A</v>
      </c>
      <c r="S425" s="866" t="e">
        <f>VLOOKUP(N425,etat!$A$9:$P$905,16,FALSE)</f>
        <v>#N/A</v>
      </c>
      <c r="T425" s="755"/>
      <c r="U425" s="791"/>
      <c r="V425" s="784"/>
      <c r="W425" s="784"/>
      <c r="X425" s="784"/>
      <c r="Y425" s="784"/>
      <c r="Z425" s="784"/>
      <c r="AA425" s="967"/>
      <c r="AB425" s="1005"/>
      <c r="AC425" s="1005"/>
      <c r="AD425" s="1005"/>
      <c r="AE425" s="1005"/>
      <c r="AF425" s="1005"/>
      <c r="AG425" s="1004"/>
      <c r="AH425" s="1004"/>
      <c r="AI425" s="1004"/>
      <c r="AJ425" s="1004"/>
      <c r="AK425" s="1004"/>
      <c r="AL425" s="1004"/>
      <c r="AM425" s="1004"/>
      <c r="AN425" s="1004"/>
      <c r="AO425" s="1004"/>
      <c r="AP425" s="1004"/>
      <c r="AQ425" s="1004"/>
      <c r="AR425" s="1004"/>
      <c r="AS425" s="1004"/>
      <c r="AT425" s="1004"/>
      <c r="AU425" s="1004"/>
      <c r="AV425" s="1004"/>
      <c r="AW425" s="1004"/>
    </row>
    <row r="426" spans="1:49" s="25" customFormat="1" ht="17.45" customHeight="1">
      <c r="A426" s="1004"/>
      <c r="B426" s="1004"/>
      <c r="C426" s="1004"/>
      <c r="D426" s="166"/>
      <c r="E426" s="166"/>
      <c r="F426" s="166"/>
      <c r="G426" s="166"/>
      <c r="H426" s="166"/>
      <c r="I426" s="1004"/>
      <c r="J426" s="1004"/>
      <c r="K426" s="1004"/>
      <c r="L426" s="777">
        <v>5</v>
      </c>
      <c r="M426" s="778"/>
      <c r="N426" s="976"/>
      <c r="O426" s="1020">
        <v>369</v>
      </c>
      <c r="P426" s="847" t="e">
        <f>VLOOKUP(N426,etat!$A$9:$N$1004,2,FALSE)</f>
        <v>#N/A</v>
      </c>
      <c r="Q426" s="797" t="e">
        <f>VLOOKUP(N426,etat!$A$9:$N$963,7,FALSE)</f>
        <v>#N/A</v>
      </c>
      <c r="R426" s="797" t="e">
        <f>VLOOKUP(N426,etat!$A$9:$N$1003,9,FALSE)</f>
        <v>#N/A</v>
      </c>
      <c r="S426" s="866" t="e">
        <f>VLOOKUP(N426,etat!$A$9:$P$905,16,FALSE)</f>
        <v>#N/A</v>
      </c>
      <c r="T426" s="755"/>
      <c r="U426" s="791"/>
      <c r="V426" s="784"/>
      <c r="W426" s="784"/>
      <c r="X426" s="784"/>
      <c r="Y426" s="975"/>
      <c r="Z426" s="1022"/>
      <c r="AA426" s="967"/>
      <c r="AB426" s="1005"/>
      <c r="AC426" s="1005"/>
      <c r="AD426" s="1005"/>
      <c r="AE426" s="1005"/>
      <c r="AF426" s="1005"/>
      <c r="AG426" s="1004"/>
      <c r="AH426" s="1004"/>
      <c r="AI426" s="1004"/>
      <c r="AJ426" s="1004"/>
      <c r="AK426" s="1004"/>
      <c r="AL426" s="1004"/>
      <c r="AM426" s="1004"/>
      <c r="AN426" s="1004"/>
      <c r="AO426" s="1004"/>
      <c r="AP426" s="1004"/>
      <c r="AQ426" s="1004"/>
      <c r="AR426" s="1004"/>
      <c r="AS426" s="1004"/>
      <c r="AT426" s="1004"/>
      <c r="AU426" s="1004"/>
      <c r="AV426" s="1004"/>
      <c r="AW426" s="1004"/>
    </row>
    <row r="427" spans="1:49" s="25" customFormat="1" ht="17.45" customHeight="1">
      <c r="A427" s="1004"/>
      <c r="B427" s="1004"/>
      <c r="C427" s="1004"/>
      <c r="D427" s="166"/>
      <c r="E427" s="166"/>
      <c r="F427" s="166"/>
      <c r="G427" s="166"/>
      <c r="H427" s="166"/>
      <c r="I427" s="1004"/>
      <c r="J427" s="1004"/>
      <c r="K427" s="1004"/>
      <c r="L427" s="777">
        <v>5</v>
      </c>
      <c r="M427" s="778"/>
      <c r="N427" s="976"/>
      <c r="O427" s="1020">
        <v>370</v>
      </c>
      <c r="P427" s="847" t="e">
        <f>VLOOKUP(N427,etat!$A$9:$N$1004,2,FALSE)</f>
        <v>#N/A</v>
      </c>
      <c r="Q427" s="797" t="e">
        <f>VLOOKUP(N427,etat!$A$9:$N$963,7,FALSE)</f>
        <v>#N/A</v>
      </c>
      <c r="R427" s="797" t="e">
        <f>VLOOKUP(N427,etat!$A$9:$N$1003,9,FALSE)</f>
        <v>#N/A</v>
      </c>
      <c r="S427" s="866" t="e">
        <f>VLOOKUP(N427,etat!$A$9:$P$905,16,FALSE)</f>
        <v>#N/A</v>
      </c>
      <c r="T427" s="755"/>
      <c r="U427" s="791"/>
      <c r="V427" s="784"/>
      <c r="W427" s="784"/>
      <c r="X427" s="784"/>
      <c r="Y427" s="975"/>
      <c r="Z427" s="1022"/>
      <c r="AA427" s="967"/>
      <c r="AB427" s="1005"/>
      <c r="AC427" s="1005"/>
      <c r="AD427" s="1005"/>
      <c r="AE427" s="1005"/>
      <c r="AF427" s="1005"/>
      <c r="AG427" s="1004"/>
      <c r="AH427" s="1004"/>
      <c r="AI427" s="1004"/>
      <c r="AJ427" s="1004"/>
      <c r="AK427" s="1004"/>
      <c r="AL427" s="1004"/>
      <c r="AM427" s="1004"/>
      <c r="AN427" s="1004"/>
      <c r="AO427" s="1004"/>
      <c r="AP427" s="1004"/>
      <c r="AQ427" s="1004"/>
      <c r="AR427" s="1004"/>
      <c r="AS427" s="1004"/>
      <c r="AT427" s="1004"/>
      <c r="AU427" s="1004"/>
      <c r="AV427" s="1004"/>
      <c r="AW427" s="1004"/>
    </row>
    <row r="428" spans="1:49" s="25" customFormat="1" ht="17.45" customHeight="1">
      <c r="A428" s="1004"/>
      <c r="B428" s="1004"/>
      <c r="C428" s="1004"/>
      <c r="D428" s="166"/>
      <c r="E428" s="166"/>
      <c r="F428" s="166"/>
      <c r="G428" s="166"/>
      <c r="H428" s="166"/>
      <c r="I428" s="1004"/>
      <c r="J428" s="1004"/>
      <c r="K428" s="1004"/>
      <c r="L428" s="777">
        <v>5</v>
      </c>
      <c r="M428" s="778"/>
      <c r="N428" s="976"/>
      <c r="O428" s="1020">
        <v>371</v>
      </c>
      <c r="P428" s="847" t="e">
        <f>VLOOKUP(N428,etat!$A$9:$N$1004,2,FALSE)</f>
        <v>#N/A</v>
      </c>
      <c r="Q428" s="797" t="e">
        <f>VLOOKUP(N428,etat!$A$9:$N$963,7,FALSE)</f>
        <v>#N/A</v>
      </c>
      <c r="R428" s="797" t="e">
        <f>VLOOKUP(N428,etat!$A$9:$N$1003,9,FALSE)</f>
        <v>#N/A</v>
      </c>
      <c r="S428" s="866" t="e">
        <f>VLOOKUP(N428,etat!$A$9:$P$905,16,FALSE)</f>
        <v>#N/A</v>
      </c>
      <c r="T428" s="755"/>
      <c r="U428" s="791"/>
      <c r="V428" s="784"/>
      <c r="W428" s="784"/>
      <c r="X428" s="784"/>
      <c r="Y428" s="784"/>
      <c r="Z428" s="784"/>
      <c r="AA428" s="967"/>
      <c r="AB428" s="1005"/>
      <c r="AC428" s="1005"/>
      <c r="AD428" s="1005"/>
      <c r="AE428" s="1005"/>
      <c r="AF428" s="1005"/>
      <c r="AG428" s="1004"/>
      <c r="AH428" s="1004"/>
      <c r="AI428" s="1004"/>
      <c r="AJ428" s="1004"/>
      <c r="AK428" s="1004"/>
      <c r="AL428" s="1004"/>
      <c r="AM428" s="1004"/>
      <c r="AN428" s="1004"/>
      <c r="AO428" s="1004"/>
      <c r="AP428" s="1004"/>
      <c r="AQ428" s="1004"/>
      <c r="AR428" s="1004"/>
      <c r="AS428" s="1004"/>
      <c r="AT428" s="1004"/>
      <c r="AU428" s="1004"/>
      <c r="AV428" s="1004"/>
      <c r="AW428" s="1004"/>
    </row>
    <row r="429" spans="1:49" s="25" customFormat="1" ht="17.45" customHeight="1">
      <c r="A429" s="1004"/>
      <c r="B429" s="1004"/>
      <c r="C429" s="1004"/>
      <c r="D429" s="166"/>
      <c r="E429" s="166"/>
      <c r="F429" s="166"/>
      <c r="G429" s="166"/>
      <c r="H429" s="166"/>
      <c r="I429" s="1004"/>
      <c r="J429" s="1004"/>
      <c r="K429" s="1004"/>
      <c r="L429" s="777">
        <v>5</v>
      </c>
      <c r="M429" s="778"/>
      <c r="N429" s="976"/>
      <c r="O429" s="1020">
        <v>372</v>
      </c>
      <c r="P429" s="847" t="e">
        <f>VLOOKUP(N429,etat!$A$9:$N$1004,2,FALSE)</f>
        <v>#N/A</v>
      </c>
      <c r="Q429" s="797" t="e">
        <f>VLOOKUP(N429,etat!$A$9:$N$963,7,FALSE)</f>
        <v>#N/A</v>
      </c>
      <c r="R429" s="797" t="e">
        <f>VLOOKUP(N429,etat!$A$9:$N$1003,9,FALSE)</f>
        <v>#N/A</v>
      </c>
      <c r="S429" s="866" t="e">
        <f>VLOOKUP(N429,etat!$A$9:$P$905,16,FALSE)</f>
        <v>#N/A</v>
      </c>
      <c r="T429" s="755"/>
      <c r="U429" s="791"/>
      <c r="V429" s="784"/>
      <c r="W429" s="784"/>
      <c r="X429" s="784"/>
      <c r="Y429" s="975"/>
      <c r="Z429" s="1022"/>
      <c r="AA429" s="967"/>
      <c r="AB429" s="1005"/>
      <c r="AC429" s="1005"/>
      <c r="AD429" s="1005"/>
      <c r="AE429" s="1005"/>
      <c r="AF429" s="1005"/>
      <c r="AG429" s="1004"/>
      <c r="AH429" s="1004"/>
      <c r="AI429" s="1004"/>
      <c r="AJ429" s="1004"/>
      <c r="AK429" s="1004"/>
      <c r="AL429" s="1004"/>
      <c r="AM429" s="1004"/>
      <c r="AN429" s="1004"/>
      <c r="AO429" s="1004"/>
      <c r="AP429" s="1004"/>
      <c r="AQ429" s="1004"/>
      <c r="AR429" s="1004"/>
      <c r="AS429" s="1004"/>
      <c r="AT429" s="1004"/>
      <c r="AU429" s="1004"/>
      <c r="AV429" s="1004"/>
      <c r="AW429" s="1004"/>
    </row>
    <row r="430" spans="1:49" s="25" customFormat="1" ht="17.45" customHeight="1">
      <c r="A430" s="1004"/>
      <c r="B430" s="1004"/>
      <c r="C430" s="1004"/>
      <c r="D430" s="166"/>
      <c r="E430" s="166"/>
      <c r="F430" s="166"/>
      <c r="G430" s="166"/>
      <c r="H430" s="166"/>
      <c r="I430" s="1004"/>
      <c r="J430" s="1004"/>
      <c r="K430" s="1004"/>
      <c r="L430" s="777">
        <v>5</v>
      </c>
      <c r="M430" s="778"/>
      <c r="N430" s="976"/>
      <c r="O430" s="1020">
        <v>373</v>
      </c>
      <c r="P430" s="847" t="e">
        <f>VLOOKUP(N430,etat!$A$9:$N$1004,2,FALSE)</f>
        <v>#N/A</v>
      </c>
      <c r="Q430" s="797" t="e">
        <f>VLOOKUP(N430,etat!$A$9:$N$963,7,FALSE)</f>
        <v>#N/A</v>
      </c>
      <c r="R430" s="797" t="e">
        <f>VLOOKUP(N430,etat!$A$9:$N$1003,9,FALSE)</f>
        <v>#N/A</v>
      </c>
      <c r="S430" s="866" t="e">
        <f>VLOOKUP(N430,etat!$A$9:$P$905,16,FALSE)</f>
        <v>#N/A</v>
      </c>
      <c r="T430" s="755"/>
      <c r="U430" s="791"/>
      <c r="V430" s="784"/>
      <c r="W430" s="784"/>
      <c r="X430" s="784"/>
      <c r="Y430" s="975"/>
      <c r="Z430" s="784"/>
      <c r="AA430" s="967"/>
      <c r="AB430" s="1005"/>
      <c r="AC430" s="1005"/>
      <c r="AD430" s="1005"/>
      <c r="AE430" s="1005"/>
      <c r="AF430" s="1005"/>
      <c r="AG430" s="1004"/>
      <c r="AH430" s="1004"/>
      <c r="AI430" s="1004"/>
      <c r="AJ430" s="1004"/>
      <c r="AK430" s="1004"/>
      <c r="AL430" s="1004"/>
      <c r="AM430" s="1004"/>
      <c r="AN430" s="1004"/>
      <c r="AO430" s="1004"/>
      <c r="AP430" s="1004"/>
      <c r="AQ430" s="1004"/>
      <c r="AR430" s="1004"/>
      <c r="AS430" s="1004"/>
      <c r="AT430" s="1004"/>
      <c r="AU430" s="1004"/>
      <c r="AV430" s="1004"/>
      <c r="AW430" s="1004"/>
    </row>
    <row r="431" spans="1:49" s="25" customFormat="1" ht="17.45" customHeight="1">
      <c r="A431" s="1004"/>
      <c r="B431" s="1004"/>
      <c r="C431" s="1004"/>
      <c r="D431" s="166"/>
      <c r="E431" s="166"/>
      <c r="F431" s="166"/>
      <c r="G431" s="166"/>
      <c r="H431" s="166"/>
      <c r="I431" s="1004"/>
      <c r="J431" s="1004"/>
      <c r="K431" s="1004"/>
      <c r="L431" s="777">
        <v>5</v>
      </c>
      <c r="M431" s="778"/>
      <c r="N431" s="976"/>
      <c r="O431" s="1020">
        <v>374</v>
      </c>
      <c r="P431" s="847" t="e">
        <f>VLOOKUP(N431,etat!$A$9:$N$1004,2,FALSE)</f>
        <v>#N/A</v>
      </c>
      <c r="Q431" s="797" t="e">
        <f>VLOOKUP(N431,etat!$A$9:$N$963,7,FALSE)</f>
        <v>#N/A</v>
      </c>
      <c r="R431" s="797" t="e">
        <f>VLOOKUP(N431,etat!$A$9:$N$1003,9,FALSE)</f>
        <v>#N/A</v>
      </c>
      <c r="S431" s="866" t="e">
        <f>VLOOKUP(N431,etat!$A$9:$P$905,16,FALSE)</f>
        <v>#N/A</v>
      </c>
      <c r="T431" s="755"/>
      <c r="U431" s="791"/>
      <c r="V431" s="784"/>
      <c r="W431" s="784"/>
      <c r="X431" s="784"/>
      <c r="Y431" s="784"/>
      <c r="Z431" s="784"/>
      <c r="AA431" s="967"/>
      <c r="AB431" s="1005"/>
      <c r="AC431" s="1005"/>
      <c r="AD431" s="1005"/>
      <c r="AE431" s="1005"/>
      <c r="AF431" s="1005"/>
      <c r="AG431" s="1004"/>
      <c r="AH431" s="1004"/>
      <c r="AI431" s="1004"/>
      <c r="AJ431" s="1004"/>
      <c r="AK431" s="1004"/>
      <c r="AL431" s="1004"/>
      <c r="AM431" s="1004"/>
      <c r="AN431" s="1004"/>
      <c r="AO431" s="1004"/>
      <c r="AP431" s="1004"/>
      <c r="AQ431" s="1004"/>
      <c r="AR431" s="1004"/>
      <c r="AS431" s="1004"/>
      <c r="AT431" s="1004"/>
      <c r="AU431" s="1004"/>
      <c r="AV431" s="1004"/>
      <c r="AW431" s="1004"/>
    </row>
    <row r="432" spans="1:49" s="25" customFormat="1" ht="17.45" customHeight="1">
      <c r="A432" s="1004"/>
      <c r="B432" s="1004"/>
      <c r="C432" s="1004"/>
      <c r="D432" s="166"/>
      <c r="E432" s="166"/>
      <c r="F432" s="166"/>
      <c r="G432" s="166"/>
      <c r="H432" s="166"/>
      <c r="I432" s="1004"/>
      <c r="J432" s="1004"/>
      <c r="K432" s="1004"/>
      <c r="L432" s="777">
        <v>5</v>
      </c>
      <c r="M432" s="778"/>
      <c r="N432" s="976"/>
      <c r="O432" s="1020">
        <v>375</v>
      </c>
      <c r="P432" s="847" t="e">
        <f>VLOOKUP(N432,etat!$A$9:$N$1004,2,FALSE)</f>
        <v>#N/A</v>
      </c>
      <c r="Q432" s="797" t="e">
        <f>VLOOKUP(N432,etat!$A$9:$N$963,7,FALSE)</f>
        <v>#N/A</v>
      </c>
      <c r="R432" s="797" t="e">
        <f>VLOOKUP(N432,etat!$A$9:$N$1003,9,FALSE)</f>
        <v>#N/A</v>
      </c>
      <c r="S432" s="866" t="e">
        <f>VLOOKUP(N432,etat!$A$9:$P$905,16,FALSE)</f>
        <v>#N/A</v>
      </c>
      <c r="T432" s="755"/>
      <c r="U432" s="791"/>
      <c r="V432" s="784"/>
      <c r="W432" s="784"/>
      <c r="X432" s="784"/>
      <c r="Y432" s="975"/>
      <c r="Z432" s="1022"/>
      <c r="AA432" s="967"/>
      <c r="AB432" s="1005"/>
      <c r="AC432" s="1005"/>
      <c r="AD432" s="1005"/>
      <c r="AE432" s="1005"/>
      <c r="AF432" s="1005"/>
      <c r="AG432" s="1004"/>
      <c r="AH432" s="1004"/>
      <c r="AI432" s="1004"/>
      <c r="AJ432" s="1004"/>
      <c r="AK432" s="1004"/>
      <c r="AL432" s="1004"/>
      <c r="AM432" s="1004"/>
      <c r="AN432" s="1004"/>
      <c r="AO432" s="1004"/>
      <c r="AP432" s="1004"/>
      <c r="AQ432" s="1004"/>
      <c r="AR432" s="1004"/>
      <c r="AS432" s="1004"/>
      <c r="AT432" s="1004"/>
      <c r="AU432" s="1004"/>
      <c r="AV432" s="1004"/>
      <c r="AW432" s="1004"/>
    </row>
    <row r="433" spans="1:49" s="25" customFormat="1" ht="17.45" customHeight="1">
      <c r="A433" s="1004"/>
      <c r="B433" s="1004"/>
      <c r="C433" s="1004"/>
      <c r="D433" s="166"/>
      <c r="E433" s="166"/>
      <c r="F433" s="166"/>
      <c r="G433" s="166"/>
      <c r="H433" s="166"/>
      <c r="I433" s="1004"/>
      <c r="J433" s="1004"/>
      <c r="K433" s="1004"/>
      <c r="L433" s="777">
        <v>5</v>
      </c>
      <c r="M433" s="778"/>
      <c r="N433" s="976"/>
      <c r="O433" s="1020">
        <v>376</v>
      </c>
      <c r="P433" s="847" t="e">
        <f>VLOOKUP(N433,etat!$A$9:$N$1004,2,FALSE)</f>
        <v>#N/A</v>
      </c>
      <c r="Q433" s="797" t="e">
        <f>VLOOKUP(N433,etat!$A$9:$N$963,7,FALSE)</f>
        <v>#N/A</v>
      </c>
      <c r="R433" s="797" t="e">
        <f>VLOOKUP(N433,etat!$A$9:$N$1003,9,FALSE)</f>
        <v>#N/A</v>
      </c>
      <c r="S433" s="866" t="e">
        <f>VLOOKUP(N433,etat!$A$9:$P$905,16,FALSE)</f>
        <v>#N/A</v>
      </c>
      <c r="T433" s="755"/>
      <c r="U433" s="791"/>
      <c r="V433" s="784"/>
      <c r="W433" s="784"/>
      <c r="X433" s="784"/>
      <c r="Y433" s="975"/>
      <c r="Z433" s="1022"/>
      <c r="AA433" s="967"/>
      <c r="AB433" s="1005"/>
      <c r="AC433" s="1005"/>
      <c r="AD433" s="1005"/>
      <c r="AE433" s="1005"/>
      <c r="AF433" s="1005"/>
      <c r="AG433" s="1004"/>
      <c r="AH433" s="1004"/>
      <c r="AI433" s="1004"/>
      <c r="AJ433" s="1004"/>
      <c r="AK433" s="1004"/>
      <c r="AL433" s="1004"/>
      <c r="AM433" s="1004"/>
      <c r="AN433" s="1004"/>
      <c r="AO433" s="1004"/>
      <c r="AP433" s="1004"/>
      <c r="AQ433" s="1004"/>
      <c r="AR433" s="1004"/>
      <c r="AS433" s="1004"/>
      <c r="AT433" s="1004"/>
      <c r="AU433" s="1004"/>
      <c r="AV433" s="1004"/>
      <c r="AW433" s="1004"/>
    </row>
    <row r="434" spans="1:49" s="25" customFormat="1" ht="17.45" customHeight="1">
      <c r="A434" s="1004"/>
      <c r="B434" s="1004"/>
      <c r="C434" s="1004"/>
      <c r="D434" s="166"/>
      <c r="E434" s="166"/>
      <c r="F434" s="166"/>
      <c r="G434" s="166"/>
      <c r="H434" s="166"/>
      <c r="I434" s="1004"/>
      <c r="J434" s="1004"/>
      <c r="K434" s="1004"/>
      <c r="L434" s="777">
        <v>5</v>
      </c>
      <c r="M434" s="778"/>
      <c r="N434" s="976"/>
      <c r="O434" s="1020">
        <v>377</v>
      </c>
      <c r="P434" s="847" t="e">
        <f>VLOOKUP(N434,etat!$A$9:$N$1004,2,FALSE)</f>
        <v>#N/A</v>
      </c>
      <c r="Q434" s="797" t="e">
        <f>VLOOKUP(N434,etat!$A$9:$N$963,7,FALSE)</f>
        <v>#N/A</v>
      </c>
      <c r="R434" s="954" t="e">
        <f>VLOOKUP(N434,etat!$A$9:$N$1003,9,FALSE)</f>
        <v>#N/A</v>
      </c>
      <c r="S434" s="866" t="e">
        <f>VLOOKUP(N434,etat!$A$9:$P$905,16,FALSE)</f>
        <v>#N/A</v>
      </c>
      <c r="T434" s="755"/>
      <c r="U434" s="791"/>
      <c r="V434" s="784"/>
      <c r="W434" s="784"/>
      <c r="X434" s="784"/>
      <c r="Y434" s="975"/>
      <c r="Z434" s="932" t="str">
        <f>VLOOKUP(L438,[2]اس!$S$3:$X$31,3,FALSE)</f>
        <v>.</v>
      </c>
      <c r="AA434" s="967"/>
      <c r="AB434" s="1005"/>
      <c r="AC434" s="1005"/>
      <c r="AD434" s="1005"/>
      <c r="AE434" s="1005"/>
      <c r="AF434" s="1005"/>
      <c r="AG434" s="1004"/>
      <c r="AH434" s="1004"/>
      <c r="AI434" s="1004"/>
      <c r="AJ434" s="1004"/>
      <c r="AK434" s="1004"/>
      <c r="AL434" s="1004"/>
      <c r="AM434" s="1004"/>
      <c r="AN434" s="1004"/>
      <c r="AO434" s="1004"/>
      <c r="AP434" s="1004"/>
      <c r="AQ434" s="1004"/>
      <c r="AR434" s="1004"/>
      <c r="AS434" s="1004"/>
      <c r="AT434" s="1004"/>
      <c r="AU434" s="1004"/>
      <c r="AV434" s="1004"/>
      <c r="AW434" s="1004"/>
    </row>
    <row r="435" spans="1:49" s="25" customFormat="1" ht="17.45" customHeight="1">
      <c r="A435" s="1004"/>
      <c r="B435" s="1004"/>
      <c r="C435" s="1004"/>
      <c r="D435" s="166"/>
      <c r="E435" s="166"/>
      <c r="F435" s="166"/>
      <c r="G435" s="166"/>
      <c r="H435" s="166"/>
      <c r="I435" s="1004"/>
      <c r="J435" s="1004"/>
      <c r="K435" s="1004"/>
      <c r="L435" s="777">
        <v>5</v>
      </c>
      <c r="M435" s="778"/>
      <c r="N435" s="976"/>
      <c r="O435" s="1020">
        <v>378</v>
      </c>
      <c r="P435" s="847" t="e">
        <f>VLOOKUP(N435,etat!$A$9:$N$1004,2,FALSE)</f>
        <v>#N/A</v>
      </c>
      <c r="Q435" s="797" t="e">
        <f>VLOOKUP(N435,etat!$A$9:$N$963,7,FALSE)</f>
        <v>#N/A</v>
      </c>
      <c r="R435" s="954" t="e">
        <f>VLOOKUP(N435,etat!$A$9:$N$1003,9,FALSE)</f>
        <v>#N/A</v>
      </c>
      <c r="S435" s="866" t="e">
        <f>VLOOKUP(N435,etat!$A$9:$P$905,16,FALSE)</f>
        <v>#N/A</v>
      </c>
      <c r="T435" s="755"/>
      <c r="U435" s="791"/>
      <c r="V435" s="784"/>
      <c r="W435" s="955"/>
      <c r="X435" s="955"/>
      <c r="Y435" s="956"/>
      <c r="Z435" s="932" t="str">
        <f>VLOOKUP(L439,[2]اس!$S$3:$X$31,3,FALSE)</f>
        <v>.</v>
      </c>
      <c r="AA435" s="967"/>
      <c r="AB435" s="1005"/>
      <c r="AC435" s="1005"/>
      <c r="AD435" s="1005"/>
      <c r="AE435" s="1005"/>
      <c r="AF435" s="1005"/>
      <c r="AG435" s="1004"/>
      <c r="AH435" s="1004"/>
      <c r="AI435" s="1004"/>
      <c r="AJ435" s="1004"/>
      <c r="AK435" s="1004"/>
      <c r="AL435" s="1004"/>
      <c r="AM435" s="1004"/>
      <c r="AN435" s="1004"/>
      <c r="AO435" s="1004"/>
      <c r="AP435" s="1004"/>
      <c r="AQ435" s="1004"/>
      <c r="AR435" s="1004"/>
      <c r="AS435" s="1004"/>
      <c r="AT435" s="1004"/>
      <c r="AU435" s="1004"/>
      <c r="AV435" s="1004"/>
      <c r="AW435" s="1004"/>
    </row>
    <row r="436" spans="1:49" s="25" customFormat="1" ht="17.45" customHeight="1">
      <c r="A436" s="1004"/>
      <c r="B436" s="1004"/>
      <c r="C436" s="1004"/>
      <c r="D436" s="166"/>
      <c r="E436" s="166"/>
      <c r="F436" s="166"/>
      <c r="G436" s="166"/>
      <c r="H436" s="166"/>
      <c r="I436" s="1004"/>
      <c r="J436" s="1004"/>
      <c r="K436" s="1004"/>
      <c r="L436" s="777">
        <v>5</v>
      </c>
      <c r="M436" s="778"/>
      <c r="N436" s="976"/>
      <c r="O436" s="1020">
        <v>379</v>
      </c>
      <c r="P436" s="847" t="e">
        <f>VLOOKUP(N436,etat!$A$9:$N$1004,2,FALSE)</f>
        <v>#N/A</v>
      </c>
      <c r="Q436" s="797" t="e">
        <f>VLOOKUP(N436,etat!$A$9:$N$963,7,FALSE)</f>
        <v>#N/A</v>
      </c>
      <c r="R436" s="797" t="e">
        <f>VLOOKUP(N436,etat!$A$9:$N$1003,9,FALSE)</f>
        <v>#N/A</v>
      </c>
      <c r="S436" s="866" t="e">
        <f>VLOOKUP(N436,etat!$A$9:$P$905,16,FALSE)</f>
        <v>#N/A</v>
      </c>
      <c r="T436" s="755"/>
      <c r="U436" s="791"/>
      <c r="V436" s="784"/>
      <c r="W436" s="784"/>
      <c r="X436" s="784"/>
      <c r="Y436" s="784"/>
      <c r="Z436" s="932" t="str">
        <f>VLOOKUP(L440,[2]اس!$S$3:$X$31,3,FALSE)</f>
        <v>.</v>
      </c>
      <c r="AA436" s="967"/>
      <c r="AB436" s="1005"/>
      <c r="AC436" s="1005"/>
      <c r="AD436" s="1005"/>
      <c r="AE436" s="1005"/>
      <c r="AF436" s="1005"/>
      <c r="AG436" s="1004"/>
      <c r="AH436" s="1004"/>
      <c r="AI436" s="1004"/>
      <c r="AJ436" s="1004"/>
      <c r="AK436" s="1004"/>
      <c r="AL436" s="1004"/>
      <c r="AM436" s="1004"/>
      <c r="AN436" s="1004"/>
      <c r="AO436" s="1004"/>
      <c r="AP436" s="1004"/>
      <c r="AQ436" s="1004"/>
      <c r="AR436" s="1004"/>
      <c r="AS436" s="1004"/>
      <c r="AT436" s="1004"/>
      <c r="AU436" s="1004"/>
      <c r="AV436" s="1004"/>
      <c r="AW436" s="1004"/>
    </row>
    <row r="437" spans="1:49" s="25" customFormat="1" ht="17.45" customHeight="1">
      <c r="A437" s="1004"/>
      <c r="B437" s="1004"/>
      <c r="C437" s="1004"/>
      <c r="D437" s="166"/>
      <c r="E437" s="166"/>
      <c r="F437" s="166"/>
      <c r="G437" s="166"/>
      <c r="H437" s="166"/>
      <c r="I437" s="1004"/>
      <c r="J437" s="1004"/>
      <c r="K437" s="1004"/>
      <c r="L437" s="777">
        <v>5</v>
      </c>
      <c r="M437" s="778"/>
      <c r="N437" s="976"/>
      <c r="O437" s="1020">
        <v>380</v>
      </c>
      <c r="P437" s="847" t="e">
        <f>VLOOKUP(N437,etat!$A$9:$N$1004,2,FALSE)</f>
        <v>#N/A</v>
      </c>
      <c r="Q437" s="797" t="e">
        <f>VLOOKUP(N437,etat!$A$9:$N$963,7,FALSE)</f>
        <v>#N/A</v>
      </c>
      <c r="R437" s="797" t="e">
        <f>VLOOKUP(N437,etat!$A$9:$N$1003,9,FALSE)</f>
        <v>#N/A</v>
      </c>
      <c r="S437" s="866" t="e">
        <f>VLOOKUP(N437,etat!$A$9:$P$905,16,FALSE)</f>
        <v>#N/A</v>
      </c>
      <c r="T437" s="755"/>
      <c r="U437" s="791"/>
      <c r="V437" s="784"/>
      <c r="W437" s="784"/>
      <c r="X437" s="784"/>
      <c r="Y437" s="784"/>
      <c r="Z437" s="932" t="str">
        <f>VLOOKUP(L441,[2]اس!$S$3:$X$31,3,FALSE)</f>
        <v>.</v>
      </c>
      <c r="AA437" s="967"/>
      <c r="AB437" s="1005"/>
      <c r="AC437" s="1005"/>
      <c r="AD437" s="1005"/>
      <c r="AE437" s="1005"/>
      <c r="AF437" s="1005"/>
      <c r="AG437" s="1004"/>
      <c r="AH437" s="1004"/>
      <c r="AI437" s="1004"/>
      <c r="AJ437" s="1004"/>
      <c r="AK437" s="1004"/>
      <c r="AL437" s="1004"/>
      <c r="AM437" s="1004"/>
      <c r="AN437" s="1004"/>
      <c r="AO437" s="1004"/>
      <c r="AP437" s="1004"/>
      <c r="AQ437" s="1004"/>
      <c r="AR437" s="1004"/>
      <c r="AS437" s="1004"/>
      <c r="AT437" s="1004"/>
      <c r="AU437" s="1004"/>
      <c r="AV437" s="1004"/>
      <c r="AW437" s="1004"/>
    </row>
    <row r="438" spans="1:49" s="25" customFormat="1" ht="17.45" customHeight="1">
      <c r="A438" s="1004"/>
      <c r="B438" s="1004"/>
      <c r="C438" s="1004"/>
      <c r="D438" s="166"/>
      <c r="E438" s="166"/>
      <c r="F438" s="166"/>
      <c r="G438" s="166"/>
      <c r="H438" s="166"/>
      <c r="I438" s="1004"/>
      <c r="J438" s="1004"/>
      <c r="K438" s="1004"/>
      <c r="L438" s="777">
        <v>5</v>
      </c>
      <c r="M438" s="778"/>
      <c r="N438" s="976"/>
      <c r="O438" s="1020">
        <v>381</v>
      </c>
      <c r="P438" s="847" t="e">
        <f>VLOOKUP(N438,etat!$A$9:$N$1004,2,FALSE)</f>
        <v>#N/A</v>
      </c>
      <c r="Q438" s="797" t="e">
        <f>VLOOKUP(N438,etat!$A$9:$N$963,7,FALSE)</f>
        <v>#N/A</v>
      </c>
      <c r="R438" s="797" t="e">
        <f>VLOOKUP(N438,etat!$A$9:$N$1003,9,FALSE)</f>
        <v>#N/A</v>
      </c>
      <c r="S438" s="866" t="e">
        <f>VLOOKUP(N438,etat!$A$9:$P$905,16,FALSE)</f>
        <v>#N/A</v>
      </c>
      <c r="T438" s="755"/>
      <c r="U438" s="791"/>
      <c r="V438" s="784"/>
      <c r="W438" s="784"/>
      <c r="X438" s="784"/>
      <c r="Y438" s="784"/>
      <c r="Z438" s="932" t="str">
        <f>VLOOKUP(L442,[2]اس!$S$3:$X$31,3,FALSE)</f>
        <v>.</v>
      </c>
      <c r="AA438" s="967"/>
      <c r="AB438" s="1005"/>
      <c r="AC438" s="1005"/>
      <c r="AD438" s="1005"/>
      <c r="AE438" s="1005"/>
      <c r="AF438" s="1005"/>
      <c r="AG438" s="1004"/>
      <c r="AH438" s="1004"/>
      <c r="AI438" s="1004"/>
      <c r="AJ438" s="1004"/>
      <c r="AK438" s="1004"/>
      <c r="AL438" s="1004"/>
      <c r="AM438" s="1004"/>
      <c r="AN438" s="1004"/>
      <c r="AO438" s="1004"/>
      <c r="AP438" s="1004"/>
      <c r="AQ438" s="1004"/>
      <c r="AR438" s="1004"/>
      <c r="AS438" s="1004"/>
      <c r="AT438" s="1004"/>
      <c r="AU438" s="1004"/>
      <c r="AV438" s="1004"/>
      <c r="AW438" s="1004"/>
    </row>
    <row r="439" spans="1:49" s="25" customFormat="1" ht="17.45" customHeight="1">
      <c r="A439" s="1004"/>
      <c r="B439" s="1004"/>
      <c r="C439" s="1004"/>
      <c r="D439" s="166"/>
      <c r="E439" s="166"/>
      <c r="F439" s="166"/>
      <c r="G439" s="166"/>
      <c r="H439" s="166"/>
      <c r="I439" s="1004"/>
      <c r="J439" s="1004"/>
      <c r="K439" s="1004"/>
      <c r="L439" s="777">
        <v>5</v>
      </c>
      <c r="M439" s="778"/>
      <c r="N439" s="976"/>
      <c r="O439" s="1020">
        <v>382</v>
      </c>
      <c r="P439" s="847" t="e">
        <f>VLOOKUP(N439,etat!$A$9:$N$1004,2,FALSE)</f>
        <v>#N/A</v>
      </c>
      <c r="Q439" s="797" t="e">
        <f>VLOOKUP(N439,etat!$A$9:$N$963,7,FALSE)</f>
        <v>#N/A</v>
      </c>
      <c r="R439" s="797" t="e">
        <f>VLOOKUP(N439,etat!$A$9:$N$1003,9,FALSE)</f>
        <v>#N/A</v>
      </c>
      <c r="S439" s="866" t="e">
        <f>VLOOKUP(N439,etat!$A$9:$P$905,16,FALSE)</f>
        <v>#N/A</v>
      </c>
      <c r="T439" s="755"/>
      <c r="U439" s="791"/>
      <c r="V439" s="784"/>
      <c r="W439" s="784"/>
      <c r="X439" s="784"/>
      <c r="Y439" s="784"/>
      <c r="Z439" s="932" t="str">
        <f>VLOOKUP(L443,[2]اس!$S$3:$X$31,3,FALSE)</f>
        <v>.</v>
      </c>
      <c r="AA439" s="967"/>
      <c r="AB439" s="1005"/>
      <c r="AC439" s="1005"/>
      <c r="AD439" s="1005"/>
      <c r="AE439" s="1005"/>
      <c r="AF439" s="1005"/>
      <c r="AG439" s="1004"/>
      <c r="AH439" s="1004"/>
      <c r="AI439" s="1004"/>
      <c r="AJ439" s="1004"/>
      <c r="AK439" s="1004"/>
      <c r="AL439" s="1004"/>
      <c r="AM439" s="1004"/>
      <c r="AN439" s="1004"/>
      <c r="AO439" s="1004"/>
      <c r="AP439" s="1004"/>
      <c r="AQ439" s="1004"/>
      <c r="AR439" s="1004"/>
      <c r="AS439" s="1004"/>
      <c r="AT439" s="1004"/>
      <c r="AU439" s="1004"/>
      <c r="AV439" s="1004"/>
      <c r="AW439" s="1004"/>
    </row>
    <row r="440" spans="1:49" s="25" customFormat="1" ht="15" customHeight="1">
      <c r="A440" s="1004"/>
      <c r="B440" s="1004"/>
      <c r="C440" s="1004"/>
      <c r="D440" s="166"/>
      <c r="E440" s="166"/>
      <c r="F440" s="166"/>
      <c r="G440" s="166"/>
      <c r="H440" s="166"/>
      <c r="I440" s="1004"/>
      <c r="J440" s="1004"/>
      <c r="K440" s="1004"/>
      <c r="L440" s="777">
        <v>5</v>
      </c>
      <c r="M440" s="778"/>
      <c r="N440" s="976"/>
      <c r="O440" s="1020">
        <v>383</v>
      </c>
      <c r="P440" s="847" t="e">
        <f>VLOOKUP(N440,etat!$A$9:$N$1004,2,FALSE)</f>
        <v>#N/A</v>
      </c>
      <c r="Q440" s="797" t="e">
        <f>VLOOKUP(N440,etat!$A$9:$N$963,7,FALSE)</f>
        <v>#N/A</v>
      </c>
      <c r="R440" s="797" t="e">
        <f>VLOOKUP(N440,etat!$A$9:$N$1003,9,FALSE)</f>
        <v>#N/A</v>
      </c>
      <c r="S440" s="866" t="e">
        <f>VLOOKUP(N440,etat!$A$9:$P$905,16,FALSE)</f>
        <v>#N/A</v>
      </c>
      <c r="T440" s="755"/>
      <c r="U440" s="791"/>
      <c r="V440" s="784"/>
      <c r="W440" s="784"/>
      <c r="X440" s="784"/>
      <c r="Y440" s="784"/>
      <c r="Z440" s="932" t="str">
        <f>VLOOKUP(L444,[2]اس!$S$3:$X$31,3,FALSE)</f>
        <v>.</v>
      </c>
      <c r="AA440" s="967"/>
      <c r="AB440" s="1005"/>
      <c r="AC440" s="1005"/>
      <c r="AD440" s="1005"/>
      <c r="AE440" s="1005"/>
      <c r="AF440" s="1005"/>
      <c r="AG440" s="1004"/>
      <c r="AH440" s="1004"/>
      <c r="AI440" s="1004"/>
      <c r="AJ440" s="1004"/>
      <c r="AK440" s="1004"/>
      <c r="AL440" s="1004"/>
      <c r="AM440" s="1004"/>
      <c r="AN440" s="1004"/>
      <c r="AO440" s="1004"/>
      <c r="AP440" s="1004"/>
      <c r="AQ440" s="1004"/>
      <c r="AR440" s="1004"/>
      <c r="AS440" s="1004"/>
      <c r="AT440" s="1004"/>
      <c r="AU440" s="1004"/>
      <c r="AV440" s="1004"/>
      <c r="AW440" s="1004"/>
    </row>
    <row r="441" spans="1:49" s="25" customFormat="1" ht="15" customHeight="1">
      <c r="A441" s="1004"/>
      <c r="B441" s="1004"/>
      <c r="C441" s="1004"/>
      <c r="D441" s="166"/>
      <c r="E441" s="166"/>
      <c r="F441" s="166"/>
      <c r="G441" s="166"/>
      <c r="H441" s="166"/>
      <c r="I441" s="1004"/>
      <c r="J441" s="1004"/>
      <c r="K441" s="1004"/>
      <c r="L441" s="777">
        <v>5</v>
      </c>
      <c r="M441" s="778"/>
      <c r="N441" s="976"/>
      <c r="O441" s="1020">
        <v>384</v>
      </c>
      <c r="P441" s="847" t="e">
        <f>VLOOKUP(N441,etat!$A$9:$N$1004,2,FALSE)</f>
        <v>#N/A</v>
      </c>
      <c r="Q441" s="797" t="e">
        <f>VLOOKUP(N441,etat!$A$9:$N$963,7,FALSE)</f>
        <v>#N/A</v>
      </c>
      <c r="R441" s="797" t="e">
        <f>VLOOKUP(N441,etat!$A$9:$N$1003,9,FALSE)</f>
        <v>#N/A</v>
      </c>
      <c r="S441" s="866" t="e">
        <f>VLOOKUP(N441,etat!$A$9:$P$905,16,FALSE)</f>
        <v>#N/A</v>
      </c>
      <c r="T441" s="755"/>
      <c r="U441" s="791"/>
      <c r="V441" s="784"/>
      <c r="W441" s="784"/>
      <c r="X441" s="784"/>
      <c r="Y441" s="784"/>
      <c r="Z441" s="932" t="str">
        <f>VLOOKUP(L445,[2]اس!$S$3:$X$31,3,FALSE)</f>
        <v>.</v>
      </c>
      <c r="AA441" s="967"/>
      <c r="AB441" s="1005"/>
      <c r="AC441" s="1005"/>
      <c r="AD441" s="1005"/>
      <c r="AE441" s="1005"/>
      <c r="AF441" s="1005"/>
      <c r="AG441" s="1004"/>
      <c r="AH441" s="1004"/>
      <c r="AI441" s="1004"/>
      <c r="AJ441" s="1004"/>
      <c r="AK441" s="1004"/>
      <c r="AL441" s="1004"/>
      <c r="AM441" s="1004"/>
      <c r="AN441" s="1004"/>
      <c r="AO441" s="1004"/>
      <c r="AP441" s="1004"/>
      <c r="AQ441" s="1004"/>
      <c r="AR441" s="1004"/>
      <c r="AS441" s="1004"/>
      <c r="AT441" s="1004"/>
      <c r="AU441" s="1004"/>
      <c r="AV441" s="1004"/>
      <c r="AW441" s="1004"/>
    </row>
    <row r="442" spans="1:49" s="25" customFormat="1" ht="15" customHeight="1">
      <c r="A442" s="1004"/>
      <c r="B442" s="1004"/>
      <c r="C442" s="1004"/>
      <c r="D442" s="166"/>
      <c r="E442" s="166"/>
      <c r="F442" s="166"/>
      <c r="G442" s="166"/>
      <c r="H442" s="166"/>
      <c r="I442" s="1004"/>
      <c r="J442" s="1004"/>
      <c r="K442" s="1004"/>
      <c r="L442" s="777">
        <v>5</v>
      </c>
      <c r="M442" s="778"/>
      <c r="N442" s="976"/>
      <c r="O442" s="1020">
        <v>385</v>
      </c>
      <c r="P442" s="847" t="e">
        <f>VLOOKUP(N442,etat!$A$9:$N$1004,2,FALSE)</f>
        <v>#N/A</v>
      </c>
      <c r="Q442" s="797" t="e">
        <f>VLOOKUP(N442,etat!$A$9:$N$963,7,FALSE)</f>
        <v>#N/A</v>
      </c>
      <c r="R442" s="797" t="e">
        <f>VLOOKUP(N442,etat!$A$9:$N$1003,9,FALSE)</f>
        <v>#N/A</v>
      </c>
      <c r="S442" s="866" t="e">
        <f>VLOOKUP(N442,etat!$A$9:$P$905,16,FALSE)</f>
        <v>#N/A</v>
      </c>
      <c r="T442" s="755"/>
      <c r="U442" s="791"/>
      <c r="V442" s="784"/>
      <c r="W442" s="784"/>
      <c r="X442" s="784"/>
      <c r="Y442" s="784"/>
      <c r="Z442" s="932" t="str">
        <f>VLOOKUP(L446,[2]اس!$S$3:$X$31,3,FALSE)</f>
        <v>.</v>
      </c>
      <c r="AA442" s="967"/>
      <c r="AB442" s="1005"/>
      <c r="AC442" s="1005"/>
      <c r="AD442" s="1005"/>
      <c r="AE442" s="1005"/>
      <c r="AF442" s="1005"/>
      <c r="AG442" s="1004"/>
      <c r="AH442" s="1004"/>
      <c r="AI442" s="1004"/>
      <c r="AJ442" s="1004"/>
      <c r="AK442" s="1004"/>
      <c r="AL442" s="1004"/>
      <c r="AM442" s="1004"/>
      <c r="AN442" s="1004"/>
      <c r="AO442" s="1004"/>
      <c r="AP442" s="1004"/>
      <c r="AQ442" s="1004"/>
      <c r="AR442" s="1004"/>
      <c r="AS442" s="1004"/>
      <c r="AT442" s="1004"/>
      <c r="AU442" s="1004"/>
      <c r="AV442" s="1004"/>
      <c r="AW442" s="1004"/>
    </row>
    <row r="443" spans="1:49" s="25" customFormat="1" ht="15" customHeight="1">
      <c r="A443" s="1004"/>
      <c r="B443" s="1004"/>
      <c r="C443" s="1004"/>
      <c r="D443" s="166"/>
      <c r="E443" s="166"/>
      <c r="F443" s="166"/>
      <c r="G443" s="166"/>
      <c r="H443" s="166"/>
      <c r="I443" s="1004"/>
      <c r="J443" s="1004"/>
      <c r="K443" s="1004"/>
      <c r="L443" s="777">
        <v>5</v>
      </c>
      <c r="M443" s="778"/>
      <c r="N443" s="976"/>
      <c r="O443" s="1020">
        <v>386</v>
      </c>
      <c r="P443" s="847" t="e">
        <f>VLOOKUP(N443,etat!$A$9:$N$1004,2,FALSE)</f>
        <v>#N/A</v>
      </c>
      <c r="Q443" s="797" t="e">
        <f>VLOOKUP(N443,etat!$A$9:$N$963,7,FALSE)</f>
        <v>#N/A</v>
      </c>
      <c r="R443" s="954" t="e">
        <f>VLOOKUP(N443,etat!$A$9:$N$1003,9,FALSE)</f>
        <v>#N/A</v>
      </c>
      <c r="S443" s="866" t="e">
        <f>VLOOKUP(N443,etat!$A$9:$P$905,16,FALSE)</f>
        <v>#N/A</v>
      </c>
      <c r="T443" s="755"/>
      <c r="U443" s="791"/>
      <c r="V443" s="784"/>
      <c r="W443" s="784"/>
      <c r="X443" s="784"/>
      <c r="Y443" s="975"/>
      <c r="Z443" s="932" t="str">
        <f>VLOOKUP(L447,[2]اس!$S$3:$X$31,3,FALSE)</f>
        <v>.</v>
      </c>
      <c r="AA443" s="967"/>
      <c r="AB443" s="1005"/>
      <c r="AC443" s="1005"/>
      <c r="AD443" s="1005"/>
      <c r="AE443" s="1005"/>
      <c r="AF443" s="1005"/>
      <c r="AG443" s="1004"/>
      <c r="AH443" s="1004"/>
      <c r="AI443" s="1004"/>
      <c r="AJ443" s="1004"/>
      <c r="AK443" s="1004"/>
      <c r="AL443" s="1004"/>
      <c r="AM443" s="1004"/>
      <c r="AN443" s="1004"/>
      <c r="AO443" s="1004"/>
      <c r="AP443" s="1004"/>
      <c r="AQ443" s="1004"/>
      <c r="AR443" s="1004"/>
      <c r="AS443" s="1004"/>
      <c r="AT443" s="1004"/>
      <c r="AU443" s="1004"/>
      <c r="AV443" s="1004"/>
      <c r="AW443" s="1004"/>
    </row>
    <row r="444" spans="1:49" s="25" customFormat="1" ht="15" customHeight="1">
      <c r="A444" s="1004"/>
      <c r="B444" s="1004"/>
      <c r="C444" s="1004"/>
      <c r="D444" s="166"/>
      <c r="E444" s="166"/>
      <c r="F444" s="166"/>
      <c r="G444" s="166"/>
      <c r="H444" s="166"/>
      <c r="I444" s="1004"/>
      <c r="J444" s="1004"/>
      <c r="K444" s="1004"/>
      <c r="L444" s="777">
        <v>5</v>
      </c>
      <c r="M444" s="778"/>
      <c r="N444" s="976"/>
      <c r="O444" s="1020">
        <v>387</v>
      </c>
      <c r="P444" s="847" t="e">
        <f>VLOOKUP(N444,etat!$A$9:$N$1004,2,FALSE)</f>
        <v>#N/A</v>
      </c>
      <c r="Q444" s="797" t="e">
        <f>VLOOKUP(N444,etat!$A$9:$N$963,7,FALSE)</f>
        <v>#N/A</v>
      </c>
      <c r="R444" s="954" t="e">
        <f>VLOOKUP(N444,etat!$A$9:$N$1003,9,FALSE)</f>
        <v>#N/A</v>
      </c>
      <c r="S444" s="866" t="e">
        <f>VLOOKUP(N444,etat!$A$9:$P$905,16,FALSE)</f>
        <v>#N/A</v>
      </c>
      <c r="T444" s="755"/>
      <c r="U444" s="791"/>
      <c r="V444" s="784"/>
      <c r="W444" s="784"/>
      <c r="X444" s="784"/>
      <c r="Y444" s="975"/>
      <c r="Z444" s="932" t="str">
        <f>VLOOKUP(L448,[2]اس!$S$3:$X$31,3,FALSE)</f>
        <v>.</v>
      </c>
      <c r="AA444" s="967"/>
      <c r="AB444" s="1005"/>
      <c r="AC444" s="1005"/>
      <c r="AD444" s="1005"/>
      <c r="AE444" s="1005"/>
      <c r="AF444" s="1005"/>
      <c r="AG444" s="1004"/>
      <c r="AH444" s="1004"/>
      <c r="AI444" s="1004"/>
      <c r="AJ444" s="1004"/>
      <c r="AK444" s="1004"/>
      <c r="AL444" s="1004"/>
      <c r="AM444" s="1004"/>
      <c r="AN444" s="1004"/>
      <c r="AO444" s="1004"/>
      <c r="AP444" s="1004"/>
      <c r="AQ444" s="1004"/>
      <c r="AR444" s="1004"/>
      <c r="AS444" s="1004"/>
      <c r="AT444" s="1004"/>
      <c r="AU444" s="1004"/>
      <c r="AV444" s="1004"/>
      <c r="AW444" s="1004"/>
    </row>
    <row r="445" spans="1:49" s="25" customFormat="1" ht="15" customHeight="1">
      <c r="A445" s="1004"/>
      <c r="B445" s="1004"/>
      <c r="C445" s="1004"/>
      <c r="D445" s="166"/>
      <c r="E445" s="166"/>
      <c r="F445" s="166"/>
      <c r="G445" s="166"/>
      <c r="H445" s="166"/>
      <c r="I445" s="1004"/>
      <c r="J445" s="1004"/>
      <c r="K445" s="1004"/>
      <c r="L445" s="777">
        <v>5</v>
      </c>
      <c r="M445" s="778"/>
      <c r="N445" s="976"/>
      <c r="O445" s="1020">
        <v>388</v>
      </c>
      <c r="P445" s="847" t="e">
        <f>VLOOKUP(N445,etat!$A$9:$N$1004,2,FALSE)</f>
        <v>#N/A</v>
      </c>
      <c r="Q445" s="797" t="e">
        <f>VLOOKUP(N445,etat!$A$9:$N$963,7,FALSE)</f>
        <v>#N/A</v>
      </c>
      <c r="R445" s="954" t="e">
        <f>VLOOKUP(N445,etat!$A$9:$N$1003,9,FALSE)</f>
        <v>#N/A</v>
      </c>
      <c r="S445" s="866" t="e">
        <f>VLOOKUP(N445,etat!$A$9:$P$905,16,FALSE)</f>
        <v>#N/A</v>
      </c>
      <c r="T445" s="755"/>
      <c r="U445" s="791"/>
      <c r="V445" s="784"/>
      <c r="W445" s="784"/>
      <c r="X445" s="784"/>
      <c r="Y445" s="975"/>
      <c r="Z445" s="932" t="str">
        <f>VLOOKUP(L449,[2]اس!$S$3:$X$31,3,FALSE)</f>
        <v>.</v>
      </c>
      <c r="AA445" s="967"/>
      <c r="AB445" s="1005"/>
      <c r="AC445" s="1005"/>
      <c r="AD445" s="1005"/>
      <c r="AE445" s="1005"/>
      <c r="AF445" s="1005"/>
      <c r="AG445" s="1004"/>
      <c r="AH445" s="1004"/>
      <c r="AI445" s="1004"/>
      <c r="AJ445" s="1004"/>
      <c r="AK445" s="1004"/>
      <c r="AL445" s="1004"/>
      <c r="AM445" s="1004"/>
      <c r="AN445" s="1004"/>
      <c r="AO445" s="1004"/>
      <c r="AP445" s="1004"/>
      <c r="AQ445" s="1004"/>
      <c r="AR445" s="1004"/>
      <c r="AS445" s="1004"/>
      <c r="AT445" s="1004"/>
      <c r="AU445" s="1004"/>
      <c r="AV445" s="1004"/>
      <c r="AW445" s="1004"/>
    </row>
    <row r="446" spans="1:49" s="25" customFormat="1" ht="15" customHeight="1">
      <c r="A446" s="1004"/>
      <c r="B446" s="1004"/>
      <c r="C446" s="1004"/>
      <c r="D446" s="166"/>
      <c r="E446" s="166"/>
      <c r="F446" s="166"/>
      <c r="G446" s="166"/>
      <c r="H446" s="166"/>
      <c r="I446" s="1004"/>
      <c r="J446" s="1004"/>
      <c r="K446" s="1004"/>
      <c r="L446" s="777">
        <v>5</v>
      </c>
      <c r="M446" s="778"/>
      <c r="N446" s="976"/>
      <c r="O446" s="1020">
        <v>389</v>
      </c>
      <c r="P446" s="847" t="e">
        <f>VLOOKUP(N446,etat!$A$9:$N$1004,2,FALSE)</f>
        <v>#N/A</v>
      </c>
      <c r="Q446" s="797" t="e">
        <f>VLOOKUP(N446,etat!$A$9:$N$963,7,FALSE)</f>
        <v>#N/A</v>
      </c>
      <c r="R446" s="954" t="e">
        <f>VLOOKUP(N446,etat!$A$9:$N$1003,9,FALSE)</f>
        <v>#N/A</v>
      </c>
      <c r="S446" s="866" t="e">
        <f>VLOOKUP(N446,etat!$A$9:$P$905,16,FALSE)</f>
        <v>#N/A</v>
      </c>
      <c r="T446" s="755"/>
      <c r="U446" s="791"/>
      <c r="V446" s="784"/>
      <c r="W446" s="784"/>
      <c r="X446" s="784"/>
      <c r="Y446" s="975"/>
      <c r="Z446" s="932" t="str">
        <f>VLOOKUP(L450,[2]اس!$S$3:$X$31,3,FALSE)</f>
        <v>.</v>
      </c>
      <c r="AA446" s="967"/>
      <c r="AB446" s="1005"/>
      <c r="AC446" s="1005"/>
      <c r="AD446" s="1005"/>
      <c r="AE446" s="1005"/>
      <c r="AF446" s="1005"/>
      <c r="AG446" s="1004"/>
      <c r="AH446" s="1004"/>
      <c r="AI446" s="1004"/>
      <c r="AJ446" s="1004"/>
      <c r="AK446" s="1004"/>
      <c r="AL446" s="1004"/>
      <c r="AM446" s="1004"/>
      <c r="AN446" s="1004"/>
      <c r="AO446" s="1004"/>
      <c r="AP446" s="1004"/>
      <c r="AQ446" s="1004"/>
      <c r="AR446" s="1004"/>
      <c r="AS446" s="1004"/>
      <c r="AT446" s="1004"/>
      <c r="AU446" s="1004"/>
      <c r="AV446" s="1004"/>
      <c r="AW446" s="1004"/>
    </row>
    <row r="447" spans="1:49" s="25" customFormat="1" ht="15" customHeight="1">
      <c r="A447" s="1004"/>
      <c r="B447" s="1004"/>
      <c r="C447" s="1004"/>
      <c r="D447" s="166"/>
      <c r="E447" s="166"/>
      <c r="F447" s="166"/>
      <c r="G447" s="166"/>
      <c r="H447" s="166"/>
      <c r="I447" s="1004"/>
      <c r="J447" s="1004"/>
      <c r="K447" s="1004"/>
      <c r="L447" s="777">
        <v>5</v>
      </c>
      <c r="M447" s="778"/>
      <c r="N447" s="976"/>
      <c r="O447" s="1020">
        <v>390</v>
      </c>
      <c r="P447" s="847" t="e">
        <f>VLOOKUP(N447,etat!$A$9:$N$1004,2,FALSE)</f>
        <v>#N/A</v>
      </c>
      <c r="Q447" s="797" t="e">
        <f>VLOOKUP(N447,etat!$A$9:$N$963,7,FALSE)</f>
        <v>#N/A</v>
      </c>
      <c r="R447" s="954" t="e">
        <f>VLOOKUP(N447,etat!$A$9:$N$1003,9,FALSE)</f>
        <v>#N/A</v>
      </c>
      <c r="S447" s="866" t="e">
        <f>VLOOKUP(N447,etat!$A$9:$P$905,16,FALSE)</f>
        <v>#N/A</v>
      </c>
      <c r="T447" s="755"/>
      <c r="U447" s="791"/>
      <c r="V447" s="784"/>
      <c r="W447" s="784"/>
      <c r="X447" s="784"/>
      <c r="Y447" s="975"/>
      <c r="Z447" s="932" t="str">
        <f>VLOOKUP(L451,[2]اس!$S$3:$X$31,3,FALSE)</f>
        <v>.</v>
      </c>
      <c r="AA447" s="967"/>
      <c r="AB447" s="1005"/>
      <c r="AC447" s="1005"/>
      <c r="AD447" s="1005"/>
      <c r="AE447" s="1005"/>
      <c r="AF447" s="1005"/>
      <c r="AG447" s="1004"/>
      <c r="AH447" s="1004"/>
      <c r="AI447" s="1004"/>
      <c r="AJ447" s="1004"/>
      <c r="AK447" s="1004"/>
      <c r="AL447" s="1004"/>
      <c r="AM447" s="1004"/>
      <c r="AN447" s="1004"/>
      <c r="AO447" s="1004"/>
      <c r="AP447" s="1004"/>
      <c r="AQ447" s="1004"/>
      <c r="AR447" s="1004"/>
      <c r="AS447" s="1004"/>
      <c r="AT447" s="1004"/>
      <c r="AU447" s="1004"/>
      <c r="AV447" s="1004"/>
      <c r="AW447" s="1004"/>
    </row>
    <row r="448" spans="1:49" s="25" customFormat="1" ht="15" customHeight="1">
      <c r="A448" s="1004"/>
      <c r="B448" s="1004"/>
      <c r="C448" s="1004"/>
      <c r="D448" s="166"/>
      <c r="E448" s="166"/>
      <c r="F448" s="166"/>
      <c r="G448" s="166"/>
      <c r="H448" s="166"/>
      <c r="I448" s="1004"/>
      <c r="J448" s="1004"/>
      <c r="K448" s="1004"/>
      <c r="L448" s="777">
        <v>5</v>
      </c>
      <c r="M448" s="778"/>
      <c r="N448" s="976"/>
      <c r="O448" s="1020">
        <v>391</v>
      </c>
      <c r="P448" s="847" t="e">
        <f>VLOOKUP(N448,etat!$A$9:$N$1004,2,FALSE)</f>
        <v>#N/A</v>
      </c>
      <c r="Q448" s="797" t="e">
        <f>VLOOKUP(N448,etat!$A$9:$N$963,7,FALSE)</f>
        <v>#N/A</v>
      </c>
      <c r="R448" s="954" t="e">
        <f>VLOOKUP(N448,etat!$A$9:$N$1003,9,FALSE)</f>
        <v>#N/A</v>
      </c>
      <c r="S448" s="866" t="e">
        <f>VLOOKUP(N448,etat!$A$9:$P$905,16,FALSE)</f>
        <v>#N/A</v>
      </c>
      <c r="T448" s="755"/>
      <c r="U448" s="791"/>
      <c r="V448" s="784"/>
      <c r="W448" s="784"/>
      <c r="X448" s="784"/>
      <c r="Y448" s="975"/>
      <c r="Z448" s="932" t="str">
        <f>VLOOKUP(L452,[2]اس!$S$3:$X$31,3,FALSE)</f>
        <v>.</v>
      </c>
      <c r="AA448" s="967"/>
      <c r="AB448" s="1005"/>
      <c r="AC448" s="1005"/>
      <c r="AD448" s="1005"/>
      <c r="AE448" s="1005"/>
      <c r="AF448" s="1005"/>
      <c r="AG448" s="1004"/>
      <c r="AH448" s="1004"/>
      <c r="AI448" s="1004"/>
      <c r="AJ448" s="1004"/>
      <c r="AK448" s="1004"/>
      <c r="AL448" s="1004"/>
      <c r="AM448" s="1004"/>
      <c r="AN448" s="1004"/>
      <c r="AO448" s="1004"/>
      <c r="AP448" s="1004"/>
      <c r="AQ448" s="1004"/>
      <c r="AR448" s="1004"/>
      <c r="AS448" s="1004"/>
      <c r="AT448" s="1004"/>
      <c r="AU448" s="1004"/>
      <c r="AV448" s="1004"/>
      <c r="AW448" s="1004"/>
    </row>
    <row r="449" spans="1:49" s="25" customFormat="1" ht="15" customHeight="1">
      <c r="A449" s="1004"/>
      <c r="B449" s="1004"/>
      <c r="C449" s="1004"/>
      <c r="D449" s="166"/>
      <c r="E449" s="166"/>
      <c r="F449" s="166"/>
      <c r="G449" s="166"/>
      <c r="H449" s="166"/>
      <c r="I449" s="1004"/>
      <c r="J449" s="1004"/>
      <c r="K449" s="1004"/>
      <c r="L449" s="777">
        <v>5</v>
      </c>
      <c r="M449" s="778"/>
      <c r="N449" s="976"/>
      <c r="O449" s="1020">
        <v>392</v>
      </c>
      <c r="P449" s="847" t="e">
        <f>VLOOKUP(N449,etat!$A$9:$N$1004,2,FALSE)</f>
        <v>#N/A</v>
      </c>
      <c r="Q449" s="797" t="e">
        <f>VLOOKUP(N449,etat!$A$9:$N$963,7,FALSE)</f>
        <v>#N/A</v>
      </c>
      <c r="R449" s="954" t="e">
        <f>VLOOKUP(N449,etat!$A$9:$N$1003,9,FALSE)</f>
        <v>#N/A</v>
      </c>
      <c r="S449" s="866" t="e">
        <f>VLOOKUP(N449,etat!$A$9:$P$905,16,FALSE)</f>
        <v>#N/A</v>
      </c>
      <c r="T449" s="755"/>
      <c r="U449" s="791"/>
      <c r="V449" s="784"/>
      <c r="W449" s="784"/>
      <c r="X449" s="784"/>
      <c r="Y449" s="975"/>
      <c r="Z449" s="1022"/>
      <c r="AA449" s="967"/>
      <c r="AB449" s="1005"/>
      <c r="AC449" s="1005"/>
      <c r="AD449" s="1005"/>
      <c r="AE449" s="1005"/>
      <c r="AF449" s="1005"/>
      <c r="AG449" s="1004"/>
      <c r="AH449" s="1004"/>
      <c r="AI449" s="1004"/>
      <c r="AJ449" s="1004"/>
      <c r="AK449" s="1004"/>
      <c r="AL449" s="1004"/>
      <c r="AM449" s="1004"/>
      <c r="AN449" s="1004"/>
      <c r="AO449" s="1004"/>
      <c r="AP449" s="1004"/>
      <c r="AQ449" s="1004"/>
      <c r="AR449" s="1004"/>
      <c r="AS449" s="1004"/>
      <c r="AT449" s="1004"/>
      <c r="AU449" s="1004"/>
      <c r="AV449" s="1004"/>
      <c r="AW449" s="1004"/>
    </row>
    <row r="450" spans="1:49" s="25" customFormat="1" ht="15" customHeight="1">
      <c r="A450" s="1004"/>
      <c r="B450" s="1004"/>
      <c r="C450" s="1004"/>
      <c r="D450" s="166"/>
      <c r="E450" s="166"/>
      <c r="F450" s="166"/>
      <c r="G450" s="166"/>
      <c r="H450" s="166"/>
      <c r="I450" s="1004"/>
      <c r="J450" s="1004"/>
      <c r="K450" s="1004"/>
      <c r="L450" s="777">
        <v>5</v>
      </c>
      <c r="M450" s="778"/>
      <c r="N450" s="976"/>
      <c r="O450" s="1020">
        <v>393</v>
      </c>
      <c r="P450" s="847" t="e">
        <f>VLOOKUP(N450,etat!$A$9:$N$1004,2,FALSE)</f>
        <v>#N/A</v>
      </c>
      <c r="Q450" s="797" t="e">
        <f>VLOOKUP(N450,etat!$A$9:$N$963,7,FALSE)</f>
        <v>#N/A</v>
      </c>
      <c r="R450" s="954" t="e">
        <f>VLOOKUP(N450,etat!$A$9:$N$1003,9,FALSE)</f>
        <v>#N/A</v>
      </c>
      <c r="S450" s="866" t="e">
        <f>VLOOKUP(N450,etat!$A$9:$P$905,16,FALSE)</f>
        <v>#N/A</v>
      </c>
      <c r="T450" s="755"/>
      <c r="U450" s="791"/>
      <c r="V450" s="784"/>
      <c r="W450" s="784"/>
      <c r="X450" s="784"/>
      <c r="Y450" s="975"/>
      <c r="Z450" s="1022"/>
      <c r="AA450" s="967"/>
      <c r="AB450" s="1005"/>
      <c r="AC450" s="1005"/>
      <c r="AD450" s="1005"/>
      <c r="AE450" s="1005"/>
      <c r="AF450" s="1005"/>
      <c r="AG450" s="1004"/>
      <c r="AH450" s="1004"/>
      <c r="AI450" s="1004"/>
      <c r="AJ450" s="1004"/>
      <c r="AK450" s="1004"/>
      <c r="AL450" s="1004"/>
      <c r="AM450" s="1004"/>
      <c r="AN450" s="1004"/>
      <c r="AO450" s="1004"/>
      <c r="AP450" s="1004"/>
      <c r="AQ450" s="1004"/>
      <c r="AR450" s="1004"/>
      <c r="AS450" s="1004"/>
      <c r="AT450" s="1004"/>
      <c r="AU450" s="1004"/>
      <c r="AV450" s="1004"/>
      <c r="AW450" s="1004"/>
    </row>
    <row r="451" spans="1:49" s="25" customFormat="1" ht="15" customHeight="1">
      <c r="A451" s="1004"/>
      <c r="B451" s="1004"/>
      <c r="C451" s="1004"/>
      <c r="D451" s="166"/>
      <c r="E451" s="166"/>
      <c r="F451" s="166"/>
      <c r="G451" s="166"/>
      <c r="H451" s="166"/>
      <c r="I451" s="1004"/>
      <c r="J451" s="1004"/>
      <c r="K451" s="1004"/>
      <c r="L451" s="777">
        <v>5</v>
      </c>
      <c r="M451" s="778"/>
      <c r="N451" s="976"/>
      <c r="O451" s="1020">
        <v>394</v>
      </c>
      <c r="P451" s="847" t="e">
        <f>VLOOKUP(N451,etat!$A$9:$N$1004,2,FALSE)</f>
        <v>#N/A</v>
      </c>
      <c r="Q451" s="797" t="e">
        <f>VLOOKUP(N451,etat!$A$9:$N$963,7,FALSE)</f>
        <v>#N/A</v>
      </c>
      <c r="R451" s="954" t="e">
        <f>VLOOKUP(N451,etat!$A$9:$N$1003,9,FALSE)</f>
        <v>#N/A</v>
      </c>
      <c r="S451" s="866" t="e">
        <f>VLOOKUP(N451,etat!$A$9:$P$905,16,FALSE)</f>
        <v>#N/A</v>
      </c>
      <c r="T451" s="755"/>
      <c r="U451" s="791"/>
      <c r="V451" s="784"/>
      <c r="W451" s="784"/>
      <c r="X451" s="784"/>
      <c r="Y451" s="956"/>
      <c r="Z451" s="1022"/>
      <c r="AA451" s="967"/>
      <c r="AB451" s="1005"/>
      <c r="AC451" s="1005"/>
      <c r="AD451" s="1005"/>
      <c r="AE451" s="1005"/>
      <c r="AF451" s="1005"/>
      <c r="AG451" s="1004"/>
      <c r="AH451" s="1004"/>
      <c r="AI451" s="1004"/>
      <c r="AJ451" s="1004"/>
      <c r="AK451" s="1004"/>
      <c r="AL451" s="1004"/>
      <c r="AM451" s="1004"/>
      <c r="AN451" s="1004"/>
      <c r="AO451" s="1004"/>
      <c r="AP451" s="1004"/>
      <c r="AQ451" s="1004"/>
      <c r="AR451" s="1004"/>
      <c r="AS451" s="1004"/>
      <c r="AT451" s="1004"/>
      <c r="AU451" s="1004"/>
      <c r="AV451" s="1004"/>
      <c r="AW451" s="1004"/>
    </row>
    <row r="452" spans="1:49" s="25" customFormat="1" ht="15" customHeight="1">
      <c r="A452" s="1004"/>
      <c r="B452" s="1004"/>
      <c r="C452" s="1004"/>
      <c r="D452" s="166"/>
      <c r="E452" s="166"/>
      <c r="F452" s="166"/>
      <c r="G452" s="166"/>
      <c r="H452" s="166"/>
      <c r="I452" s="1004"/>
      <c r="J452" s="1004"/>
      <c r="K452" s="1004"/>
      <c r="L452" s="777">
        <v>5</v>
      </c>
      <c r="M452" s="778"/>
      <c r="N452" s="976"/>
      <c r="O452" s="1020">
        <v>395</v>
      </c>
      <c r="P452" s="847" t="e">
        <f>VLOOKUP(N452,etat!$A$9:$N$1004,2,FALSE)</f>
        <v>#N/A</v>
      </c>
      <c r="Q452" s="797" t="e">
        <f>VLOOKUP(N452,etat!$A$9:$N$963,7,FALSE)</f>
        <v>#N/A</v>
      </c>
      <c r="R452" s="954" t="e">
        <f>VLOOKUP(N452,etat!$A$9:$N$1003,9,FALSE)</f>
        <v>#N/A</v>
      </c>
      <c r="S452" s="866" t="e">
        <f>VLOOKUP(N452,etat!$A$9:$P$905,16,FALSE)</f>
        <v>#N/A</v>
      </c>
      <c r="T452" s="755"/>
      <c r="U452" s="791"/>
      <c r="V452" s="784"/>
      <c r="W452" s="784"/>
      <c r="X452" s="784"/>
      <c r="Y452" s="956"/>
      <c r="Z452" s="1022"/>
      <c r="AA452" s="967"/>
      <c r="AB452" s="1005"/>
      <c r="AC452" s="1005"/>
      <c r="AD452" s="1005"/>
      <c r="AE452" s="1005"/>
      <c r="AF452" s="1005"/>
      <c r="AG452" s="1004"/>
      <c r="AH452" s="1004"/>
      <c r="AI452" s="1004"/>
      <c r="AJ452" s="1004"/>
      <c r="AK452" s="1004"/>
      <c r="AL452" s="1004"/>
      <c r="AM452" s="1004"/>
      <c r="AN452" s="1004"/>
      <c r="AO452" s="1004"/>
      <c r="AP452" s="1004"/>
      <c r="AQ452" s="1004"/>
      <c r="AR452" s="1004"/>
      <c r="AS452" s="1004"/>
      <c r="AT452" s="1004"/>
      <c r="AU452" s="1004"/>
      <c r="AV452" s="1004"/>
      <c r="AW452" s="1004"/>
    </row>
    <row r="453" spans="1:49" s="25" customFormat="1" ht="15" customHeight="1">
      <c r="A453" s="1004"/>
      <c r="B453" s="1004"/>
      <c r="C453" s="1004"/>
      <c r="D453" s="166"/>
      <c r="E453" s="166"/>
      <c r="F453" s="166"/>
      <c r="G453" s="166"/>
      <c r="H453" s="166"/>
      <c r="I453" s="1004"/>
      <c r="J453" s="1004"/>
      <c r="K453" s="1004"/>
      <c r="L453" s="777">
        <v>5</v>
      </c>
      <c r="M453" s="778"/>
      <c r="N453" s="976"/>
      <c r="O453" s="1020">
        <v>396</v>
      </c>
      <c r="P453" s="847" t="e">
        <f>VLOOKUP(N453,etat!$A$9:$N$1004,2,FALSE)</f>
        <v>#N/A</v>
      </c>
      <c r="Q453" s="797" t="e">
        <f>VLOOKUP(N453,etat!$A$9:$N$963,7,FALSE)</f>
        <v>#N/A</v>
      </c>
      <c r="R453" s="954" t="e">
        <f>VLOOKUP(N453,etat!$A$9:$N$1003,9,FALSE)</f>
        <v>#N/A</v>
      </c>
      <c r="S453" s="866" t="e">
        <f>VLOOKUP(N453,etat!$A$9:$P$905,16,FALSE)</f>
        <v>#N/A</v>
      </c>
      <c r="T453" s="755"/>
      <c r="U453" s="791"/>
      <c r="V453" s="784"/>
      <c r="W453" s="784"/>
      <c r="X453" s="784"/>
      <c r="Y453" s="956"/>
      <c r="Z453" s="1022"/>
      <c r="AA453" s="967"/>
      <c r="AB453" s="1005"/>
      <c r="AC453" s="1005"/>
      <c r="AD453" s="1005"/>
      <c r="AE453" s="1005"/>
      <c r="AF453" s="1005"/>
      <c r="AG453" s="1004"/>
      <c r="AH453" s="1004"/>
      <c r="AI453" s="1004"/>
      <c r="AJ453" s="1004"/>
      <c r="AK453" s="1004"/>
      <c r="AL453" s="1004"/>
      <c r="AM453" s="1004"/>
      <c r="AN453" s="1004"/>
      <c r="AO453" s="1004"/>
      <c r="AP453" s="1004"/>
      <c r="AQ453" s="1004"/>
      <c r="AR453" s="1004"/>
      <c r="AS453" s="1004"/>
      <c r="AT453" s="1004"/>
      <c r="AU453" s="1004"/>
      <c r="AV453" s="1004"/>
      <c r="AW453" s="1004"/>
    </row>
    <row r="454" spans="1:49" s="25" customFormat="1" ht="15" customHeight="1">
      <c r="A454" s="1004"/>
      <c r="B454" s="1004"/>
      <c r="C454" s="1004"/>
      <c r="D454" s="166"/>
      <c r="E454" s="166"/>
      <c r="F454" s="166"/>
      <c r="G454" s="166"/>
      <c r="H454" s="166"/>
      <c r="I454" s="1004"/>
      <c r="J454" s="1004"/>
      <c r="K454" s="1004"/>
      <c r="L454" s="777">
        <v>5</v>
      </c>
      <c r="M454" s="778"/>
      <c r="N454" s="976"/>
      <c r="O454" s="1020">
        <v>397</v>
      </c>
      <c r="P454" s="847" t="e">
        <f>VLOOKUP(N454,etat!$A$9:$N$1004,2,FALSE)</f>
        <v>#N/A</v>
      </c>
      <c r="Q454" s="797" t="e">
        <f>VLOOKUP(N454,etat!$A$9:$N$963,7,FALSE)</f>
        <v>#N/A</v>
      </c>
      <c r="R454" s="797" t="e">
        <f>VLOOKUP(N454,etat!$A$9:$N$1003,9,FALSE)</f>
        <v>#N/A</v>
      </c>
      <c r="S454" s="866" t="e">
        <f>VLOOKUP(N454,etat!$A$9:$P$905,16,FALSE)</f>
        <v>#N/A</v>
      </c>
      <c r="T454" s="755"/>
      <c r="U454" s="791"/>
      <c r="V454" s="784"/>
      <c r="W454" s="784"/>
      <c r="X454" s="784"/>
      <c r="Y454" s="975"/>
      <c r="Z454" s="1022"/>
      <c r="AA454" s="967"/>
      <c r="AB454" s="1005"/>
      <c r="AC454" s="1005"/>
      <c r="AD454" s="1005"/>
      <c r="AE454" s="1005"/>
      <c r="AF454" s="1005"/>
      <c r="AG454" s="1004"/>
      <c r="AH454" s="1004"/>
      <c r="AI454" s="1004"/>
      <c r="AJ454" s="1004"/>
      <c r="AK454" s="1004"/>
      <c r="AL454" s="1004"/>
      <c r="AM454" s="1004"/>
      <c r="AN454" s="1004"/>
      <c r="AO454" s="1004"/>
      <c r="AP454" s="1004"/>
      <c r="AQ454" s="1004"/>
      <c r="AR454" s="1004"/>
      <c r="AS454" s="1004"/>
      <c r="AT454" s="1004"/>
      <c r="AU454" s="1004"/>
      <c r="AV454" s="1004"/>
      <c r="AW454" s="1004"/>
    </row>
    <row r="455" spans="1:49" s="25" customFormat="1" ht="15" customHeight="1">
      <c r="A455" s="1004"/>
      <c r="B455" s="1004"/>
      <c r="C455" s="1004"/>
      <c r="D455" s="166"/>
      <c r="E455" s="166"/>
      <c r="F455" s="166"/>
      <c r="G455" s="166"/>
      <c r="H455" s="166"/>
      <c r="I455" s="1004"/>
      <c r="J455" s="1004"/>
      <c r="K455" s="1004"/>
      <c r="L455" s="777">
        <v>5</v>
      </c>
      <c r="M455" s="778"/>
      <c r="N455" s="976"/>
      <c r="O455" s="1020">
        <v>398</v>
      </c>
      <c r="P455" s="847" t="e">
        <f>VLOOKUP(N455,etat!$A$9:$N$1004,2,FALSE)</f>
        <v>#N/A</v>
      </c>
      <c r="Q455" s="797" t="e">
        <f>VLOOKUP(N455,etat!$A$9:$N$963,7,FALSE)</f>
        <v>#N/A</v>
      </c>
      <c r="R455" s="954" t="e">
        <f>VLOOKUP(N455,etat!$A$9:$N$1003,9,FALSE)</f>
        <v>#N/A</v>
      </c>
      <c r="S455" s="866" t="e">
        <f>VLOOKUP(N455,etat!$A$9:$P$905,16,FALSE)</f>
        <v>#N/A</v>
      </c>
      <c r="T455" s="755"/>
      <c r="U455" s="791"/>
      <c r="V455" s="784"/>
      <c r="W455" s="784"/>
      <c r="X455" s="784"/>
      <c r="Y455" s="956"/>
      <c r="Z455" s="1022"/>
      <c r="AA455" s="967"/>
      <c r="AB455" s="1005"/>
      <c r="AC455" s="1005"/>
      <c r="AD455" s="1005"/>
      <c r="AE455" s="1005"/>
      <c r="AF455" s="1005"/>
      <c r="AG455" s="1004"/>
      <c r="AH455" s="1004"/>
      <c r="AI455" s="1004"/>
      <c r="AJ455" s="1004"/>
      <c r="AK455" s="1004"/>
      <c r="AL455" s="1004"/>
      <c r="AM455" s="1004"/>
      <c r="AN455" s="1004"/>
      <c r="AO455" s="1004"/>
      <c r="AP455" s="1004"/>
      <c r="AQ455" s="1004"/>
      <c r="AR455" s="1004"/>
      <c r="AS455" s="1004"/>
      <c r="AT455" s="1004"/>
      <c r="AU455" s="1004"/>
      <c r="AV455" s="1004"/>
      <c r="AW455" s="1004"/>
    </row>
    <row r="456" spans="1:49" s="25" customFormat="1" ht="15" customHeight="1">
      <c r="A456" s="1004"/>
      <c r="B456" s="1004"/>
      <c r="C456" s="1004"/>
      <c r="D456" s="166"/>
      <c r="E456" s="166"/>
      <c r="F456" s="166"/>
      <c r="G456" s="166"/>
      <c r="H456" s="166"/>
      <c r="I456" s="1004"/>
      <c r="J456" s="1004"/>
      <c r="K456" s="1004"/>
      <c r="L456" s="777">
        <v>5</v>
      </c>
      <c r="M456" s="778"/>
      <c r="N456" s="976"/>
      <c r="O456" s="1020">
        <v>399</v>
      </c>
      <c r="P456" s="847" t="e">
        <f>VLOOKUP(N456,etat!$A$9:$N$1004,2,FALSE)</f>
        <v>#N/A</v>
      </c>
      <c r="Q456" s="797" t="e">
        <f>VLOOKUP(N456,etat!$A$9:$N$963,7,FALSE)</f>
        <v>#N/A</v>
      </c>
      <c r="R456" s="954" t="e">
        <f>VLOOKUP(N456,etat!$A$9:$N$1003,9,FALSE)</f>
        <v>#N/A</v>
      </c>
      <c r="S456" s="866" t="e">
        <f>VLOOKUP(N456,etat!$A$9:$P$905,16,FALSE)</f>
        <v>#N/A</v>
      </c>
      <c r="T456" s="755"/>
      <c r="U456" s="791"/>
      <c r="V456" s="784"/>
      <c r="W456" s="784"/>
      <c r="X456" s="784"/>
      <c r="Y456" s="956"/>
      <c r="Z456" s="1022"/>
      <c r="AA456" s="967"/>
      <c r="AB456" s="1005"/>
      <c r="AC456" s="1005"/>
      <c r="AD456" s="1005"/>
      <c r="AE456" s="1005"/>
      <c r="AF456" s="1005"/>
      <c r="AG456" s="1004"/>
      <c r="AH456" s="1004"/>
      <c r="AI456" s="1004"/>
      <c r="AJ456" s="1004"/>
      <c r="AK456" s="1004"/>
      <c r="AL456" s="1004"/>
      <c r="AM456" s="1004"/>
      <c r="AN456" s="1004"/>
      <c r="AO456" s="1004"/>
      <c r="AP456" s="1004"/>
      <c r="AQ456" s="1004"/>
      <c r="AR456" s="1004"/>
      <c r="AS456" s="1004"/>
      <c r="AT456" s="1004"/>
      <c r="AU456" s="1004"/>
      <c r="AV456" s="1004"/>
      <c r="AW456" s="1004"/>
    </row>
    <row r="457" spans="1:49" s="25" customFormat="1" ht="15" customHeight="1">
      <c r="A457" s="1004"/>
      <c r="B457" s="1004"/>
      <c r="C457" s="1004"/>
      <c r="D457" s="166"/>
      <c r="E457" s="166"/>
      <c r="F457" s="166"/>
      <c r="G457" s="166"/>
      <c r="H457" s="166"/>
      <c r="I457" s="1004"/>
      <c r="J457" s="1004"/>
      <c r="K457" s="1004"/>
      <c r="L457" s="777">
        <v>5</v>
      </c>
      <c r="M457" s="778"/>
      <c r="N457" s="976"/>
      <c r="O457" s="1020">
        <v>400</v>
      </c>
      <c r="P457" s="847" t="e">
        <f>VLOOKUP(N457,etat!$A$9:$N$1004,2,FALSE)</f>
        <v>#N/A</v>
      </c>
      <c r="Q457" s="797" t="e">
        <f>VLOOKUP(N457,etat!$A$9:$N$963,7,FALSE)</f>
        <v>#N/A</v>
      </c>
      <c r="R457" s="954" t="e">
        <f>VLOOKUP(N457,etat!$A$9:$N$1003,9,FALSE)</f>
        <v>#N/A</v>
      </c>
      <c r="S457" s="866" t="e">
        <f>VLOOKUP(N457,etat!$A$9:$P$905,16,FALSE)</f>
        <v>#N/A</v>
      </c>
      <c r="T457" s="755"/>
      <c r="U457" s="791"/>
      <c r="V457" s="784"/>
      <c r="W457" s="784"/>
      <c r="X457" s="784"/>
      <c r="Y457" s="956"/>
      <c r="Z457" s="1022"/>
      <c r="AA457" s="967"/>
      <c r="AB457" s="1005"/>
      <c r="AC457" s="1005"/>
      <c r="AD457" s="1005"/>
      <c r="AE457" s="1005"/>
      <c r="AF457" s="1005"/>
      <c r="AG457" s="1004"/>
      <c r="AH457" s="1004"/>
      <c r="AI457" s="1004"/>
      <c r="AJ457" s="1004"/>
      <c r="AK457" s="1004"/>
      <c r="AL457" s="1004"/>
      <c r="AM457" s="1004"/>
      <c r="AN457" s="1004"/>
      <c r="AO457" s="1004"/>
      <c r="AP457" s="1004"/>
      <c r="AQ457" s="1004"/>
      <c r="AR457" s="1004"/>
      <c r="AS457" s="1004"/>
      <c r="AT457" s="1004"/>
      <c r="AU457" s="1004"/>
      <c r="AV457" s="1004"/>
      <c r="AW457" s="1004"/>
    </row>
    <row r="458" spans="1:49" s="25" customFormat="1" ht="15" customHeight="1">
      <c r="A458" s="1004"/>
      <c r="B458" s="1004"/>
      <c r="C458" s="1004"/>
      <c r="D458" s="166"/>
      <c r="E458" s="166"/>
      <c r="F458" s="166"/>
      <c r="G458" s="166"/>
      <c r="H458" s="166"/>
      <c r="I458" s="1004"/>
      <c r="J458" s="1004"/>
      <c r="K458" s="1004"/>
      <c r="L458" s="777">
        <v>5</v>
      </c>
      <c r="M458" s="778"/>
      <c r="N458" s="976"/>
      <c r="O458" s="1020">
        <v>401</v>
      </c>
      <c r="P458" s="847" t="e">
        <f>VLOOKUP(N458,etat!$A$9:$N$1004,2,FALSE)</f>
        <v>#N/A</v>
      </c>
      <c r="Q458" s="797" t="e">
        <f>VLOOKUP(N458,etat!$A$9:$N$963,7,FALSE)</f>
        <v>#N/A</v>
      </c>
      <c r="R458" s="797" t="e">
        <f>VLOOKUP(N458,etat!$A$9:$N$1003,9,FALSE)</f>
        <v>#N/A</v>
      </c>
      <c r="S458" s="866" t="e">
        <f>VLOOKUP(N458,etat!$A$9:$P$905,16,FALSE)</f>
        <v>#N/A</v>
      </c>
      <c r="T458" s="755"/>
      <c r="U458" s="791"/>
      <c r="V458" s="784"/>
      <c r="W458" s="784"/>
      <c r="X458" s="784"/>
      <c r="Y458" s="975"/>
      <c r="Z458" s="1022"/>
      <c r="AA458" s="967"/>
      <c r="AB458" s="1005"/>
      <c r="AC458" s="1005"/>
      <c r="AD458" s="1005"/>
      <c r="AE458" s="1005"/>
      <c r="AF458" s="1005"/>
      <c r="AG458" s="1004"/>
      <c r="AH458" s="1004"/>
      <c r="AI458" s="1004"/>
      <c r="AJ458" s="1004"/>
      <c r="AK458" s="1004"/>
      <c r="AL458" s="1004"/>
      <c r="AM458" s="1004"/>
      <c r="AN458" s="1004"/>
      <c r="AO458" s="1004"/>
      <c r="AP458" s="1004"/>
      <c r="AQ458" s="1004"/>
      <c r="AR458" s="1004"/>
      <c r="AS458" s="1004"/>
      <c r="AT458" s="1004"/>
      <c r="AU458" s="1004"/>
      <c r="AV458" s="1004"/>
      <c r="AW458" s="1004"/>
    </row>
    <row r="459" spans="1:49" s="25" customFormat="1" ht="15" customHeight="1">
      <c r="A459" s="1004"/>
      <c r="B459" s="1004"/>
      <c r="C459" s="1004"/>
      <c r="D459" s="166"/>
      <c r="E459" s="166"/>
      <c r="F459" s="166"/>
      <c r="G459" s="166"/>
      <c r="H459" s="166"/>
      <c r="I459" s="1004"/>
      <c r="J459" s="1004"/>
      <c r="K459" s="1004"/>
      <c r="L459" s="777">
        <v>5</v>
      </c>
      <c r="M459" s="778"/>
      <c r="N459" s="976"/>
      <c r="O459" s="1020">
        <v>402</v>
      </c>
      <c r="P459" s="847" t="e">
        <f>VLOOKUP(N459,etat!$A$9:$N$1004,2,FALSE)</f>
        <v>#N/A</v>
      </c>
      <c r="Q459" s="797" t="e">
        <f>VLOOKUP(N459,etat!$A$9:$N$963,7,FALSE)</f>
        <v>#N/A</v>
      </c>
      <c r="R459" s="797" t="e">
        <f>VLOOKUP(N459,etat!$A$9:$N$1003,9,FALSE)</f>
        <v>#N/A</v>
      </c>
      <c r="S459" s="866" t="e">
        <f>VLOOKUP(N459,etat!$A$9:$P$905,16,FALSE)</f>
        <v>#N/A</v>
      </c>
      <c r="T459" s="755"/>
      <c r="U459" s="791"/>
      <c r="V459" s="784"/>
      <c r="W459" s="784"/>
      <c r="X459" s="784"/>
      <c r="Y459" s="975"/>
      <c r="Z459" s="1022"/>
      <c r="AA459" s="967"/>
      <c r="AB459" s="1005"/>
      <c r="AC459" s="1005"/>
      <c r="AD459" s="1005"/>
      <c r="AE459" s="1005"/>
      <c r="AF459" s="1005"/>
      <c r="AG459" s="1004"/>
      <c r="AH459" s="1004"/>
      <c r="AI459" s="1004"/>
      <c r="AJ459" s="1004"/>
      <c r="AK459" s="1004"/>
      <c r="AL459" s="1004"/>
      <c r="AM459" s="1004"/>
      <c r="AN459" s="1004"/>
      <c r="AO459" s="1004"/>
      <c r="AP459" s="1004"/>
      <c r="AQ459" s="1004"/>
      <c r="AR459" s="1004"/>
      <c r="AS459" s="1004"/>
      <c r="AT459" s="1004"/>
      <c r="AU459" s="1004"/>
      <c r="AV459" s="1004"/>
      <c r="AW459" s="1004"/>
    </row>
    <row r="460" spans="1:49" s="25" customFormat="1" ht="15" customHeight="1">
      <c r="A460" s="1004"/>
      <c r="B460" s="1004"/>
      <c r="C460" s="1004"/>
      <c r="D460" s="166"/>
      <c r="E460" s="166"/>
      <c r="F460" s="166"/>
      <c r="G460" s="166"/>
      <c r="H460" s="166"/>
      <c r="I460" s="1004"/>
      <c r="J460" s="1004"/>
      <c r="K460" s="1004"/>
      <c r="L460" s="777">
        <v>5</v>
      </c>
      <c r="M460" s="778"/>
      <c r="N460" s="976"/>
      <c r="O460" s="1020">
        <v>403</v>
      </c>
      <c r="P460" s="847" t="e">
        <f>VLOOKUP(N460,etat!$A$9:$N$1004,2,FALSE)</f>
        <v>#N/A</v>
      </c>
      <c r="Q460" s="797" t="e">
        <f>VLOOKUP(N460,etat!$A$9:$N$963,7,FALSE)</f>
        <v>#N/A</v>
      </c>
      <c r="R460" s="797" t="e">
        <f>VLOOKUP(N460,etat!$A$9:$N$1003,9,FALSE)</f>
        <v>#N/A</v>
      </c>
      <c r="S460" s="866" t="e">
        <f>VLOOKUP(N460,etat!$A$9:$P$905,16,FALSE)</f>
        <v>#N/A</v>
      </c>
      <c r="T460" s="755"/>
      <c r="U460" s="791"/>
      <c r="V460" s="784"/>
      <c r="W460" s="755"/>
      <c r="X460" s="784"/>
      <c r="Y460" s="975"/>
      <c r="Z460" s="1022"/>
      <c r="AA460" s="967"/>
      <c r="AB460" s="1005"/>
      <c r="AC460" s="1005"/>
      <c r="AD460" s="1005"/>
      <c r="AE460" s="1005"/>
      <c r="AF460" s="1005"/>
      <c r="AG460" s="1004"/>
      <c r="AH460" s="1004"/>
      <c r="AI460" s="1004"/>
      <c r="AJ460" s="1004"/>
      <c r="AK460" s="1004"/>
      <c r="AL460" s="1004"/>
      <c r="AM460" s="1004"/>
      <c r="AN460" s="1004"/>
      <c r="AO460" s="1004"/>
      <c r="AP460" s="1004"/>
      <c r="AQ460" s="1004"/>
      <c r="AR460" s="1004"/>
      <c r="AS460" s="1004"/>
      <c r="AT460" s="1004"/>
      <c r="AU460" s="1004"/>
      <c r="AV460" s="1004"/>
      <c r="AW460" s="1004"/>
    </row>
    <row r="461" spans="1:49" s="25" customFormat="1" ht="15" customHeight="1">
      <c r="A461" s="1004"/>
      <c r="B461" s="1004"/>
      <c r="C461" s="1004"/>
      <c r="D461" s="166"/>
      <c r="E461" s="166"/>
      <c r="F461" s="166"/>
      <c r="G461" s="166"/>
      <c r="H461" s="166"/>
      <c r="I461" s="1004"/>
      <c r="J461" s="1004"/>
      <c r="K461" s="1004"/>
      <c r="L461" s="777">
        <v>5</v>
      </c>
      <c r="M461" s="778"/>
      <c r="N461" s="976"/>
      <c r="O461" s="1020">
        <v>404</v>
      </c>
      <c r="P461" s="847" t="e">
        <f>VLOOKUP(N461,etat!$A$9:$N$1004,2,FALSE)</f>
        <v>#N/A</v>
      </c>
      <c r="Q461" s="797" t="e">
        <f>VLOOKUP(N461,etat!$A$9:$N$963,7,FALSE)</f>
        <v>#N/A</v>
      </c>
      <c r="R461" s="797" t="e">
        <f>VLOOKUP(N461,etat!$A$9:$N$1003,9,FALSE)</f>
        <v>#N/A</v>
      </c>
      <c r="S461" s="866" t="e">
        <f>VLOOKUP(N461,etat!$A$9:$P$905,16,FALSE)</f>
        <v>#N/A</v>
      </c>
      <c r="T461" s="755"/>
      <c r="U461" s="791"/>
      <c r="V461" s="784"/>
      <c r="W461" s="784"/>
      <c r="X461" s="784"/>
      <c r="Y461" s="975"/>
      <c r="Z461" s="1022"/>
      <c r="AA461" s="967"/>
      <c r="AB461" s="1005"/>
      <c r="AC461" s="1005"/>
      <c r="AD461" s="1005"/>
      <c r="AE461" s="1005"/>
      <c r="AF461" s="1005"/>
      <c r="AG461" s="1004"/>
      <c r="AH461" s="1004"/>
      <c r="AI461" s="1004"/>
      <c r="AJ461" s="1004"/>
      <c r="AK461" s="1004"/>
      <c r="AL461" s="1004"/>
      <c r="AM461" s="1004"/>
      <c r="AN461" s="1004"/>
      <c r="AO461" s="1004"/>
      <c r="AP461" s="1004"/>
      <c r="AQ461" s="1004"/>
      <c r="AR461" s="1004"/>
      <c r="AS461" s="1004"/>
      <c r="AT461" s="1004"/>
      <c r="AU461" s="1004"/>
      <c r="AV461" s="1004"/>
      <c r="AW461" s="1004"/>
    </row>
    <row r="462" spans="1:49" s="25" customFormat="1" ht="15" customHeight="1">
      <c r="A462" s="1004"/>
      <c r="B462" s="1004"/>
      <c r="C462" s="1004"/>
      <c r="D462" s="166"/>
      <c r="E462" s="166"/>
      <c r="F462" s="166"/>
      <c r="G462" s="166"/>
      <c r="H462" s="166"/>
      <c r="I462" s="1004"/>
      <c r="J462" s="1004"/>
      <c r="K462" s="1004"/>
      <c r="L462" s="777">
        <v>5</v>
      </c>
      <c r="M462" s="778"/>
      <c r="N462" s="976"/>
      <c r="O462" s="1020">
        <v>405</v>
      </c>
      <c r="P462" s="847" t="e">
        <f>VLOOKUP(N462,etat!$A$9:$N$1004,2,FALSE)</f>
        <v>#N/A</v>
      </c>
      <c r="Q462" s="797" t="e">
        <f>VLOOKUP(N462,etat!$A$9:$N$963,7,FALSE)</f>
        <v>#N/A</v>
      </c>
      <c r="R462" s="797" t="e">
        <f>VLOOKUP(N462,etat!$A$9:$N$1003,9,FALSE)</f>
        <v>#N/A</v>
      </c>
      <c r="S462" s="866" t="e">
        <f>VLOOKUP(N462,etat!$A$9:$P$905,16,FALSE)</f>
        <v>#N/A</v>
      </c>
      <c r="T462" s="755"/>
      <c r="U462" s="791"/>
      <c r="V462" s="784"/>
      <c r="W462" s="755"/>
      <c r="X462" s="784"/>
      <c r="Y462" s="975"/>
      <c r="Z462" s="1022"/>
      <c r="AA462" s="967"/>
      <c r="AB462" s="1005"/>
      <c r="AC462" s="1005"/>
      <c r="AD462" s="1005"/>
      <c r="AE462" s="1005"/>
      <c r="AF462" s="1005"/>
      <c r="AG462" s="1004"/>
      <c r="AH462" s="1004"/>
      <c r="AI462" s="1004"/>
      <c r="AJ462" s="1004"/>
      <c r="AK462" s="1004"/>
      <c r="AL462" s="1004"/>
      <c r="AM462" s="1004"/>
      <c r="AN462" s="1004"/>
      <c r="AO462" s="1004"/>
      <c r="AP462" s="1004"/>
      <c r="AQ462" s="1004"/>
      <c r="AR462" s="1004"/>
      <c r="AS462" s="1004"/>
      <c r="AT462" s="1004"/>
      <c r="AU462" s="1004"/>
      <c r="AV462" s="1004"/>
      <c r="AW462" s="1004"/>
    </row>
    <row r="463" spans="1:49" s="25" customFormat="1" ht="15" customHeight="1">
      <c r="A463" s="1004"/>
      <c r="B463" s="1004"/>
      <c r="C463" s="1004"/>
      <c r="D463" s="166"/>
      <c r="E463" s="166"/>
      <c r="F463" s="166"/>
      <c r="G463" s="166"/>
      <c r="H463" s="166"/>
      <c r="I463" s="1004"/>
      <c r="J463" s="1004"/>
      <c r="K463" s="1004"/>
      <c r="L463" s="777">
        <v>5</v>
      </c>
      <c r="M463" s="778"/>
      <c r="N463" s="976"/>
      <c r="O463" s="1020">
        <v>406</v>
      </c>
      <c r="P463" s="847" t="e">
        <f>VLOOKUP(N463,etat!$A$9:$N$1004,2,FALSE)</f>
        <v>#N/A</v>
      </c>
      <c r="Q463" s="797" t="e">
        <f>VLOOKUP(N463,etat!$A$9:$N$963,7,FALSE)</f>
        <v>#N/A</v>
      </c>
      <c r="R463" s="797" t="e">
        <f>VLOOKUP(N463,etat!$A$9:$N$1003,9,FALSE)</f>
        <v>#N/A</v>
      </c>
      <c r="S463" s="866" t="e">
        <f>VLOOKUP(N463,etat!$A$9:$P$905,16,FALSE)</f>
        <v>#N/A</v>
      </c>
      <c r="T463" s="755"/>
      <c r="U463" s="791"/>
      <c r="V463" s="784"/>
      <c r="W463" s="943"/>
      <c r="X463" s="944"/>
      <c r="Y463" s="975"/>
      <c r="Z463" s="1022"/>
      <c r="AA463" s="967"/>
      <c r="AB463" s="1005"/>
      <c r="AC463" s="1005"/>
      <c r="AD463" s="1005"/>
      <c r="AE463" s="1005"/>
      <c r="AF463" s="1005"/>
      <c r="AG463" s="1004"/>
      <c r="AH463" s="1004"/>
      <c r="AI463" s="1004"/>
      <c r="AJ463" s="1004"/>
      <c r="AK463" s="1004"/>
      <c r="AL463" s="1004"/>
      <c r="AM463" s="1004"/>
      <c r="AN463" s="1004"/>
      <c r="AO463" s="1004"/>
      <c r="AP463" s="1004"/>
      <c r="AQ463" s="1004"/>
      <c r="AR463" s="1004"/>
      <c r="AS463" s="1004"/>
      <c r="AT463" s="1004"/>
      <c r="AU463" s="1004"/>
      <c r="AV463" s="1004"/>
      <c r="AW463" s="1004"/>
    </row>
    <row r="464" spans="1:49" s="25" customFormat="1" ht="15" customHeight="1">
      <c r="A464" s="1004"/>
      <c r="B464" s="1004"/>
      <c r="C464" s="1004"/>
      <c r="D464" s="166"/>
      <c r="E464" s="166"/>
      <c r="F464" s="166"/>
      <c r="G464" s="166"/>
      <c r="H464" s="166"/>
      <c r="I464" s="1004"/>
      <c r="J464" s="1004"/>
      <c r="K464" s="1004"/>
      <c r="L464" s="777">
        <v>5</v>
      </c>
      <c r="M464" s="778"/>
      <c r="N464" s="976"/>
      <c r="O464" s="1020">
        <v>407</v>
      </c>
      <c r="P464" s="847" t="e">
        <f>VLOOKUP(N464,etat!$A$9:$N$1004,2,FALSE)</f>
        <v>#N/A</v>
      </c>
      <c r="Q464" s="797" t="e">
        <f>VLOOKUP(N464,etat!$A$9:$N$963,7,FALSE)</f>
        <v>#N/A</v>
      </c>
      <c r="R464" s="797" t="e">
        <f>VLOOKUP(N464,etat!$A$9:$N$1003,9,FALSE)</f>
        <v>#N/A</v>
      </c>
      <c r="S464" s="866" t="e">
        <f>VLOOKUP(N464,etat!$A$9:$P$905,16,FALSE)</f>
        <v>#N/A</v>
      </c>
      <c r="T464" s="755"/>
      <c r="U464" s="791"/>
      <c r="V464" s="784"/>
      <c r="W464" s="943"/>
      <c r="X464" s="944"/>
      <c r="Y464" s="975"/>
      <c r="Z464" s="1022"/>
      <c r="AA464" s="967"/>
      <c r="AB464" s="1005"/>
      <c r="AC464" s="1005"/>
      <c r="AD464" s="1005"/>
      <c r="AE464" s="1005"/>
      <c r="AF464" s="1005"/>
      <c r="AG464" s="1004"/>
      <c r="AH464" s="1004"/>
      <c r="AI464" s="1004"/>
      <c r="AJ464" s="1004"/>
      <c r="AK464" s="1004"/>
      <c r="AL464" s="1004"/>
      <c r="AM464" s="1004"/>
      <c r="AN464" s="1004"/>
      <c r="AO464" s="1004"/>
      <c r="AP464" s="1004"/>
      <c r="AQ464" s="1004"/>
      <c r="AR464" s="1004"/>
      <c r="AS464" s="1004"/>
      <c r="AT464" s="1004"/>
      <c r="AU464" s="1004"/>
      <c r="AV464" s="1004"/>
      <c r="AW464" s="1004"/>
    </row>
    <row r="465" spans="1:49" s="25" customFormat="1" ht="15" customHeight="1">
      <c r="A465" s="1004"/>
      <c r="B465" s="1004"/>
      <c r="C465" s="1004"/>
      <c r="D465" s="166"/>
      <c r="E465" s="166"/>
      <c r="F465" s="166"/>
      <c r="G465" s="166"/>
      <c r="H465" s="166"/>
      <c r="I465" s="1004"/>
      <c r="J465" s="1004"/>
      <c r="K465" s="1004"/>
      <c r="L465" s="777">
        <v>5</v>
      </c>
      <c r="M465" s="778"/>
      <c r="N465" s="976"/>
      <c r="O465" s="1020">
        <v>408</v>
      </c>
      <c r="P465" s="847" t="e">
        <f>VLOOKUP(N465,etat!$A$9:$N$1004,2,FALSE)</f>
        <v>#N/A</v>
      </c>
      <c r="Q465" s="797" t="e">
        <f>VLOOKUP(N465,etat!$A$9:$N$963,7,FALSE)</f>
        <v>#N/A</v>
      </c>
      <c r="R465" s="797" t="e">
        <f>VLOOKUP(N465,etat!$A$9:$N$1003,9,FALSE)</f>
        <v>#N/A</v>
      </c>
      <c r="S465" s="866" t="e">
        <f>VLOOKUP(N465,etat!$A$9:$P$905,16,FALSE)</f>
        <v>#N/A</v>
      </c>
      <c r="T465" s="755"/>
      <c r="U465" s="791"/>
      <c r="V465" s="784"/>
      <c r="W465" s="784"/>
      <c r="X465" s="784"/>
      <c r="Y465" s="975"/>
      <c r="Z465" s="1022"/>
      <c r="AA465" s="967"/>
      <c r="AB465" s="1005"/>
      <c r="AC465" s="1005"/>
      <c r="AD465" s="1005"/>
      <c r="AE465" s="1005"/>
      <c r="AF465" s="1005"/>
      <c r="AG465" s="1004"/>
      <c r="AH465" s="1004"/>
      <c r="AI465" s="1004"/>
      <c r="AJ465" s="1004"/>
      <c r="AK465" s="1004"/>
      <c r="AL465" s="1004"/>
      <c r="AM465" s="1004"/>
      <c r="AN465" s="1004"/>
      <c r="AO465" s="1004"/>
      <c r="AP465" s="1004"/>
      <c r="AQ465" s="1004"/>
      <c r="AR465" s="1004"/>
      <c r="AS465" s="1004"/>
      <c r="AT465" s="1004"/>
      <c r="AU465" s="1004"/>
      <c r="AV465" s="1004"/>
      <c r="AW465" s="1004"/>
    </row>
    <row r="466" spans="1:49" s="25" customFormat="1" ht="15" customHeight="1">
      <c r="A466" s="1004"/>
      <c r="B466" s="1004"/>
      <c r="C466" s="1004"/>
      <c r="D466" s="166"/>
      <c r="E466" s="166"/>
      <c r="F466" s="166"/>
      <c r="G466" s="166"/>
      <c r="H466" s="166"/>
      <c r="I466" s="1004"/>
      <c r="J466" s="1004"/>
      <c r="K466" s="1004"/>
      <c r="L466" s="777">
        <v>5</v>
      </c>
      <c r="M466" s="778"/>
      <c r="N466" s="976"/>
      <c r="O466" s="1020">
        <v>409</v>
      </c>
      <c r="P466" s="847" t="e">
        <f>VLOOKUP(N466,etat!$A$9:$N$1004,2,FALSE)</f>
        <v>#N/A</v>
      </c>
      <c r="Q466" s="797" t="e">
        <f>VLOOKUP(N466,etat!$A$9:$N$963,7,FALSE)</f>
        <v>#N/A</v>
      </c>
      <c r="R466" s="797" t="e">
        <f>VLOOKUP(N466,etat!$A$9:$N$1003,9,FALSE)</f>
        <v>#N/A</v>
      </c>
      <c r="S466" s="866" t="e">
        <f>VLOOKUP(N466,etat!$A$9:$P$905,16,FALSE)</f>
        <v>#N/A</v>
      </c>
      <c r="T466" s="755"/>
      <c r="U466" s="791"/>
      <c r="V466" s="784"/>
      <c r="W466" s="784"/>
      <c r="X466" s="784"/>
      <c r="Y466" s="784"/>
      <c r="Z466" s="1112"/>
      <c r="AA466" s="967"/>
      <c r="AB466" s="1005"/>
      <c r="AC466" s="1005"/>
      <c r="AD466" s="1005"/>
      <c r="AE466" s="1005"/>
      <c r="AF466" s="1005"/>
      <c r="AG466" s="1004"/>
      <c r="AH466" s="1004"/>
      <c r="AI466" s="1004"/>
      <c r="AJ466" s="1004"/>
      <c r="AK466" s="1004"/>
      <c r="AL466" s="1004"/>
      <c r="AM466" s="1004"/>
      <c r="AN466" s="1004"/>
      <c r="AO466" s="1004"/>
      <c r="AP466" s="1004"/>
      <c r="AQ466" s="1004"/>
      <c r="AR466" s="1004"/>
      <c r="AS466" s="1004"/>
      <c r="AT466" s="1004"/>
      <c r="AU466" s="1004"/>
      <c r="AV466" s="1004"/>
      <c r="AW466" s="1004"/>
    </row>
    <row r="467" spans="1:49" s="25" customFormat="1" ht="15" customHeight="1">
      <c r="A467" s="1004"/>
      <c r="B467" s="1004"/>
      <c r="C467" s="1004"/>
      <c r="D467" s="166"/>
      <c r="E467" s="166"/>
      <c r="F467" s="166"/>
      <c r="G467" s="166"/>
      <c r="H467" s="166"/>
      <c r="I467" s="1004"/>
      <c r="J467" s="1004"/>
      <c r="K467" s="1004"/>
      <c r="L467" s="777">
        <v>5</v>
      </c>
      <c r="M467" s="778"/>
      <c r="N467" s="976"/>
      <c r="O467" s="1020">
        <v>410</v>
      </c>
      <c r="P467" s="847" t="e">
        <f>VLOOKUP(N467,etat!$A$9:$N$1004,2,FALSE)</f>
        <v>#N/A</v>
      </c>
      <c r="Q467" s="797" t="e">
        <f>VLOOKUP(N467,etat!$A$9:$N$963,7,FALSE)</f>
        <v>#N/A</v>
      </c>
      <c r="R467" s="797" t="e">
        <f>VLOOKUP(N467,etat!$A$9:$N$1003,9,FALSE)</f>
        <v>#N/A</v>
      </c>
      <c r="S467" s="866" t="e">
        <f>VLOOKUP(N467,etat!$A$9:$P$905,16,FALSE)</f>
        <v>#N/A</v>
      </c>
      <c r="T467" s="755"/>
      <c r="U467" s="791"/>
      <c r="V467" s="784"/>
      <c r="W467" s="784"/>
      <c r="X467" s="784"/>
      <c r="Y467" s="975"/>
      <c r="Z467" s="1022"/>
      <c r="AA467" s="967"/>
      <c r="AB467" s="1005"/>
      <c r="AC467" s="1005"/>
      <c r="AD467" s="1005"/>
      <c r="AE467" s="1005"/>
      <c r="AF467" s="1005"/>
      <c r="AG467" s="1004"/>
      <c r="AH467" s="1004"/>
      <c r="AI467" s="1004"/>
      <c r="AJ467" s="1004"/>
      <c r="AK467" s="1004"/>
      <c r="AL467" s="1004"/>
      <c r="AM467" s="1004"/>
      <c r="AN467" s="1004"/>
      <c r="AO467" s="1004"/>
      <c r="AP467" s="1004"/>
      <c r="AQ467" s="1004"/>
      <c r="AR467" s="1004"/>
      <c r="AS467" s="1004"/>
      <c r="AT467" s="1004"/>
      <c r="AU467" s="1004"/>
      <c r="AV467" s="1004"/>
      <c r="AW467" s="1004"/>
    </row>
    <row r="468" spans="1:49" s="25" customFormat="1" ht="15" customHeight="1">
      <c r="A468" s="1004"/>
      <c r="B468" s="1004"/>
      <c r="C468" s="1004"/>
      <c r="D468" s="166"/>
      <c r="E468" s="166"/>
      <c r="F468" s="166"/>
      <c r="G468" s="166"/>
      <c r="H468" s="166"/>
      <c r="I468" s="1004"/>
      <c r="J468" s="1004"/>
      <c r="K468" s="1004"/>
      <c r="L468" s="777">
        <v>5</v>
      </c>
      <c r="M468" s="778"/>
      <c r="N468" s="976"/>
      <c r="O468" s="1020">
        <v>411</v>
      </c>
      <c r="P468" s="847" t="e">
        <f>VLOOKUP(N468,etat!$A$9:$N$1004,2,FALSE)</f>
        <v>#N/A</v>
      </c>
      <c r="Q468" s="797" t="e">
        <f>VLOOKUP(N468,etat!$A$9:$N$963,7,FALSE)</f>
        <v>#N/A</v>
      </c>
      <c r="R468" s="797" t="e">
        <f>VLOOKUP(N468,etat!$A$9:$N$1003,9,FALSE)</f>
        <v>#N/A</v>
      </c>
      <c r="S468" s="866" t="e">
        <f>VLOOKUP(N468,etat!$A$9:$P$905,16,FALSE)</f>
        <v>#N/A</v>
      </c>
      <c r="T468" s="755"/>
      <c r="U468" s="791"/>
      <c r="V468" s="784"/>
      <c r="W468" s="784"/>
      <c r="X468" s="784"/>
      <c r="Y468" s="975"/>
      <c r="Z468" s="1022"/>
      <c r="AA468" s="967"/>
      <c r="AB468" s="1005"/>
      <c r="AC468" s="1005"/>
      <c r="AD468" s="1005"/>
      <c r="AE468" s="1005"/>
      <c r="AF468" s="1005"/>
      <c r="AG468" s="1004"/>
      <c r="AH468" s="1004"/>
      <c r="AI468" s="1004"/>
      <c r="AJ468" s="1004"/>
      <c r="AK468" s="1004"/>
      <c r="AL468" s="1004"/>
      <c r="AM468" s="1004"/>
      <c r="AN468" s="1004"/>
      <c r="AO468" s="1004"/>
      <c r="AP468" s="1004"/>
      <c r="AQ468" s="1004"/>
      <c r="AR468" s="1004"/>
      <c r="AS468" s="1004"/>
      <c r="AT468" s="1004"/>
      <c r="AU468" s="1004"/>
      <c r="AV468" s="1004"/>
      <c r="AW468" s="1004"/>
    </row>
    <row r="469" spans="1:49" s="25" customFormat="1" ht="15" customHeight="1">
      <c r="A469" s="1004"/>
      <c r="B469" s="1004"/>
      <c r="C469" s="1004"/>
      <c r="D469" s="166"/>
      <c r="E469" s="166"/>
      <c r="F469" s="166"/>
      <c r="G469" s="166"/>
      <c r="H469" s="166"/>
      <c r="I469" s="1004"/>
      <c r="J469" s="1004"/>
      <c r="K469" s="1004"/>
      <c r="L469" s="777">
        <v>5</v>
      </c>
      <c r="M469" s="778"/>
      <c r="N469" s="976"/>
      <c r="O469" s="1020">
        <v>412</v>
      </c>
      <c r="P469" s="847" t="e">
        <f>VLOOKUP(N469,etat!$A$9:$N$1004,2,FALSE)</f>
        <v>#N/A</v>
      </c>
      <c r="Q469" s="797" t="e">
        <f>VLOOKUP(N469,etat!$A$9:$N$963,7,FALSE)</f>
        <v>#N/A</v>
      </c>
      <c r="R469" s="797" t="e">
        <f>VLOOKUP(N469,etat!$A$9:$N$1003,9,FALSE)</f>
        <v>#N/A</v>
      </c>
      <c r="S469" s="866" t="e">
        <f>VLOOKUP(N469,etat!$A$9:$P$905,16,FALSE)</f>
        <v>#N/A</v>
      </c>
      <c r="T469" s="755"/>
      <c r="U469" s="791"/>
      <c r="V469" s="784"/>
      <c r="W469" s="784"/>
      <c r="X469" s="784"/>
      <c r="Y469" s="784"/>
      <c r="Z469" s="1022"/>
      <c r="AA469" s="967"/>
      <c r="AB469" s="1005"/>
      <c r="AC469" s="1005"/>
      <c r="AD469" s="1005"/>
      <c r="AE469" s="1005"/>
      <c r="AF469" s="1005"/>
      <c r="AG469" s="1004"/>
      <c r="AH469" s="1004"/>
      <c r="AI469" s="1004"/>
      <c r="AJ469" s="1004"/>
      <c r="AK469" s="1004"/>
      <c r="AL469" s="1004"/>
      <c r="AM469" s="1004"/>
      <c r="AN469" s="1004"/>
      <c r="AO469" s="1004"/>
      <c r="AP469" s="1004"/>
      <c r="AQ469" s="1004"/>
      <c r="AR469" s="1004"/>
      <c r="AS469" s="1004"/>
      <c r="AT469" s="1004"/>
      <c r="AU469" s="1004"/>
      <c r="AV469" s="1004"/>
      <c r="AW469" s="1004"/>
    </row>
    <row r="470" spans="1:49" s="25" customFormat="1" ht="15" customHeight="1">
      <c r="A470" s="1004"/>
      <c r="B470" s="1004"/>
      <c r="C470" s="1004"/>
      <c r="D470" s="166"/>
      <c r="E470" s="166"/>
      <c r="F470" s="166"/>
      <c r="G470" s="166"/>
      <c r="H470" s="166"/>
      <c r="I470" s="1004"/>
      <c r="J470" s="1004"/>
      <c r="K470" s="1004"/>
      <c r="L470" s="777">
        <v>5</v>
      </c>
      <c r="M470" s="778"/>
      <c r="N470" s="976"/>
      <c r="O470" s="1020">
        <v>413</v>
      </c>
      <c r="P470" s="847" t="e">
        <f>VLOOKUP(N470,etat!$A$9:$N$1004,2,FALSE)</f>
        <v>#N/A</v>
      </c>
      <c r="Q470" s="797" t="e">
        <f>VLOOKUP(N470,etat!$A$9:$N$963,7,FALSE)</f>
        <v>#N/A</v>
      </c>
      <c r="R470" s="797" t="e">
        <f>VLOOKUP(N470,etat!$A$9:$N$1003,9,FALSE)</f>
        <v>#N/A</v>
      </c>
      <c r="S470" s="866" t="e">
        <f>VLOOKUP(N470,etat!$A$9:$P$905,16,FALSE)</f>
        <v>#N/A</v>
      </c>
      <c r="T470" s="755"/>
      <c r="U470" s="791"/>
      <c r="V470" s="784"/>
      <c r="W470" s="784"/>
      <c r="X470" s="784"/>
      <c r="Y470" s="784"/>
      <c r="Z470" s="1022"/>
      <c r="AA470" s="967"/>
      <c r="AB470" s="1005"/>
      <c r="AC470" s="1005"/>
      <c r="AD470" s="1005"/>
      <c r="AE470" s="1005"/>
      <c r="AF470" s="1005"/>
      <c r="AG470" s="1004"/>
      <c r="AH470" s="1004"/>
      <c r="AI470" s="1004"/>
      <c r="AJ470" s="1004"/>
      <c r="AK470" s="1004"/>
      <c r="AL470" s="1004"/>
      <c r="AM470" s="1004"/>
      <c r="AN470" s="1004"/>
      <c r="AO470" s="1004"/>
      <c r="AP470" s="1004"/>
      <c r="AQ470" s="1004"/>
      <c r="AR470" s="1004"/>
      <c r="AS470" s="1004"/>
      <c r="AT470" s="1004"/>
      <c r="AU470" s="1004"/>
      <c r="AV470" s="1004"/>
      <c r="AW470" s="1004"/>
    </row>
    <row r="471" spans="1:49" s="25" customFormat="1" ht="15" customHeight="1">
      <c r="A471" s="1004"/>
      <c r="B471" s="1004"/>
      <c r="C471" s="1004"/>
      <c r="D471" s="166"/>
      <c r="E471" s="166"/>
      <c r="F471" s="166"/>
      <c r="G471" s="166"/>
      <c r="H471" s="166"/>
      <c r="I471" s="1004"/>
      <c r="J471" s="1004"/>
      <c r="K471" s="1004"/>
      <c r="L471" s="777">
        <v>5</v>
      </c>
      <c r="M471" s="778"/>
      <c r="N471" s="976"/>
      <c r="O471" s="1020">
        <v>414</v>
      </c>
      <c r="P471" s="847" t="e">
        <f>VLOOKUP(N471,etat!$A$9:$N$1004,2,FALSE)</f>
        <v>#N/A</v>
      </c>
      <c r="Q471" s="797" t="e">
        <f>VLOOKUP(N471,etat!$A$9:$N$963,7,FALSE)</f>
        <v>#N/A</v>
      </c>
      <c r="R471" s="797" t="e">
        <f>VLOOKUP(N471,etat!$A$9:$N$1003,9,FALSE)</f>
        <v>#N/A</v>
      </c>
      <c r="S471" s="866" t="e">
        <f>VLOOKUP(N471,etat!$A$9:$P$905,16,FALSE)</f>
        <v>#N/A</v>
      </c>
      <c r="T471" s="755"/>
      <c r="U471" s="791"/>
      <c r="V471" s="784"/>
      <c r="W471" s="943"/>
      <c r="X471" s="944"/>
      <c r="Y471" s="975"/>
      <c r="Z471" s="1022"/>
      <c r="AA471" s="967"/>
      <c r="AB471" s="1005"/>
      <c r="AC471" s="1005"/>
      <c r="AD471" s="1005"/>
      <c r="AE471" s="1005"/>
      <c r="AF471" s="1005"/>
      <c r="AG471" s="1004"/>
      <c r="AH471" s="1004"/>
      <c r="AI471" s="1004"/>
      <c r="AJ471" s="1004"/>
      <c r="AK471" s="1004"/>
      <c r="AL471" s="1004"/>
      <c r="AM471" s="1004"/>
      <c r="AN471" s="1004"/>
      <c r="AO471" s="1004"/>
      <c r="AP471" s="1004"/>
      <c r="AQ471" s="1004"/>
      <c r="AR471" s="1004"/>
      <c r="AS471" s="1004"/>
      <c r="AT471" s="1004"/>
      <c r="AU471" s="1004"/>
      <c r="AV471" s="1004"/>
      <c r="AW471" s="1004"/>
    </row>
    <row r="472" spans="1:49" s="25" customFormat="1" ht="15" customHeight="1">
      <c r="A472" s="1004"/>
      <c r="B472" s="1004"/>
      <c r="C472" s="1004"/>
      <c r="D472" s="166"/>
      <c r="E472" s="166"/>
      <c r="F472" s="166"/>
      <c r="G472" s="166"/>
      <c r="H472" s="166"/>
      <c r="I472" s="1004"/>
      <c r="J472" s="1004"/>
      <c r="K472" s="1004"/>
      <c r="L472" s="777">
        <v>5</v>
      </c>
      <c r="M472" s="778"/>
      <c r="N472" s="976"/>
      <c r="O472" s="1020">
        <v>415</v>
      </c>
      <c r="P472" s="847" t="e">
        <f>VLOOKUP(N472,etat!$A$9:$N$1004,2,FALSE)</f>
        <v>#N/A</v>
      </c>
      <c r="Q472" s="797" t="e">
        <f>VLOOKUP(N472,etat!$A$9:$N$963,7,FALSE)</f>
        <v>#N/A</v>
      </c>
      <c r="R472" s="797" t="e">
        <f>VLOOKUP(N472,etat!$A$9:$N$1003,9,FALSE)</f>
        <v>#N/A</v>
      </c>
      <c r="S472" s="866" t="e">
        <f>VLOOKUP(N472,etat!$A$9:$P$905,16,FALSE)</f>
        <v>#N/A</v>
      </c>
      <c r="T472" s="755"/>
      <c r="U472" s="791"/>
      <c r="V472" s="784"/>
      <c r="W472" s="943"/>
      <c r="X472" s="944"/>
      <c r="Y472" s="975"/>
      <c r="Z472" s="1022"/>
      <c r="AA472" s="967"/>
      <c r="AB472" s="1005"/>
      <c r="AC472" s="1005"/>
      <c r="AD472" s="1005"/>
      <c r="AE472" s="1005"/>
      <c r="AF472" s="1005"/>
      <c r="AG472" s="1004"/>
      <c r="AH472" s="1004"/>
      <c r="AI472" s="1004"/>
      <c r="AJ472" s="1004"/>
      <c r="AK472" s="1004"/>
      <c r="AL472" s="1004"/>
      <c r="AM472" s="1004"/>
      <c r="AN472" s="1004"/>
      <c r="AO472" s="1004"/>
      <c r="AP472" s="1004"/>
      <c r="AQ472" s="1004"/>
      <c r="AR472" s="1004"/>
      <c r="AS472" s="1004"/>
      <c r="AT472" s="1004"/>
      <c r="AU472" s="1004"/>
      <c r="AV472" s="1004"/>
      <c r="AW472" s="1004"/>
    </row>
    <row r="473" spans="1:49" s="25" customFormat="1" ht="15" customHeight="1">
      <c r="A473" s="1004"/>
      <c r="B473" s="1004"/>
      <c r="C473" s="1004"/>
      <c r="D473" s="166"/>
      <c r="E473" s="166"/>
      <c r="F473" s="166"/>
      <c r="G473" s="166"/>
      <c r="H473" s="166"/>
      <c r="I473" s="1004"/>
      <c r="J473" s="1004"/>
      <c r="K473" s="1004"/>
      <c r="L473" s="777">
        <v>5</v>
      </c>
      <c r="M473" s="778"/>
      <c r="N473" s="976"/>
      <c r="O473" s="1020">
        <v>416</v>
      </c>
      <c r="P473" s="847" t="e">
        <f>VLOOKUP(N473,etat!$A$9:$N$1004,2,FALSE)</f>
        <v>#N/A</v>
      </c>
      <c r="Q473" s="797" t="e">
        <f>VLOOKUP(N473,etat!$A$9:$N$963,7,FALSE)</f>
        <v>#N/A</v>
      </c>
      <c r="R473" s="797" t="e">
        <f>VLOOKUP(N473,etat!$A$9:$N$1003,9,FALSE)</f>
        <v>#N/A</v>
      </c>
      <c r="S473" s="866" t="e">
        <f>VLOOKUP(N473,etat!$A$9:$P$905,16,FALSE)</f>
        <v>#N/A</v>
      </c>
      <c r="T473" s="755"/>
      <c r="U473" s="791"/>
      <c r="V473" s="784"/>
      <c r="W473" s="784"/>
      <c r="X473" s="784"/>
      <c r="Y473" s="975"/>
      <c r="Z473" s="1022"/>
      <c r="AA473" s="967"/>
      <c r="AB473" s="1005"/>
      <c r="AC473" s="1005"/>
      <c r="AD473" s="1005"/>
      <c r="AE473" s="1005"/>
      <c r="AF473" s="1005"/>
      <c r="AG473" s="1004"/>
      <c r="AH473" s="1004"/>
      <c r="AI473" s="1004"/>
      <c r="AJ473" s="1004"/>
      <c r="AK473" s="1004"/>
      <c r="AL473" s="1004"/>
      <c r="AM473" s="1004"/>
      <c r="AN473" s="1004"/>
      <c r="AO473" s="1004"/>
      <c r="AP473" s="1004"/>
      <c r="AQ473" s="1004"/>
      <c r="AR473" s="1004"/>
      <c r="AS473" s="1004"/>
      <c r="AT473" s="1004"/>
      <c r="AU473" s="1004"/>
      <c r="AV473" s="1004"/>
      <c r="AW473" s="1004"/>
    </row>
    <row r="474" spans="1:49" s="25" customFormat="1" ht="15" customHeight="1">
      <c r="A474" s="1004"/>
      <c r="B474" s="1004"/>
      <c r="C474" s="1004"/>
      <c r="D474" s="166"/>
      <c r="E474" s="166"/>
      <c r="F474" s="166"/>
      <c r="G474" s="166"/>
      <c r="H474" s="166"/>
      <c r="I474" s="1004"/>
      <c r="J474" s="1004"/>
      <c r="K474" s="1004"/>
      <c r="L474" s="777">
        <v>5</v>
      </c>
      <c r="M474" s="778"/>
      <c r="N474" s="976"/>
      <c r="O474" s="1020">
        <v>417</v>
      </c>
      <c r="P474" s="847" t="e">
        <f>VLOOKUP(N474,etat!$A$9:$N$1004,2,FALSE)</f>
        <v>#N/A</v>
      </c>
      <c r="Q474" s="797" t="e">
        <f>VLOOKUP(N474,etat!$A$9:$N$963,7,FALSE)</f>
        <v>#N/A</v>
      </c>
      <c r="R474" s="797" t="e">
        <f>VLOOKUP(N474,etat!$A$9:$N$1003,9,FALSE)</f>
        <v>#N/A</v>
      </c>
      <c r="S474" s="866" t="e">
        <f>VLOOKUP(N474,etat!$A$9:$P$905,16,FALSE)</f>
        <v>#N/A</v>
      </c>
      <c r="T474" s="755"/>
      <c r="U474" s="791"/>
      <c r="V474" s="784"/>
      <c r="W474" s="784"/>
      <c r="X474" s="784"/>
      <c r="Y474" s="975"/>
      <c r="Z474" s="1022"/>
      <c r="AA474" s="967"/>
      <c r="AB474" s="1005"/>
      <c r="AC474" s="1005"/>
      <c r="AD474" s="1005"/>
      <c r="AE474" s="1005"/>
      <c r="AF474" s="1005"/>
      <c r="AG474" s="1004"/>
      <c r="AH474" s="1004"/>
      <c r="AI474" s="1004"/>
      <c r="AJ474" s="1004"/>
      <c r="AK474" s="1004"/>
      <c r="AL474" s="1004"/>
      <c r="AM474" s="1004"/>
      <c r="AN474" s="1004"/>
      <c r="AO474" s="1004"/>
      <c r="AP474" s="1004"/>
      <c r="AQ474" s="1004"/>
      <c r="AR474" s="1004"/>
      <c r="AS474" s="1004"/>
      <c r="AT474" s="1004"/>
      <c r="AU474" s="1004"/>
      <c r="AV474" s="1004"/>
      <c r="AW474" s="1004"/>
    </row>
    <row r="475" spans="1:49" s="25" customFormat="1" ht="15" customHeight="1">
      <c r="A475" s="1004"/>
      <c r="B475" s="1004"/>
      <c r="C475" s="1004"/>
      <c r="D475" s="166"/>
      <c r="E475" s="166"/>
      <c r="F475" s="166"/>
      <c r="G475" s="166"/>
      <c r="H475" s="166"/>
      <c r="I475" s="1004"/>
      <c r="J475" s="1004"/>
      <c r="K475" s="1004"/>
      <c r="L475" s="777">
        <v>5</v>
      </c>
      <c r="M475" s="778"/>
      <c r="N475" s="976"/>
      <c r="O475" s="1020">
        <v>418</v>
      </c>
      <c r="P475" s="847" t="e">
        <f>VLOOKUP(N475,etat!$A$9:$N$1004,2,FALSE)</f>
        <v>#N/A</v>
      </c>
      <c r="Q475" s="797" t="e">
        <f>VLOOKUP(N475,etat!$A$9:$N$963,7,FALSE)</f>
        <v>#N/A</v>
      </c>
      <c r="R475" s="797" t="e">
        <f>VLOOKUP(N475,etat!$A$9:$N$1003,9,FALSE)</f>
        <v>#N/A</v>
      </c>
      <c r="S475" s="866" t="e">
        <f>VLOOKUP(N475,etat!$A$9:$P$905,16,FALSE)</f>
        <v>#N/A</v>
      </c>
      <c r="T475" s="755"/>
      <c r="U475" s="791"/>
      <c r="V475" s="784"/>
      <c r="W475" s="784"/>
      <c r="X475" s="784"/>
      <c r="Y475" s="975"/>
      <c r="Z475" s="1022"/>
      <c r="AA475" s="967"/>
      <c r="AB475" s="1005"/>
      <c r="AC475" s="1005"/>
      <c r="AD475" s="1005"/>
      <c r="AE475" s="1005"/>
      <c r="AF475" s="1005"/>
      <c r="AG475" s="1004"/>
      <c r="AH475" s="1004"/>
      <c r="AI475" s="1004"/>
      <c r="AJ475" s="1004"/>
      <c r="AK475" s="1004"/>
      <c r="AL475" s="1004"/>
      <c r="AM475" s="1004"/>
      <c r="AN475" s="1004"/>
      <c r="AO475" s="1004"/>
      <c r="AP475" s="1004"/>
      <c r="AQ475" s="1004"/>
      <c r="AR475" s="1004"/>
      <c r="AS475" s="1004"/>
      <c r="AT475" s="1004"/>
      <c r="AU475" s="1004"/>
      <c r="AV475" s="1004"/>
      <c r="AW475" s="1004"/>
    </row>
    <row r="476" spans="1:49" s="25" customFormat="1" ht="15" customHeight="1">
      <c r="A476" s="1004"/>
      <c r="B476" s="1004"/>
      <c r="C476" s="1004"/>
      <c r="D476" s="166"/>
      <c r="E476" s="166"/>
      <c r="F476" s="166"/>
      <c r="G476" s="166"/>
      <c r="H476" s="166"/>
      <c r="I476" s="1004"/>
      <c r="J476" s="1004"/>
      <c r="K476" s="1004"/>
      <c r="L476" s="777">
        <v>5</v>
      </c>
      <c r="M476" s="778"/>
      <c r="N476" s="976"/>
      <c r="O476" s="1020">
        <v>419</v>
      </c>
      <c r="P476" s="847" t="e">
        <f>VLOOKUP(N476,etat!$A$9:$N$1004,2,FALSE)</f>
        <v>#N/A</v>
      </c>
      <c r="Q476" s="797" t="e">
        <f>VLOOKUP(N476,etat!$A$9:$N$963,7,FALSE)</f>
        <v>#N/A</v>
      </c>
      <c r="R476" s="797" t="e">
        <f>VLOOKUP(N476,etat!$A$9:$N$1003,9,FALSE)</f>
        <v>#N/A</v>
      </c>
      <c r="S476" s="866" t="e">
        <f>VLOOKUP(N476,etat!$A$9:$P$905,16,FALSE)</f>
        <v>#N/A</v>
      </c>
      <c r="T476" s="755"/>
      <c r="U476" s="791"/>
      <c r="V476" s="784"/>
      <c r="W476" s="784"/>
      <c r="X476" s="784"/>
      <c r="Y476" s="975"/>
      <c r="Z476" s="1022"/>
      <c r="AA476" s="967"/>
      <c r="AB476" s="1005"/>
      <c r="AC476" s="1005"/>
      <c r="AD476" s="1005"/>
      <c r="AE476" s="1005"/>
      <c r="AF476" s="1005"/>
      <c r="AG476" s="1004"/>
      <c r="AH476" s="1004"/>
      <c r="AI476" s="1004"/>
      <c r="AJ476" s="1004"/>
      <c r="AK476" s="1004"/>
      <c r="AL476" s="1004"/>
      <c r="AM476" s="1004"/>
      <c r="AN476" s="1004"/>
      <c r="AO476" s="1004"/>
      <c r="AP476" s="1004"/>
      <c r="AQ476" s="1004"/>
      <c r="AR476" s="1004"/>
      <c r="AS476" s="1004"/>
      <c r="AT476" s="1004"/>
      <c r="AU476" s="1004"/>
      <c r="AV476" s="1004"/>
      <c r="AW476" s="1004"/>
    </row>
    <row r="477" spans="1:49" s="25" customFormat="1" ht="15" customHeight="1">
      <c r="A477" s="1004"/>
      <c r="B477" s="1004"/>
      <c r="C477" s="1004"/>
      <c r="D477" s="166"/>
      <c r="E477" s="166"/>
      <c r="F477" s="166"/>
      <c r="G477" s="166"/>
      <c r="H477" s="166"/>
      <c r="I477" s="1004"/>
      <c r="J477" s="1004"/>
      <c r="K477" s="1004"/>
      <c r="L477" s="777">
        <v>5</v>
      </c>
      <c r="M477" s="778"/>
      <c r="N477" s="976"/>
      <c r="O477" s="1020">
        <v>420</v>
      </c>
      <c r="P477" s="847" t="e">
        <f>VLOOKUP(N477,etat!$A$9:$N$1004,2,FALSE)</f>
        <v>#N/A</v>
      </c>
      <c r="Q477" s="797" t="e">
        <f>VLOOKUP(N477,etat!$A$9:$N$963,7,FALSE)</f>
        <v>#N/A</v>
      </c>
      <c r="R477" s="797" t="e">
        <f>VLOOKUP(N477,etat!$A$9:$N$1003,9,FALSE)</f>
        <v>#N/A</v>
      </c>
      <c r="S477" s="866" t="e">
        <f>VLOOKUP(N477,etat!$A$9:$P$905,16,FALSE)</f>
        <v>#N/A</v>
      </c>
      <c r="T477" s="755"/>
      <c r="U477" s="791"/>
      <c r="V477" s="784"/>
      <c r="W477" s="784"/>
      <c r="X477" s="784"/>
      <c r="Y477" s="975"/>
      <c r="Z477" s="1022"/>
      <c r="AA477" s="967"/>
      <c r="AB477" s="1005"/>
      <c r="AC477" s="1005"/>
      <c r="AD477" s="1005"/>
      <c r="AE477" s="1005"/>
      <c r="AF477" s="1005"/>
      <c r="AG477" s="1004"/>
      <c r="AH477" s="1004"/>
      <c r="AI477" s="1004"/>
      <c r="AJ477" s="1004"/>
      <c r="AK477" s="1004"/>
      <c r="AL477" s="1004"/>
      <c r="AM477" s="1004"/>
      <c r="AN477" s="1004"/>
      <c r="AO477" s="1004"/>
      <c r="AP477" s="1004"/>
      <c r="AQ477" s="1004"/>
      <c r="AR477" s="1004"/>
      <c r="AS477" s="1004"/>
      <c r="AT477" s="1004"/>
      <c r="AU477" s="1004"/>
      <c r="AV477" s="1004"/>
      <c r="AW477" s="1004"/>
    </row>
    <row r="478" spans="1:49" s="25" customFormat="1" ht="15" customHeight="1">
      <c r="A478" s="1004"/>
      <c r="B478" s="1004"/>
      <c r="C478" s="1004"/>
      <c r="D478" s="166"/>
      <c r="E478" s="166"/>
      <c r="F478" s="166"/>
      <c r="G478" s="166"/>
      <c r="H478" s="166"/>
      <c r="I478" s="1004"/>
      <c r="J478" s="1004"/>
      <c r="K478" s="1004"/>
      <c r="L478" s="777">
        <v>5</v>
      </c>
      <c r="M478" s="778"/>
      <c r="N478" s="976"/>
      <c r="O478" s="1020">
        <v>421</v>
      </c>
      <c r="P478" s="847" t="e">
        <f>VLOOKUP(N478,etat!$A$9:$N$1004,2,FALSE)</f>
        <v>#N/A</v>
      </c>
      <c r="Q478" s="797" t="e">
        <f>VLOOKUP(N478,etat!$A$9:$N$963,7,FALSE)</f>
        <v>#N/A</v>
      </c>
      <c r="R478" s="797" t="e">
        <f>VLOOKUP(N478,etat!$A$9:$N$1003,9,FALSE)</f>
        <v>#N/A</v>
      </c>
      <c r="S478" s="866" t="e">
        <f>VLOOKUP(N478,etat!$A$9:$P$905,16,FALSE)</f>
        <v>#N/A</v>
      </c>
      <c r="T478" s="755"/>
      <c r="U478" s="791"/>
      <c r="V478" s="784"/>
      <c r="W478" s="784"/>
      <c r="X478" s="784"/>
      <c r="Y478" s="975"/>
      <c r="Z478" s="1022"/>
      <c r="AA478" s="967"/>
      <c r="AB478" s="1005"/>
      <c r="AC478" s="1005"/>
      <c r="AD478" s="1005"/>
      <c r="AE478" s="1005"/>
      <c r="AF478" s="1005"/>
      <c r="AG478" s="1004"/>
      <c r="AH478" s="1004"/>
      <c r="AI478" s="1004"/>
      <c r="AJ478" s="1004"/>
      <c r="AK478" s="1004"/>
      <c r="AL478" s="1004"/>
      <c r="AM478" s="1004"/>
      <c r="AN478" s="1004"/>
      <c r="AO478" s="1004"/>
      <c r="AP478" s="1004"/>
      <c r="AQ478" s="1004"/>
      <c r="AR478" s="1004"/>
      <c r="AS478" s="1004"/>
      <c r="AT478" s="1004"/>
      <c r="AU478" s="1004"/>
      <c r="AV478" s="1004"/>
      <c r="AW478" s="1004"/>
    </row>
    <row r="479" spans="1:49" s="25" customFormat="1" ht="15" customHeight="1">
      <c r="A479" s="1004"/>
      <c r="B479" s="1004"/>
      <c r="C479" s="1004"/>
      <c r="D479" s="166"/>
      <c r="E479" s="166"/>
      <c r="F479" s="166"/>
      <c r="G479" s="166"/>
      <c r="H479" s="166"/>
      <c r="I479" s="1004"/>
      <c r="J479" s="1004"/>
      <c r="K479" s="1004"/>
      <c r="L479" s="777">
        <v>5</v>
      </c>
      <c r="M479" s="778"/>
      <c r="N479" s="976"/>
      <c r="O479" s="1020">
        <v>422</v>
      </c>
      <c r="P479" s="847" t="e">
        <f>VLOOKUP(N479,etat!$A$9:$N$1004,2,FALSE)</f>
        <v>#N/A</v>
      </c>
      <c r="Q479" s="797" t="e">
        <f>VLOOKUP(N479,etat!$A$9:$N$963,7,FALSE)</f>
        <v>#N/A</v>
      </c>
      <c r="R479" s="797" t="e">
        <f>VLOOKUP(N479,etat!$A$9:$N$1003,9,FALSE)</f>
        <v>#N/A</v>
      </c>
      <c r="S479" s="866" t="e">
        <f>VLOOKUP(N479,etat!$A$9:$P$905,16,FALSE)</f>
        <v>#N/A</v>
      </c>
      <c r="T479" s="755"/>
      <c r="U479" s="791"/>
      <c r="V479" s="784"/>
      <c r="W479" s="784"/>
      <c r="X479" s="784"/>
      <c r="Y479" s="784"/>
      <c r="Z479" s="784"/>
      <c r="AA479" s="967"/>
      <c r="AB479" s="1005"/>
      <c r="AC479" s="1005"/>
      <c r="AD479" s="1005"/>
      <c r="AE479" s="1005"/>
      <c r="AF479" s="1005"/>
      <c r="AG479" s="1004"/>
      <c r="AH479" s="1004"/>
      <c r="AI479" s="1004"/>
      <c r="AJ479" s="1004"/>
      <c r="AK479" s="1004"/>
      <c r="AL479" s="1004"/>
      <c r="AM479" s="1004"/>
      <c r="AN479" s="1004"/>
      <c r="AO479" s="1004"/>
      <c r="AP479" s="1004"/>
      <c r="AQ479" s="1004"/>
      <c r="AR479" s="1004"/>
      <c r="AS479" s="1004"/>
      <c r="AT479" s="1004"/>
      <c r="AU479" s="1004"/>
      <c r="AV479" s="1004"/>
      <c r="AW479" s="1004"/>
    </row>
    <row r="480" spans="1:49" s="25" customFormat="1" ht="15" customHeight="1">
      <c r="A480" s="1004"/>
      <c r="B480" s="1004"/>
      <c r="C480" s="1004"/>
      <c r="D480" s="166"/>
      <c r="E480" s="166"/>
      <c r="F480" s="166"/>
      <c r="G480" s="166"/>
      <c r="H480" s="166"/>
      <c r="I480" s="1004"/>
      <c r="J480" s="1004"/>
      <c r="K480" s="1004"/>
      <c r="L480" s="777">
        <v>5</v>
      </c>
      <c r="M480" s="778"/>
      <c r="N480" s="976"/>
      <c r="O480" s="1020">
        <v>423</v>
      </c>
      <c r="P480" s="847" t="e">
        <f>VLOOKUP(N480,etat!$A$9:$N$1004,2,FALSE)</f>
        <v>#N/A</v>
      </c>
      <c r="Q480" s="797" t="e">
        <f>VLOOKUP(N480,etat!$A$9:$N$963,7,FALSE)</f>
        <v>#N/A</v>
      </c>
      <c r="R480" s="797" t="e">
        <f>VLOOKUP(N480,etat!$A$9:$N$1003,9,FALSE)</f>
        <v>#N/A</v>
      </c>
      <c r="S480" s="866" t="e">
        <f>VLOOKUP(N480,etat!$A$9:$P$905,16,FALSE)</f>
        <v>#N/A</v>
      </c>
      <c r="T480" s="755"/>
      <c r="U480" s="791"/>
      <c r="V480" s="784"/>
      <c r="W480" s="784"/>
      <c r="X480" s="784"/>
      <c r="Y480" s="975"/>
      <c r="Z480" s="1022"/>
      <c r="AA480" s="967"/>
      <c r="AB480" s="1005"/>
      <c r="AC480" s="1005"/>
      <c r="AD480" s="1005"/>
      <c r="AE480" s="1005"/>
      <c r="AF480" s="1005"/>
      <c r="AG480" s="1004"/>
      <c r="AH480" s="1004"/>
      <c r="AI480" s="1004"/>
      <c r="AJ480" s="1004"/>
      <c r="AK480" s="1004"/>
      <c r="AL480" s="1004"/>
      <c r="AM480" s="1004"/>
      <c r="AN480" s="1004"/>
      <c r="AO480" s="1004"/>
      <c r="AP480" s="1004"/>
      <c r="AQ480" s="1004"/>
      <c r="AR480" s="1004"/>
      <c r="AS480" s="1004"/>
      <c r="AT480" s="1004"/>
      <c r="AU480" s="1004"/>
      <c r="AV480" s="1004"/>
      <c r="AW480" s="1004"/>
    </row>
    <row r="481" spans="1:49" s="25" customFormat="1" ht="15" customHeight="1">
      <c r="A481" s="1004"/>
      <c r="B481" s="1004"/>
      <c r="C481" s="1004"/>
      <c r="D481" s="166"/>
      <c r="E481" s="166"/>
      <c r="F481" s="166"/>
      <c r="G481" s="166"/>
      <c r="H481" s="166"/>
      <c r="I481" s="1004"/>
      <c r="J481" s="1004"/>
      <c r="K481" s="1004"/>
      <c r="L481" s="777">
        <v>5</v>
      </c>
      <c r="M481" s="778"/>
      <c r="N481" s="976"/>
      <c r="O481" s="1020">
        <v>424</v>
      </c>
      <c r="P481" s="847" t="e">
        <f>VLOOKUP(N481,etat!$A$9:$N$1004,2,FALSE)</f>
        <v>#N/A</v>
      </c>
      <c r="Q481" s="797" t="e">
        <f>VLOOKUP(N481,etat!$A$9:$N$963,7,FALSE)</f>
        <v>#N/A</v>
      </c>
      <c r="R481" s="797" t="e">
        <f>VLOOKUP(N481,etat!$A$9:$N$1003,9,FALSE)</f>
        <v>#N/A</v>
      </c>
      <c r="S481" s="866" t="e">
        <f>VLOOKUP(N481,etat!$A$9:$P$905,16,FALSE)</f>
        <v>#N/A</v>
      </c>
      <c r="T481" s="755"/>
      <c r="U481" s="791"/>
      <c r="V481" s="784"/>
      <c r="W481" s="784"/>
      <c r="X481" s="784"/>
      <c r="Y481" s="975"/>
      <c r="Z481" s="784"/>
      <c r="AA481" s="967"/>
      <c r="AB481" s="1005"/>
      <c r="AC481" s="1005"/>
      <c r="AD481" s="1005"/>
      <c r="AE481" s="1005"/>
      <c r="AF481" s="1005"/>
      <c r="AG481" s="1004"/>
      <c r="AH481" s="1004"/>
      <c r="AI481" s="1004"/>
      <c r="AJ481" s="1004"/>
      <c r="AK481" s="1004"/>
      <c r="AL481" s="1004"/>
      <c r="AM481" s="1004"/>
      <c r="AN481" s="1004"/>
      <c r="AO481" s="1004"/>
      <c r="AP481" s="1004"/>
      <c r="AQ481" s="1004"/>
      <c r="AR481" s="1004"/>
      <c r="AS481" s="1004"/>
      <c r="AT481" s="1004"/>
      <c r="AU481" s="1004"/>
      <c r="AV481" s="1004"/>
      <c r="AW481" s="1004"/>
    </row>
    <row r="482" spans="1:49" s="25" customFormat="1" ht="15" customHeight="1">
      <c r="A482" s="1004"/>
      <c r="B482" s="1004"/>
      <c r="C482" s="1004"/>
      <c r="D482" s="166"/>
      <c r="E482" s="166"/>
      <c r="F482" s="166"/>
      <c r="G482" s="166"/>
      <c r="H482" s="166"/>
      <c r="I482" s="1004"/>
      <c r="J482" s="1004"/>
      <c r="K482" s="1004"/>
      <c r="L482" s="777">
        <v>5</v>
      </c>
      <c r="M482" s="778"/>
      <c r="N482" s="976"/>
      <c r="O482" s="1020">
        <v>425</v>
      </c>
      <c r="P482" s="847" t="e">
        <f>VLOOKUP(N482,etat!$A$9:$N$1004,2,FALSE)</f>
        <v>#N/A</v>
      </c>
      <c r="Q482" s="797" t="e">
        <f>VLOOKUP(N482,etat!$A$9:$N$963,7,FALSE)</f>
        <v>#N/A</v>
      </c>
      <c r="R482" s="797" t="e">
        <f>VLOOKUP(N482,etat!$A$9:$N$1003,9,FALSE)</f>
        <v>#N/A</v>
      </c>
      <c r="S482" s="866" t="e">
        <f>VLOOKUP(N482,etat!$A$9:$P$905,16,FALSE)</f>
        <v>#N/A</v>
      </c>
      <c r="T482" s="755"/>
      <c r="U482" s="791"/>
      <c r="V482" s="784"/>
      <c r="W482" s="784"/>
      <c r="X482" s="784"/>
      <c r="Y482" s="784"/>
      <c r="Z482" s="784"/>
      <c r="AA482" s="967"/>
      <c r="AB482" s="1005"/>
      <c r="AC482" s="1005"/>
      <c r="AD482" s="1005"/>
      <c r="AE482" s="1005"/>
      <c r="AF482" s="1005"/>
      <c r="AG482" s="1004"/>
      <c r="AH482" s="1004"/>
      <c r="AI482" s="1004"/>
      <c r="AJ482" s="1004"/>
      <c r="AK482" s="1004"/>
      <c r="AL482" s="1004"/>
      <c r="AM482" s="1004"/>
      <c r="AN482" s="1004"/>
      <c r="AO482" s="1004"/>
      <c r="AP482" s="1004"/>
      <c r="AQ482" s="1004"/>
      <c r="AR482" s="1004"/>
      <c r="AS482" s="1004"/>
      <c r="AT482" s="1004"/>
      <c r="AU482" s="1004"/>
      <c r="AV482" s="1004"/>
      <c r="AW482" s="1004"/>
    </row>
    <row r="483" spans="1:49" s="25" customFormat="1" ht="15" customHeight="1">
      <c r="A483" s="1004"/>
      <c r="B483" s="1004"/>
      <c r="C483" s="1004"/>
      <c r="D483" s="166"/>
      <c r="E483" s="166"/>
      <c r="F483" s="166"/>
      <c r="G483" s="166"/>
      <c r="H483" s="166"/>
      <c r="I483" s="1004"/>
      <c r="J483" s="1004"/>
      <c r="K483" s="1004"/>
      <c r="L483" s="777">
        <v>5</v>
      </c>
      <c r="M483" s="778"/>
      <c r="N483" s="976"/>
      <c r="O483" s="1020">
        <v>426</v>
      </c>
      <c r="P483" s="847" t="e">
        <f>VLOOKUP(N483,etat!$A$9:$N$1004,2,FALSE)</f>
        <v>#N/A</v>
      </c>
      <c r="Q483" s="797" t="e">
        <f>VLOOKUP(N483,etat!$A$9:$N$963,7,FALSE)</f>
        <v>#N/A</v>
      </c>
      <c r="R483" s="797" t="e">
        <f>VLOOKUP(N483,etat!$A$9:$N$1003,9,FALSE)</f>
        <v>#N/A</v>
      </c>
      <c r="S483" s="866" t="e">
        <f>VLOOKUP(N483,etat!$A$9:$P$905,16,FALSE)</f>
        <v>#N/A</v>
      </c>
      <c r="T483" s="755"/>
      <c r="U483" s="791"/>
      <c r="V483" s="784"/>
      <c r="W483" s="784"/>
      <c r="X483" s="784"/>
      <c r="Y483" s="975"/>
      <c r="Z483" s="1022"/>
      <c r="AA483" s="967"/>
      <c r="AB483" s="1005"/>
      <c r="AC483" s="1005"/>
      <c r="AD483" s="1005"/>
      <c r="AE483" s="1005"/>
      <c r="AF483" s="1005"/>
      <c r="AG483" s="1004"/>
      <c r="AH483" s="1004"/>
      <c r="AI483" s="1004"/>
      <c r="AJ483" s="1004"/>
      <c r="AK483" s="1004"/>
      <c r="AL483" s="1004"/>
      <c r="AM483" s="1004"/>
      <c r="AN483" s="1004"/>
      <c r="AO483" s="1004"/>
      <c r="AP483" s="1004"/>
      <c r="AQ483" s="1004"/>
      <c r="AR483" s="1004"/>
      <c r="AS483" s="1004"/>
      <c r="AT483" s="1004"/>
      <c r="AU483" s="1004"/>
      <c r="AV483" s="1004"/>
      <c r="AW483" s="1004"/>
    </row>
    <row r="484" spans="1:49" s="25" customFormat="1" ht="15" customHeight="1">
      <c r="A484" s="1004"/>
      <c r="B484" s="1004"/>
      <c r="C484" s="1004"/>
      <c r="D484" s="166"/>
      <c r="E484" s="166"/>
      <c r="F484" s="166"/>
      <c r="G484" s="166"/>
      <c r="H484" s="166"/>
      <c r="I484" s="1004"/>
      <c r="J484" s="1004"/>
      <c r="K484" s="1004"/>
      <c r="L484" s="777">
        <v>5</v>
      </c>
      <c r="M484" s="778"/>
      <c r="N484" s="976"/>
      <c r="O484" s="1020">
        <v>427</v>
      </c>
      <c r="P484" s="847" t="e">
        <f>VLOOKUP(N484,etat!$A$9:$N$1004,2,FALSE)</f>
        <v>#N/A</v>
      </c>
      <c r="Q484" s="797" t="e">
        <f>VLOOKUP(N484,etat!$A$9:$N$963,7,FALSE)</f>
        <v>#N/A</v>
      </c>
      <c r="R484" s="797" t="e">
        <f>VLOOKUP(N484,etat!$A$9:$N$1003,9,FALSE)</f>
        <v>#N/A</v>
      </c>
      <c r="S484" s="866" t="e">
        <f>VLOOKUP(N484,etat!$A$9:$P$905,16,FALSE)</f>
        <v>#N/A</v>
      </c>
      <c r="T484" s="755"/>
      <c r="U484" s="791"/>
      <c r="V484" s="784"/>
      <c r="W484" s="784"/>
      <c r="X484" s="784"/>
      <c r="Y484" s="975"/>
      <c r="Z484" s="1022"/>
      <c r="AA484" s="967"/>
      <c r="AB484" s="1005"/>
      <c r="AC484" s="1005"/>
      <c r="AD484" s="1005"/>
      <c r="AE484" s="1005"/>
      <c r="AF484" s="1005"/>
      <c r="AG484" s="1004"/>
      <c r="AH484" s="1004"/>
      <c r="AI484" s="1004"/>
      <c r="AJ484" s="1004"/>
      <c r="AK484" s="1004"/>
      <c r="AL484" s="1004"/>
      <c r="AM484" s="1004"/>
      <c r="AN484" s="1004"/>
      <c r="AO484" s="1004"/>
      <c r="AP484" s="1004"/>
      <c r="AQ484" s="1004"/>
      <c r="AR484" s="1004"/>
      <c r="AS484" s="1004"/>
      <c r="AT484" s="1004"/>
      <c r="AU484" s="1004"/>
      <c r="AV484" s="1004"/>
      <c r="AW484" s="1004"/>
    </row>
    <row r="485" spans="1:49" s="25" customFormat="1" ht="15" customHeight="1">
      <c r="A485" s="1004"/>
      <c r="B485" s="1004"/>
      <c r="C485" s="1004"/>
      <c r="D485" s="166"/>
      <c r="E485" s="166"/>
      <c r="F485" s="166"/>
      <c r="G485" s="166"/>
      <c r="H485" s="166"/>
      <c r="I485" s="1004"/>
      <c r="J485" s="1004"/>
      <c r="K485" s="1004"/>
      <c r="L485" s="777">
        <v>5</v>
      </c>
      <c r="M485" s="778"/>
      <c r="N485" s="976"/>
      <c r="O485" s="1020">
        <v>428</v>
      </c>
      <c r="P485" s="847" t="e">
        <f>VLOOKUP(N485,etat!$A$9:$N$1004,2,FALSE)</f>
        <v>#N/A</v>
      </c>
      <c r="Q485" s="797" t="e">
        <f>VLOOKUP(N485,etat!$A$9:$N$963,7,FALSE)</f>
        <v>#N/A</v>
      </c>
      <c r="R485" s="797" t="e">
        <f>VLOOKUP(N485,etat!$A$9:$N$1003,9,FALSE)</f>
        <v>#N/A</v>
      </c>
      <c r="S485" s="866" t="e">
        <f>VLOOKUP(N485,etat!$A$9:$P$905,16,FALSE)</f>
        <v>#N/A</v>
      </c>
      <c r="T485" s="755"/>
      <c r="U485" s="791"/>
      <c r="V485" s="784"/>
      <c r="W485" s="784"/>
      <c r="X485" s="784"/>
      <c r="Y485" s="975"/>
      <c r="Z485" s="1022"/>
      <c r="AA485" s="967"/>
      <c r="AB485" s="1005"/>
      <c r="AC485" s="1005"/>
      <c r="AD485" s="1005"/>
      <c r="AE485" s="1005"/>
      <c r="AF485" s="1005"/>
      <c r="AG485" s="1004"/>
      <c r="AH485" s="1004"/>
      <c r="AI485" s="1004"/>
      <c r="AJ485" s="1004"/>
      <c r="AK485" s="1004"/>
      <c r="AL485" s="1004"/>
      <c r="AM485" s="1004"/>
      <c r="AN485" s="1004"/>
      <c r="AO485" s="1004"/>
      <c r="AP485" s="1004"/>
      <c r="AQ485" s="1004"/>
      <c r="AR485" s="1004"/>
      <c r="AS485" s="1004"/>
      <c r="AT485" s="1004"/>
      <c r="AU485" s="1004"/>
      <c r="AV485" s="1004"/>
      <c r="AW485" s="1004"/>
    </row>
    <row r="486" spans="1:49" s="25" customFormat="1" ht="15" customHeight="1">
      <c r="A486" s="1004"/>
      <c r="B486" s="1004"/>
      <c r="C486" s="1004"/>
      <c r="D486" s="166"/>
      <c r="E486" s="166"/>
      <c r="F486" s="166"/>
      <c r="G486" s="166"/>
      <c r="H486" s="166"/>
      <c r="I486" s="1004"/>
      <c r="J486" s="1004"/>
      <c r="K486" s="1004"/>
      <c r="L486" s="777">
        <v>5</v>
      </c>
      <c r="M486" s="778"/>
      <c r="N486" s="976"/>
      <c r="O486" s="1020">
        <v>429</v>
      </c>
      <c r="P486" s="847" t="e">
        <f>VLOOKUP(N486,etat!$A$9:$N$1004,2,FALSE)</f>
        <v>#N/A</v>
      </c>
      <c r="Q486" s="797" t="e">
        <f>VLOOKUP(N486,etat!$A$9:$N$963,7,FALSE)</f>
        <v>#N/A</v>
      </c>
      <c r="R486" s="797" t="e">
        <f>VLOOKUP(N486,etat!$A$9:$N$1003,9,FALSE)</f>
        <v>#N/A</v>
      </c>
      <c r="S486" s="866" t="e">
        <f>VLOOKUP(N486,etat!$A$9:$P$905,16,FALSE)</f>
        <v>#N/A</v>
      </c>
      <c r="T486" s="755"/>
      <c r="U486" s="791"/>
      <c r="V486" s="784"/>
      <c r="W486" s="784"/>
      <c r="X486" s="784"/>
      <c r="Y486" s="975"/>
      <c r="Z486" s="1022"/>
      <c r="AA486" s="967"/>
      <c r="AB486" s="1005"/>
      <c r="AC486" s="1005"/>
      <c r="AD486" s="1005"/>
      <c r="AE486" s="1005"/>
      <c r="AF486" s="1005"/>
      <c r="AG486" s="1004"/>
      <c r="AH486" s="1004"/>
      <c r="AI486" s="1004"/>
      <c r="AJ486" s="1004"/>
      <c r="AK486" s="1004"/>
      <c r="AL486" s="1004"/>
      <c r="AM486" s="1004"/>
      <c r="AN486" s="1004"/>
      <c r="AO486" s="1004"/>
      <c r="AP486" s="1004"/>
      <c r="AQ486" s="1004"/>
      <c r="AR486" s="1004"/>
      <c r="AS486" s="1004"/>
      <c r="AT486" s="1004"/>
      <c r="AU486" s="1004"/>
      <c r="AV486" s="1004"/>
      <c r="AW486" s="1004"/>
    </row>
    <row r="487" spans="1:49" s="25" customFormat="1" ht="15" customHeight="1">
      <c r="A487" s="1004"/>
      <c r="B487" s="1004"/>
      <c r="C487" s="1004"/>
      <c r="D487" s="166"/>
      <c r="E487" s="166"/>
      <c r="F487" s="166"/>
      <c r="G487" s="166"/>
      <c r="H487" s="166"/>
      <c r="I487" s="1004"/>
      <c r="J487" s="1004"/>
      <c r="K487" s="1004"/>
      <c r="L487" s="777">
        <v>5</v>
      </c>
      <c r="M487" s="778"/>
      <c r="N487" s="976"/>
      <c r="O487" s="1020">
        <v>430</v>
      </c>
      <c r="P487" s="847" t="e">
        <f>VLOOKUP(N487,etat!$A$9:$N$1004,2,FALSE)</f>
        <v>#N/A</v>
      </c>
      <c r="Q487" s="797" t="e">
        <f>VLOOKUP(N487,etat!$A$9:$N$963,7,FALSE)</f>
        <v>#N/A</v>
      </c>
      <c r="R487" s="797" t="e">
        <f>VLOOKUP(N487,etat!$A$9:$N$1003,9,FALSE)</f>
        <v>#N/A</v>
      </c>
      <c r="S487" s="866" t="e">
        <f>VLOOKUP(N487,etat!$A$9:$P$905,16,FALSE)</f>
        <v>#N/A</v>
      </c>
      <c r="T487" s="755"/>
      <c r="U487" s="791"/>
      <c r="V487" s="784"/>
      <c r="W487" s="784"/>
      <c r="X487" s="784"/>
      <c r="Y487" s="975"/>
      <c r="Z487" s="1022"/>
      <c r="AA487" s="967"/>
      <c r="AB487" s="1005"/>
      <c r="AC487" s="1005"/>
      <c r="AD487" s="1005"/>
      <c r="AE487" s="1005"/>
      <c r="AF487" s="1005"/>
      <c r="AG487" s="1004"/>
      <c r="AH487" s="1004"/>
      <c r="AI487" s="1004"/>
      <c r="AJ487" s="1004"/>
      <c r="AK487" s="1004"/>
      <c r="AL487" s="1004"/>
      <c r="AM487" s="1004"/>
      <c r="AN487" s="1004"/>
      <c r="AO487" s="1004"/>
      <c r="AP487" s="1004"/>
      <c r="AQ487" s="1004"/>
      <c r="AR487" s="1004"/>
      <c r="AS487" s="1004"/>
      <c r="AT487" s="1004"/>
      <c r="AU487" s="1004"/>
      <c r="AV487" s="1004"/>
      <c r="AW487" s="1004"/>
    </row>
    <row r="488" spans="1:49" s="25" customFormat="1" ht="15" customHeight="1">
      <c r="A488" s="1004"/>
      <c r="B488" s="1004"/>
      <c r="C488" s="1004"/>
      <c r="D488" s="166"/>
      <c r="E488" s="166"/>
      <c r="F488" s="166"/>
      <c r="G488" s="166"/>
      <c r="H488" s="166"/>
      <c r="I488" s="1004"/>
      <c r="J488" s="1004"/>
      <c r="K488" s="1004"/>
      <c r="L488" s="777">
        <v>5</v>
      </c>
      <c r="M488" s="778"/>
      <c r="N488" s="976"/>
      <c r="O488" s="1020">
        <v>431</v>
      </c>
      <c r="P488" s="847" t="e">
        <f>VLOOKUP(N488,etat!$A$9:$N$1004,2,FALSE)</f>
        <v>#N/A</v>
      </c>
      <c r="Q488" s="797" t="e">
        <f>VLOOKUP(N488,etat!$A$9:$N$963,7,FALSE)</f>
        <v>#N/A</v>
      </c>
      <c r="R488" s="797" t="e">
        <f>VLOOKUP(N488,etat!$A$9:$N$1003,9,FALSE)</f>
        <v>#N/A</v>
      </c>
      <c r="S488" s="866" t="e">
        <f>VLOOKUP(N488,etat!$A$9:$P$905,16,FALSE)</f>
        <v>#N/A</v>
      </c>
      <c r="T488" s="755"/>
      <c r="U488" s="791"/>
      <c r="V488" s="784"/>
      <c r="W488" s="784"/>
      <c r="X488" s="848"/>
      <c r="Y488" s="975"/>
      <c r="Z488" s="1022"/>
      <c r="AA488" s="967"/>
      <c r="AB488" s="1005"/>
      <c r="AC488" s="1005"/>
      <c r="AD488" s="1005"/>
      <c r="AE488" s="1005"/>
      <c r="AF488" s="1005"/>
      <c r="AG488" s="1004"/>
      <c r="AH488" s="1004"/>
      <c r="AI488" s="1004"/>
      <c r="AJ488" s="1004"/>
      <c r="AK488" s="1004"/>
      <c r="AL488" s="1004"/>
      <c r="AM488" s="1004"/>
      <c r="AN488" s="1004"/>
      <c r="AO488" s="1004"/>
      <c r="AP488" s="1004"/>
      <c r="AQ488" s="1004"/>
      <c r="AR488" s="1004"/>
      <c r="AS488" s="1004"/>
      <c r="AT488" s="1004"/>
      <c r="AU488" s="1004"/>
      <c r="AV488" s="1004"/>
      <c r="AW488" s="1004"/>
    </row>
    <row r="489" spans="1:49" s="25" customFormat="1" ht="15" customHeight="1">
      <c r="A489" s="1004"/>
      <c r="B489" s="1004"/>
      <c r="C489" s="1004"/>
      <c r="D489" s="166"/>
      <c r="E489" s="166"/>
      <c r="F489" s="166"/>
      <c r="G489" s="166"/>
      <c r="H489" s="166"/>
      <c r="I489" s="1004"/>
      <c r="J489" s="1004"/>
      <c r="K489" s="1004"/>
      <c r="L489" s="777">
        <v>5</v>
      </c>
      <c r="M489" s="778"/>
      <c r="N489" s="976"/>
      <c r="O489" s="1020">
        <v>432</v>
      </c>
      <c r="P489" s="847" t="e">
        <f>VLOOKUP(N489,etat!$A$9:$N$1004,2,FALSE)</f>
        <v>#N/A</v>
      </c>
      <c r="Q489" s="797" t="e">
        <f>VLOOKUP(N489,etat!$A$9:$N$963,7,FALSE)</f>
        <v>#N/A</v>
      </c>
      <c r="R489" s="797" t="e">
        <f>VLOOKUP(N489,etat!$A$9:$N$1003,9,FALSE)</f>
        <v>#N/A</v>
      </c>
      <c r="S489" s="866" t="e">
        <f>VLOOKUP(N489,etat!$A$9:$P$905,16,FALSE)</f>
        <v>#N/A</v>
      </c>
      <c r="T489" s="755"/>
      <c r="U489" s="791"/>
      <c r="V489" s="784"/>
      <c r="W489" s="784"/>
      <c r="X489" s="848"/>
      <c r="Y489" s="975"/>
      <c r="Z489" s="1022"/>
      <c r="AA489" s="967"/>
      <c r="AB489" s="1005"/>
      <c r="AC489" s="1005"/>
      <c r="AD489" s="1005"/>
      <c r="AE489" s="1005"/>
      <c r="AF489" s="1005"/>
      <c r="AG489" s="1004"/>
      <c r="AH489" s="1004"/>
      <c r="AI489" s="1004"/>
      <c r="AJ489" s="1004"/>
      <c r="AK489" s="1004"/>
      <c r="AL489" s="1004"/>
      <c r="AM489" s="1004"/>
      <c r="AN489" s="1004"/>
      <c r="AO489" s="1004"/>
      <c r="AP489" s="1004"/>
      <c r="AQ489" s="1004"/>
      <c r="AR489" s="1004"/>
      <c r="AS489" s="1004"/>
      <c r="AT489" s="1004"/>
      <c r="AU489" s="1004"/>
      <c r="AV489" s="1004"/>
      <c r="AW489" s="1004"/>
    </row>
    <row r="490" spans="1:49" s="25" customFormat="1" ht="15" customHeight="1">
      <c r="A490" s="1004"/>
      <c r="B490" s="1004"/>
      <c r="C490" s="1004"/>
      <c r="D490" s="166"/>
      <c r="E490" s="166"/>
      <c r="F490" s="166"/>
      <c r="G490" s="166"/>
      <c r="H490" s="166"/>
      <c r="I490" s="1004"/>
      <c r="J490" s="1004"/>
      <c r="K490" s="1004"/>
      <c r="L490" s="777">
        <v>5</v>
      </c>
      <c r="M490" s="778"/>
      <c r="N490" s="976"/>
      <c r="O490" s="1020">
        <v>433</v>
      </c>
      <c r="P490" s="847" t="e">
        <f>VLOOKUP(N490,etat!$A$9:$N$1004,2,FALSE)</f>
        <v>#N/A</v>
      </c>
      <c r="Q490" s="797" t="e">
        <f>VLOOKUP(N490,etat!$A$9:$N$963,7,FALSE)</f>
        <v>#N/A</v>
      </c>
      <c r="R490" s="797" t="e">
        <f>VLOOKUP(N490,etat!$A$9:$N$1003,9,FALSE)</f>
        <v>#N/A</v>
      </c>
      <c r="S490" s="866" t="e">
        <f>VLOOKUP(N490,etat!$A$9:$P$905,16,FALSE)</f>
        <v>#N/A</v>
      </c>
      <c r="T490" s="755"/>
      <c r="U490" s="791"/>
      <c r="V490" s="784"/>
      <c r="W490" s="784"/>
      <c r="X490" s="848"/>
      <c r="Y490" s="975"/>
      <c r="Z490" s="1022"/>
      <c r="AA490" s="967"/>
      <c r="AB490" s="1005"/>
      <c r="AC490" s="1005"/>
      <c r="AD490" s="1005"/>
      <c r="AE490" s="1005"/>
      <c r="AF490" s="1005"/>
      <c r="AG490" s="1004"/>
      <c r="AH490" s="1004"/>
      <c r="AI490" s="1004"/>
      <c r="AJ490" s="1004"/>
      <c r="AK490" s="1004"/>
      <c r="AL490" s="1004"/>
      <c r="AM490" s="1004"/>
      <c r="AN490" s="1004"/>
      <c r="AO490" s="1004"/>
      <c r="AP490" s="1004"/>
      <c r="AQ490" s="1004"/>
      <c r="AR490" s="1004"/>
      <c r="AS490" s="1004"/>
      <c r="AT490" s="1004"/>
      <c r="AU490" s="1004"/>
      <c r="AV490" s="1004"/>
      <c r="AW490" s="1004"/>
    </row>
    <row r="491" spans="1:49" s="25" customFormat="1" ht="15" customHeight="1">
      <c r="A491" s="1004"/>
      <c r="B491" s="1004"/>
      <c r="C491" s="1004"/>
      <c r="D491" s="166"/>
      <c r="E491" s="166"/>
      <c r="F491" s="166"/>
      <c r="G491" s="166"/>
      <c r="H491" s="166"/>
      <c r="I491" s="1004"/>
      <c r="J491" s="1004"/>
      <c r="K491" s="1004"/>
      <c r="L491" s="777">
        <v>5</v>
      </c>
      <c r="M491" s="778"/>
      <c r="N491" s="976"/>
      <c r="O491" s="1020">
        <v>434</v>
      </c>
      <c r="P491" s="847" t="e">
        <f>VLOOKUP(N491,etat!$A$9:$N$1004,2,FALSE)</f>
        <v>#N/A</v>
      </c>
      <c r="Q491" s="797" t="e">
        <f>VLOOKUP(N491,etat!$A$9:$N$963,7,FALSE)</f>
        <v>#N/A</v>
      </c>
      <c r="R491" s="797" t="e">
        <f>VLOOKUP(N491,etat!$A$9:$N$1003,9,FALSE)</f>
        <v>#N/A</v>
      </c>
      <c r="S491" s="866" t="e">
        <f>VLOOKUP(N491,etat!$A$9:$P$905,16,FALSE)</f>
        <v>#N/A</v>
      </c>
      <c r="T491" s="755"/>
      <c r="U491" s="791"/>
      <c r="V491" s="784"/>
      <c r="W491" s="784"/>
      <c r="X491" s="848"/>
      <c r="Y491" s="975"/>
      <c r="Z491" s="1022"/>
      <c r="AA491" s="967"/>
      <c r="AB491" s="1005"/>
      <c r="AC491" s="1005"/>
      <c r="AD491" s="1005"/>
      <c r="AE491" s="1005"/>
      <c r="AF491" s="1005"/>
      <c r="AG491" s="1004"/>
      <c r="AH491" s="1004"/>
      <c r="AI491" s="1004"/>
      <c r="AJ491" s="1004"/>
      <c r="AK491" s="1004"/>
      <c r="AL491" s="1004"/>
      <c r="AM491" s="1004"/>
      <c r="AN491" s="1004"/>
      <c r="AO491" s="1004"/>
      <c r="AP491" s="1004"/>
      <c r="AQ491" s="1004"/>
      <c r="AR491" s="1004"/>
      <c r="AS491" s="1004"/>
      <c r="AT491" s="1004"/>
      <c r="AU491" s="1004"/>
      <c r="AV491" s="1004"/>
      <c r="AW491" s="1004"/>
    </row>
    <row r="492" spans="1:49" s="25" customFormat="1" ht="15" customHeight="1">
      <c r="A492" s="1004"/>
      <c r="B492" s="1004"/>
      <c r="C492" s="1004"/>
      <c r="D492" s="166"/>
      <c r="E492" s="166"/>
      <c r="F492" s="166"/>
      <c r="G492" s="166"/>
      <c r="H492" s="166"/>
      <c r="I492" s="1004"/>
      <c r="J492" s="1004"/>
      <c r="K492" s="1004"/>
      <c r="L492" s="777">
        <v>5</v>
      </c>
      <c r="M492" s="778"/>
      <c r="N492" s="976"/>
      <c r="O492" s="1020">
        <v>435</v>
      </c>
      <c r="P492" s="847" t="e">
        <f>VLOOKUP(N492,etat!$A$9:$N$1004,2,FALSE)</f>
        <v>#N/A</v>
      </c>
      <c r="Q492" s="797" t="e">
        <f>VLOOKUP(N492,etat!$A$9:$N$963,7,FALSE)</f>
        <v>#N/A</v>
      </c>
      <c r="R492" s="797" t="e">
        <f>VLOOKUP(N492,etat!$A$9:$N$1003,9,FALSE)</f>
        <v>#N/A</v>
      </c>
      <c r="S492" s="866" t="e">
        <f>VLOOKUP(N492,etat!$A$9:$P$905,16,FALSE)</f>
        <v>#N/A</v>
      </c>
      <c r="T492" s="755"/>
      <c r="U492" s="791"/>
      <c r="V492" s="784"/>
      <c r="W492" s="784"/>
      <c r="X492" s="848"/>
      <c r="Y492" s="975"/>
      <c r="Z492" s="1022"/>
      <c r="AA492" s="967"/>
      <c r="AB492" s="1005"/>
      <c r="AC492" s="1005"/>
      <c r="AD492" s="1005"/>
      <c r="AE492" s="1005"/>
      <c r="AF492" s="1005"/>
      <c r="AG492" s="1004"/>
      <c r="AH492" s="1004"/>
      <c r="AI492" s="1004"/>
      <c r="AJ492" s="1004"/>
      <c r="AK492" s="1004"/>
      <c r="AL492" s="1004"/>
      <c r="AM492" s="1004"/>
      <c r="AN492" s="1004"/>
      <c r="AO492" s="1004"/>
      <c r="AP492" s="1004"/>
      <c r="AQ492" s="1004"/>
      <c r="AR492" s="1004"/>
      <c r="AS492" s="1004"/>
      <c r="AT492" s="1004"/>
      <c r="AU492" s="1004"/>
      <c r="AV492" s="1004"/>
      <c r="AW492" s="1004"/>
    </row>
    <row r="493" spans="1:49" s="25" customFormat="1" ht="15" customHeight="1">
      <c r="A493" s="1004"/>
      <c r="B493" s="1004"/>
      <c r="C493" s="1004"/>
      <c r="D493" s="166"/>
      <c r="E493" s="166"/>
      <c r="F493" s="166"/>
      <c r="G493" s="166"/>
      <c r="H493" s="166"/>
      <c r="I493" s="1004"/>
      <c r="J493" s="1004"/>
      <c r="K493" s="1004"/>
      <c r="L493" s="777">
        <v>5</v>
      </c>
      <c r="M493" s="778"/>
      <c r="N493" s="976"/>
      <c r="O493" s="1020">
        <v>436</v>
      </c>
      <c r="P493" s="847" t="e">
        <f>VLOOKUP(N493,etat!$A$9:$N$1004,2,FALSE)</f>
        <v>#N/A</v>
      </c>
      <c r="Q493" s="797" t="e">
        <f>VLOOKUP(N493,etat!$A$9:$N$963,7,FALSE)</f>
        <v>#N/A</v>
      </c>
      <c r="R493" s="797" t="e">
        <f>VLOOKUP(N493,etat!$A$9:$N$1003,9,FALSE)</f>
        <v>#N/A</v>
      </c>
      <c r="S493" s="866" t="e">
        <f>VLOOKUP(N493,etat!$A$9:$P$905,16,FALSE)</f>
        <v>#N/A</v>
      </c>
      <c r="T493" s="755"/>
      <c r="U493" s="791"/>
      <c r="V493" s="784"/>
      <c r="W493" s="784"/>
      <c r="X493" s="848"/>
      <c r="Y493" s="975"/>
      <c r="Z493" s="1022"/>
      <c r="AA493" s="967"/>
      <c r="AB493" s="1005"/>
      <c r="AC493" s="1005"/>
      <c r="AD493" s="1005"/>
      <c r="AE493" s="1005"/>
      <c r="AF493" s="1005"/>
      <c r="AG493" s="1004"/>
      <c r="AH493" s="1004"/>
      <c r="AI493" s="1004"/>
      <c r="AJ493" s="1004"/>
      <c r="AK493" s="1004"/>
      <c r="AL493" s="1004"/>
      <c r="AM493" s="1004"/>
      <c r="AN493" s="1004"/>
      <c r="AO493" s="1004"/>
      <c r="AP493" s="1004"/>
      <c r="AQ493" s="1004"/>
      <c r="AR493" s="1004"/>
      <c r="AS493" s="1004"/>
      <c r="AT493" s="1004"/>
      <c r="AU493" s="1004"/>
      <c r="AV493" s="1004"/>
      <c r="AW493" s="1004"/>
    </row>
    <row r="494" spans="1:49" s="25" customFormat="1" ht="15" customHeight="1">
      <c r="A494" s="1004"/>
      <c r="B494" s="1004"/>
      <c r="C494" s="1004"/>
      <c r="D494" s="166"/>
      <c r="E494" s="166"/>
      <c r="F494" s="166"/>
      <c r="G494" s="166"/>
      <c r="H494" s="166"/>
      <c r="I494" s="1004"/>
      <c r="J494" s="1004"/>
      <c r="K494" s="1004"/>
      <c r="L494" s="777">
        <v>5</v>
      </c>
      <c r="M494" s="778"/>
      <c r="N494" s="976"/>
      <c r="O494" s="1020">
        <v>437</v>
      </c>
      <c r="P494" s="847" t="e">
        <f>VLOOKUP(N494,etat!$A$9:$N$1004,2,FALSE)</f>
        <v>#N/A</v>
      </c>
      <c r="Q494" s="797" t="e">
        <f>VLOOKUP(N494,etat!$A$9:$N$963,7,FALSE)</f>
        <v>#N/A</v>
      </c>
      <c r="R494" s="797" t="e">
        <f>VLOOKUP(N494,etat!$A$9:$N$1003,9,FALSE)</f>
        <v>#N/A</v>
      </c>
      <c r="S494" s="866" t="e">
        <f>VLOOKUP(N494,etat!$A$9:$P$905,16,FALSE)</f>
        <v>#N/A</v>
      </c>
      <c r="T494" s="755"/>
      <c r="U494" s="791"/>
      <c r="V494" s="784"/>
      <c r="W494" s="784"/>
      <c r="X494" s="848"/>
      <c r="Y494" s="975"/>
      <c r="Z494" s="1022"/>
      <c r="AA494" s="967"/>
      <c r="AB494" s="1005"/>
      <c r="AC494" s="1005"/>
      <c r="AD494" s="1005"/>
      <c r="AE494" s="1005"/>
      <c r="AF494" s="1005"/>
      <c r="AG494" s="1004"/>
      <c r="AH494" s="1004"/>
      <c r="AI494" s="1004"/>
      <c r="AJ494" s="1004"/>
      <c r="AK494" s="1004"/>
      <c r="AL494" s="1004"/>
      <c r="AM494" s="1004"/>
      <c r="AN494" s="1004"/>
      <c r="AO494" s="1004"/>
      <c r="AP494" s="1004"/>
      <c r="AQ494" s="1004"/>
      <c r="AR494" s="1004"/>
      <c r="AS494" s="1004"/>
      <c r="AT494" s="1004"/>
      <c r="AU494" s="1004"/>
      <c r="AV494" s="1004"/>
      <c r="AW494" s="1004"/>
    </row>
    <row r="495" spans="1:49" s="25" customFormat="1" ht="15" customHeight="1">
      <c r="A495" s="1004"/>
      <c r="B495" s="1004"/>
      <c r="C495" s="1004"/>
      <c r="D495" s="166"/>
      <c r="E495" s="166"/>
      <c r="F495" s="166"/>
      <c r="G495" s="166"/>
      <c r="H495" s="166"/>
      <c r="I495" s="1004"/>
      <c r="J495" s="1004"/>
      <c r="K495" s="1004"/>
      <c r="L495" s="777">
        <v>5</v>
      </c>
      <c r="M495" s="778"/>
      <c r="N495" s="976"/>
      <c r="O495" s="1020">
        <v>438</v>
      </c>
      <c r="P495" s="847" t="e">
        <f>VLOOKUP(N495,etat!$A$9:$N$1004,2,FALSE)</f>
        <v>#N/A</v>
      </c>
      <c r="Q495" s="797" t="e">
        <f>VLOOKUP(N495,etat!$A$9:$N$963,7,FALSE)</f>
        <v>#N/A</v>
      </c>
      <c r="R495" s="797" t="e">
        <f>VLOOKUP(N495,etat!$A$9:$N$1003,9,FALSE)</f>
        <v>#N/A</v>
      </c>
      <c r="S495" s="866" t="e">
        <f>VLOOKUP(N495,etat!$A$9:$P$905,16,FALSE)</f>
        <v>#N/A</v>
      </c>
      <c r="T495" s="755"/>
      <c r="U495" s="791"/>
      <c r="V495" s="784"/>
      <c r="W495" s="784"/>
      <c r="X495" s="848"/>
      <c r="Y495" s="975"/>
      <c r="Z495" s="1022"/>
      <c r="AA495" s="967"/>
      <c r="AB495" s="1005"/>
      <c r="AC495" s="1005"/>
      <c r="AD495" s="1005"/>
      <c r="AE495" s="1005"/>
      <c r="AF495" s="1005"/>
      <c r="AG495" s="1004"/>
      <c r="AH495" s="1004"/>
      <c r="AI495" s="1004"/>
      <c r="AJ495" s="1004"/>
      <c r="AK495" s="1004"/>
      <c r="AL495" s="1004"/>
      <c r="AM495" s="1004"/>
      <c r="AN495" s="1004"/>
      <c r="AO495" s="1004"/>
      <c r="AP495" s="1004"/>
      <c r="AQ495" s="1004"/>
      <c r="AR495" s="1004"/>
      <c r="AS495" s="1004"/>
      <c r="AT495" s="1004"/>
      <c r="AU495" s="1004"/>
      <c r="AV495" s="1004"/>
      <c r="AW495" s="1004"/>
    </row>
    <row r="496" spans="1:49" s="25" customFormat="1" ht="15" customHeight="1">
      <c r="A496" s="1004"/>
      <c r="B496" s="1004"/>
      <c r="C496" s="1004"/>
      <c r="D496" s="166"/>
      <c r="E496" s="166"/>
      <c r="F496" s="166"/>
      <c r="G496" s="166"/>
      <c r="H496" s="166"/>
      <c r="I496" s="1004"/>
      <c r="J496" s="1004"/>
      <c r="K496" s="1004"/>
      <c r="L496" s="777">
        <v>5</v>
      </c>
      <c r="M496" s="778"/>
      <c r="N496" s="976"/>
      <c r="O496" s="1020">
        <v>439</v>
      </c>
      <c r="P496" s="847" t="e">
        <f>VLOOKUP(N496,etat!$A$9:$N$1004,2,FALSE)</f>
        <v>#N/A</v>
      </c>
      <c r="Q496" s="797" t="e">
        <f>VLOOKUP(N496,etat!$A$9:$N$963,7,FALSE)</f>
        <v>#N/A</v>
      </c>
      <c r="R496" s="797" t="e">
        <f>VLOOKUP(N496,etat!$A$9:$N$1003,9,FALSE)</f>
        <v>#N/A</v>
      </c>
      <c r="S496" s="866" t="e">
        <f>VLOOKUP(N496,etat!$A$9:$P$905,16,FALSE)</f>
        <v>#N/A</v>
      </c>
      <c r="T496" s="755"/>
      <c r="U496" s="791"/>
      <c r="V496" s="784"/>
      <c r="W496" s="784"/>
      <c r="X496" s="848"/>
      <c r="Y496" s="975"/>
      <c r="Z496" s="1022"/>
      <c r="AA496" s="967"/>
      <c r="AB496" s="1005"/>
      <c r="AC496" s="1005"/>
      <c r="AD496" s="1005"/>
      <c r="AE496" s="1005"/>
      <c r="AF496" s="1005"/>
      <c r="AG496" s="1004"/>
      <c r="AH496" s="1004"/>
      <c r="AI496" s="1004"/>
      <c r="AJ496" s="1004"/>
      <c r="AK496" s="1004"/>
      <c r="AL496" s="1004"/>
      <c r="AM496" s="1004"/>
      <c r="AN496" s="1004"/>
      <c r="AO496" s="1004"/>
      <c r="AP496" s="1004"/>
      <c r="AQ496" s="1004"/>
      <c r="AR496" s="1004"/>
      <c r="AS496" s="1004"/>
      <c r="AT496" s="1004"/>
      <c r="AU496" s="1004"/>
      <c r="AV496" s="1004"/>
      <c r="AW496" s="1004"/>
    </row>
    <row r="497" spans="1:49" s="25" customFormat="1" ht="15" customHeight="1">
      <c r="A497" s="1004"/>
      <c r="B497" s="1004"/>
      <c r="C497" s="1004"/>
      <c r="D497" s="166"/>
      <c r="E497" s="166"/>
      <c r="F497" s="166"/>
      <c r="G497" s="166"/>
      <c r="H497" s="166"/>
      <c r="I497" s="1004"/>
      <c r="J497" s="1004"/>
      <c r="K497" s="1004"/>
      <c r="L497" s="777">
        <v>5</v>
      </c>
      <c r="M497" s="778"/>
      <c r="N497" s="976"/>
      <c r="O497" s="1020">
        <v>440</v>
      </c>
      <c r="P497" s="847" t="e">
        <f>VLOOKUP(N497,etat!$A$9:$N$1004,2,FALSE)</f>
        <v>#N/A</v>
      </c>
      <c r="Q497" s="797" t="e">
        <f>VLOOKUP(N497,etat!$A$9:$N$963,7,FALSE)</f>
        <v>#N/A</v>
      </c>
      <c r="R497" s="797" t="e">
        <f>VLOOKUP(N497,etat!$A$9:$N$1003,9,FALSE)</f>
        <v>#N/A</v>
      </c>
      <c r="S497" s="866" t="e">
        <f>VLOOKUP(N497,etat!$A$9:$P$905,16,FALSE)</f>
        <v>#N/A</v>
      </c>
      <c r="T497" s="755"/>
      <c r="U497" s="791"/>
      <c r="V497" s="784"/>
      <c r="W497" s="784"/>
      <c r="X497" s="848"/>
      <c r="Y497" s="975"/>
      <c r="Z497" s="1022"/>
      <c r="AA497" s="967"/>
      <c r="AB497" s="1005"/>
      <c r="AC497" s="1005"/>
      <c r="AD497" s="1005"/>
      <c r="AE497" s="1005"/>
      <c r="AF497" s="1005"/>
      <c r="AG497" s="1004"/>
      <c r="AH497" s="1004"/>
      <c r="AI497" s="1004"/>
      <c r="AJ497" s="1004"/>
      <c r="AK497" s="1004"/>
      <c r="AL497" s="1004"/>
      <c r="AM497" s="1004"/>
      <c r="AN497" s="1004"/>
      <c r="AO497" s="1004"/>
      <c r="AP497" s="1004"/>
      <c r="AQ497" s="1004"/>
      <c r="AR497" s="1004"/>
      <c r="AS497" s="1004"/>
      <c r="AT497" s="1004"/>
      <c r="AU497" s="1004"/>
      <c r="AV497" s="1004"/>
      <c r="AW497" s="1004"/>
    </row>
    <row r="498" spans="1:49" s="25" customFormat="1" ht="15" customHeight="1">
      <c r="A498" s="1004"/>
      <c r="B498" s="1004"/>
      <c r="C498" s="1004"/>
      <c r="D498" s="166"/>
      <c r="E498" s="166"/>
      <c r="F498" s="166"/>
      <c r="G498" s="166"/>
      <c r="H498" s="166"/>
      <c r="I498" s="1004"/>
      <c r="J498" s="1004"/>
      <c r="K498" s="1004"/>
      <c r="L498" s="777">
        <v>5</v>
      </c>
      <c r="M498" s="778"/>
      <c r="N498" s="976"/>
      <c r="O498" s="1020">
        <v>441</v>
      </c>
      <c r="P498" s="847" t="e">
        <f>VLOOKUP(N498,etat!$A$9:$N$1004,2,FALSE)</f>
        <v>#N/A</v>
      </c>
      <c r="Q498" s="797" t="e">
        <f>VLOOKUP(N498,etat!$A$9:$N$963,7,FALSE)</f>
        <v>#N/A</v>
      </c>
      <c r="R498" s="797" t="e">
        <f>VLOOKUP(N498,etat!$A$9:$N$1003,9,FALSE)</f>
        <v>#N/A</v>
      </c>
      <c r="S498" s="866" t="e">
        <f>VLOOKUP(N498,etat!$A$9:$P$905,16,FALSE)</f>
        <v>#N/A</v>
      </c>
      <c r="T498" s="755"/>
      <c r="U498" s="791"/>
      <c r="V498" s="784"/>
      <c r="W498" s="784"/>
      <c r="X498" s="784"/>
      <c r="Y498" s="975"/>
      <c r="Z498" s="1022"/>
      <c r="AA498" s="967"/>
      <c r="AB498" s="1005"/>
      <c r="AC498" s="1005"/>
      <c r="AD498" s="1005"/>
      <c r="AE498" s="1005"/>
      <c r="AF498" s="1005"/>
      <c r="AG498" s="1004"/>
      <c r="AH498" s="1004"/>
      <c r="AI498" s="1004"/>
      <c r="AJ498" s="1004"/>
      <c r="AK498" s="1004"/>
      <c r="AL498" s="1004"/>
      <c r="AM498" s="1004"/>
      <c r="AN498" s="1004"/>
      <c r="AO498" s="1004"/>
      <c r="AP498" s="1004"/>
      <c r="AQ498" s="1004"/>
      <c r="AR498" s="1004"/>
      <c r="AS498" s="1004"/>
      <c r="AT498" s="1004"/>
      <c r="AU498" s="1004"/>
      <c r="AV498" s="1004"/>
      <c r="AW498" s="1004"/>
    </row>
    <row r="499" spans="1:49" s="25" customFormat="1" ht="15" customHeight="1">
      <c r="A499" s="1004"/>
      <c r="B499" s="1004"/>
      <c r="C499" s="1004"/>
      <c r="D499" s="166"/>
      <c r="E499" s="166"/>
      <c r="F499" s="166"/>
      <c r="G499" s="166"/>
      <c r="H499" s="166"/>
      <c r="I499" s="1004"/>
      <c r="J499" s="1004"/>
      <c r="K499" s="1004"/>
      <c r="L499" s="777">
        <v>5</v>
      </c>
      <c r="M499" s="778"/>
      <c r="N499" s="976"/>
      <c r="O499" s="1020">
        <v>442</v>
      </c>
      <c r="P499" s="847" t="e">
        <f>VLOOKUP(N499,etat!$A$9:$N$1004,2,FALSE)</f>
        <v>#N/A</v>
      </c>
      <c r="Q499" s="797" t="e">
        <f>VLOOKUP(N499,etat!$A$9:$N$963,7,FALSE)</f>
        <v>#N/A</v>
      </c>
      <c r="R499" s="797" t="e">
        <f>VLOOKUP(N499,etat!$A$9:$N$1003,9,FALSE)</f>
        <v>#N/A</v>
      </c>
      <c r="S499" s="866" t="e">
        <f>VLOOKUP(N499,etat!$A$9:$P$905,16,FALSE)</f>
        <v>#N/A</v>
      </c>
      <c r="T499" s="755"/>
      <c r="U499" s="791"/>
      <c r="V499" s="784"/>
      <c r="W499" s="784"/>
      <c r="X499" s="784"/>
      <c r="Y499" s="975"/>
      <c r="Z499" s="1022"/>
      <c r="AA499" s="967"/>
      <c r="AB499" s="1005"/>
      <c r="AC499" s="1005"/>
      <c r="AD499" s="1005"/>
      <c r="AE499" s="1005"/>
      <c r="AF499" s="1005"/>
      <c r="AG499" s="1004"/>
      <c r="AH499" s="1004"/>
      <c r="AI499" s="1004"/>
      <c r="AJ499" s="1004"/>
      <c r="AK499" s="1004"/>
      <c r="AL499" s="1004"/>
      <c r="AM499" s="1004"/>
      <c r="AN499" s="1004"/>
      <c r="AO499" s="1004"/>
      <c r="AP499" s="1004"/>
      <c r="AQ499" s="1004"/>
      <c r="AR499" s="1004"/>
      <c r="AS499" s="1004"/>
      <c r="AT499" s="1004"/>
      <c r="AU499" s="1004"/>
      <c r="AV499" s="1004"/>
      <c r="AW499" s="1004"/>
    </row>
    <row r="500" spans="1:49" s="25" customFormat="1" ht="15" customHeight="1">
      <c r="A500" s="1004"/>
      <c r="B500" s="1004"/>
      <c r="C500" s="1004"/>
      <c r="D500" s="166"/>
      <c r="E500" s="166"/>
      <c r="F500" s="166"/>
      <c r="G500" s="166"/>
      <c r="H500" s="166"/>
      <c r="I500" s="1004"/>
      <c r="J500" s="1004"/>
      <c r="K500" s="1004"/>
      <c r="L500" s="777">
        <v>5</v>
      </c>
      <c r="M500" s="778"/>
      <c r="N500" s="976"/>
      <c r="O500" s="1020">
        <v>443</v>
      </c>
      <c r="P500" s="847" t="e">
        <f>VLOOKUP(N500,etat!$A$9:$N$1004,2,FALSE)</f>
        <v>#N/A</v>
      </c>
      <c r="Q500" s="797" t="e">
        <f>VLOOKUP(N500,etat!$A$9:$N$963,7,FALSE)</f>
        <v>#N/A</v>
      </c>
      <c r="R500" s="797" t="e">
        <f>VLOOKUP(N500,etat!$A$9:$N$1003,9,FALSE)</f>
        <v>#N/A</v>
      </c>
      <c r="S500" s="866" t="e">
        <f>VLOOKUP(N500,etat!$A$9:$P$905,16,FALSE)</f>
        <v>#N/A</v>
      </c>
      <c r="T500" s="755"/>
      <c r="U500" s="791"/>
      <c r="V500" s="784"/>
      <c r="W500" s="784"/>
      <c r="X500" s="784"/>
      <c r="Y500" s="975"/>
      <c r="Z500" s="1022"/>
      <c r="AA500" s="967"/>
      <c r="AB500" s="1005"/>
      <c r="AC500" s="1005"/>
      <c r="AD500" s="1005"/>
      <c r="AE500" s="1005"/>
      <c r="AF500" s="1005"/>
      <c r="AG500" s="1004"/>
      <c r="AH500" s="1004"/>
      <c r="AI500" s="1004"/>
      <c r="AJ500" s="1004"/>
      <c r="AK500" s="1004"/>
      <c r="AL500" s="1004"/>
      <c r="AM500" s="1004"/>
      <c r="AN500" s="1004"/>
      <c r="AO500" s="1004"/>
      <c r="AP500" s="1004"/>
      <c r="AQ500" s="1004"/>
      <c r="AR500" s="1004"/>
      <c r="AS500" s="1004"/>
      <c r="AT500" s="1004"/>
      <c r="AU500" s="1004"/>
      <c r="AV500" s="1004"/>
      <c r="AW500" s="1004"/>
    </row>
    <row r="501" spans="1:49" s="25" customFormat="1" ht="15" customHeight="1">
      <c r="A501" s="1004"/>
      <c r="B501" s="1004"/>
      <c r="C501" s="1004"/>
      <c r="D501" s="166"/>
      <c r="E501" s="166"/>
      <c r="F501" s="166"/>
      <c r="G501" s="166"/>
      <c r="H501" s="166"/>
      <c r="I501" s="1004"/>
      <c r="J501" s="1004"/>
      <c r="K501" s="1004"/>
      <c r="L501" s="777">
        <v>5</v>
      </c>
      <c r="M501" s="778"/>
      <c r="N501" s="976"/>
      <c r="O501" s="1020">
        <v>444</v>
      </c>
      <c r="P501" s="847" t="e">
        <f>VLOOKUP(N501,etat!$A$9:$N$1004,2,FALSE)</f>
        <v>#N/A</v>
      </c>
      <c r="Q501" s="797" t="e">
        <f>VLOOKUP(N501,etat!$A$9:$N$963,7,FALSE)</f>
        <v>#N/A</v>
      </c>
      <c r="R501" s="797" t="e">
        <f>VLOOKUP(N501,etat!$A$9:$N$1003,9,FALSE)</f>
        <v>#N/A</v>
      </c>
      <c r="S501" s="866" t="e">
        <f>VLOOKUP(N501,etat!$A$9:$P$905,16,FALSE)</f>
        <v>#N/A</v>
      </c>
      <c r="T501" s="755"/>
      <c r="U501" s="791"/>
      <c r="V501" s="784"/>
      <c r="W501" s="784"/>
      <c r="X501" s="784"/>
      <c r="Y501" s="975"/>
      <c r="Z501" s="1022"/>
      <c r="AA501" s="967"/>
      <c r="AB501" s="1005"/>
      <c r="AC501" s="1005"/>
      <c r="AD501" s="1005"/>
      <c r="AE501" s="1005"/>
      <c r="AF501" s="1005"/>
      <c r="AG501" s="1004"/>
      <c r="AH501" s="1004"/>
      <c r="AI501" s="1004"/>
      <c r="AJ501" s="1004"/>
      <c r="AK501" s="1004"/>
      <c r="AL501" s="1004"/>
      <c r="AM501" s="1004"/>
      <c r="AN501" s="1004"/>
      <c r="AO501" s="1004"/>
      <c r="AP501" s="1004"/>
      <c r="AQ501" s="1004"/>
      <c r="AR501" s="1004"/>
      <c r="AS501" s="1004"/>
      <c r="AT501" s="1004"/>
      <c r="AU501" s="1004"/>
      <c r="AV501" s="1004"/>
      <c r="AW501" s="1004"/>
    </row>
    <row r="502" spans="1:49" s="25" customFormat="1" ht="15" customHeight="1">
      <c r="A502" s="1004"/>
      <c r="B502" s="1004"/>
      <c r="C502" s="1004"/>
      <c r="D502" s="166"/>
      <c r="E502" s="166"/>
      <c r="F502" s="166"/>
      <c r="G502" s="166"/>
      <c r="H502" s="166"/>
      <c r="I502" s="1004"/>
      <c r="J502" s="1004"/>
      <c r="K502" s="1004"/>
      <c r="L502" s="777">
        <v>5</v>
      </c>
      <c r="M502" s="778"/>
      <c r="N502" s="976"/>
      <c r="O502" s="1020">
        <v>445</v>
      </c>
      <c r="P502" s="847" t="e">
        <f>VLOOKUP(N502,etat!$A$9:$N$1004,2,FALSE)</f>
        <v>#N/A</v>
      </c>
      <c r="Q502" s="797" t="e">
        <f>VLOOKUP(N502,etat!$A$9:$N$963,7,FALSE)</f>
        <v>#N/A</v>
      </c>
      <c r="R502" s="797" t="e">
        <f>VLOOKUP(N502,etat!$A$9:$N$1003,9,FALSE)</f>
        <v>#N/A</v>
      </c>
      <c r="S502" s="866" t="e">
        <f>VLOOKUP(N502,etat!$A$9:$P$905,16,FALSE)</f>
        <v>#N/A</v>
      </c>
      <c r="T502" s="755"/>
      <c r="U502" s="791"/>
      <c r="V502" s="784"/>
      <c r="W502" s="784"/>
      <c r="X502" s="784"/>
      <c r="Y502" s="975"/>
      <c r="Z502" s="1022"/>
      <c r="AA502" s="967"/>
      <c r="AB502" s="1005"/>
      <c r="AC502" s="1005"/>
      <c r="AD502" s="1005"/>
      <c r="AE502" s="1005"/>
      <c r="AF502" s="1005"/>
      <c r="AG502" s="1004"/>
      <c r="AH502" s="1004"/>
      <c r="AI502" s="1004"/>
      <c r="AJ502" s="1004"/>
      <c r="AK502" s="1004"/>
      <c r="AL502" s="1004"/>
      <c r="AM502" s="1004"/>
      <c r="AN502" s="1004"/>
      <c r="AO502" s="1004"/>
      <c r="AP502" s="1004"/>
      <c r="AQ502" s="1004"/>
      <c r="AR502" s="1004"/>
      <c r="AS502" s="1004"/>
      <c r="AT502" s="1004"/>
      <c r="AU502" s="1004"/>
      <c r="AV502" s="1004"/>
      <c r="AW502" s="1004"/>
    </row>
    <row r="503" spans="1:49" s="25" customFormat="1" ht="15" customHeight="1">
      <c r="A503" s="1004"/>
      <c r="B503" s="1004"/>
      <c r="C503" s="1004"/>
      <c r="D503" s="166"/>
      <c r="E503" s="166"/>
      <c r="F503" s="166"/>
      <c r="G503" s="166"/>
      <c r="H503" s="166"/>
      <c r="I503" s="1004"/>
      <c r="J503" s="1004"/>
      <c r="K503" s="1004"/>
      <c r="L503" s="777">
        <v>5</v>
      </c>
      <c r="M503" s="778"/>
      <c r="N503" s="976"/>
      <c r="O503" s="1020">
        <v>446</v>
      </c>
      <c r="P503" s="847" t="e">
        <f>VLOOKUP(N503,etat!$A$9:$N$1004,2,FALSE)</f>
        <v>#N/A</v>
      </c>
      <c r="Q503" s="797" t="e">
        <f>VLOOKUP(N503,etat!$A$9:$N$963,7,FALSE)</f>
        <v>#N/A</v>
      </c>
      <c r="R503" s="797" t="e">
        <f>VLOOKUP(N503,etat!$A$9:$N$1003,9,FALSE)</f>
        <v>#N/A</v>
      </c>
      <c r="S503" s="866" t="e">
        <f>VLOOKUP(N503,etat!$A$9:$P$905,16,FALSE)</f>
        <v>#N/A</v>
      </c>
      <c r="T503" s="755"/>
      <c r="U503" s="791"/>
      <c r="V503" s="784"/>
      <c r="W503" s="784"/>
      <c r="X503" s="784"/>
      <c r="Y503" s="975"/>
      <c r="Z503" s="1022"/>
      <c r="AA503" s="967"/>
      <c r="AB503" s="1005"/>
      <c r="AC503" s="1005"/>
      <c r="AD503" s="1005"/>
      <c r="AE503" s="1005"/>
      <c r="AF503" s="1005"/>
      <c r="AG503" s="1004"/>
      <c r="AH503" s="1004"/>
      <c r="AI503" s="1004"/>
      <c r="AJ503" s="1004"/>
      <c r="AK503" s="1004"/>
      <c r="AL503" s="1004"/>
      <c r="AM503" s="1004"/>
      <c r="AN503" s="1004"/>
      <c r="AO503" s="1004"/>
      <c r="AP503" s="1004"/>
      <c r="AQ503" s="1004"/>
      <c r="AR503" s="1004"/>
      <c r="AS503" s="1004"/>
      <c r="AT503" s="1004"/>
      <c r="AU503" s="1004"/>
      <c r="AV503" s="1004"/>
      <c r="AW503" s="1004"/>
    </row>
    <row r="504" spans="1:49" s="25" customFormat="1" ht="15" customHeight="1">
      <c r="A504" s="1004"/>
      <c r="B504" s="1004"/>
      <c r="C504" s="1004"/>
      <c r="D504" s="166"/>
      <c r="E504" s="166"/>
      <c r="F504" s="166"/>
      <c r="G504" s="166"/>
      <c r="H504" s="166"/>
      <c r="I504" s="1004"/>
      <c r="J504" s="1004"/>
      <c r="K504" s="1004"/>
      <c r="L504" s="777">
        <v>5</v>
      </c>
      <c r="M504" s="778"/>
      <c r="N504" s="976"/>
      <c r="O504" s="1020">
        <v>447</v>
      </c>
      <c r="P504" s="847" t="e">
        <f>VLOOKUP(N504,etat!$A$9:$N$1004,2,FALSE)</f>
        <v>#N/A</v>
      </c>
      <c r="Q504" s="797" t="e">
        <f>VLOOKUP(N504,etat!$A$9:$N$963,7,FALSE)</f>
        <v>#N/A</v>
      </c>
      <c r="R504" s="797" t="e">
        <f>VLOOKUP(N504,etat!$A$9:$N$1003,9,FALSE)</f>
        <v>#N/A</v>
      </c>
      <c r="S504" s="866" t="e">
        <f>VLOOKUP(N504,etat!$A$9:$P$905,16,FALSE)</f>
        <v>#N/A</v>
      </c>
      <c r="T504" s="755"/>
      <c r="U504" s="791"/>
      <c r="V504" s="784"/>
      <c r="W504" s="784"/>
      <c r="X504" s="784"/>
      <c r="Y504" s="975"/>
      <c r="Z504" s="1022"/>
      <c r="AA504" s="967"/>
      <c r="AB504" s="1005"/>
      <c r="AC504" s="1005"/>
      <c r="AD504" s="1005"/>
      <c r="AE504" s="1005"/>
      <c r="AF504" s="1005"/>
      <c r="AG504" s="1004"/>
      <c r="AH504" s="1004"/>
      <c r="AI504" s="1004"/>
      <c r="AJ504" s="1004"/>
      <c r="AK504" s="1004"/>
      <c r="AL504" s="1004"/>
      <c r="AM504" s="1004"/>
      <c r="AN504" s="1004"/>
      <c r="AO504" s="1004"/>
      <c r="AP504" s="1004"/>
      <c r="AQ504" s="1004"/>
      <c r="AR504" s="1004"/>
      <c r="AS504" s="1004"/>
      <c r="AT504" s="1004"/>
      <c r="AU504" s="1004"/>
      <c r="AV504" s="1004"/>
      <c r="AW504" s="1004"/>
    </row>
    <row r="505" spans="1:49" s="25" customFormat="1" ht="15" customHeight="1">
      <c r="A505" s="1004"/>
      <c r="B505" s="1004"/>
      <c r="C505" s="1004"/>
      <c r="D505" s="166"/>
      <c r="E505" s="166"/>
      <c r="F505" s="166"/>
      <c r="G505" s="166"/>
      <c r="H505" s="166"/>
      <c r="I505" s="1004"/>
      <c r="J505" s="1004"/>
      <c r="K505" s="1004"/>
      <c r="L505" s="777">
        <v>5</v>
      </c>
      <c r="M505" s="778"/>
      <c r="N505" s="976"/>
      <c r="O505" s="1020">
        <v>448</v>
      </c>
      <c r="P505" s="847" t="e">
        <f>VLOOKUP(N505,etat!$A$9:$N$1004,2,FALSE)</f>
        <v>#N/A</v>
      </c>
      <c r="Q505" s="797" t="e">
        <f>VLOOKUP(N505,etat!$A$9:$N$963,7,FALSE)</f>
        <v>#N/A</v>
      </c>
      <c r="R505" s="797" t="e">
        <f>VLOOKUP(N505,etat!$A$9:$N$1003,9,FALSE)</f>
        <v>#N/A</v>
      </c>
      <c r="S505" s="866" t="e">
        <f>VLOOKUP(N505,etat!$A$9:$P$905,16,FALSE)</f>
        <v>#N/A</v>
      </c>
      <c r="T505" s="755"/>
      <c r="U505" s="791"/>
      <c r="V505" s="784"/>
      <c r="W505" s="784"/>
      <c r="X505" s="784"/>
      <c r="Y505" s="975"/>
      <c r="Z505" s="1022"/>
      <c r="AA505" s="967"/>
      <c r="AB505" s="1005"/>
      <c r="AC505" s="1005"/>
      <c r="AD505" s="1005"/>
      <c r="AE505" s="1005"/>
      <c r="AF505" s="1005"/>
      <c r="AG505" s="1004"/>
      <c r="AH505" s="1004"/>
      <c r="AI505" s="1004"/>
      <c r="AJ505" s="1004"/>
      <c r="AK505" s="1004"/>
      <c r="AL505" s="1004"/>
      <c r="AM505" s="1004"/>
      <c r="AN505" s="1004"/>
      <c r="AO505" s="1004"/>
      <c r="AP505" s="1004"/>
      <c r="AQ505" s="1004"/>
      <c r="AR505" s="1004"/>
      <c r="AS505" s="1004"/>
      <c r="AT505" s="1004"/>
      <c r="AU505" s="1004"/>
      <c r="AV505" s="1004"/>
      <c r="AW505" s="1004"/>
    </row>
    <row r="506" spans="1:49" s="25" customFormat="1" ht="15" customHeight="1">
      <c r="A506" s="1004"/>
      <c r="B506" s="1004"/>
      <c r="C506" s="1004"/>
      <c r="D506" s="166"/>
      <c r="E506" s="166"/>
      <c r="F506" s="166"/>
      <c r="G506" s="166"/>
      <c r="H506" s="166"/>
      <c r="I506" s="1004"/>
      <c r="J506" s="1004"/>
      <c r="K506" s="1004"/>
      <c r="L506" s="777">
        <v>5</v>
      </c>
      <c r="M506" s="778"/>
      <c r="N506" s="976"/>
      <c r="O506" s="1020">
        <v>449</v>
      </c>
      <c r="P506" s="847" t="e">
        <f>VLOOKUP(N506,etat!$A$9:$N$1004,2,FALSE)</f>
        <v>#N/A</v>
      </c>
      <c r="Q506" s="797" t="e">
        <f>VLOOKUP(N506,etat!$A$9:$N$963,7,FALSE)</f>
        <v>#N/A</v>
      </c>
      <c r="R506" s="797" t="e">
        <f>VLOOKUP(N506,etat!$A$9:$N$1003,9,FALSE)</f>
        <v>#N/A</v>
      </c>
      <c r="S506" s="866" t="e">
        <f>VLOOKUP(N506,etat!$A$9:$P$905,16,FALSE)</f>
        <v>#N/A</v>
      </c>
      <c r="T506" s="755"/>
      <c r="U506" s="791"/>
      <c r="V506" s="784"/>
      <c r="W506" s="784"/>
      <c r="X506" s="784"/>
      <c r="Y506" s="975"/>
      <c r="Z506" s="1022"/>
      <c r="AA506" s="967"/>
      <c r="AB506" s="1005"/>
      <c r="AC506" s="1005"/>
      <c r="AD506" s="1005"/>
      <c r="AE506" s="1005"/>
      <c r="AF506" s="1005"/>
      <c r="AG506" s="1004"/>
      <c r="AH506" s="1004"/>
      <c r="AI506" s="1004"/>
      <c r="AJ506" s="1004"/>
      <c r="AK506" s="1004"/>
      <c r="AL506" s="1004"/>
      <c r="AM506" s="1004"/>
      <c r="AN506" s="1004"/>
      <c r="AO506" s="1004"/>
      <c r="AP506" s="1004"/>
      <c r="AQ506" s="1004"/>
      <c r="AR506" s="1004"/>
      <c r="AS506" s="1004"/>
      <c r="AT506" s="1004"/>
      <c r="AU506" s="1004"/>
      <c r="AV506" s="1004"/>
      <c r="AW506" s="1004"/>
    </row>
    <row r="507" spans="1:49" s="25" customFormat="1" ht="15" customHeight="1">
      <c r="A507" s="1004"/>
      <c r="B507" s="1004"/>
      <c r="C507" s="1004"/>
      <c r="D507" s="166"/>
      <c r="E507" s="166"/>
      <c r="F507" s="166"/>
      <c r="G507" s="166"/>
      <c r="H507" s="166"/>
      <c r="I507" s="1004"/>
      <c r="J507" s="1004"/>
      <c r="K507" s="1004"/>
      <c r="L507" s="777">
        <v>5</v>
      </c>
      <c r="M507" s="778"/>
      <c r="N507" s="976"/>
      <c r="O507" s="1020">
        <v>450</v>
      </c>
      <c r="P507" s="847" t="e">
        <f>VLOOKUP(N507,etat!$A$9:$N$1004,2,FALSE)</f>
        <v>#N/A</v>
      </c>
      <c r="Q507" s="797" t="e">
        <f>VLOOKUP(N507,etat!$A$9:$N$963,7,FALSE)</f>
        <v>#N/A</v>
      </c>
      <c r="R507" s="797" t="e">
        <f>VLOOKUP(N507,etat!$A$9:$N$1003,9,FALSE)</f>
        <v>#N/A</v>
      </c>
      <c r="S507" s="866" t="e">
        <f>VLOOKUP(N507,etat!$A$9:$P$905,16,FALSE)</f>
        <v>#N/A</v>
      </c>
      <c r="T507" s="755"/>
      <c r="U507" s="791"/>
      <c r="V507" s="784"/>
      <c r="W507" s="784"/>
      <c r="X507" s="784"/>
      <c r="Y507" s="975"/>
      <c r="Z507" s="1022"/>
      <c r="AA507" s="967"/>
      <c r="AB507" s="1005"/>
      <c r="AC507" s="1005"/>
      <c r="AD507" s="1005"/>
      <c r="AE507" s="1005"/>
      <c r="AF507" s="1005"/>
      <c r="AG507" s="1004"/>
      <c r="AH507" s="1004"/>
      <c r="AI507" s="1004"/>
      <c r="AJ507" s="1004"/>
      <c r="AK507" s="1004"/>
      <c r="AL507" s="1004"/>
      <c r="AM507" s="1004"/>
      <c r="AN507" s="1004"/>
      <c r="AO507" s="1004"/>
      <c r="AP507" s="1004"/>
      <c r="AQ507" s="1004"/>
      <c r="AR507" s="1004"/>
      <c r="AS507" s="1004"/>
      <c r="AT507" s="1004"/>
      <c r="AU507" s="1004"/>
      <c r="AV507" s="1004"/>
      <c r="AW507" s="1004"/>
    </row>
    <row r="508" spans="1:49" s="25" customFormat="1" ht="15" customHeight="1">
      <c r="A508" s="1004"/>
      <c r="B508" s="1004"/>
      <c r="C508" s="1004"/>
      <c r="D508" s="166"/>
      <c r="E508" s="166"/>
      <c r="F508" s="166"/>
      <c r="G508" s="166"/>
      <c r="H508" s="166"/>
      <c r="I508" s="1004"/>
      <c r="J508" s="1004"/>
      <c r="K508" s="1004"/>
      <c r="L508" s="777">
        <v>5</v>
      </c>
      <c r="M508" s="778"/>
      <c r="N508" s="976"/>
      <c r="O508" s="1020">
        <v>451</v>
      </c>
      <c r="P508" s="847" t="e">
        <f>VLOOKUP(N508,etat!$A$9:$N$1004,2,FALSE)</f>
        <v>#N/A</v>
      </c>
      <c r="Q508" s="797" t="e">
        <f>VLOOKUP(N508,etat!$A$9:$N$963,7,FALSE)</f>
        <v>#N/A</v>
      </c>
      <c r="R508" s="797" t="e">
        <f>VLOOKUP(N508,etat!$A$9:$N$1003,9,FALSE)</f>
        <v>#N/A</v>
      </c>
      <c r="S508" s="866" t="e">
        <f>VLOOKUP(N508,etat!$A$9:$P$905,16,FALSE)</f>
        <v>#N/A</v>
      </c>
      <c r="T508" s="755"/>
      <c r="U508" s="791"/>
      <c r="V508" s="784"/>
      <c r="W508" s="784"/>
      <c r="X508" s="784"/>
      <c r="Y508" s="975"/>
      <c r="Z508" s="1022"/>
      <c r="AA508" s="967"/>
      <c r="AB508" s="1005"/>
      <c r="AC508" s="1005"/>
      <c r="AD508" s="1005"/>
      <c r="AE508" s="1005"/>
      <c r="AF508" s="1005"/>
      <c r="AG508" s="1004"/>
      <c r="AH508" s="1004"/>
      <c r="AI508" s="1004"/>
      <c r="AJ508" s="1004"/>
      <c r="AK508" s="1004"/>
      <c r="AL508" s="1004"/>
      <c r="AM508" s="1004"/>
      <c r="AN508" s="1004"/>
      <c r="AO508" s="1004"/>
      <c r="AP508" s="1004"/>
      <c r="AQ508" s="1004"/>
      <c r="AR508" s="1004"/>
      <c r="AS508" s="1004"/>
      <c r="AT508" s="1004"/>
      <c r="AU508" s="1004"/>
      <c r="AV508" s="1004"/>
      <c r="AW508" s="1004"/>
    </row>
    <row r="509" spans="1:49" s="25" customFormat="1" ht="15" customHeight="1">
      <c r="A509" s="1004"/>
      <c r="B509" s="1004"/>
      <c r="C509" s="1004"/>
      <c r="D509" s="166"/>
      <c r="E509" s="166"/>
      <c r="F509" s="166"/>
      <c r="G509" s="166"/>
      <c r="H509" s="166"/>
      <c r="I509" s="1004"/>
      <c r="J509" s="1004"/>
      <c r="K509" s="1004"/>
      <c r="L509" s="777">
        <v>5</v>
      </c>
      <c r="M509" s="778"/>
      <c r="N509" s="976"/>
      <c r="O509" s="1020">
        <v>452</v>
      </c>
      <c r="P509" s="847" t="e">
        <f>VLOOKUP(N509,etat!$A$9:$N$1004,2,FALSE)</f>
        <v>#N/A</v>
      </c>
      <c r="Q509" s="797" t="e">
        <f>VLOOKUP(N509,etat!$A$9:$N$963,7,FALSE)</f>
        <v>#N/A</v>
      </c>
      <c r="R509" s="797" t="e">
        <f>VLOOKUP(N509,etat!$A$9:$N$1003,9,FALSE)</f>
        <v>#N/A</v>
      </c>
      <c r="S509" s="866" t="e">
        <f>VLOOKUP(N509,etat!$A$9:$P$905,16,FALSE)</f>
        <v>#N/A</v>
      </c>
      <c r="T509" s="755"/>
      <c r="U509" s="791"/>
      <c r="V509" s="784"/>
      <c r="W509" s="784"/>
      <c r="X509" s="784"/>
      <c r="Y509" s="975"/>
      <c r="Z509" s="1022"/>
      <c r="AA509" s="967"/>
      <c r="AB509" s="1005"/>
      <c r="AC509" s="1005"/>
      <c r="AD509" s="1005"/>
      <c r="AE509" s="1005"/>
      <c r="AF509" s="1005"/>
      <c r="AG509" s="1004"/>
      <c r="AH509" s="1004"/>
      <c r="AI509" s="1004"/>
      <c r="AJ509" s="1004"/>
      <c r="AK509" s="1004"/>
      <c r="AL509" s="1004"/>
      <c r="AM509" s="1004"/>
      <c r="AN509" s="1004"/>
      <c r="AO509" s="1004"/>
      <c r="AP509" s="1004"/>
      <c r="AQ509" s="1004"/>
      <c r="AR509" s="1004"/>
      <c r="AS509" s="1004"/>
      <c r="AT509" s="1004"/>
      <c r="AU509" s="1004"/>
      <c r="AV509" s="1004"/>
      <c r="AW509" s="1004"/>
    </row>
    <row r="510" spans="1:49" s="25" customFormat="1" ht="15" customHeight="1">
      <c r="A510" s="1004"/>
      <c r="B510" s="1004"/>
      <c r="C510" s="1004"/>
      <c r="D510" s="166"/>
      <c r="E510" s="166"/>
      <c r="F510" s="166"/>
      <c r="G510" s="166"/>
      <c r="H510" s="166"/>
      <c r="I510" s="1004"/>
      <c r="J510" s="1004"/>
      <c r="K510" s="1004"/>
      <c r="L510" s="777">
        <v>5</v>
      </c>
      <c r="M510" s="778"/>
      <c r="N510" s="976"/>
      <c r="O510" s="1020">
        <v>453</v>
      </c>
      <c r="P510" s="847" t="e">
        <f>VLOOKUP(N510,etat!$A$9:$N$1004,2,FALSE)</f>
        <v>#N/A</v>
      </c>
      <c r="Q510" s="797" t="e">
        <f>VLOOKUP(N510,etat!$A$9:$N$963,7,FALSE)</f>
        <v>#N/A</v>
      </c>
      <c r="R510" s="797" t="e">
        <f>VLOOKUP(N510,etat!$A$9:$N$1003,9,FALSE)</f>
        <v>#N/A</v>
      </c>
      <c r="S510" s="866" t="e">
        <f>VLOOKUP(N510,etat!$A$9:$P$905,16,FALSE)</f>
        <v>#N/A</v>
      </c>
      <c r="T510" s="755"/>
      <c r="U510" s="791"/>
      <c r="V510" s="784"/>
      <c r="W510" s="784"/>
      <c r="X510" s="784"/>
      <c r="Y510" s="975"/>
      <c r="Z510" s="1022"/>
      <c r="AA510" s="967"/>
      <c r="AB510" s="1005"/>
      <c r="AC510" s="1005"/>
      <c r="AD510" s="1005"/>
      <c r="AE510" s="1005"/>
      <c r="AF510" s="1005"/>
      <c r="AG510" s="1004"/>
      <c r="AH510" s="1004"/>
      <c r="AI510" s="1004"/>
      <c r="AJ510" s="1004"/>
      <c r="AK510" s="1004"/>
      <c r="AL510" s="1004"/>
      <c r="AM510" s="1004"/>
      <c r="AN510" s="1004"/>
      <c r="AO510" s="1004"/>
      <c r="AP510" s="1004"/>
      <c r="AQ510" s="1004"/>
      <c r="AR510" s="1004"/>
      <c r="AS510" s="1004"/>
      <c r="AT510" s="1004"/>
      <c r="AU510" s="1004"/>
      <c r="AV510" s="1004"/>
      <c r="AW510" s="1004"/>
    </row>
    <row r="511" spans="1:49" s="25" customFormat="1" ht="15" customHeight="1">
      <c r="A511" s="1004"/>
      <c r="B511" s="1004"/>
      <c r="C511" s="1004"/>
      <c r="D511" s="166"/>
      <c r="E511" s="166"/>
      <c r="F511" s="166"/>
      <c r="G511" s="166"/>
      <c r="H511" s="166"/>
      <c r="I511" s="1004"/>
      <c r="J511" s="1004"/>
      <c r="K511" s="1004"/>
      <c r="L511" s="777">
        <v>5</v>
      </c>
      <c r="M511" s="778"/>
      <c r="N511" s="976"/>
      <c r="O511" s="1020">
        <v>454</v>
      </c>
      <c r="P511" s="847" t="e">
        <f>VLOOKUP(N511,etat!$A$9:$N$1004,2,FALSE)</f>
        <v>#N/A</v>
      </c>
      <c r="Q511" s="797" t="e">
        <f>VLOOKUP(N511,etat!$A$9:$N$963,7,FALSE)</f>
        <v>#N/A</v>
      </c>
      <c r="R511" s="797" t="e">
        <f>VLOOKUP(N511,etat!$A$9:$N$1003,9,FALSE)</f>
        <v>#N/A</v>
      </c>
      <c r="S511" s="866" t="e">
        <f>VLOOKUP(N511,etat!$A$9:$P$905,16,FALSE)</f>
        <v>#N/A</v>
      </c>
      <c r="T511" s="755"/>
      <c r="U511" s="791"/>
      <c r="V511" s="784"/>
      <c r="W511" s="784"/>
      <c r="X511" s="784"/>
      <c r="Y511" s="975"/>
      <c r="Z511" s="1022"/>
      <c r="AA511" s="967"/>
      <c r="AB511" s="1005"/>
      <c r="AC511" s="1005"/>
      <c r="AD511" s="1005"/>
      <c r="AE511" s="1005"/>
      <c r="AF511" s="1005"/>
      <c r="AG511" s="1004"/>
      <c r="AH511" s="1004"/>
      <c r="AI511" s="1004"/>
      <c r="AJ511" s="1004"/>
      <c r="AK511" s="1004"/>
      <c r="AL511" s="1004"/>
      <c r="AM511" s="1004"/>
      <c r="AN511" s="1004"/>
      <c r="AO511" s="1004"/>
      <c r="AP511" s="1004"/>
      <c r="AQ511" s="1004"/>
      <c r="AR511" s="1004"/>
      <c r="AS511" s="1004"/>
      <c r="AT511" s="1004"/>
      <c r="AU511" s="1004"/>
      <c r="AV511" s="1004"/>
      <c r="AW511" s="1004"/>
    </row>
    <row r="512" spans="1:49" s="25" customFormat="1" ht="15" customHeight="1">
      <c r="A512" s="1004"/>
      <c r="B512" s="1004"/>
      <c r="C512" s="1004"/>
      <c r="D512" s="166"/>
      <c r="E512" s="166"/>
      <c r="F512" s="166"/>
      <c r="G512" s="166"/>
      <c r="H512" s="166"/>
      <c r="I512" s="1004"/>
      <c r="J512" s="1004"/>
      <c r="K512" s="1004"/>
      <c r="L512" s="777">
        <v>5</v>
      </c>
      <c r="M512" s="778"/>
      <c r="N512" s="976"/>
      <c r="O512" s="1020">
        <v>455</v>
      </c>
      <c r="P512" s="847" t="e">
        <f>VLOOKUP(N512,etat!$A$9:$N$1004,2,FALSE)</f>
        <v>#N/A</v>
      </c>
      <c r="Q512" s="797" t="e">
        <f>VLOOKUP(N512,etat!$A$9:$N$963,7,FALSE)</f>
        <v>#N/A</v>
      </c>
      <c r="R512" s="797" t="e">
        <f>VLOOKUP(N512,etat!$A$9:$N$1003,9,FALSE)</f>
        <v>#N/A</v>
      </c>
      <c r="S512" s="866" t="e">
        <f>VLOOKUP(N512,etat!$A$9:$P$905,16,FALSE)</f>
        <v>#N/A</v>
      </c>
      <c r="T512" s="755"/>
      <c r="U512" s="791"/>
      <c r="V512" s="784"/>
      <c r="W512" s="784"/>
      <c r="X512" s="784"/>
      <c r="Y512" s="975"/>
      <c r="Z512" s="1022"/>
      <c r="AA512" s="967"/>
      <c r="AB512" s="1005"/>
      <c r="AC512" s="1005"/>
      <c r="AD512" s="1005"/>
      <c r="AE512" s="1005"/>
      <c r="AF512" s="1005"/>
      <c r="AG512" s="1004"/>
      <c r="AH512" s="1004"/>
      <c r="AI512" s="1004"/>
      <c r="AJ512" s="1004"/>
      <c r="AK512" s="1004"/>
      <c r="AL512" s="1004"/>
      <c r="AM512" s="1004"/>
      <c r="AN512" s="1004"/>
      <c r="AO512" s="1004"/>
      <c r="AP512" s="1004"/>
      <c r="AQ512" s="1004"/>
      <c r="AR512" s="1004"/>
      <c r="AS512" s="1004"/>
      <c r="AT512" s="1004"/>
      <c r="AU512" s="1004"/>
      <c r="AV512" s="1004"/>
      <c r="AW512" s="1004"/>
    </row>
    <row r="513" spans="1:49" s="25" customFormat="1" ht="15" customHeight="1">
      <c r="A513" s="1004"/>
      <c r="B513" s="1004"/>
      <c r="C513" s="1004"/>
      <c r="D513" s="166"/>
      <c r="E513" s="166"/>
      <c r="F513" s="166"/>
      <c r="G513" s="166"/>
      <c r="H513" s="166"/>
      <c r="I513" s="1004"/>
      <c r="J513" s="1004"/>
      <c r="K513" s="1004"/>
      <c r="L513" s="777">
        <v>5</v>
      </c>
      <c r="M513" s="778"/>
      <c r="N513" s="976"/>
      <c r="O513" s="1020">
        <v>456</v>
      </c>
      <c r="P513" s="847" t="e">
        <f>VLOOKUP(N513,etat!$A$9:$N$1004,2,FALSE)</f>
        <v>#N/A</v>
      </c>
      <c r="Q513" s="797" t="e">
        <f>VLOOKUP(N513,etat!$A$9:$N$963,7,FALSE)</f>
        <v>#N/A</v>
      </c>
      <c r="R513" s="797" t="e">
        <f>VLOOKUP(N513,etat!$A$9:$N$1003,9,FALSE)</f>
        <v>#N/A</v>
      </c>
      <c r="S513" s="866" t="e">
        <f>VLOOKUP(N513,etat!$A$9:$P$905,16,FALSE)</f>
        <v>#N/A</v>
      </c>
      <c r="T513" s="755"/>
      <c r="U513" s="791"/>
      <c r="V513" s="784"/>
      <c r="W513" s="784"/>
      <c r="X513" s="784"/>
      <c r="Y513" s="975"/>
      <c r="Z513" s="1022"/>
      <c r="AA513" s="967"/>
      <c r="AB513" s="1005"/>
      <c r="AC513" s="1005"/>
      <c r="AD513" s="1005"/>
      <c r="AE513" s="1005"/>
      <c r="AF513" s="1005"/>
      <c r="AG513" s="1004"/>
      <c r="AH513" s="1004"/>
      <c r="AI513" s="1004"/>
      <c r="AJ513" s="1004"/>
      <c r="AK513" s="1004"/>
      <c r="AL513" s="1004"/>
      <c r="AM513" s="1004"/>
      <c r="AN513" s="1004"/>
      <c r="AO513" s="1004"/>
      <c r="AP513" s="1004"/>
      <c r="AQ513" s="1004"/>
      <c r="AR513" s="1004"/>
      <c r="AS513" s="1004"/>
      <c r="AT513" s="1004"/>
      <c r="AU513" s="1004"/>
      <c r="AV513" s="1004"/>
      <c r="AW513" s="1004"/>
    </row>
    <row r="514" spans="1:49" s="25" customFormat="1" ht="15" customHeight="1">
      <c r="A514" s="1004"/>
      <c r="B514" s="1004"/>
      <c r="C514" s="1004"/>
      <c r="D514" s="166"/>
      <c r="E514" s="166"/>
      <c r="F514" s="166"/>
      <c r="G514" s="166"/>
      <c r="H514" s="166"/>
      <c r="I514" s="1004"/>
      <c r="J514" s="1004"/>
      <c r="K514" s="1004"/>
      <c r="L514" s="777">
        <v>5</v>
      </c>
      <c r="M514" s="778"/>
      <c r="N514" s="976"/>
      <c r="O514" s="1020">
        <v>457</v>
      </c>
      <c r="P514" s="847" t="e">
        <f>VLOOKUP(N514,etat!$A$9:$N$1004,2,FALSE)</f>
        <v>#N/A</v>
      </c>
      <c r="Q514" s="797" t="e">
        <f>VLOOKUP(N514,etat!$A$9:$N$963,7,FALSE)</f>
        <v>#N/A</v>
      </c>
      <c r="R514" s="797" t="e">
        <f>VLOOKUP(N514,etat!$A$9:$N$1003,9,FALSE)</f>
        <v>#N/A</v>
      </c>
      <c r="S514" s="866" t="e">
        <f>VLOOKUP(N514,etat!$A$9:$P$905,16,FALSE)</f>
        <v>#N/A</v>
      </c>
      <c r="T514" s="755"/>
      <c r="U514" s="791"/>
      <c r="V514" s="784"/>
      <c r="W514" s="784"/>
      <c r="X514" s="784"/>
      <c r="Y514" s="975"/>
      <c r="Z514" s="1022"/>
      <c r="AA514" s="967"/>
      <c r="AB514" s="1005"/>
      <c r="AC514" s="1005"/>
      <c r="AD514" s="1005"/>
      <c r="AE514" s="1005"/>
      <c r="AF514" s="1005"/>
      <c r="AG514" s="1004"/>
      <c r="AH514" s="1004"/>
      <c r="AI514" s="1004"/>
      <c r="AJ514" s="1004"/>
      <c r="AK514" s="1004"/>
      <c r="AL514" s="1004"/>
      <c r="AM514" s="1004"/>
      <c r="AN514" s="1004"/>
      <c r="AO514" s="1004"/>
      <c r="AP514" s="1004"/>
      <c r="AQ514" s="1004"/>
      <c r="AR514" s="1004"/>
      <c r="AS514" s="1004"/>
      <c r="AT514" s="1004"/>
      <c r="AU514" s="1004"/>
      <c r="AV514" s="1004"/>
      <c r="AW514" s="1004"/>
    </row>
    <row r="515" spans="1:49" s="25" customFormat="1" ht="15" customHeight="1">
      <c r="A515" s="1004"/>
      <c r="B515" s="1004"/>
      <c r="C515" s="1004"/>
      <c r="D515" s="166"/>
      <c r="E515" s="166"/>
      <c r="F515" s="166"/>
      <c r="G515" s="166"/>
      <c r="H515" s="166"/>
      <c r="I515" s="1004"/>
      <c r="J515" s="1004"/>
      <c r="K515" s="1004"/>
      <c r="L515" s="777">
        <v>5</v>
      </c>
      <c r="M515" s="778"/>
      <c r="N515" s="976"/>
      <c r="O515" s="1020">
        <v>458</v>
      </c>
      <c r="P515" s="847" t="e">
        <f>VLOOKUP(N515,etat!$A$9:$N$1004,2,FALSE)</f>
        <v>#N/A</v>
      </c>
      <c r="Q515" s="797" t="e">
        <f>VLOOKUP(N515,etat!$A$9:$N$963,7,FALSE)</f>
        <v>#N/A</v>
      </c>
      <c r="R515" s="797" t="e">
        <f>VLOOKUP(N515,etat!$A$9:$N$1003,9,FALSE)</f>
        <v>#N/A</v>
      </c>
      <c r="S515" s="866" t="e">
        <f>VLOOKUP(N515,etat!$A$9:$P$905,16,FALSE)</f>
        <v>#N/A</v>
      </c>
      <c r="T515" s="755"/>
      <c r="U515" s="791"/>
      <c r="V515" s="784"/>
      <c r="W515" s="784"/>
      <c r="X515" s="784"/>
      <c r="Y515" s="975"/>
      <c r="Z515" s="1022"/>
      <c r="AA515" s="967"/>
      <c r="AB515" s="1005"/>
      <c r="AC515" s="1005"/>
      <c r="AD515" s="1005"/>
      <c r="AE515" s="1005"/>
      <c r="AF515" s="1005"/>
      <c r="AG515" s="1004"/>
      <c r="AH515" s="1004"/>
      <c r="AI515" s="1004"/>
      <c r="AJ515" s="1004"/>
      <c r="AK515" s="1004"/>
      <c r="AL515" s="1004"/>
      <c r="AM515" s="1004"/>
      <c r="AN515" s="1004"/>
      <c r="AO515" s="1004"/>
      <c r="AP515" s="1004"/>
      <c r="AQ515" s="1004"/>
      <c r="AR515" s="1004"/>
      <c r="AS515" s="1004"/>
      <c r="AT515" s="1004"/>
      <c r="AU515" s="1004"/>
      <c r="AV515" s="1004"/>
      <c r="AW515" s="1004"/>
    </row>
    <row r="516" spans="1:49" s="25" customFormat="1" ht="15" customHeight="1">
      <c r="A516" s="1004"/>
      <c r="B516" s="1004"/>
      <c r="C516" s="1004"/>
      <c r="D516" s="166"/>
      <c r="E516" s="166"/>
      <c r="F516" s="166"/>
      <c r="G516" s="166"/>
      <c r="H516" s="166"/>
      <c r="I516" s="1004"/>
      <c r="J516" s="1004"/>
      <c r="K516" s="1004"/>
      <c r="L516" s="777">
        <v>5</v>
      </c>
      <c r="M516" s="778"/>
      <c r="N516" s="976"/>
      <c r="O516" s="1020">
        <v>459</v>
      </c>
      <c r="P516" s="847" t="e">
        <f>VLOOKUP(N516,etat!$A$9:$N$1004,2,FALSE)</f>
        <v>#N/A</v>
      </c>
      <c r="Q516" s="797" t="e">
        <f>VLOOKUP(N516,etat!$A$9:$N$963,7,FALSE)</f>
        <v>#N/A</v>
      </c>
      <c r="R516" s="797" t="e">
        <f>VLOOKUP(N516,etat!$A$9:$N$1003,9,FALSE)</f>
        <v>#N/A</v>
      </c>
      <c r="S516" s="866" t="e">
        <f>VLOOKUP(N516,etat!$A$9:$P$905,16,FALSE)</f>
        <v>#N/A</v>
      </c>
      <c r="T516" s="755"/>
      <c r="U516" s="791"/>
      <c r="V516" s="784"/>
      <c r="W516" s="784"/>
      <c r="X516" s="784"/>
      <c r="Y516" s="975"/>
      <c r="Z516" s="1022"/>
      <c r="AA516" s="967"/>
      <c r="AB516" s="1005"/>
      <c r="AC516" s="1005"/>
      <c r="AD516" s="1005"/>
      <c r="AE516" s="1005"/>
      <c r="AF516" s="1005"/>
      <c r="AG516" s="1004"/>
      <c r="AH516" s="1004"/>
      <c r="AI516" s="1004"/>
      <c r="AJ516" s="1004"/>
      <c r="AK516" s="1004"/>
      <c r="AL516" s="1004"/>
      <c r="AM516" s="1004"/>
      <c r="AN516" s="1004"/>
      <c r="AO516" s="1004"/>
      <c r="AP516" s="1004"/>
      <c r="AQ516" s="1004"/>
      <c r="AR516" s="1004"/>
      <c r="AS516" s="1004"/>
      <c r="AT516" s="1004"/>
      <c r="AU516" s="1004"/>
      <c r="AV516" s="1004"/>
      <c r="AW516" s="1004"/>
    </row>
    <row r="517" spans="1:49" s="25" customFormat="1" ht="15" customHeight="1">
      <c r="A517" s="1004"/>
      <c r="B517" s="1004"/>
      <c r="C517" s="1004"/>
      <c r="D517" s="166"/>
      <c r="E517" s="166"/>
      <c r="F517" s="166"/>
      <c r="G517" s="166"/>
      <c r="H517" s="166"/>
      <c r="I517" s="1004"/>
      <c r="J517" s="1004"/>
      <c r="K517" s="1004"/>
      <c r="L517" s="777">
        <v>5</v>
      </c>
      <c r="M517" s="778"/>
      <c r="N517" s="976"/>
      <c r="O517" s="1020">
        <v>460</v>
      </c>
      <c r="P517" s="847" t="e">
        <f>VLOOKUP(N517,etat!$A$9:$N$1004,2,FALSE)</f>
        <v>#N/A</v>
      </c>
      <c r="Q517" s="797" t="e">
        <f>VLOOKUP(N517,etat!$A$9:$N$963,7,FALSE)</f>
        <v>#N/A</v>
      </c>
      <c r="R517" s="797" t="e">
        <f>VLOOKUP(N517,etat!$A$9:$N$1003,9,FALSE)</f>
        <v>#N/A</v>
      </c>
      <c r="S517" s="866" t="e">
        <f>VLOOKUP(N517,etat!$A$9:$P$905,16,FALSE)</f>
        <v>#N/A</v>
      </c>
      <c r="T517" s="755"/>
      <c r="U517" s="791"/>
      <c r="V517" s="784"/>
      <c r="W517" s="784"/>
      <c r="X517" s="784"/>
      <c r="Y517" s="975"/>
      <c r="Z517" s="1022"/>
      <c r="AA517" s="967"/>
      <c r="AB517" s="1005"/>
      <c r="AC517" s="1005"/>
      <c r="AD517" s="1005"/>
      <c r="AE517" s="1005"/>
      <c r="AF517" s="1005"/>
      <c r="AG517" s="1004"/>
      <c r="AH517" s="1004"/>
      <c r="AI517" s="1004"/>
      <c r="AJ517" s="1004"/>
      <c r="AK517" s="1004"/>
      <c r="AL517" s="1004"/>
      <c r="AM517" s="1004"/>
      <c r="AN517" s="1004"/>
      <c r="AO517" s="1004"/>
      <c r="AP517" s="1004"/>
      <c r="AQ517" s="1004"/>
      <c r="AR517" s="1004"/>
      <c r="AS517" s="1004"/>
      <c r="AT517" s="1004"/>
      <c r="AU517" s="1004"/>
      <c r="AV517" s="1004"/>
      <c r="AW517" s="1004"/>
    </row>
    <row r="518" spans="1:49" s="25" customFormat="1" ht="15" customHeight="1">
      <c r="A518" s="1004"/>
      <c r="B518" s="1004"/>
      <c r="C518" s="1004"/>
      <c r="D518" s="166"/>
      <c r="E518" s="166"/>
      <c r="F518" s="166"/>
      <c r="G518" s="166"/>
      <c r="H518" s="166"/>
      <c r="I518" s="1004"/>
      <c r="J518" s="1004"/>
      <c r="K518" s="1004"/>
      <c r="L518" s="777">
        <v>5</v>
      </c>
      <c r="M518" s="778"/>
      <c r="N518" s="976"/>
      <c r="O518" s="1020">
        <v>461</v>
      </c>
      <c r="P518" s="847" t="e">
        <f>VLOOKUP(N518,etat!$A$9:$N$1004,2,FALSE)</f>
        <v>#N/A</v>
      </c>
      <c r="Q518" s="797" t="e">
        <f>VLOOKUP(N518,etat!$A$9:$N$963,7,FALSE)</f>
        <v>#N/A</v>
      </c>
      <c r="R518" s="797" t="e">
        <f>VLOOKUP(N518,etat!$A$9:$N$1003,9,FALSE)</f>
        <v>#N/A</v>
      </c>
      <c r="S518" s="866" t="e">
        <f>VLOOKUP(N518,etat!$A$9:$P$905,16,FALSE)</f>
        <v>#N/A</v>
      </c>
      <c r="T518" s="755"/>
      <c r="U518" s="791"/>
      <c r="V518" s="784"/>
      <c r="W518" s="784"/>
      <c r="X518" s="784"/>
      <c r="Y518" s="975"/>
      <c r="Z518" s="1022"/>
      <c r="AA518" s="967"/>
      <c r="AB518" s="1005"/>
      <c r="AC518" s="1005"/>
      <c r="AD518" s="1005"/>
      <c r="AE518" s="1005"/>
      <c r="AF518" s="1005"/>
      <c r="AG518" s="1004"/>
      <c r="AH518" s="1004"/>
      <c r="AI518" s="1004"/>
      <c r="AJ518" s="1004"/>
      <c r="AK518" s="1004"/>
      <c r="AL518" s="1004"/>
      <c r="AM518" s="1004"/>
      <c r="AN518" s="1004"/>
      <c r="AO518" s="1004"/>
      <c r="AP518" s="1004"/>
      <c r="AQ518" s="1004"/>
      <c r="AR518" s="1004"/>
      <c r="AS518" s="1004"/>
      <c r="AT518" s="1004"/>
      <c r="AU518" s="1004"/>
      <c r="AV518" s="1004"/>
      <c r="AW518" s="1004"/>
    </row>
    <row r="519" spans="1:49" s="25" customFormat="1" ht="15" customHeight="1">
      <c r="A519" s="1004"/>
      <c r="B519" s="1004"/>
      <c r="C519" s="1004"/>
      <c r="D519" s="166"/>
      <c r="E519" s="166"/>
      <c r="F519" s="166"/>
      <c r="G519" s="166"/>
      <c r="H519" s="166"/>
      <c r="I519" s="1004"/>
      <c r="J519" s="1004"/>
      <c r="K519" s="1004"/>
      <c r="L519" s="777">
        <v>5</v>
      </c>
      <c r="M519" s="778"/>
      <c r="N519" s="976"/>
      <c r="O519" s="1020">
        <v>462</v>
      </c>
      <c r="P519" s="847" t="e">
        <f>VLOOKUP(N519,etat!$A$9:$N$1004,2,FALSE)</f>
        <v>#N/A</v>
      </c>
      <c r="Q519" s="797" t="e">
        <f>VLOOKUP(N519,etat!$A$9:$N$963,7,FALSE)</f>
        <v>#N/A</v>
      </c>
      <c r="R519" s="797" t="e">
        <f>VLOOKUP(N519,etat!$A$9:$N$1003,9,FALSE)</f>
        <v>#N/A</v>
      </c>
      <c r="S519" s="866" t="e">
        <f>VLOOKUP(N519,etat!$A$9:$P$905,16,FALSE)</f>
        <v>#N/A</v>
      </c>
      <c r="T519" s="755"/>
      <c r="U519" s="791"/>
      <c r="V519" s="784"/>
      <c r="W519" s="784"/>
      <c r="X519" s="784"/>
      <c r="Y519" s="975"/>
      <c r="Z519" s="1022"/>
      <c r="AA519" s="967"/>
      <c r="AB519" s="1005"/>
      <c r="AC519" s="1005"/>
      <c r="AD519" s="1005"/>
      <c r="AE519" s="1005"/>
      <c r="AF519" s="1005"/>
      <c r="AG519" s="1004"/>
      <c r="AH519" s="1004"/>
      <c r="AI519" s="1004"/>
      <c r="AJ519" s="1004"/>
      <c r="AK519" s="1004"/>
      <c r="AL519" s="1004"/>
      <c r="AM519" s="1004"/>
      <c r="AN519" s="1004"/>
      <c r="AO519" s="1004"/>
      <c r="AP519" s="1004"/>
      <c r="AQ519" s="1004"/>
      <c r="AR519" s="1004"/>
      <c r="AS519" s="1004"/>
      <c r="AT519" s="1004"/>
      <c r="AU519" s="1004"/>
      <c r="AV519" s="1004"/>
      <c r="AW519" s="1004"/>
    </row>
    <row r="520" spans="1:49" s="25" customFormat="1" ht="15" customHeight="1">
      <c r="A520" s="1004"/>
      <c r="B520" s="1004"/>
      <c r="C520" s="1004"/>
      <c r="D520" s="166"/>
      <c r="E520" s="166"/>
      <c r="F520" s="166"/>
      <c r="G520" s="166"/>
      <c r="H520" s="166"/>
      <c r="I520" s="1004"/>
      <c r="J520" s="1004"/>
      <c r="K520" s="1004"/>
      <c r="L520" s="777">
        <v>5</v>
      </c>
      <c r="M520" s="778"/>
      <c r="N520" s="976"/>
      <c r="O520" s="1020">
        <v>463</v>
      </c>
      <c r="P520" s="847" t="e">
        <f>VLOOKUP(N520,etat!$A$9:$N$1004,2,FALSE)</f>
        <v>#N/A</v>
      </c>
      <c r="Q520" s="797" t="e">
        <f>VLOOKUP(N520,etat!$A$9:$N$963,7,FALSE)</f>
        <v>#N/A</v>
      </c>
      <c r="R520" s="797" t="e">
        <f>VLOOKUP(N520,etat!$A$9:$N$1003,9,FALSE)</f>
        <v>#N/A</v>
      </c>
      <c r="S520" s="866" t="e">
        <f>VLOOKUP(N520,etat!$A$9:$P$905,16,FALSE)</f>
        <v>#N/A</v>
      </c>
      <c r="T520" s="755"/>
      <c r="U520" s="791"/>
      <c r="V520" s="784"/>
      <c r="W520" s="784"/>
      <c r="X520" s="784"/>
      <c r="Y520" s="975"/>
      <c r="Z520" s="1022"/>
      <c r="AA520" s="967"/>
      <c r="AB520" s="1005"/>
      <c r="AC520" s="1005"/>
      <c r="AD520" s="1005"/>
      <c r="AE520" s="1005"/>
      <c r="AF520" s="1005"/>
      <c r="AG520" s="1004"/>
      <c r="AH520" s="1004"/>
      <c r="AI520" s="1004"/>
      <c r="AJ520" s="1004"/>
      <c r="AK520" s="1004"/>
      <c r="AL520" s="1004"/>
      <c r="AM520" s="1004"/>
      <c r="AN520" s="1004"/>
      <c r="AO520" s="1004"/>
      <c r="AP520" s="1004"/>
      <c r="AQ520" s="1004"/>
      <c r="AR520" s="1004"/>
      <c r="AS520" s="1004"/>
      <c r="AT520" s="1004"/>
      <c r="AU520" s="1004"/>
      <c r="AV520" s="1004"/>
      <c r="AW520" s="1004"/>
    </row>
    <row r="521" spans="1:49" s="25" customFormat="1" ht="15" customHeight="1">
      <c r="A521" s="1004"/>
      <c r="B521" s="1004"/>
      <c r="C521" s="1004"/>
      <c r="D521" s="166"/>
      <c r="E521" s="166"/>
      <c r="F521" s="166"/>
      <c r="G521" s="166"/>
      <c r="H521" s="166"/>
      <c r="I521" s="1004"/>
      <c r="J521" s="1004"/>
      <c r="K521" s="1004"/>
      <c r="L521" s="777">
        <v>5</v>
      </c>
      <c r="M521" s="778"/>
      <c r="N521" s="976"/>
      <c r="O521" s="1020">
        <v>464</v>
      </c>
      <c r="P521" s="847" t="e">
        <f>VLOOKUP(N521,etat!$A$9:$N$1004,2,FALSE)</f>
        <v>#N/A</v>
      </c>
      <c r="Q521" s="797" t="e">
        <f>VLOOKUP(N521,etat!$A$9:$N$963,7,FALSE)</f>
        <v>#N/A</v>
      </c>
      <c r="R521" s="797" t="e">
        <f>VLOOKUP(N521,etat!$A$9:$N$1003,9,FALSE)</f>
        <v>#N/A</v>
      </c>
      <c r="S521" s="866" t="e">
        <f>VLOOKUP(N521,etat!$A$9:$P$905,16,FALSE)</f>
        <v>#N/A</v>
      </c>
      <c r="T521" s="755"/>
      <c r="U521" s="791"/>
      <c r="V521" s="784"/>
      <c r="W521" s="784"/>
      <c r="X521" s="784"/>
      <c r="Y521" s="975"/>
      <c r="Z521" s="1022"/>
      <c r="AA521" s="967"/>
      <c r="AB521" s="1005"/>
      <c r="AC521" s="1005"/>
      <c r="AD521" s="1005"/>
      <c r="AE521" s="1005"/>
      <c r="AF521" s="1005"/>
      <c r="AG521" s="1004"/>
      <c r="AH521" s="1004"/>
      <c r="AI521" s="1004"/>
      <c r="AJ521" s="1004"/>
      <c r="AK521" s="1004"/>
      <c r="AL521" s="1004"/>
      <c r="AM521" s="1004"/>
      <c r="AN521" s="1004"/>
      <c r="AO521" s="1004"/>
      <c r="AP521" s="1004"/>
      <c r="AQ521" s="1004"/>
      <c r="AR521" s="1004"/>
      <c r="AS521" s="1004"/>
      <c r="AT521" s="1004"/>
      <c r="AU521" s="1004"/>
      <c r="AV521" s="1004"/>
      <c r="AW521" s="1004"/>
    </row>
    <row r="522" spans="1:49" s="25" customFormat="1" ht="15" customHeight="1">
      <c r="A522" s="1004"/>
      <c r="B522" s="1004"/>
      <c r="C522" s="1004"/>
      <c r="D522" s="166"/>
      <c r="E522" s="166"/>
      <c r="F522" s="166"/>
      <c r="G522" s="166"/>
      <c r="H522" s="166"/>
      <c r="I522" s="1004"/>
      <c r="J522" s="1004"/>
      <c r="K522" s="1004"/>
      <c r="L522" s="777">
        <v>5</v>
      </c>
      <c r="M522" s="778"/>
      <c r="N522" s="976"/>
      <c r="O522" s="1020">
        <v>465</v>
      </c>
      <c r="P522" s="847" t="e">
        <f>VLOOKUP(N522,etat!$A$9:$N$1004,2,FALSE)</f>
        <v>#N/A</v>
      </c>
      <c r="Q522" s="797" t="e">
        <f>VLOOKUP(N522,etat!$A$9:$N$963,7,FALSE)</f>
        <v>#N/A</v>
      </c>
      <c r="R522" s="797" t="e">
        <f>VLOOKUP(N522,etat!$A$9:$N$1003,9,FALSE)</f>
        <v>#N/A</v>
      </c>
      <c r="S522" s="866" t="e">
        <f>VLOOKUP(N522,etat!$A$9:$P$905,16,FALSE)</f>
        <v>#N/A</v>
      </c>
      <c r="T522" s="755"/>
      <c r="U522" s="791"/>
      <c r="V522" s="784"/>
      <c r="W522" s="784"/>
      <c r="X522" s="784"/>
      <c r="Y522" s="975"/>
      <c r="Z522" s="1022"/>
      <c r="AA522" s="967"/>
      <c r="AB522" s="1005"/>
      <c r="AC522" s="1005"/>
      <c r="AD522" s="1005"/>
      <c r="AE522" s="1005"/>
      <c r="AF522" s="1005"/>
      <c r="AG522" s="1004"/>
      <c r="AH522" s="1004"/>
      <c r="AI522" s="1004"/>
      <c r="AJ522" s="1004"/>
      <c r="AK522" s="1004"/>
      <c r="AL522" s="1004"/>
      <c r="AM522" s="1004"/>
      <c r="AN522" s="1004"/>
      <c r="AO522" s="1004"/>
      <c r="AP522" s="1004"/>
      <c r="AQ522" s="1004"/>
      <c r="AR522" s="1004"/>
      <c r="AS522" s="1004"/>
      <c r="AT522" s="1004"/>
      <c r="AU522" s="1004"/>
      <c r="AV522" s="1004"/>
      <c r="AW522" s="1004"/>
    </row>
    <row r="523" spans="1:49" s="25" customFormat="1" ht="15" customHeight="1">
      <c r="A523" s="1004"/>
      <c r="B523" s="1004"/>
      <c r="C523" s="1004"/>
      <c r="D523" s="166"/>
      <c r="E523" s="166"/>
      <c r="F523" s="166"/>
      <c r="G523" s="166"/>
      <c r="H523" s="166"/>
      <c r="I523" s="1004"/>
      <c r="J523" s="1004"/>
      <c r="K523" s="1004"/>
      <c r="L523" s="777">
        <v>5</v>
      </c>
      <c r="M523" s="778"/>
      <c r="N523" s="976"/>
      <c r="O523" s="1020">
        <v>466</v>
      </c>
      <c r="P523" s="847" t="e">
        <f>VLOOKUP(N523,etat!$A$9:$N$1004,2,FALSE)</f>
        <v>#N/A</v>
      </c>
      <c r="Q523" s="797" t="e">
        <f>VLOOKUP(N523,etat!$A$9:$N$963,7,FALSE)</f>
        <v>#N/A</v>
      </c>
      <c r="R523" s="797" t="e">
        <f>VLOOKUP(N523,etat!$A$9:$N$1003,9,FALSE)</f>
        <v>#N/A</v>
      </c>
      <c r="S523" s="866" t="e">
        <f>VLOOKUP(N523,etat!$A$9:$P$905,16,FALSE)</f>
        <v>#N/A</v>
      </c>
      <c r="T523" s="755"/>
      <c r="U523" s="791"/>
      <c r="V523" s="784"/>
      <c r="W523" s="784"/>
      <c r="X523" s="784"/>
      <c r="Y523" s="975"/>
      <c r="Z523" s="1022"/>
      <c r="AA523" s="967"/>
      <c r="AB523" s="1005"/>
      <c r="AC523" s="1005"/>
      <c r="AD523" s="1005"/>
      <c r="AE523" s="1005"/>
      <c r="AF523" s="1005"/>
      <c r="AG523" s="1004"/>
      <c r="AH523" s="1004"/>
      <c r="AI523" s="1004"/>
      <c r="AJ523" s="1004"/>
      <c r="AK523" s="1004"/>
      <c r="AL523" s="1004"/>
      <c r="AM523" s="1004"/>
      <c r="AN523" s="1004"/>
      <c r="AO523" s="1004"/>
      <c r="AP523" s="1004"/>
      <c r="AQ523" s="1004"/>
      <c r="AR523" s="1004"/>
      <c r="AS523" s="1004"/>
      <c r="AT523" s="1004"/>
      <c r="AU523" s="1004"/>
      <c r="AV523" s="1004"/>
      <c r="AW523" s="1004"/>
    </row>
    <row r="524" spans="1:49" s="25" customFormat="1" ht="15" customHeight="1">
      <c r="A524" s="1004"/>
      <c r="B524" s="1004"/>
      <c r="C524" s="1004"/>
      <c r="D524" s="166"/>
      <c r="E524" s="166"/>
      <c r="F524" s="166"/>
      <c r="G524" s="166"/>
      <c r="H524" s="166"/>
      <c r="I524" s="1004"/>
      <c r="J524" s="1004"/>
      <c r="K524" s="1004"/>
      <c r="L524" s="777">
        <v>5</v>
      </c>
      <c r="M524" s="778"/>
      <c r="N524" s="976"/>
      <c r="O524" s="1020">
        <v>467</v>
      </c>
      <c r="P524" s="847" t="e">
        <f>VLOOKUP(N524,etat!$A$9:$N$1004,2,FALSE)</f>
        <v>#N/A</v>
      </c>
      <c r="Q524" s="797" t="e">
        <f>VLOOKUP(N524,etat!$A$9:$N$963,7,FALSE)</f>
        <v>#N/A</v>
      </c>
      <c r="R524" s="797" t="e">
        <f>VLOOKUP(N524,etat!$A$9:$N$1003,9,FALSE)</f>
        <v>#N/A</v>
      </c>
      <c r="S524" s="866" t="e">
        <f>VLOOKUP(N524,etat!$A$9:$P$905,16,FALSE)</f>
        <v>#N/A</v>
      </c>
      <c r="T524" s="755"/>
      <c r="U524" s="791"/>
      <c r="V524" s="784"/>
      <c r="W524" s="784"/>
      <c r="X524" s="784"/>
      <c r="Y524" s="975"/>
      <c r="Z524" s="1022"/>
      <c r="AA524" s="967"/>
      <c r="AB524" s="1005"/>
      <c r="AC524" s="1005"/>
      <c r="AD524" s="1005"/>
      <c r="AE524" s="1005"/>
      <c r="AF524" s="1005"/>
      <c r="AG524" s="1004"/>
      <c r="AH524" s="1004"/>
      <c r="AI524" s="1004"/>
      <c r="AJ524" s="1004"/>
      <c r="AK524" s="1004"/>
      <c r="AL524" s="1004"/>
      <c r="AM524" s="1004"/>
      <c r="AN524" s="1004"/>
      <c r="AO524" s="1004"/>
      <c r="AP524" s="1004"/>
      <c r="AQ524" s="1004"/>
      <c r="AR524" s="1004"/>
      <c r="AS524" s="1004"/>
      <c r="AT524" s="1004"/>
      <c r="AU524" s="1004"/>
      <c r="AV524" s="1004"/>
      <c r="AW524" s="1004"/>
    </row>
    <row r="525" spans="1:49" s="25" customFormat="1" ht="15" customHeight="1">
      <c r="A525" s="1004"/>
      <c r="B525" s="1004"/>
      <c r="C525" s="1004"/>
      <c r="D525" s="166"/>
      <c r="E525" s="166"/>
      <c r="F525" s="166"/>
      <c r="G525" s="166"/>
      <c r="H525" s="166"/>
      <c r="I525" s="1004"/>
      <c r="J525" s="1004"/>
      <c r="K525" s="1004"/>
      <c r="L525" s="777">
        <v>5</v>
      </c>
      <c r="M525" s="778"/>
      <c r="N525" s="976"/>
      <c r="O525" s="1020">
        <v>468</v>
      </c>
      <c r="P525" s="847" t="e">
        <f>VLOOKUP(N525,etat!$A$9:$N$1004,2,FALSE)</f>
        <v>#N/A</v>
      </c>
      <c r="Q525" s="797" t="e">
        <f>VLOOKUP(N525,etat!$A$9:$N$963,7,FALSE)</f>
        <v>#N/A</v>
      </c>
      <c r="R525" s="797" t="e">
        <f>VLOOKUP(N525,etat!$A$9:$N$1003,9,FALSE)</f>
        <v>#N/A</v>
      </c>
      <c r="S525" s="866" t="e">
        <f>VLOOKUP(N525,etat!$A$9:$P$905,16,FALSE)</f>
        <v>#N/A</v>
      </c>
      <c r="T525" s="755"/>
      <c r="U525" s="791"/>
      <c r="V525" s="784"/>
      <c r="W525" s="784"/>
      <c r="X525" s="784"/>
      <c r="Y525" s="975"/>
      <c r="Z525" s="1022"/>
      <c r="AA525" s="967"/>
      <c r="AB525" s="1005"/>
      <c r="AC525" s="1005"/>
      <c r="AD525" s="1005"/>
      <c r="AE525" s="1005"/>
      <c r="AF525" s="1005"/>
      <c r="AG525" s="1004"/>
      <c r="AH525" s="1004"/>
      <c r="AI525" s="1004"/>
      <c r="AJ525" s="1004"/>
      <c r="AK525" s="1004"/>
      <c r="AL525" s="1004"/>
      <c r="AM525" s="1004"/>
      <c r="AN525" s="1004"/>
      <c r="AO525" s="1004"/>
      <c r="AP525" s="1004"/>
      <c r="AQ525" s="1004"/>
      <c r="AR525" s="1004"/>
      <c r="AS525" s="1004"/>
      <c r="AT525" s="1004"/>
      <c r="AU525" s="1004"/>
      <c r="AV525" s="1004"/>
      <c r="AW525" s="1004"/>
    </row>
    <row r="526" spans="1:49" s="25" customFormat="1" ht="15" customHeight="1">
      <c r="A526" s="1004"/>
      <c r="B526" s="1004"/>
      <c r="C526" s="1004"/>
      <c r="D526" s="166"/>
      <c r="E526" s="166"/>
      <c r="F526" s="166"/>
      <c r="G526" s="166"/>
      <c r="H526" s="166"/>
      <c r="I526" s="1004"/>
      <c r="J526" s="1004"/>
      <c r="K526" s="1004"/>
      <c r="L526" s="777">
        <v>5</v>
      </c>
      <c r="M526" s="778"/>
      <c r="N526" s="976"/>
      <c r="O526" s="1020">
        <v>469</v>
      </c>
      <c r="P526" s="847" t="e">
        <f>VLOOKUP(N526,etat!$A$9:$N$1004,2,FALSE)</f>
        <v>#N/A</v>
      </c>
      <c r="Q526" s="797" t="e">
        <f>VLOOKUP(N526,etat!$A$9:$N$963,7,FALSE)</f>
        <v>#N/A</v>
      </c>
      <c r="R526" s="797" t="e">
        <f>VLOOKUP(N526,etat!$A$9:$N$1003,9,FALSE)</f>
        <v>#N/A</v>
      </c>
      <c r="S526" s="866" t="e">
        <f>VLOOKUP(N526,etat!$A$9:$P$905,16,FALSE)</f>
        <v>#N/A</v>
      </c>
      <c r="T526" s="755"/>
      <c r="U526" s="791"/>
      <c r="V526" s="784"/>
      <c r="W526" s="784"/>
      <c r="X526" s="784"/>
      <c r="Y526" s="975"/>
      <c r="Z526" s="1022"/>
      <c r="AA526" s="967"/>
      <c r="AB526" s="1005"/>
      <c r="AC526" s="1005"/>
      <c r="AD526" s="1005"/>
      <c r="AE526" s="1005"/>
      <c r="AF526" s="1005"/>
      <c r="AG526" s="1004"/>
      <c r="AH526" s="1004"/>
      <c r="AI526" s="1004"/>
      <c r="AJ526" s="1004"/>
      <c r="AK526" s="1004"/>
      <c r="AL526" s="1004"/>
      <c r="AM526" s="1004"/>
      <c r="AN526" s="1004"/>
      <c r="AO526" s="1004"/>
      <c r="AP526" s="1004"/>
      <c r="AQ526" s="1004"/>
      <c r="AR526" s="1004"/>
      <c r="AS526" s="1004"/>
      <c r="AT526" s="1004"/>
      <c r="AU526" s="1004"/>
      <c r="AV526" s="1004"/>
      <c r="AW526" s="1004"/>
    </row>
    <row r="527" spans="1:49" s="25" customFormat="1" ht="15" customHeight="1">
      <c r="A527" s="1004"/>
      <c r="B527" s="1004"/>
      <c r="C527" s="1004"/>
      <c r="D527" s="166"/>
      <c r="E527" s="166"/>
      <c r="F527" s="166"/>
      <c r="G527" s="166"/>
      <c r="H527" s="166"/>
      <c r="I527" s="1004"/>
      <c r="J527" s="1004"/>
      <c r="K527" s="1004"/>
      <c r="L527" s="777">
        <v>5</v>
      </c>
      <c r="M527" s="778"/>
      <c r="N527" s="976"/>
      <c r="O527" s="1020">
        <v>470</v>
      </c>
      <c r="P527" s="847" t="e">
        <f>VLOOKUP(N527,etat!$A$9:$N$1004,2,FALSE)</f>
        <v>#N/A</v>
      </c>
      <c r="Q527" s="797" t="e">
        <f>VLOOKUP(N527,etat!$A$9:$N$963,7,FALSE)</f>
        <v>#N/A</v>
      </c>
      <c r="R527" s="797" t="e">
        <f>VLOOKUP(N527,etat!$A$9:$N$1003,9,FALSE)</f>
        <v>#N/A</v>
      </c>
      <c r="S527" s="866" t="e">
        <f>VLOOKUP(N527,etat!$A$9:$P$905,16,FALSE)</f>
        <v>#N/A</v>
      </c>
      <c r="T527" s="755"/>
      <c r="U527" s="791"/>
      <c r="V527" s="784"/>
      <c r="W527" s="784"/>
      <c r="X527" s="784"/>
      <c r="Y527" s="975"/>
      <c r="Z527" s="1022"/>
      <c r="AA527" s="967"/>
      <c r="AB527" s="1005"/>
      <c r="AC527" s="1005"/>
      <c r="AD527" s="1005"/>
      <c r="AE527" s="1005"/>
      <c r="AF527" s="1005"/>
      <c r="AG527" s="1004"/>
      <c r="AH527" s="1004"/>
      <c r="AI527" s="1004"/>
      <c r="AJ527" s="1004"/>
      <c r="AK527" s="1004"/>
      <c r="AL527" s="1004"/>
      <c r="AM527" s="1004"/>
      <c r="AN527" s="1004"/>
      <c r="AO527" s="1004"/>
      <c r="AP527" s="1004"/>
      <c r="AQ527" s="1004"/>
      <c r="AR527" s="1004"/>
      <c r="AS527" s="1004"/>
      <c r="AT527" s="1004"/>
      <c r="AU527" s="1004"/>
      <c r="AV527" s="1004"/>
      <c r="AW527" s="1004"/>
    </row>
    <row r="528" spans="1:49" s="25" customFormat="1" ht="15" customHeight="1">
      <c r="A528" s="1004"/>
      <c r="B528" s="1004"/>
      <c r="C528" s="1004"/>
      <c r="D528" s="166"/>
      <c r="E528" s="166"/>
      <c r="F528" s="166"/>
      <c r="G528" s="166"/>
      <c r="H528" s="166"/>
      <c r="I528" s="1004"/>
      <c r="J528" s="1004"/>
      <c r="K528" s="1004"/>
      <c r="L528" s="777">
        <v>5</v>
      </c>
      <c r="M528" s="778"/>
      <c r="N528" s="976"/>
      <c r="O528" s="1020">
        <v>471</v>
      </c>
      <c r="P528" s="847" t="e">
        <f>VLOOKUP(N528,etat!$A$9:$N$1004,2,FALSE)</f>
        <v>#N/A</v>
      </c>
      <c r="Q528" s="797" t="e">
        <f>VLOOKUP(N528,etat!$A$9:$N$963,7,FALSE)</f>
        <v>#N/A</v>
      </c>
      <c r="R528" s="797" t="e">
        <f>VLOOKUP(N528,etat!$A$9:$N$1003,9,FALSE)</f>
        <v>#N/A</v>
      </c>
      <c r="S528" s="866" t="e">
        <f>VLOOKUP(N528,etat!$A$9:$P$905,16,FALSE)</f>
        <v>#N/A</v>
      </c>
      <c r="T528" s="755"/>
      <c r="U528" s="791"/>
      <c r="V528" s="784"/>
      <c r="W528" s="784"/>
      <c r="X528" s="784"/>
      <c r="Y528" s="975"/>
      <c r="Z528" s="1022"/>
      <c r="AA528" s="967"/>
      <c r="AB528" s="1005"/>
      <c r="AC528" s="1005"/>
      <c r="AD528" s="1005"/>
      <c r="AE528" s="1005"/>
      <c r="AF528" s="1005"/>
      <c r="AG528" s="1004"/>
      <c r="AH528" s="1004"/>
      <c r="AI528" s="1004"/>
      <c r="AJ528" s="1004"/>
      <c r="AK528" s="1004"/>
      <c r="AL528" s="1004"/>
      <c r="AM528" s="1004"/>
      <c r="AN528" s="1004"/>
      <c r="AO528" s="1004"/>
      <c r="AP528" s="1004"/>
      <c r="AQ528" s="1004"/>
      <c r="AR528" s="1004"/>
      <c r="AS528" s="1004"/>
      <c r="AT528" s="1004"/>
      <c r="AU528" s="1004"/>
      <c r="AV528" s="1004"/>
      <c r="AW528" s="1004"/>
    </row>
    <row r="529" spans="1:49" s="25" customFormat="1" ht="15" customHeight="1">
      <c r="A529" s="1004"/>
      <c r="B529" s="1004"/>
      <c r="C529" s="1004"/>
      <c r="D529" s="166"/>
      <c r="E529" s="166"/>
      <c r="F529" s="166"/>
      <c r="G529" s="166"/>
      <c r="H529" s="166"/>
      <c r="I529" s="1004"/>
      <c r="J529" s="1004"/>
      <c r="K529" s="1004"/>
      <c r="L529" s="777">
        <v>5</v>
      </c>
      <c r="M529" s="778"/>
      <c r="N529" s="976"/>
      <c r="O529" s="1020">
        <v>472</v>
      </c>
      <c r="P529" s="847" t="e">
        <f>VLOOKUP(N529,etat!$A$9:$N$1004,2,FALSE)</f>
        <v>#N/A</v>
      </c>
      <c r="Q529" s="797" t="e">
        <f>VLOOKUP(N529,etat!$A$9:$N$963,7,FALSE)</f>
        <v>#N/A</v>
      </c>
      <c r="R529" s="797" t="e">
        <f>VLOOKUP(N529,etat!$A$9:$N$1003,9,FALSE)</f>
        <v>#N/A</v>
      </c>
      <c r="S529" s="866" t="e">
        <f>VLOOKUP(N529,etat!$A$9:$P$905,16,FALSE)</f>
        <v>#N/A</v>
      </c>
      <c r="T529" s="755"/>
      <c r="U529" s="791"/>
      <c r="V529" s="784"/>
      <c r="W529" s="784"/>
      <c r="X529" s="784"/>
      <c r="Y529" s="975"/>
      <c r="Z529" s="1022"/>
      <c r="AA529" s="967"/>
      <c r="AB529" s="1005"/>
      <c r="AC529" s="1005"/>
      <c r="AD529" s="1005"/>
      <c r="AE529" s="1005"/>
      <c r="AF529" s="1005"/>
      <c r="AG529" s="1004"/>
      <c r="AH529" s="1004"/>
      <c r="AI529" s="1004"/>
      <c r="AJ529" s="1004"/>
      <c r="AK529" s="1004"/>
      <c r="AL529" s="1004"/>
      <c r="AM529" s="1004"/>
      <c r="AN529" s="1004"/>
      <c r="AO529" s="1004"/>
      <c r="AP529" s="1004"/>
      <c r="AQ529" s="1004"/>
      <c r="AR529" s="1004"/>
      <c r="AS529" s="1004"/>
      <c r="AT529" s="1004"/>
      <c r="AU529" s="1004"/>
      <c r="AV529" s="1004"/>
      <c r="AW529" s="1004"/>
    </row>
    <row r="530" spans="1:49" s="25" customFormat="1" ht="15" customHeight="1">
      <c r="A530" s="1004"/>
      <c r="B530" s="1004"/>
      <c r="C530" s="1004"/>
      <c r="D530" s="166"/>
      <c r="E530" s="166"/>
      <c r="F530" s="166"/>
      <c r="G530" s="166"/>
      <c r="H530" s="166"/>
      <c r="I530" s="1004"/>
      <c r="J530" s="1004"/>
      <c r="K530" s="1004"/>
      <c r="L530" s="777">
        <v>5</v>
      </c>
      <c r="M530" s="778"/>
      <c r="N530" s="976"/>
      <c r="O530" s="1020">
        <v>473</v>
      </c>
      <c r="P530" s="847" t="e">
        <f>VLOOKUP(N530,etat!$A$9:$N$1004,2,FALSE)</f>
        <v>#N/A</v>
      </c>
      <c r="Q530" s="797" t="e">
        <f>VLOOKUP(N530,etat!$A$9:$N$963,7,FALSE)</f>
        <v>#N/A</v>
      </c>
      <c r="R530" s="797" t="e">
        <f>VLOOKUP(N530,etat!$A$9:$N$1003,9,FALSE)</f>
        <v>#N/A</v>
      </c>
      <c r="S530" s="866" t="e">
        <f>VLOOKUP(N530,etat!$A$9:$P$905,16,FALSE)</f>
        <v>#N/A</v>
      </c>
      <c r="T530" s="755"/>
      <c r="U530" s="791"/>
      <c r="V530" s="784"/>
      <c r="W530" s="784"/>
      <c r="X530" s="784"/>
      <c r="Y530" s="975"/>
      <c r="Z530" s="1022"/>
      <c r="AA530" s="967"/>
      <c r="AB530" s="1005"/>
      <c r="AC530" s="1005"/>
      <c r="AD530" s="1005"/>
      <c r="AE530" s="1005"/>
      <c r="AF530" s="1005"/>
      <c r="AG530" s="1004"/>
      <c r="AH530" s="1004"/>
      <c r="AI530" s="1004"/>
      <c r="AJ530" s="1004"/>
      <c r="AK530" s="1004"/>
      <c r="AL530" s="1004"/>
      <c r="AM530" s="1004"/>
      <c r="AN530" s="1004"/>
      <c r="AO530" s="1004"/>
      <c r="AP530" s="1004"/>
      <c r="AQ530" s="1004"/>
      <c r="AR530" s="1004"/>
      <c r="AS530" s="1004"/>
      <c r="AT530" s="1004"/>
      <c r="AU530" s="1004"/>
      <c r="AV530" s="1004"/>
      <c r="AW530" s="1004"/>
    </row>
    <row r="531" spans="1:49" s="25" customFormat="1" ht="15" customHeight="1">
      <c r="A531" s="1004"/>
      <c r="B531" s="1004"/>
      <c r="C531" s="1004"/>
      <c r="D531" s="166"/>
      <c r="E531" s="166"/>
      <c r="F531" s="166"/>
      <c r="G531" s="166"/>
      <c r="H531" s="166"/>
      <c r="I531" s="1004"/>
      <c r="J531" s="1004"/>
      <c r="K531" s="1004"/>
      <c r="L531" s="777">
        <v>5</v>
      </c>
      <c r="M531" s="778"/>
      <c r="N531" s="976"/>
      <c r="O531" s="1020">
        <v>474</v>
      </c>
      <c r="P531" s="847" t="e">
        <f>VLOOKUP(N531,etat!$A$9:$N$1004,2,FALSE)</f>
        <v>#N/A</v>
      </c>
      <c r="Q531" s="797" t="e">
        <f>VLOOKUP(N531,etat!$A$9:$N$963,7,FALSE)</f>
        <v>#N/A</v>
      </c>
      <c r="R531" s="797" t="e">
        <f>VLOOKUP(N531,etat!$A$9:$N$1003,9,FALSE)</f>
        <v>#N/A</v>
      </c>
      <c r="S531" s="866" t="e">
        <f>VLOOKUP(N531,etat!$A$9:$P$905,16,FALSE)</f>
        <v>#N/A</v>
      </c>
      <c r="T531" s="755"/>
      <c r="U531" s="791"/>
      <c r="V531" s="784"/>
      <c r="W531" s="784"/>
      <c r="X531" s="784"/>
      <c r="Y531" s="975"/>
      <c r="Z531" s="1022"/>
      <c r="AA531" s="967"/>
      <c r="AB531" s="1005"/>
      <c r="AC531" s="1005"/>
      <c r="AD531" s="1005"/>
      <c r="AE531" s="1005"/>
      <c r="AF531" s="1005"/>
      <c r="AG531" s="1004"/>
      <c r="AH531" s="1004"/>
      <c r="AI531" s="1004"/>
      <c r="AJ531" s="1004"/>
      <c r="AK531" s="1004"/>
      <c r="AL531" s="1004"/>
      <c r="AM531" s="1004"/>
      <c r="AN531" s="1004"/>
      <c r="AO531" s="1004"/>
      <c r="AP531" s="1004"/>
      <c r="AQ531" s="1004"/>
      <c r="AR531" s="1004"/>
      <c r="AS531" s="1004"/>
      <c r="AT531" s="1004"/>
      <c r="AU531" s="1004"/>
      <c r="AV531" s="1004"/>
      <c r="AW531" s="1004"/>
    </row>
    <row r="532" spans="1:49" s="25" customFormat="1" ht="15" customHeight="1">
      <c r="A532" s="1004"/>
      <c r="B532" s="1004"/>
      <c r="C532" s="1004"/>
      <c r="D532" s="166"/>
      <c r="E532" s="166"/>
      <c r="F532" s="166"/>
      <c r="G532" s="166"/>
      <c r="H532" s="166"/>
      <c r="I532" s="1004"/>
      <c r="J532" s="1004"/>
      <c r="K532" s="1004"/>
      <c r="L532" s="777">
        <v>5</v>
      </c>
      <c r="M532" s="778"/>
      <c r="N532" s="976"/>
      <c r="O532" s="1020">
        <v>475</v>
      </c>
      <c r="P532" s="847" t="e">
        <f>VLOOKUP(N532,etat!$A$9:$N$1004,2,FALSE)</f>
        <v>#N/A</v>
      </c>
      <c r="Q532" s="797" t="e">
        <f>VLOOKUP(N532,etat!$A$9:$N$963,7,FALSE)</f>
        <v>#N/A</v>
      </c>
      <c r="R532" s="797" t="e">
        <f>VLOOKUP(N532,etat!$A$9:$N$1003,9,FALSE)</f>
        <v>#N/A</v>
      </c>
      <c r="S532" s="866" t="e">
        <f>VLOOKUP(N532,etat!$A$9:$P$905,16,FALSE)</f>
        <v>#N/A</v>
      </c>
      <c r="T532" s="755"/>
      <c r="U532" s="791"/>
      <c r="V532" s="784"/>
      <c r="W532" s="784"/>
      <c r="X532" s="784"/>
      <c r="Y532" s="975"/>
      <c r="Z532" s="1022"/>
      <c r="AA532" s="967"/>
      <c r="AB532" s="1005"/>
      <c r="AC532" s="1005"/>
      <c r="AD532" s="1005"/>
      <c r="AE532" s="1005"/>
      <c r="AF532" s="1005"/>
      <c r="AG532" s="1004"/>
      <c r="AH532" s="1004"/>
      <c r="AI532" s="1004"/>
      <c r="AJ532" s="1004"/>
      <c r="AK532" s="1004"/>
      <c r="AL532" s="1004"/>
      <c r="AM532" s="1004"/>
      <c r="AN532" s="1004"/>
      <c r="AO532" s="1004"/>
      <c r="AP532" s="1004"/>
      <c r="AQ532" s="1004"/>
      <c r="AR532" s="1004"/>
      <c r="AS532" s="1004"/>
      <c r="AT532" s="1004"/>
      <c r="AU532" s="1004"/>
      <c r="AV532" s="1004"/>
      <c r="AW532" s="1004"/>
    </row>
    <row r="533" spans="1:49" s="25" customFormat="1" ht="15" customHeight="1">
      <c r="A533" s="1004"/>
      <c r="B533" s="1004"/>
      <c r="C533" s="1004"/>
      <c r="D533" s="166"/>
      <c r="E533" s="166"/>
      <c r="F533" s="166"/>
      <c r="G533" s="166"/>
      <c r="H533" s="166"/>
      <c r="I533" s="1004"/>
      <c r="J533" s="1004"/>
      <c r="K533" s="1004"/>
      <c r="L533" s="777">
        <v>5</v>
      </c>
      <c r="M533" s="778"/>
      <c r="N533" s="976"/>
      <c r="O533" s="1020">
        <v>476</v>
      </c>
      <c r="P533" s="847" t="e">
        <f>VLOOKUP(N533,etat!$A$9:$N$1004,2,FALSE)</f>
        <v>#N/A</v>
      </c>
      <c r="Q533" s="797" t="e">
        <f>VLOOKUP(N533,etat!$A$9:$N$963,7,FALSE)</f>
        <v>#N/A</v>
      </c>
      <c r="R533" s="797" t="e">
        <f>VLOOKUP(N533,etat!$A$9:$N$1003,9,FALSE)</f>
        <v>#N/A</v>
      </c>
      <c r="S533" s="866" t="e">
        <f>VLOOKUP(N533,etat!$A$9:$P$905,16,FALSE)</f>
        <v>#N/A</v>
      </c>
      <c r="T533" s="755"/>
      <c r="U533" s="791"/>
      <c r="V533" s="784"/>
      <c r="W533" s="784"/>
      <c r="X533" s="784"/>
      <c r="Y533" s="975"/>
      <c r="Z533" s="1022"/>
      <c r="AA533" s="967"/>
      <c r="AB533" s="1005"/>
      <c r="AC533" s="1005"/>
      <c r="AD533" s="1005"/>
      <c r="AE533" s="1005"/>
      <c r="AF533" s="1005"/>
      <c r="AG533" s="1004"/>
      <c r="AH533" s="1004"/>
      <c r="AI533" s="1004"/>
      <c r="AJ533" s="1004"/>
      <c r="AK533" s="1004"/>
      <c r="AL533" s="1004"/>
      <c r="AM533" s="1004"/>
      <c r="AN533" s="1004"/>
      <c r="AO533" s="1004"/>
      <c r="AP533" s="1004"/>
      <c r="AQ533" s="1004"/>
      <c r="AR533" s="1004"/>
      <c r="AS533" s="1004"/>
      <c r="AT533" s="1004"/>
      <c r="AU533" s="1004"/>
      <c r="AV533" s="1004"/>
      <c r="AW533" s="1004"/>
    </row>
    <row r="534" spans="1:49" s="25" customFormat="1" ht="15" customHeight="1">
      <c r="A534" s="1004"/>
      <c r="B534" s="1004"/>
      <c r="C534" s="1004"/>
      <c r="D534" s="166"/>
      <c r="E534" s="166"/>
      <c r="F534" s="166"/>
      <c r="G534" s="166"/>
      <c r="H534" s="166"/>
      <c r="I534" s="1004"/>
      <c r="J534" s="1004"/>
      <c r="K534" s="1004"/>
      <c r="L534" s="777">
        <v>5</v>
      </c>
      <c r="M534" s="778"/>
      <c r="N534" s="976"/>
      <c r="O534" s="1020">
        <v>477</v>
      </c>
      <c r="P534" s="847" t="e">
        <f>VLOOKUP(N534,etat!$A$9:$N$1004,2,FALSE)</f>
        <v>#N/A</v>
      </c>
      <c r="Q534" s="797" t="e">
        <f>VLOOKUP(N534,etat!$A$9:$N$963,7,FALSE)</f>
        <v>#N/A</v>
      </c>
      <c r="R534" s="797" t="e">
        <f>VLOOKUP(N534,etat!$A$9:$N$1003,9,FALSE)</f>
        <v>#N/A</v>
      </c>
      <c r="S534" s="866" t="e">
        <f>VLOOKUP(N534,etat!$A$9:$P$905,16,FALSE)</f>
        <v>#N/A</v>
      </c>
      <c r="T534" s="755"/>
      <c r="U534" s="791"/>
      <c r="V534" s="784"/>
      <c r="W534" s="784"/>
      <c r="X534" s="784"/>
      <c r="Y534" s="975"/>
      <c r="Z534" s="1022"/>
      <c r="AA534" s="967"/>
      <c r="AB534" s="1005"/>
      <c r="AC534" s="1005"/>
      <c r="AD534" s="1005"/>
      <c r="AE534" s="1005"/>
      <c r="AF534" s="1005"/>
      <c r="AG534" s="1004"/>
      <c r="AH534" s="1004"/>
      <c r="AI534" s="1004"/>
      <c r="AJ534" s="1004"/>
      <c r="AK534" s="1004"/>
      <c r="AL534" s="1004"/>
      <c r="AM534" s="1004"/>
      <c r="AN534" s="1004"/>
      <c r="AO534" s="1004"/>
      <c r="AP534" s="1004"/>
      <c r="AQ534" s="1004"/>
      <c r="AR534" s="1004"/>
      <c r="AS534" s="1004"/>
      <c r="AT534" s="1004"/>
      <c r="AU534" s="1004"/>
      <c r="AV534" s="1004"/>
      <c r="AW534" s="1004"/>
    </row>
    <row r="535" spans="1:49" s="25" customFormat="1" ht="15" customHeight="1">
      <c r="A535" s="1004"/>
      <c r="B535" s="1004"/>
      <c r="C535" s="1004"/>
      <c r="D535" s="166"/>
      <c r="E535" s="166"/>
      <c r="F535" s="166"/>
      <c r="G535" s="166"/>
      <c r="H535" s="166"/>
      <c r="I535" s="1004"/>
      <c r="J535" s="1004"/>
      <c r="K535" s="1004"/>
      <c r="L535" s="777">
        <v>5</v>
      </c>
      <c r="M535" s="778"/>
      <c r="N535" s="976"/>
      <c r="O535" s="1020">
        <v>478</v>
      </c>
      <c r="P535" s="847" t="e">
        <f>VLOOKUP(N535,etat!$A$9:$N$1004,2,FALSE)</f>
        <v>#N/A</v>
      </c>
      <c r="Q535" s="797" t="e">
        <f>VLOOKUP(N535,etat!$A$9:$N$963,7,FALSE)</f>
        <v>#N/A</v>
      </c>
      <c r="R535" s="797" t="e">
        <f>VLOOKUP(N535,etat!$A$9:$N$1003,9,FALSE)</f>
        <v>#N/A</v>
      </c>
      <c r="S535" s="866" t="e">
        <f>VLOOKUP(N535,etat!$A$9:$P$905,16,FALSE)</f>
        <v>#N/A</v>
      </c>
      <c r="T535" s="755"/>
      <c r="U535" s="791"/>
      <c r="V535" s="784"/>
      <c r="W535" s="784"/>
      <c r="X535" s="784"/>
      <c r="Y535" s="975"/>
      <c r="Z535" s="1022"/>
      <c r="AA535" s="967"/>
      <c r="AB535" s="1005"/>
      <c r="AC535" s="1005"/>
      <c r="AD535" s="1005"/>
      <c r="AE535" s="1005"/>
      <c r="AF535" s="1005"/>
      <c r="AG535" s="1004"/>
      <c r="AH535" s="1004"/>
      <c r="AI535" s="1004"/>
      <c r="AJ535" s="1004"/>
      <c r="AK535" s="1004"/>
      <c r="AL535" s="1004"/>
      <c r="AM535" s="1004"/>
      <c r="AN535" s="1004"/>
      <c r="AO535" s="1004"/>
      <c r="AP535" s="1004"/>
      <c r="AQ535" s="1004"/>
      <c r="AR535" s="1004"/>
      <c r="AS535" s="1004"/>
      <c r="AT535" s="1004"/>
      <c r="AU535" s="1004"/>
      <c r="AV535" s="1004"/>
      <c r="AW535" s="1004"/>
    </row>
    <row r="536" spans="1:49" s="25" customFormat="1" ht="15" customHeight="1">
      <c r="A536" s="1004"/>
      <c r="B536" s="1004"/>
      <c r="C536" s="1004"/>
      <c r="D536" s="166"/>
      <c r="E536" s="166"/>
      <c r="F536" s="166"/>
      <c r="G536" s="166"/>
      <c r="H536" s="166"/>
      <c r="I536" s="1004"/>
      <c r="J536" s="1004"/>
      <c r="K536" s="1004"/>
      <c r="L536" s="777">
        <v>5</v>
      </c>
      <c r="M536" s="778"/>
      <c r="N536" s="976"/>
      <c r="O536" s="1020">
        <v>479</v>
      </c>
      <c r="P536" s="847" t="e">
        <f>VLOOKUP(N536,etat!$A$9:$N$1004,2,FALSE)</f>
        <v>#N/A</v>
      </c>
      <c r="Q536" s="797" t="e">
        <f>VLOOKUP(N536,etat!$A$9:$N$963,7,FALSE)</f>
        <v>#N/A</v>
      </c>
      <c r="R536" s="797" t="e">
        <f>VLOOKUP(N536,etat!$A$9:$N$1003,9,FALSE)</f>
        <v>#N/A</v>
      </c>
      <c r="S536" s="866" t="e">
        <f>VLOOKUP(N536,etat!$A$9:$P$905,16,FALSE)</f>
        <v>#N/A</v>
      </c>
      <c r="T536" s="755"/>
      <c r="U536" s="791"/>
      <c r="V536" s="784"/>
      <c r="W536" s="784"/>
      <c r="X536" s="784"/>
      <c r="Y536" s="975"/>
      <c r="Z536" s="1022"/>
      <c r="AA536" s="967"/>
      <c r="AB536" s="1005"/>
      <c r="AC536" s="1005"/>
      <c r="AD536" s="1005"/>
      <c r="AE536" s="1005"/>
      <c r="AF536" s="1005"/>
      <c r="AG536" s="1004"/>
      <c r="AH536" s="1004"/>
      <c r="AI536" s="1004"/>
      <c r="AJ536" s="1004"/>
      <c r="AK536" s="1004"/>
      <c r="AL536" s="1004"/>
      <c r="AM536" s="1004"/>
      <c r="AN536" s="1004"/>
      <c r="AO536" s="1004"/>
      <c r="AP536" s="1004"/>
      <c r="AQ536" s="1004"/>
      <c r="AR536" s="1004"/>
      <c r="AS536" s="1004"/>
      <c r="AT536" s="1004"/>
      <c r="AU536" s="1004"/>
      <c r="AV536" s="1004"/>
      <c r="AW536" s="1004"/>
    </row>
    <row r="537" spans="1:49" s="25" customFormat="1" ht="15" customHeight="1">
      <c r="A537" s="1004"/>
      <c r="B537" s="1004"/>
      <c r="C537" s="1004"/>
      <c r="D537" s="166"/>
      <c r="E537" s="166"/>
      <c r="F537" s="166"/>
      <c r="G537" s="166"/>
      <c r="H537" s="166"/>
      <c r="I537" s="1004"/>
      <c r="J537" s="1004"/>
      <c r="K537" s="1004"/>
      <c r="L537" s="777">
        <v>5</v>
      </c>
      <c r="M537" s="778"/>
      <c r="N537" s="976"/>
      <c r="O537" s="1020">
        <v>480</v>
      </c>
      <c r="P537" s="847" t="e">
        <f>VLOOKUP(N537,etat!$A$9:$N$1004,2,FALSE)</f>
        <v>#N/A</v>
      </c>
      <c r="Q537" s="797" t="e">
        <f>VLOOKUP(N537,etat!$A$9:$N$963,7,FALSE)</f>
        <v>#N/A</v>
      </c>
      <c r="R537" s="797" t="e">
        <f>VLOOKUP(N537,etat!$A$9:$N$1003,9,FALSE)</f>
        <v>#N/A</v>
      </c>
      <c r="S537" s="866" t="e">
        <f>VLOOKUP(N537,etat!$A$9:$P$905,16,FALSE)</f>
        <v>#N/A</v>
      </c>
      <c r="T537" s="755"/>
      <c r="U537" s="791"/>
      <c r="V537" s="784"/>
      <c r="W537" s="784"/>
      <c r="X537" s="784"/>
      <c r="Y537" s="975"/>
      <c r="Z537" s="1022"/>
      <c r="AA537" s="967"/>
      <c r="AB537" s="1005"/>
      <c r="AC537" s="1005"/>
      <c r="AD537" s="1005"/>
      <c r="AE537" s="1005"/>
      <c r="AF537" s="1005"/>
      <c r="AG537" s="1004"/>
      <c r="AH537" s="1004"/>
      <c r="AI537" s="1004"/>
      <c r="AJ537" s="1004"/>
      <c r="AK537" s="1004"/>
      <c r="AL537" s="1004"/>
      <c r="AM537" s="1004"/>
      <c r="AN537" s="1004"/>
      <c r="AO537" s="1004"/>
      <c r="AP537" s="1004"/>
      <c r="AQ537" s="1004"/>
      <c r="AR537" s="1004"/>
      <c r="AS537" s="1004"/>
      <c r="AT537" s="1004"/>
      <c r="AU537" s="1004"/>
      <c r="AV537" s="1004"/>
      <c r="AW537" s="1004"/>
    </row>
    <row r="538" spans="1:49" s="25" customFormat="1" ht="15" customHeight="1">
      <c r="A538" s="1004"/>
      <c r="B538" s="1004"/>
      <c r="C538" s="1004"/>
      <c r="D538" s="166"/>
      <c r="E538" s="166"/>
      <c r="F538" s="166"/>
      <c r="G538" s="166"/>
      <c r="H538" s="166"/>
      <c r="I538" s="1004"/>
      <c r="J538" s="1004"/>
      <c r="K538" s="1004"/>
      <c r="L538" s="777">
        <v>5</v>
      </c>
      <c r="M538" s="778"/>
      <c r="N538" s="976"/>
      <c r="O538" s="1020">
        <v>481</v>
      </c>
      <c r="P538" s="847" t="e">
        <f>VLOOKUP(N538,etat!$A$9:$N$1004,2,FALSE)</f>
        <v>#N/A</v>
      </c>
      <c r="Q538" s="797" t="e">
        <f>VLOOKUP(N538,etat!$A$9:$N$963,7,FALSE)</f>
        <v>#N/A</v>
      </c>
      <c r="R538" s="797" t="e">
        <f>VLOOKUP(N538,etat!$A$9:$N$1003,9,FALSE)</f>
        <v>#N/A</v>
      </c>
      <c r="S538" s="866" t="e">
        <f>VLOOKUP(N538,etat!$A$9:$P$905,16,FALSE)</f>
        <v>#N/A</v>
      </c>
      <c r="T538" s="755"/>
      <c r="U538" s="791"/>
      <c r="V538" s="784"/>
      <c r="W538" s="784"/>
      <c r="X538" s="784"/>
      <c r="Y538" s="975"/>
      <c r="Z538" s="1022"/>
      <c r="AA538" s="967"/>
      <c r="AB538" s="1005"/>
      <c r="AC538" s="1005"/>
      <c r="AD538" s="1005"/>
      <c r="AE538" s="1005"/>
      <c r="AF538" s="1005"/>
      <c r="AG538" s="1004"/>
      <c r="AH538" s="1004"/>
      <c r="AI538" s="1004"/>
      <c r="AJ538" s="1004"/>
      <c r="AK538" s="1004"/>
      <c r="AL538" s="1004"/>
      <c r="AM538" s="1004"/>
      <c r="AN538" s="1004"/>
      <c r="AO538" s="1004"/>
      <c r="AP538" s="1004"/>
      <c r="AQ538" s="1004"/>
      <c r="AR538" s="1004"/>
      <c r="AS538" s="1004"/>
      <c r="AT538" s="1004"/>
      <c r="AU538" s="1004"/>
      <c r="AV538" s="1004"/>
      <c r="AW538" s="1004"/>
    </row>
    <row r="539" spans="1:49" s="25" customFormat="1" ht="15" customHeight="1">
      <c r="A539" s="1004"/>
      <c r="B539" s="1004"/>
      <c r="C539" s="1004"/>
      <c r="D539" s="166"/>
      <c r="E539" s="166"/>
      <c r="F539" s="166"/>
      <c r="G539" s="166"/>
      <c r="H539" s="166"/>
      <c r="I539" s="1004"/>
      <c r="J539" s="1004"/>
      <c r="K539" s="1004"/>
      <c r="L539" s="777">
        <v>5</v>
      </c>
      <c r="M539" s="778"/>
      <c r="N539" s="976"/>
      <c r="O539" s="1020">
        <v>482</v>
      </c>
      <c r="P539" s="847" t="e">
        <f>VLOOKUP(N539,etat!$A$9:$N$1004,2,FALSE)</f>
        <v>#N/A</v>
      </c>
      <c r="Q539" s="797" t="e">
        <f>VLOOKUP(N539,etat!$A$9:$N$963,7,FALSE)</f>
        <v>#N/A</v>
      </c>
      <c r="R539" s="797" t="e">
        <f>VLOOKUP(N539,etat!$A$9:$N$1003,9,FALSE)</f>
        <v>#N/A</v>
      </c>
      <c r="S539" s="866" t="e">
        <f>VLOOKUP(N539,etat!$A$9:$P$905,16,FALSE)</f>
        <v>#N/A</v>
      </c>
      <c r="T539" s="755"/>
      <c r="U539" s="791"/>
      <c r="V539" s="784"/>
      <c r="W539" s="784"/>
      <c r="X539" s="784"/>
      <c r="Y539" s="975"/>
      <c r="Z539" s="1022"/>
      <c r="AA539" s="967"/>
      <c r="AB539" s="1005"/>
      <c r="AC539" s="1005"/>
      <c r="AD539" s="1005"/>
      <c r="AE539" s="1005"/>
      <c r="AF539" s="1005"/>
      <c r="AG539" s="1004"/>
      <c r="AH539" s="1004"/>
      <c r="AI539" s="1004"/>
      <c r="AJ539" s="1004"/>
      <c r="AK539" s="1004"/>
      <c r="AL539" s="1004"/>
      <c r="AM539" s="1004"/>
      <c r="AN539" s="1004"/>
      <c r="AO539" s="1004"/>
      <c r="AP539" s="1004"/>
      <c r="AQ539" s="1004"/>
      <c r="AR539" s="1004"/>
      <c r="AS539" s="1004"/>
      <c r="AT539" s="1004"/>
      <c r="AU539" s="1004"/>
      <c r="AV539" s="1004"/>
      <c r="AW539" s="1004"/>
    </row>
    <row r="540" spans="1:49" s="25" customFormat="1" ht="15" customHeight="1">
      <c r="A540" s="1004"/>
      <c r="B540" s="1004"/>
      <c r="C540" s="1004"/>
      <c r="D540" s="166"/>
      <c r="E540" s="166"/>
      <c r="F540" s="166"/>
      <c r="G540" s="166"/>
      <c r="H540" s="166"/>
      <c r="I540" s="1004"/>
      <c r="J540" s="1004"/>
      <c r="K540" s="1004"/>
      <c r="L540" s="777">
        <v>5</v>
      </c>
      <c r="M540" s="778"/>
      <c r="N540" s="976"/>
      <c r="O540" s="1020">
        <v>483</v>
      </c>
      <c r="P540" s="847" t="e">
        <f>VLOOKUP(N540,etat!$A$9:$N$1004,2,FALSE)</f>
        <v>#N/A</v>
      </c>
      <c r="Q540" s="797" t="e">
        <f>VLOOKUP(N540,etat!$A$9:$N$963,7,FALSE)</f>
        <v>#N/A</v>
      </c>
      <c r="R540" s="797" t="e">
        <f>VLOOKUP(N540,etat!$A$9:$N$1003,9,FALSE)</f>
        <v>#N/A</v>
      </c>
      <c r="S540" s="866" t="e">
        <f>VLOOKUP(N540,etat!$A$9:$P$905,16,FALSE)</f>
        <v>#N/A</v>
      </c>
      <c r="T540" s="755"/>
      <c r="U540" s="791"/>
      <c r="V540" s="784"/>
      <c r="W540" s="784"/>
      <c r="X540" s="784"/>
      <c r="Y540" s="975"/>
      <c r="Z540" s="1022"/>
      <c r="AA540" s="967"/>
      <c r="AB540" s="1005"/>
      <c r="AC540" s="1005"/>
      <c r="AD540" s="1005"/>
      <c r="AE540" s="1005"/>
      <c r="AF540" s="1005"/>
      <c r="AG540" s="1004"/>
      <c r="AH540" s="1004"/>
      <c r="AI540" s="1004"/>
      <c r="AJ540" s="1004"/>
      <c r="AK540" s="1004"/>
      <c r="AL540" s="1004"/>
      <c r="AM540" s="1004"/>
      <c r="AN540" s="1004"/>
      <c r="AO540" s="1004"/>
      <c r="AP540" s="1004"/>
      <c r="AQ540" s="1004"/>
      <c r="AR540" s="1004"/>
      <c r="AS540" s="1004"/>
      <c r="AT540" s="1004"/>
      <c r="AU540" s="1004"/>
      <c r="AV540" s="1004"/>
      <c r="AW540" s="1004"/>
    </row>
    <row r="541" spans="1:49" s="25" customFormat="1" ht="15" customHeight="1">
      <c r="A541" s="1004"/>
      <c r="B541" s="1004"/>
      <c r="C541" s="1004"/>
      <c r="D541" s="166"/>
      <c r="E541" s="166"/>
      <c r="F541" s="166"/>
      <c r="G541" s="166"/>
      <c r="H541" s="166"/>
      <c r="I541" s="1004"/>
      <c r="J541" s="1004"/>
      <c r="K541" s="1004"/>
      <c r="L541" s="777">
        <v>5</v>
      </c>
      <c r="M541" s="778"/>
      <c r="N541" s="976"/>
      <c r="O541" s="1020">
        <v>484</v>
      </c>
      <c r="P541" s="847" t="e">
        <f>VLOOKUP(N541,etat!$A$9:$N$1004,2,FALSE)</f>
        <v>#N/A</v>
      </c>
      <c r="Q541" s="797" t="e">
        <f>VLOOKUP(N541,etat!$A$9:$N$963,7,FALSE)</f>
        <v>#N/A</v>
      </c>
      <c r="R541" s="797" t="e">
        <f>VLOOKUP(N541,etat!$A$9:$N$1003,9,FALSE)</f>
        <v>#N/A</v>
      </c>
      <c r="S541" s="866" t="e">
        <f>VLOOKUP(N541,etat!$A$9:$P$905,16,FALSE)</f>
        <v>#N/A</v>
      </c>
      <c r="T541" s="755"/>
      <c r="U541" s="791"/>
      <c r="V541" s="784"/>
      <c r="W541" s="784"/>
      <c r="X541" s="784"/>
      <c r="Y541" s="975"/>
      <c r="Z541" s="1022"/>
      <c r="AA541" s="967"/>
      <c r="AB541" s="1005"/>
      <c r="AC541" s="1005"/>
      <c r="AD541" s="1005"/>
      <c r="AE541" s="1005"/>
      <c r="AF541" s="1005"/>
      <c r="AG541" s="1004"/>
      <c r="AH541" s="1004"/>
      <c r="AI541" s="1004"/>
      <c r="AJ541" s="1004"/>
      <c r="AK541" s="1004"/>
      <c r="AL541" s="1004"/>
      <c r="AM541" s="1004"/>
      <c r="AN541" s="1004"/>
      <c r="AO541" s="1004"/>
      <c r="AP541" s="1004"/>
      <c r="AQ541" s="1004"/>
      <c r="AR541" s="1004"/>
      <c r="AS541" s="1004"/>
      <c r="AT541" s="1004"/>
      <c r="AU541" s="1004"/>
      <c r="AV541" s="1004"/>
      <c r="AW541" s="1004"/>
    </row>
    <row r="542" spans="1:49" s="25" customFormat="1" ht="15" customHeight="1">
      <c r="A542" s="1004"/>
      <c r="B542" s="1004"/>
      <c r="C542" s="1004"/>
      <c r="D542" s="166"/>
      <c r="E542" s="166"/>
      <c r="F542" s="166"/>
      <c r="G542" s="166"/>
      <c r="H542" s="166"/>
      <c r="I542" s="1004"/>
      <c r="J542" s="1004"/>
      <c r="K542" s="1004"/>
      <c r="L542" s="777">
        <v>5</v>
      </c>
      <c r="M542" s="778"/>
      <c r="N542" s="976"/>
      <c r="O542" s="1020">
        <v>485</v>
      </c>
      <c r="P542" s="847" t="e">
        <f>VLOOKUP(N542,etat!$A$9:$N$1004,2,FALSE)</f>
        <v>#N/A</v>
      </c>
      <c r="Q542" s="797" t="e">
        <f>VLOOKUP(N542,etat!$A$9:$N$963,7,FALSE)</f>
        <v>#N/A</v>
      </c>
      <c r="R542" s="797" t="e">
        <f>VLOOKUP(N542,etat!$A$9:$N$1003,9,FALSE)</f>
        <v>#N/A</v>
      </c>
      <c r="S542" s="866" t="e">
        <f>VLOOKUP(N542,etat!$A$9:$P$905,16,FALSE)</f>
        <v>#N/A</v>
      </c>
      <c r="T542" s="755"/>
      <c r="U542" s="791"/>
      <c r="V542" s="784"/>
      <c r="W542" s="784"/>
      <c r="X542" s="784"/>
      <c r="Y542" s="975"/>
      <c r="Z542" s="1022"/>
      <c r="AA542" s="967"/>
      <c r="AB542" s="1005"/>
      <c r="AC542" s="1005"/>
      <c r="AD542" s="1005"/>
      <c r="AE542" s="1005"/>
      <c r="AF542" s="1005"/>
      <c r="AG542" s="1004"/>
      <c r="AH542" s="1004"/>
      <c r="AI542" s="1004"/>
      <c r="AJ542" s="1004"/>
      <c r="AK542" s="1004"/>
      <c r="AL542" s="1004"/>
      <c r="AM542" s="1004"/>
      <c r="AN542" s="1004"/>
      <c r="AO542" s="1004"/>
      <c r="AP542" s="1004"/>
      <c r="AQ542" s="1004"/>
      <c r="AR542" s="1004"/>
      <c r="AS542" s="1004"/>
      <c r="AT542" s="1004"/>
      <c r="AU542" s="1004"/>
      <c r="AV542" s="1004"/>
      <c r="AW542" s="1004"/>
    </row>
    <row r="543" spans="1:49" s="25" customFormat="1" ht="15" customHeight="1">
      <c r="A543" s="1004"/>
      <c r="B543" s="1004"/>
      <c r="C543" s="1004"/>
      <c r="D543" s="166"/>
      <c r="E543" s="166"/>
      <c r="F543" s="166"/>
      <c r="G543" s="166"/>
      <c r="H543" s="166"/>
      <c r="I543" s="1004"/>
      <c r="J543" s="1004"/>
      <c r="K543" s="1004"/>
      <c r="L543" s="777">
        <v>5</v>
      </c>
      <c r="M543" s="778"/>
      <c r="N543" s="976"/>
      <c r="O543" s="1020">
        <v>486</v>
      </c>
      <c r="P543" s="847" t="e">
        <f>VLOOKUP(N543,etat!$A$9:$N$1004,2,FALSE)</f>
        <v>#N/A</v>
      </c>
      <c r="Q543" s="797" t="e">
        <f>VLOOKUP(N543,etat!$A$9:$N$963,7,FALSE)</f>
        <v>#N/A</v>
      </c>
      <c r="R543" s="797" t="e">
        <f>VLOOKUP(N543,etat!$A$9:$N$1003,9,FALSE)</f>
        <v>#N/A</v>
      </c>
      <c r="S543" s="866" t="e">
        <f>VLOOKUP(N543,etat!$A$9:$P$905,16,FALSE)</f>
        <v>#N/A</v>
      </c>
      <c r="T543" s="755"/>
      <c r="U543" s="791"/>
      <c r="V543" s="784"/>
      <c r="W543" s="784"/>
      <c r="X543" s="784"/>
      <c r="Y543" s="975"/>
      <c r="Z543" s="1022"/>
      <c r="AA543" s="967"/>
      <c r="AB543" s="1005"/>
      <c r="AC543" s="1005"/>
      <c r="AD543" s="1005"/>
      <c r="AE543" s="1005"/>
      <c r="AF543" s="1005"/>
      <c r="AG543" s="1004"/>
      <c r="AH543" s="1004"/>
      <c r="AI543" s="1004"/>
      <c r="AJ543" s="1004"/>
      <c r="AK543" s="1004"/>
      <c r="AL543" s="1004"/>
      <c r="AM543" s="1004"/>
      <c r="AN543" s="1004"/>
      <c r="AO543" s="1004"/>
      <c r="AP543" s="1004"/>
      <c r="AQ543" s="1004"/>
      <c r="AR543" s="1004"/>
      <c r="AS543" s="1004"/>
      <c r="AT543" s="1004"/>
      <c r="AU543" s="1004"/>
      <c r="AV543" s="1004"/>
      <c r="AW543" s="1004"/>
    </row>
    <row r="544" spans="1:49" s="25" customFormat="1" ht="15" customHeight="1">
      <c r="A544" s="1004"/>
      <c r="B544" s="1004"/>
      <c r="C544" s="1004"/>
      <c r="D544" s="166"/>
      <c r="E544" s="166"/>
      <c r="F544" s="166"/>
      <c r="G544" s="166"/>
      <c r="H544" s="166"/>
      <c r="I544" s="1004"/>
      <c r="J544" s="1004"/>
      <c r="K544" s="1004"/>
      <c r="L544" s="777">
        <v>5</v>
      </c>
      <c r="M544" s="778"/>
      <c r="N544" s="976"/>
      <c r="O544" s="1020">
        <v>487</v>
      </c>
      <c r="P544" s="847" t="e">
        <f>VLOOKUP(N544,etat!$A$9:$N$1004,2,FALSE)</f>
        <v>#N/A</v>
      </c>
      <c r="Q544" s="797" t="e">
        <f>VLOOKUP(N544,etat!$A$9:$N$963,7,FALSE)</f>
        <v>#N/A</v>
      </c>
      <c r="R544" s="797" t="e">
        <f>VLOOKUP(N544,etat!$A$9:$N$1003,9,FALSE)</f>
        <v>#N/A</v>
      </c>
      <c r="S544" s="866" t="e">
        <f>VLOOKUP(N544,etat!$A$9:$P$905,16,FALSE)</f>
        <v>#N/A</v>
      </c>
      <c r="T544" s="755"/>
      <c r="U544" s="791"/>
      <c r="V544" s="784"/>
      <c r="W544" s="784"/>
      <c r="X544" s="784"/>
      <c r="Y544" s="975"/>
      <c r="Z544" s="1022"/>
      <c r="AA544" s="967"/>
      <c r="AB544" s="1005"/>
      <c r="AC544" s="1005"/>
      <c r="AD544" s="1005"/>
      <c r="AE544" s="1005"/>
      <c r="AF544" s="1005"/>
      <c r="AG544" s="1004"/>
      <c r="AH544" s="1004"/>
      <c r="AI544" s="1004"/>
      <c r="AJ544" s="1004"/>
      <c r="AK544" s="1004"/>
      <c r="AL544" s="1004"/>
      <c r="AM544" s="1004"/>
      <c r="AN544" s="1004"/>
      <c r="AO544" s="1004"/>
      <c r="AP544" s="1004"/>
      <c r="AQ544" s="1004"/>
      <c r="AR544" s="1004"/>
      <c r="AS544" s="1004"/>
      <c r="AT544" s="1004"/>
      <c r="AU544" s="1004"/>
      <c r="AV544" s="1004"/>
      <c r="AW544" s="1004"/>
    </row>
    <row r="545" spans="1:49" s="25" customFormat="1" ht="15" customHeight="1">
      <c r="A545" s="1004"/>
      <c r="B545" s="1004"/>
      <c r="C545" s="1004"/>
      <c r="D545" s="166"/>
      <c r="E545" s="166"/>
      <c r="F545" s="166"/>
      <c r="G545" s="166"/>
      <c r="H545" s="166"/>
      <c r="I545" s="1004"/>
      <c r="J545" s="1004"/>
      <c r="K545" s="1004"/>
      <c r="L545" s="777">
        <v>5</v>
      </c>
      <c r="M545" s="778"/>
      <c r="N545" s="976"/>
      <c r="O545" s="1020">
        <v>488</v>
      </c>
      <c r="P545" s="847" t="e">
        <f>VLOOKUP(N545,etat!$A$9:$N$1004,2,FALSE)</f>
        <v>#N/A</v>
      </c>
      <c r="Q545" s="797" t="e">
        <f>VLOOKUP(N545,etat!$A$9:$N$963,7,FALSE)</f>
        <v>#N/A</v>
      </c>
      <c r="R545" s="797" t="e">
        <f>VLOOKUP(N545,etat!$A$9:$N$1003,9,FALSE)</f>
        <v>#N/A</v>
      </c>
      <c r="S545" s="866" t="e">
        <f>VLOOKUP(N545,etat!$A$9:$P$905,16,FALSE)</f>
        <v>#N/A</v>
      </c>
      <c r="T545" s="755"/>
      <c r="U545" s="791"/>
      <c r="V545" s="784"/>
      <c r="W545" s="784"/>
      <c r="X545" s="784"/>
      <c r="Y545" s="975"/>
      <c r="Z545" s="1022"/>
      <c r="AA545" s="967"/>
      <c r="AB545" s="1005"/>
      <c r="AC545" s="1005"/>
      <c r="AD545" s="1005"/>
      <c r="AE545" s="1005"/>
      <c r="AF545" s="1005"/>
      <c r="AG545" s="1004"/>
      <c r="AH545" s="1004"/>
      <c r="AI545" s="1004"/>
      <c r="AJ545" s="1004"/>
      <c r="AK545" s="1004"/>
      <c r="AL545" s="1004"/>
      <c r="AM545" s="1004"/>
      <c r="AN545" s="1004"/>
      <c r="AO545" s="1004"/>
      <c r="AP545" s="1004"/>
      <c r="AQ545" s="1004"/>
      <c r="AR545" s="1004"/>
      <c r="AS545" s="1004"/>
      <c r="AT545" s="1004"/>
      <c r="AU545" s="1004"/>
      <c r="AV545" s="1004"/>
      <c r="AW545" s="1004"/>
    </row>
    <row r="546" spans="1:49" s="25" customFormat="1" ht="15" customHeight="1">
      <c r="A546" s="1004"/>
      <c r="B546" s="1004"/>
      <c r="C546" s="1004"/>
      <c r="D546" s="166"/>
      <c r="E546" s="166"/>
      <c r="F546" s="166"/>
      <c r="G546" s="166"/>
      <c r="H546" s="166"/>
      <c r="I546" s="1004"/>
      <c r="J546" s="1004"/>
      <c r="K546" s="1004"/>
      <c r="L546" s="777">
        <v>5</v>
      </c>
      <c r="M546" s="778"/>
      <c r="N546" s="976"/>
      <c r="O546" s="1020">
        <v>489</v>
      </c>
      <c r="P546" s="847" t="e">
        <f>VLOOKUP(N546,etat!$A$9:$N$1004,2,FALSE)</f>
        <v>#N/A</v>
      </c>
      <c r="Q546" s="797" t="e">
        <f>VLOOKUP(N546,etat!$A$9:$N$963,7,FALSE)</f>
        <v>#N/A</v>
      </c>
      <c r="R546" s="797" t="e">
        <f>VLOOKUP(N546,etat!$A$9:$N$1003,9,FALSE)</f>
        <v>#N/A</v>
      </c>
      <c r="S546" s="866" t="e">
        <f>VLOOKUP(N546,etat!$A$9:$P$905,16,FALSE)</f>
        <v>#N/A</v>
      </c>
      <c r="T546" s="755"/>
      <c r="U546" s="791"/>
      <c r="V546" s="784"/>
      <c r="W546" s="784"/>
      <c r="X546" s="784"/>
      <c r="Y546" s="975"/>
      <c r="Z546" s="1022"/>
      <c r="AA546" s="967"/>
      <c r="AB546" s="1005"/>
      <c r="AC546" s="1005"/>
      <c r="AD546" s="1005"/>
      <c r="AE546" s="1005"/>
      <c r="AF546" s="1005"/>
      <c r="AG546" s="1004"/>
      <c r="AH546" s="1004"/>
      <c r="AI546" s="1004"/>
      <c r="AJ546" s="1004"/>
      <c r="AK546" s="1004"/>
      <c r="AL546" s="1004"/>
      <c r="AM546" s="1004"/>
      <c r="AN546" s="1004"/>
      <c r="AO546" s="1004"/>
      <c r="AP546" s="1004"/>
      <c r="AQ546" s="1004"/>
      <c r="AR546" s="1004"/>
      <c r="AS546" s="1004"/>
      <c r="AT546" s="1004"/>
      <c r="AU546" s="1004"/>
      <c r="AV546" s="1004"/>
      <c r="AW546" s="1004"/>
    </row>
    <row r="547" spans="1:49" s="25" customFormat="1" ht="15" customHeight="1">
      <c r="A547" s="1004"/>
      <c r="B547" s="1004"/>
      <c r="C547" s="1004"/>
      <c r="D547" s="166"/>
      <c r="E547" s="166"/>
      <c r="F547" s="166"/>
      <c r="G547" s="166"/>
      <c r="H547" s="166"/>
      <c r="I547" s="1004"/>
      <c r="J547" s="1004"/>
      <c r="K547" s="1004"/>
      <c r="L547" s="777">
        <v>5</v>
      </c>
      <c r="M547" s="778"/>
      <c r="N547" s="976"/>
      <c r="O547" s="1020">
        <v>490</v>
      </c>
      <c r="P547" s="847" t="e">
        <f>VLOOKUP(N547,etat!$A$9:$N$1004,2,FALSE)</f>
        <v>#N/A</v>
      </c>
      <c r="Q547" s="797" t="e">
        <f>VLOOKUP(N547,etat!$A$9:$N$963,7,FALSE)</f>
        <v>#N/A</v>
      </c>
      <c r="R547" s="797" t="e">
        <f>VLOOKUP(N547,etat!$A$9:$N$1003,9,FALSE)</f>
        <v>#N/A</v>
      </c>
      <c r="S547" s="866" t="e">
        <f>VLOOKUP(N547,etat!$A$9:$P$905,16,FALSE)</f>
        <v>#N/A</v>
      </c>
      <c r="T547" s="755"/>
      <c r="U547" s="791"/>
      <c r="V547" s="784"/>
      <c r="W547" s="784"/>
      <c r="X547" s="784"/>
      <c r="Y547" s="975"/>
      <c r="Z547" s="1022"/>
      <c r="AA547" s="967"/>
      <c r="AB547" s="1005"/>
      <c r="AC547" s="1005"/>
      <c r="AD547" s="1005"/>
      <c r="AE547" s="1005"/>
      <c r="AF547" s="1005"/>
      <c r="AG547" s="1004"/>
      <c r="AH547" s="1004"/>
      <c r="AI547" s="1004"/>
      <c r="AJ547" s="1004"/>
      <c r="AK547" s="1004"/>
      <c r="AL547" s="1004"/>
      <c r="AM547" s="1004"/>
      <c r="AN547" s="1004"/>
      <c r="AO547" s="1004"/>
      <c r="AP547" s="1004"/>
      <c r="AQ547" s="1004"/>
      <c r="AR547" s="1004"/>
      <c r="AS547" s="1004"/>
      <c r="AT547" s="1004"/>
      <c r="AU547" s="1004"/>
      <c r="AV547" s="1004"/>
      <c r="AW547" s="1004"/>
    </row>
    <row r="548" spans="1:49" s="25" customFormat="1" ht="15" customHeight="1">
      <c r="A548" s="1004"/>
      <c r="B548" s="1004"/>
      <c r="C548" s="1004"/>
      <c r="D548" s="166"/>
      <c r="E548" s="166"/>
      <c r="F548" s="166"/>
      <c r="G548" s="166"/>
      <c r="H548" s="166"/>
      <c r="I548" s="1004"/>
      <c r="J548" s="1004"/>
      <c r="K548" s="1004"/>
      <c r="L548" s="777">
        <v>5</v>
      </c>
      <c r="M548" s="778"/>
      <c r="N548" s="976"/>
      <c r="O548" s="1020">
        <v>491</v>
      </c>
      <c r="P548" s="847" t="e">
        <f>VLOOKUP(N548,etat!$A$9:$N$1004,2,FALSE)</f>
        <v>#N/A</v>
      </c>
      <c r="Q548" s="797" t="e">
        <f>VLOOKUP(N548,etat!$A$9:$N$963,7,FALSE)</f>
        <v>#N/A</v>
      </c>
      <c r="R548" s="797" t="e">
        <f>VLOOKUP(N548,etat!$A$9:$N$1003,9,FALSE)</f>
        <v>#N/A</v>
      </c>
      <c r="S548" s="866" t="e">
        <f>VLOOKUP(N548,etat!$A$9:$P$905,16,FALSE)</f>
        <v>#N/A</v>
      </c>
      <c r="T548" s="755"/>
      <c r="U548" s="791"/>
      <c r="V548" s="784"/>
      <c r="W548" s="784"/>
      <c r="X548" s="784"/>
      <c r="Y548" s="975"/>
      <c r="Z548" s="1022"/>
      <c r="AA548" s="967"/>
      <c r="AB548" s="1005"/>
      <c r="AC548" s="1005"/>
      <c r="AD548" s="1005"/>
      <c r="AE548" s="1005"/>
      <c r="AF548" s="1005"/>
      <c r="AG548" s="1004"/>
      <c r="AH548" s="1004"/>
      <c r="AI548" s="1004"/>
      <c r="AJ548" s="1004"/>
      <c r="AK548" s="1004"/>
      <c r="AL548" s="1004"/>
      <c r="AM548" s="1004"/>
      <c r="AN548" s="1004"/>
      <c r="AO548" s="1004"/>
      <c r="AP548" s="1004"/>
      <c r="AQ548" s="1004"/>
      <c r="AR548" s="1004"/>
      <c r="AS548" s="1004"/>
      <c r="AT548" s="1004"/>
      <c r="AU548" s="1004"/>
      <c r="AV548" s="1004"/>
      <c r="AW548" s="1004"/>
    </row>
    <row r="549" spans="1:49" s="25" customFormat="1" ht="15" customHeight="1">
      <c r="A549" s="1004"/>
      <c r="B549" s="1004"/>
      <c r="C549" s="1004"/>
      <c r="D549" s="166"/>
      <c r="E549" s="166"/>
      <c r="F549" s="166"/>
      <c r="G549" s="166"/>
      <c r="H549" s="166"/>
      <c r="I549" s="1004"/>
      <c r="J549" s="1004"/>
      <c r="K549" s="1004"/>
      <c r="L549" s="777">
        <v>5</v>
      </c>
      <c r="M549" s="778"/>
      <c r="N549" s="976"/>
      <c r="O549" s="1020">
        <v>492</v>
      </c>
      <c r="P549" s="847" t="e">
        <f>VLOOKUP(N549,etat!$A$9:$N$1004,2,FALSE)</f>
        <v>#N/A</v>
      </c>
      <c r="Q549" s="797" t="e">
        <f>VLOOKUP(N549,etat!$A$9:$N$963,7,FALSE)</f>
        <v>#N/A</v>
      </c>
      <c r="R549" s="797" t="e">
        <f>VLOOKUP(N549,etat!$A$9:$N$1003,9,FALSE)</f>
        <v>#N/A</v>
      </c>
      <c r="S549" s="866" t="e">
        <f>VLOOKUP(N549,etat!$A$9:$P$905,16,FALSE)</f>
        <v>#N/A</v>
      </c>
      <c r="T549" s="755"/>
      <c r="U549" s="791"/>
      <c r="V549" s="784"/>
      <c r="W549" s="784"/>
      <c r="X549" s="784"/>
      <c r="Y549" s="975"/>
      <c r="Z549" s="1022"/>
      <c r="AA549" s="967"/>
      <c r="AB549" s="1005"/>
      <c r="AC549" s="1005"/>
      <c r="AD549" s="1005"/>
      <c r="AE549" s="1005"/>
      <c r="AF549" s="1005"/>
      <c r="AG549" s="1004"/>
      <c r="AH549" s="1004"/>
      <c r="AI549" s="1004"/>
      <c r="AJ549" s="1004"/>
      <c r="AK549" s="1004"/>
      <c r="AL549" s="1004"/>
      <c r="AM549" s="1004"/>
      <c r="AN549" s="1004"/>
      <c r="AO549" s="1004"/>
      <c r="AP549" s="1004"/>
      <c r="AQ549" s="1004"/>
      <c r="AR549" s="1004"/>
      <c r="AS549" s="1004"/>
      <c r="AT549" s="1004"/>
      <c r="AU549" s="1004"/>
      <c r="AV549" s="1004"/>
      <c r="AW549" s="1004"/>
    </row>
    <row r="550" spans="1:49" s="25" customFormat="1" ht="15" customHeight="1">
      <c r="A550" s="1004"/>
      <c r="B550" s="1004"/>
      <c r="C550" s="1004"/>
      <c r="D550" s="166"/>
      <c r="E550" s="166"/>
      <c r="F550" s="166"/>
      <c r="G550" s="166"/>
      <c r="H550" s="166"/>
      <c r="I550" s="1004"/>
      <c r="J550" s="1004"/>
      <c r="K550" s="1004"/>
      <c r="L550" s="777">
        <v>5</v>
      </c>
      <c r="M550" s="778"/>
      <c r="N550" s="976"/>
      <c r="O550" s="1020">
        <v>493</v>
      </c>
      <c r="P550" s="847" t="e">
        <f>VLOOKUP(N550,etat!$A$9:$N$1004,2,FALSE)</f>
        <v>#N/A</v>
      </c>
      <c r="Q550" s="797" t="e">
        <f>VLOOKUP(N550,etat!$A$9:$N$963,7,FALSE)</f>
        <v>#N/A</v>
      </c>
      <c r="R550" s="797" t="e">
        <f>VLOOKUP(N550,etat!$A$9:$N$1003,9,FALSE)</f>
        <v>#N/A</v>
      </c>
      <c r="S550" s="866" t="e">
        <f>VLOOKUP(N550,etat!$A$9:$P$905,16,FALSE)</f>
        <v>#N/A</v>
      </c>
      <c r="T550" s="755"/>
      <c r="U550" s="791"/>
      <c r="V550" s="784"/>
      <c r="W550" s="784"/>
      <c r="X550" s="784"/>
      <c r="Y550" s="975"/>
      <c r="Z550" s="1022"/>
      <c r="AA550" s="967"/>
      <c r="AB550" s="1005"/>
      <c r="AC550" s="1005"/>
      <c r="AD550" s="1005"/>
      <c r="AE550" s="1005"/>
      <c r="AF550" s="1005"/>
      <c r="AG550" s="1004"/>
      <c r="AH550" s="1004"/>
      <c r="AI550" s="1004"/>
      <c r="AJ550" s="1004"/>
      <c r="AK550" s="1004"/>
      <c r="AL550" s="1004"/>
      <c r="AM550" s="1004"/>
      <c r="AN550" s="1004"/>
      <c r="AO550" s="1004"/>
      <c r="AP550" s="1004"/>
      <c r="AQ550" s="1004"/>
      <c r="AR550" s="1004"/>
      <c r="AS550" s="1004"/>
      <c r="AT550" s="1004"/>
      <c r="AU550" s="1004"/>
      <c r="AV550" s="1004"/>
      <c r="AW550" s="1004"/>
    </row>
    <row r="551" spans="1:49" s="25" customFormat="1" ht="15" customHeight="1">
      <c r="A551" s="1004"/>
      <c r="B551" s="1004"/>
      <c r="C551" s="1004"/>
      <c r="D551" s="166"/>
      <c r="E551" s="166"/>
      <c r="F551" s="166"/>
      <c r="G551" s="166"/>
      <c r="H551" s="166"/>
      <c r="I551" s="1004"/>
      <c r="J551" s="1004"/>
      <c r="K551" s="1004"/>
      <c r="L551" s="777">
        <v>5</v>
      </c>
      <c r="M551" s="778"/>
      <c r="N551" s="976"/>
      <c r="O551" s="1020">
        <v>494</v>
      </c>
      <c r="P551" s="847" t="e">
        <f>VLOOKUP(N551,etat!$A$9:$N$1004,2,FALSE)</f>
        <v>#N/A</v>
      </c>
      <c r="Q551" s="797" t="e">
        <f>VLOOKUP(N551,etat!$A$9:$N$963,7,FALSE)</f>
        <v>#N/A</v>
      </c>
      <c r="R551" s="797" t="e">
        <f>VLOOKUP(N551,etat!$A$9:$N$1003,9,FALSE)</f>
        <v>#N/A</v>
      </c>
      <c r="S551" s="866" t="e">
        <f>VLOOKUP(N551,etat!$A$9:$P$905,16,FALSE)</f>
        <v>#N/A</v>
      </c>
      <c r="T551" s="755"/>
      <c r="U551" s="791"/>
      <c r="V551" s="784"/>
      <c r="W551" s="784"/>
      <c r="X551" s="784"/>
      <c r="Y551" s="975"/>
      <c r="Z551" s="1022"/>
      <c r="AA551" s="967"/>
      <c r="AB551" s="1005"/>
      <c r="AC551" s="1005"/>
      <c r="AD551" s="1005"/>
      <c r="AE551" s="1005"/>
      <c r="AF551" s="1005"/>
      <c r="AG551" s="1004"/>
      <c r="AH551" s="1004"/>
      <c r="AI551" s="1004"/>
      <c r="AJ551" s="1004"/>
      <c r="AK551" s="1004"/>
      <c r="AL551" s="1004"/>
      <c r="AM551" s="1004"/>
      <c r="AN551" s="1004"/>
      <c r="AO551" s="1004"/>
      <c r="AP551" s="1004"/>
      <c r="AQ551" s="1004"/>
      <c r="AR551" s="1004"/>
      <c r="AS551" s="1004"/>
      <c r="AT551" s="1004"/>
      <c r="AU551" s="1004"/>
      <c r="AV551" s="1004"/>
      <c r="AW551" s="1004"/>
    </row>
    <row r="552" spans="1:49" s="25" customFormat="1" ht="15" customHeight="1">
      <c r="A552" s="922"/>
      <c r="B552" s="922"/>
      <c r="C552" s="922"/>
      <c r="D552" s="166"/>
      <c r="E552" s="166"/>
      <c r="F552" s="166"/>
      <c r="G552" s="166"/>
      <c r="H552" s="166"/>
      <c r="I552" s="922"/>
      <c r="J552" s="922"/>
      <c r="K552" s="922"/>
      <c r="L552" s="777">
        <v>5</v>
      </c>
      <c r="M552" s="778"/>
      <c r="N552" s="976"/>
      <c r="O552" s="1020">
        <v>495</v>
      </c>
      <c r="P552" s="847" t="e">
        <f>VLOOKUP(N552,etat!$A$9:$N$1004,2,FALSE)</f>
        <v>#N/A</v>
      </c>
      <c r="Q552" s="797" t="e">
        <f>VLOOKUP(N552,etat!$A$9:$N$963,7,FALSE)</f>
        <v>#N/A</v>
      </c>
      <c r="R552" s="797" t="e">
        <f>VLOOKUP(N552,etat!$A$9:$N$1003,9,FALSE)</f>
        <v>#N/A</v>
      </c>
      <c r="S552" s="866" t="e">
        <f>VLOOKUP(N552,etat!$A$9:$P$905,16,FALSE)</f>
        <v>#N/A</v>
      </c>
      <c r="T552" s="755"/>
      <c r="U552" s="791"/>
      <c r="V552" s="784"/>
      <c r="W552" s="784"/>
      <c r="X552" s="784"/>
      <c r="Y552" s="975"/>
      <c r="Z552" s="1022"/>
      <c r="AA552" s="967"/>
    </row>
    <row r="553" spans="1:49" s="25" customFormat="1" ht="15" customHeight="1">
      <c r="A553" s="922"/>
      <c r="B553" s="922"/>
      <c r="C553" s="922"/>
      <c r="D553" s="166"/>
      <c r="E553" s="166"/>
      <c r="F553" s="166"/>
      <c r="G553" s="166"/>
      <c r="H553" s="166"/>
      <c r="I553" s="922"/>
      <c r="J553" s="922"/>
      <c r="K553" s="922"/>
      <c r="L553" s="777">
        <v>5</v>
      </c>
      <c r="M553" s="778"/>
      <c r="N553" s="976"/>
      <c r="O553" s="1020">
        <v>496</v>
      </c>
      <c r="P553" s="847" t="e">
        <f>VLOOKUP(N553,etat!$A$9:$N$1004,2,FALSE)</f>
        <v>#N/A</v>
      </c>
      <c r="Q553" s="797" t="e">
        <f>VLOOKUP(N553,etat!$A$9:$N$963,7,FALSE)</f>
        <v>#N/A</v>
      </c>
      <c r="R553" s="797" t="e">
        <f>VLOOKUP(N553,etat!$A$9:$N$1003,9,FALSE)</f>
        <v>#N/A</v>
      </c>
      <c r="S553" s="866" t="e">
        <f>VLOOKUP(N553,etat!$A$9:$P$905,16,FALSE)</f>
        <v>#N/A</v>
      </c>
      <c r="T553" s="755"/>
      <c r="U553" s="791"/>
      <c r="V553" s="784"/>
      <c r="W553" s="784"/>
      <c r="X553" s="784"/>
      <c r="Y553" s="975"/>
      <c r="Z553" s="1022"/>
      <c r="AA553" s="967"/>
    </row>
    <row r="554" spans="1:49" s="25" customFormat="1" ht="15" customHeight="1">
      <c r="A554" s="922"/>
      <c r="B554" s="922"/>
      <c r="C554" s="922"/>
      <c r="D554" s="166"/>
      <c r="E554" s="166"/>
      <c r="F554" s="166"/>
      <c r="G554" s="166"/>
      <c r="H554" s="166"/>
      <c r="I554" s="922"/>
      <c r="J554" s="922"/>
      <c r="K554" s="922"/>
      <c r="L554" s="777">
        <v>5</v>
      </c>
      <c r="M554" s="778"/>
      <c r="N554" s="976"/>
      <c r="O554" s="1020">
        <v>497</v>
      </c>
      <c r="P554" s="847" t="e">
        <f>VLOOKUP(N554,etat!$A$9:$N$1004,2,FALSE)</f>
        <v>#N/A</v>
      </c>
      <c r="Q554" s="797" t="e">
        <f>VLOOKUP(N554,etat!$A$9:$N$963,7,FALSE)</f>
        <v>#N/A</v>
      </c>
      <c r="R554" s="797" t="e">
        <f>VLOOKUP(N554,etat!$A$9:$N$1003,9,FALSE)</f>
        <v>#N/A</v>
      </c>
      <c r="S554" s="866" t="e">
        <f>VLOOKUP(N554,etat!$A$9:$P$905,16,FALSE)</f>
        <v>#N/A</v>
      </c>
      <c r="T554" s="755"/>
      <c r="U554" s="791"/>
      <c r="V554" s="784"/>
      <c r="W554" s="784"/>
      <c r="X554" s="784"/>
      <c r="Y554" s="975"/>
      <c r="Z554" s="1022"/>
      <c r="AA554" s="967"/>
    </row>
    <row r="555" spans="1:49" s="25" customFormat="1" ht="15" customHeight="1">
      <c r="A555" s="922"/>
      <c r="B555" s="922"/>
      <c r="C555" s="922"/>
      <c r="D555" s="166"/>
      <c r="E555" s="166"/>
      <c r="F555" s="166"/>
      <c r="G555" s="166"/>
      <c r="H555" s="166"/>
      <c r="I555" s="922"/>
      <c r="J555" s="922"/>
      <c r="K555" s="922"/>
      <c r="L555" s="777">
        <v>5</v>
      </c>
      <c r="M555" s="778"/>
      <c r="N555" s="976"/>
      <c r="O555" s="1020">
        <v>498</v>
      </c>
      <c r="P555" s="847" t="e">
        <f>VLOOKUP(N555,etat!$A$9:$N$1004,2,FALSE)</f>
        <v>#N/A</v>
      </c>
      <c r="Q555" s="797" t="e">
        <f>VLOOKUP(N555,etat!$A$9:$N$963,7,FALSE)</f>
        <v>#N/A</v>
      </c>
      <c r="R555" s="797" t="e">
        <f>VLOOKUP(N555,etat!$A$9:$N$1003,9,FALSE)</f>
        <v>#N/A</v>
      </c>
      <c r="S555" s="866" t="e">
        <f>VLOOKUP(N555,etat!$A$9:$P$905,16,FALSE)</f>
        <v>#N/A</v>
      </c>
      <c r="T555" s="755"/>
      <c r="U555" s="791"/>
      <c r="V555" s="784"/>
      <c r="W555" s="784"/>
      <c r="X555" s="784"/>
      <c r="Y555" s="975"/>
      <c r="Z555" s="1022"/>
      <c r="AA555" s="967"/>
    </row>
    <row r="556" spans="1:49" s="25" customFormat="1" ht="15" customHeight="1">
      <c r="A556" s="922"/>
      <c r="B556" s="922"/>
      <c r="C556" s="922"/>
      <c r="D556" s="166"/>
      <c r="E556" s="166"/>
      <c r="F556" s="166"/>
      <c r="G556" s="166"/>
      <c r="H556" s="166"/>
      <c r="I556" s="922"/>
      <c r="J556" s="922"/>
      <c r="K556" s="922"/>
      <c r="L556" s="777">
        <v>5</v>
      </c>
      <c r="M556" s="778"/>
      <c r="N556" s="976"/>
      <c r="O556" s="1020">
        <v>499</v>
      </c>
      <c r="P556" s="847" t="e">
        <f>VLOOKUP(N556,etat!$A$9:$N$1004,2,FALSE)</f>
        <v>#N/A</v>
      </c>
      <c r="Q556" s="797" t="e">
        <f>VLOOKUP(N556,etat!$A$9:$N$963,7,FALSE)</f>
        <v>#N/A</v>
      </c>
      <c r="R556" s="797" t="e">
        <f>VLOOKUP(N556,etat!$A$9:$N$1003,9,FALSE)</f>
        <v>#N/A</v>
      </c>
      <c r="S556" s="866" t="e">
        <f>VLOOKUP(N556,etat!$A$9:$P$905,16,FALSE)</f>
        <v>#N/A</v>
      </c>
      <c r="T556" s="755"/>
      <c r="U556" s="791"/>
      <c r="V556" s="784"/>
      <c r="W556" s="784"/>
      <c r="X556" s="784"/>
      <c r="Y556" s="975"/>
      <c r="Z556" s="1022"/>
      <c r="AA556" s="967"/>
    </row>
    <row r="557" spans="1:49" s="25" customFormat="1" ht="15" customHeight="1">
      <c r="A557" s="922"/>
      <c r="B557" s="922"/>
      <c r="C557" s="922"/>
      <c r="D557" s="166"/>
      <c r="E557" s="166"/>
      <c r="F557" s="166"/>
      <c r="G557" s="166"/>
      <c r="H557" s="166"/>
      <c r="I557" s="922"/>
      <c r="J557" s="922"/>
      <c r="K557" s="922"/>
      <c r="L557" s="777">
        <v>5</v>
      </c>
      <c r="M557" s="778"/>
      <c r="N557" s="976"/>
      <c r="O557" s="1020">
        <v>500</v>
      </c>
      <c r="P557" s="847" t="e">
        <f>VLOOKUP(N557,etat!$A$9:$N$1004,2,FALSE)</f>
        <v>#N/A</v>
      </c>
      <c r="Q557" s="797" t="e">
        <f>VLOOKUP(N557,etat!$A$9:$N$963,7,FALSE)</f>
        <v>#N/A</v>
      </c>
      <c r="R557" s="797" t="e">
        <f>VLOOKUP(N557,etat!$A$9:$N$1003,9,FALSE)</f>
        <v>#N/A</v>
      </c>
      <c r="S557" s="866" t="e">
        <f>VLOOKUP(N557,etat!$A$9:$P$905,16,FALSE)</f>
        <v>#N/A</v>
      </c>
      <c r="T557" s="755"/>
      <c r="U557" s="791"/>
      <c r="V557" s="784"/>
      <c r="W557" s="784"/>
      <c r="X557" s="784"/>
      <c r="Y557" s="975"/>
      <c r="Z557" s="1022"/>
      <c r="AA557" s="967"/>
    </row>
    <row r="558" spans="1:49" s="25" customFormat="1" ht="15" customHeight="1">
      <c r="A558" s="922"/>
      <c r="B558" s="922"/>
      <c r="C558" s="922"/>
      <c r="D558" s="166"/>
      <c r="E558" s="166"/>
      <c r="F558" s="166"/>
      <c r="G558" s="166"/>
      <c r="H558" s="166"/>
      <c r="I558" s="922"/>
      <c r="J558" s="922"/>
      <c r="K558" s="922"/>
      <c r="L558" s="777">
        <v>5</v>
      </c>
      <c r="M558" s="778"/>
      <c r="N558" s="976"/>
      <c r="O558" s="1020">
        <v>501</v>
      </c>
      <c r="P558" s="847" t="e">
        <f>VLOOKUP(N558,etat!$A$9:$N$1004,2,FALSE)</f>
        <v>#N/A</v>
      </c>
      <c r="Q558" s="797" t="e">
        <f>VLOOKUP(N558,etat!$A$9:$N$963,7,FALSE)</f>
        <v>#N/A</v>
      </c>
      <c r="R558" s="797" t="e">
        <f>VLOOKUP(N558,etat!$A$9:$N$1003,9,FALSE)</f>
        <v>#N/A</v>
      </c>
      <c r="S558" s="866" t="e">
        <f>VLOOKUP(N558,etat!$A$9:$P$905,16,FALSE)</f>
        <v>#N/A</v>
      </c>
      <c r="T558" s="755"/>
      <c r="U558" s="791"/>
      <c r="V558" s="784"/>
      <c r="W558" s="784"/>
      <c r="X558" s="784"/>
      <c r="Y558" s="975"/>
      <c r="Z558" s="1022"/>
      <c r="AA558" s="967"/>
    </row>
    <row r="559" spans="1:49" s="25" customFormat="1" ht="15" customHeight="1">
      <c r="A559" s="922"/>
      <c r="B559" s="922"/>
      <c r="C559" s="922"/>
      <c r="D559" s="166"/>
      <c r="E559" s="166"/>
      <c r="F559" s="166"/>
      <c r="G559" s="166"/>
      <c r="H559" s="166"/>
      <c r="I559" s="922"/>
      <c r="J559" s="922"/>
      <c r="K559" s="922"/>
      <c r="L559" s="777">
        <v>5</v>
      </c>
      <c r="M559" s="778"/>
      <c r="N559" s="976"/>
      <c r="O559" s="1020">
        <v>502</v>
      </c>
      <c r="P559" s="847" t="e">
        <f>VLOOKUP(N559,etat!$A$9:$N$1004,2,FALSE)</f>
        <v>#N/A</v>
      </c>
      <c r="Q559" s="797" t="e">
        <f>VLOOKUP(N559,etat!$A$9:$N$963,7,FALSE)</f>
        <v>#N/A</v>
      </c>
      <c r="R559" s="797" t="e">
        <f>VLOOKUP(N559,etat!$A$9:$N$1003,9,FALSE)</f>
        <v>#N/A</v>
      </c>
      <c r="S559" s="866" t="e">
        <f>VLOOKUP(N559,etat!$A$9:$P$905,16,FALSE)</f>
        <v>#N/A</v>
      </c>
      <c r="T559" s="755"/>
      <c r="U559" s="791"/>
      <c r="V559" s="784"/>
      <c r="W559" s="784"/>
      <c r="X559" s="784"/>
      <c r="Y559" s="975"/>
      <c r="Z559" s="1022"/>
      <c r="AA559" s="967"/>
    </row>
    <row r="560" spans="1:49" s="25" customFormat="1" ht="15" customHeight="1">
      <c r="A560" s="922"/>
      <c r="B560" s="922"/>
      <c r="C560" s="922"/>
      <c r="D560" s="166"/>
      <c r="E560" s="166"/>
      <c r="F560" s="166"/>
      <c r="G560" s="166"/>
      <c r="H560" s="166"/>
      <c r="I560" s="922"/>
      <c r="J560" s="922"/>
      <c r="K560" s="922"/>
      <c r="L560" s="777">
        <v>5</v>
      </c>
      <c r="M560" s="778"/>
      <c r="N560" s="976"/>
      <c r="O560" s="1020">
        <v>503</v>
      </c>
      <c r="P560" s="847" t="e">
        <f>VLOOKUP(N560,etat!$A$9:$N$1004,2,FALSE)</f>
        <v>#N/A</v>
      </c>
      <c r="Q560" s="797" t="e">
        <f>VLOOKUP(N560,etat!$A$9:$N$963,7,FALSE)</f>
        <v>#N/A</v>
      </c>
      <c r="R560" s="797" t="e">
        <f>VLOOKUP(N560,etat!$A$9:$N$1003,9,FALSE)</f>
        <v>#N/A</v>
      </c>
      <c r="S560" s="866" t="e">
        <f>VLOOKUP(N560,etat!$A$9:$P$905,16,FALSE)</f>
        <v>#N/A</v>
      </c>
      <c r="T560" s="755"/>
      <c r="U560" s="791"/>
      <c r="V560" s="784"/>
      <c r="W560" s="784"/>
      <c r="X560" s="784"/>
      <c r="Y560" s="975"/>
      <c r="Z560" s="1022"/>
      <c r="AA560" s="967"/>
    </row>
    <row r="561" spans="1:77" s="25" customFormat="1" ht="15" customHeight="1">
      <c r="A561" s="922"/>
      <c r="B561" s="922"/>
      <c r="C561" s="922"/>
      <c r="D561" s="166"/>
      <c r="E561" s="166"/>
      <c r="F561" s="166"/>
      <c r="G561" s="166"/>
      <c r="H561" s="166"/>
      <c r="I561" s="922"/>
      <c r="J561" s="922"/>
      <c r="K561" s="922"/>
      <c r="L561" s="777">
        <v>5</v>
      </c>
      <c r="M561" s="778"/>
      <c r="N561" s="976"/>
      <c r="O561" s="1020">
        <v>504</v>
      </c>
      <c r="P561" s="847" t="e">
        <f>VLOOKUP(N561,etat!$A$9:$N$1004,2,FALSE)</f>
        <v>#N/A</v>
      </c>
      <c r="Q561" s="797" t="e">
        <f>VLOOKUP(N561,etat!$A$9:$N$963,7,FALSE)</f>
        <v>#N/A</v>
      </c>
      <c r="R561" s="797" t="e">
        <f>VLOOKUP(N561,etat!$A$9:$N$1003,9,FALSE)</f>
        <v>#N/A</v>
      </c>
      <c r="S561" s="866" t="e">
        <f>VLOOKUP(N561,etat!$A$9:$P$905,16,FALSE)</f>
        <v>#N/A</v>
      </c>
      <c r="T561" s="755"/>
      <c r="U561" s="791"/>
      <c r="V561" s="784"/>
      <c r="W561" s="784"/>
      <c r="X561" s="784"/>
      <c r="Y561" s="975"/>
      <c r="Z561" s="1022"/>
      <c r="AA561" s="967"/>
    </row>
    <row r="562" spans="1:77" s="25" customFormat="1" ht="15" customHeight="1">
      <c r="A562" s="922"/>
      <c r="B562" s="922"/>
      <c r="C562" s="922"/>
      <c r="D562" s="166"/>
      <c r="E562" s="166"/>
      <c r="F562" s="166"/>
      <c r="G562" s="166"/>
      <c r="H562" s="166"/>
      <c r="I562" s="922"/>
      <c r="J562" s="922"/>
      <c r="K562" s="922"/>
      <c r="L562" s="777">
        <v>5</v>
      </c>
      <c r="M562" s="778"/>
      <c r="N562" s="976"/>
      <c r="O562" s="1020">
        <v>505</v>
      </c>
      <c r="P562" s="847" t="e">
        <f>VLOOKUP(N562,etat!$A$9:$N$1004,2,FALSE)</f>
        <v>#N/A</v>
      </c>
      <c r="Q562" s="797" t="e">
        <f>VLOOKUP(N562,etat!$A$9:$N$963,7,FALSE)</f>
        <v>#N/A</v>
      </c>
      <c r="R562" s="797" t="e">
        <f>VLOOKUP(N562,etat!$A$9:$N$1003,9,FALSE)</f>
        <v>#N/A</v>
      </c>
      <c r="S562" s="866" t="e">
        <f>VLOOKUP(N562,etat!$A$9:$P$905,16,FALSE)</f>
        <v>#N/A</v>
      </c>
      <c r="T562" s="755"/>
      <c r="U562" s="791"/>
      <c r="V562" s="784"/>
      <c r="W562" s="784"/>
      <c r="X562" s="784"/>
      <c r="Y562" s="975"/>
      <c r="Z562" s="1022"/>
      <c r="AA562" s="967"/>
    </row>
    <row r="563" spans="1:77" s="25" customFormat="1" ht="15" customHeight="1">
      <c r="A563" s="922"/>
      <c r="B563" s="922"/>
      <c r="C563" s="922"/>
      <c r="D563" s="166"/>
      <c r="E563" s="166"/>
      <c r="F563" s="166"/>
      <c r="G563" s="166"/>
      <c r="H563" s="166"/>
      <c r="I563" s="922"/>
      <c r="J563" s="922"/>
      <c r="K563" s="922"/>
      <c r="L563" s="777">
        <v>5</v>
      </c>
      <c r="M563" s="778"/>
      <c r="N563" s="976"/>
      <c r="O563" s="1020">
        <v>506</v>
      </c>
      <c r="P563" s="847" t="e">
        <f>VLOOKUP(N563,etat!$A$9:$N$1004,2,FALSE)</f>
        <v>#N/A</v>
      </c>
      <c r="Q563" s="797" t="e">
        <f>VLOOKUP(N563,etat!$A$9:$N$963,7,FALSE)</f>
        <v>#N/A</v>
      </c>
      <c r="R563" s="797" t="e">
        <f>VLOOKUP(N563,etat!$A$9:$N$1003,9,FALSE)</f>
        <v>#N/A</v>
      </c>
      <c r="S563" s="866" t="e">
        <f>VLOOKUP(N563,etat!$A$9:$P$905,16,FALSE)</f>
        <v>#N/A</v>
      </c>
      <c r="T563" s="755"/>
      <c r="U563" s="791"/>
      <c r="V563" s="784"/>
      <c r="W563" s="784"/>
      <c r="X563" s="784"/>
      <c r="Y563" s="975"/>
      <c r="Z563" s="1022"/>
      <c r="AA563" s="967"/>
      <c r="AH563" s="302"/>
      <c r="AI563" s="302"/>
      <c r="AJ563" s="302"/>
      <c r="AK563" s="302"/>
      <c r="AL563" s="302"/>
      <c r="AM563" s="302"/>
      <c r="AN563" s="302"/>
      <c r="AO563" s="302"/>
      <c r="AP563" s="302"/>
      <c r="AQ563" s="302"/>
      <c r="AR563" s="302"/>
      <c r="AS563" s="302"/>
      <c r="AT563" s="302"/>
      <c r="AU563" s="302"/>
      <c r="AV563" s="302"/>
      <c r="AW563" s="302"/>
      <c r="AX563" s="302"/>
      <c r="AY563" s="302"/>
      <c r="AZ563" s="302"/>
      <c r="BA563" s="302"/>
      <c r="BB563" s="302"/>
    </row>
    <row r="564" spans="1:77" s="25" customFormat="1" ht="15" customHeight="1">
      <c r="A564" s="922"/>
      <c r="B564" s="922"/>
      <c r="C564" s="922"/>
      <c r="D564" s="166"/>
      <c r="E564" s="166"/>
      <c r="F564" s="166"/>
      <c r="G564" s="166"/>
      <c r="H564" s="166"/>
      <c r="I564" s="922"/>
      <c r="J564" s="922"/>
      <c r="K564" s="922"/>
      <c r="L564" s="777">
        <v>5</v>
      </c>
      <c r="M564" s="778"/>
      <c r="N564" s="976"/>
      <c r="O564" s="1020">
        <v>507</v>
      </c>
      <c r="P564" s="847" t="e">
        <f>VLOOKUP(N564,etat!$A$9:$N$1004,2,FALSE)</f>
        <v>#N/A</v>
      </c>
      <c r="Q564" s="797" t="e">
        <f>VLOOKUP(N564,etat!$A$9:$N$963,7,FALSE)</f>
        <v>#N/A</v>
      </c>
      <c r="R564" s="797" t="e">
        <f>VLOOKUP(N564,etat!$A$9:$N$1003,9,FALSE)</f>
        <v>#N/A</v>
      </c>
      <c r="S564" s="866" t="e">
        <f>VLOOKUP(N564,etat!$A$9:$P$905,16,FALSE)</f>
        <v>#N/A</v>
      </c>
      <c r="T564" s="755"/>
      <c r="U564" s="791"/>
      <c r="V564" s="784"/>
      <c r="W564" s="784"/>
      <c r="X564" s="784"/>
      <c r="Y564" s="975"/>
      <c r="Z564" s="1022"/>
      <c r="AA564" s="967"/>
      <c r="AC564" s="302"/>
      <c r="AD564" s="302"/>
      <c r="AE564" s="302"/>
      <c r="AF564" s="302"/>
      <c r="AG564" s="302"/>
      <c r="AH564" s="302"/>
      <c r="AI564" s="302"/>
      <c r="AJ564" s="302"/>
      <c r="AK564" s="302"/>
      <c r="AL564" s="302"/>
      <c r="AM564" s="302"/>
      <c r="AN564" s="302"/>
      <c r="AO564" s="302"/>
      <c r="AP564" s="302"/>
      <c r="AQ564" s="302"/>
      <c r="AR564" s="302"/>
      <c r="AS564" s="302"/>
      <c r="AT564" s="302"/>
      <c r="AU564" s="302"/>
      <c r="AV564" s="302"/>
      <c r="AW564" s="302"/>
      <c r="AX564" s="302"/>
      <c r="AY564" s="302"/>
      <c r="AZ564" s="302"/>
      <c r="BA564" s="302"/>
      <c r="BB564" s="302"/>
    </row>
    <row r="565" spans="1:77" s="25" customFormat="1" ht="15" customHeight="1">
      <c r="A565" s="922"/>
      <c r="B565" s="922"/>
      <c r="C565" s="922"/>
      <c r="D565" s="166"/>
      <c r="E565" s="166"/>
      <c r="F565" s="166"/>
      <c r="G565" s="166"/>
      <c r="H565" s="166"/>
      <c r="I565" s="922"/>
      <c r="J565" s="922"/>
      <c r="K565" s="922"/>
      <c r="L565" s="777">
        <v>5</v>
      </c>
      <c r="M565" s="778"/>
      <c r="N565" s="976"/>
      <c r="O565" s="1020">
        <v>508</v>
      </c>
      <c r="P565" s="847" t="e">
        <f>VLOOKUP(N565,etat!$A$9:$N$1004,2,FALSE)</f>
        <v>#N/A</v>
      </c>
      <c r="Q565" s="797" t="e">
        <f>VLOOKUP(N565,etat!$A$9:$N$963,7,FALSE)</f>
        <v>#N/A</v>
      </c>
      <c r="R565" s="797" t="e">
        <f>VLOOKUP(N565,etat!$A$9:$N$1003,9,FALSE)</f>
        <v>#N/A</v>
      </c>
      <c r="S565" s="866" t="e">
        <f>VLOOKUP(N565,etat!$A$9:$P$905,16,FALSE)</f>
        <v>#N/A</v>
      </c>
      <c r="T565" s="755"/>
      <c r="U565" s="791"/>
      <c r="V565" s="784"/>
      <c r="W565" s="784"/>
      <c r="X565" s="784"/>
      <c r="Y565" s="975"/>
      <c r="Z565" s="1022"/>
      <c r="AA565" s="967"/>
      <c r="AC565" s="302"/>
      <c r="AD565" s="302"/>
      <c r="AE565" s="302"/>
      <c r="AF565" s="302"/>
      <c r="AG565" s="302"/>
      <c r="AH565" s="302"/>
      <c r="AI565" s="302"/>
      <c r="AJ565" s="302"/>
      <c r="AK565" s="302"/>
      <c r="AL565" s="302"/>
      <c r="AM565" s="302"/>
      <c r="AN565" s="302"/>
      <c r="AO565" s="302"/>
      <c r="AP565" s="302"/>
      <c r="AQ565" s="302"/>
      <c r="AR565" s="302"/>
      <c r="AS565" s="302"/>
      <c r="AT565" s="302"/>
      <c r="AU565" s="302"/>
      <c r="AV565" s="302"/>
      <c r="AW565" s="302"/>
      <c r="AX565" s="302"/>
      <c r="AY565" s="302"/>
      <c r="AZ565" s="302"/>
      <c r="BA565" s="302"/>
      <c r="BB565" s="302"/>
    </row>
    <row r="566" spans="1:77" s="25" customFormat="1" ht="15" customHeight="1">
      <c r="A566" s="922"/>
      <c r="B566" s="922"/>
      <c r="C566" s="922"/>
      <c r="D566" s="166"/>
      <c r="E566" s="166"/>
      <c r="F566" s="166"/>
      <c r="G566" s="166"/>
      <c r="H566" s="166"/>
      <c r="I566" s="922"/>
      <c r="J566" s="922"/>
      <c r="K566" s="922"/>
      <c r="L566" s="777">
        <v>5</v>
      </c>
      <c r="M566" s="778"/>
      <c r="N566" s="976"/>
      <c r="O566" s="1020">
        <v>509</v>
      </c>
      <c r="P566" s="847" t="e">
        <f>VLOOKUP(N566,etat!$A$9:$N$1004,2,FALSE)</f>
        <v>#N/A</v>
      </c>
      <c r="Q566" s="797" t="e">
        <f>VLOOKUP(N566,etat!$A$9:$N$963,7,FALSE)</f>
        <v>#N/A</v>
      </c>
      <c r="R566" s="797" t="e">
        <f>VLOOKUP(N566,etat!$A$9:$N$1003,9,FALSE)</f>
        <v>#N/A</v>
      </c>
      <c r="S566" s="866" t="e">
        <f>VLOOKUP(N566,etat!$A$9:$P$905,16,FALSE)</f>
        <v>#N/A</v>
      </c>
      <c r="T566" s="755"/>
      <c r="U566" s="791"/>
      <c r="V566" s="784"/>
      <c r="W566" s="784"/>
      <c r="X566" s="784"/>
      <c r="Y566" s="975"/>
      <c r="Z566" s="1022"/>
      <c r="AA566" s="967"/>
      <c r="AC566" s="302"/>
      <c r="AD566" s="302"/>
      <c r="AE566" s="302"/>
      <c r="AF566" s="302"/>
      <c r="AG566" s="302"/>
      <c r="AH566" s="302"/>
      <c r="AI566" s="302"/>
      <c r="AJ566" s="302"/>
      <c r="AK566" s="302"/>
      <c r="AL566" s="302"/>
      <c r="AM566" s="302"/>
      <c r="AN566" s="302"/>
      <c r="AO566" s="302"/>
      <c r="AP566" s="302"/>
      <c r="AQ566" s="302"/>
      <c r="AR566" s="302"/>
      <c r="AS566" s="302"/>
      <c r="AT566" s="302"/>
      <c r="AU566" s="302"/>
      <c r="AV566" s="302"/>
      <c r="AW566" s="302"/>
      <c r="AX566" s="302"/>
      <c r="AY566" s="302"/>
      <c r="AZ566" s="302"/>
      <c r="BA566" s="302"/>
      <c r="BB566" s="302"/>
    </row>
    <row r="567" spans="1:77" s="25" customFormat="1" ht="15" customHeight="1">
      <c r="A567" s="922"/>
      <c r="B567" s="922"/>
      <c r="C567" s="922"/>
      <c r="D567" s="166"/>
      <c r="E567" s="166"/>
      <c r="F567" s="166"/>
      <c r="G567" s="166"/>
      <c r="H567" s="166"/>
      <c r="I567" s="922"/>
      <c r="J567" s="922"/>
      <c r="K567" s="922"/>
      <c r="L567" s="777">
        <v>5</v>
      </c>
      <c r="M567" s="778"/>
      <c r="N567" s="976"/>
      <c r="O567" s="1020">
        <v>510</v>
      </c>
      <c r="P567" s="847" t="e">
        <f>VLOOKUP(N567,etat!$A$9:$N$1004,2,FALSE)</f>
        <v>#N/A</v>
      </c>
      <c r="Q567" s="797" t="e">
        <f>VLOOKUP(N567,etat!$A$9:$N$963,7,FALSE)</f>
        <v>#N/A</v>
      </c>
      <c r="R567" s="797" t="e">
        <f>VLOOKUP(N567,etat!$A$9:$N$1003,9,FALSE)</f>
        <v>#N/A</v>
      </c>
      <c r="S567" s="866" t="e">
        <f>VLOOKUP(N567,etat!$A$9:$P$905,16,FALSE)</f>
        <v>#N/A</v>
      </c>
      <c r="T567" s="755"/>
      <c r="U567" s="791"/>
      <c r="V567" s="784"/>
      <c r="W567" s="784"/>
      <c r="X567" s="784"/>
      <c r="Y567" s="975"/>
      <c r="Z567" s="1022"/>
      <c r="AA567" s="967"/>
      <c r="AC567" s="302"/>
      <c r="AD567" s="302"/>
      <c r="AE567" s="302"/>
      <c r="AF567" s="302"/>
      <c r="AG567" s="302"/>
      <c r="AH567" s="302"/>
      <c r="AI567" s="302"/>
      <c r="AJ567" s="302"/>
      <c r="AK567" s="302"/>
      <c r="AL567" s="302"/>
      <c r="AM567" s="302"/>
      <c r="AN567" s="302"/>
      <c r="AO567" s="302"/>
      <c r="AP567" s="302"/>
      <c r="AQ567" s="302"/>
      <c r="AR567" s="302"/>
      <c r="AS567" s="302"/>
      <c r="AT567" s="302"/>
      <c r="AU567" s="302"/>
      <c r="AV567" s="302"/>
      <c r="AW567" s="302"/>
      <c r="AX567" s="302"/>
      <c r="AY567" s="302"/>
      <c r="AZ567" s="302"/>
      <c r="BA567" s="302"/>
      <c r="BB567" s="302"/>
    </row>
    <row r="568" spans="1:77" s="25" customFormat="1" ht="15" customHeight="1">
      <c r="A568" s="922"/>
      <c r="B568" s="922"/>
      <c r="C568" s="922"/>
      <c r="D568" s="166"/>
      <c r="E568" s="166"/>
      <c r="F568" s="166"/>
      <c r="G568" s="166"/>
      <c r="H568" s="166"/>
      <c r="I568" s="922"/>
      <c r="J568" s="922"/>
      <c r="K568" s="922"/>
      <c r="L568" s="777">
        <v>5</v>
      </c>
      <c r="M568" s="778"/>
      <c r="N568" s="976"/>
      <c r="O568" s="1020">
        <v>511</v>
      </c>
      <c r="P568" s="847" t="e">
        <f>VLOOKUP(N568,etat!$A$9:$N$1004,2,FALSE)</f>
        <v>#N/A</v>
      </c>
      <c r="Q568" s="797" t="e">
        <f>VLOOKUP(N568,etat!$A$9:$N$963,7,FALSE)</f>
        <v>#N/A</v>
      </c>
      <c r="R568" s="797" t="e">
        <f>VLOOKUP(N568,etat!$A$9:$N$1003,9,FALSE)</f>
        <v>#N/A</v>
      </c>
      <c r="S568" s="866" t="e">
        <f>VLOOKUP(N568,etat!$A$9:$P$905,16,FALSE)</f>
        <v>#N/A</v>
      </c>
      <c r="T568" s="755"/>
      <c r="U568" s="791"/>
      <c r="V568" s="784"/>
      <c r="W568" s="784"/>
      <c r="X568" s="784"/>
      <c r="Y568" s="975"/>
      <c r="Z568" s="1022"/>
      <c r="AA568" s="967"/>
      <c r="AC568" s="302"/>
      <c r="AD568" s="302"/>
      <c r="AE568" s="302"/>
      <c r="AF568" s="302"/>
      <c r="AG568" s="302"/>
      <c r="AH568" s="302"/>
      <c r="AI568" s="302"/>
      <c r="AJ568" s="302"/>
      <c r="AK568" s="302"/>
      <c r="AL568" s="302"/>
      <c r="AM568" s="302"/>
      <c r="AN568" s="302"/>
      <c r="AO568" s="302"/>
      <c r="AP568" s="302"/>
      <c r="AQ568" s="302"/>
      <c r="AR568" s="302"/>
      <c r="AS568" s="302"/>
      <c r="AT568" s="302"/>
      <c r="AU568" s="302"/>
      <c r="AV568" s="302"/>
      <c r="AW568" s="302"/>
      <c r="AX568" s="302"/>
      <c r="AY568" s="302"/>
      <c r="AZ568" s="302"/>
      <c r="BA568" s="302"/>
      <c r="BB568" s="302"/>
    </row>
    <row r="569" spans="1:77" s="25" customFormat="1" ht="15" customHeight="1">
      <c r="A569" s="922"/>
      <c r="B569" s="922"/>
      <c r="C569" s="922"/>
      <c r="D569" s="166"/>
      <c r="E569" s="166"/>
      <c r="F569" s="166"/>
      <c r="G569" s="166"/>
      <c r="H569" s="166"/>
      <c r="I569" s="922"/>
      <c r="J569" s="922"/>
      <c r="K569" s="922"/>
      <c r="L569" s="777">
        <v>5</v>
      </c>
      <c r="M569" s="778"/>
      <c r="N569" s="976"/>
      <c r="O569" s="1020">
        <v>512</v>
      </c>
      <c r="P569" s="847" t="e">
        <f>VLOOKUP(N569,etat!$A$9:$N$1004,2,FALSE)</f>
        <v>#N/A</v>
      </c>
      <c r="Q569" s="797" t="e">
        <f>VLOOKUP(N569,etat!$A$9:$N$963,7,FALSE)</f>
        <v>#N/A</v>
      </c>
      <c r="R569" s="797" t="e">
        <f>VLOOKUP(N569,etat!$A$9:$N$1003,9,FALSE)</f>
        <v>#N/A</v>
      </c>
      <c r="S569" s="866" t="e">
        <f>VLOOKUP(N569,etat!$A$9:$P$905,16,FALSE)</f>
        <v>#N/A</v>
      </c>
      <c r="T569" s="755"/>
      <c r="U569" s="791"/>
      <c r="V569" s="784"/>
      <c r="W569" s="784"/>
      <c r="X569" s="784"/>
      <c r="Y569" s="975"/>
      <c r="Z569" s="1022"/>
      <c r="AA569" s="967"/>
      <c r="AC569" s="302"/>
      <c r="AD569" s="302"/>
      <c r="AE569" s="302"/>
      <c r="AF569" s="302"/>
      <c r="AG569" s="302"/>
      <c r="AH569" s="302"/>
      <c r="AI569" s="302"/>
      <c r="AJ569" s="302"/>
      <c r="AK569" s="302"/>
      <c r="AL569" s="302"/>
      <c r="AM569" s="302"/>
      <c r="AN569" s="302"/>
      <c r="AO569" s="302"/>
      <c r="AP569" s="302"/>
      <c r="AQ569" s="302"/>
      <c r="AR569" s="302"/>
      <c r="AS569" s="302"/>
      <c r="AT569" s="302"/>
      <c r="AU569" s="302"/>
      <c r="AV569" s="302"/>
      <c r="AW569" s="302"/>
      <c r="AX569" s="302"/>
      <c r="AY569" s="302"/>
      <c r="AZ569" s="302"/>
      <c r="BA569" s="302"/>
      <c r="BB569" s="302"/>
    </row>
    <row r="570" spans="1:77" s="25" customFormat="1" ht="15" customHeight="1">
      <c r="A570" s="922"/>
      <c r="B570" s="922"/>
      <c r="C570" s="922"/>
      <c r="D570" s="166"/>
      <c r="E570" s="166"/>
      <c r="F570" s="166"/>
      <c r="G570" s="166"/>
      <c r="H570" s="166"/>
      <c r="I570" s="922"/>
      <c r="J570" s="922"/>
      <c r="K570" s="922"/>
      <c r="L570" s="777">
        <v>5</v>
      </c>
      <c r="M570" s="778"/>
      <c r="N570" s="976"/>
      <c r="O570" s="1020">
        <v>513</v>
      </c>
      <c r="P570" s="847" t="e">
        <f>VLOOKUP(N570,etat!$A$9:$N$1004,2,FALSE)</f>
        <v>#N/A</v>
      </c>
      <c r="Q570" s="797" t="e">
        <f>VLOOKUP(N570,etat!$A$9:$N$963,7,FALSE)</f>
        <v>#N/A</v>
      </c>
      <c r="R570" s="797" t="e">
        <f>VLOOKUP(N570,etat!$A$9:$N$1003,9,FALSE)</f>
        <v>#N/A</v>
      </c>
      <c r="S570" s="866" t="e">
        <f>VLOOKUP(N570,etat!$A$9:$P$905,16,FALSE)</f>
        <v>#N/A</v>
      </c>
      <c r="T570" s="755"/>
      <c r="U570" s="791"/>
      <c r="V570" s="784"/>
      <c r="W570" s="784"/>
      <c r="X570" s="784"/>
      <c r="Y570" s="975"/>
      <c r="Z570" s="1022"/>
      <c r="AA570" s="967"/>
      <c r="AC570" s="302"/>
      <c r="AD570" s="302"/>
      <c r="AE570" s="302"/>
      <c r="AF570" s="302"/>
      <c r="AG570" s="302"/>
      <c r="AH570" s="302"/>
      <c r="AI570" s="302"/>
      <c r="AJ570" s="302"/>
      <c r="AK570" s="302"/>
      <c r="AL570" s="302"/>
      <c r="AM570" s="302"/>
      <c r="AN570" s="302"/>
      <c r="AO570" s="302"/>
      <c r="AP570" s="302"/>
      <c r="AQ570" s="302"/>
      <c r="AR570" s="302"/>
      <c r="AS570" s="302"/>
      <c r="AT570" s="302"/>
      <c r="AU570" s="302"/>
      <c r="AV570" s="302"/>
      <c r="AW570" s="302"/>
      <c r="AX570" s="302"/>
      <c r="AY570" s="302"/>
      <c r="AZ570" s="302"/>
      <c r="BA570" s="302"/>
      <c r="BB570" s="302"/>
    </row>
    <row r="571" spans="1:77" s="25" customFormat="1" ht="15" customHeight="1">
      <c r="A571" s="922"/>
      <c r="B571" s="922"/>
      <c r="C571" s="922"/>
      <c r="D571" s="166"/>
      <c r="E571" s="166"/>
      <c r="F571" s="166"/>
      <c r="G571" s="166"/>
      <c r="H571" s="166"/>
      <c r="I571" s="922"/>
      <c r="J571" s="922"/>
      <c r="K571" s="922"/>
      <c r="L571" s="777">
        <v>5</v>
      </c>
      <c r="M571" s="778"/>
      <c r="N571" s="976"/>
      <c r="O571" s="1020">
        <v>514</v>
      </c>
      <c r="P571" s="847" t="e">
        <f>VLOOKUP(N571,etat!$A$9:$N$1004,2,FALSE)</f>
        <v>#N/A</v>
      </c>
      <c r="Q571" s="797" t="e">
        <f>VLOOKUP(N571,etat!$A$9:$N$963,7,FALSE)</f>
        <v>#N/A</v>
      </c>
      <c r="R571" s="797" t="e">
        <f>VLOOKUP(N571,etat!$A$9:$N$1003,9,FALSE)</f>
        <v>#N/A</v>
      </c>
      <c r="S571" s="866" t="e">
        <f>VLOOKUP(N571,etat!$A$9:$P$905,16,FALSE)</f>
        <v>#N/A</v>
      </c>
      <c r="T571" s="755"/>
      <c r="U571" s="791"/>
      <c r="V571" s="784"/>
      <c r="W571" s="784"/>
      <c r="X571" s="784"/>
      <c r="Y571" s="975"/>
      <c r="Z571" s="1022"/>
      <c r="AA571" s="967"/>
      <c r="AC571" s="302"/>
      <c r="AD571" s="302"/>
      <c r="AE571" s="302"/>
      <c r="AF571" s="302"/>
      <c r="AG571" s="302"/>
      <c r="AH571" s="302"/>
      <c r="AI571" s="302"/>
      <c r="AJ571" s="302"/>
      <c r="AK571" s="302"/>
      <c r="AL571" s="302"/>
      <c r="AM571" s="302"/>
      <c r="AN571" s="302"/>
      <c r="AO571" s="302"/>
      <c r="AP571" s="302"/>
      <c r="AQ571" s="302"/>
      <c r="AR571" s="302"/>
      <c r="AS571" s="302"/>
      <c r="AT571" s="302"/>
      <c r="AU571" s="302"/>
      <c r="AV571" s="302"/>
      <c r="AW571" s="302"/>
      <c r="AX571" s="302"/>
      <c r="AY571" s="302"/>
      <c r="AZ571" s="302"/>
      <c r="BA571" s="302"/>
      <c r="BB571" s="302"/>
    </row>
    <row r="572" spans="1:77" s="25" customFormat="1" ht="15" customHeight="1">
      <c r="A572" s="922"/>
      <c r="B572" s="922"/>
      <c r="C572" s="922"/>
      <c r="D572" s="166"/>
      <c r="E572" s="166"/>
      <c r="F572" s="166"/>
      <c r="G572" s="166"/>
      <c r="H572" s="166"/>
      <c r="I572" s="922"/>
      <c r="J572" s="922"/>
      <c r="K572" s="922"/>
      <c r="L572" s="777">
        <v>5</v>
      </c>
      <c r="M572" s="778"/>
      <c r="N572" s="976"/>
      <c r="O572" s="1020">
        <v>515</v>
      </c>
      <c r="P572" s="847" t="e">
        <f>VLOOKUP(N572,etat!$A$9:$N$1004,2,FALSE)</f>
        <v>#N/A</v>
      </c>
      <c r="Q572" s="797" t="e">
        <f>VLOOKUP(N572,etat!$A$9:$N$963,7,FALSE)</f>
        <v>#N/A</v>
      </c>
      <c r="R572" s="797" t="e">
        <f>VLOOKUP(N572,etat!$A$9:$N$1003,9,FALSE)</f>
        <v>#N/A</v>
      </c>
      <c r="S572" s="866" t="e">
        <f>VLOOKUP(N572,etat!$A$9:$P$905,16,FALSE)</f>
        <v>#N/A</v>
      </c>
      <c r="T572" s="755"/>
      <c r="U572" s="791"/>
      <c r="V572" s="784"/>
      <c r="W572" s="784"/>
      <c r="X572" s="784"/>
      <c r="Y572" s="975"/>
      <c r="Z572" s="1022"/>
      <c r="AA572" s="967"/>
      <c r="AC572" s="302"/>
      <c r="AD572" s="302"/>
      <c r="AE572" s="302"/>
      <c r="AF572" s="302"/>
      <c r="AG572" s="302"/>
      <c r="AH572" s="302"/>
      <c r="AI572" s="302"/>
      <c r="AJ572" s="302"/>
      <c r="AK572" s="302"/>
      <c r="AL572" s="302"/>
      <c r="AM572" s="302"/>
      <c r="AN572" s="302"/>
      <c r="AO572" s="302"/>
      <c r="AP572" s="302"/>
      <c r="AQ572" s="302"/>
      <c r="AR572" s="302"/>
      <c r="AS572" s="302"/>
      <c r="AT572" s="302"/>
      <c r="AU572" s="302"/>
      <c r="AV572" s="302"/>
      <c r="AW572" s="302"/>
      <c r="AX572" s="302"/>
      <c r="AY572" s="302"/>
      <c r="AZ572" s="302"/>
      <c r="BA572" s="302"/>
      <c r="BB572" s="302"/>
      <c r="BC572" s="302"/>
      <c r="BD572" s="302"/>
      <c r="BE572" s="302"/>
      <c r="BF572" s="302"/>
      <c r="BG572" s="302"/>
      <c r="BH572" s="302"/>
      <c r="BI572" s="302"/>
      <c r="BJ572" s="302"/>
      <c r="BK572" s="302"/>
      <c r="BL572" s="302"/>
      <c r="BM572" s="302"/>
      <c r="BN572" s="302"/>
      <c r="BO572" s="302"/>
      <c r="BP572" s="302"/>
      <c r="BQ572" s="302"/>
      <c r="BR572" s="302"/>
      <c r="BS572" s="302"/>
      <c r="BT572" s="302"/>
      <c r="BU572" s="302"/>
      <c r="BV572" s="302"/>
      <c r="BW572" s="302"/>
      <c r="BX572" s="302"/>
      <c r="BY572" s="302"/>
    </row>
    <row r="573" spans="1:77" s="25" customFormat="1" ht="15" customHeight="1">
      <c r="A573" s="922"/>
      <c r="B573" s="922"/>
      <c r="C573" s="922"/>
      <c r="D573" s="166"/>
      <c r="E573" s="166"/>
      <c r="F573" s="166"/>
      <c r="G573" s="166"/>
      <c r="H573" s="166"/>
      <c r="I573" s="922"/>
      <c r="J573" s="922"/>
      <c r="K573" s="922"/>
      <c r="L573" s="777">
        <v>5</v>
      </c>
      <c r="M573" s="778"/>
      <c r="N573" s="976"/>
      <c r="O573" s="1020">
        <v>516</v>
      </c>
      <c r="P573" s="847" t="e">
        <f>VLOOKUP(N573,etat!$A$9:$N$1004,2,FALSE)</f>
        <v>#N/A</v>
      </c>
      <c r="Q573" s="797" t="e">
        <f>VLOOKUP(N573,etat!$A$9:$N$963,7,FALSE)</f>
        <v>#N/A</v>
      </c>
      <c r="R573" s="797" t="e">
        <f>VLOOKUP(N573,etat!$A$9:$N$1003,9,FALSE)</f>
        <v>#N/A</v>
      </c>
      <c r="S573" s="866" t="e">
        <f>VLOOKUP(N573,etat!$A$9:$P$905,16,FALSE)</f>
        <v>#N/A</v>
      </c>
      <c r="T573" s="755"/>
      <c r="U573" s="791"/>
      <c r="V573" s="784"/>
      <c r="W573" s="784"/>
      <c r="X573" s="784"/>
      <c r="Y573" s="975"/>
      <c r="Z573" s="1022"/>
      <c r="AA573" s="967"/>
      <c r="AC573" s="302"/>
      <c r="AD573" s="302"/>
      <c r="AE573" s="302"/>
      <c r="AF573" s="302"/>
      <c r="AG573" s="302"/>
      <c r="AH573" s="302"/>
      <c r="AI573" s="302"/>
      <c r="AJ573" s="302"/>
      <c r="AK573" s="302"/>
      <c r="AL573" s="302"/>
      <c r="AM573" s="302"/>
      <c r="AN573" s="302"/>
      <c r="AO573" s="302"/>
      <c r="AP573" s="302"/>
      <c r="AQ573" s="302"/>
      <c r="AR573" s="302"/>
      <c r="AS573" s="302"/>
      <c r="AT573" s="302"/>
      <c r="AU573" s="302"/>
      <c r="AV573" s="302"/>
      <c r="AW573" s="302"/>
      <c r="AX573" s="302"/>
      <c r="AY573" s="302"/>
      <c r="AZ573" s="302"/>
      <c r="BA573" s="302"/>
      <c r="BB573" s="302"/>
      <c r="BC573" s="302"/>
      <c r="BD573" s="302"/>
      <c r="BE573" s="302"/>
      <c r="BF573" s="302"/>
      <c r="BG573" s="302"/>
      <c r="BH573" s="302"/>
      <c r="BI573" s="302"/>
      <c r="BJ573" s="302"/>
      <c r="BK573" s="302"/>
      <c r="BL573" s="302"/>
      <c r="BM573" s="302"/>
      <c r="BN573" s="302"/>
      <c r="BO573" s="302"/>
      <c r="BP573" s="302"/>
      <c r="BQ573" s="302"/>
      <c r="BR573" s="302"/>
      <c r="BS573" s="302"/>
      <c r="BT573" s="302"/>
      <c r="BU573" s="302"/>
      <c r="BV573" s="302"/>
      <c r="BW573" s="302"/>
      <c r="BX573" s="302"/>
      <c r="BY573" s="302"/>
    </row>
    <row r="574" spans="1:77" s="25" customFormat="1" ht="15" customHeight="1">
      <c r="A574" s="922"/>
      <c r="B574" s="922"/>
      <c r="C574" s="922"/>
      <c r="D574" s="166"/>
      <c r="E574" s="166"/>
      <c r="F574" s="166"/>
      <c r="G574" s="166"/>
      <c r="H574" s="166"/>
      <c r="I574" s="922"/>
      <c r="J574" s="922"/>
      <c r="K574" s="922"/>
      <c r="L574" s="777">
        <v>5</v>
      </c>
      <c r="M574" s="778"/>
      <c r="N574" s="976"/>
      <c r="O574" s="1020">
        <v>517</v>
      </c>
      <c r="P574" s="847" t="e">
        <f>VLOOKUP(N574,etat!$A$9:$N$1004,2,FALSE)</f>
        <v>#N/A</v>
      </c>
      <c r="Q574" s="797" t="e">
        <f>VLOOKUP(N574,etat!$A$9:$N$963,7,FALSE)</f>
        <v>#N/A</v>
      </c>
      <c r="R574" s="797" t="e">
        <f>VLOOKUP(N574,etat!$A$9:$N$1003,9,FALSE)</f>
        <v>#N/A</v>
      </c>
      <c r="S574" s="866" t="e">
        <f>VLOOKUP(N574,etat!$A$9:$P$905,16,FALSE)</f>
        <v>#N/A</v>
      </c>
      <c r="T574" s="755"/>
      <c r="U574" s="791"/>
      <c r="V574" s="784"/>
      <c r="W574" s="784"/>
      <c r="X574" s="784"/>
      <c r="Y574" s="975"/>
      <c r="Z574" s="1022"/>
      <c r="AA574" s="967"/>
      <c r="AC574" s="302"/>
      <c r="AD574" s="302"/>
      <c r="AE574" s="302"/>
      <c r="AF574" s="302"/>
      <c r="AG574" s="302"/>
      <c r="AH574" s="302"/>
      <c r="AI574" s="302"/>
      <c r="AJ574" s="302"/>
      <c r="AK574" s="302"/>
      <c r="AL574" s="302"/>
      <c r="AM574" s="302"/>
      <c r="AN574" s="302"/>
      <c r="AO574" s="302"/>
      <c r="AP574" s="302"/>
      <c r="AQ574" s="302"/>
      <c r="AR574" s="302"/>
      <c r="AS574" s="302"/>
      <c r="AT574" s="302"/>
      <c r="AU574" s="302"/>
      <c r="AV574" s="302"/>
      <c r="AW574" s="302"/>
      <c r="AX574" s="302"/>
      <c r="AY574" s="302"/>
      <c r="AZ574" s="302"/>
      <c r="BA574" s="302"/>
      <c r="BB574" s="302"/>
      <c r="BC574" s="302"/>
      <c r="BD574" s="302"/>
      <c r="BE574" s="302"/>
      <c r="BF574" s="302"/>
      <c r="BG574" s="302"/>
      <c r="BH574" s="302"/>
      <c r="BI574" s="302"/>
      <c r="BJ574" s="302"/>
      <c r="BK574" s="302"/>
      <c r="BL574" s="302"/>
      <c r="BM574" s="302"/>
      <c r="BN574" s="302"/>
      <c r="BO574" s="302"/>
      <c r="BP574" s="302"/>
      <c r="BQ574" s="302"/>
      <c r="BR574" s="302"/>
      <c r="BS574" s="302"/>
      <c r="BT574" s="302"/>
      <c r="BU574" s="302"/>
      <c r="BV574" s="302"/>
      <c r="BW574" s="302"/>
      <c r="BX574" s="302"/>
      <c r="BY574" s="302"/>
    </row>
    <row r="575" spans="1:77" s="25" customFormat="1" ht="15" customHeight="1">
      <c r="A575" s="922"/>
      <c r="B575" s="922"/>
      <c r="C575" s="922"/>
      <c r="D575" s="166"/>
      <c r="E575" s="166"/>
      <c r="F575" s="166"/>
      <c r="G575" s="166"/>
      <c r="H575" s="166"/>
      <c r="I575" s="922"/>
      <c r="J575" s="922"/>
      <c r="K575" s="922"/>
      <c r="L575" s="777">
        <v>5</v>
      </c>
      <c r="M575" s="778"/>
      <c r="N575" s="976"/>
      <c r="O575" s="1020">
        <v>518</v>
      </c>
      <c r="P575" s="847" t="e">
        <f>VLOOKUP(N575,etat!$A$9:$N$1004,2,FALSE)</f>
        <v>#N/A</v>
      </c>
      <c r="Q575" s="797" t="e">
        <f>VLOOKUP(N575,etat!$A$9:$N$963,7,FALSE)</f>
        <v>#N/A</v>
      </c>
      <c r="R575" s="797" t="e">
        <f>VLOOKUP(N575,etat!$A$9:$N$1003,9,FALSE)</f>
        <v>#N/A</v>
      </c>
      <c r="S575" s="866" t="e">
        <f>VLOOKUP(N575,etat!$A$9:$P$905,16,FALSE)</f>
        <v>#N/A</v>
      </c>
      <c r="T575" s="755"/>
      <c r="U575" s="791"/>
      <c r="V575" s="784"/>
      <c r="W575" s="784"/>
      <c r="X575" s="784"/>
      <c r="Y575" s="975"/>
      <c r="Z575" s="1022"/>
      <c r="AA575" s="967"/>
      <c r="AC575" s="302"/>
      <c r="AD575" s="302"/>
      <c r="AE575" s="302"/>
      <c r="AF575" s="302"/>
      <c r="AG575" s="302"/>
      <c r="AH575" s="302"/>
      <c r="AI575" s="302"/>
      <c r="AJ575" s="302"/>
      <c r="AK575" s="302"/>
      <c r="AL575" s="302"/>
      <c r="AM575" s="302"/>
      <c r="AN575" s="302"/>
      <c r="AO575" s="302"/>
      <c r="AP575" s="302"/>
      <c r="AQ575" s="302"/>
      <c r="AR575" s="302"/>
      <c r="AS575" s="302"/>
      <c r="AT575" s="302"/>
      <c r="AU575" s="302"/>
      <c r="AV575" s="302"/>
      <c r="AW575" s="302"/>
      <c r="AX575" s="302"/>
      <c r="AY575" s="302"/>
      <c r="AZ575" s="302"/>
      <c r="BA575" s="302"/>
      <c r="BB575" s="302"/>
      <c r="BC575" s="302"/>
      <c r="BD575" s="302"/>
      <c r="BE575" s="302"/>
      <c r="BF575" s="302"/>
      <c r="BG575" s="302"/>
      <c r="BH575" s="302"/>
      <c r="BI575" s="302"/>
      <c r="BJ575" s="302"/>
      <c r="BK575" s="302"/>
      <c r="BL575" s="302"/>
      <c r="BM575" s="302"/>
      <c r="BN575" s="302"/>
      <c r="BO575" s="302"/>
      <c r="BP575" s="302"/>
      <c r="BQ575" s="302"/>
      <c r="BR575" s="302"/>
      <c r="BS575" s="302"/>
      <c r="BT575" s="302"/>
      <c r="BU575" s="302"/>
      <c r="BV575" s="302"/>
      <c r="BW575" s="302"/>
      <c r="BX575" s="302"/>
      <c r="BY575" s="302"/>
    </row>
    <row r="576" spans="1:77" s="25" customFormat="1" ht="15" customHeight="1">
      <c r="A576" s="922"/>
      <c r="B576" s="922"/>
      <c r="C576" s="922"/>
      <c r="D576" s="166"/>
      <c r="E576" s="166"/>
      <c r="F576" s="166"/>
      <c r="G576" s="166"/>
      <c r="H576" s="166"/>
      <c r="I576" s="922"/>
      <c r="J576" s="922"/>
      <c r="K576" s="922"/>
      <c r="L576" s="777">
        <v>5</v>
      </c>
      <c r="M576" s="778"/>
      <c r="N576" s="976"/>
      <c r="O576" s="1020">
        <v>519</v>
      </c>
      <c r="P576" s="847" t="e">
        <f>VLOOKUP(N576,etat!$A$9:$N$1004,2,FALSE)</f>
        <v>#N/A</v>
      </c>
      <c r="Q576" s="797" t="e">
        <f>VLOOKUP(N576,etat!$A$9:$N$963,7,FALSE)</f>
        <v>#N/A</v>
      </c>
      <c r="R576" s="797" t="e">
        <f>VLOOKUP(N576,etat!$A$9:$N$1003,9,FALSE)</f>
        <v>#N/A</v>
      </c>
      <c r="S576" s="866" t="e">
        <f>VLOOKUP(N576,etat!$A$9:$P$905,16,FALSE)</f>
        <v>#N/A</v>
      </c>
      <c r="T576" s="755"/>
      <c r="U576" s="791"/>
      <c r="V576" s="784"/>
      <c r="W576" s="784"/>
      <c r="X576" s="784"/>
      <c r="Y576" s="975"/>
      <c r="Z576" s="1022"/>
      <c r="AA576" s="967"/>
      <c r="AC576" s="302"/>
      <c r="AD576" s="302"/>
      <c r="AE576" s="302"/>
      <c r="AF576" s="302"/>
      <c r="AG576" s="302"/>
      <c r="AH576" s="302"/>
      <c r="AI576" s="302"/>
      <c r="AJ576" s="302"/>
      <c r="AK576" s="302"/>
      <c r="AL576" s="302"/>
      <c r="AM576" s="302"/>
      <c r="AN576" s="302"/>
      <c r="AO576" s="302"/>
      <c r="AP576" s="302"/>
      <c r="AQ576" s="302"/>
      <c r="AR576" s="302"/>
      <c r="AS576" s="302"/>
      <c r="AT576" s="302"/>
      <c r="AU576" s="302"/>
      <c r="AV576" s="302"/>
      <c r="AW576" s="302"/>
      <c r="AX576" s="302"/>
      <c r="AY576" s="302"/>
      <c r="AZ576" s="302"/>
      <c r="BA576" s="302"/>
      <c r="BB576" s="302"/>
      <c r="BC576" s="302"/>
      <c r="BD576" s="302"/>
      <c r="BE576" s="302"/>
      <c r="BF576" s="302"/>
      <c r="BG576" s="302"/>
      <c r="BH576" s="302"/>
      <c r="BI576" s="302"/>
      <c r="BJ576" s="302"/>
      <c r="BK576" s="302"/>
      <c r="BL576" s="302"/>
      <c r="BM576" s="302"/>
      <c r="BN576" s="302"/>
      <c r="BO576" s="302"/>
      <c r="BP576" s="302"/>
      <c r="BQ576" s="302"/>
      <c r="BR576" s="302"/>
      <c r="BS576" s="302"/>
      <c r="BT576" s="302"/>
      <c r="BU576" s="302"/>
      <c r="BV576" s="302"/>
      <c r="BW576" s="302"/>
      <c r="BX576" s="302"/>
      <c r="BY576" s="302"/>
    </row>
    <row r="577" spans="1:77" s="25" customFormat="1" ht="15" customHeight="1">
      <c r="A577" s="922"/>
      <c r="B577" s="922"/>
      <c r="C577" s="922"/>
      <c r="D577" s="166"/>
      <c r="E577" s="166"/>
      <c r="F577" s="166"/>
      <c r="G577" s="166"/>
      <c r="H577" s="166"/>
      <c r="I577" s="922"/>
      <c r="J577" s="922"/>
      <c r="K577" s="922"/>
      <c r="L577" s="777">
        <v>5</v>
      </c>
      <c r="M577" s="778"/>
      <c r="N577" s="976"/>
      <c r="O577" s="1020">
        <v>520</v>
      </c>
      <c r="P577" s="847" t="e">
        <f>VLOOKUP(N577,etat!$A$9:$N$1004,2,FALSE)</f>
        <v>#N/A</v>
      </c>
      <c r="Q577" s="797" t="e">
        <f>VLOOKUP(N577,etat!$A$9:$N$963,7,FALSE)</f>
        <v>#N/A</v>
      </c>
      <c r="R577" s="797" t="e">
        <f>VLOOKUP(N577,etat!$A$9:$N$1003,9,FALSE)</f>
        <v>#N/A</v>
      </c>
      <c r="S577" s="866" t="e">
        <f>VLOOKUP(N577,etat!$A$9:$P$905,16,FALSE)</f>
        <v>#N/A</v>
      </c>
      <c r="T577" s="755"/>
      <c r="U577" s="791"/>
      <c r="V577" s="784"/>
      <c r="W577" s="784"/>
      <c r="X577" s="784"/>
      <c r="Y577" s="975"/>
      <c r="Z577" s="1022"/>
      <c r="AA577" s="967"/>
      <c r="AC577" s="302"/>
      <c r="AD577" s="302"/>
      <c r="AE577" s="302"/>
      <c r="AF577" s="302"/>
      <c r="AG577" s="302"/>
      <c r="AH577" s="302"/>
      <c r="AI577" s="302"/>
      <c r="AJ577" s="302"/>
      <c r="AK577" s="302"/>
      <c r="AL577" s="302"/>
      <c r="AM577" s="302"/>
      <c r="AN577" s="302"/>
      <c r="AO577" s="302"/>
      <c r="AP577" s="302"/>
      <c r="AQ577" s="302"/>
      <c r="AR577" s="302"/>
      <c r="AS577" s="302"/>
      <c r="AT577" s="302"/>
      <c r="AU577" s="302"/>
      <c r="AV577" s="302"/>
      <c r="AW577" s="302"/>
      <c r="AX577" s="302"/>
      <c r="AY577" s="302"/>
      <c r="AZ577" s="302"/>
      <c r="BA577" s="302"/>
      <c r="BB577" s="302"/>
      <c r="BC577" s="302"/>
      <c r="BD577" s="302"/>
      <c r="BE577" s="302"/>
      <c r="BF577" s="302"/>
      <c r="BG577" s="302"/>
      <c r="BH577" s="302"/>
      <c r="BI577" s="302"/>
      <c r="BJ577" s="302"/>
      <c r="BK577" s="302"/>
      <c r="BL577" s="302"/>
      <c r="BM577" s="302"/>
      <c r="BN577" s="302"/>
      <c r="BO577" s="302"/>
      <c r="BP577" s="302"/>
      <c r="BQ577" s="302"/>
      <c r="BR577" s="302"/>
      <c r="BS577" s="302"/>
      <c r="BT577" s="302"/>
      <c r="BU577" s="302"/>
      <c r="BV577" s="302"/>
      <c r="BW577" s="302"/>
      <c r="BX577" s="302"/>
      <c r="BY577" s="302"/>
    </row>
    <row r="578" spans="1:77" s="25" customFormat="1" ht="15" customHeight="1">
      <c r="A578" s="922"/>
      <c r="B578" s="922"/>
      <c r="C578" s="922"/>
      <c r="D578" s="166"/>
      <c r="E578" s="166"/>
      <c r="F578" s="166"/>
      <c r="G578" s="166"/>
      <c r="H578" s="166"/>
      <c r="I578" s="922"/>
      <c r="J578" s="922"/>
      <c r="K578" s="922"/>
      <c r="L578" s="777">
        <v>5</v>
      </c>
      <c r="M578" s="778"/>
      <c r="N578" s="976"/>
      <c r="O578" s="1020">
        <v>521</v>
      </c>
      <c r="P578" s="847" t="e">
        <f>VLOOKUP(N578,etat!$A$9:$N$1004,2,FALSE)</f>
        <v>#N/A</v>
      </c>
      <c r="Q578" s="797" t="e">
        <f>VLOOKUP(N578,etat!$A$9:$N$963,7,FALSE)</f>
        <v>#N/A</v>
      </c>
      <c r="R578" s="797" t="e">
        <f>VLOOKUP(N578,etat!$A$9:$N$1003,9,FALSE)</f>
        <v>#N/A</v>
      </c>
      <c r="S578" s="866" t="e">
        <f>VLOOKUP(N578,etat!$A$9:$P$905,16,FALSE)</f>
        <v>#N/A</v>
      </c>
      <c r="T578" s="755"/>
      <c r="U578" s="791"/>
      <c r="V578" s="784"/>
      <c r="W578" s="784"/>
      <c r="X578" s="784"/>
      <c r="Y578" s="975"/>
      <c r="Z578" s="1022"/>
      <c r="AA578" s="967"/>
      <c r="AC578" s="302"/>
      <c r="AD578" s="302"/>
      <c r="AE578" s="302"/>
      <c r="AF578" s="302"/>
      <c r="AG578" s="302"/>
      <c r="AH578" s="302"/>
      <c r="AI578" s="302"/>
      <c r="AJ578" s="302"/>
      <c r="AK578" s="302"/>
      <c r="AL578" s="302"/>
      <c r="AM578" s="302"/>
      <c r="AN578" s="302"/>
      <c r="AO578" s="302"/>
      <c r="AP578" s="302"/>
      <c r="AQ578" s="302"/>
      <c r="AR578" s="302"/>
      <c r="AS578" s="302"/>
      <c r="AT578" s="302"/>
      <c r="AU578" s="302"/>
      <c r="AV578" s="302"/>
      <c r="AW578" s="302"/>
      <c r="AX578" s="302"/>
      <c r="AY578" s="302"/>
      <c r="AZ578" s="302"/>
      <c r="BA578" s="302"/>
      <c r="BB578" s="302"/>
      <c r="BC578" s="302"/>
      <c r="BD578" s="302"/>
      <c r="BE578" s="302"/>
      <c r="BF578" s="302"/>
      <c r="BG578" s="302"/>
      <c r="BH578" s="302"/>
      <c r="BI578" s="302"/>
      <c r="BJ578" s="302"/>
      <c r="BK578" s="302"/>
      <c r="BL578" s="302"/>
      <c r="BM578" s="302"/>
      <c r="BN578" s="302"/>
      <c r="BO578" s="302"/>
      <c r="BP578" s="302"/>
      <c r="BQ578" s="302"/>
      <c r="BR578" s="302"/>
      <c r="BS578" s="302"/>
      <c r="BT578" s="302"/>
      <c r="BU578" s="302"/>
      <c r="BV578" s="302"/>
      <c r="BW578" s="302"/>
      <c r="BX578" s="302"/>
      <c r="BY578" s="302"/>
    </row>
    <row r="579" spans="1:77" s="25" customFormat="1" ht="15" customHeight="1">
      <c r="A579" s="922"/>
      <c r="B579" s="922"/>
      <c r="C579" s="922"/>
      <c r="D579" s="166"/>
      <c r="E579" s="166"/>
      <c r="F579" s="166"/>
      <c r="G579" s="166"/>
      <c r="H579" s="166"/>
      <c r="I579" s="922"/>
      <c r="J579" s="922"/>
      <c r="K579" s="922"/>
      <c r="L579" s="777">
        <v>5</v>
      </c>
      <c r="M579" s="778"/>
      <c r="N579" s="976"/>
      <c r="O579" s="1020">
        <v>522</v>
      </c>
      <c r="P579" s="847" t="e">
        <f>VLOOKUP(N579,etat!$A$9:$N$1004,2,FALSE)</f>
        <v>#N/A</v>
      </c>
      <c r="Q579" s="797" t="e">
        <f>VLOOKUP(N579,etat!$A$9:$N$963,7,FALSE)</f>
        <v>#N/A</v>
      </c>
      <c r="R579" s="797" t="e">
        <f>VLOOKUP(N579,etat!$A$9:$N$1003,9,FALSE)</f>
        <v>#N/A</v>
      </c>
      <c r="S579" s="866" t="e">
        <f>VLOOKUP(N579,etat!$A$9:$P$905,16,FALSE)</f>
        <v>#N/A</v>
      </c>
      <c r="T579" s="755"/>
      <c r="U579" s="791"/>
      <c r="V579" s="784"/>
      <c r="W579" s="784"/>
      <c r="X579" s="784"/>
      <c r="Y579" s="975"/>
      <c r="Z579" s="1022"/>
      <c r="AA579" s="967"/>
      <c r="AC579" s="302"/>
      <c r="AD579" s="302"/>
      <c r="AE579" s="302"/>
      <c r="AF579" s="302"/>
      <c r="AG579" s="302"/>
      <c r="AH579" s="302"/>
      <c r="AI579" s="302"/>
      <c r="AJ579" s="302"/>
      <c r="AK579" s="302"/>
      <c r="AL579" s="302"/>
      <c r="AM579" s="302"/>
      <c r="AN579" s="302"/>
      <c r="AO579" s="302"/>
      <c r="AP579" s="302"/>
      <c r="AQ579" s="302"/>
      <c r="AR579" s="302"/>
      <c r="AS579" s="302"/>
      <c r="AT579" s="302"/>
      <c r="AU579" s="302"/>
      <c r="AV579" s="302"/>
      <c r="AW579" s="302"/>
      <c r="AX579" s="302"/>
      <c r="AY579" s="302"/>
      <c r="AZ579" s="302"/>
      <c r="BA579" s="302"/>
      <c r="BB579" s="302"/>
      <c r="BC579" s="302"/>
      <c r="BD579" s="302"/>
      <c r="BE579" s="302"/>
      <c r="BF579" s="302"/>
      <c r="BG579" s="302"/>
      <c r="BH579" s="302"/>
      <c r="BI579" s="302"/>
      <c r="BJ579" s="302"/>
      <c r="BK579" s="302"/>
      <c r="BL579" s="302"/>
      <c r="BM579" s="302"/>
      <c r="BN579" s="302"/>
      <c r="BO579" s="302"/>
      <c r="BP579" s="302"/>
      <c r="BQ579" s="302"/>
      <c r="BR579" s="302"/>
      <c r="BS579" s="302"/>
      <c r="BT579" s="302"/>
      <c r="BU579" s="302"/>
      <c r="BV579" s="302"/>
      <c r="BW579" s="302"/>
      <c r="BX579" s="302"/>
      <c r="BY579" s="302"/>
    </row>
    <row r="580" spans="1:77" s="25" customFormat="1" ht="15" customHeight="1">
      <c r="A580" s="922"/>
      <c r="B580" s="922"/>
      <c r="C580" s="922"/>
      <c r="D580" s="166"/>
      <c r="E580" s="166"/>
      <c r="F580" s="166"/>
      <c r="G580" s="166"/>
      <c r="H580" s="166"/>
      <c r="I580" s="922"/>
      <c r="J580" s="922"/>
      <c r="K580" s="922"/>
      <c r="L580" s="777">
        <v>5</v>
      </c>
      <c r="M580" s="778"/>
      <c r="N580" s="976"/>
      <c r="O580" s="1020">
        <v>523</v>
      </c>
      <c r="P580" s="847" t="e">
        <f>VLOOKUP(N580,etat!$A$9:$N$1004,2,FALSE)</f>
        <v>#N/A</v>
      </c>
      <c r="Q580" s="797" t="e">
        <f>VLOOKUP(N580,etat!$A$9:$N$963,7,FALSE)</f>
        <v>#N/A</v>
      </c>
      <c r="R580" s="797" t="e">
        <f>VLOOKUP(N580,etat!$A$9:$N$1003,9,FALSE)</f>
        <v>#N/A</v>
      </c>
      <c r="S580" s="866" t="e">
        <f>VLOOKUP(N580,etat!$A$9:$P$905,16,FALSE)</f>
        <v>#N/A</v>
      </c>
      <c r="T580" s="755"/>
      <c r="U580" s="791"/>
      <c r="V580" s="784"/>
      <c r="W580" s="784"/>
      <c r="X580" s="784"/>
      <c r="Y580" s="975"/>
      <c r="Z580" s="1022"/>
      <c r="AA580" s="967"/>
      <c r="AC580" s="302"/>
      <c r="AD580" s="302"/>
      <c r="AE580" s="302"/>
      <c r="AF580" s="302"/>
      <c r="AG580" s="302"/>
      <c r="AH580" s="302"/>
      <c r="AI580" s="302"/>
      <c r="AJ580" s="302"/>
      <c r="AK580" s="302"/>
      <c r="AL580" s="302"/>
      <c r="AM580" s="302"/>
      <c r="AN580" s="302"/>
      <c r="AO580" s="302"/>
      <c r="AP580" s="302"/>
      <c r="AQ580" s="302"/>
      <c r="AR580" s="302"/>
      <c r="AS580" s="302"/>
      <c r="AT580" s="302"/>
      <c r="AU580" s="302"/>
      <c r="AV580" s="302"/>
      <c r="AW580" s="302"/>
      <c r="AX580" s="302"/>
      <c r="AY580" s="302"/>
      <c r="AZ580" s="302"/>
      <c r="BA580" s="302"/>
      <c r="BB580" s="302"/>
      <c r="BC580" s="302"/>
      <c r="BD580" s="302"/>
      <c r="BE580" s="302"/>
      <c r="BF580" s="302"/>
      <c r="BG580" s="302"/>
      <c r="BH580" s="302"/>
      <c r="BI580" s="302"/>
      <c r="BJ580" s="302"/>
      <c r="BK580" s="302"/>
      <c r="BL580" s="302"/>
      <c r="BM580" s="302"/>
      <c r="BN580" s="302"/>
      <c r="BO580" s="302"/>
      <c r="BP580" s="302"/>
      <c r="BQ580" s="302"/>
      <c r="BR580" s="302"/>
      <c r="BS580" s="302"/>
      <c r="BT580" s="302"/>
      <c r="BU580" s="302"/>
      <c r="BV580" s="302"/>
      <c r="BW580" s="302"/>
      <c r="BX580" s="302"/>
      <c r="BY580" s="302"/>
    </row>
    <row r="581" spans="1:77" s="25" customFormat="1" ht="15" customHeight="1">
      <c r="A581" s="922"/>
      <c r="B581" s="922"/>
      <c r="C581" s="922"/>
      <c r="D581" s="166"/>
      <c r="E581" s="166"/>
      <c r="F581" s="166"/>
      <c r="G581" s="166"/>
      <c r="H581" s="166"/>
      <c r="I581" s="922"/>
      <c r="J581" s="922"/>
      <c r="K581" s="922"/>
      <c r="L581" s="777">
        <v>5</v>
      </c>
      <c r="M581" s="778"/>
      <c r="N581" s="976"/>
      <c r="O581" s="1020">
        <v>524</v>
      </c>
      <c r="P581" s="847" t="e">
        <f>VLOOKUP(N581,etat!$A$9:$N$1004,2,FALSE)</f>
        <v>#N/A</v>
      </c>
      <c r="Q581" s="797" t="e">
        <f>VLOOKUP(N581,etat!$A$9:$N$963,7,FALSE)</f>
        <v>#N/A</v>
      </c>
      <c r="R581" s="797" t="e">
        <f>VLOOKUP(N581,etat!$A$9:$N$1003,9,FALSE)</f>
        <v>#N/A</v>
      </c>
      <c r="S581" s="866" t="e">
        <f>VLOOKUP(N581,etat!$A$9:$P$905,16,FALSE)</f>
        <v>#N/A</v>
      </c>
      <c r="T581" s="755"/>
      <c r="U581" s="791"/>
      <c r="V581" s="784"/>
      <c r="W581" s="784"/>
      <c r="X581" s="784"/>
      <c r="Y581" s="975"/>
      <c r="Z581" s="1022"/>
      <c r="AA581" s="967"/>
      <c r="AC581" s="302"/>
      <c r="AD581" s="302"/>
      <c r="AE581" s="302"/>
      <c r="AF581" s="302"/>
      <c r="AG581" s="302"/>
      <c r="AH581" s="302"/>
      <c r="AI581" s="302"/>
      <c r="AJ581" s="302"/>
      <c r="AK581" s="302"/>
      <c r="AL581" s="302"/>
      <c r="AM581" s="302"/>
      <c r="AN581" s="302"/>
      <c r="AO581" s="302"/>
      <c r="AP581" s="302"/>
      <c r="AQ581" s="302"/>
      <c r="AR581" s="302"/>
      <c r="AS581" s="302"/>
      <c r="AT581" s="302"/>
      <c r="AU581" s="302"/>
      <c r="AV581" s="302"/>
      <c r="AW581" s="302"/>
      <c r="AX581" s="302"/>
      <c r="AY581" s="302"/>
      <c r="AZ581" s="302"/>
      <c r="BA581" s="302"/>
      <c r="BB581" s="302"/>
      <c r="BC581" s="302"/>
      <c r="BD581" s="302"/>
      <c r="BE581" s="302"/>
      <c r="BF581" s="302"/>
      <c r="BG581" s="302"/>
      <c r="BH581" s="302"/>
      <c r="BI581" s="302"/>
      <c r="BJ581" s="302"/>
      <c r="BK581" s="302"/>
      <c r="BL581" s="302"/>
      <c r="BM581" s="302"/>
      <c r="BN581" s="302"/>
      <c r="BO581" s="302"/>
      <c r="BP581" s="302"/>
      <c r="BQ581" s="302"/>
      <c r="BR581" s="302"/>
      <c r="BS581" s="302"/>
      <c r="BT581" s="302"/>
      <c r="BU581" s="302"/>
      <c r="BV581" s="302"/>
      <c r="BW581" s="302"/>
      <c r="BX581" s="302"/>
      <c r="BY581" s="302"/>
    </row>
    <row r="582" spans="1:77" s="25" customFormat="1" ht="15" customHeight="1">
      <c r="A582" s="922"/>
      <c r="B582" s="922"/>
      <c r="C582" s="922"/>
      <c r="D582" s="166"/>
      <c r="E582" s="166"/>
      <c r="F582" s="166"/>
      <c r="G582" s="166"/>
      <c r="H582" s="166"/>
      <c r="I582" s="922"/>
      <c r="J582" s="922"/>
      <c r="K582" s="922"/>
      <c r="L582" s="777">
        <v>5</v>
      </c>
      <c r="M582" s="778"/>
      <c r="N582" s="976"/>
      <c r="O582" s="1020">
        <v>525</v>
      </c>
      <c r="P582" s="847" t="e">
        <f>VLOOKUP(N582,etat!$A$9:$N$1004,2,FALSE)</f>
        <v>#N/A</v>
      </c>
      <c r="Q582" s="797" t="e">
        <f>VLOOKUP(N582,etat!$A$9:$N$963,7,FALSE)</f>
        <v>#N/A</v>
      </c>
      <c r="R582" s="797" t="e">
        <f>VLOOKUP(N582,etat!$A$9:$N$1003,9,FALSE)</f>
        <v>#N/A</v>
      </c>
      <c r="S582" s="866" t="e">
        <f>VLOOKUP(N582,etat!$A$9:$P$905,16,FALSE)</f>
        <v>#N/A</v>
      </c>
      <c r="T582" s="755"/>
      <c r="U582" s="791"/>
      <c r="V582" s="784"/>
      <c r="W582" s="784"/>
      <c r="X582" s="784"/>
      <c r="Y582" s="975"/>
      <c r="Z582" s="1022"/>
      <c r="AA582" s="967"/>
      <c r="AC582" s="302"/>
      <c r="AD582" s="302"/>
      <c r="AE582" s="302"/>
      <c r="AF582" s="302"/>
      <c r="AG582" s="302"/>
      <c r="AH582" s="302"/>
      <c r="AI582" s="302"/>
      <c r="AJ582" s="302"/>
      <c r="AK582" s="302"/>
      <c r="AL582" s="302"/>
      <c r="AM582" s="302"/>
      <c r="AN582" s="302"/>
      <c r="AO582" s="302"/>
      <c r="AP582" s="302"/>
      <c r="AQ582" s="302"/>
      <c r="AR582" s="302"/>
      <c r="AS582" s="302"/>
      <c r="AT582" s="302"/>
      <c r="AU582" s="302"/>
      <c r="AV582" s="302"/>
      <c r="AW582" s="302"/>
      <c r="AX582" s="302"/>
      <c r="AY582" s="302"/>
      <c r="AZ582" s="302"/>
      <c r="BA582" s="302"/>
      <c r="BB582" s="302"/>
      <c r="BC582" s="302"/>
      <c r="BD582" s="302"/>
      <c r="BE582" s="302"/>
      <c r="BF582" s="302"/>
      <c r="BG582" s="302"/>
      <c r="BH582" s="302"/>
      <c r="BI582" s="302"/>
      <c r="BJ582" s="302"/>
      <c r="BK582" s="302"/>
      <c r="BL582" s="302"/>
      <c r="BM582" s="302"/>
      <c r="BN582" s="302"/>
      <c r="BO582" s="302"/>
      <c r="BP582" s="302"/>
      <c r="BQ582" s="302"/>
      <c r="BR582" s="302"/>
      <c r="BS582" s="302"/>
      <c r="BT582" s="302"/>
      <c r="BU582" s="302"/>
      <c r="BV582" s="302"/>
      <c r="BW582" s="302"/>
      <c r="BX582" s="302"/>
      <c r="BY582" s="302"/>
    </row>
    <row r="583" spans="1:77" s="25" customFormat="1" ht="15" customHeight="1">
      <c r="A583" s="922"/>
      <c r="B583" s="922"/>
      <c r="C583" s="922"/>
      <c r="D583" s="166"/>
      <c r="E583" s="166"/>
      <c r="F583" s="166"/>
      <c r="G583" s="166"/>
      <c r="H583" s="166"/>
      <c r="I583" s="922"/>
      <c r="J583" s="922"/>
      <c r="K583" s="922"/>
      <c r="L583" s="777">
        <v>5</v>
      </c>
      <c r="M583" s="778"/>
      <c r="N583" s="976"/>
      <c r="O583" s="1020">
        <v>526</v>
      </c>
      <c r="P583" s="847" t="e">
        <f>VLOOKUP(N583,etat!$A$9:$N$1004,2,FALSE)</f>
        <v>#N/A</v>
      </c>
      <c r="Q583" s="797" t="e">
        <f>VLOOKUP(N583,etat!$A$9:$N$963,7,FALSE)</f>
        <v>#N/A</v>
      </c>
      <c r="R583" s="797" t="e">
        <f>VLOOKUP(N583,etat!$A$9:$N$1003,9,FALSE)</f>
        <v>#N/A</v>
      </c>
      <c r="S583" s="866" t="e">
        <f>VLOOKUP(N583,etat!$A$9:$P$905,16,FALSE)</f>
        <v>#N/A</v>
      </c>
      <c r="T583" s="755"/>
      <c r="U583" s="791"/>
      <c r="V583" s="784"/>
      <c r="W583" s="784"/>
      <c r="X583" s="784"/>
      <c r="Y583" s="975"/>
      <c r="Z583" s="1022"/>
      <c r="AA583" s="967"/>
      <c r="AC583" s="302"/>
      <c r="AD583" s="302"/>
      <c r="AE583" s="302"/>
      <c r="AF583" s="302"/>
      <c r="AG583" s="302"/>
      <c r="AH583" s="302"/>
      <c r="AI583" s="302"/>
      <c r="AJ583" s="302"/>
      <c r="AK583" s="302"/>
      <c r="AL583" s="302"/>
      <c r="AM583" s="302"/>
      <c r="AN583" s="302"/>
      <c r="AO583" s="302"/>
      <c r="AP583" s="302"/>
      <c r="AQ583" s="302"/>
      <c r="AR583" s="302"/>
      <c r="AS583" s="302"/>
      <c r="AT583" s="302"/>
      <c r="AU583" s="302"/>
      <c r="AV583" s="302"/>
      <c r="AW583" s="302"/>
      <c r="AX583" s="302"/>
      <c r="AY583" s="302"/>
      <c r="AZ583" s="302"/>
      <c r="BA583" s="302"/>
      <c r="BB583" s="302"/>
      <c r="BC583" s="302"/>
      <c r="BD583" s="302"/>
      <c r="BE583" s="302"/>
      <c r="BF583" s="302"/>
      <c r="BG583" s="302"/>
      <c r="BH583" s="302"/>
      <c r="BI583" s="302"/>
      <c r="BJ583" s="302"/>
      <c r="BK583" s="302"/>
      <c r="BL583" s="302"/>
      <c r="BM583" s="302"/>
      <c r="BN583" s="302"/>
      <c r="BO583" s="302"/>
      <c r="BP583" s="302"/>
      <c r="BQ583" s="302"/>
      <c r="BR583" s="302"/>
      <c r="BS583" s="302"/>
      <c r="BT583" s="302"/>
      <c r="BU583" s="302"/>
      <c r="BV583" s="302"/>
      <c r="BW583" s="302"/>
      <c r="BX583" s="302"/>
      <c r="BY583" s="302"/>
    </row>
    <row r="584" spans="1:77" s="25" customFormat="1" ht="15" customHeight="1">
      <c r="A584" s="922"/>
      <c r="B584" s="922"/>
      <c r="C584" s="922"/>
      <c r="D584" s="166"/>
      <c r="E584" s="166"/>
      <c r="F584" s="166"/>
      <c r="G584" s="166"/>
      <c r="H584" s="166"/>
      <c r="I584" s="922"/>
      <c r="J584" s="922"/>
      <c r="K584" s="922"/>
      <c r="L584" s="777">
        <v>5</v>
      </c>
      <c r="M584" s="778"/>
      <c r="N584" s="976"/>
      <c r="O584" s="1020">
        <v>527</v>
      </c>
      <c r="P584" s="847" t="e">
        <f>VLOOKUP(N584,etat!$A$9:$N$1004,2,FALSE)</f>
        <v>#N/A</v>
      </c>
      <c r="Q584" s="797" t="e">
        <f>VLOOKUP(N584,etat!$A$9:$N$963,7,FALSE)</f>
        <v>#N/A</v>
      </c>
      <c r="R584" s="797" t="e">
        <f>VLOOKUP(N584,etat!$A$9:$N$1003,9,FALSE)</f>
        <v>#N/A</v>
      </c>
      <c r="S584" s="866" t="e">
        <f>VLOOKUP(N584,etat!$A$9:$P$905,16,FALSE)</f>
        <v>#N/A</v>
      </c>
      <c r="T584" s="755"/>
      <c r="U584" s="791"/>
      <c r="V584" s="784"/>
      <c r="W584" s="784"/>
      <c r="X584" s="784"/>
      <c r="Y584" s="975"/>
      <c r="Z584" s="1022"/>
      <c r="AA584" s="967"/>
      <c r="AC584" s="302"/>
      <c r="AD584" s="302"/>
      <c r="AE584" s="302"/>
      <c r="AF584" s="302"/>
      <c r="AG584" s="302"/>
      <c r="AH584" s="302"/>
      <c r="AI584" s="302"/>
      <c r="AJ584" s="302"/>
      <c r="AK584" s="302"/>
      <c r="AL584" s="302"/>
      <c r="AM584" s="302"/>
      <c r="AN584" s="302"/>
      <c r="AO584" s="302"/>
      <c r="AP584" s="302"/>
      <c r="AQ584" s="302"/>
      <c r="AR584" s="302"/>
      <c r="AS584" s="302"/>
      <c r="AT584" s="302"/>
      <c r="AU584" s="302"/>
      <c r="AV584" s="302"/>
      <c r="AW584" s="302"/>
      <c r="AX584" s="302"/>
      <c r="AY584" s="302"/>
      <c r="AZ584" s="302"/>
      <c r="BA584" s="302"/>
      <c r="BB584" s="302"/>
      <c r="BC584" s="302"/>
      <c r="BD584" s="302"/>
      <c r="BE584" s="302"/>
      <c r="BF584" s="302"/>
      <c r="BG584" s="302"/>
      <c r="BH584" s="302"/>
      <c r="BI584" s="302"/>
      <c r="BJ584" s="302"/>
      <c r="BK584" s="302"/>
      <c r="BL584" s="302"/>
      <c r="BM584" s="302"/>
      <c r="BN584" s="302"/>
      <c r="BO584" s="302"/>
      <c r="BP584" s="302"/>
      <c r="BQ584" s="302"/>
      <c r="BR584" s="302"/>
      <c r="BS584" s="302"/>
      <c r="BT584" s="302"/>
      <c r="BU584" s="302"/>
      <c r="BV584" s="302"/>
      <c r="BW584" s="302"/>
      <c r="BX584" s="302"/>
      <c r="BY584" s="302"/>
    </row>
    <row r="585" spans="1:77" s="25" customFormat="1" ht="15" customHeight="1">
      <c r="A585" s="922"/>
      <c r="B585" s="922"/>
      <c r="C585" s="922"/>
      <c r="D585" s="166"/>
      <c r="E585" s="166"/>
      <c r="F585" s="166"/>
      <c r="G585" s="166"/>
      <c r="H585" s="166"/>
      <c r="I585" s="922"/>
      <c r="J585" s="922"/>
      <c r="K585" s="922"/>
      <c r="L585" s="777">
        <v>5</v>
      </c>
      <c r="M585" s="778"/>
      <c r="N585" s="976"/>
      <c r="O585" s="1020">
        <v>528</v>
      </c>
      <c r="P585" s="847" t="e">
        <f>VLOOKUP(N585,etat!$A$9:$N$1004,2,FALSE)</f>
        <v>#N/A</v>
      </c>
      <c r="Q585" s="797" t="e">
        <f>VLOOKUP(N585,etat!$A$9:$N$963,7,FALSE)</f>
        <v>#N/A</v>
      </c>
      <c r="R585" s="797" t="e">
        <f>VLOOKUP(N585,etat!$A$9:$N$1003,9,FALSE)</f>
        <v>#N/A</v>
      </c>
      <c r="S585" s="866" t="e">
        <f>VLOOKUP(N585,etat!$A$9:$P$905,16,FALSE)</f>
        <v>#N/A</v>
      </c>
      <c r="T585" s="755"/>
      <c r="U585" s="791"/>
      <c r="V585" s="784"/>
      <c r="W585" s="784"/>
      <c r="X585" s="784"/>
      <c r="Y585" s="975"/>
      <c r="Z585" s="1022"/>
      <c r="AA585" s="967"/>
      <c r="AC585" s="302"/>
      <c r="AD585" s="302"/>
      <c r="AE585" s="302"/>
      <c r="AF585" s="302"/>
      <c r="AG585" s="302"/>
      <c r="AH585" s="302"/>
      <c r="AI585" s="302"/>
      <c r="AJ585" s="302"/>
      <c r="AK585" s="302"/>
      <c r="AL585" s="302"/>
      <c r="AM585" s="302"/>
      <c r="AN585" s="302"/>
      <c r="AO585" s="302"/>
      <c r="AP585" s="302"/>
      <c r="AQ585" s="302"/>
      <c r="AR585" s="302"/>
      <c r="AS585" s="302"/>
      <c r="AT585" s="302"/>
      <c r="AU585" s="302"/>
      <c r="AV585" s="302"/>
      <c r="AW585" s="302"/>
      <c r="AX585" s="302"/>
      <c r="AY585" s="302"/>
      <c r="AZ585" s="302"/>
      <c r="BA585" s="302"/>
      <c r="BB585" s="302"/>
      <c r="BC585" s="302"/>
      <c r="BD585" s="302"/>
      <c r="BE585" s="302"/>
      <c r="BF585" s="302"/>
      <c r="BG585" s="302"/>
      <c r="BH585" s="302"/>
      <c r="BI585" s="302"/>
      <c r="BJ585" s="302"/>
      <c r="BK585" s="302"/>
      <c r="BL585" s="302"/>
      <c r="BM585" s="302"/>
      <c r="BN585" s="302"/>
      <c r="BO585" s="302"/>
      <c r="BP585" s="302"/>
      <c r="BQ585" s="302"/>
      <c r="BR585" s="302"/>
      <c r="BS585" s="302"/>
      <c r="BT585" s="302"/>
      <c r="BU585" s="302"/>
      <c r="BV585" s="302"/>
      <c r="BW585" s="302"/>
      <c r="BX585" s="302"/>
      <c r="BY585" s="302"/>
    </row>
    <row r="586" spans="1:77" s="25" customFormat="1" ht="15" customHeight="1">
      <c r="A586" s="922"/>
      <c r="B586" s="922"/>
      <c r="C586" s="922"/>
      <c r="D586" s="166"/>
      <c r="E586" s="166"/>
      <c r="F586" s="166"/>
      <c r="G586" s="166"/>
      <c r="H586" s="166"/>
      <c r="I586" s="922"/>
      <c r="J586" s="922"/>
      <c r="K586" s="922"/>
      <c r="L586" s="777">
        <v>5</v>
      </c>
      <c r="M586" s="778"/>
      <c r="N586" s="976"/>
      <c r="O586" s="1020">
        <v>529</v>
      </c>
      <c r="P586" s="847" t="e">
        <f>VLOOKUP(N586,etat!$A$9:$N$1004,2,FALSE)</f>
        <v>#N/A</v>
      </c>
      <c r="Q586" s="797" t="e">
        <f>VLOOKUP(N586,etat!$A$9:$N$963,7,FALSE)</f>
        <v>#N/A</v>
      </c>
      <c r="R586" s="797" t="e">
        <f>VLOOKUP(N586,etat!$A$9:$N$1003,9,FALSE)</f>
        <v>#N/A</v>
      </c>
      <c r="S586" s="866" t="e">
        <f>VLOOKUP(N586,etat!$A$9:$P$905,16,FALSE)</f>
        <v>#N/A</v>
      </c>
      <c r="T586" s="755"/>
      <c r="U586" s="791"/>
      <c r="V586" s="784"/>
      <c r="W586" s="784"/>
      <c r="X586" s="784"/>
      <c r="Y586" s="975"/>
      <c r="Z586" s="1022"/>
      <c r="AA586" s="967"/>
      <c r="AC586" s="302"/>
      <c r="AD586" s="302"/>
      <c r="AE586" s="302"/>
      <c r="AF586" s="302"/>
      <c r="AG586" s="302"/>
      <c r="AH586" s="302"/>
      <c r="AI586" s="302"/>
      <c r="AJ586" s="302"/>
      <c r="AK586" s="302"/>
      <c r="AL586" s="302"/>
      <c r="AM586" s="302"/>
      <c r="AN586" s="302"/>
      <c r="AO586" s="302"/>
      <c r="AP586" s="302"/>
      <c r="AQ586" s="302"/>
      <c r="AR586" s="302"/>
      <c r="AS586" s="302"/>
      <c r="AT586" s="302"/>
      <c r="AU586" s="302"/>
      <c r="AV586" s="302"/>
      <c r="AW586" s="302"/>
      <c r="AX586" s="302"/>
      <c r="AY586" s="302"/>
      <c r="AZ586" s="302"/>
      <c r="BA586" s="302"/>
      <c r="BB586" s="302"/>
      <c r="BC586" s="302"/>
      <c r="BD586" s="302"/>
      <c r="BE586" s="302"/>
      <c r="BF586" s="302"/>
      <c r="BG586" s="302"/>
      <c r="BH586" s="302"/>
      <c r="BI586" s="302"/>
      <c r="BJ586" s="302"/>
      <c r="BK586" s="302"/>
      <c r="BL586" s="302"/>
      <c r="BM586" s="302"/>
      <c r="BN586" s="302"/>
      <c r="BO586" s="302"/>
      <c r="BP586" s="302"/>
      <c r="BQ586" s="302"/>
      <c r="BR586" s="302"/>
      <c r="BS586" s="302"/>
      <c r="BT586" s="302"/>
      <c r="BU586" s="302"/>
      <c r="BV586" s="302"/>
      <c r="BW586" s="302"/>
      <c r="BX586" s="302"/>
      <c r="BY586" s="302"/>
    </row>
    <row r="587" spans="1:77" s="25" customFormat="1" ht="15" customHeight="1">
      <c r="A587" s="922"/>
      <c r="B587" s="922"/>
      <c r="C587" s="922"/>
      <c r="D587" s="166"/>
      <c r="E587" s="166"/>
      <c r="F587" s="166"/>
      <c r="G587" s="166"/>
      <c r="H587" s="166"/>
      <c r="I587" s="922"/>
      <c r="J587" s="922"/>
      <c r="K587" s="922"/>
      <c r="L587" s="777">
        <v>5</v>
      </c>
      <c r="M587" s="778"/>
      <c r="N587" s="976"/>
      <c r="O587" s="1020">
        <v>530</v>
      </c>
      <c r="P587" s="847" t="e">
        <f>VLOOKUP(N587,etat!$A$9:$N$1004,2,FALSE)</f>
        <v>#N/A</v>
      </c>
      <c r="Q587" s="797" t="e">
        <f>VLOOKUP(N587,etat!$A$9:$N$963,7,FALSE)</f>
        <v>#N/A</v>
      </c>
      <c r="R587" s="797" t="e">
        <f>VLOOKUP(N587,etat!$A$9:$N$1003,9,FALSE)</f>
        <v>#N/A</v>
      </c>
      <c r="S587" s="866" t="e">
        <f>VLOOKUP(N587,etat!$A$9:$P$905,16,FALSE)</f>
        <v>#N/A</v>
      </c>
      <c r="T587" s="755"/>
      <c r="U587" s="791"/>
      <c r="V587" s="784"/>
      <c r="W587" s="784"/>
      <c r="X587" s="784"/>
      <c r="Y587" s="975"/>
      <c r="Z587" s="1022"/>
      <c r="AA587" s="967"/>
      <c r="AC587" s="302"/>
      <c r="AD587" s="302"/>
      <c r="AE587" s="302"/>
      <c r="AF587" s="302"/>
      <c r="AG587" s="302"/>
      <c r="AH587" s="302"/>
      <c r="AI587" s="302"/>
      <c r="AJ587" s="302"/>
      <c r="AK587" s="302"/>
      <c r="AL587" s="302"/>
      <c r="AM587" s="302"/>
      <c r="AN587" s="302"/>
      <c r="AO587" s="302"/>
      <c r="AP587" s="302"/>
      <c r="AQ587" s="302"/>
      <c r="AR587" s="302"/>
      <c r="AS587" s="302"/>
      <c r="AT587" s="302"/>
      <c r="AU587" s="302"/>
      <c r="AV587" s="302"/>
      <c r="AW587" s="302"/>
      <c r="AX587" s="302"/>
      <c r="AY587" s="302"/>
      <c r="AZ587" s="302"/>
      <c r="BA587" s="302"/>
      <c r="BB587" s="302"/>
      <c r="BC587" s="302"/>
      <c r="BD587" s="302"/>
      <c r="BE587" s="302"/>
      <c r="BF587" s="302"/>
      <c r="BG587" s="302"/>
      <c r="BH587" s="302"/>
      <c r="BI587" s="302"/>
      <c r="BJ587" s="302"/>
      <c r="BK587" s="302"/>
      <c r="BL587" s="302"/>
      <c r="BM587" s="302"/>
      <c r="BN587" s="302"/>
      <c r="BO587" s="302"/>
      <c r="BP587" s="302"/>
      <c r="BQ587" s="302"/>
      <c r="BR587" s="302"/>
      <c r="BS587" s="302"/>
      <c r="BT587" s="302"/>
      <c r="BU587" s="302"/>
      <c r="BV587" s="302"/>
      <c r="BW587" s="302"/>
      <c r="BX587" s="302"/>
      <c r="BY587" s="302"/>
    </row>
    <row r="588" spans="1:77" ht="15" customHeight="1">
      <c r="A588" s="922"/>
      <c r="B588" s="922"/>
      <c r="C588" s="922"/>
      <c r="I588" s="922"/>
      <c r="J588" s="922"/>
      <c r="K588" s="922"/>
      <c r="L588" s="777">
        <v>5</v>
      </c>
      <c r="M588" s="778"/>
      <c r="N588" s="976"/>
      <c r="O588" s="1020">
        <v>531</v>
      </c>
      <c r="P588" s="847" t="e">
        <f>VLOOKUP(N588,etat!$A$9:$N$1004,2,FALSE)</f>
        <v>#N/A</v>
      </c>
      <c r="Q588" s="797" t="e">
        <f>VLOOKUP(N588,etat!$A$9:$N$963,7,FALSE)</f>
        <v>#N/A</v>
      </c>
      <c r="R588" s="797" t="e">
        <f>VLOOKUP(N588,etat!$A$9:$N$1003,9,FALSE)</f>
        <v>#N/A</v>
      </c>
      <c r="S588" s="866" t="e">
        <f>VLOOKUP(N588,etat!$A$9:$P$905,16,FALSE)</f>
        <v>#N/A</v>
      </c>
      <c r="T588" s="755"/>
      <c r="U588" s="791"/>
      <c r="V588" s="784"/>
      <c r="W588" s="784"/>
      <c r="X588" s="784"/>
      <c r="Y588" s="975"/>
      <c r="Z588" s="1022"/>
      <c r="AA588" s="967"/>
      <c r="AB588" s="25"/>
      <c r="BC588" s="302"/>
      <c r="BD588" s="302"/>
      <c r="BE588" s="302"/>
      <c r="BF588" s="302"/>
      <c r="BG588" s="302"/>
      <c r="BH588" s="302"/>
      <c r="BI588" s="302"/>
      <c r="BJ588" s="302"/>
      <c r="BK588" s="302"/>
      <c r="BL588" s="302"/>
      <c r="BM588" s="302"/>
      <c r="BN588" s="302"/>
      <c r="BO588" s="302"/>
      <c r="BP588" s="302"/>
      <c r="BQ588" s="302"/>
      <c r="BR588" s="302"/>
      <c r="BS588" s="302"/>
      <c r="BT588" s="302"/>
      <c r="BU588" s="302"/>
      <c r="BV588" s="302"/>
      <c r="BW588" s="302"/>
      <c r="BX588" s="302"/>
      <c r="BY588" s="302"/>
    </row>
    <row r="589" spans="1:77" ht="15" customHeight="1">
      <c r="A589" s="922"/>
      <c r="B589" s="922"/>
      <c r="C589" s="922"/>
      <c r="I589" s="922"/>
      <c r="J589" s="922"/>
      <c r="K589" s="922"/>
      <c r="L589" s="777">
        <v>5</v>
      </c>
      <c r="M589" s="778"/>
      <c r="N589" s="976"/>
      <c r="O589" s="1020">
        <v>532</v>
      </c>
      <c r="P589" s="847" t="e">
        <f>VLOOKUP(N589,etat!$A$9:$N$1004,2,FALSE)</f>
        <v>#N/A</v>
      </c>
      <c r="Q589" s="797" t="e">
        <f>VLOOKUP(N589,etat!$A$9:$N$963,7,FALSE)</f>
        <v>#N/A</v>
      </c>
      <c r="R589" s="797" t="e">
        <f>VLOOKUP(N589,etat!$A$9:$N$1003,9,FALSE)</f>
        <v>#N/A</v>
      </c>
      <c r="S589" s="866" t="e">
        <f>VLOOKUP(N589,etat!$A$9:$P$905,16,FALSE)</f>
        <v>#N/A</v>
      </c>
      <c r="T589" s="755"/>
      <c r="U589" s="791"/>
      <c r="V589" s="784"/>
      <c r="W589" s="784"/>
      <c r="X589" s="784"/>
      <c r="Y589" s="975"/>
      <c r="Z589" s="1022"/>
      <c r="AA589" s="967"/>
      <c r="AB589" s="25"/>
      <c r="BC589" s="302"/>
      <c r="BD589" s="302"/>
      <c r="BE589" s="302"/>
      <c r="BF589" s="302"/>
      <c r="BG589" s="302"/>
      <c r="BH589" s="302"/>
      <c r="BI589" s="302"/>
      <c r="BJ589" s="302"/>
      <c r="BK589" s="302"/>
      <c r="BL589" s="302"/>
      <c r="BM589" s="302"/>
      <c r="BN589" s="302"/>
      <c r="BO589" s="302"/>
      <c r="BP589" s="302"/>
      <c r="BQ589" s="302"/>
      <c r="BR589" s="302"/>
      <c r="BS589" s="302"/>
      <c r="BT589" s="302"/>
      <c r="BU589" s="302"/>
      <c r="BV589" s="302"/>
      <c r="BW589" s="302"/>
      <c r="BX589" s="302"/>
      <c r="BY589" s="302"/>
    </row>
    <row r="590" spans="1:77" ht="15" customHeight="1">
      <c r="A590" s="922"/>
      <c r="B590" s="922"/>
      <c r="C590" s="922"/>
      <c r="I590" s="922"/>
      <c r="J590" s="922"/>
      <c r="K590" s="922"/>
      <c r="L590" s="777">
        <v>5</v>
      </c>
      <c r="M590" s="778"/>
      <c r="N590" s="976"/>
      <c r="O590" s="1020">
        <v>533</v>
      </c>
      <c r="P590" s="847" t="e">
        <f>VLOOKUP(N590,etat!$A$9:$N$1004,2,FALSE)</f>
        <v>#N/A</v>
      </c>
      <c r="Q590" s="797" t="e">
        <f>VLOOKUP(N590,etat!$A$9:$N$963,7,FALSE)</f>
        <v>#N/A</v>
      </c>
      <c r="R590" s="797" t="e">
        <f>VLOOKUP(N590,etat!$A$9:$N$1003,9,FALSE)</f>
        <v>#N/A</v>
      </c>
      <c r="S590" s="866" t="e">
        <f>VLOOKUP(N590,etat!$A$9:$P$905,16,FALSE)</f>
        <v>#N/A</v>
      </c>
      <c r="T590" s="755"/>
      <c r="U590" s="791"/>
      <c r="V590" s="784"/>
      <c r="W590" s="784"/>
      <c r="X590" s="784"/>
      <c r="Y590" s="975"/>
      <c r="Z590" s="1022"/>
      <c r="AA590" s="967"/>
      <c r="AB590" s="25"/>
      <c r="BC590" s="302"/>
      <c r="BD590" s="302"/>
      <c r="BE590" s="302"/>
      <c r="BF590" s="302"/>
      <c r="BG590" s="302"/>
      <c r="BH590" s="302"/>
      <c r="BI590" s="302"/>
      <c r="BJ590" s="302"/>
      <c r="BK590" s="302"/>
      <c r="BL590" s="302"/>
      <c r="BM590" s="302"/>
      <c r="BN590" s="302"/>
      <c r="BO590" s="302"/>
      <c r="BP590" s="302"/>
      <c r="BQ590" s="302"/>
      <c r="BR590" s="302"/>
      <c r="BS590" s="302"/>
      <c r="BT590" s="302"/>
      <c r="BU590" s="302"/>
      <c r="BV590" s="302"/>
      <c r="BW590" s="302"/>
      <c r="BX590" s="302"/>
      <c r="BY590" s="302"/>
    </row>
    <row r="591" spans="1:77" ht="15" customHeight="1">
      <c r="A591" s="922"/>
      <c r="B591" s="922"/>
      <c r="C591" s="922"/>
      <c r="I591" s="922"/>
      <c r="J591" s="922"/>
      <c r="K591" s="922"/>
      <c r="L591" s="777">
        <v>5</v>
      </c>
      <c r="M591" s="778"/>
      <c r="N591" s="976"/>
      <c r="O591" s="1020">
        <v>534</v>
      </c>
      <c r="P591" s="847" t="e">
        <f>VLOOKUP(N591,etat!$A$9:$N$1004,2,FALSE)</f>
        <v>#N/A</v>
      </c>
      <c r="Q591" s="797" t="e">
        <f>VLOOKUP(N591,etat!$A$9:$N$963,7,FALSE)</f>
        <v>#N/A</v>
      </c>
      <c r="R591" s="797" t="e">
        <f>VLOOKUP(N591,etat!$A$9:$N$1003,9,FALSE)</f>
        <v>#N/A</v>
      </c>
      <c r="S591" s="866" t="e">
        <f>VLOOKUP(N591,etat!$A$9:$P$905,16,FALSE)</f>
        <v>#N/A</v>
      </c>
      <c r="T591" s="755"/>
      <c r="U591" s="791"/>
      <c r="V591" s="784"/>
      <c r="W591" s="784"/>
      <c r="X591" s="784"/>
      <c r="Y591" s="975"/>
      <c r="Z591" s="1022"/>
      <c r="AA591" s="967"/>
      <c r="AB591" s="25"/>
      <c r="BC591" s="302"/>
      <c r="BD591" s="302"/>
      <c r="BE591" s="302"/>
      <c r="BF591" s="302"/>
      <c r="BG591" s="302"/>
      <c r="BH591" s="302"/>
      <c r="BI591" s="302"/>
      <c r="BJ591" s="302"/>
      <c r="BK591" s="302"/>
      <c r="BL591" s="302"/>
      <c r="BM591" s="302"/>
      <c r="BN591" s="302"/>
      <c r="BO591" s="302"/>
      <c r="BP591" s="302"/>
      <c r="BQ591" s="302"/>
      <c r="BR591" s="302"/>
      <c r="BS591" s="302"/>
      <c r="BT591" s="302"/>
      <c r="BU591" s="302"/>
      <c r="BV591" s="302"/>
      <c r="BW591" s="302"/>
      <c r="BX591" s="302"/>
      <c r="BY591" s="302"/>
    </row>
    <row r="592" spans="1:77" ht="15" customHeight="1">
      <c r="A592" s="922"/>
      <c r="B592" s="922"/>
      <c r="C592" s="922"/>
      <c r="I592" s="922"/>
      <c r="J592" s="922"/>
      <c r="K592" s="922"/>
      <c r="L592" s="777">
        <v>5</v>
      </c>
      <c r="M592" s="778"/>
      <c r="N592" s="976"/>
      <c r="O592" s="1020">
        <v>535</v>
      </c>
      <c r="P592" s="847" t="e">
        <f>VLOOKUP(N592,etat!$A$9:$N$1004,2,FALSE)</f>
        <v>#N/A</v>
      </c>
      <c r="Q592" s="797" t="e">
        <f>VLOOKUP(N592,etat!$A$9:$N$963,7,FALSE)</f>
        <v>#N/A</v>
      </c>
      <c r="R592" s="797" t="e">
        <f>VLOOKUP(N592,etat!$A$9:$N$1003,9,FALSE)</f>
        <v>#N/A</v>
      </c>
      <c r="S592" s="866" t="e">
        <f>VLOOKUP(N592,etat!$A$9:$P$905,16,FALSE)</f>
        <v>#N/A</v>
      </c>
      <c r="T592" s="755"/>
      <c r="U592" s="791"/>
      <c r="V592" s="784"/>
      <c r="W592" s="784"/>
      <c r="X592" s="784"/>
      <c r="Y592" s="975"/>
      <c r="Z592" s="1022"/>
      <c r="AA592" s="967"/>
      <c r="AB592" s="25"/>
      <c r="BC592" s="302"/>
      <c r="BD592" s="302"/>
      <c r="BE592" s="302"/>
      <c r="BF592" s="302"/>
      <c r="BG592" s="302"/>
      <c r="BH592" s="302"/>
      <c r="BI592" s="302"/>
      <c r="BJ592" s="302"/>
      <c r="BK592" s="302"/>
      <c r="BL592" s="302"/>
      <c r="BM592" s="302"/>
      <c r="BN592" s="302"/>
      <c r="BO592" s="302"/>
      <c r="BP592" s="302"/>
      <c r="BQ592" s="302"/>
      <c r="BR592" s="302"/>
      <c r="BS592" s="302"/>
      <c r="BT592" s="302"/>
      <c r="BU592" s="302"/>
      <c r="BV592" s="302"/>
      <c r="BW592" s="302"/>
      <c r="BX592" s="302"/>
      <c r="BY592" s="302"/>
    </row>
    <row r="593" spans="1:77" ht="15" customHeight="1">
      <c r="A593" s="922"/>
      <c r="B593" s="922"/>
      <c r="C593" s="922"/>
      <c r="I593" s="922"/>
      <c r="J593" s="922"/>
      <c r="K593" s="922"/>
      <c r="L593" s="777">
        <v>5</v>
      </c>
      <c r="M593" s="778"/>
      <c r="N593" s="976"/>
      <c r="O593" s="1020">
        <v>536</v>
      </c>
      <c r="P593" s="847" t="e">
        <f>VLOOKUP(N593,etat!$A$9:$N$1004,2,FALSE)</f>
        <v>#N/A</v>
      </c>
      <c r="Q593" s="797" t="e">
        <f>VLOOKUP(N593,etat!$A$9:$N$963,7,FALSE)</f>
        <v>#N/A</v>
      </c>
      <c r="R593" s="797" t="e">
        <f>VLOOKUP(N593,etat!$A$9:$N$1003,9,FALSE)</f>
        <v>#N/A</v>
      </c>
      <c r="S593" s="866" t="e">
        <f>VLOOKUP(N593,etat!$A$9:$P$905,16,FALSE)</f>
        <v>#N/A</v>
      </c>
      <c r="T593" s="755"/>
      <c r="U593" s="791"/>
      <c r="V593" s="784"/>
      <c r="W593" s="784"/>
      <c r="X593" s="784"/>
      <c r="Y593" s="975"/>
      <c r="Z593" s="1022"/>
      <c r="AA593" s="967"/>
      <c r="AB593" s="25"/>
      <c r="BC593" s="302"/>
      <c r="BD593" s="302"/>
      <c r="BE593" s="302"/>
      <c r="BF593" s="302"/>
      <c r="BG593" s="302"/>
      <c r="BH593" s="302"/>
      <c r="BI593" s="302"/>
      <c r="BJ593" s="302"/>
      <c r="BK593" s="302"/>
      <c r="BL593" s="302"/>
      <c r="BM593" s="302"/>
      <c r="BN593" s="302"/>
      <c r="BO593" s="302"/>
      <c r="BP593" s="302"/>
      <c r="BQ593" s="302"/>
      <c r="BR593" s="302"/>
      <c r="BS593" s="302"/>
      <c r="BT593" s="302"/>
      <c r="BU593" s="302"/>
      <c r="BV593" s="302"/>
      <c r="BW593" s="302"/>
      <c r="BX593" s="302"/>
      <c r="BY593" s="302"/>
    </row>
    <row r="594" spans="1:77" ht="15" customHeight="1">
      <c r="A594" s="922"/>
      <c r="B594" s="922"/>
      <c r="C594" s="922"/>
      <c r="I594" s="922"/>
      <c r="J594" s="922"/>
      <c r="K594" s="922"/>
      <c r="L594" s="777">
        <v>5</v>
      </c>
      <c r="M594" s="778"/>
      <c r="N594" s="976"/>
      <c r="O594" s="1020">
        <v>537</v>
      </c>
      <c r="P594" s="847" t="e">
        <f>VLOOKUP(N594,etat!$A$9:$N$1004,2,FALSE)</f>
        <v>#N/A</v>
      </c>
      <c r="Q594" s="797" t="e">
        <f>VLOOKUP(N594,etat!$A$9:$N$963,7,FALSE)</f>
        <v>#N/A</v>
      </c>
      <c r="R594" s="797" t="e">
        <f>VLOOKUP(N594,etat!$A$9:$N$1003,9,FALSE)</f>
        <v>#N/A</v>
      </c>
      <c r="S594" s="866" t="e">
        <f>VLOOKUP(N594,etat!$A$9:$P$905,16,FALSE)</f>
        <v>#N/A</v>
      </c>
      <c r="T594" s="755"/>
      <c r="U594" s="791"/>
      <c r="V594" s="784"/>
      <c r="W594" s="784"/>
      <c r="X594" s="784"/>
      <c r="Y594" s="975"/>
      <c r="Z594" s="1022"/>
      <c r="AA594" s="967"/>
      <c r="AB594" s="25"/>
      <c r="BC594" s="302"/>
      <c r="BD594" s="302"/>
      <c r="BE594" s="302"/>
      <c r="BF594" s="302"/>
      <c r="BG594" s="302"/>
      <c r="BH594" s="302"/>
      <c r="BI594" s="302"/>
      <c r="BJ594" s="302"/>
      <c r="BK594" s="302"/>
      <c r="BL594" s="302"/>
      <c r="BM594" s="302"/>
      <c r="BN594" s="302"/>
      <c r="BO594" s="302"/>
      <c r="BP594" s="302"/>
      <c r="BQ594" s="302"/>
      <c r="BR594" s="302"/>
      <c r="BS594" s="302"/>
      <c r="BT594" s="302"/>
      <c r="BU594" s="302"/>
      <c r="BV594" s="302"/>
      <c r="BW594" s="302"/>
      <c r="BX594" s="302"/>
      <c r="BY594" s="302"/>
    </row>
    <row r="595" spans="1:77" ht="15" customHeight="1">
      <c r="A595" s="922"/>
      <c r="B595" s="922"/>
      <c r="C595" s="922"/>
      <c r="I595" s="922"/>
      <c r="J595" s="922"/>
      <c r="K595" s="922"/>
      <c r="L595" s="777">
        <v>5</v>
      </c>
      <c r="M595" s="778"/>
      <c r="N595" s="976"/>
      <c r="O595" s="1020">
        <v>538</v>
      </c>
      <c r="P595" s="847" t="e">
        <f>VLOOKUP(N595,etat!$A$9:$N$1004,2,FALSE)</f>
        <v>#N/A</v>
      </c>
      <c r="Q595" s="797" t="e">
        <f>VLOOKUP(N595,etat!$A$9:$N$963,7,FALSE)</f>
        <v>#N/A</v>
      </c>
      <c r="R595" s="797" t="e">
        <f>VLOOKUP(N595,etat!$A$9:$N$1003,9,FALSE)</f>
        <v>#N/A</v>
      </c>
      <c r="S595" s="866" t="e">
        <f>VLOOKUP(N595,etat!$A$9:$P$905,16,FALSE)</f>
        <v>#N/A</v>
      </c>
      <c r="T595" s="755"/>
      <c r="U595" s="791"/>
      <c r="V595" s="784"/>
      <c r="W595" s="784"/>
      <c r="X595" s="784"/>
      <c r="Y595" s="975"/>
      <c r="Z595" s="1022"/>
      <c r="AA595" s="967"/>
      <c r="AB595" s="25"/>
      <c r="BC595" s="302"/>
      <c r="BD595" s="302"/>
      <c r="BE595" s="302"/>
      <c r="BF595" s="302"/>
      <c r="BG595" s="302"/>
      <c r="BH595" s="302"/>
      <c r="BI595" s="302"/>
      <c r="BJ595" s="302"/>
      <c r="BK595" s="302"/>
      <c r="BL595" s="302"/>
      <c r="BM595" s="302"/>
      <c r="BN595" s="302"/>
      <c r="BO595" s="302"/>
      <c r="BP595" s="302"/>
      <c r="BQ595" s="302"/>
      <c r="BR595" s="302"/>
      <c r="BS595" s="302"/>
      <c r="BT595" s="302"/>
      <c r="BU595" s="302"/>
      <c r="BV595" s="302"/>
      <c r="BW595" s="302"/>
      <c r="BX595" s="302"/>
      <c r="BY595" s="302"/>
    </row>
    <row r="596" spans="1:77" ht="15" customHeight="1">
      <c r="A596" s="922"/>
      <c r="B596" s="922"/>
      <c r="C596" s="922"/>
      <c r="I596" s="922"/>
      <c r="J596" s="922"/>
      <c r="K596" s="922"/>
      <c r="L596" s="777">
        <v>5</v>
      </c>
      <c r="M596" s="778"/>
      <c r="N596" s="976"/>
      <c r="O596" s="1020">
        <v>539</v>
      </c>
      <c r="P596" s="847" t="e">
        <f>VLOOKUP(N596,etat!$A$9:$N$1004,2,FALSE)</f>
        <v>#N/A</v>
      </c>
      <c r="Q596" s="797" t="e">
        <f>VLOOKUP(N596,etat!$A$9:$N$963,7,FALSE)</f>
        <v>#N/A</v>
      </c>
      <c r="R596" s="797" t="e">
        <f>VLOOKUP(N596,etat!$A$9:$N$1003,9,FALSE)</f>
        <v>#N/A</v>
      </c>
      <c r="S596" s="866" t="e">
        <f>VLOOKUP(N596,etat!$A$9:$P$905,16,FALSE)</f>
        <v>#N/A</v>
      </c>
      <c r="T596" s="755"/>
      <c r="U596" s="791"/>
      <c r="V596" s="784"/>
      <c r="W596" s="784"/>
      <c r="X596" s="784"/>
      <c r="Y596" s="975"/>
      <c r="Z596" s="1022"/>
      <c r="AA596" s="967"/>
      <c r="AB596" s="25"/>
    </row>
    <row r="597" spans="1:77" ht="15" customHeight="1">
      <c r="A597" s="922"/>
      <c r="B597" s="922"/>
      <c r="C597" s="922"/>
      <c r="I597" s="922"/>
      <c r="J597" s="922"/>
      <c r="K597" s="922"/>
      <c r="L597" s="777">
        <v>5</v>
      </c>
      <c r="M597" s="778"/>
      <c r="N597" s="976"/>
      <c r="O597" s="1020">
        <v>540</v>
      </c>
      <c r="P597" s="847" t="e">
        <f>VLOOKUP(N597,etat!$A$9:$N$1004,2,FALSE)</f>
        <v>#N/A</v>
      </c>
      <c r="Q597" s="797" t="e">
        <f>VLOOKUP(N597,etat!$A$9:$N$963,7,FALSE)</f>
        <v>#N/A</v>
      </c>
      <c r="R597" s="797" t="e">
        <f>VLOOKUP(N597,etat!$A$9:$N$1003,9,FALSE)</f>
        <v>#N/A</v>
      </c>
      <c r="S597" s="866" t="e">
        <f>VLOOKUP(N597,etat!$A$9:$P$905,16,FALSE)</f>
        <v>#N/A</v>
      </c>
      <c r="T597" s="755"/>
      <c r="U597" s="791"/>
      <c r="V597" s="784"/>
      <c r="W597" s="784"/>
      <c r="X597" s="784"/>
      <c r="Y597" s="975"/>
      <c r="Z597" s="1022"/>
      <c r="AA597" s="967"/>
      <c r="AB597" s="25"/>
    </row>
    <row r="598" spans="1:77" ht="15" customHeight="1">
      <c r="A598" s="922"/>
      <c r="B598" s="922"/>
      <c r="C598" s="922"/>
      <c r="I598" s="922"/>
      <c r="J598" s="922"/>
      <c r="K598" s="922"/>
      <c r="L598" s="777">
        <v>5</v>
      </c>
      <c r="M598" s="778"/>
      <c r="N598" s="976"/>
      <c r="O598" s="1020">
        <v>541</v>
      </c>
      <c r="P598" s="847" t="e">
        <f>VLOOKUP(N598,etat!$A$9:$N$1004,2,FALSE)</f>
        <v>#N/A</v>
      </c>
      <c r="Q598" s="797" t="e">
        <f>VLOOKUP(N598,etat!$A$9:$N$963,7,FALSE)</f>
        <v>#N/A</v>
      </c>
      <c r="R598" s="797" t="e">
        <f>VLOOKUP(N598,etat!$A$9:$N$1003,9,FALSE)</f>
        <v>#N/A</v>
      </c>
      <c r="S598" s="866" t="e">
        <f>VLOOKUP(N598,etat!$A$9:$P$905,16,FALSE)</f>
        <v>#N/A</v>
      </c>
      <c r="T598" s="755"/>
      <c r="U598" s="791"/>
      <c r="V598" s="784"/>
      <c r="W598" s="784"/>
      <c r="X598" s="784"/>
      <c r="Y598" s="975"/>
      <c r="Z598" s="1022"/>
      <c r="AA598" s="967"/>
      <c r="AB598" s="25"/>
    </row>
    <row r="599" spans="1:77" ht="15" customHeight="1">
      <c r="A599" s="922"/>
      <c r="B599" s="922"/>
      <c r="C599" s="922"/>
      <c r="I599" s="922"/>
      <c r="J599" s="922"/>
      <c r="K599" s="922"/>
      <c r="L599" s="777">
        <v>5</v>
      </c>
      <c r="M599" s="778"/>
      <c r="N599" s="976"/>
      <c r="O599" s="1020">
        <v>542</v>
      </c>
      <c r="P599" s="847" t="e">
        <f>VLOOKUP(N599,etat!$A$9:$N$1004,2,FALSE)</f>
        <v>#N/A</v>
      </c>
      <c r="Q599" s="797" t="e">
        <f>VLOOKUP(N599,etat!$A$9:$N$963,7,FALSE)</f>
        <v>#N/A</v>
      </c>
      <c r="R599" s="797" t="e">
        <f>VLOOKUP(N599,etat!$A$9:$N$1003,9,FALSE)</f>
        <v>#N/A</v>
      </c>
      <c r="S599" s="866" t="e">
        <f>VLOOKUP(N599,etat!$A$9:$P$905,16,FALSE)</f>
        <v>#N/A</v>
      </c>
      <c r="T599" s="755"/>
      <c r="U599" s="791"/>
      <c r="V599" s="784"/>
      <c r="W599" s="784"/>
      <c r="X599" s="784"/>
      <c r="Y599" s="975"/>
      <c r="Z599" s="1022"/>
      <c r="AA599" s="967"/>
      <c r="AB599" s="25"/>
    </row>
    <row r="600" spans="1:77" ht="15" customHeight="1">
      <c r="A600" s="922"/>
      <c r="B600" s="922"/>
      <c r="C600" s="922"/>
      <c r="I600" s="922"/>
      <c r="J600" s="922"/>
      <c r="K600" s="922"/>
      <c r="L600" s="777">
        <v>5</v>
      </c>
      <c r="M600" s="778"/>
      <c r="N600" s="976"/>
      <c r="O600" s="1020">
        <v>543</v>
      </c>
      <c r="P600" s="847" t="e">
        <f>VLOOKUP(N600,etat!$A$9:$N$1004,2,FALSE)</f>
        <v>#N/A</v>
      </c>
      <c r="Q600" s="797" t="e">
        <f>VLOOKUP(N600,etat!$A$9:$N$963,7,FALSE)</f>
        <v>#N/A</v>
      </c>
      <c r="R600" s="797" t="e">
        <f>VLOOKUP(N600,etat!$A$9:$N$1003,9,FALSE)</f>
        <v>#N/A</v>
      </c>
      <c r="S600" s="866" t="e">
        <f>VLOOKUP(N600,etat!$A$9:$P$905,16,FALSE)</f>
        <v>#N/A</v>
      </c>
      <c r="T600" s="755"/>
      <c r="U600" s="791"/>
      <c r="V600" s="784"/>
      <c r="W600" s="784"/>
      <c r="X600" s="784"/>
      <c r="Y600" s="975"/>
      <c r="Z600" s="1022"/>
      <c r="AA600" s="967"/>
      <c r="AB600" s="25"/>
    </row>
    <row r="601" spans="1:77" ht="15" customHeight="1">
      <c r="A601" s="922"/>
      <c r="B601" s="922"/>
      <c r="C601" s="922"/>
      <c r="I601" s="922"/>
      <c r="J601" s="922"/>
      <c r="K601" s="922"/>
      <c r="L601" s="777">
        <v>5</v>
      </c>
      <c r="M601" s="778"/>
      <c r="N601" s="976"/>
      <c r="O601" s="1020">
        <v>544</v>
      </c>
      <c r="P601" s="847" t="e">
        <f>VLOOKUP(N601,etat!$A$9:$N$1004,2,FALSE)</f>
        <v>#N/A</v>
      </c>
      <c r="Q601" s="797" t="e">
        <f>VLOOKUP(N601,etat!$A$9:$N$963,7,FALSE)</f>
        <v>#N/A</v>
      </c>
      <c r="R601" s="797" t="e">
        <f>VLOOKUP(N601,etat!$A$9:$N$1003,9,FALSE)</f>
        <v>#N/A</v>
      </c>
      <c r="S601" s="866" t="e">
        <f>VLOOKUP(N601,etat!$A$9:$P$905,16,FALSE)</f>
        <v>#N/A</v>
      </c>
      <c r="T601" s="755"/>
      <c r="U601" s="791"/>
      <c r="V601" s="784"/>
      <c r="W601" s="784"/>
      <c r="X601" s="784"/>
      <c r="Y601" s="975"/>
      <c r="Z601" s="1022"/>
      <c r="AA601" s="967"/>
      <c r="AB601" s="25"/>
    </row>
    <row r="602" spans="1:77" ht="15" customHeight="1">
      <c r="A602" s="922"/>
      <c r="B602" s="922"/>
      <c r="C602" s="922"/>
      <c r="I602" s="922"/>
      <c r="J602" s="922"/>
      <c r="K602" s="922"/>
      <c r="L602" s="777">
        <v>5</v>
      </c>
      <c r="M602" s="778"/>
      <c r="N602" s="976"/>
      <c r="O602" s="1020">
        <v>545</v>
      </c>
      <c r="P602" s="847" t="e">
        <f>VLOOKUP(N602,etat!$A$9:$N$1004,2,FALSE)</f>
        <v>#N/A</v>
      </c>
      <c r="Q602" s="797" t="e">
        <f>VLOOKUP(N602,etat!$A$9:$N$963,7,FALSE)</f>
        <v>#N/A</v>
      </c>
      <c r="R602" s="797" t="e">
        <f>VLOOKUP(N602,etat!$A$9:$N$1003,9,FALSE)</f>
        <v>#N/A</v>
      </c>
      <c r="S602" s="866" t="e">
        <f>VLOOKUP(N602,etat!$A$9:$P$905,16,FALSE)</f>
        <v>#N/A</v>
      </c>
      <c r="T602" s="755"/>
      <c r="U602" s="791"/>
      <c r="V602" s="784"/>
      <c r="W602" s="784"/>
      <c r="X602" s="784"/>
      <c r="Y602" s="975"/>
      <c r="Z602" s="1022"/>
      <c r="AA602" s="967"/>
      <c r="AB602" s="25"/>
    </row>
    <row r="603" spans="1:77" ht="15" customHeight="1">
      <c r="A603" s="922"/>
      <c r="B603" s="922"/>
      <c r="C603" s="922"/>
      <c r="I603" s="922"/>
      <c r="J603" s="922"/>
      <c r="K603" s="922"/>
      <c r="L603" s="777">
        <v>5</v>
      </c>
      <c r="M603" s="778"/>
      <c r="N603" s="976"/>
      <c r="O603" s="1020">
        <v>546</v>
      </c>
      <c r="P603" s="847" t="e">
        <f>VLOOKUP(N603,etat!$A$9:$N$1004,2,FALSE)</f>
        <v>#N/A</v>
      </c>
      <c r="Q603" s="797" t="e">
        <f>VLOOKUP(N603,etat!$A$9:$N$963,7,FALSE)</f>
        <v>#N/A</v>
      </c>
      <c r="R603" s="797" t="e">
        <f>VLOOKUP(N603,etat!$A$9:$N$1003,9,FALSE)</f>
        <v>#N/A</v>
      </c>
      <c r="S603" s="866" t="e">
        <f>VLOOKUP(N603,etat!$A$9:$P$905,16,FALSE)</f>
        <v>#N/A</v>
      </c>
      <c r="T603" s="755"/>
      <c r="U603" s="791"/>
      <c r="V603" s="784"/>
      <c r="W603" s="784"/>
      <c r="X603" s="784"/>
      <c r="Y603" s="975"/>
      <c r="Z603" s="1022"/>
      <c r="AA603" s="967"/>
      <c r="AB603" s="25"/>
    </row>
    <row r="604" spans="1:77" ht="17.45" customHeight="1">
      <c r="A604" s="922"/>
      <c r="B604" s="922"/>
      <c r="C604" s="922"/>
      <c r="I604" s="922"/>
      <c r="J604" s="922"/>
      <c r="K604" s="922"/>
      <c r="L604" s="777">
        <v>5</v>
      </c>
      <c r="M604" s="778"/>
      <c r="N604" s="976"/>
      <c r="O604" s="1020">
        <v>547</v>
      </c>
      <c r="P604" s="847" t="e">
        <f>VLOOKUP(N604,etat!$A$9:$N$1004,2,FALSE)</f>
        <v>#N/A</v>
      </c>
      <c r="Q604" s="797" t="e">
        <f>VLOOKUP(N604,etat!$A$9:$N$963,7,FALSE)</f>
        <v>#N/A</v>
      </c>
      <c r="R604" s="797" t="e">
        <f>VLOOKUP(N604,etat!$A$9:$N$1003,9,FALSE)</f>
        <v>#N/A</v>
      </c>
      <c r="S604" s="866" t="e">
        <f>VLOOKUP(N604,etat!$A$9:$P$905,16,FALSE)</f>
        <v>#N/A</v>
      </c>
      <c r="T604" s="755"/>
      <c r="U604" s="791"/>
      <c r="V604" s="784"/>
      <c r="W604" s="784"/>
      <c r="X604" s="784"/>
      <c r="Y604" s="975"/>
      <c r="Z604" s="1022"/>
      <c r="AA604" s="967"/>
      <c r="AB604" s="25"/>
    </row>
    <row r="605" spans="1:77" ht="17.45" customHeight="1">
      <c r="A605" s="922"/>
      <c r="B605" s="922"/>
      <c r="C605" s="922"/>
      <c r="I605" s="922"/>
      <c r="J605" s="922"/>
      <c r="K605" s="922"/>
      <c r="L605" s="777">
        <v>5</v>
      </c>
      <c r="M605" s="778"/>
      <c r="N605" s="976"/>
      <c r="O605" s="1020">
        <v>548</v>
      </c>
      <c r="P605" s="847" t="e">
        <f>VLOOKUP(N605,etat!$A$9:$N$1004,2,FALSE)</f>
        <v>#N/A</v>
      </c>
      <c r="Q605" s="797" t="e">
        <f>VLOOKUP(N605,etat!$A$9:$N$963,7,FALSE)</f>
        <v>#N/A</v>
      </c>
      <c r="R605" s="797" t="e">
        <f>VLOOKUP(N605,etat!$A$9:$N$1003,9,FALSE)</f>
        <v>#N/A</v>
      </c>
      <c r="S605" s="866" t="e">
        <f>VLOOKUP(N605,etat!$A$9:$P$905,16,FALSE)</f>
        <v>#N/A</v>
      </c>
      <c r="T605" s="755"/>
      <c r="U605" s="791"/>
      <c r="V605" s="784"/>
      <c r="W605" s="784"/>
      <c r="X605" s="784"/>
      <c r="Y605" s="975"/>
      <c r="Z605" s="1022"/>
      <c r="AA605" s="967"/>
      <c r="AB605" s="25"/>
    </row>
    <row r="606" spans="1:77" ht="17.45" customHeight="1">
      <c r="A606" s="922"/>
      <c r="B606" s="922"/>
      <c r="C606" s="922"/>
      <c r="I606" s="922"/>
      <c r="J606" s="922"/>
      <c r="K606" s="922"/>
      <c r="L606" s="777">
        <v>5</v>
      </c>
      <c r="M606" s="778"/>
      <c r="N606" s="976"/>
      <c r="O606" s="1020">
        <v>549</v>
      </c>
      <c r="P606" s="847" t="e">
        <f>VLOOKUP(N606,etat!$A$9:$N$1004,2,FALSE)</f>
        <v>#N/A</v>
      </c>
      <c r="Q606" s="797" t="e">
        <f>VLOOKUP(N606,etat!$A$9:$N$963,7,FALSE)</f>
        <v>#N/A</v>
      </c>
      <c r="R606" s="797" t="e">
        <f>VLOOKUP(N606,etat!$A$9:$N$1003,9,FALSE)</f>
        <v>#N/A</v>
      </c>
      <c r="S606" s="866" t="e">
        <f>VLOOKUP(N606,etat!$A$9:$P$905,16,FALSE)</f>
        <v>#N/A</v>
      </c>
      <c r="T606" s="755"/>
      <c r="U606" s="791"/>
      <c r="V606" s="784"/>
      <c r="W606" s="784"/>
      <c r="X606" s="784"/>
      <c r="Y606" s="975"/>
      <c r="Z606" s="1022"/>
      <c r="AA606" s="967"/>
      <c r="AB606" s="25"/>
    </row>
    <row r="607" spans="1:77" ht="17.45" customHeight="1">
      <c r="A607" s="922"/>
      <c r="B607" s="922"/>
      <c r="C607" s="922"/>
      <c r="I607" s="922"/>
      <c r="J607" s="922"/>
      <c r="K607" s="922"/>
      <c r="L607" s="777">
        <v>5</v>
      </c>
      <c r="M607" s="778"/>
      <c r="N607" s="976"/>
      <c r="O607" s="1020">
        <v>550</v>
      </c>
      <c r="P607" s="847" t="e">
        <f>VLOOKUP(N607,etat!$A$9:$N$1004,2,FALSE)</f>
        <v>#N/A</v>
      </c>
      <c r="Q607" s="797" t="e">
        <f>VLOOKUP(N607,etat!$A$9:$N$963,7,FALSE)</f>
        <v>#N/A</v>
      </c>
      <c r="R607" s="797" t="e">
        <f>VLOOKUP(N607,etat!$A$9:$N$1003,9,FALSE)</f>
        <v>#N/A</v>
      </c>
      <c r="S607" s="866" t="e">
        <f>VLOOKUP(N607,etat!$A$9:$P$905,16,FALSE)</f>
        <v>#N/A</v>
      </c>
      <c r="T607" s="755"/>
      <c r="U607" s="791"/>
      <c r="V607" s="784"/>
      <c r="W607" s="784"/>
      <c r="X607" s="784"/>
      <c r="Y607" s="975"/>
      <c r="Z607" s="1022"/>
      <c r="AA607" s="967"/>
      <c r="AB607" s="25"/>
    </row>
    <row r="608" spans="1:77" ht="17.45" customHeight="1">
      <c r="A608" s="922"/>
      <c r="B608" s="922"/>
      <c r="C608" s="922"/>
      <c r="I608" s="922"/>
      <c r="J608" s="922"/>
      <c r="K608" s="922"/>
      <c r="L608" s="777">
        <v>5</v>
      </c>
      <c r="M608" s="778"/>
      <c r="N608" s="976"/>
      <c r="O608" s="1020">
        <v>551</v>
      </c>
      <c r="P608" s="847" t="e">
        <f>VLOOKUP(N608,etat!$A$9:$N$1004,2,FALSE)</f>
        <v>#N/A</v>
      </c>
      <c r="Q608" s="797" t="e">
        <f>VLOOKUP(N608,etat!$A$9:$N$963,7,FALSE)</f>
        <v>#N/A</v>
      </c>
      <c r="R608" s="797" t="e">
        <f>VLOOKUP(N608,etat!$A$9:$N$1003,9,FALSE)</f>
        <v>#N/A</v>
      </c>
      <c r="S608" s="866" t="e">
        <f>VLOOKUP(N608,etat!$A$9:$P$905,16,FALSE)</f>
        <v>#N/A</v>
      </c>
      <c r="T608" s="755"/>
      <c r="U608" s="791"/>
      <c r="V608" s="784"/>
      <c r="W608" s="784"/>
      <c r="X608" s="784"/>
      <c r="Y608" s="975"/>
      <c r="Z608" s="1022"/>
      <c r="AA608" s="967"/>
      <c r="AB608" s="25"/>
    </row>
    <row r="609" spans="1:28" ht="17.45" customHeight="1">
      <c r="A609" s="922"/>
      <c r="B609" s="922"/>
      <c r="C609" s="922"/>
      <c r="I609" s="922"/>
      <c r="J609" s="922"/>
      <c r="K609" s="922"/>
      <c r="L609" s="777">
        <v>5</v>
      </c>
      <c r="M609" s="778"/>
      <c r="N609" s="976"/>
      <c r="O609" s="1020">
        <v>552</v>
      </c>
      <c r="P609" s="847" t="e">
        <f>VLOOKUP(N609,etat!$A$9:$N$1004,2,FALSE)</f>
        <v>#N/A</v>
      </c>
      <c r="Q609" s="797" t="e">
        <f>VLOOKUP(N609,etat!$A$9:$N$963,7,FALSE)</f>
        <v>#N/A</v>
      </c>
      <c r="R609" s="797" t="e">
        <f>VLOOKUP(N609,etat!$A$9:$N$1003,9,FALSE)</f>
        <v>#N/A</v>
      </c>
      <c r="S609" s="866" t="e">
        <f>VLOOKUP(N609,etat!$A$9:$P$905,16,FALSE)</f>
        <v>#N/A</v>
      </c>
      <c r="T609" s="755"/>
      <c r="U609" s="791"/>
      <c r="V609" s="784"/>
      <c r="W609" s="784"/>
      <c r="X609" s="784"/>
      <c r="Y609" s="975"/>
      <c r="Z609" s="1022"/>
      <c r="AA609" s="967"/>
      <c r="AB609" s="25"/>
    </row>
    <row r="610" spans="1:28" ht="17.45" customHeight="1">
      <c r="A610" s="922"/>
      <c r="B610" s="922"/>
      <c r="C610" s="922"/>
      <c r="I610" s="922"/>
      <c r="J610" s="922"/>
      <c r="K610" s="922"/>
      <c r="L610" s="777">
        <v>5</v>
      </c>
      <c r="M610" s="778"/>
      <c r="N610" s="976"/>
      <c r="O610" s="1020">
        <v>553</v>
      </c>
      <c r="P610" s="847" t="e">
        <f>VLOOKUP(N610,etat!$A$9:$N$1004,2,FALSE)</f>
        <v>#N/A</v>
      </c>
      <c r="Q610" s="797" t="e">
        <f>VLOOKUP(N610,etat!$A$9:$N$963,7,FALSE)</f>
        <v>#N/A</v>
      </c>
      <c r="R610" s="797" t="e">
        <f>VLOOKUP(N610,etat!$A$9:$N$1003,9,FALSE)</f>
        <v>#N/A</v>
      </c>
      <c r="S610" s="866" t="e">
        <f>VLOOKUP(N610,etat!$A$9:$P$905,16,FALSE)</f>
        <v>#N/A</v>
      </c>
      <c r="T610" s="755"/>
      <c r="U610" s="791"/>
      <c r="V610" s="784"/>
      <c r="W610" s="784"/>
      <c r="X610" s="784"/>
      <c r="Y610" s="975"/>
      <c r="Z610" s="1022"/>
      <c r="AA610" s="967"/>
      <c r="AB610" s="25"/>
    </row>
    <row r="611" spans="1:28" ht="17.45" customHeight="1">
      <c r="A611" s="922"/>
      <c r="B611" s="922"/>
      <c r="C611" s="922"/>
      <c r="I611" s="922"/>
      <c r="J611" s="922"/>
      <c r="K611" s="922"/>
      <c r="L611" s="777">
        <v>5</v>
      </c>
      <c r="M611" s="778"/>
      <c r="N611" s="976"/>
      <c r="O611" s="1020">
        <v>554</v>
      </c>
      <c r="P611" s="847" t="e">
        <f>VLOOKUP(N611,etat!$A$9:$N$1004,2,FALSE)</f>
        <v>#N/A</v>
      </c>
      <c r="Q611" s="797" t="e">
        <f>VLOOKUP(N611,etat!$A$9:$N$963,7,FALSE)</f>
        <v>#N/A</v>
      </c>
      <c r="R611" s="797" t="e">
        <f>VLOOKUP(N611,etat!$A$9:$N$1003,9,FALSE)</f>
        <v>#N/A</v>
      </c>
      <c r="S611" s="866" t="e">
        <f>VLOOKUP(N611,etat!$A$9:$P$905,16,FALSE)</f>
        <v>#N/A</v>
      </c>
      <c r="T611" s="755"/>
      <c r="U611" s="791"/>
      <c r="V611" s="784"/>
      <c r="W611" s="784"/>
      <c r="X611" s="784"/>
      <c r="Y611" s="975"/>
      <c r="Z611" s="1022"/>
      <c r="AA611" s="967"/>
      <c r="AB611" s="25"/>
    </row>
    <row r="612" spans="1:28" ht="17.45" customHeight="1">
      <c r="A612" s="922"/>
      <c r="B612" s="922"/>
      <c r="C612" s="922"/>
      <c r="I612" s="922"/>
      <c r="J612" s="922"/>
      <c r="K612" s="922"/>
      <c r="L612" s="777">
        <v>5</v>
      </c>
      <c r="M612" s="778"/>
      <c r="N612" s="976"/>
      <c r="O612" s="1020">
        <v>555</v>
      </c>
      <c r="P612" s="847" t="e">
        <f>VLOOKUP(N612,etat!$A$9:$N$1004,2,FALSE)</f>
        <v>#N/A</v>
      </c>
      <c r="Q612" s="797" t="e">
        <f>VLOOKUP(N612,etat!$A$9:$N$963,7,FALSE)</f>
        <v>#N/A</v>
      </c>
      <c r="R612" s="797" t="e">
        <f>VLOOKUP(N612,etat!$A$9:$N$1003,9,FALSE)</f>
        <v>#N/A</v>
      </c>
      <c r="S612" s="866" t="e">
        <f>VLOOKUP(N612,etat!$A$9:$P$905,16,FALSE)</f>
        <v>#N/A</v>
      </c>
      <c r="T612" s="755"/>
      <c r="U612" s="791"/>
      <c r="V612" s="784"/>
      <c r="W612" s="784"/>
      <c r="X612" s="784"/>
      <c r="Y612" s="975"/>
      <c r="Z612" s="1022"/>
      <c r="AA612" s="967"/>
      <c r="AB612" s="25"/>
    </row>
    <row r="613" spans="1:28" ht="17.45" customHeight="1">
      <c r="A613" s="922"/>
      <c r="B613" s="922"/>
      <c r="C613" s="922"/>
      <c r="I613" s="922"/>
      <c r="J613" s="922"/>
      <c r="K613" s="922"/>
      <c r="L613" s="777">
        <v>5</v>
      </c>
      <c r="M613" s="778"/>
      <c r="N613" s="976"/>
      <c r="O613" s="1020">
        <v>556</v>
      </c>
      <c r="P613" s="847" t="e">
        <f>VLOOKUP(N613,etat!$A$9:$N$1004,2,FALSE)</f>
        <v>#N/A</v>
      </c>
      <c r="Q613" s="797" t="e">
        <f>VLOOKUP(N613,etat!$A$9:$N$963,7,FALSE)</f>
        <v>#N/A</v>
      </c>
      <c r="R613" s="797" t="e">
        <f>VLOOKUP(N613,etat!$A$9:$N$1003,9,FALSE)</f>
        <v>#N/A</v>
      </c>
      <c r="S613" s="866" t="e">
        <f>VLOOKUP(N613,etat!$A$9:$P$905,16,FALSE)</f>
        <v>#N/A</v>
      </c>
      <c r="T613" s="755"/>
      <c r="U613" s="791"/>
      <c r="V613" s="784"/>
      <c r="W613" s="784"/>
      <c r="X613" s="784"/>
      <c r="Y613" s="975"/>
      <c r="Z613" s="1022"/>
      <c r="AA613" s="967"/>
      <c r="AB613" s="25"/>
    </row>
    <row r="614" spans="1:28" ht="17.45" customHeight="1">
      <c r="A614" s="922"/>
      <c r="B614" s="922"/>
      <c r="C614" s="922"/>
      <c r="I614" s="922"/>
      <c r="J614" s="922"/>
      <c r="K614" s="922"/>
      <c r="L614" s="777">
        <v>5</v>
      </c>
      <c r="M614" s="778"/>
      <c r="N614" s="976"/>
      <c r="O614" s="1020">
        <v>557</v>
      </c>
      <c r="P614" s="847" t="e">
        <f>VLOOKUP(N614,etat!$A$9:$N$1004,2,FALSE)</f>
        <v>#N/A</v>
      </c>
      <c r="Q614" s="797" t="e">
        <f>VLOOKUP(N614,etat!$A$9:$N$963,7,FALSE)</f>
        <v>#N/A</v>
      </c>
      <c r="R614" s="797" t="e">
        <f>VLOOKUP(N614,etat!$A$9:$N$1003,9,FALSE)</f>
        <v>#N/A</v>
      </c>
      <c r="S614" s="866" t="e">
        <f>VLOOKUP(N614,etat!$A$9:$P$905,16,FALSE)</f>
        <v>#N/A</v>
      </c>
      <c r="T614" s="755"/>
      <c r="U614" s="791"/>
      <c r="V614" s="784"/>
      <c r="W614" s="784"/>
      <c r="X614" s="784"/>
      <c r="Y614" s="975"/>
      <c r="Z614" s="1022"/>
      <c r="AA614" s="967"/>
      <c r="AB614" s="25"/>
    </row>
    <row r="615" spans="1:28" ht="17.45" customHeight="1">
      <c r="A615" s="922"/>
      <c r="B615" s="922"/>
      <c r="C615" s="922"/>
      <c r="I615" s="922"/>
      <c r="J615" s="922"/>
      <c r="K615" s="922"/>
      <c r="L615" s="777">
        <v>5</v>
      </c>
      <c r="M615" s="778"/>
      <c r="N615" s="976"/>
      <c r="O615" s="1020">
        <v>558</v>
      </c>
      <c r="P615" s="847" t="e">
        <f>VLOOKUP(N615,etat!$A$9:$N$1004,2,FALSE)</f>
        <v>#N/A</v>
      </c>
      <c r="Q615" s="797" t="e">
        <f>VLOOKUP(N615,etat!$A$9:$N$963,7,FALSE)</f>
        <v>#N/A</v>
      </c>
      <c r="R615" s="797" t="e">
        <f>VLOOKUP(N615,etat!$A$9:$N$1003,9,FALSE)</f>
        <v>#N/A</v>
      </c>
      <c r="S615" s="866" t="e">
        <f>VLOOKUP(N615,etat!$A$9:$P$905,16,FALSE)</f>
        <v>#N/A</v>
      </c>
      <c r="T615" s="755"/>
      <c r="U615" s="791"/>
      <c r="V615" s="784"/>
      <c r="W615" s="784"/>
      <c r="X615" s="784"/>
      <c r="Y615" s="975"/>
      <c r="Z615" s="1022"/>
      <c r="AA615" s="967"/>
      <c r="AB615" s="25"/>
    </row>
    <row r="616" spans="1:28" ht="17.45" customHeight="1">
      <c r="A616" s="922"/>
      <c r="B616" s="922"/>
      <c r="C616" s="922"/>
      <c r="I616" s="922"/>
      <c r="J616" s="922"/>
      <c r="K616" s="922"/>
      <c r="L616" s="777">
        <v>5</v>
      </c>
      <c r="M616" s="778"/>
      <c r="N616" s="976"/>
      <c r="O616" s="1020">
        <v>559</v>
      </c>
      <c r="P616" s="847" t="e">
        <f>VLOOKUP(N616,etat!$A$9:$N$1004,2,FALSE)</f>
        <v>#N/A</v>
      </c>
      <c r="Q616" s="797" t="e">
        <f>VLOOKUP(N616,etat!$A$9:$N$963,7,FALSE)</f>
        <v>#N/A</v>
      </c>
      <c r="R616" s="797" t="e">
        <f>VLOOKUP(N616,etat!$A$9:$N$1003,9,FALSE)</f>
        <v>#N/A</v>
      </c>
      <c r="S616" s="866" t="e">
        <f>VLOOKUP(N616,etat!$A$9:$P$905,16,FALSE)</f>
        <v>#N/A</v>
      </c>
      <c r="T616" s="755"/>
      <c r="U616" s="791"/>
      <c r="V616" s="784"/>
      <c r="W616" s="784"/>
      <c r="X616" s="784"/>
      <c r="Y616" s="975"/>
      <c r="Z616" s="1022"/>
      <c r="AA616" s="967"/>
      <c r="AB616" s="25"/>
    </row>
    <row r="617" spans="1:28" ht="17.45" customHeight="1">
      <c r="A617" s="922"/>
      <c r="B617" s="922"/>
      <c r="C617" s="922"/>
      <c r="I617" s="922"/>
      <c r="J617" s="922"/>
      <c r="K617" s="922"/>
      <c r="L617" s="777">
        <v>5</v>
      </c>
      <c r="M617" s="778"/>
      <c r="N617" s="976"/>
      <c r="O617" s="1020">
        <v>560</v>
      </c>
      <c r="P617" s="847" t="e">
        <f>VLOOKUP(N617,etat!$A$9:$N$1004,2,FALSE)</f>
        <v>#N/A</v>
      </c>
      <c r="Q617" s="797" t="e">
        <f>VLOOKUP(N617,etat!$A$9:$N$963,7,FALSE)</f>
        <v>#N/A</v>
      </c>
      <c r="R617" s="797" t="e">
        <f>VLOOKUP(N617,etat!$A$9:$N$1003,9,FALSE)</f>
        <v>#N/A</v>
      </c>
      <c r="S617" s="866" t="e">
        <f>VLOOKUP(N617,etat!$A$9:$P$905,16,FALSE)</f>
        <v>#N/A</v>
      </c>
      <c r="T617" s="755"/>
      <c r="U617" s="791"/>
      <c r="V617" s="784"/>
      <c r="W617" s="784"/>
      <c r="X617" s="784"/>
      <c r="Y617" s="975"/>
      <c r="Z617" s="1022"/>
      <c r="AA617" s="967"/>
      <c r="AB617" s="25"/>
    </row>
    <row r="618" spans="1:28" ht="17.45" customHeight="1">
      <c r="A618" s="922"/>
      <c r="B618" s="922"/>
      <c r="C618" s="922"/>
      <c r="I618" s="922"/>
      <c r="J618" s="922"/>
      <c r="K618" s="922"/>
      <c r="L618" s="777">
        <v>5</v>
      </c>
      <c r="M618" s="778"/>
      <c r="N618" s="976"/>
      <c r="O618" s="1020">
        <v>561</v>
      </c>
      <c r="P618" s="847" t="e">
        <f>VLOOKUP(N618,etat!$A$9:$N$1004,2,FALSE)</f>
        <v>#N/A</v>
      </c>
      <c r="Q618" s="797" t="e">
        <f>VLOOKUP(N618,etat!$A$9:$N$963,7,FALSE)</f>
        <v>#N/A</v>
      </c>
      <c r="R618" s="797" t="e">
        <f>VLOOKUP(N618,etat!$A$9:$N$1003,9,FALSE)</f>
        <v>#N/A</v>
      </c>
      <c r="S618" s="866" t="e">
        <f>VLOOKUP(N618,etat!$A$9:$P$905,16,FALSE)</f>
        <v>#N/A</v>
      </c>
      <c r="T618" s="755"/>
      <c r="U618" s="791"/>
      <c r="V618" s="784"/>
      <c r="W618" s="784"/>
      <c r="X618" s="784"/>
      <c r="Y618" s="975"/>
      <c r="Z618" s="1022"/>
      <c r="AA618" s="967"/>
      <c r="AB618" s="25"/>
    </row>
    <row r="619" spans="1:28" ht="17.45" customHeight="1">
      <c r="A619" s="922"/>
      <c r="B619" s="922"/>
      <c r="C619" s="922"/>
      <c r="I619" s="922"/>
      <c r="J619" s="922"/>
      <c r="K619" s="922"/>
      <c r="L619" s="777">
        <v>5</v>
      </c>
      <c r="M619" s="778"/>
      <c r="N619" s="976"/>
      <c r="O619" s="1020">
        <v>562</v>
      </c>
      <c r="P619" s="847" t="e">
        <f>VLOOKUP(N619,etat!$A$9:$N$1004,2,FALSE)</f>
        <v>#N/A</v>
      </c>
      <c r="Q619" s="797" t="e">
        <f>VLOOKUP(N619,etat!$A$9:$N$963,7,FALSE)</f>
        <v>#N/A</v>
      </c>
      <c r="R619" s="797" t="e">
        <f>VLOOKUP(N619,etat!$A$9:$N$1003,9,FALSE)</f>
        <v>#N/A</v>
      </c>
      <c r="S619" s="866" t="e">
        <f>VLOOKUP(N619,etat!$A$9:$P$905,16,FALSE)</f>
        <v>#N/A</v>
      </c>
      <c r="T619" s="755"/>
      <c r="U619" s="791"/>
      <c r="V619" s="784"/>
      <c r="W619" s="784"/>
      <c r="X619" s="784"/>
      <c r="Y619" s="975"/>
      <c r="Z619" s="1022"/>
      <c r="AA619" s="967"/>
      <c r="AB619" s="25"/>
    </row>
    <row r="620" spans="1:28" ht="17.45" customHeight="1">
      <c r="A620" s="922"/>
      <c r="B620" s="922"/>
      <c r="C620" s="922"/>
      <c r="I620" s="922"/>
      <c r="J620" s="922"/>
      <c r="K620" s="922"/>
      <c r="L620" s="777">
        <v>5</v>
      </c>
      <c r="M620" s="778"/>
      <c r="N620" s="976"/>
      <c r="O620" s="1020">
        <v>563</v>
      </c>
      <c r="P620" s="847" t="e">
        <f>VLOOKUP(N620,etat!$A$9:$N$1004,2,FALSE)</f>
        <v>#N/A</v>
      </c>
      <c r="Q620" s="797" t="e">
        <f>VLOOKUP(N620,etat!$A$9:$N$963,7,FALSE)</f>
        <v>#N/A</v>
      </c>
      <c r="R620" s="797" t="e">
        <f>VLOOKUP(N620,etat!$A$9:$N$1003,9,FALSE)</f>
        <v>#N/A</v>
      </c>
      <c r="S620" s="866" t="e">
        <f>VLOOKUP(N620,etat!$A$9:$P$905,16,FALSE)</f>
        <v>#N/A</v>
      </c>
      <c r="T620" s="755"/>
      <c r="U620" s="791"/>
      <c r="V620" s="784"/>
      <c r="W620" s="784"/>
      <c r="X620" s="784"/>
      <c r="Y620" s="975"/>
      <c r="Z620" s="1022"/>
      <c r="AA620" s="967"/>
      <c r="AB620" s="25"/>
    </row>
    <row r="621" spans="1:28" ht="17.45" customHeight="1">
      <c r="A621" s="922"/>
      <c r="B621" s="922"/>
      <c r="C621" s="922"/>
      <c r="I621" s="922"/>
      <c r="J621" s="922"/>
      <c r="K621" s="922"/>
      <c r="L621" s="777">
        <v>5</v>
      </c>
      <c r="M621" s="778"/>
      <c r="N621" s="976"/>
      <c r="O621" s="1020">
        <v>564</v>
      </c>
      <c r="P621" s="847" t="e">
        <f>VLOOKUP(N621,etat!$A$9:$N$1004,2,FALSE)</f>
        <v>#N/A</v>
      </c>
      <c r="Q621" s="797" t="e">
        <f>VLOOKUP(N621,etat!$A$9:$N$963,7,FALSE)</f>
        <v>#N/A</v>
      </c>
      <c r="R621" s="797" t="e">
        <f>VLOOKUP(N621,etat!$A$9:$N$1003,9,FALSE)</f>
        <v>#N/A</v>
      </c>
      <c r="S621" s="866" t="e">
        <f>VLOOKUP(N621,etat!$A$9:$P$905,16,FALSE)</f>
        <v>#N/A</v>
      </c>
      <c r="T621" s="755"/>
      <c r="U621" s="791"/>
      <c r="V621" s="784"/>
      <c r="W621" s="784"/>
      <c r="X621" s="784"/>
      <c r="Y621" s="975"/>
      <c r="Z621" s="1022"/>
      <c r="AA621" s="967"/>
      <c r="AB621" s="25"/>
    </row>
    <row r="622" spans="1:28" ht="17.45" customHeight="1">
      <c r="A622" s="922"/>
      <c r="B622" s="922"/>
      <c r="C622" s="922"/>
      <c r="I622" s="922"/>
      <c r="J622" s="922"/>
      <c r="K622" s="922"/>
      <c r="L622" s="777">
        <v>5</v>
      </c>
      <c r="M622" s="778"/>
      <c r="N622" s="976"/>
      <c r="O622" s="1020">
        <v>565</v>
      </c>
      <c r="P622" s="847" t="e">
        <f>VLOOKUP(N622,etat!$A$9:$N$1004,2,FALSE)</f>
        <v>#N/A</v>
      </c>
      <c r="Q622" s="797" t="e">
        <f>VLOOKUP(N622,etat!$A$9:$N$963,7,FALSE)</f>
        <v>#N/A</v>
      </c>
      <c r="R622" s="797" t="e">
        <f>VLOOKUP(N622,etat!$A$9:$N$1003,9,FALSE)</f>
        <v>#N/A</v>
      </c>
      <c r="S622" s="866" t="e">
        <f>VLOOKUP(N622,etat!$A$9:$P$905,16,FALSE)</f>
        <v>#N/A</v>
      </c>
      <c r="T622" s="755"/>
      <c r="U622" s="791"/>
      <c r="V622" s="784"/>
      <c r="W622" s="784"/>
      <c r="X622" s="784"/>
      <c r="Y622" s="975"/>
      <c r="Z622" s="1022"/>
      <c r="AA622" s="967"/>
      <c r="AB622" s="25"/>
    </row>
    <row r="623" spans="1:28" ht="17.45" customHeight="1">
      <c r="A623" s="922"/>
      <c r="B623" s="922"/>
      <c r="C623" s="922"/>
      <c r="I623" s="922"/>
      <c r="J623" s="922"/>
      <c r="K623" s="922"/>
      <c r="L623" s="777">
        <v>5</v>
      </c>
      <c r="M623" s="778"/>
      <c r="N623" s="976"/>
      <c r="O623" s="1020">
        <v>566</v>
      </c>
      <c r="P623" s="847" t="e">
        <f>VLOOKUP(N623,etat!$A$9:$N$1004,2,FALSE)</f>
        <v>#N/A</v>
      </c>
      <c r="Q623" s="797" t="e">
        <f>VLOOKUP(N623,etat!$A$9:$N$963,7,FALSE)</f>
        <v>#N/A</v>
      </c>
      <c r="R623" s="797" t="e">
        <f>VLOOKUP(N623,etat!$A$9:$N$1003,9,FALSE)</f>
        <v>#N/A</v>
      </c>
      <c r="S623" s="866" t="e">
        <f>VLOOKUP(N623,etat!$A$9:$P$905,16,FALSE)</f>
        <v>#N/A</v>
      </c>
      <c r="T623" s="755"/>
      <c r="U623" s="791"/>
      <c r="V623" s="784"/>
      <c r="W623" s="784"/>
      <c r="X623" s="784"/>
      <c r="Y623" s="975"/>
      <c r="Z623" s="1022"/>
      <c r="AA623" s="967"/>
      <c r="AB623" s="25"/>
    </row>
    <row r="624" spans="1:28" ht="17.45" customHeight="1">
      <c r="A624" s="922"/>
      <c r="B624" s="922"/>
      <c r="C624" s="922"/>
      <c r="I624" s="922"/>
      <c r="J624" s="922"/>
      <c r="K624" s="922"/>
      <c r="L624" s="777">
        <v>5</v>
      </c>
      <c r="M624" s="778"/>
      <c r="N624" s="976"/>
      <c r="O624" s="1020">
        <v>567</v>
      </c>
      <c r="P624" s="847" t="e">
        <f>VLOOKUP(N624,etat!$A$9:$N$1004,2,FALSE)</f>
        <v>#N/A</v>
      </c>
      <c r="Q624" s="797" t="e">
        <f>VLOOKUP(N624,etat!$A$9:$N$963,7,FALSE)</f>
        <v>#N/A</v>
      </c>
      <c r="R624" s="797" t="e">
        <f>VLOOKUP(N624,etat!$A$9:$N$1003,9,FALSE)</f>
        <v>#N/A</v>
      </c>
      <c r="S624" s="866" t="e">
        <f>VLOOKUP(N624,etat!$A$9:$P$905,16,FALSE)</f>
        <v>#N/A</v>
      </c>
      <c r="T624" s="755"/>
      <c r="U624" s="791"/>
      <c r="V624" s="784"/>
      <c r="W624" s="784"/>
      <c r="X624" s="784"/>
      <c r="Y624" s="975"/>
      <c r="Z624" s="1022"/>
      <c r="AA624" s="967"/>
      <c r="AB624" s="25"/>
    </row>
    <row r="625" spans="1:28" ht="17.45" customHeight="1">
      <c r="A625" s="922"/>
      <c r="B625" s="922"/>
      <c r="C625" s="922"/>
      <c r="I625" s="922"/>
      <c r="J625" s="922"/>
      <c r="K625" s="922"/>
      <c r="L625" s="777">
        <v>5</v>
      </c>
      <c r="M625" s="778"/>
      <c r="N625" s="976"/>
      <c r="O625" s="1020">
        <v>568</v>
      </c>
      <c r="P625" s="847" t="e">
        <f>VLOOKUP(N625,etat!$A$9:$N$1004,2,FALSE)</f>
        <v>#N/A</v>
      </c>
      <c r="Q625" s="797" t="e">
        <f>VLOOKUP(N625,etat!$A$9:$N$963,7,FALSE)</f>
        <v>#N/A</v>
      </c>
      <c r="R625" s="797" t="e">
        <f>VLOOKUP(N625,etat!$A$9:$N$1003,9,FALSE)</f>
        <v>#N/A</v>
      </c>
      <c r="S625" s="866" t="e">
        <f>VLOOKUP(N625,etat!$A$9:$P$905,16,FALSE)</f>
        <v>#N/A</v>
      </c>
      <c r="T625" s="755"/>
      <c r="U625" s="791"/>
      <c r="V625" s="784"/>
      <c r="W625" s="784"/>
      <c r="X625" s="784"/>
      <c r="Y625" s="975"/>
      <c r="Z625" s="1022"/>
      <c r="AA625" s="967"/>
      <c r="AB625" s="25"/>
    </row>
    <row r="626" spans="1:28" ht="17.45" customHeight="1">
      <c r="A626" s="922"/>
      <c r="B626" s="922"/>
      <c r="C626" s="922"/>
      <c r="I626" s="922"/>
      <c r="J626" s="922"/>
      <c r="K626" s="922"/>
      <c r="L626" s="777">
        <v>5</v>
      </c>
      <c r="M626" s="778"/>
      <c r="N626" s="976"/>
      <c r="O626" s="1020">
        <v>569</v>
      </c>
      <c r="P626" s="847" t="e">
        <f>VLOOKUP(N626,etat!$A$9:$N$1004,2,FALSE)</f>
        <v>#N/A</v>
      </c>
      <c r="Q626" s="797" t="e">
        <f>VLOOKUP(N626,etat!$A$9:$N$963,7,FALSE)</f>
        <v>#N/A</v>
      </c>
      <c r="R626" s="797" t="e">
        <f>VLOOKUP(N626,etat!$A$9:$N$1003,9,FALSE)</f>
        <v>#N/A</v>
      </c>
      <c r="S626" s="866" t="e">
        <f>VLOOKUP(N626,etat!$A$9:$P$905,16,FALSE)</f>
        <v>#N/A</v>
      </c>
      <c r="T626" s="755"/>
      <c r="U626" s="791"/>
      <c r="V626" s="784"/>
      <c r="W626" s="784"/>
      <c r="X626" s="784"/>
      <c r="Y626" s="975"/>
      <c r="Z626" s="1022"/>
      <c r="AA626" s="967"/>
      <c r="AB626" s="25"/>
    </row>
    <row r="627" spans="1:28" ht="17.45" customHeight="1">
      <c r="A627" s="922"/>
      <c r="B627" s="922"/>
      <c r="C627" s="922"/>
      <c r="I627" s="922"/>
      <c r="J627" s="922"/>
      <c r="K627" s="922"/>
      <c r="L627" s="777">
        <v>5</v>
      </c>
      <c r="M627" s="778"/>
      <c r="N627" s="976"/>
      <c r="O627" s="1020">
        <v>570</v>
      </c>
      <c r="P627" s="847" t="e">
        <f>VLOOKUP(N627,etat!$A$9:$N$1004,2,FALSE)</f>
        <v>#N/A</v>
      </c>
      <c r="Q627" s="797" t="e">
        <f>VLOOKUP(N627,etat!$A$9:$N$963,7,FALSE)</f>
        <v>#N/A</v>
      </c>
      <c r="R627" s="797" t="e">
        <f>VLOOKUP(N627,etat!$A$9:$N$1003,9,FALSE)</f>
        <v>#N/A</v>
      </c>
      <c r="S627" s="866" t="e">
        <f>VLOOKUP(N627,etat!$A$9:$P$905,16,FALSE)</f>
        <v>#N/A</v>
      </c>
      <c r="T627" s="755"/>
      <c r="U627" s="791"/>
      <c r="V627" s="784"/>
      <c r="W627" s="784"/>
      <c r="X627" s="784"/>
      <c r="Y627" s="975"/>
      <c r="Z627" s="1022"/>
      <c r="AA627" s="967"/>
      <c r="AB627" s="25"/>
    </row>
    <row r="628" spans="1:28" ht="17.25">
      <c r="A628" s="922"/>
      <c r="B628" s="922"/>
      <c r="C628" s="922"/>
      <c r="I628" s="922"/>
      <c r="J628" s="922"/>
      <c r="K628" s="922"/>
      <c r="L628" s="777">
        <v>5</v>
      </c>
      <c r="M628" s="778"/>
      <c r="N628" s="976"/>
      <c r="O628" s="1020">
        <v>571</v>
      </c>
      <c r="P628" s="847" t="e">
        <f>VLOOKUP(N628,etat!$A$9:$N$1004,2,FALSE)</f>
        <v>#N/A</v>
      </c>
      <c r="Q628" s="797" t="e">
        <f>VLOOKUP(N628,etat!$A$9:$N$963,7,FALSE)</f>
        <v>#N/A</v>
      </c>
      <c r="R628" s="797" t="e">
        <f>VLOOKUP(N628,etat!$A$9:$N$1003,9,FALSE)</f>
        <v>#N/A</v>
      </c>
      <c r="S628" s="866" t="e">
        <f>VLOOKUP(N628,etat!$A$9:$P$905,16,FALSE)</f>
        <v>#N/A</v>
      </c>
      <c r="T628" s="755"/>
      <c r="U628" s="791"/>
      <c r="V628" s="784"/>
      <c r="W628" s="784"/>
      <c r="X628" s="784"/>
      <c r="Y628" s="975"/>
      <c r="Z628" s="1022"/>
      <c r="AA628" s="967"/>
      <c r="AB628" s="25"/>
    </row>
    <row r="629" spans="1:28" ht="17.25">
      <c r="A629" s="922"/>
      <c r="B629" s="922"/>
      <c r="C629" s="922"/>
      <c r="I629" s="922"/>
      <c r="J629" s="922"/>
      <c r="K629" s="922"/>
      <c r="L629" s="777">
        <v>5</v>
      </c>
      <c r="M629" s="778"/>
      <c r="N629" s="976"/>
      <c r="O629" s="1020">
        <v>572</v>
      </c>
      <c r="P629" s="847" t="e">
        <f>VLOOKUP(N629,etat!$A$9:$N$1004,2,FALSE)</f>
        <v>#N/A</v>
      </c>
      <c r="Q629" s="797" t="e">
        <f>VLOOKUP(N629,etat!$A$9:$N$963,7,FALSE)</f>
        <v>#N/A</v>
      </c>
      <c r="R629" s="797" t="e">
        <f>VLOOKUP(N629,etat!$A$9:$N$1003,9,FALSE)</f>
        <v>#N/A</v>
      </c>
      <c r="S629" s="866" t="e">
        <f>VLOOKUP(N629,etat!$A$9:$P$905,16,FALSE)</f>
        <v>#N/A</v>
      </c>
      <c r="T629" s="755"/>
      <c r="U629" s="791"/>
      <c r="V629" s="784"/>
      <c r="W629" s="784"/>
      <c r="X629" s="784"/>
      <c r="Y629" s="975"/>
      <c r="Z629" s="1022"/>
      <c r="AA629" s="967"/>
      <c r="AB629" s="25"/>
    </row>
    <row r="630" spans="1:28" ht="17.25">
      <c r="A630" s="922"/>
      <c r="B630" s="922"/>
      <c r="C630" s="922"/>
      <c r="I630" s="922"/>
      <c r="J630" s="922"/>
      <c r="K630" s="922"/>
      <c r="L630" s="777">
        <v>5</v>
      </c>
      <c r="M630" s="778"/>
      <c r="N630" s="976"/>
      <c r="O630" s="1020">
        <v>573</v>
      </c>
      <c r="P630" s="847" t="e">
        <f>VLOOKUP(N630,etat!$A$9:$N$1004,2,FALSE)</f>
        <v>#N/A</v>
      </c>
      <c r="Q630" s="797" t="e">
        <f>VLOOKUP(N630,etat!$A$9:$N$963,7,FALSE)</f>
        <v>#N/A</v>
      </c>
      <c r="R630" s="797" t="e">
        <f>VLOOKUP(N630,etat!$A$9:$N$1003,9,FALSE)</f>
        <v>#N/A</v>
      </c>
      <c r="S630" s="866" t="e">
        <f>VLOOKUP(N630,etat!$A$9:$P$905,16,FALSE)</f>
        <v>#N/A</v>
      </c>
      <c r="T630" s="755"/>
      <c r="U630" s="791"/>
      <c r="V630" s="784"/>
      <c r="W630" s="784"/>
      <c r="X630" s="784"/>
      <c r="Y630" s="975"/>
      <c r="Z630" s="1022"/>
      <c r="AA630" s="967"/>
      <c r="AB630" s="25"/>
    </row>
    <row r="631" spans="1:28" ht="17.25">
      <c r="A631" s="922"/>
      <c r="B631" s="922"/>
      <c r="C631" s="922"/>
      <c r="I631" s="922"/>
      <c r="J631" s="922"/>
      <c r="K631" s="922"/>
      <c r="L631" s="777">
        <v>5</v>
      </c>
      <c r="M631" s="778"/>
      <c r="N631" s="976"/>
      <c r="O631" s="1020">
        <v>574</v>
      </c>
      <c r="P631" s="847" t="e">
        <f>VLOOKUP(N631,etat!$A$9:$N$1004,2,FALSE)</f>
        <v>#N/A</v>
      </c>
      <c r="Q631" s="797" t="e">
        <f>VLOOKUP(N631,etat!$A$9:$N$963,7,FALSE)</f>
        <v>#N/A</v>
      </c>
      <c r="R631" s="797" t="e">
        <f>VLOOKUP(N631,etat!$A$9:$N$1003,9,FALSE)</f>
        <v>#N/A</v>
      </c>
      <c r="S631" s="866" t="e">
        <f>VLOOKUP(N631,etat!$A$9:$P$905,16,FALSE)</f>
        <v>#N/A</v>
      </c>
      <c r="T631" s="755"/>
      <c r="U631" s="791"/>
      <c r="V631" s="784"/>
      <c r="W631" s="784"/>
      <c r="X631" s="784"/>
      <c r="Y631" s="975"/>
      <c r="Z631" s="1022"/>
      <c r="AA631" s="967"/>
      <c r="AB631" s="25"/>
    </row>
    <row r="632" spans="1:28" ht="17.25">
      <c r="A632" s="922"/>
      <c r="B632" s="922"/>
      <c r="C632" s="922"/>
      <c r="I632" s="922"/>
      <c r="J632" s="922"/>
      <c r="K632" s="922"/>
      <c r="L632" s="777">
        <v>5</v>
      </c>
      <c r="M632" s="778"/>
      <c r="N632" s="976"/>
      <c r="O632" s="1020">
        <v>575</v>
      </c>
      <c r="P632" s="847" t="e">
        <f>VLOOKUP(N632,etat!$A$9:$N$1004,2,FALSE)</f>
        <v>#N/A</v>
      </c>
      <c r="Q632" s="797" t="e">
        <f>VLOOKUP(N632,etat!$A$9:$N$963,7,FALSE)</f>
        <v>#N/A</v>
      </c>
      <c r="R632" s="797" t="e">
        <f>VLOOKUP(N632,etat!$A$9:$N$1003,9,FALSE)</f>
        <v>#N/A</v>
      </c>
      <c r="S632" s="866" t="e">
        <f>VLOOKUP(N632,etat!$A$9:$P$905,16,FALSE)</f>
        <v>#N/A</v>
      </c>
      <c r="T632" s="755"/>
      <c r="U632" s="791"/>
      <c r="V632" s="784"/>
      <c r="W632" s="784"/>
      <c r="X632" s="784"/>
      <c r="Y632" s="975"/>
      <c r="Z632" s="1022"/>
      <c r="AA632" s="967"/>
      <c r="AB632" s="25"/>
    </row>
    <row r="633" spans="1:28" ht="17.25">
      <c r="A633" s="922"/>
      <c r="B633" s="922"/>
      <c r="C633" s="922"/>
      <c r="I633" s="922"/>
      <c r="J633" s="922"/>
      <c r="K633" s="922"/>
      <c r="L633" s="777">
        <v>5</v>
      </c>
      <c r="M633" s="778"/>
      <c r="N633" s="976"/>
      <c r="O633" s="1020">
        <v>576</v>
      </c>
      <c r="P633" s="847" t="e">
        <f>VLOOKUP(N633,etat!$A$9:$N$1004,2,FALSE)</f>
        <v>#N/A</v>
      </c>
      <c r="Q633" s="797" t="e">
        <f>VLOOKUP(N633,etat!$A$9:$N$963,7,FALSE)</f>
        <v>#N/A</v>
      </c>
      <c r="R633" s="797" t="e">
        <f>VLOOKUP(N633,etat!$A$9:$N$1003,9,FALSE)</f>
        <v>#N/A</v>
      </c>
      <c r="S633" s="866" t="e">
        <f>VLOOKUP(N633,etat!$A$9:$P$905,16,FALSE)</f>
        <v>#N/A</v>
      </c>
      <c r="T633" s="755"/>
      <c r="U633" s="791"/>
      <c r="V633" s="784"/>
      <c r="W633" s="784"/>
      <c r="X633" s="784"/>
      <c r="Y633" s="975"/>
      <c r="Z633" s="1022"/>
      <c r="AA633" s="967"/>
      <c r="AB633" s="25"/>
    </row>
    <row r="634" spans="1:28" ht="17.25">
      <c r="A634" s="922"/>
      <c r="B634" s="922"/>
      <c r="C634" s="922"/>
      <c r="I634" s="922"/>
      <c r="J634" s="922"/>
      <c r="K634" s="922"/>
      <c r="L634" s="777">
        <v>5</v>
      </c>
      <c r="M634" s="778"/>
      <c r="N634" s="976"/>
      <c r="O634" s="1020">
        <v>577</v>
      </c>
      <c r="P634" s="847" t="e">
        <f>VLOOKUP(N634,etat!$A$9:$N$1004,2,FALSE)</f>
        <v>#N/A</v>
      </c>
      <c r="Q634" s="797" t="e">
        <f>VLOOKUP(N634,etat!$A$9:$N$963,7,FALSE)</f>
        <v>#N/A</v>
      </c>
      <c r="R634" s="797" t="e">
        <f>VLOOKUP(N634,etat!$A$9:$N$1003,9,FALSE)</f>
        <v>#N/A</v>
      </c>
      <c r="S634" s="866" t="e">
        <f>VLOOKUP(N634,etat!$A$9:$P$905,16,FALSE)</f>
        <v>#N/A</v>
      </c>
      <c r="T634" s="755"/>
      <c r="U634" s="791"/>
      <c r="V634" s="784"/>
      <c r="W634" s="784"/>
      <c r="X634" s="784"/>
      <c r="Y634" s="975"/>
      <c r="Z634" s="1022"/>
      <c r="AA634" s="967"/>
      <c r="AB634" s="25"/>
    </row>
    <row r="635" spans="1:28" ht="17.25">
      <c r="A635" s="922"/>
      <c r="B635" s="922"/>
      <c r="C635" s="922"/>
      <c r="I635" s="922"/>
      <c r="J635" s="922"/>
      <c r="K635" s="922"/>
      <c r="L635" s="777">
        <v>5</v>
      </c>
      <c r="M635" s="778"/>
      <c r="N635" s="976"/>
      <c r="O635" s="1020">
        <v>578</v>
      </c>
      <c r="P635" s="847" t="e">
        <f>VLOOKUP(N635,etat!$A$9:$N$1004,2,FALSE)</f>
        <v>#N/A</v>
      </c>
      <c r="Q635" s="797" t="e">
        <f>VLOOKUP(N635,etat!$A$9:$N$963,7,FALSE)</f>
        <v>#N/A</v>
      </c>
      <c r="R635" s="797" t="e">
        <f>VLOOKUP(N635,etat!$A$9:$N$1003,9,FALSE)</f>
        <v>#N/A</v>
      </c>
      <c r="S635" s="866" t="e">
        <f>VLOOKUP(N635,etat!$A$9:$P$905,16,FALSE)</f>
        <v>#N/A</v>
      </c>
      <c r="T635" s="755"/>
      <c r="U635" s="791"/>
      <c r="V635" s="784"/>
      <c r="W635" s="784"/>
      <c r="X635" s="784"/>
      <c r="Y635" s="975"/>
      <c r="Z635" s="1022"/>
      <c r="AA635" s="967"/>
      <c r="AB635" s="25"/>
    </row>
    <row r="636" spans="1:28" ht="17.25">
      <c r="A636" s="922"/>
      <c r="B636" s="922"/>
      <c r="C636" s="922"/>
      <c r="I636" s="922"/>
      <c r="J636" s="922"/>
      <c r="K636" s="922"/>
      <c r="L636" s="777">
        <v>5</v>
      </c>
      <c r="M636" s="778"/>
      <c r="N636" s="976"/>
      <c r="O636" s="1020">
        <v>579</v>
      </c>
      <c r="P636" s="847" t="e">
        <f>VLOOKUP(N636,etat!$A$9:$N$1004,2,FALSE)</f>
        <v>#N/A</v>
      </c>
      <c r="Q636" s="797" t="e">
        <f>VLOOKUP(N636,etat!$A$9:$N$963,7,FALSE)</f>
        <v>#N/A</v>
      </c>
      <c r="R636" s="797" t="e">
        <f>VLOOKUP(N636,etat!$A$9:$N$1003,9,FALSE)</f>
        <v>#N/A</v>
      </c>
      <c r="S636" s="866" t="e">
        <f>VLOOKUP(N636,etat!$A$9:$P$905,16,FALSE)</f>
        <v>#N/A</v>
      </c>
      <c r="T636" s="755"/>
      <c r="U636" s="791"/>
      <c r="V636" s="784"/>
      <c r="W636" s="784"/>
      <c r="X636" s="784"/>
      <c r="Y636" s="975"/>
      <c r="Z636" s="1022"/>
      <c r="AA636" s="967"/>
      <c r="AB636" s="25"/>
    </row>
    <row r="637" spans="1:28" ht="17.25">
      <c r="A637" s="922"/>
      <c r="B637" s="922"/>
      <c r="C637" s="922"/>
      <c r="I637" s="922"/>
      <c r="J637" s="922"/>
      <c r="K637" s="922"/>
      <c r="L637" s="777">
        <v>5</v>
      </c>
      <c r="M637" s="778"/>
      <c r="N637" s="976"/>
      <c r="O637" s="1020">
        <v>580</v>
      </c>
      <c r="P637" s="847" t="e">
        <f>VLOOKUP(N637,etat!$A$9:$N$1004,2,FALSE)</f>
        <v>#N/A</v>
      </c>
      <c r="Q637" s="797" t="e">
        <f>VLOOKUP(N637,etat!$A$9:$N$963,7,FALSE)</f>
        <v>#N/A</v>
      </c>
      <c r="R637" s="797" t="e">
        <f>VLOOKUP(N637,etat!$A$9:$N$1003,9,FALSE)</f>
        <v>#N/A</v>
      </c>
      <c r="S637" s="866" t="e">
        <f>VLOOKUP(N637,etat!$A$9:$P$905,16,FALSE)</f>
        <v>#N/A</v>
      </c>
      <c r="T637" s="755"/>
      <c r="U637" s="791"/>
      <c r="V637" s="784"/>
      <c r="W637" s="784"/>
      <c r="X637" s="784"/>
      <c r="Y637" s="975"/>
      <c r="Z637" s="1022"/>
      <c r="AA637" s="967"/>
      <c r="AB637" s="25"/>
    </row>
    <row r="638" spans="1:28" ht="17.25">
      <c r="A638" s="922"/>
      <c r="B638" s="922"/>
      <c r="C638" s="922"/>
      <c r="I638" s="922"/>
      <c r="J638" s="922"/>
      <c r="K638" s="922"/>
      <c r="L638" s="777">
        <v>5</v>
      </c>
      <c r="M638" s="778"/>
      <c r="N638" s="976"/>
      <c r="O638" s="1020">
        <v>581</v>
      </c>
      <c r="P638" s="847" t="e">
        <f>VLOOKUP(N638,etat!$A$9:$N$1004,2,FALSE)</f>
        <v>#N/A</v>
      </c>
      <c r="Q638" s="797" t="e">
        <f>VLOOKUP(N638,etat!$A$9:$N$963,7,FALSE)</f>
        <v>#N/A</v>
      </c>
      <c r="R638" s="797" t="e">
        <f>VLOOKUP(N638,etat!$A$9:$N$1003,9,FALSE)</f>
        <v>#N/A</v>
      </c>
      <c r="S638" s="866" t="e">
        <f>VLOOKUP(N638,etat!$A$9:$P$905,16,FALSE)</f>
        <v>#N/A</v>
      </c>
      <c r="T638" s="755"/>
      <c r="U638" s="791"/>
      <c r="V638" s="784"/>
      <c r="W638" s="784"/>
      <c r="X638" s="784"/>
      <c r="Y638" s="975"/>
      <c r="Z638" s="1022"/>
      <c r="AA638" s="967"/>
      <c r="AB638" s="25"/>
    </row>
    <row r="639" spans="1:28" ht="17.25">
      <c r="A639" s="922"/>
      <c r="B639" s="922"/>
      <c r="C639" s="922"/>
      <c r="I639" s="922"/>
      <c r="J639" s="922"/>
      <c r="K639" s="922"/>
      <c r="L639" s="777">
        <v>5</v>
      </c>
      <c r="M639" s="778"/>
      <c r="N639" s="976"/>
      <c r="O639" s="1020">
        <v>582</v>
      </c>
      <c r="P639" s="847" t="e">
        <f>VLOOKUP(N639,etat!$A$9:$N$1004,2,FALSE)</f>
        <v>#N/A</v>
      </c>
      <c r="Q639" s="797" t="e">
        <f>VLOOKUP(N639,etat!$A$9:$N$963,7,FALSE)</f>
        <v>#N/A</v>
      </c>
      <c r="R639" s="797" t="e">
        <f>VLOOKUP(N639,etat!$A$9:$N$1003,9,FALSE)</f>
        <v>#N/A</v>
      </c>
      <c r="S639" s="866" t="e">
        <f>VLOOKUP(N639,etat!$A$9:$P$905,16,FALSE)</f>
        <v>#N/A</v>
      </c>
      <c r="T639" s="755"/>
      <c r="U639" s="791"/>
      <c r="V639" s="784"/>
      <c r="W639" s="784"/>
      <c r="X639" s="784"/>
      <c r="Y639" s="975"/>
      <c r="Z639" s="1022"/>
      <c r="AA639" s="967"/>
      <c r="AB639" s="25"/>
    </row>
    <row r="640" spans="1:28" ht="17.25">
      <c r="A640" s="922"/>
      <c r="B640" s="922"/>
      <c r="C640" s="922"/>
      <c r="I640" s="922"/>
      <c r="J640" s="922"/>
      <c r="K640" s="922"/>
      <c r="L640" s="777">
        <v>5</v>
      </c>
      <c r="M640" s="778"/>
      <c r="N640" s="976"/>
      <c r="O640" s="1020">
        <v>583</v>
      </c>
      <c r="P640" s="847" t="e">
        <f>VLOOKUP(N640,etat!$A$9:$N$1004,2,FALSE)</f>
        <v>#N/A</v>
      </c>
      <c r="Q640" s="797" t="e">
        <f>VLOOKUP(N640,etat!$A$9:$N$963,7,FALSE)</f>
        <v>#N/A</v>
      </c>
      <c r="R640" s="797" t="e">
        <f>VLOOKUP(N640,etat!$A$9:$N$1003,9,FALSE)</f>
        <v>#N/A</v>
      </c>
      <c r="S640" s="866" t="e">
        <f>VLOOKUP(N640,etat!$A$9:$P$905,16,FALSE)</f>
        <v>#N/A</v>
      </c>
      <c r="T640" s="755"/>
      <c r="U640" s="791"/>
      <c r="V640" s="784"/>
      <c r="W640" s="784"/>
      <c r="X640" s="784"/>
      <c r="Y640" s="975"/>
      <c r="Z640" s="1022"/>
      <c r="AA640" s="967"/>
      <c r="AB640" s="25"/>
    </row>
    <row r="641" spans="1:28" ht="17.25">
      <c r="A641" s="922"/>
      <c r="B641" s="922"/>
      <c r="C641" s="922"/>
      <c r="I641" s="922"/>
      <c r="J641" s="922"/>
      <c r="K641" s="922"/>
      <c r="L641" s="777">
        <v>5</v>
      </c>
      <c r="M641" s="778"/>
      <c r="N641" s="976"/>
      <c r="O641" s="1020">
        <v>584</v>
      </c>
      <c r="P641" s="847" t="e">
        <f>VLOOKUP(N641,etat!$A$9:$N$1004,2,FALSE)</f>
        <v>#N/A</v>
      </c>
      <c r="Q641" s="797" t="e">
        <f>VLOOKUP(N641,etat!$A$9:$N$963,7,FALSE)</f>
        <v>#N/A</v>
      </c>
      <c r="R641" s="797" t="e">
        <f>VLOOKUP(N641,etat!$A$9:$N$1003,9,FALSE)</f>
        <v>#N/A</v>
      </c>
      <c r="S641" s="866" t="e">
        <f>VLOOKUP(N641,etat!$A$9:$P$905,16,FALSE)</f>
        <v>#N/A</v>
      </c>
      <c r="T641" s="755"/>
      <c r="U641" s="791"/>
      <c r="V641" s="784"/>
      <c r="W641" s="784"/>
      <c r="X641" s="784"/>
      <c r="Y641" s="975"/>
      <c r="Z641" s="1022"/>
      <c r="AA641" s="967"/>
      <c r="AB641" s="25"/>
    </row>
    <row r="642" spans="1:28" ht="17.25">
      <c r="A642" s="922"/>
      <c r="B642" s="922"/>
      <c r="C642" s="922"/>
      <c r="I642" s="922"/>
      <c r="J642" s="922"/>
      <c r="K642" s="922"/>
      <c r="L642" s="777">
        <v>5</v>
      </c>
      <c r="M642" s="778"/>
      <c r="N642" s="976"/>
      <c r="O642" s="1020">
        <v>585</v>
      </c>
      <c r="P642" s="847" t="e">
        <f>VLOOKUP(N642,etat!$A$9:$N$1004,2,FALSE)</f>
        <v>#N/A</v>
      </c>
      <c r="Q642" s="797" t="e">
        <f>VLOOKUP(N642,etat!$A$9:$N$963,7,FALSE)</f>
        <v>#N/A</v>
      </c>
      <c r="R642" s="797" t="e">
        <f>VLOOKUP(N642,etat!$A$9:$N$1003,9,FALSE)</f>
        <v>#N/A</v>
      </c>
      <c r="S642" s="866" t="e">
        <f>VLOOKUP(N642,etat!$A$9:$P$905,16,FALSE)</f>
        <v>#N/A</v>
      </c>
      <c r="T642" s="755"/>
      <c r="U642" s="791"/>
      <c r="V642" s="784"/>
      <c r="W642" s="784"/>
      <c r="X642" s="784"/>
      <c r="Y642" s="975"/>
      <c r="Z642" s="1022"/>
      <c r="AA642" s="967"/>
      <c r="AB642" s="25"/>
    </row>
    <row r="643" spans="1:28" ht="17.25">
      <c r="A643" s="922"/>
      <c r="B643" s="922"/>
      <c r="C643" s="922"/>
      <c r="I643" s="922"/>
      <c r="J643" s="922"/>
      <c r="K643" s="922"/>
      <c r="L643" s="777">
        <v>5</v>
      </c>
      <c r="M643" s="778"/>
      <c r="N643" s="976"/>
      <c r="O643" s="1020">
        <v>586</v>
      </c>
      <c r="P643" s="847" t="e">
        <f>VLOOKUP(N643,etat!$A$9:$N$1004,2,FALSE)</f>
        <v>#N/A</v>
      </c>
      <c r="Q643" s="797" t="e">
        <f>VLOOKUP(N643,etat!$A$9:$N$963,7,FALSE)</f>
        <v>#N/A</v>
      </c>
      <c r="R643" s="797" t="e">
        <f>VLOOKUP(N643,etat!$A$9:$N$1003,9,FALSE)</f>
        <v>#N/A</v>
      </c>
      <c r="S643" s="866" t="e">
        <f>VLOOKUP(N643,etat!$A$9:$P$905,16,FALSE)</f>
        <v>#N/A</v>
      </c>
      <c r="T643" s="755"/>
      <c r="U643" s="791"/>
      <c r="V643" s="784"/>
      <c r="W643" s="784"/>
      <c r="X643" s="784"/>
      <c r="Y643" s="975"/>
      <c r="Z643" s="1022"/>
      <c r="AA643" s="967"/>
      <c r="AB643" s="25"/>
    </row>
    <row r="644" spans="1:28" ht="17.25">
      <c r="A644" s="922"/>
      <c r="B644" s="922"/>
      <c r="C644" s="922"/>
      <c r="I644" s="922"/>
      <c r="J644" s="922"/>
      <c r="K644" s="922"/>
      <c r="L644" s="777">
        <v>5</v>
      </c>
      <c r="M644" s="778"/>
      <c r="N644" s="976"/>
      <c r="O644" s="1020">
        <v>587</v>
      </c>
      <c r="P644" s="847" t="e">
        <f>VLOOKUP(N644,etat!$A$9:$N$1004,2,FALSE)</f>
        <v>#N/A</v>
      </c>
      <c r="Q644" s="797" t="e">
        <f>VLOOKUP(N644,etat!$A$9:$N$963,7,FALSE)</f>
        <v>#N/A</v>
      </c>
      <c r="R644" s="797" t="e">
        <f>VLOOKUP(N644,etat!$A$9:$N$1003,9,FALSE)</f>
        <v>#N/A</v>
      </c>
      <c r="S644" s="866" t="e">
        <f>VLOOKUP(N644,etat!$A$9:$P$905,16,FALSE)</f>
        <v>#N/A</v>
      </c>
      <c r="T644" s="755"/>
      <c r="U644" s="791"/>
      <c r="V644" s="784"/>
      <c r="W644" s="784"/>
      <c r="X644" s="784"/>
      <c r="Y644" s="975"/>
      <c r="Z644" s="1022"/>
      <c r="AA644" s="967"/>
      <c r="AB644" s="25"/>
    </row>
    <row r="645" spans="1:28" ht="17.25">
      <c r="A645" s="922"/>
      <c r="B645" s="922"/>
      <c r="C645" s="922"/>
      <c r="I645" s="922"/>
      <c r="J645" s="922"/>
      <c r="K645" s="922"/>
      <c r="L645" s="777">
        <v>5</v>
      </c>
      <c r="M645" s="778"/>
      <c r="N645" s="976"/>
      <c r="O645" s="1020">
        <v>588</v>
      </c>
      <c r="P645" s="847" t="e">
        <f>VLOOKUP(N645,etat!$A$9:$N$1004,2,FALSE)</f>
        <v>#N/A</v>
      </c>
      <c r="Q645" s="797" t="e">
        <f>VLOOKUP(N645,etat!$A$9:$N$963,7,FALSE)</f>
        <v>#N/A</v>
      </c>
      <c r="R645" s="797" t="e">
        <f>VLOOKUP(N645,etat!$A$9:$N$1003,9,FALSE)</f>
        <v>#N/A</v>
      </c>
      <c r="S645" s="866" t="e">
        <f>VLOOKUP(N645,etat!$A$9:$P$905,16,FALSE)</f>
        <v>#N/A</v>
      </c>
      <c r="T645" s="755"/>
      <c r="U645" s="791"/>
      <c r="V645" s="784"/>
      <c r="W645" s="784"/>
      <c r="X645" s="784"/>
      <c r="Y645" s="975"/>
      <c r="Z645" s="1022"/>
      <c r="AA645" s="967"/>
      <c r="AB645" s="25"/>
    </row>
    <row r="646" spans="1:28" ht="17.25">
      <c r="A646" s="922"/>
      <c r="B646" s="922"/>
      <c r="C646" s="922"/>
      <c r="I646" s="922"/>
      <c r="J646" s="922"/>
      <c r="K646" s="922"/>
      <c r="L646" s="777">
        <v>5</v>
      </c>
      <c r="M646" s="778"/>
      <c r="N646" s="976"/>
      <c r="O646" s="1020">
        <v>589</v>
      </c>
      <c r="P646" s="847" t="e">
        <f>VLOOKUP(N646,etat!$A$9:$N$1004,2,FALSE)</f>
        <v>#N/A</v>
      </c>
      <c r="Q646" s="797" t="e">
        <f>VLOOKUP(N646,etat!$A$9:$N$963,7,FALSE)</f>
        <v>#N/A</v>
      </c>
      <c r="R646" s="797" t="e">
        <f>VLOOKUP(N646,etat!$A$9:$N$1003,9,FALSE)</f>
        <v>#N/A</v>
      </c>
      <c r="S646" s="866" t="e">
        <f>VLOOKUP(N646,etat!$A$9:$P$905,16,FALSE)</f>
        <v>#N/A</v>
      </c>
      <c r="T646" s="755"/>
      <c r="U646" s="791"/>
      <c r="V646" s="784"/>
      <c r="W646" s="784"/>
      <c r="X646" s="784"/>
      <c r="Y646" s="975"/>
      <c r="Z646" s="1022"/>
      <c r="AA646" s="967"/>
      <c r="AB646" s="25"/>
    </row>
    <row r="647" spans="1:28" ht="17.25">
      <c r="A647" s="922"/>
      <c r="B647" s="922"/>
      <c r="C647" s="922"/>
      <c r="I647" s="922"/>
      <c r="J647" s="922"/>
      <c r="K647" s="922"/>
      <c r="L647" s="777">
        <v>5</v>
      </c>
      <c r="M647" s="778"/>
      <c r="N647" s="976"/>
      <c r="O647" s="1020">
        <v>590</v>
      </c>
      <c r="P647" s="847" t="e">
        <f>VLOOKUP(N647,etat!$A$9:$N$1004,2,FALSE)</f>
        <v>#N/A</v>
      </c>
      <c r="Q647" s="797" t="e">
        <f>VLOOKUP(N647,etat!$A$9:$N$963,7,FALSE)</f>
        <v>#N/A</v>
      </c>
      <c r="R647" s="797" t="e">
        <f>VLOOKUP(N647,etat!$A$9:$N$1003,9,FALSE)</f>
        <v>#N/A</v>
      </c>
      <c r="S647" s="866" t="e">
        <f>VLOOKUP(N647,etat!$A$9:$P$905,16,FALSE)</f>
        <v>#N/A</v>
      </c>
      <c r="T647" s="755"/>
      <c r="U647" s="791"/>
      <c r="V647" s="784"/>
      <c r="W647" s="784"/>
      <c r="X647" s="784"/>
      <c r="Y647" s="975"/>
      <c r="Z647" s="1022"/>
      <c r="AA647" s="967"/>
      <c r="AB647" s="25"/>
    </row>
    <row r="648" spans="1:28" ht="17.25">
      <c r="A648" s="922"/>
      <c r="B648" s="922"/>
      <c r="C648" s="922"/>
      <c r="I648" s="922"/>
      <c r="J648" s="922"/>
      <c r="K648" s="922"/>
      <c r="L648" s="777">
        <v>5</v>
      </c>
      <c r="M648" s="778"/>
      <c r="N648" s="976"/>
      <c r="O648" s="1020">
        <v>591</v>
      </c>
      <c r="P648" s="847" t="e">
        <f>VLOOKUP(N648,etat!$A$9:$N$1004,2,FALSE)</f>
        <v>#N/A</v>
      </c>
      <c r="Q648" s="797" t="e">
        <f>VLOOKUP(N648,etat!$A$9:$N$963,7,FALSE)</f>
        <v>#N/A</v>
      </c>
      <c r="R648" s="797" t="e">
        <f>VLOOKUP(N648,etat!$A$9:$N$1003,9,FALSE)</f>
        <v>#N/A</v>
      </c>
      <c r="S648" s="866" t="e">
        <f>VLOOKUP(N648,etat!$A$9:$P$905,16,FALSE)</f>
        <v>#N/A</v>
      </c>
      <c r="T648" s="755"/>
      <c r="U648" s="791"/>
      <c r="V648" s="784"/>
      <c r="W648" s="784"/>
      <c r="X648" s="784"/>
      <c r="Y648" s="975"/>
      <c r="Z648" s="1022"/>
      <c r="AA648" s="967"/>
      <c r="AB648" s="25"/>
    </row>
    <row r="649" spans="1:28" ht="17.25">
      <c r="A649" s="922"/>
      <c r="B649" s="922"/>
      <c r="C649" s="922"/>
      <c r="I649" s="922"/>
      <c r="J649" s="922"/>
      <c r="K649" s="922"/>
      <c r="L649" s="777">
        <v>5</v>
      </c>
      <c r="M649" s="778"/>
      <c r="N649" s="976"/>
      <c r="O649" s="1020">
        <v>592</v>
      </c>
      <c r="P649" s="847" t="e">
        <f>VLOOKUP(N649,etat!$A$9:$N$1004,2,FALSE)</f>
        <v>#N/A</v>
      </c>
      <c r="Q649" s="797" t="e">
        <f>VLOOKUP(N649,etat!$A$9:$N$963,7,FALSE)</f>
        <v>#N/A</v>
      </c>
      <c r="R649" s="797" t="e">
        <f>VLOOKUP(N649,etat!$A$9:$N$1003,9,FALSE)</f>
        <v>#N/A</v>
      </c>
      <c r="S649" s="866" t="e">
        <f>VLOOKUP(N649,etat!$A$9:$P$905,16,FALSE)</f>
        <v>#N/A</v>
      </c>
      <c r="T649" s="755"/>
      <c r="U649" s="791"/>
      <c r="V649" s="784"/>
      <c r="W649" s="784"/>
      <c r="X649" s="784"/>
      <c r="Y649" s="975"/>
      <c r="Z649" s="1022"/>
      <c r="AA649" s="967"/>
      <c r="AB649" s="25"/>
    </row>
    <row r="650" spans="1:28" ht="17.25">
      <c r="A650" s="922"/>
      <c r="B650" s="922"/>
      <c r="C650" s="922"/>
      <c r="I650" s="922"/>
      <c r="J650" s="922"/>
      <c r="K650" s="922"/>
      <c r="L650" s="777">
        <v>5</v>
      </c>
      <c r="M650" s="778"/>
      <c r="N650" s="976"/>
      <c r="O650" s="1020">
        <v>593</v>
      </c>
      <c r="P650" s="847" t="e">
        <f>VLOOKUP(N650,etat!$A$9:$N$1004,2,FALSE)</f>
        <v>#N/A</v>
      </c>
      <c r="Q650" s="797" t="e">
        <f>VLOOKUP(N650,etat!$A$9:$N$963,7,FALSE)</f>
        <v>#N/A</v>
      </c>
      <c r="R650" s="797" t="e">
        <f>VLOOKUP(N650,etat!$A$9:$N$1003,9,FALSE)</f>
        <v>#N/A</v>
      </c>
      <c r="S650" s="866" t="e">
        <f>VLOOKUP(N650,etat!$A$9:$P$905,16,FALSE)</f>
        <v>#N/A</v>
      </c>
      <c r="T650" s="755"/>
      <c r="U650" s="791"/>
      <c r="V650" s="784"/>
      <c r="W650" s="784"/>
      <c r="X650" s="784"/>
      <c r="Y650" s="975"/>
      <c r="Z650" s="1022"/>
      <c r="AA650" s="967"/>
      <c r="AB650" s="25"/>
    </row>
    <row r="651" spans="1:28" ht="17.25">
      <c r="A651" s="922"/>
      <c r="B651" s="922"/>
      <c r="C651" s="922"/>
      <c r="I651" s="922"/>
      <c r="J651" s="922"/>
      <c r="K651" s="922"/>
      <c r="L651" s="777">
        <v>5</v>
      </c>
      <c r="M651" s="778"/>
      <c r="N651" s="976"/>
      <c r="O651" s="1020">
        <v>594</v>
      </c>
      <c r="P651" s="847" t="e">
        <f>VLOOKUP(N651,etat!$A$9:$N$1004,2,FALSE)</f>
        <v>#N/A</v>
      </c>
      <c r="Q651" s="797" t="e">
        <f>VLOOKUP(N651,etat!$A$9:$N$963,7,FALSE)</f>
        <v>#N/A</v>
      </c>
      <c r="R651" s="797" t="e">
        <f>VLOOKUP(N651,etat!$A$9:$N$1003,9,FALSE)</f>
        <v>#N/A</v>
      </c>
      <c r="S651" s="866" t="e">
        <f>VLOOKUP(N651,etat!$A$9:$P$905,16,FALSE)</f>
        <v>#N/A</v>
      </c>
      <c r="T651" s="755"/>
      <c r="U651" s="791"/>
      <c r="V651" s="784"/>
      <c r="W651" s="784"/>
      <c r="X651" s="784"/>
      <c r="Y651" s="975"/>
      <c r="Z651" s="1022"/>
      <c r="AA651" s="967"/>
      <c r="AB651" s="25"/>
    </row>
    <row r="652" spans="1:28" ht="17.25">
      <c r="A652" s="922"/>
      <c r="B652" s="922"/>
      <c r="C652" s="922"/>
      <c r="I652" s="922"/>
      <c r="J652" s="922"/>
      <c r="K652" s="922"/>
      <c r="L652" s="777">
        <v>5</v>
      </c>
      <c r="M652" s="778"/>
      <c r="N652" s="976"/>
      <c r="O652" s="1020">
        <v>595</v>
      </c>
      <c r="P652" s="847" t="e">
        <f>VLOOKUP(N652,etat!$A$9:$N$1004,2,FALSE)</f>
        <v>#N/A</v>
      </c>
      <c r="Q652" s="797" t="e">
        <f>VLOOKUP(N652,etat!$A$9:$N$963,7,FALSE)</f>
        <v>#N/A</v>
      </c>
      <c r="R652" s="797" t="e">
        <f>VLOOKUP(N652,etat!$A$9:$N$1003,9,FALSE)</f>
        <v>#N/A</v>
      </c>
      <c r="S652" s="866" t="e">
        <f>VLOOKUP(N652,etat!$A$9:$P$905,16,FALSE)</f>
        <v>#N/A</v>
      </c>
      <c r="T652" s="755"/>
      <c r="U652" s="791"/>
      <c r="V652" s="784"/>
      <c r="W652" s="784"/>
      <c r="X652" s="784"/>
      <c r="Y652" s="975"/>
      <c r="Z652" s="1022"/>
      <c r="AA652" s="967"/>
      <c r="AB652" s="25"/>
    </row>
    <row r="653" spans="1:28" ht="17.25">
      <c r="A653" s="922"/>
      <c r="B653" s="922"/>
      <c r="C653" s="922"/>
      <c r="I653" s="922"/>
      <c r="J653" s="922"/>
      <c r="K653" s="922"/>
      <c r="L653" s="777">
        <v>5</v>
      </c>
      <c r="M653" s="778"/>
      <c r="N653" s="976"/>
      <c r="O653" s="1020">
        <v>596</v>
      </c>
      <c r="P653" s="847" t="e">
        <f>VLOOKUP(N653,etat!$A$9:$N$1004,2,FALSE)</f>
        <v>#N/A</v>
      </c>
      <c r="Q653" s="797" t="e">
        <f>VLOOKUP(N653,etat!$A$9:$N$963,7,FALSE)</f>
        <v>#N/A</v>
      </c>
      <c r="R653" s="797" t="e">
        <f>VLOOKUP(N653,etat!$A$9:$N$1003,9,FALSE)</f>
        <v>#N/A</v>
      </c>
      <c r="S653" s="866" t="e">
        <f>VLOOKUP(N653,etat!$A$9:$P$905,16,FALSE)</f>
        <v>#N/A</v>
      </c>
      <c r="T653" s="755"/>
      <c r="U653" s="791"/>
      <c r="V653" s="784"/>
      <c r="W653" s="784"/>
      <c r="X653" s="784"/>
      <c r="Y653" s="975"/>
      <c r="Z653" s="1022"/>
      <c r="AA653" s="967"/>
      <c r="AB653" s="25"/>
    </row>
    <row r="654" spans="1:28" ht="17.25">
      <c r="A654" s="922"/>
      <c r="B654" s="922"/>
      <c r="C654" s="922"/>
      <c r="I654" s="922"/>
      <c r="J654" s="922"/>
      <c r="K654" s="922"/>
      <c r="L654" s="777">
        <v>5</v>
      </c>
      <c r="M654" s="778"/>
      <c r="N654" s="976"/>
      <c r="O654" s="1020">
        <v>597</v>
      </c>
      <c r="P654" s="847" t="e">
        <f>VLOOKUP(N654,etat!$A$9:$N$1004,2,FALSE)</f>
        <v>#N/A</v>
      </c>
      <c r="Q654" s="797" t="e">
        <f>VLOOKUP(N654,etat!$A$9:$N$963,7,FALSE)</f>
        <v>#N/A</v>
      </c>
      <c r="R654" s="797" t="e">
        <f>VLOOKUP(N654,etat!$A$9:$N$1003,9,FALSE)</f>
        <v>#N/A</v>
      </c>
      <c r="S654" s="866" t="e">
        <f>VLOOKUP(N654,etat!$A$9:$P$905,16,FALSE)</f>
        <v>#N/A</v>
      </c>
      <c r="T654" s="755"/>
      <c r="U654" s="791"/>
      <c r="V654" s="784"/>
      <c r="W654" s="784"/>
      <c r="X654" s="784"/>
      <c r="Y654" s="975"/>
      <c r="Z654" s="1022"/>
      <c r="AA654" s="967"/>
      <c r="AB654" s="25"/>
    </row>
    <row r="655" spans="1:28" ht="17.25">
      <c r="A655" s="922"/>
      <c r="B655" s="922"/>
      <c r="C655" s="922"/>
      <c r="I655" s="922"/>
      <c r="J655" s="922"/>
      <c r="K655" s="922"/>
      <c r="L655" s="777">
        <v>5</v>
      </c>
      <c r="M655" s="778"/>
      <c r="N655" s="976"/>
      <c r="O655" s="1020">
        <v>598</v>
      </c>
      <c r="P655" s="847" t="e">
        <f>VLOOKUP(N655,etat!$A$9:$N$1004,2,FALSE)</f>
        <v>#N/A</v>
      </c>
      <c r="Q655" s="797" t="e">
        <f>VLOOKUP(N655,etat!$A$9:$N$963,7,FALSE)</f>
        <v>#N/A</v>
      </c>
      <c r="R655" s="797" t="e">
        <f>VLOOKUP(N655,etat!$A$9:$N$1003,9,FALSE)</f>
        <v>#N/A</v>
      </c>
      <c r="S655" s="866" t="e">
        <f>VLOOKUP(N655,etat!$A$9:$P$905,16,FALSE)</f>
        <v>#N/A</v>
      </c>
      <c r="T655" s="755"/>
      <c r="U655" s="791"/>
      <c r="V655" s="784"/>
      <c r="W655" s="784"/>
      <c r="X655" s="784"/>
      <c r="Y655" s="975"/>
      <c r="Z655" s="1022"/>
      <c r="AA655" s="967"/>
      <c r="AB655" s="25"/>
    </row>
    <row r="656" spans="1:28" ht="17.25">
      <c r="A656" s="922"/>
      <c r="B656" s="922"/>
      <c r="C656" s="922"/>
      <c r="I656" s="922"/>
      <c r="J656" s="922"/>
      <c r="K656" s="922"/>
      <c r="L656" s="777">
        <v>5</v>
      </c>
      <c r="M656" s="778"/>
      <c r="N656" s="976"/>
      <c r="O656" s="1020">
        <v>599</v>
      </c>
      <c r="P656" s="847" t="e">
        <f>VLOOKUP(N656,etat!$A$9:$N$1004,2,FALSE)</f>
        <v>#N/A</v>
      </c>
      <c r="Q656" s="797" t="e">
        <f>VLOOKUP(N656,etat!$A$9:$N$963,7,FALSE)</f>
        <v>#N/A</v>
      </c>
      <c r="R656" s="797" t="e">
        <f>VLOOKUP(N656,etat!$A$9:$N$1003,9,FALSE)</f>
        <v>#N/A</v>
      </c>
      <c r="S656" s="866" t="e">
        <f>VLOOKUP(N656,etat!$A$9:$P$905,16,FALSE)</f>
        <v>#N/A</v>
      </c>
      <c r="T656" s="755"/>
      <c r="U656" s="791"/>
      <c r="V656" s="784"/>
      <c r="W656" s="784"/>
      <c r="X656" s="784"/>
      <c r="Y656" s="975"/>
      <c r="Z656" s="1022"/>
      <c r="AA656" s="967"/>
      <c r="AB656" s="25"/>
    </row>
    <row r="657" spans="1:28" ht="17.25">
      <c r="A657" s="922"/>
      <c r="B657" s="922"/>
      <c r="C657" s="922"/>
      <c r="I657" s="922"/>
      <c r="J657" s="922"/>
      <c r="K657" s="922"/>
      <c r="L657" s="777">
        <v>5</v>
      </c>
      <c r="M657" s="778"/>
      <c r="N657" s="976"/>
      <c r="O657" s="1020">
        <v>600</v>
      </c>
      <c r="P657" s="847" t="e">
        <f>VLOOKUP(N657,etat!$A$9:$N$1004,2,FALSE)</f>
        <v>#N/A</v>
      </c>
      <c r="Q657" s="797" t="e">
        <f>VLOOKUP(N657,etat!$A$9:$N$963,7,FALSE)</f>
        <v>#N/A</v>
      </c>
      <c r="R657" s="797" t="e">
        <f>VLOOKUP(N657,etat!$A$9:$N$1003,9,FALSE)</f>
        <v>#N/A</v>
      </c>
      <c r="S657" s="866" t="e">
        <f>VLOOKUP(N657,etat!$A$9:$P$905,16,FALSE)</f>
        <v>#N/A</v>
      </c>
      <c r="T657" s="755"/>
      <c r="U657" s="791"/>
      <c r="V657" s="784"/>
      <c r="W657" s="784"/>
      <c r="X657" s="784"/>
      <c r="Y657" s="975"/>
      <c r="Z657" s="1022"/>
      <c r="AA657" s="967"/>
      <c r="AB657" s="25"/>
    </row>
    <row r="658" spans="1:28" ht="17.25">
      <c r="A658" s="922"/>
      <c r="B658" s="922"/>
      <c r="C658" s="922"/>
      <c r="I658" s="922"/>
      <c r="J658" s="922"/>
      <c r="K658" s="922"/>
      <c r="L658" s="777">
        <v>5</v>
      </c>
      <c r="M658" s="778"/>
      <c r="N658" s="976"/>
      <c r="O658" s="1020">
        <v>601</v>
      </c>
      <c r="P658" s="847" t="e">
        <f>VLOOKUP(N658,etat!$A$9:$N$1004,2,FALSE)</f>
        <v>#N/A</v>
      </c>
      <c r="Q658" s="797" t="e">
        <f>VLOOKUP(N658,etat!$A$9:$N$963,7,FALSE)</f>
        <v>#N/A</v>
      </c>
      <c r="R658" s="797" t="e">
        <f>VLOOKUP(N658,etat!$A$9:$N$1003,9,FALSE)</f>
        <v>#N/A</v>
      </c>
      <c r="S658" s="866" t="e">
        <f>VLOOKUP(N658,etat!$A$9:$P$905,16,FALSE)</f>
        <v>#N/A</v>
      </c>
      <c r="T658" s="755"/>
      <c r="U658" s="791"/>
      <c r="V658" s="784"/>
      <c r="W658" s="784"/>
      <c r="X658" s="784"/>
      <c r="Y658" s="975"/>
      <c r="Z658" s="1022"/>
      <c r="AA658" s="967"/>
      <c r="AB658" s="25"/>
    </row>
    <row r="659" spans="1:28" ht="17.25">
      <c r="A659" s="922"/>
      <c r="B659" s="922"/>
      <c r="C659" s="922"/>
      <c r="I659" s="922"/>
      <c r="J659" s="922"/>
      <c r="K659" s="922"/>
      <c r="L659" s="777">
        <v>5</v>
      </c>
      <c r="M659" s="778"/>
      <c r="N659" s="976"/>
      <c r="O659" s="1020">
        <v>602</v>
      </c>
      <c r="P659" s="847" t="e">
        <f>VLOOKUP(N659,etat!$A$9:$N$1004,2,FALSE)</f>
        <v>#N/A</v>
      </c>
      <c r="Q659" s="797" t="e">
        <f>VLOOKUP(N659,etat!$A$9:$N$963,7,FALSE)</f>
        <v>#N/A</v>
      </c>
      <c r="R659" s="797" t="e">
        <f>VLOOKUP(N659,etat!$A$9:$N$1003,9,FALSE)</f>
        <v>#N/A</v>
      </c>
      <c r="S659" s="866" t="e">
        <f>VLOOKUP(N659,etat!$A$9:$P$905,16,FALSE)</f>
        <v>#N/A</v>
      </c>
      <c r="T659" s="755"/>
      <c r="U659" s="791"/>
      <c r="V659" s="784"/>
      <c r="W659" s="784"/>
      <c r="X659" s="784"/>
      <c r="Y659" s="975"/>
      <c r="Z659" s="1022"/>
      <c r="AA659" s="967"/>
      <c r="AB659" s="25"/>
    </row>
    <row r="660" spans="1:28" ht="17.25">
      <c r="A660" s="922"/>
      <c r="B660" s="922"/>
      <c r="C660" s="922"/>
      <c r="I660" s="922"/>
      <c r="J660" s="922"/>
      <c r="K660" s="922"/>
      <c r="L660" s="777">
        <v>5</v>
      </c>
      <c r="M660" s="778"/>
      <c r="N660" s="976"/>
      <c r="O660" s="1020">
        <v>603</v>
      </c>
      <c r="P660" s="847" t="e">
        <f>VLOOKUP(N660,etat!$A$9:$N$1004,2,FALSE)</f>
        <v>#N/A</v>
      </c>
      <c r="Q660" s="797" t="e">
        <f>VLOOKUP(N660,etat!$A$9:$N$963,7,FALSE)</f>
        <v>#N/A</v>
      </c>
      <c r="R660" s="797" t="e">
        <f>VLOOKUP(N660,etat!$A$9:$N$1003,9,FALSE)</f>
        <v>#N/A</v>
      </c>
      <c r="S660" s="866" t="e">
        <f>VLOOKUP(N660,etat!$A$9:$P$905,16,FALSE)</f>
        <v>#N/A</v>
      </c>
      <c r="T660" s="755"/>
      <c r="U660" s="791"/>
      <c r="V660" s="784"/>
      <c r="W660" s="784"/>
      <c r="X660" s="784"/>
      <c r="Y660" s="975"/>
      <c r="Z660" s="1022"/>
      <c r="AA660" s="967"/>
      <c r="AB660" s="25"/>
    </row>
    <row r="661" spans="1:28" ht="17.25">
      <c r="A661" s="922"/>
      <c r="B661" s="922"/>
      <c r="C661" s="922"/>
      <c r="I661" s="922"/>
      <c r="J661" s="922"/>
      <c r="K661" s="922"/>
      <c r="L661" s="777">
        <v>5</v>
      </c>
      <c r="M661" s="778"/>
      <c r="N661" s="976"/>
      <c r="O661" s="1020">
        <v>604</v>
      </c>
      <c r="P661" s="847" t="e">
        <f>VLOOKUP(N661,etat!$A$9:$N$1004,2,FALSE)</f>
        <v>#N/A</v>
      </c>
      <c r="Q661" s="797" t="e">
        <f>VLOOKUP(N661,etat!$A$9:$N$963,7,FALSE)</f>
        <v>#N/A</v>
      </c>
      <c r="R661" s="797" t="e">
        <f>VLOOKUP(N661,etat!$A$9:$N$1003,9,FALSE)</f>
        <v>#N/A</v>
      </c>
      <c r="S661" s="866" t="e">
        <f>VLOOKUP(N661,etat!$A$9:$P$905,16,FALSE)</f>
        <v>#N/A</v>
      </c>
      <c r="T661" s="755"/>
      <c r="U661" s="791"/>
      <c r="V661" s="784"/>
      <c r="W661" s="784"/>
      <c r="X661" s="784"/>
      <c r="Y661" s="975"/>
      <c r="Z661" s="1022"/>
      <c r="AA661" s="967"/>
      <c r="AB661" s="25"/>
    </row>
    <row r="662" spans="1:28" ht="17.25">
      <c r="A662" s="922"/>
      <c r="B662" s="922"/>
      <c r="C662" s="922"/>
      <c r="I662" s="922"/>
      <c r="J662" s="922"/>
      <c r="K662" s="922"/>
      <c r="L662" s="777">
        <v>5</v>
      </c>
      <c r="M662" s="778"/>
      <c r="N662" s="976"/>
      <c r="O662" s="1020">
        <v>605</v>
      </c>
      <c r="P662" s="847" t="e">
        <f>VLOOKUP(N662,etat!$A$9:$N$1004,2,FALSE)</f>
        <v>#N/A</v>
      </c>
      <c r="Q662" s="797" t="e">
        <f>VLOOKUP(N662,etat!$A$9:$N$963,7,FALSE)</f>
        <v>#N/A</v>
      </c>
      <c r="R662" s="797" t="e">
        <f>VLOOKUP(N662,etat!$A$9:$N$1003,9,FALSE)</f>
        <v>#N/A</v>
      </c>
      <c r="S662" s="866" t="e">
        <f>VLOOKUP(N662,etat!$A$9:$P$905,16,FALSE)</f>
        <v>#N/A</v>
      </c>
      <c r="T662" s="755"/>
      <c r="U662" s="791"/>
      <c r="V662" s="784"/>
      <c r="W662" s="784"/>
      <c r="X662" s="784"/>
      <c r="Y662" s="975"/>
      <c r="Z662" s="1022"/>
      <c r="AA662" s="967"/>
      <c r="AB662" s="25"/>
    </row>
    <row r="663" spans="1:28" ht="17.25">
      <c r="A663" s="922"/>
      <c r="B663" s="922"/>
      <c r="C663" s="922"/>
      <c r="I663" s="922"/>
      <c r="J663" s="922"/>
      <c r="K663" s="922"/>
      <c r="L663" s="777">
        <v>5</v>
      </c>
      <c r="M663" s="778"/>
      <c r="N663" s="976"/>
      <c r="O663" s="1020">
        <v>606</v>
      </c>
      <c r="P663" s="847" t="e">
        <f>VLOOKUP(N663,etat!$A$9:$N$1004,2,FALSE)</f>
        <v>#N/A</v>
      </c>
      <c r="Q663" s="797" t="e">
        <f>VLOOKUP(N663,etat!$A$9:$N$963,7,FALSE)</f>
        <v>#N/A</v>
      </c>
      <c r="R663" s="797" t="e">
        <f>VLOOKUP(N663,etat!$A$9:$N$1003,9,FALSE)</f>
        <v>#N/A</v>
      </c>
      <c r="S663" s="866" t="e">
        <f>VLOOKUP(N663,etat!$A$9:$P$905,16,FALSE)</f>
        <v>#N/A</v>
      </c>
      <c r="T663" s="755"/>
      <c r="U663" s="791"/>
      <c r="V663" s="784"/>
      <c r="W663" s="784"/>
      <c r="X663" s="784"/>
      <c r="Y663" s="975"/>
      <c r="Z663" s="1022"/>
      <c r="AA663" s="967"/>
      <c r="AB663" s="25"/>
    </row>
    <row r="664" spans="1:28" ht="17.25">
      <c r="A664" s="922"/>
      <c r="B664" s="922"/>
      <c r="C664" s="922"/>
      <c r="I664" s="922"/>
      <c r="J664" s="922"/>
      <c r="K664" s="922"/>
      <c r="L664" s="777">
        <v>5</v>
      </c>
      <c r="M664" s="778"/>
      <c r="N664" s="976"/>
      <c r="O664" s="1020">
        <v>607</v>
      </c>
      <c r="P664" s="847" t="e">
        <f>VLOOKUP(N664,etat!$A$9:$N$1004,2,FALSE)</f>
        <v>#N/A</v>
      </c>
      <c r="Q664" s="797" t="e">
        <f>VLOOKUP(N664,etat!$A$9:$N$963,7,FALSE)</f>
        <v>#N/A</v>
      </c>
      <c r="R664" s="797" t="e">
        <f>VLOOKUP(N664,etat!$A$9:$N$1003,9,FALSE)</f>
        <v>#N/A</v>
      </c>
      <c r="S664" s="866" t="e">
        <f>VLOOKUP(N664,etat!$A$9:$P$905,16,FALSE)</f>
        <v>#N/A</v>
      </c>
      <c r="T664" s="755"/>
      <c r="U664" s="791"/>
      <c r="V664" s="784"/>
      <c r="W664" s="784"/>
      <c r="X664" s="784"/>
      <c r="Y664" s="975"/>
      <c r="Z664" s="1022"/>
      <c r="AA664" s="967"/>
      <c r="AB664" s="25"/>
    </row>
    <row r="665" spans="1:28" ht="17.25">
      <c r="A665" s="922"/>
      <c r="B665" s="922"/>
      <c r="C665" s="922"/>
      <c r="I665" s="922"/>
      <c r="J665" s="922"/>
      <c r="K665" s="922"/>
      <c r="L665" s="777">
        <v>5</v>
      </c>
      <c r="M665" s="778"/>
      <c r="N665" s="976"/>
      <c r="O665" s="1020">
        <v>608</v>
      </c>
      <c r="P665" s="847" t="e">
        <f>VLOOKUP(N665,etat!$A$9:$N$1004,2,FALSE)</f>
        <v>#N/A</v>
      </c>
      <c r="Q665" s="797" t="e">
        <f>VLOOKUP(N665,etat!$A$9:$N$963,7,FALSE)</f>
        <v>#N/A</v>
      </c>
      <c r="R665" s="797" t="e">
        <f>VLOOKUP(N665,etat!$A$9:$N$1003,9,FALSE)</f>
        <v>#N/A</v>
      </c>
      <c r="S665" s="866" t="e">
        <f>VLOOKUP(N665,etat!$A$9:$P$905,16,FALSE)</f>
        <v>#N/A</v>
      </c>
      <c r="T665" s="755"/>
      <c r="U665" s="791"/>
      <c r="V665" s="784"/>
      <c r="W665" s="784"/>
      <c r="X665" s="784"/>
      <c r="Y665" s="975"/>
      <c r="Z665" s="1022"/>
      <c r="AA665" s="967"/>
      <c r="AB665" s="25"/>
    </row>
    <row r="666" spans="1:28" ht="17.25">
      <c r="A666" s="922"/>
      <c r="B666" s="922"/>
      <c r="C666" s="922"/>
      <c r="I666" s="922"/>
      <c r="J666" s="922"/>
      <c r="K666" s="922"/>
      <c r="L666" s="777">
        <v>5</v>
      </c>
      <c r="M666" s="778"/>
      <c r="N666" s="976"/>
      <c r="O666" s="1020">
        <v>609</v>
      </c>
      <c r="P666" s="847" t="e">
        <f>VLOOKUP(N666,etat!$A$9:$N$1004,2,FALSE)</f>
        <v>#N/A</v>
      </c>
      <c r="Q666" s="797" t="e">
        <f>VLOOKUP(N666,etat!$A$9:$N$963,7,FALSE)</f>
        <v>#N/A</v>
      </c>
      <c r="R666" s="797" t="e">
        <f>VLOOKUP(N666,etat!$A$9:$N$1003,9,FALSE)</f>
        <v>#N/A</v>
      </c>
      <c r="S666" s="866" t="e">
        <f>VLOOKUP(N666,etat!$A$9:$P$905,16,FALSE)</f>
        <v>#N/A</v>
      </c>
      <c r="T666" s="755"/>
      <c r="U666" s="791"/>
      <c r="V666" s="784"/>
      <c r="W666" s="784"/>
      <c r="X666" s="784"/>
      <c r="Y666" s="975"/>
      <c r="Z666" s="1022"/>
      <c r="AA666" s="967"/>
      <c r="AB666" s="25"/>
    </row>
    <row r="667" spans="1:28" ht="17.25">
      <c r="A667" s="922"/>
      <c r="B667" s="922"/>
      <c r="C667" s="922"/>
      <c r="I667" s="922"/>
      <c r="J667" s="922"/>
      <c r="K667" s="922"/>
      <c r="L667" s="777">
        <v>5</v>
      </c>
      <c r="M667" s="778"/>
      <c r="N667" s="976"/>
      <c r="O667" s="1020">
        <v>610</v>
      </c>
      <c r="P667" s="847" t="e">
        <f>VLOOKUP(N667,etat!$A$9:$N$1004,2,FALSE)</f>
        <v>#N/A</v>
      </c>
      <c r="Q667" s="797" t="e">
        <f>VLOOKUP(N667,etat!$A$9:$N$963,7,FALSE)</f>
        <v>#N/A</v>
      </c>
      <c r="R667" s="797" t="e">
        <f>VLOOKUP(N667,etat!$A$9:$N$1003,9,FALSE)</f>
        <v>#N/A</v>
      </c>
      <c r="S667" s="866" t="e">
        <f>VLOOKUP(N667,etat!$A$9:$P$905,16,FALSE)</f>
        <v>#N/A</v>
      </c>
      <c r="T667" s="755"/>
      <c r="U667" s="791"/>
      <c r="V667" s="784"/>
      <c r="W667" s="784"/>
      <c r="X667" s="784"/>
      <c r="Y667" s="975"/>
      <c r="Z667" s="1022"/>
      <c r="AA667" s="967"/>
      <c r="AB667" s="25"/>
    </row>
    <row r="668" spans="1:28" ht="17.25">
      <c r="A668" s="922"/>
      <c r="B668" s="922"/>
      <c r="C668" s="922"/>
      <c r="I668" s="922"/>
      <c r="J668" s="922"/>
      <c r="K668" s="922"/>
      <c r="L668" s="777">
        <v>5</v>
      </c>
      <c r="M668" s="778"/>
      <c r="N668" s="976"/>
      <c r="O668" s="1020">
        <v>611</v>
      </c>
      <c r="P668" s="847" t="e">
        <f>VLOOKUP(N668,etat!$A$9:$N$1004,2,FALSE)</f>
        <v>#N/A</v>
      </c>
      <c r="Q668" s="797" t="e">
        <f>VLOOKUP(N668,etat!$A$9:$N$963,7,FALSE)</f>
        <v>#N/A</v>
      </c>
      <c r="R668" s="797" t="e">
        <f>VLOOKUP(N668,etat!$A$9:$N$1003,9,FALSE)</f>
        <v>#N/A</v>
      </c>
      <c r="S668" s="866" t="e">
        <f>VLOOKUP(N668,etat!$A$9:$P$905,16,FALSE)</f>
        <v>#N/A</v>
      </c>
      <c r="T668" s="755"/>
      <c r="U668" s="791"/>
      <c r="V668" s="784"/>
      <c r="W668" s="784"/>
      <c r="X668" s="784"/>
      <c r="Y668" s="975"/>
      <c r="Z668" s="1022"/>
      <c r="AA668" s="967"/>
      <c r="AB668" s="25"/>
    </row>
    <row r="669" spans="1:28" ht="17.25">
      <c r="A669" s="922"/>
      <c r="B669" s="922"/>
      <c r="C669" s="922"/>
      <c r="I669" s="922"/>
      <c r="J669" s="922"/>
      <c r="K669" s="922"/>
      <c r="L669" s="777">
        <v>5</v>
      </c>
      <c r="M669" s="778"/>
      <c r="N669" s="976"/>
      <c r="O669" s="1020">
        <v>612</v>
      </c>
      <c r="P669" s="847" t="e">
        <f>VLOOKUP(N669,etat!$A$9:$N$1004,2,FALSE)</f>
        <v>#N/A</v>
      </c>
      <c r="Q669" s="797" t="e">
        <f>VLOOKUP(N669,etat!$A$9:$N$963,7,FALSE)</f>
        <v>#N/A</v>
      </c>
      <c r="R669" s="797" t="e">
        <f>VLOOKUP(N669,etat!$A$9:$N$1003,9,FALSE)</f>
        <v>#N/A</v>
      </c>
      <c r="S669" s="866" t="e">
        <f>VLOOKUP(N669,etat!$A$9:$P$905,16,FALSE)</f>
        <v>#N/A</v>
      </c>
      <c r="T669" s="755"/>
      <c r="U669" s="791"/>
      <c r="V669" s="784"/>
      <c r="W669" s="784"/>
      <c r="X669" s="784"/>
      <c r="Y669" s="975"/>
      <c r="Z669" s="1022"/>
      <c r="AA669" s="967"/>
      <c r="AB669" s="25"/>
    </row>
    <row r="670" spans="1:28" ht="17.25">
      <c r="A670" s="922"/>
      <c r="B670" s="922"/>
      <c r="C670" s="922"/>
      <c r="I670" s="922"/>
      <c r="J670" s="922"/>
      <c r="K670" s="922"/>
      <c r="L670" s="777">
        <v>5</v>
      </c>
      <c r="M670" s="778"/>
      <c r="N670" s="976"/>
      <c r="O670" s="1020">
        <v>613</v>
      </c>
      <c r="P670" s="847" t="e">
        <f>VLOOKUP(N670,etat!$A$9:$N$1004,2,FALSE)</f>
        <v>#N/A</v>
      </c>
      <c r="Q670" s="797" t="e">
        <f>VLOOKUP(N670,etat!$A$9:$N$963,7,FALSE)</f>
        <v>#N/A</v>
      </c>
      <c r="R670" s="797" t="e">
        <f>VLOOKUP(N670,etat!$A$9:$N$1003,9,FALSE)</f>
        <v>#N/A</v>
      </c>
      <c r="S670" s="866" t="e">
        <f>VLOOKUP(N670,etat!$A$9:$P$905,16,FALSE)</f>
        <v>#N/A</v>
      </c>
      <c r="T670" s="755"/>
      <c r="U670" s="791"/>
      <c r="V670" s="784"/>
      <c r="W670" s="784"/>
      <c r="X670" s="784"/>
      <c r="Y670" s="975"/>
      <c r="Z670" s="1022"/>
      <c r="AA670" s="967"/>
      <c r="AB670" s="25"/>
    </row>
    <row r="671" spans="1:28" ht="17.25">
      <c r="A671" s="922"/>
      <c r="B671" s="922"/>
      <c r="C671" s="922"/>
      <c r="I671" s="922"/>
      <c r="J671" s="922"/>
      <c r="K671" s="922"/>
      <c r="L671" s="777">
        <v>5</v>
      </c>
      <c r="M671" s="778"/>
      <c r="N671" s="976"/>
      <c r="O671" s="1020">
        <v>614</v>
      </c>
      <c r="P671" s="847" t="e">
        <f>VLOOKUP(N671,etat!$A$9:$N$1004,2,FALSE)</f>
        <v>#N/A</v>
      </c>
      <c r="Q671" s="797" t="e">
        <f>VLOOKUP(N671,etat!$A$9:$N$963,7,FALSE)</f>
        <v>#N/A</v>
      </c>
      <c r="R671" s="797" t="e">
        <f>VLOOKUP(N671,etat!$A$9:$N$1003,9,FALSE)</f>
        <v>#N/A</v>
      </c>
      <c r="S671" s="866" t="e">
        <f>VLOOKUP(N671,etat!$A$9:$P$905,16,FALSE)</f>
        <v>#N/A</v>
      </c>
      <c r="T671" s="755"/>
      <c r="U671" s="791"/>
      <c r="V671" s="784"/>
      <c r="W671" s="784"/>
      <c r="X671" s="784"/>
      <c r="Y671" s="975"/>
      <c r="Z671" s="1022"/>
      <c r="AA671" s="967"/>
      <c r="AB671" s="25"/>
    </row>
    <row r="672" spans="1:28" ht="17.25">
      <c r="A672" s="922"/>
      <c r="B672" s="922"/>
      <c r="C672" s="922"/>
      <c r="I672" s="922"/>
      <c r="J672" s="922"/>
      <c r="K672" s="922"/>
      <c r="L672" s="777">
        <v>5</v>
      </c>
      <c r="M672" s="778"/>
      <c r="N672" s="976"/>
      <c r="O672" s="1020">
        <v>615</v>
      </c>
      <c r="P672" s="847" t="e">
        <f>VLOOKUP(N672,etat!$A$9:$N$1004,2,FALSE)</f>
        <v>#N/A</v>
      </c>
      <c r="Q672" s="797" t="e">
        <f>VLOOKUP(N672,etat!$A$9:$N$963,7,FALSE)</f>
        <v>#N/A</v>
      </c>
      <c r="R672" s="797" t="e">
        <f>VLOOKUP(N672,etat!$A$9:$N$1003,9,FALSE)</f>
        <v>#N/A</v>
      </c>
      <c r="S672" s="866" t="e">
        <f>VLOOKUP(N672,etat!$A$9:$P$905,16,FALSE)</f>
        <v>#N/A</v>
      </c>
      <c r="T672" s="755"/>
      <c r="U672" s="791"/>
      <c r="V672" s="784"/>
      <c r="W672" s="784"/>
      <c r="X672" s="784"/>
      <c r="Y672" s="975"/>
      <c r="Z672" s="1022"/>
      <c r="AA672" s="967"/>
      <c r="AB672" s="25"/>
    </row>
    <row r="673" spans="1:28" ht="17.25">
      <c r="A673" s="922"/>
      <c r="B673" s="922"/>
      <c r="C673" s="922"/>
      <c r="I673" s="922"/>
      <c r="J673" s="922"/>
      <c r="K673" s="922"/>
      <c r="L673" s="777">
        <v>5</v>
      </c>
      <c r="M673" s="778"/>
      <c r="N673" s="976"/>
      <c r="O673" s="1020">
        <v>616</v>
      </c>
      <c r="P673" s="847" t="e">
        <f>VLOOKUP(N673,etat!$A$9:$N$1004,2,FALSE)</f>
        <v>#N/A</v>
      </c>
      <c r="Q673" s="797" t="e">
        <f>VLOOKUP(N673,etat!$A$9:$N$963,7,FALSE)</f>
        <v>#N/A</v>
      </c>
      <c r="R673" s="797" t="e">
        <f>VLOOKUP(N673,etat!$A$9:$N$1003,9,FALSE)</f>
        <v>#N/A</v>
      </c>
      <c r="S673" s="866" t="e">
        <f>VLOOKUP(N673,etat!$A$9:$P$905,16,FALSE)</f>
        <v>#N/A</v>
      </c>
      <c r="T673" s="755"/>
      <c r="U673" s="791"/>
      <c r="V673" s="784"/>
      <c r="W673" s="784"/>
      <c r="X673" s="784"/>
      <c r="Y673" s="975"/>
      <c r="Z673" s="1022"/>
      <c r="AA673" s="967"/>
      <c r="AB673" s="25"/>
    </row>
    <row r="674" spans="1:28" ht="17.25">
      <c r="A674" s="922"/>
      <c r="B674" s="922"/>
      <c r="C674" s="922"/>
      <c r="I674" s="922"/>
      <c r="J674" s="922"/>
      <c r="K674" s="922"/>
      <c r="L674" s="777">
        <v>5</v>
      </c>
      <c r="M674" s="778"/>
      <c r="N674" s="976"/>
      <c r="O674" s="1020">
        <v>617</v>
      </c>
      <c r="P674" s="847" t="e">
        <f>VLOOKUP(N674,etat!$A$9:$N$1004,2,FALSE)</f>
        <v>#N/A</v>
      </c>
      <c r="Q674" s="797" t="e">
        <f>VLOOKUP(N674,etat!$A$9:$N$963,7,FALSE)</f>
        <v>#N/A</v>
      </c>
      <c r="R674" s="797" t="e">
        <f>VLOOKUP(N674,etat!$A$9:$N$1003,9,FALSE)</f>
        <v>#N/A</v>
      </c>
      <c r="S674" s="866" t="e">
        <f>VLOOKUP(N674,etat!$A$9:$P$905,16,FALSE)</f>
        <v>#N/A</v>
      </c>
      <c r="T674" s="755"/>
      <c r="U674" s="791"/>
      <c r="V674" s="784"/>
      <c r="W674" s="784"/>
      <c r="X674" s="784"/>
      <c r="Y674" s="975"/>
      <c r="Z674" s="1022"/>
      <c r="AA674" s="967"/>
      <c r="AB674" s="25"/>
    </row>
    <row r="675" spans="1:28" ht="17.25">
      <c r="A675" s="922"/>
      <c r="B675" s="922"/>
      <c r="C675" s="922"/>
      <c r="I675" s="922"/>
      <c r="J675" s="922"/>
      <c r="K675" s="922"/>
      <c r="L675" s="777">
        <v>5</v>
      </c>
      <c r="M675" s="778"/>
      <c r="N675" s="976"/>
      <c r="O675" s="1020">
        <v>618</v>
      </c>
      <c r="P675" s="847" t="e">
        <f>VLOOKUP(N675,etat!$A$9:$N$1004,2,FALSE)</f>
        <v>#N/A</v>
      </c>
      <c r="Q675" s="797" t="e">
        <f>VLOOKUP(N675,etat!$A$9:$N$963,7,FALSE)</f>
        <v>#N/A</v>
      </c>
      <c r="R675" s="797" t="e">
        <f>VLOOKUP(N675,etat!$A$9:$N$1003,9,FALSE)</f>
        <v>#N/A</v>
      </c>
      <c r="S675" s="866" t="e">
        <f>VLOOKUP(N675,etat!$A$9:$P$905,16,FALSE)</f>
        <v>#N/A</v>
      </c>
      <c r="T675" s="755"/>
      <c r="U675" s="791"/>
      <c r="V675" s="784"/>
      <c r="W675" s="784"/>
      <c r="X675" s="784"/>
      <c r="Y675" s="975"/>
      <c r="Z675" s="1022"/>
      <c r="AA675" s="967"/>
      <c r="AB675" s="25"/>
    </row>
    <row r="676" spans="1:28" ht="17.25">
      <c r="A676" s="922"/>
      <c r="B676" s="922"/>
      <c r="C676" s="922"/>
      <c r="I676" s="922"/>
      <c r="J676" s="922"/>
      <c r="K676" s="922"/>
      <c r="L676" s="777">
        <v>5</v>
      </c>
      <c r="M676" s="778"/>
      <c r="N676" s="976"/>
      <c r="O676" s="1020">
        <v>619</v>
      </c>
      <c r="P676" s="847" t="e">
        <f>VLOOKUP(N676,etat!$A$9:$N$1004,2,FALSE)</f>
        <v>#N/A</v>
      </c>
      <c r="Q676" s="797" t="e">
        <f>VLOOKUP(N676,etat!$A$9:$N$963,7,FALSE)</f>
        <v>#N/A</v>
      </c>
      <c r="R676" s="797" t="e">
        <f>VLOOKUP(N676,etat!$A$9:$N$1003,9,FALSE)</f>
        <v>#N/A</v>
      </c>
      <c r="S676" s="866" t="e">
        <f>VLOOKUP(N676,etat!$A$9:$P$905,16,FALSE)</f>
        <v>#N/A</v>
      </c>
      <c r="T676" s="755"/>
      <c r="U676" s="791"/>
      <c r="V676" s="784"/>
      <c r="W676" s="784"/>
      <c r="X676" s="784"/>
      <c r="Y676" s="975"/>
      <c r="Z676" s="1022"/>
      <c r="AA676" s="967"/>
      <c r="AB676" s="25"/>
    </row>
    <row r="677" spans="1:28" ht="17.25">
      <c r="A677" s="922"/>
      <c r="B677" s="922"/>
      <c r="C677" s="922"/>
      <c r="I677" s="922"/>
      <c r="J677" s="922"/>
      <c r="K677" s="922"/>
      <c r="L677" s="777">
        <v>5</v>
      </c>
      <c r="M677" s="778"/>
      <c r="N677" s="976"/>
      <c r="O677" s="1020">
        <v>620</v>
      </c>
      <c r="P677" s="847" t="e">
        <f>VLOOKUP(N677,etat!$A$9:$N$1004,2,FALSE)</f>
        <v>#N/A</v>
      </c>
      <c r="Q677" s="797" t="e">
        <f>VLOOKUP(N677,etat!$A$9:$N$963,7,FALSE)</f>
        <v>#N/A</v>
      </c>
      <c r="R677" s="797" t="e">
        <f>VLOOKUP(N677,etat!$A$9:$N$1003,9,FALSE)</f>
        <v>#N/A</v>
      </c>
      <c r="S677" s="866" t="e">
        <f>VLOOKUP(N677,etat!$A$9:$P$905,16,FALSE)</f>
        <v>#N/A</v>
      </c>
      <c r="T677" s="755"/>
      <c r="U677" s="791"/>
      <c r="V677" s="784"/>
      <c r="W677" s="784"/>
      <c r="X677" s="784"/>
      <c r="Y677" s="975"/>
      <c r="Z677" s="1022"/>
      <c r="AA677" s="967"/>
      <c r="AB677" s="25"/>
    </row>
    <row r="678" spans="1:28" ht="17.25">
      <c r="A678" s="922"/>
      <c r="B678" s="922"/>
      <c r="C678" s="922"/>
      <c r="I678" s="922"/>
      <c r="J678" s="922"/>
      <c r="K678" s="922"/>
      <c r="L678" s="777">
        <v>5</v>
      </c>
      <c r="M678" s="778"/>
      <c r="N678" s="976"/>
      <c r="O678" s="1020">
        <v>621</v>
      </c>
      <c r="P678" s="847" t="e">
        <f>VLOOKUP(N678,etat!$A$9:$N$1004,2,FALSE)</f>
        <v>#N/A</v>
      </c>
      <c r="Q678" s="797" t="e">
        <f>VLOOKUP(N678,etat!$A$9:$N$963,7,FALSE)</f>
        <v>#N/A</v>
      </c>
      <c r="R678" s="797" t="e">
        <f>VLOOKUP(N678,etat!$A$9:$N$1003,9,FALSE)</f>
        <v>#N/A</v>
      </c>
      <c r="S678" s="866" t="e">
        <f>VLOOKUP(N678,etat!$A$9:$P$905,16,FALSE)</f>
        <v>#N/A</v>
      </c>
      <c r="T678" s="755"/>
      <c r="U678" s="791"/>
      <c r="V678" s="784"/>
      <c r="W678" s="784"/>
      <c r="X678" s="784"/>
      <c r="Y678" s="975"/>
      <c r="Z678" s="1022"/>
      <c r="AA678" s="967"/>
      <c r="AB678" s="25"/>
    </row>
    <row r="679" spans="1:28" ht="17.25">
      <c r="A679" s="922"/>
      <c r="B679" s="922"/>
      <c r="C679" s="922"/>
      <c r="I679" s="922"/>
      <c r="J679" s="922"/>
      <c r="K679" s="922"/>
      <c r="L679" s="777">
        <v>5</v>
      </c>
      <c r="M679" s="778"/>
      <c r="N679" s="976"/>
      <c r="O679" s="1020">
        <v>622</v>
      </c>
      <c r="P679" s="847" t="e">
        <f>VLOOKUP(N679,etat!$A$9:$N$1004,2,FALSE)</f>
        <v>#N/A</v>
      </c>
      <c r="Q679" s="797" t="e">
        <f>VLOOKUP(N679,etat!$A$9:$N$963,7,FALSE)</f>
        <v>#N/A</v>
      </c>
      <c r="R679" s="797" t="e">
        <f>VLOOKUP(N679,etat!$A$9:$N$1003,9,FALSE)</f>
        <v>#N/A</v>
      </c>
      <c r="S679" s="866" t="e">
        <f>VLOOKUP(N679,etat!$A$9:$P$905,16,FALSE)</f>
        <v>#N/A</v>
      </c>
      <c r="T679" s="755"/>
      <c r="U679" s="791"/>
      <c r="V679" s="784"/>
      <c r="W679" s="784"/>
      <c r="X679" s="784"/>
      <c r="Y679" s="975"/>
      <c r="Z679" s="1022"/>
      <c r="AA679" s="967"/>
      <c r="AB679" s="25"/>
    </row>
    <row r="680" spans="1:28" ht="17.25">
      <c r="A680" s="922"/>
      <c r="B680" s="922"/>
      <c r="C680" s="922"/>
      <c r="I680" s="922"/>
      <c r="J680" s="922"/>
      <c r="K680" s="922"/>
      <c r="L680" s="777">
        <v>5</v>
      </c>
      <c r="M680" s="778"/>
      <c r="N680" s="976"/>
      <c r="O680" s="1020">
        <v>623</v>
      </c>
      <c r="P680" s="847" t="e">
        <f>VLOOKUP(N680,etat!$A$9:$N$1004,2,FALSE)</f>
        <v>#N/A</v>
      </c>
      <c r="Q680" s="797" t="e">
        <f>VLOOKUP(N680,etat!$A$9:$N$963,7,FALSE)</f>
        <v>#N/A</v>
      </c>
      <c r="R680" s="797" t="e">
        <f>VLOOKUP(N680,etat!$A$9:$N$1003,9,FALSE)</f>
        <v>#N/A</v>
      </c>
      <c r="S680" s="866" t="e">
        <f>VLOOKUP(N680,etat!$A$9:$P$905,16,FALSE)</f>
        <v>#N/A</v>
      </c>
      <c r="T680" s="755"/>
      <c r="U680" s="791"/>
      <c r="V680" s="784"/>
      <c r="W680" s="784"/>
      <c r="X680" s="784"/>
      <c r="Y680" s="975"/>
      <c r="Z680" s="1022"/>
      <c r="AA680" s="967"/>
      <c r="AB680" s="25"/>
    </row>
    <row r="681" spans="1:28" ht="17.25">
      <c r="A681" s="922"/>
      <c r="B681" s="922"/>
      <c r="C681" s="922"/>
      <c r="I681" s="922"/>
      <c r="J681" s="922"/>
      <c r="K681" s="922"/>
      <c r="L681" s="777">
        <v>5</v>
      </c>
      <c r="M681" s="778"/>
      <c r="N681" s="976"/>
      <c r="O681" s="1020">
        <v>624</v>
      </c>
      <c r="P681" s="847" t="e">
        <f>VLOOKUP(N681,etat!$A$9:$N$1004,2,FALSE)</f>
        <v>#N/A</v>
      </c>
      <c r="Q681" s="797" t="e">
        <f>VLOOKUP(N681,etat!$A$9:$N$963,7,FALSE)</f>
        <v>#N/A</v>
      </c>
      <c r="R681" s="797" t="e">
        <f>VLOOKUP(N681,etat!$A$9:$N$1003,9,FALSE)</f>
        <v>#N/A</v>
      </c>
      <c r="S681" s="866" t="e">
        <f>VLOOKUP(N681,etat!$A$9:$P$905,16,FALSE)</f>
        <v>#N/A</v>
      </c>
      <c r="T681" s="755"/>
      <c r="U681" s="791"/>
      <c r="V681" s="784"/>
      <c r="W681" s="784"/>
      <c r="X681" s="784"/>
      <c r="Y681" s="975"/>
      <c r="Z681" s="1022"/>
      <c r="AA681" s="967"/>
      <c r="AB681" s="25"/>
    </row>
    <row r="682" spans="1:28" ht="15.75">
      <c r="A682" s="922"/>
      <c r="B682" s="922"/>
      <c r="C682" s="922"/>
      <c r="I682" s="922"/>
      <c r="J682" s="922"/>
      <c r="K682" s="922"/>
      <c r="L682" s="777">
        <v>5</v>
      </c>
      <c r="M682" s="778"/>
      <c r="N682" s="976">
        <v>0</v>
      </c>
      <c r="O682" s="1020">
        <v>625</v>
      </c>
      <c r="P682" s="858" t="e">
        <f>VLOOKUP(N682,etat!$A$9:$N$1004,2,FALSE)</f>
        <v>#N/A</v>
      </c>
      <c r="Q682" s="797" t="e">
        <f>VLOOKUP(N682,etat!$A$9:$N$963,7,FALSE)</f>
        <v>#N/A</v>
      </c>
      <c r="R682" s="928" t="e">
        <f>VLOOKUP(N682,etat!$A$9:$N$1003,9,FALSE)</f>
        <v>#N/A</v>
      </c>
      <c r="S682" s="866" t="e">
        <f>VLOOKUP(N682,etat!$A$9:$P$905,16,FALSE)</f>
        <v>#N/A</v>
      </c>
      <c r="T682" s="755"/>
      <c r="U682" s="791"/>
      <c r="V682" s="784"/>
      <c r="W682" s="784"/>
      <c r="X682" s="784"/>
      <c r="Y682" s="784"/>
      <c r="Z682" s="967" t="str">
        <f>VLOOKUP(L682,اس!$S$3:$X$31,3,FALSE)</f>
        <v>.</v>
      </c>
      <c r="AA682" s="967"/>
      <c r="AB682" s="25"/>
    </row>
    <row r="683" spans="1:28" ht="15.75">
      <c r="A683" s="922"/>
      <c r="B683" s="922"/>
      <c r="C683" s="922"/>
      <c r="I683" s="922"/>
      <c r="J683" s="922"/>
      <c r="K683" s="922"/>
      <c r="L683" s="777">
        <v>5</v>
      </c>
      <c r="M683" s="778"/>
      <c r="N683" s="976">
        <v>0</v>
      </c>
      <c r="O683" s="1020">
        <v>626</v>
      </c>
      <c r="P683" s="858" t="e">
        <f>VLOOKUP(N683,etat!$A$9:$N$1004,2,FALSE)</f>
        <v>#N/A</v>
      </c>
      <c r="Q683" s="797" t="e">
        <f>VLOOKUP(N683,etat!$A$9:$N$963,7,FALSE)</f>
        <v>#N/A</v>
      </c>
      <c r="R683" s="928" t="e">
        <f>VLOOKUP(N683,etat!$A$9:$N$1003,9,FALSE)</f>
        <v>#N/A</v>
      </c>
      <c r="S683" s="866" t="e">
        <f>VLOOKUP(N683,etat!$A$9:$P$905,16,FALSE)</f>
        <v>#N/A</v>
      </c>
      <c r="T683" s="755"/>
      <c r="U683" s="791"/>
      <c r="V683" s="784"/>
      <c r="W683" s="784"/>
      <c r="X683" s="784"/>
      <c r="Y683" s="784"/>
      <c r="Z683" s="967" t="str">
        <f>VLOOKUP(L683,اس!$S$3:$X$31,3,FALSE)</f>
        <v>.</v>
      </c>
      <c r="AA683" s="967"/>
      <c r="AB683" s="25"/>
    </row>
    <row r="684" spans="1:28" ht="15.75">
      <c r="A684" s="922"/>
      <c r="B684" s="922"/>
      <c r="C684" s="922"/>
      <c r="I684" s="922"/>
      <c r="J684" s="922"/>
      <c r="K684" s="922"/>
      <c r="L684" s="777">
        <v>5</v>
      </c>
      <c r="M684" s="778"/>
      <c r="N684" s="976">
        <v>0</v>
      </c>
      <c r="O684" s="1020">
        <v>627</v>
      </c>
      <c r="P684" s="858" t="e">
        <f>VLOOKUP(N684,etat!$A$9:$N$1004,2,FALSE)</f>
        <v>#N/A</v>
      </c>
      <c r="Q684" s="797" t="e">
        <f>VLOOKUP(N684,etat!$A$9:$N$963,7,FALSE)</f>
        <v>#N/A</v>
      </c>
      <c r="R684" s="928" t="e">
        <f>VLOOKUP(N684,etat!$A$9:$N$1003,9,FALSE)</f>
        <v>#N/A</v>
      </c>
      <c r="S684" s="866" t="e">
        <f>VLOOKUP(N684,etat!$A$9:$P$905,16,FALSE)</f>
        <v>#N/A</v>
      </c>
      <c r="T684" s="755"/>
      <c r="U684" s="791"/>
      <c r="V684" s="784"/>
      <c r="W684" s="784"/>
      <c r="X684" s="784"/>
      <c r="Y684" s="784"/>
      <c r="Z684" s="967" t="str">
        <f>VLOOKUP(L684,اس!$S$3:$X$31,3,FALSE)</f>
        <v>.</v>
      </c>
      <c r="AA684" s="967"/>
      <c r="AB684" s="25"/>
    </row>
    <row r="685" spans="1:28" ht="15.75">
      <c r="A685" s="922"/>
      <c r="B685" s="922"/>
      <c r="C685" s="922"/>
      <c r="I685" s="922"/>
      <c r="J685" s="922"/>
      <c r="K685" s="922"/>
      <c r="L685" s="777">
        <v>5</v>
      </c>
      <c r="M685" s="778"/>
      <c r="N685" s="976">
        <v>0</v>
      </c>
      <c r="O685" s="1020">
        <v>628</v>
      </c>
      <c r="P685" s="858" t="e">
        <f>VLOOKUP(N685,etat!$A$9:$N$1004,2,FALSE)</f>
        <v>#N/A</v>
      </c>
      <c r="Q685" s="797" t="e">
        <f>VLOOKUP(N685,etat!$A$9:$N$963,7,FALSE)</f>
        <v>#N/A</v>
      </c>
      <c r="R685" s="928" t="e">
        <f>VLOOKUP(N685,etat!$A$9:$N$1003,9,FALSE)</f>
        <v>#N/A</v>
      </c>
      <c r="S685" s="866" t="e">
        <f>VLOOKUP(N685,etat!$A$9:$P$905,16,FALSE)</f>
        <v>#N/A</v>
      </c>
      <c r="T685" s="755"/>
      <c r="U685" s="791"/>
      <c r="V685" s="784"/>
      <c r="W685" s="784"/>
      <c r="X685" s="784"/>
      <c r="Y685" s="784"/>
      <c r="Z685" s="967" t="str">
        <f>VLOOKUP(L685,اس!$S$3:$X$31,3,FALSE)</f>
        <v>.</v>
      </c>
      <c r="AA685" s="967"/>
      <c r="AB685" s="25"/>
    </row>
    <row r="686" spans="1:28" ht="15.75">
      <c r="A686" s="922"/>
      <c r="B686" s="922"/>
      <c r="C686" s="922"/>
      <c r="I686" s="922"/>
      <c r="J686" s="922"/>
      <c r="K686" s="922"/>
      <c r="L686" s="777">
        <v>5</v>
      </c>
      <c r="M686" s="778"/>
      <c r="N686" s="976">
        <v>0</v>
      </c>
      <c r="O686" s="1020">
        <v>629</v>
      </c>
      <c r="P686" s="858" t="e">
        <f>VLOOKUP(N686,etat!$A$9:$N$1004,2,FALSE)</f>
        <v>#N/A</v>
      </c>
      <c r="Q686" s="797" t="e">
        <f>VLOOKUP(N686,etat!$A$9:$N$963,7,FALSE)</f>
        <v>#N/A</v>
      </c>
      <c r="R686" s="928" t="e">
        <f>VLOOKUP(N686,etat!$A$9:$N$1003,9,FALSE)</f>
        <v>#N/A</v>
      </c>
      <c r="S686" s="866" t="e">
        <f>VLOOKUP(N686,etat!$A$9:$P$905,16,FALSE)</f>
        <v>#N/A</v>
      </c>
      <c r="T686" s="755"/>
      <c r="U686" s="791"/>
      <c r="V686" s="784"/>
      <c r="W686" s="784"/>
      <c r="X686" s="784"/>
      <c r="Y686" s="784"/>
      <c r="Z686" s="967" t="str">
        <f>VLOOKUP(L686,اس!$S$3:$X$31,3,FALSE)</f>
        <v>.</v>
      </c>
      <c r="AA686" s="967"/>
    </row>
    <row r="687" spans="1:28" ht="15.75">
      <c r="A687" s="922"/>
      <c r="B687" s="922"/>
      <c r="C687" s="922"/>
      <c r="I687" s="922"/>
      <c r="J687" s="922"/>
      <c r="K687" s="922"/>
      <c r="L687" s="777">
        <v>5</v>
      </c>
      <c r="M687" s="778"/>
      <c r="N687" s="976">
        <v>0</v>
      </c>
      <c r="O687" s="1020">
        <v>630</v>
      </c>
      <c r="P687" s="858" t="e">
        <f>VLOOKUP(N687,etat!$A$9:$N$1004,2,FALSE)</f>
        <v>#N/A</v>
      </c>
      <c r="Q687" s="797" t="e">
        <f>VLOOKUP(N687,etat!$A$9:$N$963,7,FALSE)</f>
        <v>#N/A</v>
      </c>
      <c r="R687" s="928" t="e">
        <f>VLOOKUP(N687,etat!$A$9:$N$1003,9,FALSE)</f>
        <v>#N/A</v>
      </c>
      <c r="S687" s="866" t="e">
        <f>VLOOKUP(N687,etat!$A$9:$P$905,16,FALSE)</f>
        <v>#N/A</v>
      </c>
      <c r="T687" s="755"/>
      <c r="U687" s="791"/>
      <c r="V687" s="784"/>
      <c r="W687" s="784"/>
      <c r="X687" s="784"/>
      <c r="Y687" s="784"/>
      <c r="Z687" s="967" t="str">
        <f>VLOOKUP(L687,اس!$S$3:$X$31,3,FALSE)</f>
        <v>.</v>
      </c>
      <c r="AA687" s="967"/>
    </row>
    <row r="688" spans="1:28" ht="15.75">
      <c r="A688" s="922"/>
      <c r="B688" s="922"/>
      <c r="C688" s="922"/>
      <c r="I688" s="922"/>
      <c r="J688" s="922"/>
      <c r="K688" s="922"/>
      <c r="L688" s="777">
        <v>5</v>
      </c>
      <c r="M688" s="778"/>
      <c r="N688" s="976">
        <v>0</v>
      </c>
      <c r="O688" s="1020">
        <v>631</v>
      </c>
      <c r="P688" s="858" t="e">
        <f>VLOOKUP(N688,etat!$A$9:$N$1004,2,FALSE)</f>
        <v>#N/A</v>
      </c>
      <c r="Q688" s="797" t="e">
        <f>VLOOKUP(N688,etat!$A$9:$N$963,7,FALSE)</f>
        <v>#N/A</v>
      </c>
      <c r="R688" s="928" t="e">
        <f>VLOOKUP(N688,etat!$A$9:$N$1003,9,FALSE)</f>
        <v>#N/A</v>
      </c>
      <c r="S688" s="866" t="e">
        <f>VLOOKUP(N688,etat!$A$9:$P$905,16,FALSE)</f>
        <v>#N/A</v>
      </c>
      <c r="T688" s="755"/>
      <c r="U688" s="791"/>
      <c r="V688" s="784"/>
      <c r="W688" s="784"/>
      <c r="X688" s="784"/>
      <c r="Y688" s="784"/>
      <c r="Z688" s="967" t="str">
        <f>VLOOKUP(L688,اس!$S$3:$X$31,3,FALSE)</f>
        <v>.</v>
      </c>
      <c r="AA688" s="967"/>
    </row>
    <row r="689" spans="1:27" ht="15.75">
      <c r="A689" s="922"/>
      <c r="B689" s="922"/>
      <c r="C689" s="922"/>
      <c r="I689" s="922"/>
      <c r="J689" s="922"/>
      <c r="K689" s="922"/>
      <c r="L689" s="777">
        <v>5</v>
      </c>
      <c r="M689" s="778"/>
      <c r="N689" s="976">
        <v>0</v>
      </c>
      <c r="O689" s="1020">
        <v>632</v>
      </c>
      <c r="P689" s="858" t="e">
        <f>VLOOKUP(N689,etat!$A$9:$N$1004,2,FALSE)</f>
        <v>#N/A</v>
      </c>
      <c r="Q689" s="797" t="e">
        <f>VLOOKUP(N689,etat!$A$9:$N$963,7,FALSE)</f>
        <v>#N/A</v>
      </c>
      <c r="R689" s="928" t="e">
        <f>VLOOKUP(N689,etat!$A$9:$N$1003,9,FALSE)</f>
        <v>#N/A</v>
      </c>
      <c r="S689" s="866" t="e">
        <f>VLOOKUP(N689,etat!$A$9:$P$905,16,FALSE)</f>
        <v>#N/A</v>
      </c>
      <c r="T689" s="755"/>
      <c r="U689" s="791"/>
      <c r="V689" s="784"/>
      <c r="W689" s="784"/>
      <c r="X689" s="784"/>
      <c r="Y689" s="784"/>
      <c r="Z689" s="967" t="str">
        <f>VLOOKUP(L689,اس!$S$3:$X$31,3,FALSE)</f>
        <v>.</v>
      </c>
      <c r="AA689" s="967"/>
    </row>
    <row r="690" spans="1:27" ht="15.75">
      <c r="A690" s="922"/>
      <c r="B690" s="922"/>
      <c r="C690" s="922"/>
      <c r="I690" s="922"/>
      <c r="J690" s="922"/>
      <c r="K690" s="922"/>
      <c r="L690" s="777">
        <v>5</v>
      </c>
      <c r="M690" s="778"/>
      <c r="N690" s="976">
        <v>0</v>
      </c>
      <c r="O690" s="1020">
        <v>633</v>
      </c>
      <c r="P690" s="847" t="e">
        <f>VLOOKUP(N690,etat!$A$9:$N$1004,2,FALSE)</f>
        <v>#N/A</v>
      </c>
      <c r="Q690" s="797" t="e">
        <f>VLOOKUP(N690,etat!$A$9:$N$963,7,FALSE)</f>
        <v>#N/A</v>
      </c>
      <c r="R690" s="928" t="e">
        <f>VLOOKUP(N690,etat!$A$9:$N$1003,9,FALSE)</f>
        <v>#N/A</v>
      </c>
      <c r="S690" s="866" t="e">
        <f>VLOOKUP(N690,etat!$A$9:$P$905,16,FALSE)</f>
        <v>#N/A</v>
      </c>
      <c r="T690" s="755"/>
      <c r="U690" s="791"/>
      <c r="V690" s="784"/>
      <c r="W690" s="784"/>
      <c r="X690" s="755"/>
      <c r="Y690" s="784"/>
      <c r="Z690" s="967" t="str">
        <f>VLOOKUP(L690,اس!$S$3:$X$31,3,FALSE)</f>
        <v>.</v>
      </c>
      <c r="AA690" s="967"/>
    </row>
    <row r="691" spans="1:27" ht="15.75">
      <c r="A691" s="922"/>
      <c r="B691" s="922"/>
      <c r="C691" s="922"/>
      <c r="I691" s="922"/>
      <c r="J691" s="922"/>
      <c r="K691" s="922"/>
      <c r="L691" s="777">
        <v>5</v>
      </c>
      <c r="M691" s="778"/>
      <c r="N691" s="976">
        <v>0</v>
      </c>
      <c r="O691" s="1020">
        <v>634</v>
      </c>
      <c r="P691" s="847" t="e">
        <f>VLOOKUP(N691,etat!$A$9:$N$1004,2,FALSE)</f>
        <v>#N/A</v>
      </c>
      <c r="Q691" s="797" t="e">
        <f>VLOOKUP(N691,etat!$A$9:$N$963,7,FALSE)</f>
        <v>#N/A</v>
      </c>
      <c r="R691" s="928" t="e">
        <f>VLOOKUP(N691,etat!$A$9:$N$1003,9,FALSE)</f>
        <v>#N/A</v>
      </c>
      <c r="S691" s="866" t="e">
        <f>VLOOKUP(N691,etat!$A$9:$P$905,16,FALSE)</f>
        <v>#N/A</v>
      </c>
      <c r="T691" s="755"/>
      <c r="U691" s="791"/>
      <c r="V691" s="784"/>
      <c r="W691" s="784"/>
      <c r="X691" s="755"/>
      <c r="Y691" s="784"/>
      <c r="Z691" s="967" t="str">
        <f>VLOOKUP(L691,اس!$S$3:$X$31,3,FALSE)</f>
        <v>.</v>
      </c>
      <c r="AA691" s="967"/>
    </row>
    <row r="692" spans="1:27" ht="15.75">
      <c r="A692" s="922"/>
      <c r="B692" s="922"/>
      <c r="C692" s="922"/>
      <c r="I692" s="922"/>
      <c r="J692" s="922"/>
      <c r="K692" s="922"/>
      <c r="L692" s="777">
        <v>5</v>
      </c>
      <c r="M692" s="778"/>
      <c r="N692" s="976">
        <v>0</v>
      </c>
      <c r="O692" s="1020">
        <v>635</v>
      </c>
      <c r="P692" s="847" t="e">
        <f>VLOOKUP(N692,etat!$A$9:$N$1004,2,FALSE)</f>
        <v>#N/A</v>
      </c>
      <c r="Q692" s="797" t="e">
        <f>VLOOKUP(N692,etat!$A$9:$N$963,7,FALSE)</f>
        <v>#N/A</v>
      </c>
      <c r="R692" s="928" t="e">
        <f>VLOOKUP(N692,etat!$A$9:$N$1003,9,FALSE)</f>
        <v>#N/A</v>
      </c>
      <c r="S692" s="866" t="e">
        <f>VLOOKUP(N692,etat!$A$9:$P$905,16,FALSE)</f>
        <v>#N/A</v>
      </c>
      <c r="T692" s="755"/>
      <c r="U692" s="791"/>
      <c r="V692" s="784"/>
      <c r="W692" s="784"/>
      <c r="X692" s="755"/>
      <c r="Y692" s="784"/>
      <c r="Z692" s="967" t="str">
        <f>VLOOKUP(L692,اس!$S$3:$X$31,3,FALSE)</f>
        <v>.</v>
      </c>
      <c r="AA692" s="967"/>
    </row>
    <row r="693" spans="1:27" ht="15.75">
      <c r="A693" s="922"/>
      <c r="B693" s="922"/>
      <c r="C693" s="922"/>
      <c r="I693" s="922"/>
      <c r="J693" s="922"/>
      <c r="K693" s="922"/>
      <c r="L693" s="777">
        <v>5</v>
      </c>
      <c r="M693" s="778"/>
      <c r="N693" s="976">
        <v>0</v>
      </c>
      <c r="O693" s="1020">
        <v>636</v>
      </c>
      <c r="P693" s="847" t="e">
        <f>VLOOKUP(N693,etat!$A$9:$N$1004,2,FALSE)</f>
        <v>#N/A</v>
      </c>
      <c r="Q693" s="797" t="e">
        <f>VLOOKUP(N693,etat!$A$9:$N$963,7,FALSE)</f>
        <v>#N/A</v>
      </c>
      <c r="R693" s="928" t="e">
        <f>VLOOKUP(N693,etat!$A$9:$N$1003,9,FALSE)</f>
        <v>#N/A</v>
      </c>
      <c r="S693" s="866" t="e">
        <f>VLOOKUP(N693,etat!$A$9:$P$905,16,FALSE)</f>
        <v>#N/A</v>
      </c>
      <c r="T693" s="755"/>
      <c r="U693" s="791"/>
      <c r="V693" s="784"/>
      <c r="W693" s="784"/>
      <c r="X693" s="755"/>
      <c r="Y693" s="784"/>
      <c r="Z693" s="967" t="str">
        <f>VLOOKUP(L693,اس!$S$3:$X$31,3,FALSE)</f>
        <v>.</v>
      </c>
      <c r="AA693" s="967"/>
    </row>
    <row r="694" spans="1:27" ht="15.75">
      <c r="A694" s="922"/>
      <c r="B694" s="922"/>
      <c r="C694" s="922"/>
      <c r="I694" s="922"/>
      <c r="J694" s="922"/>
      <c r="K694" s="922"/>
      <c r="L694" s="777">
        <v>5</v>
      </c>
      <c r="M694" s="778"/>
      <c r="N694" s="976">
        <v>0</v>
      </c>
      <c r="O694" s="1020">
        <v>637</v>
      </c>
      <c r="P694" s="847" t="e">
        <f>VLOOKUP(N694,etat!$A$9:$N$1004,2,FALSE)</f>
        <v>#N/A</v>
      </c>
      <c r="Q694" s="797" t="e">
        <f>VLOOKUP(N694,etat!$A$9:$N$963,7,FALSE)</f>
        <v>#N/A</v>
      </c>
      <c r="R694" s="928" t="e">
        <f>VLOOKUP(N694,etat!$A$9:$N$1003,9,FALSE)</f>
        <v>#N/A</v>
      </c>
      <c r="S694" s="866" t="e">
        <f>VLOOKUP(N694,etat!$A$9:$P$905,16,FALSE)</f>
        <v>#N/A</v>
      </c>
      <c r="T694" s="755"/>
      <c r="U694" s="791"/>
      <c r="V694" s="784"/>
      <c r="W694" s="784"/>
      <c r="X694" s="755"/>
      <c r="Y694" s="784"/>
      <c r="Z694" s="967" t="str">
        <f>VLOOKUP(L694,اس!$S$3:$X$31,3,FALSE)</f>
        <v>.</v>
      </c>
      <c r="AA694" s="967"/>
    </row>
    <row r="695" spans="1:27" ht="15.75">
      <c r="A695" s="922"/>
      <c r="B695" s="922"/>
      <c r="C695" s="922"/>
      <c r="I695" s="922"/>
      <c r="J695" s="922"/>
      <c r="K695" s="922"/>
      <c r="L695" s="777">
        <v>5</v>
      </c>
      <c r="M695" s="778"/>
      <c r="N695" s="976">
        <v>0</v>
      </c>
      <c r="O695" s="1020">
        <v>638</v>
      </c>
      <c r="P695" s="847" t="e">
        <f>VLOOKUP(N695,etat!$A$9:$N$1004,2,FALSE)</f>
        <v>#N/A</v>
      </c>
      <c r="Q695" s="797" t="e">
        <f>VLOOKUP(N695,etat!$A$9:$N$963,7,FALSE)</f>
        <v>#N/A</v>
      </c>
      <c r="R695" s="928" t="e">
        <f>VLOOKUP(N695,etat!$A$9:$N$1003,9,FALSE)</f>
        <v>#N/A</v>
      </c>
      <c r="S695" s="866" t="e">
        <f>VLOOKUP(N695,etat!$A$9:$P$905,16,FALSE)</f>
        <v>#N/A</v>
      </c>
      <c r="T695" s="755"/>
      <c r="U695" s="791"/>
      <c r="V695" s="784"/>
      <c r="W695" s="784"/>
      <c r="X695" s="755"/>
      <c r="Y695" s="784"/>
      <c r="Z695" s="967" t="str">
        <f>VLOOKUP(L695,اس!$S$3:$X$31,3,FALSE)</f>
        <v>.</v>
      </c>
      <c r="AA695" s="967"/>
    </row>
    <row r="696" spans="1:27" ht="15.75">
      <c r="A696" s="922"/>
      <c r="B696" s="922"/>
      <c r="C696" s="922"/>
      <c r="I696" s="922"/>
      <c r="J696" s="922"/>
      <c r="K696" s="922"/>
      <c r="L696" s="777">
        <v>5</v>
      </c>
      <c r="M696" s="778"/>
      <c r="N696" s="976">
        <v>0</v>
      </c>
      <c r="O696" s="1020">
        <v>639</v>
      </c>
      <c r="P696" s="847" t="e">
        <f>VLOOKUP(N696,etat!$A$9:$N$1004,2,FALSE)</f>
        <v>#N/A</v>
      </c>
      <c r="Q696" s="797" t="e">
        <f>VLOOKUP(N696,etat!$A$9:$N$963,7,FALSE)</f>
        <v>#N/A</v>
      </c>
      <c r="R696" s="928" t="e">
        <f>VLOOKUP(N696,etat!$A$9:$N$1003,9,FALSE)</f>
        <v>#N/A</v>
      </c>
      <c r="S696" s="866" t="e">
        <f>VLOOKUP(N696,etat!$A$9:$P$905,16,FALSE)</f>
        <v>#N/A</v>
      </c>
      <c r="T696" s="755"/>
      <c r="U696" s="791"/>
      <c r="V696" s="784"/>
      <c r="W696" s="784"/>
      <c r="X696" s="755"/>
      <c r="Y696" s="784"/>
      <c r="Z696" s="967" t="str">
        <f>VLOOKUP(L696,اس!$S$3:$X$31,3,FALSE)</f>
        <v>.</v>
      </c>
      <c r="AA696" s="967"/>
    </row>
    <row r="697" spans="1:27" ht="15.75">
      <c r="A697" s="922"/>
      <c r="B697" s="922"/>
      <c r="C697" s="922"/>
      <c r="I697" s="922"/>
      <c r="J697" s="922"/>
      <c r="K697" s="922"/>
      <c r="L697" s="777">
        <v>5</v>
      </c>
      <c r="M697" s="778"/>
      <c r="N697" s="976">
        <v>0</v>
      </c>
      <c r="O697" s="1020">
        <v>640</v>
      </c>
      <c r="P697" s="847" t="e">
        <f>VLOOKUP(N697,etat!$A$9:$N$1004,2,FALSE)</f>
        <v>#N/A</v>
      </c>
      <c r="Q697" s="797" t="e">
        <f>VLOOKUP(N697,etat!$A$9:$N$963,7,FALSE)</f>
        <v>#N/A</v>
      </c>
      <c r="R697" s="928" t="e">
        <f>VLOOKUP(N697,etat!$A$9:$N$1003,9,FALSE)</f>
        <v>#N/A</v>
      </c>
      <c r="S697" s="866" t="e">
        <f>VLOOKUP(N697,etat!$A$9:$P$905,16,FALSE)</f>
        <v>#N/A</v>
      </c>
      <c r="T697" s="755"/>
      <c r="U697" s="791"/>
      <c r="V697" s="784"/>
      <c r="W697" s="784"/>
      <c r="X697" s="755"/>
      <c r="Y697" s="784"/>
      <c r="Z697" s="967" t="str">
        <f>VLOOKUP(L697,اس!$S$3:$X$31,3,FALSE)</f>
        <v>.</v>
      </c>
      <c r="AA697" s="967"/>
    </row>
    <row r="698" spans="1:27" ht="15.75">
      <c r="A698" s="922"/>
      <c r="B698" s="922"/>
      <c r="C698" s="922"/>
      <c r="I698" s="922"/>
      <c r="J698" s="922"/>
      <c r="K698" s="922"/>
      <c r="L698" s="777">
        <v>5</v>
      </c>
      <c r="M698" s="778"/>
      <c r="N698" s="976">
        <v>0</v>
      </c>
      <c r="O698" s="1020">
        <v>641</v>
      </c>
      <c r="P698" s="847" t="e">
        <f>VLOOKUP(N698,etat!$A$9:$N$1004,2,FALSE)</f>
        <v>#N/A</v>
      </c>
      <c r="Q698" s="797" t="e">
        <f>VLOOKUP(N698,etat!$A$9:$N$963,7,FALSE)</f>
        <v>#N/A</v>
      </c>
      <c r="R698" s="928" t="e">
        <f>VLOOKUP(N698,etat!$A$9:$N$1003,9,FALSE)</f>
        <v>#N/A</v>
      </c>
      <c r="S698" s="866" t="e">
        <f>VLOOKUP(N698,etat!$A$9:$P$905,16,FALSE)</f>
        <v>#N/A</v>
      </c>
      <c r="T698" s="755"/>
      <c r="U698" s="791"/>
      <c r="V698" s="784"/>
      <c r="W698" s="784"/>
      <c r="X698" s="755"/>
      <c r="Y698" s="784"/>
      <c r="Z698" s="967" t="str">
        <f>VLOOKUP(L698,اس!$S$3:$X$31,3,FALSE)</f>
        <v>.</v>
      </c>
      <c r="AA698" s="967"/>
    </row>
    <row r="699" spans="1:27" ht="15.75">
      <c r="A699" s="922"/>
      <c r="B699" s="922"/>
      <c r="C699" s="922"/>
      <c r="I699" s="922"/>
      <c r="J699" s="922"/>
      <c r="K699" s="922"/>
      <c r="L699" s="777">
        <v>5</v>
      </c>
      <c r="M699" s="778"/>
      <c r="N699" s="976">
        <v>0</v>
      </c>
      <c r="O699" s="1020">
        <v>642</v>
      </c>
      <c r="P699" s="847" t="e">
        <f>VLOOKUP(N699,etat!$A$9:$N$1004,2,FALSE)</f>
        <v>#N/A</v>
      </c>
      <c r="Q699" s="797" t="e">
        <f>VLOOKUP(N699,etat!$A$9:$N$963,7,FALSE)</f>
        <v>#N/A</v>
      </c>
      <c r="R699" s="928" t="e">
        <f>VLOOKUP(N699,etat!$A$9:$N$1003,9,FALSE)</f>
        <v>#N/A</v>
      </c>
      <c r="S699" s="866" t="e">
        <f>VLOOKUP(N699,etat!$A$9:$P$905,16,FALSE)</f>
        <v>#N/A</v>
      </c>
      <c r="T699" s="755"/>
      <c r="U699" s="791"/>
      <c r="V699" s="784"/>
      <c r="W699" s="784"/>
      <c r="X699" s="755"/>
      <c r="Y699" s="784"/>
      <c r="Z699" s="967" t="str">
        <f>VLOOKUP(L699,اس!$S$3:$X$31,3,FALSE)</f>
        <v>.</v>
      </c>
      <c r="AA699" s="967"/>
    </row>
    <row r="700" spans="1:27" ht="15.75">
      <c r="A700" s="922"/>
      <c r="B700" s="922"/>
      <c r="C700" s="922"/>
      <c r="I700" s="922"/>
      <c r="J700" s="922"/>
      <c r="K700" s="922"/>
      <c r="L700" s="777">
        <v>5</v>
      </c>
      <c r="M700" s="778"/>
      <c r="N700" s="976">
        <v>0</v>
      </c>
      <c r="O700" s="1020">
        <v>643</v>
      </c>
      <c r="P700" s="847" t="e">
        <f>VLOOKUP(N700,etat!$A$9:$N$1004,2,FALSE)</f>
        <v>#N/A</v>
      </c>
      <c r="Q700" s="797" t="e">
        <f>VLOOKUP(N700,etat!$A$9:$N$963,7,FALSE)</f>
        <v>#N/A</v>
      </c>
      <c r="R700" s="928" t="e">
        <f>VLOOKUP(N700,etat!$A$9:$N$1003,9,FALSE)</f>
        <v>#N/A</v>
      </c>
      <c r="S700" s="866" t="e">
        <f>VLOOKUP(N700,etat!$A$9:$P$905,16,FALSE)</f>
        <v>#N/A</v>
      </c>
      <c r="T700" s="755"/>
      <c r="U700" s="791"/>
      <c r="V700" s="784"/>
      <c r="W700" s="784"/>
      <c r="X700" s="755"/>
      <c r="Y700" s="784"/>
      <c r="Z700" s="967" t="str">
        <f>VLOOKUP(L700,اس!$S$3:$X$31,3,FALSE)</f>
        <v>.</v>
      </c>
      <c r="AA700" s="967"/>
    </row>
    <row r="701" spans="1:27" ht="15.75">
      <c r="A701" s="922"/>
      <c r="B701" s="922"/>
      <c r="C701" s="922"/>
      <c r="I701" s="922"/>
      <c r="J701" s="922"/>
      <c r="K701" s="922"/>
      <c r="L701" s="777">
        <v>5</v>
      </c>
      <c r="M701" s="778"/>
      <c r="N701" s="976">
        <v>0</v>
      </c>
      <c r="O701" s="1020">
        <v>644</v>
      </c>
      <c r="P701" s="847" t="e">
        <f>VLOOKUP(N701,etat!$A$9:$N$1004,2,FALSE)</f>
        <v>#N/A</v>
      </c>
      <c r="Q701" s="797" t="e">
        <f>VLOOKUP(N701,etat!$A$9:$N$963,7,FALSE)</f>
        <v>#N/A</v>
      </c>
      <c r="R701" s="928" t="e">
        <f>VLOOKUP(N701,etat!$A$9:$N$1003,9,FALSE)</f>
        <v>#N/A</v>
      </c>
      <c r="S701" s="866" t="e">
        <f>VLOOKUP(N701,etat!$A$9:$P$905,16,FALSE)</f>
        <v>#N/A</v>
      </c>
      <c r="T701" s="755"/>
      <c r="U701" s="791"/>
      <c r="V701" s="784"/>
      <c r="W701" s="784"/>
      <c r="X701" s="755"/>
      <c r="Y701" s="784"/>
      <c r="Z701" s="967" t="str">
        <f>VLOOKUP(L701,اس!$S$3:$X$31,3,FALSE)</f>
        <v>.</v>
      </c>
      <c r="AA701" s="967"/>
    </row>
    <row r="702" spans="1:27" ht="15.75">
      <c r="A702" s="922"/>
      <c r="B702" s="922"/>
      <c r="C702" s="922"/>
      <c r="I702" s="922"/>
      <c r="J702" s="922"/>
      <c r="K702" s="922"/>
      <c r="L702" s="777">
        <v>5</v>
      </c>
      <c r="M702" s="778"/>
      <c r="N702" s="976">
        <v>0</v>
      </c>
      <c r="O702" s="1020">
        <v>645</v>
      </c>
      <c r="P702" s="847" t="e">
        <f>VLOOKUP(N702,etat!$A$9:$N$1004,2,FALSE)</f>
        <v>#N/A</v>
      </c>
      <c r="Q702" s="797" t="e">
        <f>VLOOKUP(N702,etat!$A$9:$N$963,7,FALSE)</f>
        <v>#N/A</v>
      </c>
      <c r="R702" s="928" t="e">
        <f>VLOOKUP(N702,etat!$A$9:$N$1003,9,FALSE)</f>
        <v>#N/A</v>
      </c>
      <c r="S702" s="866" t="e">
        <f>VLOOKUP(N702,etat!$A$9:$P$905,16,FALSE)</f>
        <v>#N/A</v>
      </c>
      <c r="T702" s="755"/>
      <c r="U702" s="791"/>
      <c r="V702" s="784"/>
      <c r="W702" s="784"/>
      <c r="X702" s="755"/>
      <c r="Y702" s="784"/>
      <c r="Z702" s="967" t="str">
        <f>VLOOKUP(L702,اس!$S$3:$X$31,3,FALSE)</f>
        <v>.</v>
      </c>
      <c r="AA702" s="967"/>
    </row>
    <row r="703" spans="1:27" ht="15.75">
      <c r="A703" s="922"/>
      <c r="B703" s="922"/>
      <c r="C703" s="922"/>
      <c r="I703" s="922"/>
      <c r="J703" s="922"/>
      <c r="K703" s="922"/>
      <c r="L703" s="777">
        <v>5</v>
      </c>
      <c r="M703" s="778"/>
      <c r="N703" s="976">
        <v>0</v>
      </c>
      <c r="O703" s="1020">
        <v>646</v>
      </c>
      <c r="P703" s="847" t="e">
        <f>VLOOKUP(N703,etat!$A$9:$N$1004,2,FALSE)</f>
        <v>#N/A</v>
      </c>
      <c r="Q703" s="797" t="e">
        <f>VLOOKUP(N703,etat!$A$9:$N$963,7,FALSE)</f>
        <v>#N/A</v>
      </c>
      <c r="R703" s="928" t="e">
        <f>VLOOKUP(N703,etat!$A$9:$N$1003,9,FALSE)</f>
        <v>#N/A</v>
      </c>
      <c r="S703" s="866" t="e">
        <f>VLOOKUP(N703,etat!$A$9:$P$905,16,FALSE)</f>
        <v>#N/A</v>
      </c>
      <c r="T703" s="755"/>
      <c r="U703" s="791"/>
      <c r="V703" s="784"/>
      <c r="W703" s="784"/>
      <c r="X703" s="755"/>
      <c r="Y703" s="784"/>
      <c r="Z703" s="967" t="str">
        <f>VLOOKUP(L703,اس!$S$3:$X$31,3,FALSE)</f>
        <v>.</v>
      </c>
      <c r="AA703" s="967"/>
    </row>
    <row r="704" spans="1:27" ht="15.75">
      <c r="A704" s="922"/>
      <c r="B704" s="922"/>
      <c r="C704" s="922"/>
      <c r="I704" s="922"/>
      <c r="J704" s="922"/>
      <c r="K704" s="922"/>
      <c r="L704" s="777">
        <v>5</v>
      </c>
      <c r="M704" s="778"/>
      <c r="N704" s="976">
        <v>0</v>
      </c>
      <c r="O704" s="1020">
        <v>647</v>
      </c>
      <c r="P704" s="847" t="e">
        <f>VLOOKUP(N704,etat!$A$9:$N$1004,2,FALSE)</f>
        <v>#N/A</v>
      </c>
      <c r="Q704" s="797" t="e">
        <f>VLOOKUP(N704,etat!$A$9:$N$963,7,FALSE)</f>
        <v>#N/A</v>
      </c>
      <c r="R704" s="928" t="e">
        <f>VLOOKUP(N704,etat!$A$9:$N$1003,9,FALSE)</f>
        <v>#N/A</v>
      </c>
      <c r="S704" s="866" t="e">
        <f>VLOOKUP(N704,etat!$A$9:$P$905,16,FALSE)</f>
        <v>#N/A</v>
      </c>
      <c r="T704" s="755"/>
      <c r="U704" s="791"/>
      <c r="V704" s="784"/>
      <c r="W704" s="784"/>
      <c r="X704" s="755"/>
      <c r="Y704" s="784"/>
      <c r="Z704" s="967" t="str">
        <f>VLOOKUP(L704,اس!$S$3:$X$31,3,FALSE)</f>
        <v>.</v>
      </c>
      <c r="AA704" s="967"/>
    </row>
    <row r="705" spans="1:27" ht="15.75">
      <c r="A705" s="922"/>
      <c r="B705" s="922"/>
      <c r="C705" s="922"/>
      <c r="I705" s="922"/>
      <c r="J705" s="922"/>
      <c r="K705" s="922"/>
      <c r="L705" s="777">
        <v>5</v>
      </c>
      <c r="M705" s="778"/>
      <c r="N705" s="976">
        <v>0</v>
      </c>
      <c r="O705" s="1020">
        <v>648</v>
      </c>
      <c r="P705" s="847" t="e">
        <f>VLOOKUP(N705,etat!$A$9:$N$1004,2,FALSE)</f>
        <v>#N/A</v>
      </c>
      <c r="Q705" s="797" t="e">
        <f>VLOOKUP(N705,etat!$A$9:$N$963,7,FALSE)</f>
        <v>#N/A</v>
      </c>
      <c r="R705" s="928" t="e">
        <f>VLOOKUP(N705,etat!$A$9:$N$1003,9,FALSE)</f>
        <v>#N/A</v>
      </c>
      <c r="S705" s="866" t="e">
        <f>VLOOKUP(N705,etat!$A$9:$P$905,16,FALSE)</f>
        <v>#N/A</v>
      </c>
      <c r="T705" s="755"/>
      <c r="U705" s="791"/>
      <c r="V705" s="784"/>
      <c r="W705" s="784"/>
      <c r="X705" s="755"/>
      <c r="Y705" s="784"/>
      <c r="Z705" s="967" t="str">
        <f>VLOOKUP(L705,اس!$S$3:$X$31,3,FALSE)</f>
        <v>.</v>
      </c>
      <c r="AA705" s="967"/>
    </row>
    <row r="706" spans="1:27" ht="15.75">
      <c r="A706" s="922"/>
      <c r="B706" s="922"/>
      <c r="C706" s="922"/>
      <c r="I706" s="922"/>
      <c r="J706" s="922"/>
      <c r="K706" s="922"/>
      <c r="L706" s="777">
        <v>5</v>
      </c>
      <c r="M706" s="778"/>
      <c r="N706" s="976">
        <v>0</v>
      </c>
      <c r="O706" s="1020">
        <v>649</v>
      </c>
      <c r="P706" s="847" t="e">
        <f>VLOOKUP(N706,etat!$A$9:$N$1004,2,FALSE)</f>
        <v>#N/A</v>
      </c>
      <c r="Q706" s="797" t="e">
        <f>VLOOKUP(N706,etat!$A$9:$N$963,7,FALSE)</f>
        <v>#N/A</v>
      </c>
      <c r="R706" s="928" t="e">
        <f>VLOOKUP(N706,etat!$A$9:$N$1003,9,FALSE)</f>
        <v>#N/A</v>
      </c>
      <c r="S706" s="866" t="e">
        <f>VLOOKUP(N706,etat!$A$9:$P$905,16,FALSE)</f>
        <v>#N/A</v>
      </c>
      <c r="T706" s="755"/>
      <c r="U706" s="791"/>
      <c r="V706" s="784"/>
      <c r="W706" s="784"/>
      <c r="X706" s="755"/>
      <c r="Y706" s="784"/>
      <c r="Z706" s="967" t="str">
        <f>VLOOKUP(L706,اس!$S$3:$X$31,3,FALSE)</f>
        <v>.</v>
      </c>
      <c r="AA706" s="967"/>
    </row>
    <row r="707" spans="1:27" ht="15.75">
      <c r="A707" s="922"/>
      <c r="B707" s="922"/>
      <c r="C707" s="922"/>
      <c r="I707" s="922"/>
      <c r="J707" s="922"/>
      <c r="K707" s="922"/>
      <c r="L707" s="777">
        <v>5</v>
      </c>
      <c r="M707" s="778"/>
      <c r="N707" s="976">
        <v>0</v>
      </c>
      <c r="O707" s="1020">
        <v>650</v>
      </c>
      <c r="P707" s="847" t="e">
        <f>VLOOKUP(N707,etat!$A$9:$N$1004,2,FALSE)</f>
        <v>#N/A</v>
      </c>
      <c r="Q707" s="797" t="e">
        <f>VLOOKUP(N707,etat!$A$9:$N$963,7,FALSE)</f>
        <v>#N/A</v>
      </c>
      <c r="R707" s="928" t="e">
        <f>VLOOKUP(N707,etat!$A$9:$N$1003,9,FALSE)</f>
        <v>#N/A</v>
      </c>
      <c r="S707" s="866" t="e">
        <f>VLOOKUP(N707,etat!$A$9:$P$905,16,FALSE)</f>
        <v>#N/A</v>
      </c>
      <c r="T707" s="755"/>
      <c r="U707" s="791"/>
      <c r="V707" s="784"/>
      <c r="W707" s="784"/>
      <c r="X707" s="755"/>
      <c r="Y707" s="784"/>
      <c r="Z707" s="967" t="str">
        <f>VLOOKUP(L707,اس!$S$3:$X$31,3,FALSE)</f>
        <v>.</v>
      </c>
      <c r="AA707" s="967"/>
    </row>
    <row r="708" spans="1:27" ht="15.75">
      <c r="A708" s="922"/>
      <c r="B708" s="922"/>
      <c r="C708" s="922"/>
      <c r="I708" s="922"/>
      <c r="J708" s="922"/>
      <c r="K708" s="922"/>
      <c r="L708" s="777">
        <v>5</v>
      </c>
      <c r="M708" s="778"/>
      <c r="N708" s="976">
        <v>0</v>
      </c>
      <c r="O708" s="1020">
        <v>651</v>
      </c>
      <c r="P708" s="847" t="e">
        <f>VLOOKUP(N708,etat!$A$9:$N$1004,2,FALSE)</f>
        <v>#N/A</v>
      </c>
      <c r="Q708" s="797" t="e">
        <f>VLOOKUP(N708,etat!$A$9:$N$963,7,FALSE)</f>
        <v>#N/A</v>
      </c>
      <c r="R708" s="928" t="e">
        <f>VLOOKUP(N708,etat!$A$9:$N$1003,9,FALSE)</f>
        <v>#N/A</v>
      </c>
      <c r="S708" s="866" t="e">
        <f>VLOOKUP(N708,etat!$A$9:$P$905,16,FALSE)</f>
        <v>#N/A</v>
      </c>
      <c r="T708" s="755"/>
      <c r="U708" s="791"/>
      <c r="V708" s="784"/>
      <c r="W708" s="784"/>
      <c r="X708" s="755"/>
      <c r="Y708" s="784"/>
      <c r="Z708" s="967" t="str">
        <f>VLOOKUP(L708,اس!$S$3:$X$31,3,FALSE)</f>
        <v>.</v>
      </c>
      <c r="AA708" s="967"/>
    </row>
    <row r="709" spans="1:27" ht="15.75">
      <c r="A709" s="922"/>
      <c r="B709" s="922"/>
      <c r="C709" s="922"/>
      <c r="I709" s="922"/>
      <c r="J709" s="922"/>
      <c r="K709" s="922"/>
      <c r="L709" s="777">
        <v>5</v>
      </c>
      <c r="M709" s="778"/>
      <c r="N709" s="976">
        <v>0</v>
      </c>
      <c r="O709" s="1020">
        <v>652</v>
      </c>
      <c r="P709" s="847" t="e">
        <f>VLOOKUP(N709,etat!$A$9:$N$1004,2,FALSE)</f>
        <v>#N/A</v>
      </c>
      <c r="Q709" s="797" t="e">
        <f>VLOOKUP(N709,etat!$A$9:$N$963,7,FALSE)</f>
        <v>#N/A</v>
      </c>
      <c r="R709" s="928" t="e">
        <f>VLOOKUP(N709,etat!$A$9:$N$1003,9,FALSE)</f>
        <v>#N/A</v>
      </c>
      <c r="S709" s="866" t="e">
        <f>VLOOKUP(N709,etat!$A$9:$P$905,16,FALSE)</f>
        <v>#N/A</v>
      </c>
      <c r="T709" s="755"/>
      <c r="U709" s="791"/>
      <c r="V709" s="784"/>
      <c r="W709" s="784"/>
      <c r="X709" s="755"/>
      <c r="Y709" s="784"/>
      <c r="Z709" s="967" t="str">
        <f>VLOOKUP(L709,اس!$S$3:$X$31,3,FALSE)</f>
        <v>.</v>
      </c>
      <c r="AA709" s="967"/>
    </row>
    <row r="710" spans="1:27" ht="15.75">
      <c r="A710" s="922"/>
      <c r="B710" s="922"/>
      <c r="C710" s="922"/>
      <c r="I710" s="922"/>
      <c r="J710" s="922"/>
      <c r="K710" s="922"/>
      <c r="L710" s="777">
        <v>5</v>
      </c>
      <c r="M710" s="778"/>
      <c r="N710" s="976">
        <v>0</v>
      </c>
      <c r="O710" s="1020">
        <v>653</v>
      </c>
      <c r="P710" s="847" t="e">
        <f>VLOOKUP(N710,etat!$A$9:$N$1004,2,FALSE)</f>
        <v>#N/A</v>
      </c>
      <c r="Q710" s="797" t="e">
        <f>VLOOKUP(N710,etat!$A$9:$N$963,7,FALSE)</f>
        <v>#N/A</v>
      </c>
      <c r="R710" s="928" t="e">
        <f>VLOOKUP(N710,etat!$A$9:$N$1003,9,FALSE)</f>
        <v>#N/A</v>
      </c>
      <c r="S710" s="866" t="e">
        <f>VLOOKUP(N710,etat!$A$9:$P$905,16,FALSE)</f>
        <v>#N/A</v>
      </c>
      <c r="T710" s="755"/>
      <c r="U710" s="791"/>
      <c r="V710" s="784"/>
      <c r="W710" s="784"/>
      <c r="X710" s="755"/>
      <c r="Y710" s="784"/>
      <c r="Z710" s="967" t="str">
        <f>VLOOKUP(L710,اس!$S$3:$X$31,3,FALSE)</f>
        <v>.</v>
      </c>
      <c r="AA710" s="967"/>
    </row>
    <row r="711" spans="1:27" ht="15.75">
      <c r="A711" s="922"/>
      <c r="B711" s="922"/>
      <c r="C711" s="922"/>
      <c r="I711" s="922"/>
      <c r="J711" s="922"/>
      <c r="K711" s="922"/>
      <c r="L711" s="777">
        <v>5</v>
      </c>
      <c r="M711" s="778"/>
      <c r="N711" s="976">
        <v>0</v>
      </c>
      <c r="O711" s="1020">
        <v>654</v>
      </c>
      <c r="P711" s="858" t="e">
        <f>VLOOKUP(N711,etat!$A$9:$N$1004,2,FALSE)</f>
        <v>#N/A</v>
      </c>
      <c r="Q711" s="797" t="e">
        <f>VLOOKUP(N711,etat!$A$9:$N$963,7,FALSE)</f>
        <v>#N/A</v>
      </c>
      <c r="R711" s="928" t="e">
        <f>VLOOKUP(N711,etat!$A$9:$N$1003,9,FALSE)</f>
        <v>#N/A</v>
      </c>
      <c r="S711" s="866" t="e">
        <f>VLOOKUP(N711,etat!$A$9:$P$905,16,FALSE)</f>
        <v>#N/A</v>
      </c>
      <c r="T711" s="755"/>
      <c r="U711" s="791"/>
      <c r="V711" s="784"/>
      <c r="W711" s="784"/>
      <c r="X711" s="755"/>
      <c r="Y711" s="784"/>
      <c r="Z711" s="967" t="str">
        <f>VLOOKUP(L711,اس!$S$3:$X$31,3,FALSE)</f>
        <v>.</v>
      </c>
      <c r="AA711" s="967"/>
    </row>
    <row r="712" spans="1:27" ht="15.75">
      <c r="A712" s="922"/>
      <c r="B712" s="922"/>
      <c r="C712" s="922"/>
      <c r="I712" s="922"/>
      <c r="J712" s="922"/>
      <c r="K712" s="922"/>
      <c r="L712" s="777">
        <v>5</v>
      </c>
      <c r="M712" s="778"/>
      <c r="N712" s="976">
        <v>0</v>
      </c>
      <c r="O712" s="1020">
        <v>655</v>
      </c>
      <c r="P712" s="858" t="e">
        <f>VLOOKUP(N712,etat!$A$9:$N$1004,2,FALSE)</f>
        <v>#N/A</v>
      </c>
      <c r="Q712" s="797" t="e">
        <f>VLOOKUP(N712,etat!$A$9:$N$963,7,FALSE)</f>
        <v>#N/A</v>
      </c>
      <c r="R712" s="928" t="e">
        <f>VLOOKUP(N712,etat!$A$9:$N$1003,9,FALSE)</f>
        <v>#N/A</v>
      </c>
      <c r="S712" s="866" t="e">
        <f>VLOOKUP(N712,etat!$A$9:$P$905,16,FALSE)</f>
        <v>#N/A</v>
      </c>
      <c r="T712" s="755"/>
      <c r="U712" s="791"/>
      <c r="V712" s="784"/>
      <c r="W712" s="784"/>
      <c r="X712" s="784"/>
      <c r="Y712" s="784"/>
      <c r="Z712" s="967" t="str">
        <f>VLOOKUP(L712,اس!$S$3:$X$31,3,FALSE)</f>
        <v>.</v>
      </c>
      <c r="AA712" s="967"/>
    </row>
    <row r="713" spans="1:27" ht="15.75">
      <c r="A713" s="922"/>
      <c r="B713" s="922"/>
      <c r="C713" s="922"/>
      <c r="I713" s="922"/>
      <c r="J713" s="922"/>
      <c r="K713" s="922"/>
      <c r="L713" s="777">
        <v>5</v>
      </c>
      <c r="M713" s="778"/>
      <c r="N713" s="976">
        <v>0</v>
      </c>
      <c r="O713" s="1020">
        <v>656</v>
      </c>
      <c r="P713" s="858" t="e">
        <f>VLOOKUP(N713,etat!$A$9:$N$1004,2,FALSE)</f>
        <v>#N/A</v>
      </c>
      <c r="Q713" s="797" t="e">
        <f>VLOOKUP(N713,etat!$A$9:$N$963,7,FALSE)</f>
        <v>#N/A</v>
      </c>
      <c r="R713" s="928" t="e">
        <f>VLOOKUP(N713,etat!$A$9:$N$1003,9,FALSE)</f>
        <v>#N/A</v>
      </c>
      <c r="S713" s="866" t="e">
        <f>VLOOKUP(N713,etat!$A$9:$P$905,16,FALSE)</f>
        <v>#N/A</v>
      </c>
      <c r="T713" s="755"/>
      <c r="U713" s="791"/>
      <c r="V713" s="784"/>
      <c r="W713" s="784"/>
      <c r="X713" s="784"/>
      <c r="Y713" s="784"/>
      <c r="Z713" s="967" t="str">
        <f>VLOOKUP(L713,اس!$S$3:$X$31,3,FALSE)</f>
        <v>.</v>
      </c>
      <c r="AA713" s="967"/>
    </row>
    <row r="714" spans="1:27" ht="15.75">
      <c r="A714" s="922"/>
      <c r="B714" s="922"/>
      <c r="C714" s="922"/>
      <c r="I714" s="922"/>
      <c r="J714" s="922"/>
      <c r="K714" s="922"/>
      <c r="L714" s="777">
        <v>5</v>
      </c>
      <c r="M714" s="778"/>
      <c r="N714" s="976">
        <v>0</v>
      </c>
      <c r="O714" s="1020">
        <v>657</v>
      </c>
      <c r="P714" s="858" t="e">
        <f>VLOOKUP(N714,etat!$A$9:$N$1004,2,FALSE)</f>
        <v>#N/A</v>
      </c>
      <c r="Q714" s="797" t="e">
        <f>VLOOKUP(N714,etat!$A$9:$N$963,7,FALSE)</f>
        <v>#N/A</v>
      </c>
      <c r="R714" s="928" t="e">
        <f>VLOOKUP(N714,etat!$A$9:$N$1003,9,FALSE)</f>
        <v>#N/A</v>
      </c>
      <c r="S714" s="866" t="e">
        <f>VLOOKUP(N714,etat!$A$9:$P$905,16,FALSE)</f>
        <v>#N/A</v>
      </c>
      <c r="T714" s="755"/>
      <c r="U714" s="791"/>
      <c r="V714" s="784"/>
      <c r="W714" s="784"/>
      <c r="X714" s="784"/>
      <c r="Y714" s="784"/>
      <c r="Z714" s="967" t="str">
        <f>VLOOKUP(L714,اس!$S$3:$X$31,3,FALSE)</f>
        <v>.</v>
      </c>
      <c r="AA714" s="967"/>
    </row>
    <row r="715" spans="1:27" ht="15.75">
      <c r="A715" s="922"/>
      <c r="B715" s="922"/>
      <c r="C715" s="922"/>
      <c r="I715" s="922"/>
      <c r="J715" s="922"/>
      <c r="K715" s="922"/>
      <c r="L715" s="777">
        <v>5</v>
      </c>
      <c r="M715" s="778"/>
      <c r="N715" s="976">
        <v>0</v>
      </c>
      <c r="O715" s="1020">
        <v>658</v>
      </c>
      <c r="P715" s="858" t="e">
        <f>VLOOKUP(N715,etat!$A$9:$N$1004,2,FALSE)</f>
        <v>#N/A</v>
      </c>
      <c r="Q715" s="797" t="e">
        <f>VLOOKUP(N715,etat!$A$9:$N$963,7,FALSE)</f>
        <v>#N/A</v>
      </c>
      <c r="R715" s="928" t="e">
        <f>VLOOKUP(N715,etat!$A$9:$N$1003,9,FALSE)</f>
        <v>#N/A</v>
      </c>
      <c r="S715" s="866" t="e">
        <f>VLOOKUP(N715,etat!$A$9:$P$905,16,FALSE)</f>
        <v>#N/A</v>
      </c>
      <c r="T715" s="755"/>
      <c r="U715" s="791"/>
      <c r="V715" s="784"/>
      <c r="W715" s="784"/>
      <c r="X715" s="784"/>
      <c r="Y715" s="784"/>
      <c r="Z715" s="967" t="str">
        <f>VLOOKUP(L715,اس!$S$3:$X$31,3,FALSE)</f>
        <v>.</v>
      </c>
      <c r="AA715" s="967"/>
    </row>
    <row r="716" spans="1:27" ht="15.75">
      <c r="A716" s="922"/>
      <c r="B716" s="922"/>
      <c r="C716" s="922"/>
      <c r="I716" s="922"/>
      <c r="J716" s="922"/>
      <c r="K716" s="922"/>
      <c r="L716" s="777">
        <v>5</v>
      </c>
      <c r="M716" s="778"/>
      <c r="N716" s="976">
        <v>0</v>
      </c>
      <c r="O716" s="1020">
        <v>659</v>
      </c>
      <c r="P716" s="858" t="e">
        <f>VLOOKUP(N716,etat!$A$9:$N$1004,2,FALSE)</f>
        <v>#N/A</v>
      </c>
      <c r="Q716" s="797" t="e">
        <f>VLOOKUP(N716,etat!$A$9:$N$963,7,FALSE)</f>
        <v>#N/A</v>
      </c>
      <c r="R716" s="928" t="e">
        <f>VLOOKUP(N716,etat!$A$9:$N$1003,9,FALSE)</f>
        <v>#N/A</v>
      </c>
      <c r="S716" s="866" t="e">
        <f>VLOOKUP(N716,etat!$A$9:$P$905,16,FALSE)</f>
        <v>#N/A</v>
      </c>
      <c r="T716" s="755"/>
      <c r="U716" s="791"/>
      <c r="V716" s="784"/>
      <c r="W716" s="784"/>
      <c r="X716" s="784"/>
      <c r="Y716" s="784"/>
      <c r="Z716" s="967" t="str">
        <f>VLOOKUP(L716,اس!$S$3:$X$31,3,FALSE)</f>
        <v>.</v>
      </c>
      <c r="AA716" s="967"/>
    </row>
    <row r="717" spans="1:27" ht="15.75">
      <c r="A717" s="922"/>
      <c r="B717" s="922"/>
      <c r="C717" s="922"/>
      <c r="I717" s="922"/>
      <c r="J717" s="922"/>
      <c r="K717" s="922"/>
      <c r="L717" s="777">
        <v>5</v>
      </c>
      <c r="M717" s="778"/>
      <c r="N717" s="976">
        <v>0</v>
      </c>
      <c r="O717" s="1020">
        <v>660</v>
      </c>
      <c r="P717" s="858" t="e">
        <f>VLOOKUP(N717,etat!$A$9:$N$1004,2,FALSE)</f>
        <v>#N/A</v>
      </c>
      <c r="Q717" s="797" t="e">
        <f>VLOOKUP(N717,etat!$A$9:$N$963,7,FALSE)</f>
        <v>#N/A</v>
      </c>
      <c r="R717" s="928" t="e">
        <f>VLOOKUP(N717,etat!$A$9:$N$1003,9,FALSE)</f>
        <v>#N/A</v>
      </c>
      <c r="S717" s="866" t="e">
        <f>VLOOKUP(N717,etat!$A$9:$P$905,16,FALSE)</f>
        <v>#N/A</v>
      </c>
      <c r="T717" s="755"/>
      <c r="U717" s="791"/>
      <c r="V717" s="784"/>
      <c r="W717" s="784"/>
      <c r="X717" s="784"/>
      <c r="Y717" s="784"/>
      <c r="Z717" s="967" t="str">
        <f>VLOOKUP(L717,اس!$S$3:$X$31,3,FALSE)</f>
        <v>.</v>
      </c>
      <c r="AA717" s="967"/>
    </row>
    <row r="718" spans="1:27" ht="15.75">
      <c r="A718" s="922"/>
      <c r="B718" s="922"/>
      <c r="C718" s="922"/>
      <c r="I718" s="922"/>
      <c r="J718" s="922"/>
      <c r="K718" s="922"/>
      <c r="L718" s="777">
        <v>5</v>
      </c>
      <c r="M718" s="778"/>
      <c r="N718" s="976">
        <v>0</v>
      </c>
      <c r="O718" s="1020">
        <v>661</v>
      </c>
      <c r="P718" s="858" t="e">
        <f>VLOOKUP(N718,etat!$A$9:$N$1004,2,FALSE)</f>
        <v>#N/A</v>
      </c>
      <c r="Q718" s="797" t="e">
        <f>VLOOKUP(N718,etat!$A$9:$N$963,7,FALSE)</f>
        <v>#N/A</v>
      </c>
      <c r="R718" s="928" t="e">
        <f>VLOOKUP(N718,etat!$A$9:$N$1003,9,FALSE)</f>
        <v>#N/A</v>
      </c>
      <c r="S718" s="866" t="e">
        <f>VLOOKUP(N718,etat!$A$9:$P$905,16,FALSE)</f>
        <v>#N/A</v>
      </c>
      <c r="T718" s="755"/>
      <c r="U718" s="791"/>
      <c r="V718" s="784"/>
      <c r="W718" s="784"/>
      <c r="X718" s="784"/>
      <c r="Y718" s="784"/>
      <c r="Z718" s="967" t="str">
        <f>VLOOKUP(L718,اس!$S$3:$X$31,3,FALSE)</f>
        <v>.</v>
      </c>
      <c r="AA718" s="967"/>
    </row>
    <row r="719" spans="1:27" ht="15.75">
      <c r="A719" s="922"/>
      <c r="B719" s="922"/>
      <c r="C719" s="922"/>
      <c r="I719" s="922"/>
      <c r="J719" s="922"/>
      <c r="K719" s="922"/>
      <c r="L719" s="777">
        <v>5</v>
      </c>
      <c r="M719" s="778"/>
      <c r="N719" s="976">
        <v>0</v>
      </c>
      <c r="O719" s="1020">
        <v>662</v>
      </c>
      <c r="P719" s="858" t="e">
        <f>VLOOKUP(N719,etat!$A$9:$N$1004,2,FALSE)</f>
        <v>#N/A</v>
      </c>
      <c r="Q719" s="797" t="e">
        <f>VLOOKUP(N719,etat!$A$9:$N$963,7,FALSE)</f>
        <v>#N/A</v>
      </c>
      <c r="R719" s="928" t="e">
        <f>VLOOKUP(N719,etat!$A$9:$N$1003,9,FALSE)</f>
        <v>#N/A</v>
      </c>
      <c r="S719" s="866" t="e">
        <f>VLOOKUP(N719,etat!$A$9:$P$905,16,FALSE)</f>
        <v>#N/A</v>
      </c>
      <c r="T719" s="755"/>
      <c r="U719" s="791"/>
      <c r="V719" s="784"/>
      <c r="W719" s="784"/>
      <c r="X719" s="784"/>
      <c r="Y719" s="784"/>
      <c r="Z719" s="967" t="str">
        <f>VLOOKUP(L719,اس!$S$3:$X$31,3,FALSE)</f>
        <v>.</v>
      </c>
      <c r="AA719" s="967"/>
    </row>
    <row r="720" spans="1:27" ht="15.75">
      <c r="A720" s="922"/>
      <c r="B720" s="922"/>
      <c r="C720" s="922"/>
      <c r="I720" s="922"/>
      <c r="J720" s="922"/>
      <c r="K720" s="922"/>
      <c r="L720" s="777">
        <v>5</v>
      </c>
      <c r="M720" s="778"/>
      <c r="N720" s="976">
        <v>0</v>
      </c>
      <c r="O720" s="1020">
        <v>663</v>
      </c>
      <c r="P720" s="858" t="e">
        <f>VLOOKUP(N720,etat!$A$9:$N$1004,2,FALSE)</f>
        <v>#N/A</v>
      </c>
      <c r="Q720" s="797" t="e">
        <f>VLOOKUP(N720,etat!$A$9:$N$963,7,FALSE)</f>
        <v>#N/A</v>
      </c>
      <c r="R720" s="928" t="e">
        <f>VLOOKUP(N720,etat!$A$9:$N$1003,9,FALSE)</f>
        <v>#N/A</v>
      </c>
      <c r="S720" s="866" t="e">
        <f>VLOOKUP(N720,etat!$A$9:$P$905,16,FALSE)</f>
        <v>#N/A</v>
      </c>
      <c r="T720" s="755"/>
      <c r="U720" s="791"/>
      <c r="V720" s="784"/>
      <c r="W720" s="784"/>
      <c r="X720" s="784"/>
      <c r="Y720" s="784"/>
      <c r="Z720" s="967" t="str">
        <f>VLOOKUP(L720,اس!$S$3:$X$31,3,FALSE)</f>
        <v>.</v>
      </c>
      <c r="AA720" s="967"/>
    </row>
    <row r="721" spans="1:27" ht="15.75">
      <c r="A721" s="922"/>
      <c r="B721" s="922"/>
      <c r="C721" s="922"/>
      <c r="I721" s="922"/>
      <c r="J721" s="922"/>
      <c r="K721" s="922"/>
      <c r="L721" s="777">
        <v>5</v>
      </c>
      <c r="M721" s="778"/>
      <c r="N721" s="976">
        <v>0</v>
      </c>
      <c r="O721" s="1020">
        <v>664</v>
      </c>
      <c r="P721" s="858" t="e">
        <f>VLOOKUP(N721,etat!$A$9:$N$1004,2,FALSE)</f>
        <v>#N/A</v>
      </c>
      <c r="Q721" s="797" t="e">
        <f>VLOOKUP(N721,etat!$A$9:$N$963,7,FALSE)</f>
        <v>#N/A</v>
      </c>
      <c r="R721" s="928" t="e">
        <f>VLOOKUP(N721,etat!$A$9:$N$1003,9,FALSE)</f>
        <v>#N/A</v>
      </c>
      <c r="S721" s="866" t="e">
        <f>VLOOKUP(N721,etat!$A$9:$P$905,16,FALSE)</f>
        <v>#N/A</v>
      </c>
      <c r="T721" s="755"/>
      <c r="U721" s="791"/>
      <c r="V721" s="784"/>
      <c r="W721" s="784"/>
      <c r="X721" s="784"/>
      <c r="Y721" s="784"/>
      <c r="Z721" s="967" t="str">
        <f>VLOOKUP(L721,اس!$S$3:$X$31,3,FALSE)</f>
        <v>.</v>
      </c>
      <c r="AA721" s="967"/>
    </row>
    <row r="722" spans="1:27" ht="15.75">
      <c r="A722" s="922"/>
      <c r="B722" s="922"/>
      <c r="C722" s="922"/>
      <c r="I722" s="922"/>
      <c r="J722" s="922"/>
      <c r="K722" s="922"/>
      <c r="L722" s="777">
        <v>5</v>
      </c>
      <c r="M722" s="778"/>
      <c r="N722" s="976">
        <v>0</v>
      </c>
      <c r="O722" s="1020">
        <v>665</v>
      </c>
      <c r="P722" s="858" t="e">
        <f>VLOOKUP(N722,etat!$A$9:$N$1004,2,FALSE)</f>
        <v>#N/A</v>
      </c>
      <c r="Q722" s="797" t="e">
        <f>VLOOKUP(N722,etat!$A$9:$N$963,7,FALSE)</f>
        <v>#N/A</v>
      </c>
      <c r="R722" s="928" t="e">
        <f>VLOOKUP(N722,etat!$A$9:$N$1003,9,FALSE)</f>
        <v>#N/A</v>
      </c>
      <c r="S722" s="866" t="e">
        <f>VLOOKUP(N722,etat!$A$9:$P$905,16,FALSE)</f>
        <v>#N/A</v>
      </c>
      <c r="T722" s="755"/>
      <c r="U722" s="791"/>
      <c r="V722" s="784"/>
      <c r="W722" s="784"/>
      <c r="X722" s="784"/>
      <c r="Y722" s="784"/>
      <c r="Z722" s="967" t="str">
        <f>VLOOKUP(L722,اس!$S$3:$X$31,3,FALSE)</f>
        <v>.</v>
      </c>
      <c r="AA722" s="967"/>
    </row>
    <row r="723" spans="1:27" ht="17.25">
      <c r="A723" s="922"/>
      <c r="B723" s="922"/>
      <c r="C723" s="922"/>
      <c r="I723" s="922"/>
      <c r="J723" s="922"/>
      <c r="K723" s="922"/>
      <c r="L723" s="777">
        <v>5</v>
      </c>
      <c r="M723" s="778"/>
      <c r="N723" s="976">
        <v>0</v>
      </c>
      <c r="O723" s="1020">
        <v>666</v>
      </c>
      <c r="P723" s="847" t="e">
        <f>VLOOKUP(N723,etat!$A$9:$N$1004,2,FALSE)</f>
        <v>#N/A</v>
      </c>
      <c r="Q723" s="797" t="e">
        <f>VLOOKUP(N723,etat!$A$9:$N$963,7,FALSE)</f>
        <v>#N/A</v>
      </c>
      <c r="R723" s="928" t="e">
        <f>VLOOKUP(N723,etat!$A$9:$N$1003,9,FALSE)</f>
        <v>#N/A</v>
      </c>
      <c r="S723" s="866" t="e">
        <f>VLOOKUP(N723,etat!$A$9:$P$905,16,FALSE)</f>
        <v>#N/A</v>
      </c>
      <c r="T723" s="755"/>
      <c r="U723" s="791"/>
      <c r="V723" s="784"/>
      <c r="W723" s="784"/>
      <c r="X723" s="784"/>
      <c r="Y723" s="784"/>
      <c r="Z723" s="967" t="str">
        <f>VLOOKUP(L723,اس!$S$3:$X$31,3,FALSE)</f>
        <v>.</v>
      </c>
      <c r="AA723" s="1081"/>
    </row>
    <row r="724" spans="1:27" ht="17.25">
      <c r="A724" s="922"/>
      <c r="B724" s="922"/>
      <c r="C724" s="922"/>
      <c r="I724" s="922"/>
      <c r="J724" s="922"/>
      <c r="K724" s="922"/>
      <c r="L724" s="777">
        <v>5</v>
      </c>
      <c r="M724" s="778"/>
      <c r="N724" s="976">
        <v>0</v>
      </c>
      <c r="O724" s="1020">
        <v>667</v>
      </c>
      <c r="P724" s="858" t="e">
        <f>VLOOKUP(N724,etat!$A$9:$N$1004,2,FALSE)</f>
        <v>#N/A</v>
      </c>
      <c r="Q724" s="797" t="e">
        <f>VLOOKUP(N724,etat!$A$9:$N$963,7,FALSE)</f>
        <v>#N/A</v>
      </c>
      <c r="R724" s="928" t="e">
        <f>VLOOKUP(N724,etat!$A$9:$N$1003,9,FALSE)</f>
        <v>#N/A</v>
      </c>
      <c r="S724" s="866" t="e">
        <f>VLOOKUP(N724,etat!$A$9:$P$905,16,FALSE)</f>
        <v>#N/A</v>
      </c>
      <c r="T724" s="755"/>
      <c r="U724" s="791"/>
      <c r="V724" s="784"/>
      <c r="W724" s="784"/>
      <c r="X724" s="755"/>
      <c r="Y724" s="784"/>
      <c r="Z724" s="967" t="str">
        <f>VLOOKUP(L724,اس!$S$3:$X$31,3,FALSE)</f>
        <v>.</v>
      </c>
      <c r="AA724" s="1081"/>
    </row>
    <row r="725" spans="1:27" ht="17.25">
      <c r="A725" s="922"/>
      <c r="B725" s="922"/>
      <c r="C725" s="922"/>
      <c r="I725" s="922"/>
      <c r="J725" s="922"/>
      <c r="K725" s="922"/>
      <c r="L725" s="777">
        <v>5</v>
      </c>
      <c r="M725" s="778"/>
      <c r="N725" s="976">
        <v>0</v>
      </c>
      <c r="O725" s="1020">
        <v>668</v>
      </c>
      <c r="P725" s="858" t="e">
        <f>VLOOKUP(N725,etat!$A$9:$N$1004,2,FALSE)</f>
        <v>#N/A</v>
      </c>
      <c r="Q725" s="797" t="e">
        <f>VLOOKUP(N725,etat!$A$9:$N$963,7,FALSE)</f>
        <v>#N/A</v>
      </c>
      <c r="R725" s="928" t="e">
        <f>VLOOKUP(N725,etat!$A$9:$N$1003,9,FALSE)</f>
        <v>#N/A</v>
      </c>
      <c r="S725" s="866" t="e">
        <f>VLOOKUP(N725,etat!$A$9:$P$905,16,FALSE)</f>
        <v>#N/A</v>
      </c>
      <c r="T725" s="755"/>
      <c r="U725" s="791"/>
      <c r="V725" s="784"/>
      <c r="W725" s="784"/>
      <c r="X725" s="784"/>
      <c r="Y725" s="784"/>
      <c r="Z725" s="967" t="str">
        <f>VLOOKUP(L725,اس!$S$3:$X$31,3,FALSE)</f>
        <v>.</v>
      </c>
      <c r="AA725" s="1081"/>
    </row>
    <row r="726" spans="1:27" ht="17.25">
      <c r="A726" s="922"/>
      <c r="B726" s="922"/>
      <c r="C726" s="922"/>
      <c r="I726" s="922"/>
      <c r="J726" s="922"/>
      <c r="K726" s="922"/>
      <c r="L726" s="777">
        <v>5</v>
      </c>
      <c r="M726" s="778"/>
      <c r="N726" s="976">
        <v>0</v>
      </c>
      <c r="O726" s="1020">
        <v>669</v>
      </c>
      <c r="P726" s="858" t="e">
        <f>VLOOKUP(N726,etat!$A$9:$N$1004,2,FALSE)</f>
        <v>#N/A</v>
      </c>
      <c r="Q726" s="797" t="e">
        <f>VLOOKUP(N726,etat!$A$9:$N$963,7,FALSE)</f>
        <v>#N/A</v>
      </c>
      <c r="R726" s="928" t="e">
        <f>VLOOKUP(N726,etat!$A$9:$N$1003,9,FALSE)</f>
        <v>#N/A</v>
      </c>
      <c r="S726" s="866" t="e">
        <f>VLOOKUP(N726,etat!$A$9:$P$905,16,FALSE)</f>
        <v>#N/A</v>
      </c>
      <c r="T726" s="755"/>
      <c r="U726" s="791"/>
      <c r="V726" s="784"/>
      <c r="W726" s="784"/>
      <c r="X726" s="784"/>
      <c r="Y726" s="784"/>
      <c r="Z726" s="967" t="str">
        <f>VLOOKUP(L726,اس!$S$3:$X$31,3,FALSE)</f>
        <v>.</v>
      </c>
      <c r="AA726" s="1081"/>
    </row>
    <row r="727" spans="1:27" ht="17.25">
      <c r="A727" s="922"/>
      <c r="B727" s="922"/>
      <c r="C727" s="922"/>
      <c r="I727" s="922"/>
      <c r="J727" s="922"/>
      <c r="K727" s="922"/>
      <c r="L727" s="777">
        <v>5</v>
      </c>
      <c r="M727" s="778"/>
      <c r="N727" s="976">
        <v>0</v>
      </c>
      <c r="O727" s="1020">
        <v>670</v>
      </c>
      <c r="P727" s="858" t="e">
        <f>VLOOKUP(N727,etat!$A$9:$N$1004,2,FALSE)</f>
        <v>#N/A</v>
      </c>
      <c r="Q727" s="797" t="e">
        <f>VLOOKUP(N727,etat!$A$9:$N$963,7,FALSE)</f>
        <v>#N/A</v>
      </c>
      <c r="R727" s="928" t="e">
        <f>VLOOKUP(N727,etat!$A$9:$N$1003,9,FALSE)</f>
        <v>#N/A</v>
      </c>
      <c r="S727" s="866" t="e">
        <f>VLOOKUP(N727,etat!$A$9:$P$905,16,FALSE)</f>
        <v>#N/A</v>
      </c>
      <c r="T727" s="755"/>
      <c r="U727" s="791"/>
      <c r="V727" s="784"/>
      <c r="W727" s="784"/>
      <c r="X727" s="784"/>
      <c r="Y727" s="784"/>
      <c r="Z727" s="967" t="str">
        <f>VLOOKUP(L727,اس!$S$3:$X$31,3,FALSE)</f>
        <v>.</v>
      </c>
      <c r="AA727" s="1081"/>
    </row>
    <row r="728" spans="1:27" ht="17.25">
      <c r="A728" s="922"/>
      <c r="B728" s="922"/>
      <c r="C728" s="922"/>
      <c r="I728" s="922"/>
      <c r="J728" s="922"/>
      <c r="K728" s="922"/>
      <c r="L728" s="777">
        <v>5</v>
      </c>
      <c r="M728" s="778"/>
      <c r="N728" s="976">
        <v>0</v>
      </c>
      <c r="O728" s="1020">
        <v>671</v>
      </c>
      <c r="P728" s="858" t="e">
        <f>VLOOKUP(N728,etat!$A$9:$N$1004,2,FALSE)</f>
        <v>#N/A</v>
      </c>
      <c r="Q728" s="797" t="e">
        <f>VLOOKUP(N728,etat!$A$9:$N$963,7,FALSE)</f>
        <v>#N/A</v>
      </c>
      <c r="R728" s="928" t="e">
        <f>VLOOKUP(N728,etat!$A$9:$N$1003,9,FALSE)</f>
        <v>#N/A</v>
      </c>
      <c r="S728" s="866" t="e">
        <f>VLOOKUP(N728,etat!$A$9:$P$905,16,FALSE)</f>
        <v>#N/A</v>
      </c>
      <c r="T728" s="755"/>
      <c r="U728" s="791"/>
      <c r="V728" s="784"/>
      <c r="W728" s="784"/>
      <c r="X728" s="784"/>
      <c r="Y728" s="784"/>
      <c r="Z728" s="967" t="str">
        <f>VLOOKUP(L728,اس!$S$3:$X$31,3,FALSE)</f>
        <v>.</v>
      </c>
      <c r="AA728" s="1081"/>
    </row>
    <row r="729" spans="1:27" ht="17.25">
      <c r="A729" s="922"/>
      <c r="B729" s="922"/>
      <c r="C729" s="922"/>
      <c r="I729" s="922"/>
      <c r="J729" s="922"/>
      <c r="K729" s="922"/>
      <c r="L729" s="777">
        <v>5</v>
      </c>
      <c r="M729" s="778"/>
      <c r="N729" s="976">
        <v>0</v>
      </c>
      <c r="O729" s="1020">
        <v>672</v>
      </c>
      <c r="P729" s="858" t="e">
        <f>VLOOKUP(N729,etat!$A$9:$N$1004,2,FALSE)</f>
        <v>#N/A</v>
      </c>
      <c r="Q729" s="797" t="e">
        <f>VLOOKUP(N729,etat!$A$9:$N$963,7,FALSE)</f>
        <v>#N/A</v>
      </c>
      <c r="R729" s="928" t="e">
        <f>VLOOKUP(N729,etat!$A$9:$N$1003,9,FALSE)</f>
        <v>#N/A</v>
      </c>
      <c r="S729" s="866" t="e">
        <f>VLOOKUP(N729,etat!$A$9:$P$905,16,FALSE)</f>
        <v>#N/A</v>
      </c>
      <c r="T729" s="755"/>
      <c r="U729" s="791"/>
      <c r="V729" s="784"/>
      <c r="W729" s="784"/>
      <c r="X729" s="784"/>
      <c r="Y729" s="784"/>
      <c r="Z729" s="967" t="str">
        <f>VLOOKUP(L729,اس!$S$3:$X$31,3,FALSE)</f>
        <v>.</v>
      </c>
      <c r="AA729" s="1081"/>
    </row>
    <row r="730" spans="1:27" ht="17.25">
      <c r="A730" s="922"/>
      <c r="B730" s="922"/>
      <c r="C730" s="922"/>
      <c r="I730" s="922"/>
      <c r="J730" s="922"/>
      <c r="K730" s="922"/>
      <c r="L730" s="777">
        <v>5</v>
      </c>
      <c r="M730" s="778"/>
      <c r="N730" s="976">
        <v>0</v>
      </c>
      <c r="O730" s="1020">
        <v>673</v>
      </c>
      <c r="P730" s="858" t="e">
        <f>VLOOKUP(N730,etat!$A$9:$N$1004,2,FALSE)</f>
        <v>#N/A</v>
      </c>
      <c r="Q730" s="797" t="e">
        <f>VLOOKUP(N730,etat!$A$9:$N$963,7,FALSE)</f>
        <v>#N/A</v>
      </c>
      <c r="R730" s="928" t="e">
        <f>VLOOKUP(N730,etat!$A$9:$N$1003,9,FALSE)</f>
        <v>#N/A</v>
      </c>
      <c r="S730" s="866" t="e">
        <f>VLOOKUP(N730,etat!$A$9:$P$905,16,FALSE)</f>
        <v>#N/A</v>
      </c>
      <c r="T730" s="755"/>
      <c r="U730" s="791"/>
      <c r="V730" s="784"/>
      <c r="W730" s="784"/>
      <c r="X730" s="784"/>
      <c r="Y730" s="784"/>
      <c r="Z730" s="967" t="str">
        <f>VLOOKUP(L730,اس!$S$3:$X$31,3,FALSE)</f>
        <v>.</v>
      </c>
      <c r="AA730" s="1081"/>
    </row>
    <row r="731" spans="1:27" ht="17.25">
      <c r="A731" s="922"/>
      <c r="B731" s="922"/>
      <c r="C731" s="922"/>
      <c r="I731" s="922"/>
      <c r="J731" s="922"/>
      <c r="K731" s="922"/>
      <c r="L731" s="777">
        <v>5</v>
      </c>
      <c r="M731" s="778"/>
      <c r="N731" s="976">
        <v>0</v>
      </c>
      <c r="O731" s="1020">
        <v>674</v>
      </c>
      <c r="P731" s="858" t="e">
        <f>VLOOKUP(N731,etat!$A$9:$N$1004,2,FALSE)</f>
        <v>#N/A</v>
      </c>
      <c r="Q731" s="797" t="e">
        <f>VLOOKUP(N731,etat!$A$9:$N$963,7,FALSE)</f>
        <v>#N/A</v>
      </c>
      <c r="R731" s="928" t="e">
        <f>VLOOKUP(N731,etat!$A$9:$N$1003,9,FALSE)</f>
        <v>#N/A</v>
      </c>
      <c r="S731" s="866" t="e">
        <f>VLOOKUP(N731,etat!$A$9:$P$905,16,FALSE)</f>
        <v>#N/A</v>
      </c>
      <c r="T731" s="755"/>
      <c r="U731" s="791"/>
      <c r="V731" s="784"/>
      <c r="W731" s="784"/>
      <c r="X731" s="784"/>
      <c r="Y731" s="784"/>
      <c r="Z731" s="967" t="str">
        <f>VLOOKUP(L731,اس!$S$3:$X$31,3,FALSE)</f>
        <v>.</v>
      </c>
      <c r="AA731" s="1081"/>
    </row>
    <row r="732" spans="1:27" ht="17.25">
      <c r="A732" s="922"/>
      <c r="B732" s="922"/>
      <c r="C732" s="922"/>
      <c r="I732" s="922"/>
      <c r="J732" s="922"/>
      <c r="K732" s="922"/>
      <c r="L732" s="777">
        <v>5</v>
      </c>
      <c r="M732" s="778"/>
      <c r="N732" s="976">
        <v>0</v>
      </c>
      <c r="O732" s="1020">
        <v>675</v>
      </c>
      <c r="P732" s="858" t="e">
        <f>VLOOKUP(N732,etat!$A$9:$N$1004,2,FALSE)</f>
        <v>#N/A</v>
      </c>
      <c r="Q732" s="797" t="e">
        <f>VLOOKUP(N732,etat!$A$9:$N$963,7,FALSE)</f>
        <v>#N/A</v>
      </c>
      <c r="R732" s="928" t="e">
        <f>VLOOKUP(N732,etat!$A$9:$N$1003,9,FALSE)</f>
        <v>#N/A</v>
      </c>
      <c r="S732" s="866" t="e">
        <f>VLOOKUP(N732,etat!$A$9:$P$905,16,FALSE)</f>
        <v>#N/A</v>
      </c>
      <c r="T732" s="755"/>
      <c r="U732" s="791"/>
      <c r="V732" s="784"/>
      <c r="W732" s="784"/>
      <c r="X732" s="784"/>
      <c r="Y732" s="784"/>
      <c r="Z732" s="931" t="str">
        <f>VLOOKUP(L732,اس!$S$3:$X$31,3,FALSE)</f>
        <v>.</v>
      </c>
      <c r="AA732" s="793"/>
    </row>
    <row r="733" spans="1:27" ht="17.25">
      <c r="A733" s="922"/>
      <c r="B733" s="922"/>
      <c r="C733" s="922"/>
      <c r="I733" s="922"/>
      <c r="J733" s="922"/>
      <c r="K733" s="922"/>
      <c r="L733" s="777">
        <v>5</v>
      </c>
      <c r="M733" s="778"/>
      <c r="N733" s="976">
        <v>0</v>
      </c>
      <c r="O733" s="1020">
        <v>676</v>
      </c>
      <c r="P733" s="858" t="e">
        <f>VLOOKUP(N733,etat!$A$9:$N$1004,2,FALSE)</f>
        <v>#N/A</v>
      </c>
      <c r="Q733" s="797" t="e">
        <f>VLOOKUP(N733,etat!$A$9:$N$963,7,FALSE)</f>
        <v>#N/A</v>
      </c>
      <c r="R733" s="928" t="e">
        <f>VLOOKUP(N733,etat!$A$9:$N$1003,9,FALSE)</f>
        <v>#N/A</v>
      </c>
      <c r="S733" s="866" t="e">
        <f>VLOOKUP(N733,etat!$A$9:$P$905,16,FALSE)</f>
        <v>#N/A</v>
      </c>
      <c r="T733" s="755"/>
      <c r="U733" s="791"/>
      <c r="V733" s="784"/>
      <c r="W733" s="784"/>
      <c r="X733" s="784"/>
      <c r="Y733" s="784"/>
      <c r="Z733" s="931" t="str">
        <f>VLOOKUP(L733,اس!$S$3:$X$31,3,FALSE)</f>
        <v>.</v>
      </c>
      <c r="AA733" s="793"/>
    </row>
    <row r="734" spans="1:27" ht="17.25">
      <c r="A734" s="922"/>
      <c r="B734" s="922"/>
      <c r="C734" s="922"/>
      <c r="I734" s="922"/>
      <c r="J734" s="922"/>
      <c r="K734" s="922"/>
      <c r="L734" s="777">
        <v>5</v>
      </c>
      <c r="M734" s="778"/>
      <c r="N734" s="976">
        <v>0</v>
      </c>
      <c r="O734" s="1020">
        <v>677</v>
      </c>
      <c r="P734" s="858" t="e">
        <f>VLOOKUP(N734,etat!$A$9:$N$1004,2,FALSE)</f>
        <v>#N/A</v>
      </c>
      <c r="Q734" s="797" t="e">
        <f>VLOOKUP(N734,etat!$A$9:$N$963,7,FALSE)</f>
        <v>#N/A</v>
      </c>
      <c r="R734" s="928" t="e">
        <f>VLOOKUP(N734,etat!$A$9:$N$1003,9,FALSE)</f>
        <v>#N/A</v>
      </c>
      <c r="S734" s="866" t="e">
        <f>VLOOKUP(N734,etat!$A$9:$P$905,16,FALSE)</f>
        <v>#N/A</v>
      </c>
      <c r="T734" s="755"/>
      <c r="U734" s="791"/>
      <c r="V734" s="784"/>
      <c r="W734" s="784"/>
      <c r="X734" s="784"/>
      <c r="Y734" s="784"/>
      <c r="Z734" s="931" t="str">
        <f>VLOOKUP(L734,اس!$S$3:$X$31,3,FALSE)</f>
        <v>.</v>
      </c>
      <c r="AA734" s="793"/>
    </row>
    <row r="735" spans="1:27" ht="17.25">
      <c r="A735" s="922"/>
      <c r="B735" s="922"/>
      <c r="C735" s="922"/>
      <c r="I735" s="922"/>
      <c r="J735" s="922"/>
      <c r="K735" s="922"/>
      <c r="L735" s="777">
        <v>5</v>
      </c>
      <c r="M735" s="778"/>
      <c r="N735" s="976">
        <v>0</v>
      </c>
      <c r="O735" s="1020">
        <v>678</v>
      </c>
      <c r="P735" s="858" t="e">
        <f>VLOOKUP(N735,etat!$A$9:$N$1004,2,FALSE)</f>
        <v>#N/A</v>
      </c>
      <c r="Q735" s="797" t="e">
        <f>VLOOKUP(N735,etat!$A$9:$N$963,7,FALSE)</f>
        <v>#N/A</v>
      </c>
      <c r="R735" s="928" t="e">
        <f>VLOOKUP(N735,etat!$A$9:$N$1003,9,FALSE)</f>
        <v>#N/A</v>
      </c>
      <c r="S735" s="866" t="e">
        <f>VLOOKUP(N735,etat!$A$9:$P$905,16,FALSE)</f>
        <v>#N/A</v>
      </c>
      <c r="T735" s="755"/>
      <c r="U735" s="791"/>
      <c r="V735" s="784"/>
      <c r="W735" s="784"/>
      <c r="X735" s="784"/>
      <c r="Y735" s="784"/>
      <c r="Z735" s="931" t="str">
        <f>VLOOKUP(L735,اس!$S$3:$X$31,3,FALSE)</f>
        <v>.</v>
      </c>
      <c r="AA735" s="793"/>
    </row>
    <row r="736" spans="1:27" ht="17.25">
      <c r="A736" s="922"/>
      <c r="B736" s="922"/>
      <c r="C736" s="922"/>
      <c r="I736" s="922"/>
      <c r="J736" s="922"/>
      <c r="K736" s="922"/>
      <c r="L736" s="777">
        <v>5</v>
      </c>
      <c r="M736" s="778"/>
      <c r="N736" s="976">
        <v>0</v>
      </c>
      <c r="O736" s="1020">
        <v>679</v>
      </c>
      <c r="P736" s="858" t="e">
        <f>VLOOKUP(N736,etat!$A$9:$N$1004,2,FALSE)</f>
        <v>#N/A</v>
      </c>
      <c r="Q736" s="797" t="e">
        <f>VLOOKUP(N736,etat!$A$9:$N$963,7,FALSE)</f>
        <v>#N/A</v>
      </c>
      <c r="R736" s="928" t="e">
        <f>VLOOKUP(N736,etat!$A$9:$N$1003,9,FALSE)</f>
        <v>#N/A</v>
      </c>
      <c r="S736" s="866" t="e">
        <f>VLOOKUP(N736,etat!$A$9:$P$905,16,FALSE)</f>
        <v>#N/A</v>
      </c>
      <c r="T736" s="755"/>
      <c r="U736" s="791"/>
      <c r="V736" s="784"/>
      <c r="W736" s="784"/>
      <c r="X736" s="784"/>
      <c r="Y736" s="784"/>
      <c r="Z736" s="931" t="str">
        <f>VLOOKUP(L736,اس!$S$3:$X$31,3,FALSE)</f>
        <v>.</v>
      </c>
      <c r="AA736" s="793"/>
    </row>
    <row r="737" spans="1:27" ht="17.25">
      <c r="A737" s="922"/>
      <c r="B737" s="922"/>
      <c r="C737" s="922"/>
      <c r="I737" s="922"/>
      <c r="J737" s="922"/>
      <c r="K737" s="922"/>
      <c r="L737" s="777">
        <v>5</v>
      </c>
      <c r="M737" s="778"/>
      <c r="N737" s="976">
        <v>0</v>
      </c>
      <c r="O737" s="1020">
        <v>680</v>
      </c>
      <c r="P737" s="858" t="e">
        <f>VLOOKUP(N737,etat!$A$9:$N$1004,2,FALSE)</f>
        <v>#N/A</v>
      </c>
      <c r="Q737" s="797" t="e">
        <f>VLOOKUP(N737,etat!$A$9:$N$963,7,FALSE)</f>
        <v>#N/A</v>
      </c>
      <c r="R737" s="928" t="e">
        <f>VLOOKUP(N737,etat!$A$9:$N$1003,9,FALSE)</f>
        <v>#N/A</v>
      </c>
      <c r="S737" s="866" t="e">
        <f>VLOOKUP(N737,etat!$A$9:$P$905,16,FALSE)</f>
        <v>#N/A</v>
      </c>
      <c r="T737" s="755"/>
      <c r="U737" s="791"/>
      <c r="V737" s="784"/>
      <c r="W737" s="784"/>
      <c r="X737" s="784"/>
      <c r="Y737" s="784"/>
      <c r="Z737" s="931" t="str">
        <f>VLOOKUP(L737,اس!$S$3:$X$31,3,FALSE)</f>
        <v>.</v>
      </c>
      <c r="AA737" s="793"/>
    </row>
    <row r="738" spans="1:27" ht="17.25">
      <c r="A738" s="922"/>
      <c r="B738" s="922"/>
      <c r="C738" s="922"/>
      <c r="I738" s="922"/>
      <c r="J738" s="922"/>
      <c r="K738" s="922"/>
      <c r="L738" s="777">
        <v>5</v>
      </c>
      <c r="M738" s="778"/>
      <c r="N738" s="976">
        <v>0</v>
      </c>
      <c r="O738" s="1020">
        <v>681</v>
      </c>
      <c r="P738" s="858" t="e">
        <f>VLOOKUP(N738,etat!$A$9:$N$1004,2,FALSE)</f>
        <v>#N/A</v>
      </c>
      <c r="Q738" s="797" t="e">
        <f>VLOOKUP(N738,etat!$A$9:$N$963,7,FALSE)</f>
        <v>#N/A</v>
      </c>
      <c r="R738" s="928" t="e">
        <f>VLOOKUP(N738,etat!$A$9:$N$1003,9,FALSE)</f>
        <v>#N/A</v>
      </c>
      <c r="S738" s="866" t="e">
        <f>VLOOKUP(N738,etat!$A$9:$P$905,16,FALSE)</f>
        <v>#N/A</v>
      </c>
      <c r="T738" s="755"/>
      <c r="U738" s="791"/>
      <c r="V738" s="784"/>
      <c r="W738" s="784"/>
      <c r="X738" s="784"/>
      <c r="Y738" s="784"/>
      <c r="Z738" s="931" t="str">
        <f>VLOOKUP(L738,اس!$S$3:$X$31,3,FALSE)</f>
        <v>.</v>
      </c>
      <c r="AA738" s="793"/>
    </row>
    <row r="739" spans="1:27" ht="17.25">
      <c r="A739" s="922"/>
      <c r="B739" s="922"/>
      <c r="C739" s="922"/>
      <c r="I739" s="922"/>
      <c r="J739" s="922"/>
      <c r="K739" s="922"/>
      <c r="L739" s="777">
        <v>5</v>
      </c>
      <c r="M739" s="778"/>
      <c r="N739" s="976">
        <v>0</v>
      </c>
      <c r="O739" s="1020">
        <v>682</v>
      </c>
      <c r="P739" s="858" t="e">
        <f>VLOOKUP(N739,etat!$A$9:$N$1004,2,FALSE)</f>
        <v>#N/A</v>
      </c>
      <c r="Q739" s="797" t="e">
        <f>VLOOKUP(N739,etat!$A$9:$N$963,7,FALSE)</f>
        <v>#N/A</v>
      </c>
      <c r="R739" s="928" t="e">
        <f>VLOOKUP(N739,etat!$A$9:$N$1003,9,FALSE)</f>
        <v>#N/A</v>
      </c>
      <c r="S739" s="866" t="e">
        <f>VLOOKUP(N739,etat!$A$9:$P$905,16,FALSE)</f>
        <v>#N/A</v>
      </c>
      <c r="T739" s="755"/>
      <c r="U739" s="791"/>
      <c r="V739" s="784"/>
      <c r="W739" s="784"/>
      <c r="X739" s="784"/>
      <c r="Y739" s="784"/>
      <c r="Z739" s="931" t="str">
        <f>VLOOKUP(L739,اس!$S$3:$X$31,3,FALSE)</f>
        <v>.</v>
      </c>
      <c r="AA739" s="793"/>
    </row>
    <row r="740" spans="1:27" ht="17.25">
      <c r="A740" s="922"/>
      <c r="B740" s="922"/>
      <c r="C740" s="922"/>
      <c r="I740" s="922"/>
      <c r="J740" s="922"/>
      <c r="K740" s="922"/>
      <c r="L740" s="777">
        <v>5</v>
      </c>
      <c r="M740" s="778"/>
      <c r="N740" s="976">
        <v>0</v>
      </c>
      <c r="O740" s="1020">
        <v>683</v>
      </c>
      <c r="P740" s="858" t="e">
        <f>VLOOKUP(N740,etat!$A$9:$N$1004,2,FALSE)</f>
        <v>#N/A</v>
      </c>
      <c r="Q740" s="797" t="e">
        <f>VLOOKUP(N740,etat!$A$9:$N$963,7,FALSE)</f>
        <v>#N/A</v>
      </c>
      <c r="R740" s="928" t="e">
        <f>VLOOKUP(N740,etat!$A$9:$N$1003,9,FALSE)</f>
        <v>#N/A</v>
      </c>
      <c r="S740" s="866" t="e">
        <f>VLOOKUP(N740,etat!$A$9:$P$905,16,FALSE)</f>
        <v>#N/A</v>
      </c>
      <c r="T740" s="755"/>
      <c r="U740" s="791"/>
      <c r="V740" s="784"/>
      <c r="W740" s="784"/>
      <c r="X740" s="784"/>
      <c r="Y740" s="784"/>
      <c r="Z740" s="931" t="str">
        <f>VLOOKUP(L740,اس!$S$3:$X$31,3,FALSE)</f>
        <v>.</v>
      </c>
      <c r="AA740" s="793"/>
    </row>
    <row r="741" spans="1:27" ht="17.25">
      <c r="A741" s="922"/>
      <c r="B741" s="922"/>
      <c r="C741" s="922"/>
      <c r="I741" s="922"/>
      <c r="J741" s="922"/>
      <c r="K741" s="922"/>
      <c r="L741" s="777">
        <v>5</v>
      </c>
      <c r="M741" s="778"/>
      <c r="N741" s="976">
        <v>0</v>
      </c>
      <c r="O741" s="1020">
        <v>684</v>
      </c>
      <c r="P741" s="858" t="e">
        <f>VLOOKUP(N741,etat!$A$9:$N$1004,2,FALSE)</f>
        <v>#N/A</v>
      </c>
      <c r="Q741" s="797" t="e">
        <f>VLOOKUP(N741,etat!$A$9:$N$963,7,FALSE)</f>
        <v>#N/A</v>
      </c>
      <c r="R741" s="928" t="e">
        <f>VLOOKUP(N741,etat!$A$9:$N$1003,9,FALSE)</f>
        <v>#N/A</v>
      </c>
      <c r="S741" s="866" t="e">
        <f>VLOOKUP(N741,etat!$A$9:$P$905,16,FALSE)</f>
        <v>#N/A</v>
      </c>
      <c r="T741" s="755"/>
      <c r="U741" s="791"/>
      <c r="V741" s="784"/>
      <c r="W741" s="784"/>
      <c r="X741" s="784"/>
      <c r="Y741" s="784"/>
      <c r="Z741" s="931" t="str">
        <f>VLOOKUP(L741,اس!$S$3:$X$31,3,FALSE)</f>
        <v>.</v>
      </c>
      <c r="AA741" s="793"/>
    </row>
    <row r="742" spans="1:27" ht="17.25">
      <c r="A742" s="922"/>
      <c r="B742" s="922"/>
      <c r="C742" s="922"/>
      <c r="I742" s="922"/>
      <c r="J742" s="922"/>
      <c r="K742" s="922"/>
      <c r="L742" s="777">
        <v>5</v>
      </c>
      <c r="M742" s="778"/>
      <c r="N742" s="976">
        <v>0</v>
      </c>
      <c r="O742" s="1020">
        <v>685</v>
      </c>
      <c r="P742" s="858" t="e">
        <f>VLOOKUP(N742,etat!$A$9:$N$1004,2,FALSE)</f>
        <v>#N/A</v>
      </c>
      <c r="Q742" s="797" t="e">
        <f>VLOOKUP(N742,etat!$A$9:$N$963,7,FALSE)</f>
        <v>#N/A</v>
      </c>
      <c r="R742" s="928" t="e">
        <f>VLOOKUP(N742,etat!$A$9:$N$1003,9,FALSE)</f>
        <v>#N/A</v>
      </c>
      <c r="S742" s="866" t="e">
        <f>VLOOKUP(N742,etat!$A$9:$P$905,16,FALSE)</f>
        <v>#N/A</v>
      </c>
      <c r="T742" s="755"/>
      <c r="U742" s="791"/>
      <c r="V742" s="784"/>
      <c r="W742" s="784"/>
      <c r="X742" s="784"/>
      <c r="Y742" s="784"/>
      <c r="Z742" s="931" t="str">
        <f>VLOOKUP(L742,اس!$S$3:$X$31,3,FALSE)</f>
        <v>.</v>
      </c>
      <c r="AA742" s="793"/>
    </row>
    <row r="743" spans="1:27" ht="17.25">
      <c r="A743" s="922"/>
      <c r="B743" s="922"/>
      <c r="C743" s="922"/>
      <c r="I743" s="922"/>
      <c r="J743" s="922"/>
      <c r="K743" s="922"/>
      <c r="L743" s="777">
        <v>5</v>
      </c>
      <c r="M743" s="778"/>
      <c r="N743" s="976">
        <v>0</v>
      </c>
      <c r="O743" s="1020">
        <v>686</v>
      </c>
      <c r="P743" s="858" t="e">
        <f>VLOOKUP(N743,etat!$A$9:$N$1004,2,FALSE)</f>
        <v>#N/A</v>
      </c>
      <c r="Q743" s="797" t="e">
        <f>VLOOKUP(N743,etat!$A$9:$N$963,7,FALSE)</f>
        <v>#N/A</v>
      </c>
      <c r="R743" s="928" t="e">
        <f>VLOOKUP(N743,etat!$A$9:$N$1003,9,FALSE)</f>
        <v>#N/A</v>
      </c>
      <c r="S743" s="866" t="e">
        <f>VLOOKUP(N743,etat!$A$9:$P$905,16,FALSE)</f>
        <v>#N/A</v>
      </c>
      <c r="T743" s="755"/>
      <c r="U743" s="791"/>
      <c r="V743" s="784"/>
      <c r="W743" s="784"/>
      <c r="X743" s="784"/>
      <c r="Y743" s="784"/>
      <c r="Z743" s="931" t="str">
        <f>VLOOKUP(L743,اس!$S$3:$X$31,3,FALSE)</f>
        <v>.</v>
      </c>
      <c r="AA743" s="793"/>
    </row>
    <row r="744" spans="1:27" ht="17.25">
      <c r="A744" s="922"/>
      <c r="B744" s="922"/>
      <c r="C744" s="922"/>
      <c r="I744" s="922"/>
      <c r="J744" s="922"/>
      <c r="K744" s="922"/>
      <c r="L744" s="777">
        <v>5</v>
      </c>
      <c r="M744" s="778"/>
      <c r="N744" s="976">
        <v>0</v>
      </c>
      <c r="O744" s="1020">
        <v>687</v>
      </c>
      <c r="P744" s="858" t="e">
        <f>VLOOKUP(N744,etat!$A$9:$N$1004,2,FALSE)</f>
        <v>#N/A</v>
      </c>
      <c r="Q744" s="797" t="e">
        <f>VLOOKUP(N744,etat!$A$9:$N$963,7,FALSE)</f>
        <v>#N/A</v>
      </c>
      <c r="R744" s="928" t="e">
        <f>VLOOKUP(N744,etat!$A$9:$N$1003,9,FALSE)</f>
        <v>#N/A</v>
      </c>
      <c r="S744" s="866" t="e">
        <f>VLOOKUP(N744,etat!$A$9:$P$905,16,FALSE)</f>
        <v>#N/A</v>
      </c>
      <c r="T744" s="755"/>
      <c r="U744" s="791"/>
      <c r="V744" s="784"/>
      <c r="W744" s="784"/>
      <c r="X744" s="784"/>
      <c r="Y744" s="784"/>
      <c r="Z744" s="931" t="str">
        <f>VLOOKUP(L744,اس!$S$3:$X$31,3,FALSE)</f>
        <v>.</v>
      </c>
      <c r="AA744" s="793"/>
    </row>
    <row r="745" spans="1:27" ht="17.25">
      <c r="A745" s="922"/>
      <c r="B745" s="922"/>
      <c r="C745" s="922"/>
      <c r="I745" s="922"/>
      <c r="J745" s="922"/>
      <c r="K745" s="922"/>
      <c r="L745" s="777">
        <v>5</v>
      </c>
      <c r="M745" s="778"/>
      <c r="N745" s="976">
        <v>0</v>
      </c>
      <c r="O745" s="1020">
        <v>688</v>
      </c>
      <c r="P745" s="858" t="e">
        <f>VLOOKUP(N745,etat!$A$9:$N$1004,2,FALSE)</f>
        <v>#N/A</v>
      </c>
      <c r="Q745" s="797" t="e">
        <f>VLOOKUP(N745,etat!$A$9:$N$963,7,FALSE)</f>
        <v>#N/A</v>
      </c>
      <c r="R745" s="928" t="e">
        <f>VLOOKUP(N745,etat!$A$9:$N$1003,9,FALSE)</f>
        <v>#N/A</v>
      </c>
      <c r="S745" s="866" t="e">
        <f>VLOOKUP(N745,etat!$A$9:$P$905,16,FALSE)</f>
        <v>#N/A</v>
      </c>
      <c r="T745" s="755"/>
      <c r="U745" s="791"/>
      <c r="V745" s="784"/>
      <c r="W745" s="784"/>
      <c r="X745" s="784"/>
      <c r="Y745" s="784"/>
      <c r="Z745" s="931" t="str">
        <f>VLOOKUP(L745,اس!$S$3:$X$31,3,FALSE)</f>
        <v>.</v>
      </c>
      <c r="AA745" s="793"/>
    </row>
    <row r="746" spans="1:27" ht="17.25">
      <c r="A746" s="922"/>
      <c r="B746" s="922"/>
      <c r="C746" s="922"/>
      <c r="I746" s="922"/>
      <c r="J746" s="922"/>
      <c r="K746" s="922"/>
      <c r="L746" s="777">
        <v>5</v>
      </c>
      <c r="M746" s="778"/>
      <c r="N746" s="976">
        <v>0</v>
      </c>
      <c r="O746" s="1020">
        <v>689</v>
      </c>
      <c r="P746" s="858" t="e">
        <f>VLOOKUP(N746,etat!$A$9:$N$1004,2,FALSE)</f>
        <v>#N/A</v>
      </c>
      <c r="Q746" s="797" t="e">
        <f>VLOOKUP(N746,etat!$A$9:$N$963,7,FALSE)</f>
        <v>#N/A</v>
      </c>
      <c r="R746" s="928" t="e">
        <f>VLOOKUP(N746,etat!$A$9:$N$1003,9,FALSE)</f>
        <v>#N/A</v>
      </c>
      <c r="S746" s="866" t="e">
        <f>VLOOKUP(N746,etat!$A$9:$P$905,16,FALSE)</f>
        <v>#N/A</v>
      </c>
      <c r="T746" s="755"/>
      <c r="U746" s="791"/>
      <c r="V746" s="784"/>
      <c r="W746" s="784"/>
      <c r="X746" s="784"/>
      <c r="Y746" s="784"/>
      <c r="Z746" s="931" t="str">
        <f>VLOOKUP(L746,اس!$S$3:$X$31,3,FALSE)</f>
        <v>.</v>
      </c>
      <c r="AA746" s="793"/>
    </row>
    <row r="747" spans="1:27" ht="17.25">
      <c r="A747" s="922"/>
      <c r="B747" s="922"/>
      <c r="C747" s="922"/>
      <c r="I747" s="922"/>
      <c r="J747" s="922"/>
      <c r="K747" s="922"/>
      <c r="L747" s="777">
        <v>5</v>
      </c>
      <c r="M747" s="778"/>
      <c r="N747" s="976">
        <v>0</v>
      </c>
      <c r="O747" s="1020">
        <v>690</v>
      </c>
      <c r="P747" s="858" t="e">
        <f>VLOOKUP(N747,etat!$A$9:$N$1004,2,FALSE)</f>
        <v>#N/A</v>
      </c>
      <c r="Q747" s="797" t="e">
        <f>VLOOKUP(N747,etat!$A$9:$N$963,7,FALSE)</f>
        <v>#N/A</v>
      </c>
      <c r="R747" s="928" t="e">
        <f>VLOOKUP(N747,etat!$A$9:$N$1003,9,FALSE)</f>
        <v>#N/A</v>
      </c>
      <c r="S747" s="866" t="e">
        <f>VLOOKUP(N747,etat!$A$9:$P$905,16,FALSE)</f>
        <v>#N/A</v>
      </c>
      <c r="T747" s="755"/>
      <c r="U747" s="791"/>
      <c r="V747" s="784"/>
      <c r="W747" s="784"/>
      <c r="X747" s="784"/>
      <c r="Y747" s="784"/>
      <c r="Z747" s="793" t="str">
        <f>VLOOKUP(L747,اس!$S$3:$X$31,3,FALSE)</f>
        <v>.</v>
      </c>
      <c r="AA747" s="793"/>
    </row>
    <row r="748" spans="1:27" ht="17.25">
      <c r="A748" s="922"/>
      <c r="B748" s="922"/>
      <c r="C748" s="922"/>
      <c r="I748" s="922"/>
      <c r="J748" s="922"/>
      <c r="K748" s="922"/>
      <c r="L748" s="777">
        <v>5</v>
      </c>
      <c r="M748" s="778"/>
      <c r="N748" s="976">
        <v>0</v>
      </c>
      <c r="O748" s="1020">
        <v>691</v>
      </c>
      <c r="P748" s="858" t="e">
        <f>VLOOKUP(N748,etat!$A$9:$N$1004,2,FALSE)</f>
        <v>#N/A</v>
      </c>
      <c r="Q748" s="797" t="e">
        <f>VLOOKUP(N748,etat!$A$9:$N$963,7,FALSE)</f>
        <v>#N/A</v>
      </c>
      <c r="R748" s="928" t="e">
        <f>VLOOKUP(N748,etat!$A$9:$N$1003,9,FALSE)</f>
        <v>#N/A</v>
      </c>
      <c r="S748" s="866" t="e">
        <f>VLOOKUP(N748,etat!$A$9:$P$905,16,FALSE)</f>
        <v>#N/A</v>
      </c>
      <c r="T748" s="755"/>
      <c r="U748" s="791"/>
      <c r="V748" s="784"/>
      <c r="W748" s="784"/>
      <c r="X748" s="784"/>
      <c r="Y748" s="784"/>
      <c r="Z748" s="793" t="str">
        <f>VLOOKUP(L748,اس!$S$3:$X$31,3,FALSE)</f>
        <v>.</v>
      </c>
      <c r="AA748" s="793"/>
    </row>
    <row r="749" spans="1:27" ht="17.25">
      <c r="A749" s="922"/>
      <c r="B749" s="922"/>
      <c r="C749" s="922"/>
      <c r="I749" s="922"/>
      <c r="J749" s="922"/>
      <c r="K749" s="922"/>
      <c r="L749" s="777">
        <v>5</v>
      </c>
      <c r="M749" s="778"/>
      <c r="N749" s="976">
        <v>0</v>
      </c>
      <c r="O749" s="1020">
        <v>692</v>
      </c>
      <c r="P749" s="858" t="e">
        <f>VLOOKUP(N749,etat!$A$9:$N$1004,2,FALSE)</f>
        <v>#N/A</v>
      </c>
      <c r="Q749" s="797" t="e">
        <f>VLOOKUP(N749,etat!$A$9:$N$963,7,FALSE)</f>
        <v>#N/A</v>
      </c>
      <c r="R749" s="928" t="e">
        <f>VLOOKUP(N749,etat!$A$9:$N$1003,9,FALSE)</f>
        <v>#N/A</v>
      </c>
      <c r="S749" s="866" t="e">
        <f>VLOOKUP(N749,etat!$A$9:$P$905,16,FALSE)</f>
        <v>#N/A</v>
      </c>
      <c r="T749" s="755"/>
      <c r="U749" s="791"/>
      <c r="V749" s="784"/>
      <c r="W749" s="755"/>
      <c r="X749" s="784"/>
      <c r="Y749" s="784"/>
      <c r="Z749" s="793" t="str">
        <f>VLOOKUP(L749,اس!$S$3:$X$31,3,FALSE)</f>
        <v>.</v>
      </c>
      <c r="AA749" s="793"/>
    </row>
    <row r="750" spans="1:27" ht="17.25">
      <c r="A750" s="922"/>
      <c r="B750" s="922"/>
      <c r="C750" s="922"/>
      <c r="I750" s="922"/>
      <c r="J750" s="922"/>
      <c r="K750" s="922"/>
      <c r="L750" s="777">
        <v>5</v>
      </c>
      <c r="M750" s="778"/>
      <c r="N750" s="976">
        <v>0</v>
      </c>
      <c r="O750" s="1020">
        <v>693</v>
      </c>
      <c r="P750" s="858" t="e">
        <f>VLOOKUP(N750,etat!$A$9:$N$1004,2,FALSE)</f>
        <v>#N/A</v>
      </c>
      <c r="Q750" s="797" t="e">
        <f>VLOOKUP(N750,etat!$A$9:$N$963,7,FALSE)</f>
        <v>#N/A</v>
      </c>
      <c r="R750" s="928" t="e">
        <f>VLOOKUP(N750,etat!$A$9:$N$1003,9,FALSE)</f>
        <v>#N/A</v>
      </c>
      <c r="S750" s="866" t="e">
        <f>VLOOKUP(N750,etat!$A$9:$P$905,16,FALSE)</f>
        <v>#N/A</v>
      </c>
      <c r="T750" s="755"/>
      <c r="U750" s="791"/>
      <c r="V750" s="784"/>
      <c r="W750" s="784"/>
      <c r="X750" s="784"/>
      <c r="Y750" s="784"/>
      <c r="Z750" s="793" t="str">
        <f>VLOOKUP(L750,اس!$S$3:$X$31,3,FALSE)</f>
        <v>.</v>
      </c>
      <c r="AA750" s="793"/>
    </row>
    <row r="751" spans="1:27" ht="17.25">
      <c r="A751" s="922"/>
      <c r="B751" s="922"/>
      <c r="C751" s="922"/>
      <c r="I751" s="922"/>
      <c r="J751" s="922"/>
      <c r="K751" s="922"/>
      <c r="L751" s="777">
        <v>5</v>
      </c>
      <c r="M751" s="778"/>
      <c r="N751" s="976">
        <v>0</v>
      </c>
      <c r="O751" s="1020">
        <v>694</v>
      </c>
      <c r="P751" s="858" t="e">
        <f>VLOOKUP(N751,etat!$A$9:$N$1004,2,FALSE)</f>
        <v>#N/A</v>
      </c>
      <c r="Q751" s="797" t="e">
        <f>VLOOKUP(N751,etat!$A$9:$N$963,7,FALSE)</f>
        <v>#N/A</v>
      </c>
      <c r="R751" s="928" t="e">
        <f>VLOOKUP(N751,etat!$A$9:$N$1003,9,FALSE)</f>
        <v>#N/A</v>
      </c>
      <c r="S751" s="866" t="e">
        <f>VLOOKUP(N751,etat!$A$9:$P$905,16,FALSE)</f>
        <v>#N/A</v>
      </c>
      <c r="T751" s="755"/>
      <c r="U751" s="791"/>
      <c r="V751" s="784"/>
      <c r="W751" s="784"/>
      <c r="X751" s="784"/>
      <c r="Y751" s="784"/>
      <c r="Z751" s="793" t="str">
        <f>VLOOKUP(L751,اس!$S$3:$X$31,3,FALSE)</f>
        <v>.</v>
      </c>
      <c r="AA751" s="793"/>
    </row>
    <row r="752" spans="1:27" ht="17.25">
      <c r="A752" s="922"/>
      <c r="B752" s="922"/>
      <c r="C752" s="922"/>
      <c r="I752" s="922"/>
      <c r="J752" s="922"/>
      <c r="K752" s="922"/>
      <c r="L752" s="777">
        <v>5</v>
      </c>
      <c r="M752" s="778"/>
      <c r="N752" s="976">
        <v>0</v>
      </c>
      <c r="O752" s="1020">
        <v>695</v>
      </c>
      <c r="P752" s="858" t="e">
        <f>VLOOKUP(N752,etat!$A$9:$N$1004,2,FALSE)</f>
        <v>#N/A</v>
      </c>
      <c r="Q752" s="797" t="e">
        <f>VLOOKUP(N752,etat!$A$9:$N$963,7,FALSE)</f>
        <v>#N/A</v>
      </c>
      <c r="R752" s="928" t="e">
        <f>VLOOKUP(N752,etat!$A$9:$N$1003,9,FALSE)</f>
        <v>#N/A</v>
      </c>
      <c r="S752" s="866" t="e">
        <f>VLOOKUP(N752,etat!$A$9:$P$905,16,FALSE)</f>
        <v>#N/A</v>
      </c>
      <c r="T752" s="755"/>
      <c r="U752" s="791"/>
      <c r="V752" s="784"/>
      <c r="W752" s="784"/>
      <c r="X752" s="784"/>
      <c r="Y752" s="784"/>
      <c r="Z752" s="793" t="str">
        <f>VLOOKUP(L752,اس!$S$3:$X$31,3,FALSE)</f>
        <v>.</v>
      </c>
      <c r="AA752" s="793"/>
    </row>
    <row r="753" spans="1:27" ht="17.25">
      <c r="A753" s="922"/>
      <c r="B753" s="922"/>
      <c r="C753" s="922"/>
      <c r="I753" s="922"/>
      <c r="J753" s="922"/>
      <c r="K753" s="922"/>
      <c r="L753" s="777">
        <v>5</v>
      </c>
      <c r="M753" s="778"/>
      <c r="N753" s="976">
        <v>0</v>
      </c>
      <c r="O753" s="1020">
        <v>696</v>
      </c>
      <c r="P753" s="858" t="e">
        <f>VLOOKUP(N753,etat!$A$9:$N$1004,2,FALSE)</f>
        <v>#N/A</v>
      </c>
      <c r="Q753" s="797" t="e">
        <f>VLOOKUP(N753,etat!$A$9:$N$963,7,FALSE)</f>
        <v>#N/A</v>
      </c>
      <c r="R753" s="928" t="e">
        <f>VLOOKUP(N753,etat!$A$9:$N$1003,9,FALSE)</f>
        <v>#N/A</v>
      </c>
      <c r="S753" s="866" t="e">
        <f>VLOOKUP(N753,etat!$A$9:$P$905,16,FALSE)</f>
        <v>#N/A</v>
      </c>
      <c r="T753" s="755"/>
      <c r="U753" s="791"/>
      <c r="V753" s="784"/>
      <c r="W753" s="784"/>
      <c r="X753" s="784"/>
      <c r="Y753" s="784"/>
      <c r="Z753" s="793" t="str">
        <f>VLOOKUP(L753,اس!$S$3:$X$31,3,FALSE)</f>
        <v>.</v>
      </c>
      <c r="AA753" s="793"/>
    </row>
    <row r="754" spans="1:27" ht="17.25">
      <c r="A754" s="922"/>
      <c r="B754" s="922"/>
      <c r="C754" s="922"/>
      <c r="I754" s="922"/>
      <c r="J754" s="922"/>
      <c r="K754" s="922"/>
      <c r="L754" s="777">
        <v>5</v>
      </c>
      <c r="M754" s="778"/>
      <c r="N754" s="976">
        <v>0</v>
      </c>
      <c r="O754" s="1020">
        <v>697</v>
      </c>
      <c r="P754" s="858" t="e">
        <f>VLOOKUP(N754,etat!$A$9:$N$1004,2,FALSE)</f>
        <v>#N/A</v>
      </c>
      <c r="Q754" s="797" t="e">
        <f>VLOOKUP(N754,etat!$A$9:$N$963,7,FALSE)</f>
        <v>#N/A</v>
      </c>
      <c r="R754" s="928" t="e">
        <f>VLOOKUP(N754,etat!$A$9:$N$1003,9,FALSE)</f>
        <v>#N/A</v>
      </c>
      <c r="S754" s="866" t="e">
        <f>VLOOKUP(N754,etat!$A$9:$P$905,16,FALSE)</f>
        <v>#N/A</v>
      </c>
      <c r="T754" s="755"/>
      <c r="U754" s="791"/>
      <c r="V754" s="784"/>
      <c r="W754" s="784"/>
      <c r="X754" s="784"/>
      <c r="Y754" s="784"/>
      <c r="Z754" s="793" t="str">
        <f>VLOOKUP(L754,اس!$S$3:$X$31,3,FALSE)</f>
        <v>.</v>
      </c>
      <c r="AA754" s="793"/>
    </row>
    <row r="755" spans="1:27" ht="17.25">
      <c r="A755" s="922"/>
      <c r="B755" s="922"/>
      <c r="C755" s="922"/>
      <c r="I755" s="922"/>
      <c r="J755" s="922"/>
      <c r="K755" s="922"/>
      <c r="L755" s="777">
        <v>5</v>
      </c>
      <c r="M755" s="778"/>
      <c r="N755" s="976">
        <v>0</v>
      </c>
      <c r="O755" s="1020">
        <v>698</v>
      </c>
      <c r="P755" s="858" t="e">
        <f>VLOOKUP(N755,etat!$A$9:$N$1004,2,FALSE)</f>
        <v>#N/A</v>
      </c>
      <c r="Q755" s="797" t="e">
        <f>VLOOKUP(N755,etat!$A$9:$N$963,7,FALSE)</f>
        <v>#N/A</v>
      </c>
      <c r="R755" s="928" t="e">
        <f>VLOOKUP(N755,etat!$A$9:$N$1003,9,FALSE)</f>
        <v>#N/A</v>
      </c>
      <c r="S755" s="866" t="e">
        <f>VLOOKUP(N755,etat!$A$9:$P$905,16,FALSE)</f>
        <v>#N/A</v>
      </c>
      <c r="T755" s="755"/>
      <c r="U755" s="791"/>
      <c r="V755" s="784"/>
      <c r="W755" s="784"/>
      <c r="X755" s="784"/>
      <c r="Y755" s="784"/>
      <c r="Z755" s="793" t="str">
        <f>VLOOKUP(L755,اس!$S$3:$X$31,3,FALSE)</f>
        <v>.</v>
      </c>
      <c r="AA755" s="793"/>
    </row>
    <row r="756" spans="1:27" ht="17.25">
      <c r="A756" s="922"/>
      <c r="B756" s="922"/>
      <c r="C756" s="922"/>
      <c r="I756" s="922"/>
      <c r="J756" s="922"/>
      <c r="K756" s="922"/>
      <c r="L756" s="777">
        <v>5</v>
      </c>
      <c r="M756" s="778"/>
      <c r="N756" s="976">
        <v>0</v>
      </c>
      <c r="O756" s="1020">
        <v>699</v>
      </c>
      <c r="P756" s="858" t="e">
        <f>VLOOKUP(N756,etat!$A$9:$N$1004,2,FALSE)</f>
        <v>#N/A</v>
      </c>
      <c r="Q756" s="797" t="e">
        <f>VLOOKUP(N756,etat!$A$9:$N$963,7,FALSE)</f>
        <v>#N/A</v>
      </c>
      <c r="R756" s="928" t="e">
        <f>VLOOKUP(N756,etat!$A$9:$N$1003,9,FALSE)</f>
        <v>#N/A</v>
      </c>
      <c r="S756" s="866" t="e">
        <f>VLOOKUP(N756,etat!$A$9:$P$905,16,FALSE)</f>
        <v>#N/A</v>
      </c>
      <c r="T756" s="755"/>
      <c r="U756" s="791"/>
      <c r="V756" s="784"/>
      <c r="W756" s="784"/>
      <c r="X756" s="784"/>
      <c r="Y756" s="784"/>
      <c r="Z756" s="793" t="str">
        <f>VLOOKUP(L756,اس!$S$3:$X$31,3,FALSE)</f>
        <v>.</v>
      </c>
      <c r="AA756" s="793"/>
    </row>
    <row r="757" spans="1:27" ht="17.25">
      <c r="A757" s="922"/>
      <c r="B757" s="922"/>
      <c r="C757" s="922"/>
      <c r="I757" s="922"/>
      <c r="J757" s="922"/>
      <c r="K757" s="922"/>
      <c r="L757" s="777">
        <v>5</v>
      </c>
      <c r="M757" s="778"/>
      <c r="N757" s="976">
        <v>0</v>
      </c>
      <c r="O757" s="1020">
        <v>700</v>
      </c>
      <c r="P757" s="858" t="e">
        <f>VLOOKUP(N757,etat!$A$9:$N$1004,2,FALSE)</f>
        <v>#N/A</v>
      </c>
      <c r="Q757" s="797" t="e">
        <f>VLOOKUP(N757,etat!$A$9:$N$963,7,FALSE)</f>
        <v>#N/A</v>
      </c>
      <c r="R757" s="928" t="e">
        <f>VLOOKUP(N757,etat!$A$9:$N$1003,9,FALSE)</f>
        <v>#N/A</v>
      </c>
      <c r="S757" s="866" t="e">
        <f>VLOOKUP(N757,etat!$A$9:$P$905,16,FALSE)</f>
        <v>#N/A</v>
      </c>
      <c r="T757" s="755"/>
      <c r="U757" s="791"/>
      <c r="V757" s="784"/>
      <c r="W757" s="784"/>
      <c r="X757" s="784"/>
      <c r="Y757" s="784"/>
      <c r="Z757" s="793" t="str">
        <f>VLOOKUP(L757,اس!$S$3:$X$31,3,FALSE)</f>
        <v>.</v>
      </c>
      <c r="AA757" s="793"/>
    </row>
    <row r="758" spans="1:27" ht="17.25">
      <c r="A758" s="922"/>
      <c r="B758" s="922"/>
      <c r="C758" s="922"/>
      <c r="I758" s="922"/>
      <c r="J758" s="922"/>
      <c r="K758" s="922"/>
      <c r="L758" s="777">
        <v>5</v>
      </c>
      <c r="M758" s="778"/>
      <c r="N758" s="976">
        <v>0</v>
      </c>
      <c r="O758" s="1020">
        <v>701</v>
      </c>
      <c r="P758" s="858" t="e">
        <f>VLOOKUP(N758,etat!$A$9:$N$1004,2,FALSE)</f>
        <v>#N/A</v>
      </c>
      <c r="Q758" s="797" t="e">
        <f>VLOOKUP(N758,etat!$A$9:$N$963,7,FALSE)</f>
        <v>#N/A</v>
      </c>
      <c r="R758" s="928" t="e">
        <f>VLOOKUP(N758,etat!$A$9:$N$1003,9,FALSE)</f>
        <v>#N/A</v>
      </c>
      <c r="S758" s="866" t="e">
        <f>VLOOKUP(N758,etat!$A$9:$P$905,16,FALSE)</f>
        <v>#N/A</v>
      </c>
      <c r="T758" s="755"/>
      <c r="U758" s="791"/>
      <c r="V758" s="784"/>
      <c r="W758" s="784"/>
      <c r="X758" s="784"/>
      <c r="Y758" s="784"/>
      <c r="Z758" s="793" t="str">
        <f>VLOOKUP(L758,اس!$S$3:$X$31,3,FALSE)</f>
        <v>.</v>
      </c>
      <c r="AA758" s="793"/>
    </row>
    <row r="759" spans="1:27" ht="17.25">
      <c r="A759" s="922"/>
      <c r="B759" s="922"/>
      <c r="C759" s="922"/>
      <c r="I759" s="922"/>
      <c r="J759" s="922"/>
      <c r="K759" s="922"/>
      <c r="L759" s="777">
        <v>5</v>
      </c>
      <c r="M759" s="778"/>
      <c r="N759" s="976">
        <v>0</v>
      </c>
      <c r="O759" s="1020">
        <v>702</v>
      </c>
      <c r="P759" s="858" t="e">
        <f>VLOOKUP(N759,etat!$A$9:$N$1004,2,FALSE)</f>
        <v>#N/A</v>
      </c>
      <c r="Q759" s="797" t="e">
        <f>VLOOKUP(N759,etat!$A$9:$N$963,7,FALSE)</f>
        <v>#N/A</v>
      </c>
      <c r="R759" s="928" t="e">
        <f>VLOOKUP(N759,etat!$A$9:$N$1003,9,FALSE)</f>
        <v>#N/A</v>
      </c>
      <c r="S759" s="866" t="e">
        <f>VLOOKUP(N759,etat!$A$9:$P$905,16,FALSE)</f>
        <v>#N/A</v>
      </c>
      <c r="T759" s="755"/>
      <c r="U759" s="791"/>
      <c r="V759" s="784"/>
      <c r="W759" s="784"/>
      <c r="X759" s="784"/>
      <c r="Y759" s="784"/>
      <c r="Z759" s="793" t="str">
        <f>VLOOKUP(L759,اس!$S$3:$X$31,3,FALSE)</f>
        <v>.</v>
      </c>
      <c r="AA759" s="793"/>
    </row>
    <row r="760" spans="1:27" ht="17.25">
      <c r="A760" s="922"/>
      <c r="B760" s="922"/>
      <c r="C760" s="922"/>
      <c r="I760" s="922"/>
      <c r="J760" s="922"/>
      <c r="K760" s="922"/>
      <c r="L760" s="777">
        <v>5</v>
      </c>
      <c r="M760" s="778"/>
      <c r="N760" s="976">
        <v>0</v>
      </c>
      <c r="O760" s="1020">
        <v>703</v>
      </c>
      <c r="P760" s="858" t="e">
        <f>VLOOKUP(N760,etat!$A$9:$N$1004,2,FALSE)</f>
        <v>#N/A</v>
      </c>
      <c r="Q760" s="797" t="e">
        <f>VLOOKUP(N760,etat!$A$9:$N$963,7,FALSE)</f>
        <v>#N/A</v>
      </c>
      <c r="R760" s="928" t="e">
        <f>VLOOKUP(N760,etat!$A$9:$N$1003,9,FALSE)</f>
        <v>#N/A</v>
      </c>
      <c r="S760" s="866" t="e">
        <f>VLOOKUP(N760,etat!$A$9:$P$905,16,FALSE)</f>
        <v>#N/A</v>
      </c>
      <c r="T760" s="755"/>
      <c r="U760" s="791"/>
      <c r="V760" s="784"/>
      <c r="W760" s="784"/>
      <c r="X760" s="784"/>
      <c r="Y760" s="784"/>
      <c r="Z760" s="793" t="str">
        <f>VLOOKUP(L760,اس!$S$3:$X$31,3,FALSE)</f>
        <v>.</v>
      </c>
      <c r="AA760" s="793"/>
    </row>
    <row r="761" spans="1:27" ht="17.25">
      <c r="A761" s="922"/>
      <c r="B761" s="922"/>
      <c r="C761" s="922"/>
      <c r="I761" s="922"/>
      <c r="J761" s="922"/>
      <c r="K761" s="922"/>
      <c r="L761" s="777">
        <v>5</v>
      </c>
      <c r="M761" s="778"/>
      <c r="N761" s="976">
        <v>0</v>
      </c>
      <c r="O761" s="1020">
        <v>704</v>
      </c>
      <c r="P761" s="858" t="e">
        <f>VLOOKUP(N761,etat!$A$9:$N$1004,2,FALSE)</f>
        <v>#N/A</v>
      </c>
      <c r="Q761" s="797" t="e">
        <f>VLOOKUP(N761,etat!$A$9:$N$963,7,FALSE)</f>
        <v>#N/A</v>
      </c>
      <c r="R761" s="928" t="e">
        <f>VLOOKUP(N761,etat!$A$9:$N$1003,9,FALSE)</f>
        <v>#N/A</v>
      </c>
      <c r="S761" s="866" t="e">
        <f>VLOOKUP(N761,etat!$A$9:$P$905,16,FALSE)</f>
        <v>#N/A</v>
      </c>
      <c r="T761" s="755"/>
      <c r="U761" s="791"/>
      <c r="V761" s="784"/>
      <c r="W761" s="784"/>
      <c r="X761" s="784"/>
      <c r="Y761" s="784"/>
      <c r="Z761" s="793" t="str">
        <f>VLOOKUP(L761,اس!$S$3:$X$31,3,FALSE)</f>
        <v>.</v>
      </c>
      <c r="AA761" s="793"/>
    </row>
    <row r="762" spans="1:27" ht="17.25">
      <c r="L762" s="777">
        <v>5</v>
      </c>
      <c r="M762" s="778"/>
      <c r="N762" s="976">
        <v>0</v>
      </c>
      <c r="O762" s="1020">
        <v>705</v>
      </c>
      <c r="P762" s="858" t="e">
        <f>VLOOKUP(N762,etat!$A$9:$N$1004,2,FALSE)</f>
        <v>#N/A</v>
      </c>
      <c r="Q762" s="797" t="e">
        <f>VLOOKUP(N762,etat!$A$9:$N$963,7,FALSE)</f>
        <v>#N/A</v>
      </c>
      <c r="R762" s="928" t="e">
        <f>VLOOKUP(N762,etat!$A$9:$N$1003,9,FALSE)</f>
        <v>#N/A</v>
      </c>
      <c r="S762" s="866" t="e">
        <f>VLOOKUP(N762,etat!$A$9:$P$905,16,FALSE)</f>
        <v>#N/A</v>
      </c>
      <c r="T762" s="755"/>
      <c r="U762" s="791"/>
      <c r="V762" s="784"/>
      <c r="W762" s="784"/>
      <c r="X762" s="784"/>
      <c r="Y762" s="784"/>
      <c r="Z762" s="793" t="str">
        <f>VLOOKUP(L762,اس!$S$3:$X$31,3,FALSE)</f>
        <v>.</v>
      </c>
      <c r="AA762" s="793"/>
    </row>
    <row r="763" spans="1:27" ht="17.25">
      <c r="L763" s="777">
        <v>5</v>
      </c>
      <c r="M763" s="778"/>
      <c r="N763" s="976">
        <v>0</v>
      </c>
      <c r="O763" s="1020">
        <v>706</v>
      </c>
      <c r="P763" s="858" t="e">
        <f>VLOOKUP(N763,etat!$A$9:$N$1004,2,FALSE)</f>
        <v>#N/A</v>
      </c>
      <c r="Q763" s="797" t="e">
        <f>VLOOKUP(N763,etat!$A$9:$N$963,7,FALSE)</f>
        <v>#N/A</v>
      </c>
      <c r="R763" s="928" t="e">
        <f>VLOOKUP(N763,etat!$A$9:$N$1003,9,FALSE)</f>
        <v>#N/A</v>
      </c>
      <c r="S763" s="866" t="e">
        <f>VLOOKUP(N763,etat!$A$9:$P$905,16,FALSE)</f>
        <v>#N/A</v>
      </c>
      <c r="T763" s="755"/>
      <c r="U763" s="791"/>
      <c r="V763" s="784"/>
      <c r="W763" s="784"/>
      <c r="X763" s="784"/>
      <c r="Y763" s="784"/>
      <c r="Z763" s="793" t="str">
        <f>VLOOKUP(L763,اس!$S$3:$X$31,3,FALSE)</f>
        <v>.</v>
      </c>
      <c r="AA763" s="793"/>
    </row>
    <row r="764" spans="1:27" ht="17.25">
      <c r="L764" s="777">
        <v>5</v>
      </c>
      <c r="M764" s="778"/>
      <c r="N764" s="976">
        <v>0</v>
      </c>
      <c r="O764" s="1020">
        <v>707</v>
      </c>
      <c r="P764" s="858" t="e">
        <f>VLOOKUP(N764,etat!$A$9:$N$1004,2,FALSE)</f>
        <v>#N/A</v>
      </c>
      <c r="Q764" s="797" t="e">
        <f>VLOOKUP(N764,etat!$A$9:$N$963,7,FALSE)</f>
        <v>#N/A</v>
      </c>
      <c r="R764" s="928" t="e">
        <f>VLOOKUP(N764,etat!$A$9:$N$1003,9,FALSE)</f>
        <v>#N/A</v>
      </c>
      <c r="S764" s="866" t="e">
        <f>VLOOKUP(N764,etat!$A$9:$P$905,16,FALSE)</f>
        <v>#N/A</v>
      </c>
      <c r="T764" s="755"/>
      <c r="U764" s="791"/>
      <c r="V764" s="784"/>
      <c r="W764" s="784"/>
      <c r="X764" s="784"/>
      <c r="Y764" s="784"/>
      <c r="Z764" s="793" t="str">
        <f>VLOOKUP(L764,اس!$S$3:$X$31,3,FALSE)</f>
        <v>.</v>
      </c>
      <c r="AA764" s="793"/>
    </row>
    <row r="765" spans="1:27" ht="17.25">
      <c r="L765" s="777">
        <v>5</v>
      </c>
      <c r="M765" s="778"/>
      <c r="N765" s="976">
        <v>0</v>
      </c>
      <c r="O765" s="1020">
        <v>708</v>
      </c>
      <c r="P765" s="858" t="e">
        <f>VLOOKUP(N765,etat!$A$9:$N$1004,2,FALSE)</f>
        <v>#N/A</v>
      </c>
      <c r="Q765" s="797" t="e">
        <f>VLOOKUP(N765,etat!$A$9:$N$963,7,FALSE)</f>
        <v>#N/A</v>
      </c>
      <c r="R765" s="928" t="e">
        <f>VLOOKUP(N765,etat!$A$9:$N$1003,9,FALSE)</f>
        <v>#N/A</v>
      </c>
      <c r="S765" s="866" t="e">
        <f>VLOOKUP(N765,etat!$A$9:$P$905,16,FALSE)</f>
        <v>#N/A</v>
      </c>
      <c r="T765" s="755"/>
      <c r="U765" s="791"/>
      <c r="V765" s="784"/>
      <c r="W765" s="784"/>
      <c r="X765" s="784"/>
      <c r="Y765" s="784"/>
      <c r="Z765" s="793" t="str">
        <f>VLOOKUP(L765,اس!$S$3:$X$31,3,FALSE)</f>
        <v>.</v>
      </c>
      <c r="AA765" s="793"/>
    </row>
    <row r="766" spans="1:27" ht="17.25">
      <c r="L766" s="777">
        <v>5</v>
      </c>
      <c r="M766" s="778"/>
      <c r="N766" s="976">
        <v>0</v>
      </c>
      <c r="O766" s="1020">
        <v>709</v>
      </c>
      <c r="P766" s="858" t="e">
        <f>VLOOKUP(N766,etat!$A$9:$N$1004,2,FALSE)</f>
        <v>#N/A</v>
      </c>
      <c r="Q766" s="797" t="e">
        <f>VLOOKUP(N766,etat!$A$9:$N$963,7,FALSE)</f>
        <v>#N/A</v>
      </c>
      <c r="R766" s="928" t="e">
        <f>VLOOKUP(N766,etat!$A$9:$N$1003,9,FALSE)</f>
        <v>#N/A</v>
      </c>
      <c r="S766" s="866" t="e">
        <f>VLOOKUP(N766,etat!$A$9:$P$905,16,FALSE)</f>
        <v>#N/A</v>
      </c>
      <c r="T766" s="755"/>
      <c r="U766" s="791"/>
      <c r="V766" s="784"/>
      <c r="W766" s="784"/>
      <c r="X766" s="784"/>
      <c r="Y766" s="784"/>
      <c r="Z766" s="793" t="str">
        <f>VLOOKUP(L766,اس!$S$3:$X$31,3,FALSE)</f>
        <v>.</v>
      </c>
      <c r="AA766" s="793"/>
    </row>
    <row r="767" spans="1:27" ht="17.25">
      <c r="L767" s="777">
        <v>5</v>
      </c>
      <c r="M767" s="778"/>
      <c r="N767" s="976">
        <v>0</v>
      </c>
      <c r="O767" s="1020">
        <v>710</v>
      </c>
      <c r="P767" s="858" t="e">
        <f>VLOOKUP(N767,etat!$A$9:$N$1004,2,FALSE)</f>
        <v>#N/A</v>
      </c>
      <c r="Q767" s="797" t="e">
        <f>VLOOKUP(N767,etat!$A$9:$N$963,7,FALSE)</f>
        <v>#N/A</v>
      </c>
      <c r="R767" s="928" t="e">
        <f>VLOOKUP(N767,etat!$A$9:$N$1003,9,FALSE)</f>
        <v>#N/A</v>
      </c>
      <c r="S767" s="866" t="e">
        <f>VLOOKUP(N767,etat!$A$9:$P$905,16,FALSE)</f>
        <v>#N/A</v>
      </c>
      <c r="T767" s="755"/>
      <c r="U767" s="791"/>
      <c r="V767" s="784"/>
      <c r="W767" s="784"/>
      <c r="X767" s="784"/>
      <c r="Y767" s="784"/>
      <c r="Z767" s="793" t="str">
        <f>VLOOKUP(L767,اس!$S$3:$X$31,3,FALSE)</f>
        <v>.</v>
      </c>
      <c r="AA767" s="793"/>
    </row>
    <row r="768" spans="1:27" ht="17.25">
      <c r="L768" s="777">
        <v>5</v>
      </c>
      <c r="M768" s="778"/>
      <c r="N768" s="976">
        <v>0</v>
      </c>
      <c r="O768" s="1020">
        <v>711</v>
      </c>
      <c r="P768" s="858" t="e">
        <f>VLOOKUP(N768,etat!$A$9:$N$1004,2,FALSE)</f>
        <v>#N/A</v>
      </c>
      <c r="Q768" s="797" t="e">
        <f>VLOOKUP(N768,etat!$A$9:$N$963,7,FALSE)</f>
        <v>#N/A</v>
      </c>
      <c r="R768" s="928" t="e">
        <f>VLOOKUP(N768,etat!$A$9:$N$1003,9,FALSE)</f>
        <v>#N/A</v>
      </c>
      <c r="S768" s="866" t="e">
        <f>VLOOKUP(N768,etat!$A$9:$P$905,16,FALSE)</f>
        <v>#N/A</v>
      </c>
      <c r="T768" s="755"/>
      <c r="U768" s="791"/>
      <c r="V768" s="784"/>
      <c r="W768" s="784"/>
      <c r="X768" s="784"/>
      <c r="Y768" s="784"/>
      <c r="Z768" s="793" t="str">
        <f>VLOOKUP(L768,اس!$S$3:$X$31,3,FALSE)</f>
        <v>.</v>
      </c>
      <c r="AA768" s="793"/>
    </row>
    <row r="769" spans="12:27" ht="17.25">
      <c r="L769" s="777">
        <v>5</v>
      </c>
      <c r="M769" s="778"/>
      <c r="N769" s="976">
        <v>0</v>
      </c>
      <c r="O769" s="1020">
        <v>712</v>
      </c>
      <c r="P769" s="858" t="e">
        <f>VLOOKUP(N769,etat!$A$9:$N$1004,2,FALSE)</f>
        <v>#N/A</v>
      </c>
      <c r="Q769" s="797" t="e">
        <f>VLOOKUP(N769,etat!$A$9:$N$963,7,FALSE)</f>
        <v>#N/A</v>
      </c>
      <c r="R769" s="928" t="e">
        <f>VLOOKUP(N769,etat!$A$9:$N$1003,9,FALSE)</f>
        <v>#N/A</v>
      </c>
      <c r="S769" s="866" t="e">
        <f>VLOOKUP(N769,etat!$A$9:$P$905,16,FALSE)</f>
        <v>#N/A</v>
      </c>
      <c r="T769" s="755"/>
      <c r="U769" s="791"/>
      <c r="V769" s="784"/>
      <c r="W769" s="784"/>
      <c r="X769" s="784"/>
      <c r="Y769" s="784"/>
      <c r="Z769" s="793" t="str">
        <f>VLOOKUP(L769,اس!$S$3:$X$31,3,FALSE)</f>
        <v>.</v>
      </c>
      <c r="AA769" s="793"/>
    </row>
    <row r="770" spans="12:27" ht="17.25">
      <c r="L770" s="777">
        <v>5</v>
      </c>
      <c r="M770" s="778"/>
      <c r="N770" s="976">
        <v>0</v>
      </c>
      <c r="O770" s="1020">
        <v>713</v>
      </c>
      <c r="P770" s="858" t="e">
        <f>VLOOKUP(N770,etat!$A$9:$N$1004,2,FALSE)</f>
        <v>#N/A</v>
      </c>
      <c r="Q770" s="797" t="e">
        <f>VLOOKUP(N770,etat!$A$9:$N$963,7,FALSE)</f>
        <v>#N/A</v>
      </c>
      <c r="R770" s="928" t="e">
        <f>VLOOKUP(N770,etat!$A$9:$N$1003,9,FALSE)</f>
        <v>#N/A</v>
      </c>
      <c r="S770" s="866" t="e">
        <f>VLOOKUP(N770,etat!$A$9:$P$905,16,FALSE)</f>
        <v>#N/A</v>
      </c>
      <c r="T770" s="755"/>
      <c r="U770" s="791"/>
      <c r="V770" s="784"/>
      <c r="W770" s="784"/>
      <c r="X770" s="784"/>
      <c r="Y770" s="784"/>
      <c r="Z770" s="793" t="str">
        <f>VLOOKUP(L770,اس!$S$3:$X$31,3,FALSE)</f>
        <v>.</v>
      </c>
      <c r="AA770" s="793"/>
    </row>
    <row r="771" spans="12:27" ht="17.25">
      <c r="L771" s="777">
        <v>5</v>
      </c>
      <c r="M771" s="778"/>
      <c r="N771" s="976">
        <v>0</v>
      </c>
      <c r="O771" s="1020">
        <v>714</v>
      </c>
      <c r="P771" s="858" t="e">
        <f>VLOOKUP(N771,etat!$A$9:$N$1004,2,FALSE)</f>
        <v>#N/A</v>
      </c>
      <c r="Q771" s="797" t="e">
        <f>VLOOKUP(N771,etat!$A$9:$N$963,7,FALSE)</f>
        <v>#N/A</v>
      </c>
      <c r="R771" s="928" t="e">
        <f>VLOOKUP(N771,etat!$A$9:$N$1003,9,FALSE)</f>
        <v>#N/A</v>
      </c>
      <c r="S771" s="866" t="e">
        <f>VLOOKUP(N771,etat!$A$9:$P$905,16,FALSE)</f>
        <v>#N/A</v>
      </c>
      <c r="T771" s="755"/>
      <c r="U771" s="791"/>
      <c r="V771" s="784"/>
      <c r="W771" s="784"/>
      <c r="X771" s="784"/>
      <c r="Y771" s="784"/>
      <c r="Z771" s="793" t="str">
        <f>VLOOKUP(L771,اس!$S$3:$X$31,3,FALSE)</f>
        <v>.</v>
      </c>
      <c r="AA771" s="793"/>
    </row>
    <row r="772" spans="12:27" ht="17.25">
      <c r="L772" s="777">
        <v>5</v>
      </c>
      <c r="M772" s="778"/>
      <c r="N772" s="976">
        <v>0</v>
      </c>
      <c r="O772" s="1020">
        <v>715</v>
      </c>
      <c r="P772" s="858" t="e">
        <f>VLOOKUP(N772,etat!$A$9:$N$1004,2,FALSE)</f>
        <v>#N/A</v>
      </c>
      <c r="Q772" s="797" t="e">
        <f>VLOOKUP(N772,etat!$A$9:$N$963,7,FALSE)</f>
        <v>#N/A</v>
      </c>
      <c r="R772" s="928" t="e">
        <f>VLOOKUP(N772,etat!$A$9:$N$1003,9,FALSE)</f>
        <v>#N/A</v>
      </c>
      <c r="S772" s="866" t="e">
        <f>VLOOKUP(N772,etat!$A$9:$P$905,16,FALSE)</f>
        <v>#N/A</v>
      </c>
      <c r="T772" s="755"/>
      <c r="U772" s="791"/>
      <c r="V772" s="784"/>
      <c r="W772" s="784"/>
      <c r="X772" s="784"/>
      <c r="Y772" s="784"/>
      <c r="Z772" s="793" t="str">
        <f>VLOOKUP(L772,اس!$S$3:$X$31,3,FALSE)</f>
        <v>.</v>
      </c>
      <c r="AA772" s="793"/>
    </row>
    <row r="773" spans="12:27" ht="17.25">
      <c r="L773" s="777">
        <v>5</v>
      </c>
      <c r="M773" s="778"/>
      <c r="N773" s="976">
        <v>0</v>
      </c>
      <c r="O773" s="1020">
        <v>716</v>
      </c>
      <c r="P773" s="858" t="e">
        <f>VLOOKUP(N773,etat!$A$9:$N$1004,2,FALSE)</f>
        <v>#N/A</v>
      </c>
      <c r="Q773" s="797" t="e">
        <f>VLOOKUP(N773,etat!$A$9:$N$963,7,FALSE)</f>
        <v>#N/A</v>
      </c>
      <c r="R773" s="928" t="e">
        <f>VLOOKUP(N773,etat!$A$9:$N$1003,9,FALSE)</f>
        <v>#N/A</v>
      </c>
      <c r="S773" s="866" t="e">
        <f>VLOOKUP(N773,etat!$A$9:$P$905,16,FALSE)</f>
        <v>#N/A</v>
      </c>
      <c r="T773" s="755"/>
      <c r="U773" s="791"/>
      <c r="V773" s="784"/>
      <c r="W773" s="784"/>
      <c r="X773" s="784"/>
      <c r="Y773" s="784"/>
      <c r="Z773" s="793" t="str">
        <f>VLOOKUP(L773,اس!$S$3:$X$31,3,FALSE)</f>
        <v>.</v>
      </c>
      <c r="AA773" s="793"/>
    </row>
    <row r="774" spans="12:27" ht="17.25">
      <c r="L774" s="777">
        <v>5</v>
      </c>
      <c r="M774" s="778"/>
      <c r="N774" s="976">
        <v>0</v>
      </c>
      <c r="O774" s="1020">
        <v>717</v>
      </c>
      <c r="P774" s="858" t="e">
        <f>VLOOKUP(N774,etat!$A$9:$N$1004,2,FALSE)</f>
        <v>#N/A</v>
      </c>
      <c r="Q774" s="797" t="e">
        <f>VLOOKUP(N774,etat!$A$9:$N$963,7,FALSE)</f>
        <v>#N/A</v>
      </c>
      <c r="R774" s="928" t="e">
        <f>VLOOKUP(N774,etat!$A$9:$N$1003,9,FALSE)</f>
        <v>#N/A</v>
      </c>
      <c r="S774" s="866" t="e">
        <f>VLOOKUP(N774,etat!$A$9:$P$905,16,FALSE)</f>
        <v>#N/A</v>
      </c>
      <c r="T774" s="755"/>
      <c r="U774" s="791"/>
      <c r="V774" s="784"/>
      <c r="W774" s="784"/>
      <c r="X774" s="784"/>
      <c r="Y774" s="784"/>
      <c r="Z774" s="793" t="str">
        <f>VLOOKUP(L774,اس!$S$3:$X$31,3,FALSE)</f>
        <v>.</v>
      </c>
      <c r="AA774" s="793"/>
    </row>
    <row r="775" spans="12:27" ht="17.25">
      <c r="L775" s="777">
        <v>5</v>
      </c>
      <c r="M775" s="778"/>
      <c r="N775" s="976">
        <v>0</v>
      </c>
      <c r="O775" s="1020">
        <v>718</v>
      </c>
      <c r="P775" s="858" t="e">
        <f>VLOOKUP(N775,etat!$A$9:$N$1004,2,FALSE)</f>
        <v>#N/A</v>
      </c>
      <c r="Q775" s="797" t="e">
        <f>VLOOKUP(N775,etat!$A$9:$N$963,7,FALSE)</f>
        <v>#N/A</v>
      </c>
      <c r="R775" s="928" t="e">
        <f>VLOOKUP(N775,etat!$A$9:$N$1003,9,FALSE)</f>
        <v>#N/A</v>
      </c>
      <c r="S775" s="866" t="e">
        <f>VLOOKUP(N775,etat!$A$9:$P$905,16,FALSE)</f>
        <v>#N/A</v>
      </c>
      <c r="T775" s="755"/>
      <c r="U775" s="791"/>
      <c r="V775" s="784"/>
      <c r="W775" s="784"/>
      <c r="X775" s="784"/>
      <c r="Y775" s="784"/>
      <c r="Z775" s="793" t="str">
        <f>VLOOKUP(L775,اس!$S$3:$X$31,3,FALSE)</f>
        <v>.</v>
      </c>
      <c r="AA775" s="793"/>
    </row>
    <row r="776" spans="12:27" ht="17.25">
      <c r="L776" s="777">
        <v>5</v>
      </c>
      <c r="M776" s="778"/>
      <c r="N776" s="976">
        <v>0</v>
      </c>
      <c r="O776" s="1020">
        <v>719</v>
      </c>
      <c r="P776" s="858" t="e">
        <f>VLOOKUP(N776,etat!$A$9:$N$1004,2,FALSE)</f>
        <v>#N/A</v>
      </c>
      <c r="Q776" s="797" t="e">
        <f>VLOOKUP(N776,etat!$A$9:$N$963,7,FALSE)</f>
        <v>#N/A</v>
      </c>
      <c r="R776" s="928" t="e">
        <f>VLOOKUP(N776,etat!$A$9:$N$1003,9,FALSE)</f>
        <v>#N/A</v>
      </c>
      <c r="S776" s="866" t="e">
        <f>VLOOKUP(N776,etat!$A$9:$P$905,16,FALSE)</f>
        <v>#N/A</v>
      </c>
      <c r="T776" s="755"/>
      <c r="U776" s="791"/>
      <c r="V776" s="784"/>
      <c r="W776" s="784"/>
      <c r="X776" s="784"/>
      <c r="Y776" s="784"/>
      <c r="Z776" s="793" t="str">
        <f>VLOOKUP(L776,اس!$S$3:$X$31,3,FALSE)</f>
        <v>.</v>
      </c>
      <c r="AA776" s="793"/>
    </row>
    <row r="777" spans="12:27" ht="17.25">
      <c r="L777" s="777">
        <v>5</v>
      </c>
      <c r="M777" s="778"/>
      <c r="N777" s="976">
        <v>0</v>
      </c>
      <c r="O777" s="1020">
        <v>720</v>
      </c>
      <c r="P777" s="858" t="e">
        <f>VLOOKUP(N777,etat!$A$9:$N$1004,2,FALSE)</f>
        <v>#N/A</v>
      </c>
      <c r="Q777" s="797" t="e">
        <f>VLOOKUP(N777,etat!$A$9:$N$963,7,FALSE)</f>
        <v>#N/A</v>
      </c>
      <c r="R777" s="928" t="e">
        <f>VLOOKUP(N777,etat!$A$9:$N$1003,9,FALSE)</f>
        <v>#N/A</v>
      </c>
      <c r="S777" s="866" t="e">
        <f>VLOOKUP(N777,etat!$A$9:$P$905,16,FALSE)</f>
        <v>#N/A</v>
      </c>
      <c r="T777" s="755"/>
      <c r="U777" s="791"/>
      <c r="V777" s="784"/>
      <c r="W777" s="784"/>
      <c r="X777" s="784"/>
      <c r="Y777" s="784"/>
      <c r="Z777" s="793" t="str">
        <f>VLOOKUP(L777,اس!$S$3:$X$31,3,FALSE)</f>
        <v>.</v>
      </c>
      <c r="AA777" s="793"/>
    </row>
    <row r="778" spans="12:27" ht="17.25">
      <c r="L778" s="777">
        <v>5</v>
      </c>
      <c r="M778" s="778"/>
      <c r="N778" s="976">
        <v>0</v>
      </c>
      <c r="O778" s="1020">
        <v>721</v>
      </c>
      <c r="P778" s="858" t="e">
        <f>VLOOKUP(N778,etat!$A$9:$N$1004,2,FALSE)</f>
        <v>#N/A</v>
      </c>
      <c r="Q778" s="797" t="e">
        <f>VLOOKUP(N778,etat!$A$9:$N$963,7,FALSE)</f>
        <v>#N/A</v>
      </c>
      <c r="R778" s="928" t="e">
        <f>VLOOKUP(N778,etat!$A$9:$N$1003,9,FALSE)</f>
        <v>#N/A</v>
      </c>
      <c r="S778" s="866" t="e">
        <f>VLOOKUP(N778,etat!$A$9:$P$905,16,FALSE)</f>
        <v>#N/A</v>
      </c>
      <c r="T778" s="755"/>
      <c r="U778" s="791"/>
      <c r="V778" s="784"/>
      <c r="W778" s="784"/>
      <c r="X778" s="784"/>
      <c r="Y778" s="784"/>
      <c r="Z778" s="793" t="str">
        <f>VLOOKUP(L778,اس!$S$3:$X$31,3,FALSE)</f>
        <v>.</v>
      </c>
      <c r="AA778" s="793"/>
    </row>
    <row r="779" spans="12:27" ht="17.25">
      <c r="L779" s="777">
        <v>5</v>
      </c>
      <c r="M779" s="778"/>
      <c r="N779" s="976">
        <v>0</v>
      </c>
      <c r="O779" s="1020">
        <v>722</v>
      </c>
      <c r="P779" s="858" t="e">
        <f>VLOOKUP(N779,etat!$A$9:$N$1004,2,FALSE)</f>
        <v>#N/A</v>
      </c>
      <c r="Q779" s="797" t="e">
        <f>VLOOKUP(N779,etat!$A$9:$N$963,7,FALSE)</f>
        <v>#N/A</v>
      </c>
      <c r="R779" s="928" t="e">
        <f>VLOOKUP(N779,etat!$A$9:$N$1003,9,FALSE)</f>
        <v>#N/A</v>
      </c>
      <c r="S779" s="866" t="e">
        <f>VLOOKUP(N779,etat!$A$9:$P$905,16,FALSE)</f>
        <v>#N/A</v>
      </c>
      <c r="T779" s="755"/>
      <c r="U779" s="791"/>
      <c r="V779" s="784"/>
      <c r="W779" s="755"/>
      <c r="X779" s="784"/>
      <c r="Y779" s="784"/>
      <c r="Z779" s="793" t="str">
        <f>VLOOKUP(L779,اس!$S$3:$X$31,3,FALSE)</f>
        <v>.</v>
      </c>
      <c r="AA779" s="793"/>
    </row>
    <row r="780" spans="12:27" ht="17.25">
      <c r="L780" s="777">
        <v>5</v>
      </c>
      <c r="M780" s="778"/>
      <c r="N780" s="976">
        <v>0</v>
      </c>
      <c r="O780" s="1020">
        <v>723</v>
      </c>
      <c r="P780" s="858" t="e">
        <f>VLOOKUP(N780,etat!$A$9:$N$1004,2,FALSE)</f>
        <v>#N/A</v>
      </c>
      <c r="Q780" s="797" t="e">
        <f>VLOOKUP(N780,etat!$A$9:$N$963,7,FALSE)</f>
        <v>#N/A</v>
      </c>
      <c r="R780" s="928" t="e">
        <f>VLOOKUP(N780,etat!$A$9:$N$1003,9,FALSE)</f>
        <v>#N/A</v>
      </c>
      <c r="S780" s="866" t="e">
        <f>VLOOKUP(N780,etat!$A$9:$P$905,16,FALSE)</f>
        <v>#N/A</v>
      </c>
      <c r="T780" s="755"/>
      <c r="U780" s="791"/>
      <c r="V780" s="784"/>
      <c r="W780" s="784"/>
      <c r="X780" s="784"/>
      <c r="Y780" s="784"/>
      <c r="Z780" s="793" t="str">
        <f>VLOOKUP(L780,اس!$S$3:$X$31,3,FALSE)</f>
        <v>.</v>
      </c>
      <c r="AA780" s="793"/>
    </row>
    <row r="781" spans="12:27" ht="17.25">
      <c r="L781" s="777">
        <v>5</v>
      </c>
      <c r="M781" s="778"/>
      <c r="N781" s="976">
        <v>0</v>
      </c>
      <c r="O781" s="1020">
        <v>724</v>
      </c>
      <c r="P781" s="858" t="e">
        <f>VLOOKUP(N781,etat!$A$9:$N$1004,2,FALSE)</f>
        <v>#N/A</v>
      </c>
      <c r="Q781" s="797" t="e">
        <f>VLOOKUP(N781,etat!$A$9:$N$963,7,FALSE)</f>
        <v>#N/A</v>
      </c>
      <c r="R781" s="928" t="e">
        <f>VLOOKUP(N781,etat!$A$9:$N$1003,9,FALSE)</f>
        <v>#N/A</v>
      </c>
      <c r="S781" s="866" t="e">
        <f>VLOOKUP(N781,etat!$A$9:$P$905,16,FALSE)</f>
        <v>#N/A</v>
      </c>
      <c r="T781" s="755"/>
      <c r="U781" s="791"/>
      <c r="V781" s="784"/>
      <c r="W781" s="784"/>
      <c r="X781" s="784"/>
      <c r="Y781" s="784"/>
      <c r="Z781" s="793" t="str">
        <f>VLOOKUP(L781,اس!$S$3:$X$31,3,FALSE)</f>
        <v>.</v>
      </c>
      <c r="AA781" s="793"/>
    </row>
    <row r="782" spans="12:27" ht="17.25">
      <c r="L782" s="777">
        <v>5</v>
      </c>
      <c r="M782" s="778"/>
      <c r="N782" s="976">
        <v>0</v>
      </c>
      <c r="O782" s="1020">
        <v>725</v>
      </c>
      <c r="P782" s="858" t="e">
        <f>VLOOKUP(N782,etat!$A$9:$N$1004,2,FALSE)</f>
        <v>#N/A</v>
      </c>
      <c r="Q782" s="797" t="e">
        <f>VLOOKUP(N782,etat!$A$9:$N$963,7,FALSE)</f>
        <v>#N/A</v>
      </c>
      <c r="R782" s="928" t="e">
        <f>VLOOKUP(N782,etat!$A$9:$N$1003,9,FALSE)</f>
        <v>#N/A</v>
      </c>
      <c r="S782" s="866" t="e">
        <f>VLOOKUP(N782,etat!$A$9:$P$905,16,FALSE)</f>
        <v>#N/A</v>
      </c>
      <c r="T782" s="755"/>
      <c r="U782" s="791"/>
      <c r="V782" s="784"/>
      <c r="W782" s="784"/>
      <c r="X782" s="784"/>
      <c r="Y782" s="784"/>
      <c r="Z782" s="793" t="str">
        <f>VLOOKUP(L782,اس!$S$3:$X$31,3,FALSE)</f>
        <v>.</v>
      </c>
      <c r="AA782" s="793"/>
    </row>
    <row r="783" spans="12:27" ht="17.25">
      <c r="L783" s="777">
        <v>5</v>
      </c>
      <c r="M783" s="778"/>
      <c r="N783" s="976">
        <v>0</v>
      </c>
      <c r="O783" s="1020">
        <v>726</v>
      </c>
      <c r="P783" s="858" t="e">
        <f>VLOOKUP(N783,etat!$A$9:$N$1004,2,FALSE)</f>
        <v>#N/A</v>
      </c>
      <c r="Q783" s="797" t="e">
        <f>VLOOKUP(N783,etat!$A$9:$N$963,7,FALSE)</f>
        <v>#N/A</v>
      </c>
      <c r="R783" s="928" t="e">
        <f>VLOOKUP(N783,etat!$A$9:$N$1003,9,FALSE)</f>
        <v>#N/A</v>
      </c>
      <c r="S783" s="866" t="e">
        <f>VLOOKUP(N783,etat!$A$9:$P$905,16,FALSE)</f>
        <v>#N/A</v>
      </c>
      <c r="T783" s="755"/>
      <c r="U783" s="791"/>
      <c r="V783" s="784"/>
      <c r="W783" s="784"/>
      <c r="X783" s="784"/>
      <c r="Y783" s="784"/>
      <c r="Z783" s="793" t="str">
        <f>VLOOKUP(L783,اس!$S$3:$X$31,3,FALSE)</f>
        <v>.</v>
      </c>
      <c r="AA783" s="793"/>
    </row>
    <row r="784" spans="12:27" ht="17.25">
      <c r="L784" s="777">
        <v>5</v>
      </c>
      <c r="M784" s="778"/>
      <c r="N784" s="976">
        <v>0</v>
      </c>
      <c r="O784" s="1020">
        <v>727</v>
      </c>
      <c r="P784" s="858" t="e">
        <f>VLOOKUP(N784,etat!$A$9:$N$1004,2,FALSE)</f>
        <v>#N/A</v>
      </c>
      <c r="Q784" s="797" t="e">
        <f>VLOOKUP(N784,etat!$A$9:$N$963,7,FALSE)</f>
        <v>#N/A</v>
      </c>
      <c r="R784" s="928" t="e">
        <f>VLOOKUP(N784,etat!$A$9:$N$1003,9,FALSE)</f>
        <v>#N/A</v>
      </c>
      <c r="S784" s="866" t="e">
        <f>VLOOKUP(N784,etat!$A$9:$P$905,16,FALSE)</f>
        <v>#N/A</v>
      </c>
      <c r="T784" s="755"/>
      <c r="U784" s="791"/>
      <c r="V784" s="784"/>
      <c r="W784" s="784"/>
      <c r="X784" s="784"/>
      <c r="Y784" s="784"/>
      <c r="Z784" s="793" t="str">
        <f>VLOOKUP(L784,اس!$S$3:$X$31,3,FALSE)</f>
        <v>.</v>
      </c>
      <c r="AA784" s="793"/>
    </row>
    <row r="785" spans="12:27" ht="17.25">
      <c r="L785" s="777">
        <v>5</v>
      </c>
      <c r="M785" s="778"/>
      <c r="N785" s="976">
        <v>0</v>
      </c>
      <c r="O785" s="1020">
        <v>728</v>
      </c>
      <c r="P785" s="858" t="e">
        <f>VLOOKUP(N785,etat!$A$9:$N$1004,2,FALSE)</f>
        <v>#N/A</v>
      </c>
      <c r="Q785" s="797" t="e">
        <f>VLOOKUP(N785,etat!$A$9:$N$963,7,FALSE)</f>
        <v>#N/A</v>
      </c>
      <c r="R785" s="928" t="e">
        <f>VLOOKUP(N785,etat!$A$9:$N$1003,9,FALSE)</f>
        <v>#N/A</v>
      </c>
      <c r="S785" s="866" t="e">
        <f>VLOOKUP(N785,etat!$A$9:$P$905,16,FALSE)</f>
        <v>#N/A</v>
      </c>
      <c r="T785" s="755"/>
      <c r="U785" s="791"/>
      <c r="V785" s="784"/>
      <c r="W785" s="784"/>
      <c r="X785" s="784"/>
      <c r="Y785" s="784"/>
      <c r="Z785" s="793" t="str">
        <f>VLOOKUP(L785,اس!$S$3:$X$31,3,FALSE)</f>
        <v>.</v>
      </c>
      <c r="AA785" s="793"/>
    </row>
    <row r="786" spans="12:27" ht="17.25">
      <c r="L786" s="777">
        <v>5</v>
      </c>
      <c r="M786" s="778"/>
      <c r="N786" s="976">
        <v>0</v>
      </c>
      <c r="O786" s="1020">
        <v>729</v>
      </c>
      <c r="P786" s="858" t="e">
        <f>VLOOKUP(N786,etat!$A$9:$N$1004,2,FALSE)</f>
        <v>#N/A</v>
      </c>
      <c r="Q786" s="797" t="e">
        <f>VLOOKUP(N786,etat!$A$9:$N$963,7,FALSE)</f>
        <v>#N/A</v>
      </c>
      <c r="R786" s="928" t="e">
        <f>VLOOKUP(N786,etat!$A$9:$N$1003,9,FALSE)</f>
        <v>#N/A</v>
      </c>
      <c r="S786" s="866" t="e">
        <f>VLOOKUP(N786,etat!$A$9:$P$905,16,FALSE)</f>
        <v>#N/A</v>
      </c>
      <c r="T786" s="755"/>
      <c r="U786" s="791"/>
      <c r="V786" s="784"/>
      <c r="W786" s="784"/>
      <c r="X786" s="784"/>
      <c r="Y786" s="784"/>
      <c r="Z786" s="793" t="str">
        <f>VLOOKUP(L786,اس!$S$3:$X$31,3,FALSE)</f>
        <v>.</v>
      </c>
      <c r="AA786" s="793"/>
    </row>
    <row r="787" spans="12:27" ht="17.25">
      <c r="L787" s="777">
        <v>5</v>
      </c>
      <c r="M787" s="778"/>
      <c r="N787" s="976">
        <v>0</v>
      </c>
      <c r="O787" s="1020">
        <v>730</v>
      </c>
      <c r="P787" s="858" t="e">
        <f>VLOOKUP(N787,etat!$A$9:$N$1004,2,FALSE)</f>
        <v>#N/A</v>
      </c>
      <c r="Q787" s="797" t="e">
        <f>VLOOKUP(N787,etat!$A$9:$N$963,7,FALSE)</f>
        <v>#N/A</v>
      </c>
      <c r="R787" s="928" t="e">
        <f>VLOOKUP(N787,etat!$A$9:$N$1003,9,FALSE)</f>
        <v>#N/A</v>
      </c>
      <c r="S787" s="866" t="e">
        <f>VLOOKUP(N787,etat!$A$9:$P$905,16,FALSE)</f>
        <v>#N/A</v>
      </c>
      <c r="T787" s="755"/>
      <c r="U787" s="791"/>
      <c r="V787" s="784"/>
      <c r="W787" s="784"/>
      <c r="X787" s="784"/>
      <c r="Y787" s="784"/>
      <c r="Z787" s="793" t="str">
        <f>VLOOKUP(L787,اس!$S$3:$X$31,3,FALSE)</f>
        <v>.</v>
      </c>
      <c r="AA787" s="793"/>
    </row>
    <row r="788" spans="12:27" ht="17.25">
      <c r="L788" s="777">
        <v>5</v>
      </c>
      <c r="M788" s="778"/>
      <c r="N788" s="976">
        <v>0</v>
      </c>
      <c r="O788" s="1020">
        <v>731</v>
      </c>
      <c r="P788" s="858" t="e">
        <f>VLOOKUP(N788,etat!$A$9:$N$1004,2,FALSE)</f>
        <v>#N/A</v>
      </c>
      <c r="Q788" s="797" t="e">
        <f>VLOOKUP(N788,etat!$A$9:$N$963,7,FALSE)</f>
        <v>#N/A</v>
      </c>
      <c r="R788" s="928" t="e">
        <f>VLOOKUP(N788,etat!$A$9:$N$1003,9,FALSE)</f>
        <v>#N/A</v>
      </c>
      <c r="S788" s="866" t="e">
        <f>VLOOKUP(N788,etat!$A$9:$P$905,16,FALSE)</f>
        <v>#N/A</v>
      </c>
      <c r="T788" s="755"/>
      <c r="U788" s="791"/>
      <c r="V788" s="784"/>
      <c r="W788" s="784"/>
      <c r="X788" s="784"/>
      <c r="Y788" s="784"/>
      <c r="Z788" s="793" t="str">
        <f>VLOOKUP(L788,اس!$S$3:$X$31,3,FALSE)</f>
        <v>.</v>
      </c>
      <c r="AA788" s="793"/>
    </row>
    <row r="789" spans="12:27" ht="17.25">
      <c r="L789" s="777">
        <v>5</v>
      </c>
      <c r="M789" s="778"/>
      <c r="N789" s="976">
        <v>0</v>
      </c>
      <c r="O789" s="1020">
        <v>732</v>
      </c>
      <c r="P789" s="858" t="e">
        <f>VLOOKUP(N789,etat!$A$9:$N$1004,2,FALSE)</f>
        <v>#N/A</v>
      </c>
      <c r="Q789" s="797" t="e">
        <f>VLOOKUP(N789,etat!$A$9:$N$963,7,FALSE)</f>
        <v>#N/A</v>
      </c>
      <c r="R789" s="797" t="e">
        <f>VLOOKUP(N789,etat!$A$9:$N$1003,9,FALSE)</f>
        <v>#N/A</v>
      </c>
      <c r="S789" s="866" t="e">
        <f>VLOOKUP(N789,etat!$A$9:$P$905,16,FALSE)</f>
        <v>#N/A</v>
      </c>
      <c r="T789" s="755"/>
      <c r="U789" s="791"/>
      <c r="V789" s="784"/>
      <c r="W789" s="784"/>
      <c r="X789" s="784"/>
      <c r="Y789" s="784"/>
      <c r="Z789" s="793" t="str">
        <f>VLOOKUP(L789,اس!$S$3:$X$31,3,FALSE)</f>
        <v>.</v>
      </c>
      <c r="AA789" s="793"/>
    </row>
    <row r="790" spans="12:27" ht="17.25">
      <c r="L790" s="777">
        <v>5</v>
      </c>
      <c r="M790" s="778"/>
      <c r="N790" s="976">
        <v>0</v>
      </c>
      <c r="O790" s="1020">
        <v>733</v>
      </c>
      <c r="P790" s="858" t="e">
        <f>VLOOKUP(N790,etat!$A$9:$N$1004,2,FALSE)</f>
        <v>#N/A</v>
      </c>
      <c r="Q790" s="797" t="e">
        <f>VLOOKUP(N790,etat!$A$9:$N$963,7,FALSE)</f>
        <v>#N/A</v>
      </c>
      <c r="R790" s="797" t="e">
        <f>VLOOKUP(N790,etat!$A$9:$N$1003,9,FALSE)</f>
        <v>#N/A</v>
      </c>
      <c r="S790" s="866" t="e">
        <f>VLOOKUP(N790,etat!$A$9:$P$905,16,FALSE)</f>
        <v>#N/A</v>
      </c>
      <c r="T790" s="755"/>
      <c r="U790" s="791"/>
      <c r="V790" s="784"/>
      <c r="W790" s="784"/>
      <c r="X790" s="784"/>
      <c r="Y790" s="784"/>
      <c r="Z790" s="793" t="str">
        <f>VLOOKUP(L790,اس!$S$3:$X$31,3,FALSE)</f>
        <v>.</v>
      </c>
      <c r="AA790" s="793"/>
    </row>
    <row r="791" spans="12:27" ht="17.25">
      <c r="L791" s="777">
        <v>5</v>
      </c>
      <c r="M791" s="778"/>
      <c r="N791" s="976">
        <v>0</v>
      </c>
      <c r="O791" s="1020">
        <v>734</v>
      </c>
      <c r="P791" s="858" t="e">
        <f>VLOOKUP(N791,etat!$A$9:$N$1004,2,FALSE)</f>
        <v>#N/A</v>
      </c>
      <c r="Q791" s="797" t="e">
        <f>VLOOKUP(N791,etat!$A$9:$N$963,7,FALSE)</f>
        <v>#N/A</v>
      </c>
      <c r="R791" s="797" t="e">
        <f>VLOOKUP(N791,etat!$A$9:$N$1003,9,FALSE)</f>
        <v>#N/A</v>
      </c>
      <c r="S791" s="866" t="e">
        <f>VLOOKUP(N791,etat!$A$9:$P$905,16,FALSE)</f>
        <v>#N/A</v>
      </c>
      <c r="T791" s="755"/>
      <c r="U791" s="791"/>
      <c r="V791" s="784"/>
      <c r="W791" s="784"/>
      <c r="X791" s="784"/>
      <c r="Y791" s="784"/>
      <c r="Z791" s="793" t="str">
        <f>VLOOKUP(L791,اس!$S$3:$X$31,3,FALSE)</f>
        <v>.</v>
      </c>
      <c r="AA791" s="793"/>
    </row>
    <row r="792" spans="12:27" ht="17.25">
      <c r="L792" s="777">
        <v>5</v>
      </c>
      <c r="M792" s="778"/>
      <c r="N792" s="976">
        <v>0</v>
      </c>
      <c r="O792" s="1020">
        <v>735</v>
      </c>
      <c r="P792" s="858" t="e">
        <f>VLOOKUP(N792,etat!$A$9:$N$1004,2,FALSE)</f>
        <v>#N/A</v>
      </c>
      <c r="Q792" s="797" t="e">
        <f>VLOOKUP(N792,etat!$A$9:$N$963,7,FALSE)</f>
        <v>#N/A</v>
      </c>
      <c r="R792" s="797" t="e">
        <f>VLOOKUP(N792,etat!$A$9:$N$1003,9,FALSE)</f>
        <v>#N/A</v>
      </c>
      <c r="S792" s="866" t="e">
        <f>VLOOKUP(N792,etat!$A$9:$P$905,16,FALSE)</f>
        <v>#N/A</v>
      </c>
      <c r="T792" s="755"/>
      <c r="U792" s="791"/>
      <c r="V792" s="784"/>
      <c r="W792" s="784"/>
      <c r="X792" s="784"/>
      <c r="Y792" s="784"/>
      <c r="Z792" s="793" t="str">
        <f>VLOOKUP(L792,اس!$S$3:$X$31,3,FALSE)</f>
        <v>.</v>
      </c>
      <c r="AA792" s="793"/>
    </row>
    <row r="793" spans="12:27" ht="17.25">
      <c r="L793" s="777">
        <v>5</v>
      </c>
      <c r="M793" s="778"/>
      <c r="N793" s="976">
        <v>0</v>
      </c>
      <c r="O793" s="1020">
        <v>736</v>
      </c>
      <c r="P793" s="858" t="e">
        <f>VLOOKUP(N793,etat!$A$9:$N$1004,2,FALSE)</f>
        <v>#N/A</v>
      </c>
      <c r="Q793" s="797" t="e">
        <f>VLOOKUP(N793,etat!$A$9:$N$963,7,FALSE)</f>
        <v>#N/A</v>
      </c>
      <c r="R793" s="797" t="e">
        <f>VLOOKUP(N793,etat!$A$9:$N$1003,9,FALSE)</f>
        <v>#N/A</v>
      </c>
      <c r="S793" s="866" t="e">
        <f>VLOOKUP(N793,etat!$A$9:$P$905,16,FALSE)</f>
        <v>#N/A</v>
      </c>
      <c r="T793" s="755"/>
      <c r="U793" s="791"/>
      <c r="V793" s="784"/>
      <c r="W793" s="784"/>
      <c r="X793" s="784"/>
      <c r="Y793" s="784"/>
      <c r="Z793" s="793" t="str">
        <f>VLOOKUP(L793,اس!$S$3:$X$31,3,FALSE)</f>
        <v>.</v>
      </c>
      <c r="AA793" s="793"/>
    </row>
    <row r="794" spans="12:27" ht="17.25">
      <c r="L794" s="777">
        <v>5</v>
      </c>
      <c r="M794" s="778"/>
      <c r="N794" s="976">
        <v>0</v>
      </c>
      <c r="O794" s="1020">
        <v>737</v>
      </c>
      <c r="P794" s="858" t="e">
        <f>VLOOKUP(N794,etat!$A$9:$N$1004,2,FALSE)</f>
        <v>#N/A</v>
      </c>
      <c r="Q794" s="797" t="e">
        <f>VLOOKUP(N794,etat!$A$9:$N$963,7,FALSE)</f>
        <v>#N/A</v>
      </c>
      <c r="R794" s="797" t="e">
        <f>VLOOKUP(N794,etat!$A$9:$N$1003,9,FALSE)</f>
        <v>#N/A</v>
      </c>
      <c r="S794" s="866" t="e">
        <f>VLOOKUP(N794,etat!$A$9:$P$905,16,FALSE)</f>
        <v>#N/A</v>
      </c>
      <c r="T794" s="755"/>
      <c r="U794" s="791"/>
      <c r="V794" s="784"/>
      <c r="W794" s="784"/>
      <c r="X794" s="784"/>
      <c r="Y794" s="784"/>
      <c r="Z794" s="793" t="str">
        <f>VLOOKUP(L794,اس!$S$3:$X$31,3,FALSE)</f>
        <v>.</v>
      </c>
      <c r="AA794" s="793"/>
    </row>
    <row r="795" spans="12:27" ht="17.25">
      <c r="L795" s="777">
        <v>5</v>
      </c>
      <c r="M795" s="778"/>
      <c r="N795" s="976">
        <v>0</v>
      </c>
      <c r="O795" s="1020">
        <v>738</v>
      </c>
      <c r="P795" s="858" t="e">
        <f>VLOOKUP(N795,etat!$A$9:$N$1004,2,FALSE)</f>
        <v>#N/A</v>
      </c>
      <c r="Q795" s="797" t="e">
        <f>VLOOKUP(N795,etat!$A$9:$N$963,7,FALSE)</f>
        <v>#N/A</v>
      </c>
      <c r="R795" s="797" t="e">
        <f>VLOOKUP(N795,etat!$A$9:$N$1003,9,FALSE)</f>
        <v>#N/A</v>
      </c>
      <c r="S795" s="866" t="e">
        <f>VLOOKUP(N795,etat!$A$9:$P$905,16,FALSE)</f>
        <v>#N/A</v>
      </c>
      <c r="T795" s="755"/>
      <c r="U795" s="791"/>
      <c r="V795" s="784"/>
      <c r="W795" s="784"/>
      <c r="X795" s="784"/>
      <c r="Y795" s="784"/>
      <c r="Z795" s="793" t="str">
        <f>VLOOKUP(L795,اس!$S$3:$X$31,3,FALSE)</f>
        <v>.</v>
      </c>
      <c r="AA795" s="793"/>
    </row>
    <row r="796" spans="12:27" ht="17.25">
      <c r="L796" s="777">
        <v>5</v>
      </c>
      <c r="M796" s="778"/>
      <c r="N796" s="976">
        <v>0</v>
      </c>
      <c r="O796" s="1020">
        <v>739</v>
      </c>
      <c r="P796" s="858" t="e">
        <f>VLOOKUP(N796,etat!$A$9:$N$1004,2,FALSE)</f>
        <v>#N/A</v>
      </c>
      <c r="Q796" s="797" t="e">
        <f>VLOOKUP(N796,etat!$A$9:$N$963,7,FALSE)</f>
        <v>#N/A</v>
      </c>
      <c r="R796" s="797" t="e">
        <f>VLOOKUP(N796,etat!$A$9:$N$1003,9,FALSE)</f>
        <v>#N/A</v>
      </c>
      <c r="S796" s="866" t="e">
        <f>VLOOKUP(N796,etat!$A$9:$P$905,16,FALSE)</f>
        <v>#N/A</v>
      </c>
      <c r="T796" s="755"/>
      <c r="U796" s="791"/>
      <c r="V796" s="784"/>
      <c r="W796" s="784"/>
      <c r="X796" s="784"/>
      <c r="Y796" s="784"/>
      <c r="Z796" s="793" t="str">
        <f>VLOOKUP(L796,اس!$S$3:$X$31,3,FALSE)</f>
        <v>.</v>
      </c>
      <c r="AA796" s="793"/>
    </row>
    <row r="797" spans="12:27" ht="17.25">
      <c r="L797" s="777">
        <v>5</v>
      </c>
      <c r="M797" s="778"/>
      <c r="N797" s="976">
        <v>0</v>
      </c>
      <c r="O797" s="1020">
        <v>740</v>
      </c>
      <c r="P797" s="858" t="e">
        <f>VLOOKUP(N797,etat!$A$9:$N$1004,2,FALSE)</f>
        <v>#N/A</v>
      </c>
      <c r="Q797" s="797" t="e">
        <f>VLOOKUP(N797,etat!$A$9:$N$963,7,FALSE)</f>
        <v>#N/A</v>
      </c>
      <c r="R797" s="797" t="e">
        <f>VLOOKUP(N797,etat!$A$9:$N$1003,9,FALSE)</f>
        <v>#N/A</v>
      </c>
      <c r="S797" s="866" t="e">
        <f>VLOOKUP(N797,etat!$A$9:$P$905,16,FALSE)</f>
        <v>#N/A</v>
      </c>
      <c r="T797" s="755"/>
      <c r="U797" s="791"/>
      <c r="V797" s="784"/>
      <c r="W797" s="784"/>
      <c r="X797" s="784"/>
      <c r="Y797" s="784"/>
      <c r="Z797" s="793" t="str">
        <f>VLOOKUP(L797,اس!$S$3:$X$31,3,FALSE)</f>
        <v>.</v>
      </c>
      <c r="AA797" s="793"/>
    </row>
    <row r="798" spans="12:27" ht="17.25">
      <c r="L798" s="777">
        <v>5</v>
      </c>
      <c r="M798" s="778"/>
      <c r="N798" s="976">
        <v>0</v>
      </c>
      <c r="O798" s="1020">
        <v>741</v>
      </c>
      <c r="P798" s="858" t="e">
        <f>VLOOKUP(N798,etat!$A$9:$N$1004,2,FALSE)</f>
        <v>#N/A</v>
      </c>
      <c r="Q798" s="797" t="e">
        <f>VLOOKUP(N798,etat!$A$9:$N$963,7,FALSE)</f>
        <v>#N/A</v>
      </c>
      <c r="R798" s="797" t="e">
        <f>VLOOKUP(N798,etat!$A$9:$N$1003,9,FALSE)</f>
        <v>#N/A</v>
      </c>
      <c r="S798" s="866" t="e">
        <f>VLOOKUP(N798,etat!$A$9:$P$905,16,FALSE)</f>
        <v>#N/A</v>
      </c>
      <c r="T798" s="755"/>
      <c r="U798" s="791"/>
      <c r="V798" s="784"/>
      <c r="W798" s="784"/>
      <c r="X798" s="784"/>
      <c r="Y798" s="784"/>
      <c r="Z798" s="793" t="str">
        <f>VLOOKUP(L798,اس!$S$3:$X$31,3,FALSE)</f>
        <v>.</v>
      </c>
      <c r="AA798" s="793"/>
    </row>
    <row r="799" spans="12:27" ht="17.25">
      <c r="L799" s="777">
        <v>5</v>
      </c>
      <c r="M799" s="778"/>
      <c r="N799" s="976">
        <v>0</v>
      </c>
      <c r="O799" s="1020">
        <v>742</v>
      </c>
      <c r="P799" s="858" t="e">
        <f>VLOOKUP(N799,etat!$A$9:$N$1004,2,FALSE)</f>
        <v>#N/A</v>
      </c>
      <c r="Q799" s="797" t="e">
        <f>VLOOKUP(N799,etat!$A$9:$N$963,7,FALSE)</f>
        <v>#N/A</v>
      </c>
      <c r="R799" s="797" t="e">
        <f>VLOOKUP(N799,etat!$A$9:$N$1003,9,FALSE)</f>
        <v>#N/A</v>
      </c>
      <c r="S799" s="866" t="e">
        <f>VLOOKUP(N799,etat!$A$9:$P$905,16,FALSE)</f>
        <v>#N/A</v>
      </c>
      <c r="T799" s="755"/>
      <c r="U799" s="791"/>
      <c r="V799" s="784"/>
      <c r="W799" s="784"/>
      <c r="X799" s="784"/>
      <c r="Y799" s="784"/>
      <c r="Z799" s="793" t="str">
        <f>VLOOKUP(L799,اس!$S$3:$X$31,3,FALSE)</f>
        <v>.</v>
      </c>
      <c r="AA799" s="793"/>
    </row>
    <row r="800" spans="12:27" ht="17.25">
      <c r="L800" s="777">
        <v>5</v>
      </c>
      <c r="M800" s="778"/>
      <c r="N800" s="976">
        <v>0</v>
      </c>
      <c r="O800" s="1020">
        <v>743</v>
      </c>
      <c r="P800" s="858" t="e">
        <f>VLOOKUP(N800,etat!$A$9:$N$1004,2,FALSE)</f>
        <v>#N/A</v>
      </c>
      <c r="Q800" s="797" t="e">
        <f>VLOOKUP(N800,etat!$A$9:$N$963,7,FALSE)</f>
        <v>#N/A</v>
      </c>
      <c r="R800" s="797" t="e">
        <f>VLOOKUP(N800,etat!$A$9:$N$1003,9,FALSE)</f>
        <v>#N/A</v>
      </c>
      <c r="S800" s="866" t="e">
        <f>VLOOKUP(N800,etat!$A$9:$P$905,16,FALSE)</f>
        <v>#N/A</v>
      </c>
      <c r="T800" s="755"/>
      <c r="U800" s="791"/>
      <c r="V800" s="784"/>
      <c r="W800" s="784"/>
      <c r="X800" s="784"/>
      <c r="Y800" s="784"/>
      <c r="Z800" s="793" t="str">
        <f>VLOOKUP(L800,اس!$S$3:$X$31,3,FALSE)</f>
        <v>.</v>
      </c>
      <c r="AA800" s="793"/>
    </row>
    <row r="801" spans="12:27" ht="17.25">
      <c r="L801" s="777">
        <v>5</v>
      </c>
      <c r="M801" s="778"/>
      <c r="N801" s="976">
        <v>0</v>
      </c>
      <c r="O801" s="1020">
        <v>744</v>
      </c>
      <c r="P801" s="858" t="e">
        <f>VLOOKUP(N801,etat!$A$9:$N$1004,2,FALSE)</f>
        <v>#N/A</v>
      </c>
      <c r="Q801" s="797" t="e">
        <f>VLOOKUP(N801,etat!$A$9:$N$963,7,FALSE)</f>
        <v>#N/A</v>
      </c>
      <c r="R801" s="797" t="e">
        <f>VLOOKUP(N801,etat!$A$9:$N$1003,9,FALSE)</f>
        <v>#N/A</v>
      </c>
      <c r="S801" s="866" t="e">
        <f>VLOOKUP(N801,etat!$A$9:$P$905,16,FALSE)</f>
        <v>#N/A</v>
      </c>
      <c r="T801" s="755"/>
      <c r="U801" s="791"/>
      <c r="V801" s="784"/>
      <c r="W801" s="784"/>
      <c r="X801" s="784"/>
      <c r="Y801" s="784"/>
      <c r="Z801" s="793" t="str">
        <f>VLOOKUP(L801,اس!$S$3:$X$31,3,FALSE)</f>
        <v>.</v>
      </c>
      <c r="AA801" s="793"/>
    </row>
    <row r="802" spans="12:27" ht="17.25">
      <c r="L802" s="777">
        <v>5</v>
      </c>
      <c r="M802" s="778"/>
      <c r="N802" s="976">
        <v>0</v>
      </c>
      <c r="O802" s="1020">
        <v>745</v>
      </c>
      <c r="P802" s="858" t="e">
        <f>VLOOKUP(N802,etat!$A$9:$N$1004,2,FALSE)</f>
        <v>#N/A</v>
      </c>
      <c r="Q802" s="797" t="e">
        <f>VLOOKUP(N802,etat!$A$9:$N$963,7,FALSE)</f>
        <v>#N/A</v>
      </c>
      <c r="R802" s="797" t="e">
        <f>VLOOKUP(N802,etat!$A$9:$N$1003,9,FALSE)</f>
        <v>#N/A</v>
      </c>
      <c r="S802" s="866" t="e">
        <f>VLOOKUP(N802,etat!$A$9:$P$905,16,FALSE)</f>
        <v>#N/A</v>
      </c>
      <c r="T802" s="755"/>
      <c r="U802" s="791"/>
      <c r="V802" s="784"/>
      <c r="W802" s="784"/>
      <c r="X802" s="784"/>
      <c r="Y802" s="784"/>
      <c r="Z802" s="793" t="str">
        <f>VLOOKUP(L802,اس!$S$3:$X$31,3,FALSE)</f>
        <v>.</v>
      </c>
      <c r="AA802" s="793"/>
    </row>
    <row r="803" spans="12:27" ht="17.25">
      <c r="L803" s="777">
        <v>5</v>
      </c>
      <c r="M803" s="778"/>
      <c r="N803" s="976">
        <v>0</v>
      </c>
      <c r="O803" s="1020">
        <v>746</v>
      </c>
      <c r="P803" s="858" t="e">
        <f>VLOOKUP(N803,etat!$A$9:$N$1004,2,FALSE)</f>
        <v>#N/A</v>
      </c>
      <c r="Q803" s="797" t="e">
        <f>VLOOKUP(N803,etat!$A$9:$N$963,7,FALSE)</f>
        <v>#N/A</v>
      </c>
      <c r="R803" s="797" t="e">
        <f>VLOOKUP(N803,etat!$A$9:$N$1003,9,FALSE)</f>
        <v>#N/A</v>
      </c>
      <c r="S803" s="866" t="e">
        <f>VLOOKUP(N803,etat!$A$9:$P$905,16,FALSE)</f>
        <v>#N/A</v>
      </c>
      <c r="T803" s="755"/>
      <c r="U803" s="791"/>
      <c r="V803" s="784"/>
      <c r="W803" s="784"/>
      <c r="X803" s="784"/>
      <c r="Y803" s="848"/>
      <c r="Z803" s="793" t="str">
        <f>VLOOKUP(L803,اس!$S$3:$X$31,3,FALSE)</f>
        <v>.</v>
      </c>
      <c r="AA803" s="766"/>
    </row>
    <row r="804" spans="12:27" ht="17.25">
      <c r="L804" s="777">
        <v>5</v>
      </c>
      <c r="M804" s="778"/>
      <c r="N804" s="976">
        <v>0</v>
      </c>
      <c r="O804" s="1020">
        <v>747</v>
      </c>
      <c r="P804" s="858" t="e">
        <f>VLOOKUP(N804,etat!$A$9:$N$1004,2,FALSE)</f>
        <v>#N/A</v>
      </c>
      <c r="Q804" s="797" t="e">
        <f>VLOOKUP(N804,etat!$A$9:$N$963,7,FALSE)</f>
        <v>#N/A</v>
      </c>
      <c r="R804" s="797" t="e">
        <f>VLOOKUP(N804,etat!$A$9:$N$1003,9,FALSE)</f>
        <v>#N/A</v>
      </c>
      <c r="S804" s="866" t="e">
        <f>VLOOKUP(N804,etat!$A$9:$P$905,16,FALSE)</f>
        <v>#N/A</v>
      </c>
      <c r="T804" s="755"/>
      <c r="U804" s="791"/>
      <c r="V804" s="784"/>
      <c r="W804" s="784"/>
      <c r="X804" s="784"/>
      <c r="Y804" s="848"/>
      <c r="Z804" s="793" t="str">
        <f>VLOOKUP(L804,اس!$S$3:$X$31,3,FALSE)</f>
        <v>.</v>
      </c>
      <c r="AA804" s="766"/>
    </row>
    <row r="805" spans="12:27" ht="17.25">
      <c r="L805" s="777">
        <v>5</v>
      </c>
      <c r="M805" s="778"/>
      <c r="N805" s="976">
        <v>0</v>
      </c>
      <c r="O805" s="1020">
        <v>748</v>
      </c>
      <c r="P805" s="858" t="e">
        <f>VLOOKUP(N805,etat!$A$9:$N$1004,2,FALSE)</f>
        <v>#N/A</v>
      </c>
      <c r="Q805" s="797" t="e">
        <f>VLOOKUP(N805,etat!$A$9:$N$963,7,FALSE)</f>
        <v>#N/A</v>
      </c>
      <c r="R805" s="797" t="e">
        <f>VLOOKUP(N805,etat!$A$9:$N$1003,9,FALSE)</f>
        <v>#N/A</v>
      </c>
      <c r="S805" s="797" t="e">
        <f>VLOOKUP(N805,etat!$A$9:$P$905,16,FALSE)</f>
        <v>#N/A</v>
      </c>
      <c r="T805" s="755"/>
      <c r="U805" s="791"/>
      <c r="V805" s="784"/>
      <c r="W805" s="784"/>
      <c r="X805" s="784"/>
      <c r="Y805" s="848"/>
      <c r="Z805" s="793" t="str">
        <f>VLOOKUP(L805,اس!$S$3:$X$31,3,FALSE)</f>
        <v>.</v>
      </c>
      <c r="AA805" s="766"/>
    </row>
    <row r="806" spans="12:27" ht="17.25">
      <c r="L806" s="777">
        <v>5</v>
      </c>
      <c r="M806" s="778"/>
      <c r="N806" s="976">
        <v>0</v>
      </c>
      <c r="O806" s="1020">
        <v>749</v>
      </c>
      <c r="P806" s="858" t="e">
        <f>VLOOKUP(N806,etat!$A$9:$N$1004,2,FALSE)</f>
        <v>#N/A</v>
      </c>
      <c r="Q806" s="797" t="e">
        <f>VLOOKUP(N806,etat!$A$9:$N$963,7,FALSE)</f>
        <v>#N/A</v>
      </c>
      <c r="R806" s="797" t="e">
        <f>VLOOKUP(N806,etat!$A$9:$N$1003,9,FALSE)</f>
        <v>#N/A</v>
      </c>
      <c r="S806" s="797" t="e">
        <f>VLOOKUP(N806,etat!$A$9:$P$905,16,FALSE)</f>
        <v>#N/A</v>
      </c>
      <c r="T806" s="755"/>
      <c r="U806" s="791"/>
      <c r="V806" s="784"/>
      <c r="W806" s="784"/>
      <c r="X806" s="784"/>
      <c r="Y806" s="848"/>
      <c r="Z806" s="793" t="str">
        <f>VLOOKUP(L806,اس!$S$3:$X$31,3,FALSE)</f>
        <v>.</v>
      </c>
      <c r="AA806" s="766"/>
    </row>
    <row r="807" spans="12:27" ht="17.25">
      <c r="L807" s="777">
        <v>5</v>
      </c>
      <c r="M807" s="778"/>
      <c r="N807" s="976">
        <v>0</v>
      </c>
      <c r="O807" s="1020">
        <v>750</v>
      </c>
      <c r="P807" s="858" t="e">
        <f>VLOOKUP(N807,etat!$A$9:$N$1004,2,FALSE)</f>
        <v>#N/A</v>
      </c>
      <c r="Q807" s="797" t="e">
        <f>VLOOKUP(N807,etat!$A$9:$N$963,7,FALSE)</f>
        <v>#N/A</v>
      </c>
      <c r="R807" s="928" t="e">
        <f>VLOOKUP(N807,etat!$A$9:$N$1003,9,FALSE)</f>
        <v>#N/A</v>
      </c>
      <c r="S807" s="797" t="e">
        <f>VLOOKUP(N807,etat!$A$9:$P$905,16,FALSE)</f>
        <v>#N/A</v>
      </c>
      <c r="T807" s="755"/>
      <c r="U807" s="791"/>
      <c r="V807" s="784"/>
      <c r="W807" s="784"/>
      <c r="X807" s="784"/>
      <c r="Y807" s="784"/>
      <c r="Z807" s="793" t="str">
        <f>VLOOKUP(L807,اس!$S$3:$X$31,3,FALSE)</f>
        <v>.</v>
      </c>
      <c r="AA807" s="766"/>
    </row>
    <row r="808" spans="12:27" ht="17.25">
      <c r="L808" s="777">
        <v>5</v>
      </c>
      <c r="M808" s="778"/>
      <c r="N808" s="976">
        <v>0</v>
      </c>
      <c r="O808" s="1020">
        <v>751</v>
      </c>
      <c r="P808" s="858" t="e">
        <f>VLOOKUP(N808,etat!$A$9:$N$1004,2,FALSE)</f>
        <v>#N/A</v>
      </c>
      <c r="Q808" s="797" t="e">
        <f>VLOOKUP(N808,etat!$A$9:$N$963,7,FALSE)</f>
        <v>#N/A</v>
      </c>
      <c r="R808" s="928" t="e">
        <f>VLOOKUP(N808,etat!$A$9:$N$1003,9,FALSE)</f>
        <v>#N/A</v>
      </c>
      <c r="S808" s="797" t="e">
        <f>VLOOKUP(N808,etat!$A$9:$P$905,16,FALSE)</f>
        <v>#N/A</v>
      </c>
      <c r="T808" s="755"/>
      <c r="U808" s="791"/>
      <c r="V808" s="784"/>
      <c r="W808" s="784"/>
      <c r="X808" s="784"/>
      <c r="Y808" s="784"/>
      <c r="Z808" s="793" t="str">
        <f>VLOOKUP(L808,اس!$S$3:$X$31,3,FALSE)</f>
        <v>.</v>
      </c>
      <c r="AA808" s="766"/>
    </row>
    <row r="809" spans="12:27" ht="17.25">
      <c r="L809" s="777">
        <v>5</v>
      </c>
      <c r="M809" s="778"/>
      <c r="N809" s="976">
        <v>0</v>
      </c>
      <c r="O809" s="1020">
        <v>752</v>
      </c>
      <c r="P809" s="858" t="e">
        <f>VLOOKUP(N809,etat!$A$9:$N$1004,2,FALSE)</f>
        <v>#N/A</v>
      </c>
      <c r="Q809" s="797" t="e">
        <f>VLOOKUP(N809,etat!$A$9:$N$963,7,FALSE)</f>
        <v>#N/A</v>
      </c>
      <c r="R809" s="928" t="e">
        <f>VLOOKUP(N809,etat!$A$9:$N$1003,9,FALSE)</f>
        <v>#N/A</v>
      </c>
      <c r="S809" s="797" t="e">
        <f>VLOOKUP(N809,etat!$A$9:$P$905,16,FALSE)</f>
        <v>#N/A</v>
      </c>
      <c r="T809" s="755"/>
      <c r="U809" s="791"/>
      <c r="V809" s="784"/>
      <c r="W809" s="784"/>
      <c r="X809" s="784"/>
      <c r="Y809" s="784"/>
      <c r="Z809" s="793" t="str">
        <f>VLOOKUP(L809,اس!$S$3:$X$31,3,FALSE)</f>
        <v>.</v>
      </c>
      <c r="AA809" s="766"/>
    </row>
    <row r="810" spans="12:27" ht="17.25">
      <c r="L810" s="777">
        <v>5</v>
      </c>
      <c r="M810" s="778"/>
      <c r="N810" s="976">
        <v>0</v>
      </c>
      <c r="O810" s="1020">
        <v>753</v>
      </c>
      <c r="P810" s="858" t="e">
        <f>VLOOKUP(N810,etat!$A$9:$N$1004,2,FALSE)</f>
        <v>#N/A</v>
      </c>
      <c r="Q810" s="797" t="e">
        <f>VLOOKUP(N810,etat!$A$9:$N$963,7,FALSE)</f>
        <v>#N/A</v>
      </c>
      <c r="R810" s="928" t="e">
        <f>VLOOKUP(N810,etat!$A$9:$N$1003,9,FALSE)</f>
        <v>#N/A</v>
      </c>
      <c r="S810" s="797" t="e">
        <f>VLOOKUP(N810,etat!$A$9:$P$905,16,FALSE)</f>
        <v>#N/A</v>
      </c>
      <c r="T810" s="755"/>
      <c r="U810" s="791"/>
      <c r="V810" s="784"/>
      <c r="W810" s="784"/>
      <c r="X810" s="784"/>
      <c r="Y810" s="784"/>
      <c r="Z810" s="793" t="str">
        <f>VLOOKUP(L810,اس!$S$3:$X$31,3,FALSE)</f>
        <v>.</v>
      </c>
      <c r="AA810" s="766"/>
    </row>
    <row r="811" spans="12:27" ht="17.25">
      <c r="L811" s="777">
        <v>5</v>
      </c>
      <c r="M811" s="778"/>
      <c r="N811" s="976">
        <v>0</v>
      </c>
      <c r="O811" s="1020">
        <v>754</v>
      </c>
      <c r="P811" s="858" t="e">
        <f>VLOOKUP(N811,etat!$A$9:$N$1004,2,FALSE)</f>
        <v>#N/A</v>
      </c>
      <c r="Q811" s="797" t="e">
        <f>VLOOKUP(N811,etat!$A$9:$N$963,7,FALSE)</f>
        <v>#N/A</v>
      </c>
      <c r="R811" s="928" t="e">
        <f>VLOOKUP(N811,etat!$A$9:$N$1003,9,FALSE)</f>
        <v>#N/A</v>
      </c>
      <c r="S811" s="797" t="e">
        <f>VLOOKUP(N811,etat!$A$9:$P$905,16,FALSE)</f>
        <v>#N/A</v>
      </c>
      <c r="T811" s="755"/>
      <c r="U811" s="791"/>
      <c r="V811" s="784"/>
      <c r="W811" s="755"/>
      <c r="X811" s="784"/>
      <c r="Y811" s="784"/>
      <c r="Z811" s="793" t="str">
        <f>VLOOKUP(L811,اس!$S$3:$X$31,3,FALSE)</f>
        <v>.</v>
      </c>
      <c r="AA811" s="766"/>
    </row>
    <row r="812" spans="12:27" ht="17.25">
      <c r="L812" s="777">
        <v>5</v>
      </c>
      <c r="M812" s="778"/>
      <c r="N812" s="976">
        <v>0</v>
      </c>
      <c r="O812" s="1020">
        <v>755</v>
      </c>
      <c r="P812" s="858" t="e">
        <f>VLOOKUP(N812,etat!$A$9:$N$1004,2,FALSE)</f>
        <v>#N/A</v>
      </c>
      <c r="Q812" s="797" t="e">
        <f>VLOOKUP(N812,etat!$A$9:$N$963,7,FALSE)</f>
        <v>#N/A</v>
      </c>
      <c r="R812" s="928" t="e">
        <f>VLOOKUP(N812,etat!$A$9:$N$1003,9,FALSE)</f>
        <v>#N/A</v>
      </c>
      <c r="S812" s="797" t="e">
        <f>VLOOKUP(N812,etat!$A$9:$P$905,16,FALSE)</f>
        <v>#N/A</v>
      </c>
      <c r="T812" s="755"/>
      <c r="U812" s="791"/>
      <c r="V812" s="784"/>
      <c r="W812" s="784"/>
      <c r="X812" s="784"/>
      <c r="Y812" s="784"/>
      <c r="Z812" s="793" t="str">
        <f>VLOOKUP(L812,اس!$S$3:$X$31,3,FALSE)</f>
        <v>.</v>
      </c>
      <c r="AA812" s="766"/>
    </row>
    <row r="813" spans="12:27" ht="17.25">
      <c r="L813" s="777">
        <v>5</v>
      </c>
      <c r="M813" s="778"/>
      <c r="N813" s="976">
        <v>0</v>
      </c>
      <c r="O813" s="1020">
        <v>756</v>
      </c>
      <c r="P813" s="858" t="e">
        <f>VLOOKUP(N813,etat!$A$9:$N$1004,2,FALSE)</f>
        <v>#N/A</v>
      </c>
      <c r="Q813" s="797" t="e">
        <f>VLOOKUP(N813,etat!$A$9:$N$963,7,FALSE)</f>
        <v>#N/A</v>
      </c>
      <c r="R813" s="928" t="e">
        <f>VLOOKUP(N813,etat!$A$9:$N$1003,9,FALSE)</f>
        <v>#N/A</v>
      </c>
      <c r="S813" s="797" t="e">
        <f>VLOOKUP(N813,etat!$A$9:$P$905,16,FALSE)</f>
        <v>#N/A</v>
      </c>
      <c r="T813" s="755"/>
      <c r="U813" s="791"/>
      <c r="V813" s="784"/>
      <c r="W813" s="784"/>
      <c r="X813" s="784"/>
      <c r="Y813" s="784"/>
      <c r="Z813" s="793" t="str">
        <f>VLOOKUP(L813,اس!$S$3:$X$31,3,FALSE)</f>
        <v>.</v>
      </c>
      <c r="AA813" s="766"/>
    </row>
    <row r="814" spans="12:27" ht="17.25">
      <c r="L814" s="777">
        <v>5</v>
      </c>
      <c r="M814" s="778"/>
      <c r="N814" s="976">
        <v>0</v>
      </c>
      <c r="O814" s="1020">
        <v>757</v>
      </c>
      <c r="P814" s="858" t="e">
        <f>VLOOKUP(N814,etat!$A$9:$N$1004,2,FALSE)</f>
        <v>#N/A</v>
      </c>
      <c r="Q814" s="797" t="e">
        <f>VLOOKUP(N814,etat!$A$9:$N$963,7,FALSE)</f>
        <v>#N/A</v>
      </c>
      <c r="R814" s="928" t="e">
        <f>VLOOKUP(N814,etat!$A$9:$N$1003,9,FALSE)</f>
        <v>#N/A</v>
      </c>
      <c r="S814" s="797" t="e">
        <f>VLOOKUP(N814,etat!$A$9:$P$905,16,FALSE)</f>
        <v>#N/A</v>
      </c>
      <c r="T814" s="755"/>
      <c r="U814" s="791"/>
      <c r="V814" s="784"/>
      <c r="W814" s="784"/>
      <c r="X814" s="784"/>
      <c r="Y814" s="784"/>
      <c r="Z814" s="793" t="str">
        <f>VLOOKUP(L814,اس!$S$3:$X$31,3,FALSE)</f>
        <v>.</v>
      </c>
      <c r="AA814" s="766"/>
    </row>
    <row r="815" spans="12:27" ht="17.25">
      <c r="L815" s="777">
        <v>5</v>
      </c>
      <c r="M815" s="778"/>
      <c r="N815" s="976">
        <v>0</v>
      </c>
      <c r="O815" s="1020">
        <v>758</v>
      </c>
      <c r="P815" s="858" t="e">
        <f>VLOOKUP(N815,etat!$A$9:$N$1004,2,FALSE)</f>
        <v>#N/A</v>
      </c>
      <c r="Q815" s="797" t="e">
        <f>VLOOKUP(N815,etat!$A$9:$N$963,7,FALSE)</f>
        <v>#N/A</v>
      </c>
      <c r="R815" s="928" t="e">
        <f>VLOOKUP(N815,etat!$A$9:$N$1003,9,FALSE)</f>
        <v>#N/A</v>
      </c>
      <c r="S815" s="797" t="e">
        <f>VLOOKUP(N815,etat!$A$9:$P$905,16,FALSE)</f>
        <v>#N/A</v>
      </c>
      <c r="T815" s="755"/>
      <c r="U815" s="791"/>
      <c r="V815" s="784"/>
      <c r="W815" s="784"/>
      <c r="X815" s="784"/>
      <c r="Y815" s="784"/>
      <c r="Z815" s="793" t="str">
        <f>VLOOKUP(L815,اس!$S$3:$X$31,3,FALSE)</f>
        <v>.</v>
      </c>
      <c r="AA815" s="766"/>
    </row>
    <row r="816" spans="12:27" ht="17.25">
      <c r="L816" s="777">
        <v>5</v>
      </c>
      <c r="M816" s="778"/>
      <c r="N816" s="976">
        <v>0</v>
      </c>
      <c r="O816" s="1020">
        <v>759</v>
      </c>
      <c r="P816" s="858" t="e">
        <f>VLOOKUP(N816,etat!$A$9:$N$1004,2,FALSE)</f>
        <v>#N/A</v>
      </c>
      <c r="Q816" s="797" t="e">
        <f>VLOOKUP(N816,etat!$A$9:$N$963,7,FALSE)</f>
        <v>#N/A</v>
      </c>
      <c r="R816" s="928" t="e">
        <f>VLOOKUP(N816,etat!$A$9:$N$1003,9,FALSE)</f>
        <v>#N/A</v>
      </c>
      <c r="S816" s="797" t="e">
        <f>VLOOKUP(N816,etat!$A$9:$P$905,16,FALSE)</f>
        <v>#N/A</v>
      </c>
      <c r="T816" s="755"/>
      <c r="U816" s="791"/>
      <c r="V816" s="784"/>
      <c r="W816" s="784"/>
      <c r="X816" s="784"/>
      <c r="Y816" s="784"/>
      <c r="Z816" s="793" t="str">
        <f>VLOOKUP(L816,اس!$S$3:$X$31,3,FALSE)</f>
        <v>.</v>
      </c>
      <c r="AA816" s="766"/>
    </row>
    <row r="817" spans="12:27" ht="17.25">
      <c r="L817" s="777">
        <v>5</v>
      </c>
      <c r="M817" s="778"/>
      <c r="N817" s="976">
        <v>0</v>
      </c>
      <c r="O817" s="1020">
        <v>760</v>
      </c>
      <c r="P817" s="858" t="e">
        <f>VLOOKUP(N817,etat!$A$9:$N$1004,2,FALSE)</f>
        <v>#N/A</v>
      </c>
      <c r="Q817" s="797" t="e">
        <f>VLOOKUP(N817,etat!$A$9:$N$963,7,FALSE)</f>
        <v>#N/A</v>
      </c>
      <c r="R817" s="928" t="e">
        <f>VLOOKUP(N817,etat!$A$9:$N$1003,9,FALSE)</f>
        <v>#N/A</v>
      </c>
      <c r="S817" s="797" t="e">
        <f>VLOOKUP(N817,etat!$A$9:$P$905,16,FALSE)</f>
        <v>#N/A</v>
      </c>
      <c r="T817" s="755"/>
      <c r="U817" s="791"/>
      <c r="V817" s="784"/>
      <c r="W817" s="784"/>
      <c r="X817" s="784"/>
      <c r="Y817" s="784"/>
      <c r="Z817" s="793" t="str">
        <f>VLOOKUP(L817,اس!$S$3:$X$31,3,FALSE)</f>
        <v>.</v>
      </c>
      <c r="AA817" s="766"/>
    </row>
    <row r="818" spans="12:27" ht="17.25">
      <c r="L818" s="777">
        <v>5</v>
      </c>
      <c r="M818" s="778"/>
      <c r="N818" s="976">
        <v>0</v>
      </c>
      <c r="O818" s="1020">
        <v>761</v>
      </c>
      <c r="P818" s="858" t="e">
        <f>VLOOKUP(N818,etat!$A$9:$N$1004,2,FALSE)</f>
        <v>#N/A</v>
      </c>
      <c r="Q818" s="797" t="e">
        <f>VLOOKUP(N818,etat!$A$9:$N$963,7,FALSE)</f>
        <v>#N/A</v>
      </c>
      <c r="R818" s="928" t="e">
        <f>VLOOKUP(N818,etat!$A$9:$N$1003,9,FALSE)</f>
        <v>#N/A</v>
      </c>
      <c r="S818" s="797" t="e">
        <f>VLOOKUP(N818,etat!$A$9:$P$905,16,FALSE)</f>
        <v>#N/A</v>
      </c>
      <c r="T818" s="755"/>
      <c r="U818" s="791"/>
      <c r="V818" s="784"/>
      <c r="W818" s="784"/>
      <c r="X818" s="784"/>
      <c r="Y818" s="784"/>
      <c r="Z818" s="793" t="str">
        <f>VLOOKUP(L818,اس!$S$3:$X$31,3,FALSE)</f>
        <v>.</v>
      </c>
      <c r="AA818" s="766"/>
    </row>
    <row r="819" spans="12:27" ht="17.25">
      <c r="L819" s="777">
        <v>5</v>
      </c>
      <c r="M819" s="778"/>
      <c r="N819" s="976">
        <v>0</v>
      </c>
      <c r="O819" s="1020">
        <v>762</v>
      </c>
      <c r="P819" s="858" t="e">
        <f>VLOOKUP(N819,etat!$A$9:$N$1004,2,FALSE)</f>
        <v>#N/A</v>
      </c>
      <c r="Q819" s="797" t="e">
        <f>VLOOKUP(N819,etat!$A$9:$N$963,7,FALSE)</f>
        <v>#N/A</v>
      </c>
      <c r="R819" s="928" t="e">
        <f>VLOOKUP(N819,etat!$A$9:$N$1003,9,FALSE)</f>
        <v>#N/A</v>
      </c>
      <c r="S819" s="797" t="e">
        <f>VLOOKUP(N819,etat!$A$9:$P$905,16,FALSE)</f>
        <v>#N/A</v>
      </c>
      <c r="T819" s="755"/>
      <c r="U819" s="791"/>
      <c r="V819" s="784"/>
      <c r="W819" s="784"/>
      <c r="X819" s="784"/>
      <c r="Y819" s="784"/>
      <c r="Z819" s="793" t="str">
        <f>VLOOKUP(L819,اس!$S$3:$X$31,3,FALSE)</f>
        <v>.</v>
      </c>
      <c r="AA819" s="766"/>
    </row>
    <row r="820" spans="12:27" ht="17.25">
      <c r="L820" s="777">
        <v>5</v>
      </c>
      <c r="M820" s="778"/>
      <c r="N820" s="976">
        <v>0</v>
      </c>
      <c r="O820" s="1020">
        <v>763</v>
      </c>
      <c r="P820" s="858" t="e">
        <f>VLOOKUP(N820,etat!$A$9:$N$1004,2,FALSE)</f>
        <v>#N/A</v>
      </c>
      <c r="Q820" s="797" t="e">
        <f>VLOOKUP(N820,etat!$A$9:$N$963,7,FALSE)</f>
        <v>#N/A</v>
      </c>
      <c r="R820" s="928" t="e">
        <f>VLOOKUP(N820,etat!$A$9:$N$1003,9,FALSE)</f>
        <v>#N/A</v>
      </c>
      <c r="S820" s="797" t="e">
        <f>VLOOKUP(N820,etat!$A$9:$P$905,16,FALSE)</f>
        <v>#N/A</v>
      </c>
      <c r="T820" s="755"/>
      <c r="U820" s="791"/>
      <c r="V820" s="784"/>
      <c r="W820" s="784"/>
      <c r="X820" s="784"/>
      <c r="Y820" s="784"/>
      <c r="Z820" s="793" t="str">
        <f>VLOOKUP(L820,اس!$S$3:$X$31,3,FALSE)</f>
        <v>.</v>
      </c>
      <c r="AA820" s="766"/>
    </row>
    <row r="821" spans="12:27" ht="17.25">
      <c r="L821" s="777">
        <v>5</v>
      </c>
      <c r="M821" s="778"/>
      <c r="N821" s="976">
        <v>0</v>
      </c>
      <c r="O821" s="1020">
        <v>764</v>
      </c>
      <c r="P821" s="858" t="e">
        <f>VLOOKUP(N821,etat!$A$9:$N$1004,2,FALSE)</f>
        <v>#N/A</v>
      </c>
      <c r="Q821" s="797" t="e">
        <f>VLOOKUP(N821,etat!$A$9:$N$963,7,FALSE)</f>
        <v>#N/A</v>
      </c>
      <c r="R821" s="797" t="e">
        <f>VLOOKUP(N821,etat!$A$9:$N$1003,9,FALSE)</f>
        <v>#N/A</v>
      </c>
      <c r="S821" s="797" t="e">
        <f>VLOOKUP(N821,etat!$A$9:$P$905,16,FALSE)</f>
        <v>#N/A</v>
      </c>
      <c r="T821" s="755"/>
      <c r="U821" s="791"/>
      <c r="V821" s="784"/>
      <c r="W821" s="784"/>
      <c r="X821" s="784"/>
      <c r="Y821" s="784"/>
      <c r="Z821" s="793" t="str">
        <f>VLOOKUP(L821,اس!$S$3:$X$31,3,FALSE)</f>
        <v>.</v>
      </c>
      <c r="AA821" s="766"/>
    </row>
    <row r="822" spans="12:27" ht="17.25">
      <c r="L822" s="777">
        <v>5</v>
      </c>
      <c r="M822" s="778"/>
      <c r="N822" s="976">
        <v>0</v>
      </c>
      <c r="O822" s="1020">
        <v>765</v>
      </c>
      <c r="P822" s="858" t="e">
        <f>VLOOKUP(N822,etat!$A$9:$N$1004,2,FALSE)</f>
        <v>#N/A</v>
      </c>
      <c r="Q822" s="797" t="e">
        <f>VLOOKUP(N822,etat!$A$9:$N$963,7,FALSE)</f>
        <v>#N/A</v>
      </c>
      <c r="R822" s="797" t="e">
        <f>VLOOKUP(N822,etat!$A$9:$N$1003,9,FALSE)</f>
        <v>#N/A</v>
      </c>
      <c r="S822" s="797" t="e">
        <f>VLOOKUP(N822,etat!$A$9:$P$905,16,FALSE)</f>
        <v>#N/A</v>
      </c>
      <c r="T822" s="755"/>
      <c r="U822" s="791"/>
      <c r="V822" s="784"/>
      <c r="W822" s="784"/>
      <c r="X822" s="784"/>
      <c r="Y822" s="784"/>
      <c r="Z822" s="793" t="str">
        <f>VLOOKUP(L822,اس!$S$3:$X$31,3,FALSE)</f>
        <v>.</v>
      </c>
      <c r="AA822" s="766"/>
    </row>
    <row r="823" spans="12:27" ht="17.25">
      <c r="L823" s="777">
        <v>5</v>
      </c>
      <c r="M823" s="778"/>
      <c r="N823" s="976">
        <v>0</v>
      </c>
      <c r="O823" s="1020">
        <v>766</v>
      </c>
      <c r="P823" s="858" t="e">
        <f>VLOOKUP(N823,etat!$A$9:$N$1004,2,FALSE)</f>
        <v>#N/A</v>
      </c>
      <c r="Q823" s="797" t="e">
        <f>VLOOKUP(N823,etat!$A$9:$N$963,7,FALSE)</f>
        <v>#N/A</v>
      </c>
      <c r="R823" s="797" t="e">
        <f>VLOOKUP(N823,etat!$A$9:$N$1003,9,FALSE)</f>
        <v>#N/A</v>
      </c>
      <c r="S823" s="797" t="e">
        <f>VLOOKUP(N823,etat!$A$9:$P$905,16,FALSE)</f>
        <v>#N/A</v>
      </c>
      <c r="T823" s="755"/>
      <c r="U823" s="791"/>
      <c r="V823" s="784"/>
      <c r="W823" s="784"/>
      <c r="X823" s="784"/>
      <c r="Y823" s="784"/>
      <c r="Z823" s="793" t="str">
        <f>VLOOKUP(L823,اس!$S$3:$X$31,3,FALSE)</f>
        <v>.</v>
      </c>
      <c r="AA823" s="766"/>
    </row>
    <row r="824" spans="12:27" ht="17.25">
      <c r="L824" s="777">
        <v>5</v>
      </c>
      <c r="M824" s="778"/>
      <c r="N824" s="976">
        <v>0</v>
      </c>
      <c r="O824" s="1020">
        <v>767</v>
      </c>
      <c r="P824" s="858" t="e">
        <f>VLOOKUP(N824,etat!$A$9:$N$1004,2,FALSE)</f>
        <v>#N/A</v>
      </c>
      <c r="Q824" s="797" t="e">
        <f>VLOOKUP(N824,etat!$A$9:$N$963,7,FALSE)</f>
        <v>#N/A</v>
      </c>
      <c r="R824" s="797" t="e">
        <f>VLOOKUP(N824,etat!$A$9:$N$1003,9,FALSE)</f>
        <v>#N/A</v>
      </c>
      <c r="S824" s="797" t="e">
        <f>VLOOKUP(N824,etat!$A$9:$P$905,16,FALSE)</f>
        <v>#N/A</v>
      </c>
      <c r="T824" s="755"/>
      <c r="U824" s="791"/>
      <c r="V824" s="784"/>
      <c r="W824" s="784"/>
      <c r="X824" s="784"/>
      <c r="Y824" s="784"/>
      <c r="Z824" s="793" t="str">
        <f>VLOOKUP(L824,اس!$S$3:$X$31,3,FALSE)</f>
        <v>.</v>
      </c>
      <c r="AA824" s="766"/>
    </row>
    <row r="825" spans="12:27" ht="17.25">
      <c r="L825" s="777">
        <v>5</v>
      </c>
      <c r="M825" s="778"/>
      <c r="N825" s="976">
        <v>0</v>
      </c>
      <c r="O825" s="1020">
        <v>768</v>
      </c>
      <c r="P825" s="858" t="e">
        <f>VLOOKUP(N825,etat!$A$9:$N$1004,2,FALSE)</f>
        <v>#N/A</v>
      </c>
      <c r="Q825" s="797" t="e">
        <f>VLOOKUP(N825,etat!$A$9:$N$963,7,FALSE)</f>
        <v>#N/A</v>
      </c>
      <c r="R825" s="797" t="e">
        <f>VLOOKUP(N825,etat!$A$9:$N$1003,9,FALSE)</f>
        <v>#N/A</v>
      </c>
      <c r="S825" s="797" t="e">
        <f>VLOOKUP(N825,etat!$A$9:$P$905,16,FALSE)</f>
        <v>#N/A</v>
      </c>
      <c r="T825" s="755"/>
      <c r="U825" s="791"/>
      <c r="V825" s="784"/>
      <c r="W825" s="784"/>
      <c r="X825" s="784"/>
      <c r="Y825" s="784"/>
      <c r="Z825" s="793" t="str">
        <f>VLOOKUP(L825,اس!$S$3:$X$31,3,FALSE)</f>
        <v>.</v>
      </c>
      <c r="AA825" s="766"/>
    </row>
    <row r="826" spans="12:27" ht="17.25">
      <c r="L826" s="777">
        <v>5</v>
      </c>
      <c r="M826" s="778"/>
      <c r="N826" s="976">
        <v>0</v>
      </c>
      <c r="O826" s="1020">
        <v>769</v>
      </c>
      <c r="P826" s="858" t="e">
        <f>VLOOKUP(N826,etat!$A$9:$N$1004,2,FALSE)</f>
        <v>#N/A</v>
      </c>
      <c r="Q826" s="797" t="e">
        <f>VLOOKUP(N826,etat!$A$9:$N$963,7,FALSE)</f>
        <v>#N/A</v>
      </c>
      <c r="R826" s="797" t="e">
        <f>VLOOKUP(N826,etat!$A$9:$N$1003,9,FALSE)</f>
        <v>#N/A</v>
      </c>
      <c r="S826" s="797" t="e">
        <f>VLOOKUP(N826,etat!$A$9:$P$905,16,FALSE)</f>
        <v>#N/A</v>
      </c>
      <c r="T826" s="755"/>
      <c r="U826" s="791"/>
      <c r="V826" s="784"/>
      <c r="W826" s="784"/>
      <c r="X826" s="784"/>
      <c r="Y826" s="784"/>
      <c r="Z826" s="793" t="str">
        <f>VLOOKUP(L826,اس!$S$3:$X$31,3,FALSE)</f>
        <v>.</v>
      </c>
      <c r="AA826" s="766"/>
    </row>
    <row r="827" spans="12:27" ht="17.25">
      <c r="L827" s="777">
        <v>5</v>
      </c>
      <c r="M827" s="778"/>
      <c r="N827" s="976">
        <v>0</v>
      </c>
      <c r="O827" s="1020">
        <v>770</v>
      </c>
      <c r="P827" s="858" t="e">
        <f>VLOOKUP(N827,etat!$A$9:$N$1004,2,FALSE)</f>
        <v>#N/A</v>
      </c>
      <c r="Q827" s="797" t="e">
        <f>VLOOKUP(N827,etat!$A$9:$N$963,7,FALSE)</f>
        <v>#N/A</v>
      </c>
      <c r="R827" s="797" t="e">
        <f>VLOOKUP(N827,etat!$A$9:$N$1003,9,FALSE)</f>
        <v>#N/A</v>
      </c>
      <c r="S827" s="797" t="e">
        <f>VLOOKUP(N827,etat!$A$9:$P$905,16,FALSE)</f>
        <v>#N/A</v>
      </c>
      <c r="T827" s="755"/>
      <c r="U827" s="791"/>
      <c r="V827" s="784"/>
      <c r="W827" s="784"/>
      <c r="X827" s="784"/>
      <c r="Y827" s="784"/>
      <c r="Z827" s="793" t="str">
        <f>VLOOKUP(L827,اس!$S$3:$X$31,3,FALSE)</f>
        <v>.</v>
      </c>
      <c r="AA827" s="766"/>
    </row>
    <row r="828" spans="12:27" ht="17.25">
      <c r="L828" s="777">
        <v>5</v>
      </c>
      <c r="M828" s="778"/>
      <c r="N828" s="976">
        <v>0</v>
      </c>
      <c r="O828" s="1020">
        <v>771</v>
      </c>
      <c r="P828" s="858" t="e">
        <f>VLOOKUP(N828,etat!$A$9:$N$1004,2,FALSE)</f>
        <v>#N/A</v>
      </c>
      <c r="Q828" s="797" t="e">
        <f>VLOOKUP(N828,etat!$A$9:$N$963,7,FALSE)</f>
        <v>#N/A</v>
      </c>
      <c r="R828" s="797" t="e">
        <f>VLOOKUP(N828,etat!$A$9:$N$1003,9,FALSE)</f>
        <v>#N/A</v>
      </c>
      <c r="S828" s="797" t="e">
        <f>VLOOKUP(N828,etat!$A$9:$P$905,16,FALSE)</f>
        <v>#N/A</v>
      </c>
      <c r="T828" s="755"/>
      <c r="U828" s="791"/>
      <c r="V828" s="784"/>
      <c r="W828" s="784"/>
      <c r="X828" s="784"/>
      <c r="Y828" s="784"/>
      <c r="Z828" s="793" t="str">
        <f>VLOOKUP(L828,اس!$S$3:$X$31,3,FALSE)</f>
        <v>.</v>
      </c>
      <c r="AA828" s="766"/>
    </row>
    <row r="829" spans="12:27" ht="17.25">
      <c r="L829" s="777">
        <v>5</v>
      </c>
      <c r="M829" s="778"/>
      <c r="N829" s="976">
        <v>0</v>
      </c>
      <c r="O829" s="1020">
        <v>772</v>
      </c>
      <c r="P829" s="858" t="e">
        <f>VLOOKUP(N829,etat!$A$9:$N$1004,2,FALSE)</f>
        <v>#N/A</v>
      </c>
      <c r="Q829" s="797" t="e">
        <f>VLOOKUP(N829,etat!$A$9:$N$963,7,FALSE)</f>
        <v>#N/A</v>
      </c>
      <c r="R829" s="797" t="e">
        <f>VLOOKUP(N829,etat!$A$9:$N$1003,9,FALSE)</f>
        <v>#N/A</v>
      </c>
      <c r="S829" s="797" t="e">
        <f>VLOOKUP(N829,etat!$A$9:$P$905,16,FALSE)</f>
        <v>#N/A</v>
      </c>
      <c r="T829" s="755"/>
      <c r="U829" s="791"/>
      <c r="V829" s="784"/>
      <c r="W829" s="784"/>
      <c r="X829" s="784"/>
      <c r="Y829" s="784"/>
      <c r="Z829" s="793" t="str">
        <f>VLOOKUP(L829,اس!$S$3:$X$31,3,FALSE)</f>
        <v>.</v>
      </c>
      <c r="AA829" s="766"/>
    </row>
    <row r="830" spans="12:27" ht="17.25">
      <c r="L830" s="777">
        <v>5</v>
      </c>
      <c r="M830" s="778"/>
      <c r="N830" s="976">
        <v>0</v>
      </c>
      <c r="O830" s="1020">
        <v>773</v>
      </c>
      <c r="P830" s="858" t="e">
        <f>VLOOKUP(N830,etat!$A$9:$N$1004,2,FALSE)</f>
        <v>#N/A</v>
      </c>
      <c r="Q830" s="797" t="e">
        <f>VLOOKUP(N830,etat!$A$9:$N$963,7,FALSE)</f>
        <v>#N/A</v>
      </c>
      <c r="R830" s="797" t="e">
        <f>VLOOKUP(N830,etat!$A$9:$N$1003,9,FALSE)</f>
        <v>#N/A</v>
      </c>
      <c r="S830" s="797" t="e">
        <f>VLOOKUP(N830,etat!$A$9:$P$905,16,FALSE)</f>
        <v>#N/A</v>
      </c>
      <c r="T830" s="755"/>
      <c r="U830" s="791"/>
      <c r="V830" s="784"/>
      <c r="W830" s="784"/>
      <c r="X830" s="784"/>
      <c r="Y830" s="784"/>
      <c r="Z830" s="793" t="str">
        <f>VLOOKUP(L830,اس!$S$3:$X$31,3,FALSE)</f>
        <v>.</v>
      </c>
      <c r="AA830" s="766"/>
    </row>
    <row r="831" spans="12:27" ht="17.25">
      <c r="L831" s="777">
        <v>5</v>
      </c>
      <c r="M831" s="778"/>
      <c r="N831" s="976">
        <v>0</v>
      </c>
      <c r="O831" s="1020">
        <v>774</v>
      </c>
      <c r="P831" s="858" t="e">
        <f>VLOOKUP(N831,etat!$A$9:$N$1004,2,FALSE)</f>
        <v>#N/A</v>
      </c>
      <c r="Q831" s="797" t="e">
        <f>VLOOKUP(N831,etat!$A$9:$N$963,7,FALSE)</f>
        <v>#N/A</v>
      </c>
      <c r="R831" s="797" t="e">
        <f>VLOOKUP(N831,etat!$A$9:$N$1003,9,FALSE)</f>
        <v>#N/A</v>
      </c>
      <c r="S831" s="797" t="e">
        <f>VLOOKUP(N831,etat!$A$9:$P$905,16,FALSE)</f>
        <v>#N/A</v>
      </c>
      <c r="T831" s="755"/>
      <c r="U831" s="791"/>
      <c r="V831" s="784"/>
      <c r="W831" s="784"/>
      <c r="X831" s="784"/>
      <c r="Y831" s="784"/>
      <c r="Z831" s="793" t="str">
        <f>VLOOKUP(L831,اس!$S$3:$X$31,3,FALSE)</f>
        <v>.</v>
      </c>
      <c r="AA831" s="766"/>
    </row>
    <row r="832" spans="12:27" ht="17.25">
      <c r="L832" s="777">
        <v>5</v>
      </c>
      <c r="M832" s="778"/>
      <c r="N832" s="976">
        <v>0</v>
      </c>
      <c r="O832" s="1020">
        <v>775</v>
      </c>
      <c r="P832" s="858" t="e">
        <f>VLOOKUP(N832,etat!$A$9:$N$1004,2,FALSE)</f>
        <v>#N/A</v>
      </c>
      <c r="Q832" s="797" t="e">
        <f>VLOOKUP(N832,etat!$A$9:$N$963,7,FALSE)</f>
        <v>#N/A</v>
      </c>
      <c r="R832" s="797" t="e">
        <f>VLOOKUP(N832,etat!$A$9:$N$1003,9,FALSE)</f>
        <v>#N/A</v>
      </c>
      <c r="S832" s="797" t="e">
        <f>VLOOKUP(N832,etat!$A$9:$P$905,16,FALSE)</f>
        <v>#N/A</v>
      </c>
      <c r="T832" s="755"/>
      <c r="U832" s="791"/>
      <c r="V832" s="784"/>
      <c r="W832" s="784"/>
      <c r="X832" s="784"/>
      <c r="Y832" s="784"/>
      <c r="Z832" s="793" t="str">
        <f>VLOOKUP(L832,اس!$S$3:$X$31,3,FALSE)</f>
        <v>.</v>
      </c>
      <c r="AA832" s="766"/>
    </row>
    <row r="833" spans="12:27" ht="17.25">
      <c r="L833" s="777">
        <v>5</v>
      </c>
      <c r="M833" s="778"/>
      <c r="N833" s="976">
        <v>0</v>
      </c>
      <c r="O833" s="1020">
        <v>776</v>
      </c>
      <c r="P833" s="858" t="e">
        <f>VLOOKUP(N833,etat!$A$9:$N$1004,2,FALSE)</f>
        <v>#N/A</v>
      </c>
      <c r="Q833" s="797" t="e">
        <f>VLOOKUP(N833,etat!$A$9:$N$963,7,FALSE)</f>
        <v>#N/A</v>
      </c>
      <c r="R833" s="797" t="e">
        <f>VLOOKUP(N833,etat!$A$9:$N$1003,9,FALSE)</f>
        <v>#N/A</v>
      </c>
      <c r="S833" s="797" t="e">
        <f>VLOOKUP(N833,etat!$A$9:$P$905,16,FALSE)</f>
        <v>#N/A</v>
      </c>
      <c r="T833" s="755"/>
      <c r="U833" s="791"/>
      <c r="V833" s="784"/>
      <c r="W833" s="784"/>
      <c r="X833" s="784"/>
      <c r="Y833" s="784"/>
      <c r="Z833" s="793" t="str">
        <f>VLOOKUP(L833,اس!$S$3:$X$31,3,FALSE)</f>
        <v>.</v>
      </c>
      <c r="AA833" s="766"/>
    </row>
    <row r="834" spans="12:27" ht="17.25">
      <c r="L834" s="777">
        <v>5</v>
      </c>
      <c r="M834" s="778"/>
      <c r="N834" s="976">
        <v>0</v>
      </c>
      <c r="O834" s="1020">
        <v>777</v>
      </c>
      <c r="P834" s="858" t="e">
        <f>VLOOKUP(N834,etat!$A$9:$N$1004,2,FALSE)</f>
        <v>#N/A</v>
      </c>
      <c r="Q834" s="797" t="e">
        <f>VLOOKUP(N834,etat!$A$9:$N$963,7,FALSE)</f>
        <v>#N/A</v>
      </c>
      <c r="R834" s="797" t="e">
        <f>VLOOKUP(N834,etat!$A$9:$N$1003,9,FALSE)</f>
        <v>#N/A</v>
      </c>
      <c r="S834" s="797" t="e">
        <f>VLOOKUP(N834,etat!$A$9:$P$905,16,FALSE)</f>
        <v>#N/A</v>
      </c>
      <c r="T834" s="755"/>
      <c r="U834" s="791"/>
      <c r="V834" s="784"/>
      <c r="W834" s="784"/>
      <c r="X834" s="784"/>
      <c r="Y834" s="784"/>
      <c r="Z834" s="793" t="str">
        <f>VLOOKUP(L834,اس!$S$3:$X$31,3,FALSE)</f>
        <v>.</v>
      </c>
      <c r="AA834" s="766"/>
    </row>
    <row r="835" spans="12:27" ht="17.25">
      <c r="L835" s="777">
        <v>5</v>
      </c>
      <c r="M835" s="778"/>
      <c r="N835" s="976">
        <v>0</v>
      </c>
      <c r="O835" s="1020">
        <v>778</v>
      </c>
      <c r="P835" s="858" t="e">
        <f>VLOOKUP(N835,etat!$A$9:$N$1004,2,FALSE)</f>
        <v>#N/A</v>
      </c>
      <c r="Q835" s="797" t="e">
        <f>VLOOKUP(N835,etat!$A$9:$N$963,7,FALSE)</f>
        <v>#N/A</v>
      </c>
      <c r="R835" s="797" t="e">
        <f>VLOOKUP(N835,etat!$A$9:$N$1003,9,FALSE)</f>
        <v>#N/A</v>
      </c>
      <c r="S835" s="797" t="e">
        <f>VLOOKUP(N835,etat!$A$9:$P$905,16,FALSE)</f>
        <v>#N/A</v>
      </c>
      <c r="T835" s="755"/>
      <c r="U835" s="791"/>
      <c r="V835" s="784"/>
      <c r="W835" s="784"/>
      <c r="X835" s="784"/>
      <c r="Y835" s="848"/>
      <c r="Z835" s="793" t="str">
        <f>VLOOKUP(L835,اس!$S$3:$X$31,3,FALSE)</f>
        <v>.</v>
      </c>
      <c r="AA835" s="766"/>
    </row>
    <row r="836" spans="12:27" ht="17.25">
      <c r="L836" s="777">
        <v>5</v>
      </c>
      <c r="M836" s="778"/>
      <c r="N836" s="976">
        <v>0</v>
      </c>
      <c r="O836" s="1020">
        <v>779</v>
      </c>
      <c r="P836" s="858" t="e">
        <f>VLOOKUP(N836,etat!$A$9:$N$1004,2,FALSE)</f>
        <v>#N/A</v>
      </c>
      <c r="Q836" s="797" t="e">
        <f>VLOOKUP(N836,etat!$A$9:$N$963,7,FALSE)</f>
        <v>#N/A</v>
      </c>
      <c r="R836" s="797" t="e">
        <f>VLOOKUP(N836,etat!$A$9:$N$1003,9,FALSE)</f>
        <v>#N/A</v>
      </c>
      <c r="S836" s="797" t="e">
        <f>VLOOKUP(N836,etat!$A$9:$P$905,16,FALSE)</f>
        <v>#N/A</v>
      </c>
      <c r="T836" s="755"/>
      <c r="U836" s="791"/>
      <c r="V836" s="784"/>
      <c r="W836" s="784"/>
      <c r="X836" s="784"/>
      <c r="Y836" s="848"/>
      <c r="Z836" s="793" t="str">
        <f>VLOOKUP(L836,اس!$S$3:$X$31,3,FALSE)</f>
        <v>.</v>
      </c>
      <c r="AA836" s="766"/>
    </row>
    <row r="837" spans="12:27" ht="17.25">
      <c r="L837" s="777">
        <v>5</v>
      </c>
      <c r="M837" s="778"/>
      <c r="N837" s="976">
        <v>0</v>
      </c>
      <c r="O837" s="1020">
        <v>780</v>
      </c>
      <c r="P837" s="858" t="e">
        <f>VLOOKUP(N837,etat!$A$9:$N$1004,2,FALSE)</f>
        <v>#N/A</v>
      </c>
      <c r="Q837" s="797" t="e">
        <f>VLOOKUP(N837,etat!$A$9:$N$963,7,FALSE)</f>
        <v>#N/A</v>
      </c>
      <c r="R837" s="797" t="e">
        <f>VLOOKUP(N837,etat!$A$9:$N$1003,9,FALSE)</f>
        <v>#N/A</v>
      </c>
      <c r="S837" s="797" t="e">
        <f>VLOOKUP(N837,etat!$A$9:$P$905,16,FALSE)</f>
        <v>#N/A</v>
      </c>
      <c r="T837" s="755"/>
      <c r="U837" s="791"/>
      <c r="V837" s="784"/>
      <c r="W837" s="784"/>
      <c r="X837" s="784"/>
      <c r="Y837" s="848"/>
      <c r="Z837" s="793" t="str">
        <f>VLOOKUP(L837,اس!$S$3:$X$31,3,FALSE)</f>
        <v>.</v>
      </c>
      <c r="AA837" s="766"/>
    </row>
    <row r="838" spans="12:27" ht="17.25">
      <c r="L838" s="777">
        <v>5</v>
      </c>
      <c r="M838" s="778"/>
      <c r="N838" s="976">
        <v>0</v>
      </c>
      <c r="O838" s="1020">
        <v>781</v>
      </c>
      <c r="P838" s="858" t="e">
        <f>VLOOKUP(N838,etat!$A$9:$N$1004,2,FALSE)</f>
        <v>#N/A</v>
      </c>
      <c r="Q838" s="797" t="e">
        <f>VLOOKUP(N838,etat!$A$9:$N$963,7,FALSE)</f>
        <v>#N/A</v>
      </c>
      <c r="R838" s="797" t="e">
        <f>VLOOKUP(N838,etat!$A$9:$N$1003,9,FALSE)</f>
        <v>#N/A</v>
      </c>
      <c r="S838" s="797" t="e">
        <f>VLOOKUP(N838,etat!$A$9:$P$905,16,FALSE)</f>
        <v>#N/A</v>
      </c>
      <c r="T838" s="755"/>
      <c r="U838" s="791"/>
      <c r="V838" s="784"/>
      <c r="W838" s="784"/>
      <c r="X838" s="784"/>
      <c r="Y838" s="848"/>
      <c r="Z838" s="793" t="str">
        <f>VLOOKUP(L838,اس!$S$3:$X$31,3,FALSE)</f>
        <v>.</v>
      </c>
      <c r="AA838" s="766"/>
    </row>
    <row r="839" spans="12:27" ht="17.25">
      <c r="L839" s="777">
        <v>5</v>
      </c>
      <c r="M839" s="778"/>
      <c r="N839" s="976">
        <v>0</v>
      </c>
      <c r="O839" s="1020">
        <v>782</v>
      </c>
      <c r="P839" s="858" t="e">
        <f>VLOOKUP(N839,etat!$A$9:$N$1004,2,FALSE)</f>
        <v>#N/A</v>
      </c>
      <c r="Q839" s="797" t="e">
        <f>VLOOKUP(N839,etat!$A$9:$N$963,7,FALSE)</f>
        <v>#N/A</v>
      </c>
      <c r="R839" s="797" t="e">
        <f>VLOOKUP(N839,etat!$A$9:$N$1003,9,FALSE)</f>
        <v>#N/A</v>
      </c>
      <c r="S839" s="797" t="e">
        <f>VLOOKUP(N839,etat!$A$9:$P$905,16,FALSE)</f>
        <v>#N/A</v>
      </c>
      <c r="T839" s="755"/>
      <c r="U839" s="791"/>
      <c r="V839" s="784"/>
      <c r="W839" s="784"/>
      <c r="X839" s="784"/>
      <c r="Y839" s="848"/>
      <c r="Z839" s="793" t="str">
        <f>VLOOKUP(L839,اس!$S$3:$X$31,3,FALSE)</f>
        <v>.</v>
      </c>
      <c r="AA839" s="766"/>
    </row>
    <row r="840" spans="12:27" ht="17.25">
      <c r="L840" s="777">
        <v>5</v>
      </c>
      <c r="M840" s="778"/>
      <c r="N840" s="976">
        <v>0</v>
      </c>
      <c r="O840" s="1020">
        <v>783</v>
      </c>
      <c r="P840" s="858" t="e">
        <f>VLOOKUP(N840,etat!$A$9:$N$1004,2,FALSE)</f>
        <v>#N/A</v>
      </c>
      <c r="Q840" s="797" t="e">
        <f>VLOOKUP(N840,etat!$A$9:$N$963,7,FALSE)</f>
        <v>#N/A</v>
      </c>
      <c r="R840" s="797" t="e">
        <f>VLOOKUP(N840,etat!$A$9:$N$1003,9,FALSE)</f>
        <v>#N/A</v>
      </c>
      <c r="S840" s="797" t="e">
        <f>VLOOKUP(N840,etat!$A$9:$P$905,16,FALSE)</f>
        <v>#N/A</v>
      </c>
      <c r="T840" s="755"/>
      <c r="U840" s="791"/>
      <c r="V840" s="784"/>
      <c r="W840" s="784"/>
      <c r="X840" s="784"/>
      <c r="Y840" s="848"/>
      <c r="Z840" s="793" t="str">
        <f>VLOOKUP(L840,اس!$S$3:$X$31,3,FALSE)</f>
        <v>.</v>
      </c>
      <c r="AA840" s="766"/>
    </row>
    <row r="841" spans="12:27" ht="17.25">
      <c r="L841" s="777">
        <v>5</v>
      </c>
      <c r="M841" s="778"/>
      <c r="N841" s="976">
        <v>0</v>
      </c>
      <c r="O841" s="1020">
        <v>784</v>
      </c>
      <c r="P841" s="858" t="e">
        <f>VLOOKUP(N841,etat!$A$9:$N$1004,2,FALSE)</f>
        <v>#N/A</v>
      </c>
      <c r="Q841" s="797" t="e">
        <f>VLOOKUP(N841,etat!$A$9:$N$963,7,FALSE)</f>
        <v>#N/A</v>
      </c>
      <c r="R841" s="797" t="e">
        <f>VLOOKUP(N841,etat!$A$9:$N$1003,9,FALSE)</f>
        <v>#N/A</v>
      </c>
      <c r="S841" s="797" t="e">
        <f>VLOOKUP(N841,etat!$A$9:$P$905,16,FALSE)</f>
        <v>#N/A</v>
      </c>
      <c r="T841" s="755"/>
      <c r="U841" s="791"/>
      <c r="V841" s="784"/>
      <c r="W841" s="784"/>
      <c r="X841" s="784"/>
      <c r="Y841" s="848"/>
      <c r="Z841" s="793" t="str">
        <f>VLOOKUP(L841,اس!$S$3:$X$31,3,FALSE)</f>
        <v>.</v>
      </c>
      <c r="AA841" s="766"/>
    </row>
    <row r="842" spans="12:27" ht="17.25">
      <c r="L842" s="777">
        <v>5</v>
      </c>
      <c r="M842" s="778"/>
      <c r="N842" s="976">
        <v>0</v>
      </c>
      <c r="O842" s="1020">
        <v>785</v>
      </c>
      <c r="P842" s="858" t="e">
        <f>VLOOKUP(N842,etat!$A$9:$N$1004,2,FALSE)</f>
        <v>#N/A</v>
      </c>
      <c r="Q842" s="797" t="e">
        <f>VLOOKUP(N842,etat!$A$9:$N$963,7,FALSE)</f>
        <v>#N/A</v>
      </c>
      <c r="R842" s="797" t="e">
        <f>VLOOKUP(N842,etat!$A$9:$N$1003,9,FALSE)</f>
        <v>#N/A</v>
      </c>
      <c r="S842" s="797" t="e">
        <f>VLOOKUP(N842,etat!$A$9:$P$905,16,FALSE)</f>
        <v>#N/A</v>
      </c>
      <c r="T842" s="755"/>
      <c r="U842" s="791"/>
      <c r="V842" s="784"/>
      <c r="W842" s="784"/>
      <c r="X842" s="784"/>
      <c r="Y842" s="848"/>
      <c r="Z842" s="793" t="str">
        <f>VLOOKUP(L842,اس!$S$3:$X$31,3,FALSE)</f>
        <v>.</v>
      </c>
      <c r="AA842" s="766"/>
    </row>
    <row r="843" spans="12:27" ht="17.25">
      <c r="L843" s="777">
        <v>5</v>
      </c>
      <c r="M843" s="778"/>
      <c r="N843" s="976">
        <v>0</v>
      </c>
      <c r="O843" s="1020">
        <v>786</v>
      </c>
      <c r="P843" s="858" t="e">
        <f>VLOOKUP(N843,etat!$A$9:$N$1004,2,FALSE)</f>
        <v>#N/A</v>
      </c>
      <c r="Q843" s="797" t="e">
        <f>VLOOKUP(N843,etat!$A$9:$N$963,7,FALSE)</f>
        <v>#N/A</v>
      </c>
      <c r="R843" s="797" t="e">
        <f>VLOOKUP(N843,etat!$A$9:$N$1003,9,FALSE)</f>
        <v>#N/A</v>
      </c>
      <c r="S843" s="797" t="e">
        <f>VLOOKUP(N843,etat!$A$9:$P$905,16,FALSE)</f>
        <v>#N/A</v>
      </c>
      <c r="T843" s="755"/>
      <c r="U843" s="791"/>
      <c r="V843" s="784"/>
      <c r="W843" s="784"/>
      <c r="X843" s="784"/>
      <c r="Y843" s="848"/>
      <c r="Z843" s="793" t="str">
        <f>VLOOKUP(L843,اس!$S$3:$X$31,3,FALSE)</f>
        <v>.</v>
      </c>
      <c r="AA843" s="766"/>
    </row>
    <row r="844" spans="12:27" ht="17.25">
      <c r="L844" s="777">
        <v>5</v>
      </c>
      <c r="M844" s="778"/>
      <c r="N844" s="976">
        <v>0</v>
      </c>
      <c r="O844" s="1020">
        <v>787</v>
      </c>
      <c r="P844" s="858" t="e">
        <f>VLOOKUP(N844,etat!$A$9:$N$1004,2,FALSE)</f>
        <v>#N/A</v>
      </c>
      <c r="Q844" s="797" t="e">
        <f>VLOOKUP(N844,etat!$A$9:$N$963,7,FALSE)</f>
        <v>#N/A</v>
      </c>
      <c r="R844" s="797" t="e">
        <f>VLOOKUP(N844,etat!$A$9:$N$1003,9,FALSE)</f>
        <v>#N/A</v>
      </c>
      <c r="S844" s="797" t="e">
        <f>VLOOKUP(N844,etat!$A$9:$P$905,16,FALSE)</f>
        <v>#N/A</v>
      </c>
      <c r="T844" s="755"/>
      <c r="U844" s="791"/>
      <c r="V844" s="784"/>
      <c r="W844" s="784"/>
      <c r="X844" s="784"/>
      <c r="Y844" s="848"/>
      <c r="Z844" s="793" t="str">
        <f>VLOOKUP(L844,اس!$S$3:$X$31,3,FALSE)</f>
        <v>.</v>
      </c>
      <c r="AA844" s="766"/>
    </row>
    <row r="845" spans="12:27" ht="17.25">
      <c r="L845" s="777">
        <v>5</v>
      </c>
      <c r="M845" s="778"/>
      <c r="N845" s="976">
        <v>0</v>
      </c>
      <c r="O845" s="1020">
        <v>788</v>
      </c>
      <c r="P845" s="858" t="e">
        <f>VLOOKUP(N845,etat!$A$9:$N$1004,2,FALSE)</f>
        <v>#N/A</v>
      </c>
      <c r="Q845" s="797" t="e">
        <f>VLOOKUP(N845,etat!$A$9:$N$963,7,FALSE)</f>
        <v>#N/A</v>
      </c>
      <c r="R845" s="797" t="e">
        <f>VLOOKUP(N845,etat!$A$9:$N$1003,9,FALSE)</f>
        <v>#N/A</v>
      </c>
      <c r="S845" s="797" t="e">
        <f>VLOOKUP(N845,etat!$A$9:$P$905,16,FALSE)</f>
        <v>#N/A</v>
      </c>
      <c r="T845" s="755"/>
      <c r="U845" s="791"/>
      <c r="V845" s="784"/>
      <c r="W845" s="784"/>
      <c r="X845" s="784"/>
      <c r="Y845" s="848"/>
      <c r="Z845" s="793" t="str">
        <f>VLOOKUP(L845,اس!$S$3:$X$31,3,FALSE)</f>
        <v>.</v>
      </c>
      <c r="AA845" s="766"/>
    </row>
    <row r="846" spans="12:27" ht="17.25">
      <c r="L846" s="777">
        <v>5</v>
      </c>
      <c r="M846" s="778"/>
      <c r="N846" s="976">
        <v>0</v>
      </c>
      <c r="O846" s="1020">
        <v>789</v>
      </c>
      <c r="P846" s="858" t="e">
        <f>VLOOKUP(N846,etat!$A$9:$N$1004,2,FALSE)</f>
        <v>#N/A</v>
      </c>
      <c r="Q846" s="797" t="e">
        <f>VLOOKUP(N846,etat!$A$9:$N$963,7,FALSE)</f>
        <v>#N/A</v>
      </c>
      <c r="R846" s="797" t="e">
        <f>VLOOKUP(N846,etat!$A$9:$N$1003,9,FALSE)</f>
        <v>#N/A</v>
      </c>
      <c r="S846" s="797" t="e">
        <f>VLOOKUP(N846,etat!$A$9:$P$905,16,FALSE)</f>
        <v>#N/A</v>
      </c>
      <c r="T846" s="755"/>
      <c r="U846" s="791"/>
      <c r="V846" s="784"/>
      <c r="W846" s="784"/>
      <c r="X846" s="784"/>
      <c r="Y846" s="848"/>
      <c r="Z846" s="793" t="str">
        <f>VLOOKUP(L846,اس!$S$3:$X$31,3,FALSE)</f>
        <v>.</v>
      </c>
      <c r="AA846" s="766"/>
    </row>
    <row r="847" spans="12:27" ht="17.25">
      <c r="L847" s="777">
        <v>5</v>
      </c>
      <c r="M847" s="778"/>
      <c r="N847" s="976">
        <v>0</v>
      </c>
      <c r="O847" s="1020">
        <v>790</v>
      </c>
      <c r="P847" s="858" t="e">
        <f>VLOOKUP(N847,etat!$A$9:$N$1004,2,FALSE)</f>
        <v>#N/A</v>
      </c>
      <c r="Q847" s="797" t="e">
        <f>VLOOKUP(N847,etat!$A$9:$N$963,7,FALSE)</f>
        <v>#N/A</v>
      </c>
      <c r="R847" s="797" t="e">
        <f>VLOOKUP(N847,etat!$A$9:$N$1003,9,FALSE)</f>
        <v>#N/A</v>
      </c>
      <c r="S847" s="797" t="e">
        <f>VLOOKUP(N847,etat!$A$9:$P$905,16,FALSE)</f>
        <v>#N/A</v>
      </c>
      <c r="T847" s="755"/>
      <c r="U847" s="791"/>
      <c r="V847" s="784"/>
      <c r="W847" s="784"/>
      <c r="X847" s="784"/>
      <c r="Y847" s="848"/>
      <c r="Z847" s="793" t="str">
        <f>VLOOKUP(L847,اس!$S$3:$X$31,3,FALSE)</f>
        <v>.</v>
      </c>
      <c r="AA847" s="766"/>
    </row>
    <row r="848" spans="12:27" ht="17.25">
      <c r="L848" s="777">
        <v>5</v>
      </c>
      <c r="M848" s="778"/>
      <c r="N848" s="976">
        <v>0</v>
      </c>
      <c r="O848" s="1020">
        <v>791</v>
      </c>
      <c r="P848" s="858" t="e">
        <f>VLOOKUP(N848,etat!$A$9:$N$1004,2,FALSE)</f>
        <v>#N/A</v>
      </c>
      <c r="Q848" s="797" t="e">
        <f>VLOOKUP(N848,etat!$A$9:$N$963,7,FALSE)</f>
        <v>#N/A</v>
      </c>
      <c r="R848" s="797" t="e">
        <f>VLOOKUP(N848,etat!$A$9:$N$1003,9,FALSE)</f>
        <v>#N/A</v>
      </c>
      <c r="S848" s="797" t="e">
        <f>VLOOKUP(N848,etat!$A$9:$P$905,16,FALSE)</f>
        <v>#N/A</v>
      </c>
      <c r="T848" s="755"/>
      <c r="U848" s="791"/>
      <c r="V848" s="784"/>
      <c r="W848" s="784"/>
      <c r="X848" s="784"/>
      <c r="Y848" s="848"/>
      <c r="Z848" s="793" t="str">
        <f>VLOOKUP(L848,اس!$S$3:$X$31,3,FALSE)</f>
        <v>.</v>
      </c>
      <c r="AA848" s="766"/>
    </row>
    <row r="849" spans="12:27" ht="17.25">
      <c r="L849" s="777">
        <v>5</v>
      </c>
      <c r="M849" s="778"/>
      <c r="N849" s="976">
        <v>0</v>
      </c>
      <c r="O849" s="1020">
        <v>792</v>
      </c>
      <c r="P849" s="858" t="e">
        <f>VLOOKUP(N849,etat!$A$9:$N$1004,2,FALSE)</f>
        <v>#N/A</v>
      </c>
      <c r="Q849" s="797" t="e">
        <f>VLOOKUP(N849,etat!$A$9:$N$963,7,FALSE)</f>
        <v>#N/A</v>
      </c>
      <c r="R849" s="797" t="e">
        <f>VLOOKUP(N849,etat!$A$9:$N$1003,9,FALSE)</f>
        <v>#N/A</v>
      </c>
      <c r="S849" s="797" t="e">
        <f>VLOOKUP(N849,etat!$A$9:$P$905,16,FALSE)</f>
        <v>#N/A</v>
      </c>
      <c r="T849" s="755"/>
      <c r="U849" s="791"/>
      <c r="V849" s="784"/>
      <c r="W849" s="784"/>
      <c r="X849" s="784"/>
      <c r="Y849" s="848"/>
      <c r="Z849" s="793" t="str">
        <f>VLOOKUP(L849,اس!$S$3:$X$31,3,FALSE)</f>
        <v>.</v>
      </c>
      <c r="AA849" s="766"/>
    </row>
    <row r="850" spans="12:27" ht="17.25">
      <c r="L850" s="777">
        <v>5</v>
      </c>
      <c r="M850" s="778"/>
      <c r="N850" s="976">
        <v>0</v>
      </c>
      <c r="O850" s="1020">
        <v>793</v>
      </c>
      <c r="P850" s="858" t="e">
        <f>VLOOKUP(N850,etat!$A$9:$N$1004,2,FALSE)</f>
        <v>#N/A</v>
      </c>
      <c r="Q850" s="797" t="e">
        <f>VLOOKUP(N850,etat!$A$9:$N$963,7,FALSE)</f>
        <v>#N/A</v>
      </c>
      <c r="R850" s="797" t="e">
        <f>VLOOKUP(N850,etat!$A$9:$N$1003,9,FALSE)</f>
        <v>#N/A</v>
      </c>
      <c r="S850" s="797" t="e">
        <f>VLOOKUP(N850,etat!$A$9:$P$905,16,FALSE)</f>
        <v>#N/A</v>
      </c>
      <c r="T850" s="755"/>
      <c r="U850" s="791"/>
      <c r="V850" s="784"/>
      <c r="W850" s="784"/>
      <c r="X850" s="784"/>
      <c r="Y850" s="848"/>
      <c r="Z850" s="793" t="str">
        <f>VLOOKUP(L850,اس!$S$3:$X$31,3,FALSE)</f>
        <v>.</v>
      </c>
      <c r="AA850" s="766"/>
    </row>
    <row r="851" spans="12:27" ht="17.25">
      <c r="L851" s="777">
        <v>5</v>
      </c>
      <c r="M851" s="778"/>
      <c r="N851" s="976">
        <v>0</v>
      </c>
      <c r="O851" s="1020">
        <v>794</v>
      </c>
      <c r="P851" s="858" t="e">
        <f>VLOOKUP(N851,etat!$A$9:$N$1004,2,FALSE)</f>
        <v>#N/A</v>
      </c>
      <c r="Q851" s="797" t="e">
        <f>VLOOKUP(N851,etat!$A$9:$N$963,7,FALSE)</f>
        <v>#N/A</v>
      </c>
      <c r="R851" s="797" t="e">
        <f>VLOOKUP(N851,etat!$A$9:$N$1003,9,FALSE)</f>
        <v>#N/A</v>
      </c>
      <c r="S851" s="797" t="e">
        <f>VLOOKUP(N851,etat!$A$9:$P$905,16,FALSE)</f>
        <v>#N/A</v>
      </c>
      <c r="T851" s="755"/>
      <c r="U851" s="791"/>
      <c r="V851" s="784"/>
      <c r="W851" s="784"/>
      <c r="X851" s="784"/>
      <c r="Y851" s="848"/>
      <c r="Z851" s="793" t="str">
        <f>VLOOKUP(L851,اس!$S$3:$X$31,3,FALSE)</f>
        <v>.</v>
      </c>
      <c r="AA851" s="766"/>
    </row>
    <row r="852" spans="12:27" ht="17.25">
      <c r="L852" s="777">
        <v>5</v>
      </c>
      <c r="M852" s="778"/>
      <c r="N852" s="976">
        <v>0</v>
      </c>
      <c r="O852" s="1020">
        <v>795</v>
      </c>
      <c r="P852" s="858" t="e">
        <f>VLOOKUP(N852,etat!$A$9:$N$1004,2,FALSE)</f>
        <v>#N/A</v>
      </c>
      <c r="Q852" s="797" t="e">
        <f>VLOOKUP(N852,etat!$A$9:$N$963,7,FALSE)</f>
        <v>#N/A</v>
      </c>
      <c r="R852" s="797" t="e">
        <f>VLOOKUP(N852,etat!$A$9:$N$1003,9,FALSE)</f>
        <v>#N/A</v>
      </c>
      <c r="S852" s="797" t="e">
        <f>VLOOKUP(N852,etat!$A$9:$P$905,16,FALSE)</f>
        <v>#N/A</v>
      </c>
      <c r="T852" s="755"/>
      <c r="U852" s="791"/>
      <c r="V852" s="784"/>
      <c r="W852" s="784"/>
      <c r="X852" s="784"/>
      <c r="Y852" s="848"/>
      <c r="Z852" s="793" t="str">
        <f>VLOOKUP(L852,اس!$S$3:$X$31,3,FALSE)</f>
        <v>.</v>
      </c>
      <c r="AA852" s="766"/>
    </row>
    <row r="853" spans="12:27" ht="17.25">
      <c r="L853" s="777">
        <v>5</v>
      </c>
      <c r="M853" s="778"/>
      <c r="N853" s="976">
        <v>0</v>
      </c>
      <c r="O853" s="1020">
        <v>796</v>
      </c>
      <c r="P853" s="858" t="e">
        <f>VLOOKUP(N853,etat!$A$9:$N$1004,2,FALSE)</f>
        <v>#N/A</v>
      </c>
      <c r="Q853" s="797" t="e">
        <f>VLOOKUP(N853,etat!$A$9:$N$963,7,FALSE)</f>
        <v>#N/A</v>
      </c>
      <c r="R853" s="797" t="e">
        <f>VLOOKUP(N853,etat!$A$9:$N$1003,9,FALSE)</f>
        <v>#N/A</v>
      </c>
      <c r="S853" s="797" t="e">
        <f>VLOOKUP(N853,etat!$A$9:$P$905,16,FALSE)</f>
        <v>#N/A</v>
      </c>
      <c r="T853" s="755"/>
      <c r="U853" s="791"/>
      <c r="V853" s="784"/>
      <c r="W853" s="784"/>
      <c r="X853" s="784"/>
      <c r="Y853" s="848"/>
      <c r="Z853" s="793" t="str">
        <f>VLOOKUP(L853,اس!$S$3:$X$31,3,FALSE)</f>
        <v>.</v>
      </c>
      <c r="AA853" s="766"/>
    </row>
    <row r="854" spans="12:27" ht="17.25">
      <c r="L854" s="777">
        <v>5</v>
      </c>
      <c r="M854" s="778"/>
      <c r="N854" s="976">
        <v>0</v>
      </c>
      <c r="O854" s="1020">
        <v>797</v>
      </c>
      <c r="P854" s="858" t="e">
        <f>VLOOKUP(N854,etat!$A$9:$N$1004,2,FALSE)</f>
        <v>#N/A</v>
      </c>
      <c r="Q854" s="797" t="e">
        <f>VLOOKUP(N854,etat!$A$9:$N$963,7,FALSE)</f>
        <v>#N/A</v>
      </c>
      <c r="R854" s="797" t="e">
        <f>VLOOKUP(N854,etat!$A$9:$N$1003,9,FALSE)</f>
        <v>#N/A</v>
      </c>
      <c r="S854" s="797" t="e">
        <f>VLOOKUP(N854,etat!$A$9:$P$905,16,FALSE)</f>
        <v>#N/A</v>
      </c>
      <c r="T854" s="755"/>
      <c r="U854" s="791"/>
      <c r="V854" s="784"/>
      <c r="W854" s="784"/>
      <c r="X854" s="784"/>
      <c r="Y854" s="848"/>
      <c r="Z854" s="793" t="str">
        <f>VLOOKUP(L854,اس!$S$3:$X$31,3,FALSE)</f>
        <v>.</v>
      </c>
      <c r="AA854" s="766"/>
    </row>
    <row r="855" spans="12:27" ht="17.25">
      <c r="L855" s="777">
        <v>5</v>
      </c>
      <c r="M855" s="778"/>
      <c r="N855" s="976">
        <v>0</v>
      </c>
      <c r="O855" s="1020">
        <v>798</v>
      </c>
      <c r="P855" s="858" t="e">
        <f>VLOOKUP(N855,etat!$A$9:$N$1004,2,FALSE)</f>
        <v>#N/A</v>
      </c>
      <c r="Q855" s="797" t="e">
        <f>VLOOKUP(N855,etat!$A$9:$N$963,7,FALSE)</f>
        <v>#N/A</v>
      </c>
      <c r="R855" s="797" t="e">
        <f>VLOOKUP(N855,etat!$A$9:$N$1003,9,FALSE)</f>
        <v>#N/A</v>
      </c>
      <c r="S855" s="797" t="e">
        <f>VLOOKUP(N855,etat!$A$9:$P$905,16,FALSE)</f>
        <v>#N/A</v>
      </c>
      <c r="T855" s="755"/>
      <c r="U855" s="791"/>
      <c r="V855" s="784"/>
      <c r="W855" s="784"/>
      <c r="X855" s="784"/>
      <c r="Y855" s="848"/>
      <c r="Z855" s="793" t="str">
        <f>VLOOKUP(L855,اس!$S$3:$X$31,3,FALSE)</f>
        <v>.</v>
      </c>
      <c r="AA855" s="766"/>
    </row>
    <row r="856" spans="12:27" ht="17.25">
      <c r="L856" s="777">
        <v>5</v>
      </c>
      <c r="M856" s="778"/>
      <c r="N856" s="976">
        <v>0</v>
      </c>
      <c r="O856" s="1020">
        <v>799</v>
      </c>
      <c r="P856" s="858" t="e">
        <f>VLOOKUP(N856,etat!$A$9:$N$1004,2,FALSE)</f>
        <v>#N/A</v>
      </c>
      <c r="Q856" s="797" t="e">
        <f>VLOOKUP(N856,etat!$A$9:$N$963,7,FALSE)</f>
        <v>#N/A</v>
      </c>
      <c r="R856" s="797" t="e">
        <f>VLOOKUP(N856,etat!$A$9:$N$1003,9,FALSE)</f>
        <v>#N/A</v>
      </c>
      <c r="S856" s="797" t="e">
        <f>VLOOKUP(N856,etat!$A$9:$P$905,16,FALSE)</f>
        <v>#N/A</v>
      </c>
      <c r="T856" s="755"/>
      <c r="U856" s="791"/>
      <c r="V856" s="784"/>
      <c r="W856" s="784"/>
      <c r="X856" s="784"/>
      <c r="Y856" s="848"/>
      <c r="Z856" s="793" t="str">
        <f>VLOOKUP(L856,اس!$S$3:$X$31,3,FALSE)</f>
        <v>.</v>
      </c>
      <c r="AA856" s="766"/>
    </row>
    <row r="857" spans="12:27" ht="17.25">
      <c r="L857" s="777">
        <v>5</v>
      </c>
      <c r="M857" s="778"/>
      <c r="N857" s="976">
        <v>0</v>
      </c>
      <c r="O857" s="1020">
        <v>800</v>
      </c>
      <c r="P857" s="858" t="e">
        <f>VLOOKUP(N857,etat!$A$9:$N$1004,2,FALSE)</f>
        <v>#N/A</v>
      </c>
      <c r="Q857" s="797" t="e">
        <f>VLOOKUP(N857,etat!$A$9:$N$963,7,FALSE)</f>
        <v>#N/A</v>
      </c>
      <c r="R857" s="797" t="e">
        <f>VLOOKUP(N857,etat!$A$9:$N$1003,9,FALSE)</f>
        <v>#N/A</v>
      </c>
      <c r="S857" s="797" t="e">
        <f>VLOOKUP(N857,etat!$A$9:$P$905,16,FALSE)</f>
        <v>#N/A</v>
      </c>
      <c r="T857" s="755"/>
      <c r="U857" s="791"/>
      <c r="V857" s="784"/>
      <c r="W857" s="784"/>
      <c r="X857" s="784"/>
      <c r="Y857" s="848"/>
      <c r="Z857" s="793" t="str">
        <f>VLOOKUP(L857,اس!$S$3:$X$31,3,FALSE)</f>
        <v>.</v>
      </c>
      <c r="AA857" s="766"/>
    </row>
    <row r="858" spans="12:27" ht="17.25">
      <c r="L858" s="777">
        <v>5</v>
      </c>
      <c r="M858" s="778"/>
      <c r="N858" s="976">
        <v>0</v>
      </c>
      <c r="O858" s="1020">
        <v>801</v>
      </c>
      <c r="P858" s="858" t="e">
        <f>VLOOKUP(N858,etat!$A$9:$N$1004,2,FALSE)</f>
        <v>#N/A</v>
      </c>
      <c r="Q858" s="797" t="e">
        <f>VLOOKUP(N858,etat!$A$9:$N$963,7,FALSE)</f>
        <v>#N/A</v>
      </c>
      <c r="R858" s="797" t="e">
        <f>VLOOKUP(N858,etat!$A$9:$N$1003,9,FALSE)</f>
        <v>#N/A</v>
      </c>
      <c r="S858" s="797" t="e">
        <f>VLOOKUP(N858,etat!$A$9:$P$905,16,FALSE)</f>
        <v>#N/A</v>
      </c>
      <c r="T858" s="755"/>
      <c r="U858" s="791"/>
      <c r="V858" s="784"/>
      <c r="W858" s="784"/>
      <c r="X858" s="784"/>
      <c r="Y858" s="848"/>
      <c r="Z858" s="793" t="str">
        <f>VLOOKUP(L858,اس!$S$3:$X$31,3,FALSE)</f>
        <v>.</v>
      </c>
      <c r="AA858" s="766"/>
    </row>
    <row r="859" spans="12:27" ht="17.25">
      <c r="L859" s="777">
        <v>5</v>
      </c>
      <c r="M859" s="778"/>
      <c r="N859" s="976">
        <v>0</v>
      </c>
      <c r="O859" s="1020">
        <v>802</v>
      </c>
      <c r="P859" s="858" t="e">
        <f>VLOOKUP(N859,etat!$A$9:$N$1004,2,FALSE)</f>
        <v>#N/A</v>
      </c>
      <c r="Q859" s="797" t="e">
        <f>VLOOKUP(N859,etat!$A$9:$N$963,7,FALSE)</f>
        <v>#N/A</v>
      </c>
      <c r="R859" s="797" t="e">
        <f>VLOOKUP(N859,etat!$A$9:$N$1003,9,FALSE)</f>
        <v>#N/A</v>
      </c>
      <c r="S859" s="797" t="e">
        <f>VLOOKUP(N859,etat!$A$9:$P$905,16,FALSE)</f>
        <v>#N/A</v>
      </c>
      <c r="T859" s="755"/>
      <c r="U859" s="791"/>
      <c r="V859" s="784"/>
      <c r="W859" s="784"/>
      <c r="X859" s="784"/>
      <c r="Y859" s="848"/>
      <c r="Z859" s="793" t="str">
        <f>VLOOKUP(L859,اس!$S$3:$X$31,3,FALSE)</f>
        <v>.</v>
      </c>
      <c r="AA859" s="766"/>
    </row>
    <row r="860" spans="12:27" ht="17.25">
      <c r="L860" s="777">
        <v>5</v>
      </c>
      <c r="M860" s="778"/>
      <c r="N860" s="976">
        <v>0</v>
      </c>
      <c r="O860" s="1020">
        <v>803</v>
      </c>
      <c r="P860" s="858" t="e">
        <f>VLOOKUP(N860,etat!$A$9:$N$1004,2,FALSE)</f>
        <v>#N/A</v>
      </c>
      <c r="Q860" s="797" t="e">
        <f>VLOOKUP(N860,etat!$A$9:$N$963,7,FALSE)</f>
        <v>#N/A</v>
      </c>
      <c r="R860" s="797" t="e">
        <f>VLOOKUP(N860,etat!$A$9:$N$1003,9,FALSE)</f>
        <v>#N/A</v>
      </c>
      <c r="S860" s="797" t="e">
        <f>VLOOKUP(N860,etat!$A$9:$P$905,16,FALSE)</f>
        <v>#N/A</v>
      </c>
      <c r="T860" s="755"/>
      <c r="U860" s="791"/>
      <c r="V860" s="784"/>
      <c r="W860" s="784"/>
      <c r="X860" s="784"/>
      <c r="Y860" s="848"/>
      <c r="Z860" s="793" t="str">
        <f>VLOOKUP(L860,اس!$S$3:$X$31,3,FALSE)</f>
        <v>.</v>
      </c>
      <c r="AA860" s="766"/>
    </row>
    <row r="861" spans="12:27" ht="17.25">
      <c r="L861" s="777">
        <v>5</v>
      </c>
      <c r="M861" s="778"/>
      <c r="N861" s="976">
        <v>0</v>
      </c>
      <c r="O861" s="1020">
        <v>804</v>
      </c>
      <c r="P861" s="858" t="e">
        <f>VLOOKUP(N861,etat!$A$9:$N$1004,2,FALSE)</f>
        <v>#N/A</v>
      </c>
      <c r="Q861" s="797" t="e">
        <f>VLOOKUP(N861,etat!$A$9:$N$963,7,FALSE)</f>
        <v>#N/A</v>
      </c>
      <c r="R861" s="797" t="e">
        <f>VLOOKUP(N861,etat!$A$9:$N$1003,9,FALSE)</f>
        <v>#N/A</v>
      </c>
      <c r="S861" s="797" t="e">
        <f>VLOOKUP(N861,etat!$A$9:$P$905,16,FALSE)</f>
        <v>#N/A</v>
      </c>
      <c r="T861" s="755"/>
      <c r="U861" s="791"/>
      <c r="V861" s="784"/>
      <c r="W861" s="784"/>
      <c r="X861" s="784"/>
      <c r="Y861" s="848"/>
      <c r="Z861" s="793" t="str">
        <f>VLOOKUP(L861,اس!$S$3:$X$31,3,FALSE)</f>
        <v>.</v>
      </c>
      <c r="AA861" s="766"/>
    </row>
    <row r="862" spans="12:27" ht="17.25">
      <c r="L862" s="777">
        <v>5</v>
      </c>
      <c r="M862" s="778"/>
      <c r="N862" s="976">
        <v>0</v>
      </c>
      <c r="O862" s="1020">
        <v>805</v>
      </c>
      <c r="P862" s="858" t="e">
        <f>VLOOKUP(N862,etat!$A$9:$N$1004,2,FALSE)</f>
        <v>#N/A</v>
      </c>
      <c r="Q862" s="797" t="e">
        <f>VLOOKUP(N862,etat!$A$9:$N$963,7,FALSE)</f>
        <v>#N/A</v>
      </c>
      <c r="R862" s="797" t="e">
        <f>VLOOKUP(N862,etat!$A$9:$N$1003,9,FALSE)</f>
        <v>#N/A</v>
      </c>
      <c r="S862" s="797" t="e">
        <f>VLOOKUP(N862,etat!$A$9:$P$905,16,FALSE)</f>
        <v>#N/A</v>
      </c>
      <c r="T862" s="755"/>
      <c r="U862" s="791"/>
      <c r="V862" s="784"/>
      <c r="W862" s="784"/>
      <c r="X862" s="784"/>
      <c r="Y862" s="848"/>
      <c r="Z862" s="793" t="str">
        <f>VLOOKUP(L862,اس!$S$3:$X$31,3,FALSE)</f>
        <v>.</v>
      </c>
      <c r="AA862" s="766"/>
    </row>
    <row r="863" spans="12:27" ht="17.25">
      <c r="L863" s="777">
        <v>5</v>
      </c>
      <c r="M863" s="778"/>
      <c r="N863" s="976">
        <v>0</v>
      </c>
      <c r="O863" s="1020">
        <v>806</v>
      </c>
      <c r="P863" s="858" t="e">
        <f>VLOOKUP(N863,etat!$A$9:$N$1004,2,FALSE)</f>
        <v>#N/A</v>
      </c>
      <c r="Q863" s="797" t="e">
        <f>VLOOKUP(N863,etat!$A$9:$N$963,7,FALSE)</f>
        <v>#N/A</v>
      </c>
      <c r="R863" s="797" t="e">
        <f>VLOOKUP(N863,etat!$A$9:$N$1003,9,FALSE)</f>
        <v>#N/A</v>
      </c>
      <c r="S863" s="797" t="e">
        <f>VLOOKUP(N863,etat!$A$9:$P$905,16,FALSE)</f>
        <v>#N/A</v>
      </c>
      <c r="T863" s="755"/>
      <c r="U863" s="791"/>
      <c r="V863" s="784"/>
      <c r="W863" s="784"/>
      <c r="X863" s="784"/>
      <c r="Y863" s="848"/>
      <c r="Z863" s="793" t="str">
        <f>VLOOKUP(L863,اس!$S$3:$X$31,3,FALSE)</f>
        <v>.</v>
      </c>
      <c r="AA863" s="766"/>
    </row>
    <row r="864" spans="12:27" ht="17.25">
      <c r="L864" s="777">
        <v>5</v>
      </c>
      <c r="M864" s="778"/>
      <c r="N864" s="976">
        <v>0</v>
      </c>
      <c r="O864" s="1020">
        <v>807</v>
      </c>
      <c r="P864" s="858" t="e">
        <f>VLOOKUP(N864,etat!$A$9:$N$1004,2,FALSE)</f>
        <v>#N/A</v>
      </c>
      <c r="Q864" s="797" t="e">
        <f>VLOOKUP(N864,etat!$A$9:$N$963,7,FALSE)</f>
        <v>#N/A</v>
      </c>
      <c r="R864" s="797" t="e">
        <f>VLOOKUP(N864,etat!$A$9:$N$1003,9,FALSE)</f>
        <v>#N/A</v>
      </c>
      <c r="S864" s="797" t="e">
        <f>VLOOKUP(N864,etat!$A$9:$P$905,16,FALSE)</f>
        <v>#N/A</v>
      </c>
      <c r="T864" s="755"/>
      <c r="U864" s="791"/>
      <c r="V864" s="784"/>
      <c r="W864" s="784"/>
      <c r="X864" s="784"/>
      <c r="Y864" s="848"/>
      <c r="Z864" s="793" t="str">
        <f>VLOOKUP(L864,اس!$S$3:$X$31,3,FALSE)</f>
        <v>.</v>
      </c>
      <c r="AA864" s="766"/>
    </row>
    <row r="865" spans="12:27" ht="17.25">
      <c r="L865" s="777">
        <v>5</v>
      </c>
      <c r="M865" s="778"/>
      <c r="N865" s="976">
        <v>0</v>
      </c>
      <c r="O865" s="1020">
        <v>808</v>
      </c>
      <c r="P865" s="858" t="e">
        <f>VLOOKUP(N865,etat!$A$9:$N$1004,2,FALSE)</f>
        <v>#N/A</v>
      </c>
      <c r="Q865" s="797" t="e">
        <f>VLOOKUP(N865,etat!$A$9:$N$963,7,FALSE)</f>
        <v>#N/A</v>
      </c>
      <c r="R865" s="797" t="e">
        <f>VLOOKUP(N865,etat!$A$9:$N$1003,9,FALSE)</f>
        <v>#N/A</v>
      </c>
      <c r="S865" s="797" t="e">
        <f>VLOOKUP(N865,etat!$A$9:$P$905,16,FALSE)</f>
        <v>#N/A</v>
      </c>
      <c r="T865" s="755"/>
      <c r="U865" s="791"/>
      <c r="V865" s="784"/>
      <c r="W865" s="784"/>
      <c r="X865" s="784"/>
      <c r="Y865" s="848"/>
      <c r="Z865" s="793" t="str">
        <f>VLOOKUP(L865,اس!$S$3:$X$31,3,FALSE)</f>
        <v>.</v>
      </c>
      <c r="AA865" s="766"/>
    </row>
    <row r="866" spans="12:27" ht="17.25">
      <c r="L866" s="777">
        <v>5</v>
      </c>
      <c r="M866" s="778"/>
      <c r="N866" s="976">
        <v>0</v>
      </c>
      <c r="O866" s="1020">
        <v>809</v>
      </c>
      <c r="P866" s="858" t="e">
        <f>VLOOKUP(N866,etat!$A$9:$N$1004,2,FALSE)</f>
        <v>#N/A</v>
      </c>
      <c r="Q866" s="797" t="e">
        <f>VLOOKUP(N866,etat!$A$9:$N$963,7,FALSE)</f>
        <v>#N/A</v>
      </c>
      <c r="R866" s="797" t="e">
        <f>VLOOKUP(N866,etat!$A$9:$N$1003,9,FALSE)</f>
        <v>#N/A</v>
      </c>
      <c r="S866" s="797" t="e">
        <f>VLOOKUP(N866,etat!$A$9:$P$905,16,FALSE)</f>
        <v>#N/A</v>
      </c>
      <c r="T866" s="755"/>
      <c r="U866" s="791"/>
      <c r="V866" s="784"/>
      <c r="W866" s="784"/>
      <c r="X866" s="784"/>
      <c r="Y866" s="848"/>
      <c r="Z866" s="793" t="str">
        <f>VLOOKUP(L866,اس!$S$3:$X$31,3,FALSE)</f>
        <v>.</v>
      </c>
      <c r="AA866" s="766"/>
    </row>
    <row r="867" spans="12:27" ht="17.25">
      <c r="L867" s="777">
        <v>5</v>
      </c>
      <c r="M867" s="778"/>
      <c r="N867" s="976">
        <v>0</v>
      </c>
      <c r="O867" s="1020">
        <v>810</v>
      </c>
      <c r="P867" s="858" t="e">
        <f>VLOOKUP(N867,etat!$A$9:$N$1004,2,FALSE)</f>
        <v>#N/A</v>
      </c>
      <c r="Q867" s="797" t="e">
        <f>VLOOKUP(N867,etat!$A$9:$N$963,7,FALSE)</f>
        <v>#N/A</v>
      </c>
      <c r="R867" s="797" t="e">
        <f>VLOOKUP(N867,etat!$A$9:$N$1003,9,FALSE)</f>
        <v>#N/A</v>
      </c>
      <c r="S867" s="797" t="e">
        <f>VLOOKUP(N867,etat!$A$9:$P$905,16,FALSE)</f>
        <v>#N/A</v>
      </c>
      <c r="T867" s="755"/>
      <c r="U867" s="791"/>
      <c r="V867" s="784"/>
      <c r="W867" s="784"/>
      <c r="X867" s="784"/>
      <c r="Y867" s="848"/>
      <c r="Z867" s="793" t="str">
        <f>VLOOKUP(L867,اس!$S$3:$X$31,3,FALSE)</f>
        <v>.</v>
      </c>
      <c r="AA867" s="766"/>
    </row>
    <row r="868" spans="12:27" ht="17.25">
      <c r="L868" s="777">
        <v>5</v>
      </c>
      <c r="M868" s="778"/>
      <c r="N868" s="976">
        <v>0</v>
      </c>
      <c r="O868" s="1020">
        <v>811</v>
      </c>
      <c r="P868" s="858" t="e">
        <f>VLOOKUP(N868,etat!$A$9:$N$1004,2,FALSE)</f>
        <v>#N/A</v>
      </c>
      <c r="Q868" s="797" t="e">
        <f>VLOOKUP(N868,etat!$A$9:$N$963,7,FALSE)</f>
        <v>#N/A</v>
      </c>
      <c r="R868" s="797" t="e">
        <f>VLOOKUP(N868,etat!$A$9:$N$1003,9,FALSE)</f>
        <v>#N/A</v>
      </c>
      <c r="S868" s="797" t="e">
        <f>VLOOKUP(N868,etat!$A$9:$P$905,16,FALSE)</f>
        <v>#N/A</v>
      </c>
      <c r="T868" s="755"/>
      <c r="U868" s="791"/>
      <c r="V868" s="784"/>
      <c r="W868" s="784"/>
      <c r="X868" s="784"/>
      <c r="Y868" s="848"/>
      <c r="Z868" s="793" t="str">
        <f>VLOOKUP(L868,اس!$S$3:$X$31,3,FALSE)</f>
        <v>.</v>
      </c>
      <c r="AA868" s="766"/>
    </row>
  </sheetData>
  <sortState ref="N211:AA233">
    <sortCondition ref="N210:N232"/>
  </sortState>
  <mergeCells count="62">
    <mergeCell ref="U56:U57"/>
    <mergeCell ref="T55:U55"/>
    <mergeCell ref="L56:M56"/>
    <mergeCell ref="A1:N1"/>
    <mergeCell ref="D29:E29"/>
    <mergeCell ref="D22:E22"/>
    <mergeCell ref="D28:E28"/>
    <mergeCell ref="D19:E19"/>
    <mergeCell ref="N9:N10"/>
    <mergeCell ref="B9:C9"/>
    <mergeCell ref="B10:C10"/>
    <mergeCell ref="D20:E20"/>
    <mergeCell ref="D14:E14"/>
    <mergeCell ref="D15:E15"/>
    <mergeCell ref="D16:E16"/>
    <mergeCell ref="F7:G7"/>
    <mergeCell ref="H7:J7"/>
    <mergeCell ref="N37:N41"/>
    <mergeCell ref="J22:L22"/>
    <mergeCell ref="J23:L23"/>
    <mergeCell ref="J24:L24"/>
    <mergeCell ref="J25:L25"/>
    <mergeCell ref="J26:L26"/>
    <mergeCell ref="I35:L35"/>
    <mergeCell ref="H29:I29"/>
    <mergeCell ref="F35:H35"/>
    <mergeCell ref="F22:G22"/>
    <mergeCell ref="F29:G29"/>
    <mergeCell ref="H23:I23"/>
    <mergeCell ref="F23:G23"/>
    <mergeCell ref="F28:G28"/>
    <mergeCell ref="H22:I22"/>
    <mergeCell ref="A42:C42"/>
    <mergeCell ref="B22:C22"/>
    <mergeCell ref="D23:E23"/>
    <mergeCell ref="B34:C34"/>
    <mergeCell ref="D34:E34"/>
    <mergeCell ref="B28:C28"/>
    <mergeCell ref="B29:C29"/>
    <mergeCell ref="H34:I34"/>
    <mergeCell ref="B23:C23"/>
    <mergeCell ref="A35:E35"/>
    <mergeCell ref="F34:G34"/>
    <mergeCell ref="H28:I28"/>
    <mergeCell ref="J33:K33"/>
    <mergeCell ref="P9:Q9"/>
    <mergeCell ref="Q10:R10"/>
    <mergeCell ref="Q26:R26"/>
    <mergeCell ref="Q22:R22"/>
    <mergeCell ref="Q23:R23"/>
    <mergeCell ref="Q24:R24"/>
    <mergeCell ref="Q25:R25"/>
    <mergeCell ref="B20:C20"/>
    <mergeCell ref="D17:E17"/>
    <mergeCell ref="D18:E18"/>
    <mergeCell ref="B19:C19"/>
    <mergeCell ref="A9:A10"/>
    <mergeCell ref="D9:E9"/>
    <mergeCell ref="D10:E10"/>
    <mergeCell ref="D13:E13"/>
    <mergeCell ref="D11:E11"/>
    <mergeCell ref="D12:E12"/>
  </mergeCells>
  <dataValidations disablePrompts="1" count="1">
    <dataValidation type="list" allowBlank="1" showInputMessage="1" showErrorMessage="1" sqref="M23:M26">
      <formula1>$S$10:$S$14</formula1>
    </dataValidation>
  </dataValidations>
  <hyperlinks>
    <hyperlink ref="S4" location="الرجوع!A1" display="الرجوع!A1"/>
  </hyperlinks>
  <pageMargins left="0.7" right="0.7" top="0.75" bottom="0.75" header="0.3" footer="0.3"/>
  <pageSetup paperSize="9" scale="84" orientation="portrait" verticalDpi="0" r:id="rId1"/>
  <colBreaks count="2" manualBreakCount="2">
    <brk id="14" max="1604" man="1"/>
    <brk id="28" max="1604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0"/>
  <dimension ref="A1:CA592"/>
  <sheetViews>
    <sheetView rightToLeft="1" tabSelected="1" topLeftCell="L199" zoomScale="110" zoomScaleNormal="110" workbookViewId="0">
      <selection activeCell="O283" sqref="O283:AA315"/>
    </sheetView>
  </sheetViews>
  <sheetFormatPr baseColWidth="10" defaultRowHeight="15"/>
  <cols>
    <col min="1" max="1" width="9.140625" style="765" customWidth="1"/>
    <col min="2" max="2" width="6.85546875" style="765" customWidth="1"/>
    <col min="3" max="3" width="7.28515625" style="765" bestFit="1" customWidth="1"/>
    <col min="4" max="4" width="6.5703125" style="166" customWidth="1"/>
    <col min="5" max="5" width="5" style="166" customWidth="1"/>
    <col min="6" max="6" width="5.140625" style="166" customWidth="1"/>
    <col min="7" max="7" width="6.85546875" style="166" customWidth="1"/>
    <col min="8" max="8" width="7" style="166" customWidth="1"/>
    <col min="9" max="11" width="6.5703125" style="765" customWidth="1"/>
    <col min="12" max="12" width="7" style="765" customWidth="1"/>
    <col min="13" max="13" width="9.42578125" style="765" customWidth="1"/>
    <col min="14" max="14" width="10.28515625" style="765" customWidth="1"/>
    <col min="15" max="15" width="4.7109375" style="765" customWidth="1"/>
    <col min="16" max="16" width="19.5703125" style="765" customWidth="1"/>
    <col min="17" max="17" width="7.5703125" style="765" customWidth="1"/>
    <col min="18" max="18" width="5.140625" style="765" customWidth="1"/>
    <col min="19" max="19" width="6.42578125" style="765" hidden="1" customWidth="1"/>
    <col min="20" max="20" width="12.140625" style="765" customWidth="1"/>
    <col min="21" max="21" width="5" style="22" customWidth="1"/>
    <col min="22" max="25" width="8" style="23" customWidth="1"/>
    <col min="26" max="26" width="8.85546875" style="23" customWidth="1"/>
    <col min="27" max="27" width="4.7109375" style="23" customWidth="1"/>
    <col min="28" max="28" width="9.42578125" style="23" customWidth="1"/>
    <col min="29" max="32" width="6.7109375" style="23" customWidth="1"/>
    <col min="33" max="33" width="9" style="23" customWidth="1"/>
    <col min="34" max="35" width="11.42578125" style="765"/>
    <col min="36" max="36" width="5" style="765" customWidth="1"/>
    <col min="37" max="37" width="11" style="765" customWidth="1"/>
    <col min="38" max="48" width="8.5703125" style="765" customWidth="1"/>
    <col min="49" max="49" width="15.28515625" style="765" customWidth="1"/>
    <col min="50" max="73" width="11.42578125" style="765"/>
    <col min="74" max="79" width="11.42578125" style="497"/>
  </cols>
  <sheetData>
    <row r="1" spans="1:79" ht="16.5" customHeight="1">
      <c r="A1" s="1439" t="s">
        <v>253</v>
      </c>
      <c r="B1" s="1439"/>
      <c r="C1" s="1439"/>
      <c r="D1" s="1439"/>
      <c r="E1" s="1439"/>
      <c r="F1" s="1439"/>
      <c r="G1" s="1439"/>
      <c r="H1" s="1439"/>
      <c r="I1" s="1439"/>
      <c r="J1" s="1439"/>
      <c r="K1" s="1439"/>
      <c r="L1" s="1439"/>
      <c r="M1" s="1439"/>
      <c r="N1" s="1439"/>
      <c r="O1" s="21"/>
      <c r="P1" s="8"/>
      <c r="Q1" s="8"/>
      <c r="R1" s="20"/>
      <c r="S1" s="20"/>
      <c r="T1" s="20"/>
      <c r="V1" s="1005"/>
      <c r="W1" s="1005"/>
      <c r="X1" s="1005"/>
      <c r="Y1" s="1005"/>
      <c r="Z1" s="1005"/>
      <c r="AA1" s="1005"/>
      <c r="AB1" s="1005"/>
      <c r="AC1" s="1005"/>
      <c r="AD1" s="1005"/>
      <c r="AE1" s="1005"/>
      <c r="AF1" s="1005"/>
      <c r="AG1" s="1005"/>
      <c r="AH1" s="505" t="s">
        <v>253</v>
      </c>
      <c r="AI1" s="504"/>
      <c r="AJ1" s="504"/>
      <c r="AK1" s="504"/>
      <c r="AL1" s="504"/>
      <c r="AM1" s="504"/>
      <c r="AN1" s="504"/>
      <c r="AO1" s="504"/>
      <c r="AP1" s="504"/>
      <c r="AQ1" s="504"/>
      <c r="AR1" s="504"/>
      <c r="AS1" s="504"/>
      <c r="AT1" s="504"/>
      <c r="AU1" s="504"/>
      <c r="AV1" s="504"/>
      <c r="AW1" s="504"/>
    </row>
    <row r="2" spans="1:79" ht="16.5" customHeight="1">
      <c r="A2" s="21"/>
      <c r="B2" s="21"/>
      <c r="C2" s="21"/>
      <c r="D2" s="444"/>
      <c r="E2" s="444"/>
      <c r="F2" s="444" t="s">
        <v>254</v>
      </c>
      <c r="G2" s="444"/>
      <c r="H2" s="444"/>
      <c r="I2" s="21"/>
      <c r="J2" s="21"/>
      <c r="K2" s="21"/>
      <c r="L2" s="21"/>
      <c r="M2" s="21"/>
      <c r="N2" s="21"/>
      <c r="O2" s="21"/>
      <c r="P2" s="8"/>
      <c r="Q2" s="8"/>
      <c r="R2" s="20"/>
      <c r="S2" s="20"/>
      <c r="T2" s="20"/>
      <c r="V2" s="1005"/>
      <c r="W2" s="1005"/>
      <c r="X2" s="1005"/>
      <c r="Y2" s="1005"/>
      <c r="Z2" s="1005"/>
      <c r="AA2" s="1005"/>
      <c r="AB2" s="1005"/>
      <c r="AC2" s="1005"/>
      <c r="AD2" s="1005"/>
      <c r="AE2" s="1005"/>
      <c r="AF2" s="1005"/>
      <c r="AG2" s="1005"/>
      <c r="AH2" s="505" t="s">
        <v>79</v>
      </c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</row>
    <row r="3" spans="1:79" ht="16.5" customHeight="1">
      <c r="A3" s="21" t="s">
        <v>255</v>
      </c>
      <c r="B3" s="21"/>
      <c r="C3" s="21"/>
      <c r="D3" s="444"/>
      <c r="E3" s="444"/>
      <c r="F3" s="444"/>
      <c r="G3" s="444"/>
      <c r="H3" s="444"/>
      <c r="I3" s="21"/>
      <c r="J3" s="21"/>
      <c r="K3" s="21"/>
      <c r="L3" s="21"/>
      <c r="M3" s="21"/>
      <c r="N3" s="21"/>
      <c r="O3" s="21"/>
      <c r="P3" s="8"/>
      <c r="Q3" s="8"/>
      <c r="R3" s="21"/>
      <c r="S3" s="21"/>
      <c r="T3" s="21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515" t="s">
        <v>1203</v>
      </c>
      <c r="AI3" s="515"/>
      <c r="AJ3" s="515"/>
      <c r="AK3" s="515"/>
      <c r="AL3" s="8"/>
      <c r="AM3" s="8"/>
      <c r="AN3" s="8"/>
      <c r="AO3" s="308"/>
      <c r="AP3" s="516"/>
      <c r="AQ3" s="516"/>
      <c r="AR3" s="516"/>
      <c r="AS3" s="516"/>
      <c r="AT3" s="516"/>
      <c r="AU3" s="516"/>
      <c r="AV3" s="516"/>
      <c r="AW3" s="516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</row>
    <row r="4" spans="1:79" s="25" customFormat="1" ht="16.5" customHeight="1" thickBot="1">
      <c r="A4" s="21" t="s">
        <v>256</v>
      </c>
      <c r="B4" s="21"/>
      <c r="C4" s="21"/>
      <c r="D4" s="444"/>
      <c r="E4" s="444"/>
      <c r="F4" s="444"/>
      <c r="G4" s="444"/>
      <c r="H4" s="444"/>
      <c r="I4" s="445" t="str">
        <f>etat!N4</f>
        <v>السنة الدراسية : 2025/2026</v>
      </c>
      <c r="J4" s="445"/>
      <c r="K4" s="445"/>
      <c r="L4" s="445"/>
      <c r="M4" s="21"/>
      <c r="N4" s="21"/>
      <c r="O4" s="21"/>
      <c r="P4" s="8"/>
      <c r="Q4" s="8"/>
      <c r="R4" s="21"/>
      <c r="S4" s="309" t="s">
        <v>496</v>
      </c>
      <c r="T4" s="310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7"/>
      <c r="AI4" s="8" t="s">
        <v>1204</v>
      </c>
      <c r="AJ4" s="8"/>
      <c r="AK4" s="8"/>
      <c r="AL4" s="13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</row>
    <row r="5" spans="1:79" s="25" customFormat="1" ht="16.5" customHeight="1" thickTop="1" thickBot="1">
      <c r="A5" s="21"/>
      <c r="B5" s="21"/>
      <c r="C5" s="21"/>
      <c r="D5" s="444"/>
      <c r="E5" s="444"/>
      <c r="F5" s="444"/>
      <c r="G5" s="444"/>
      <c r="H5" s="444"/>
      <c r="I5" s="21"/>
      <c r="J5" s="21"/>
      <c r="K5" s="21"/>
      <c r="L5" s="21"/>
      <c r="M5" s="21"/>
      <c r="N5" s="21"/>
      <c r="O5" s="21"/>
      <c r="P5" s="8"/>
      <c r="Q5" s="8"/>
      <c r="R5" s="21"/>
      <c r="S5" s="21"/>
      <c r="T5" s="21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506" t="s">
        <v>258</v>
      </c>
      <c r="AI5" s="392" t="s">
        <v>1197</v>
      </c>
      <c r="AJ5" s="393"/>
      <c r="AK5" s="312" t="s">
        <v>1198</v>
      </c>
      <c r="AL5" s="389" t="s">
        <v>1199</v>
      </c>
      <c r="AM5" s="389" t="s">
        <v>1474</v>
      </c>
      <c r="AN5" s="389" t="s">
        <v>1475</v>
      </c>
      <c r="AO5" s="389" t="s">
        <v>1476</v>
      </c>
      <c r="AP5" s="776"/>
      <c r="AQ5" s="390" t="s">
        <v>1200</v>
      </c>
      <c r="AR5" s="389" t="s">
        <v>1465</v>
      </c>
      <c r="AS5" s="389" t="s">
        <v>1466</v>
      </c>
      <c r="AT5" s="389" t="s">
        <v>1495</v>
      </c>
      <c r="AU5" s="313"/>
      <c r="AV5" s="3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</row>
    <row r="6" spans="1:79" s="25" customFormat="1" ht="16.5" customHeight="1" thickTop="1" thickBot="1">
      <c r="A6" s="21"/>
      <c r="B6" s="21"/>
      <c r="C6" s="21"/>
      <c r="D6" s="446" t="s">
        <v>2286</v>
      </c>
      <c r="E6" s="444"/>
      <c r="F6" s="444"/>
      <c r="G6" s="444"/>
      <c r="H6" s="444"/>
      <c r="I6" s="21"/>
      <c r="J6" s="447"/>
      <c r="K6" s="21"/>
      <c r="L6" s="21"/>
      <c r="M6" s="21"/>
      <c r="N6" s="21"/>
      <c r="O6" s="21"/>
      <c r="P6" s="8"/>
      <c r="Q6" s="8"/>
      <c r="R6" s="21"/>
      <c r="S6" s="21"/>
      <c r="T6" s="21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507"/>
      <c r="AI6" s="394" t="s">
        <v>1201</v>
      </c>
      <c r="AJ6" s="395"/>
      <c r="AK6" s="312" t="s">
        <v>259</v>
      </c>
      <c r="AL6" s="389" t="s">
        <v>1474</v>
      </c>
      <c r="AM6" s="389" t="s">
        <v>1475</v>
      </c>
      <c r="AN6" s="389" t="s">
        <v>1476</v>
      </c>
      <c r="AO6" s="389" t="s">
        <v>1477</v>
      </c>
      <c r="AP6" s="776"/>
      <c r="AQ6" s="390" t="s">
        <v>1465</v>
      </c>
      <c r="AR6" s="389" t="s">
        <v>1466</v>
      </c>
      <c r="AS6" s="389" t="s">
        <v>1495</v>
      </c>
      <c r="AT6" s="389" t="s">
        <v>1496</v>
      </c>
      <c r="AU6" s="314"/>
      <c r="AV6" s="314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</row>
    <row r="7" spans="1:79" s="305" customFormat="1" ht="16.5" customHeight="1" thickBot="1">
      <c r="A7" s="21"/>
      <c r="B7" s="21"/>
      <c r="C7" s="21"/>
      <c r="D7" s="21"/>
      <c r="E7" s="448" t="s">
        <v>257</v>
      </c>
      <c r="F7" s="1439" t="str">
        <f>TEXT($H$7,"dddd")</f>
        <v>dddd</v>
      </c>
      <c r="G7" s="1439"/>
      <c r="H7" s="1466">
        <f>T55</f>
        <v>45783</v>
      </c>
      <c r="I7" s="1466"/>
      <c r="J7" s="1466"/>
      <c r="K7" s="449"/>
      <c r="L7" s="449"/>
      <c r="M7" s="315"/>
      <c r="N7" s="315"/>
      <c r="O7" s="315"/>
      <c r="P7" s="27"/>
      <c r="Q7" s="27"/>
      <c r="R7" s="315"/>
      <c r="S7" s="315"/>
      <c r="T7" s="315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488">
        <v>1</v>
      </c>
      <c r="AI7" s="994" t="s">
        <v>272</v>
      </c>
      <c r="AJ7" s="287"/>
      <c r="AK7" s="282" t="s">
        <v>262</v>
      </c>
      <c r="AL7" s="768"/>
      <c r="AM7" s="768"/>
      <c r="AN7" s="768"/>
      <c r="AO7" s="768"/>
      <c r="AP7" s="785"/>
      <c r="AQ7" s="282"/>
      <c r="AR7" s="282"/>
      <c r="AS7" s="282"/>
      <c r="AT7" s="318"/>
      <c r="AU7" s="318"/>
      <c r="AV7" s="318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</row>
    <row r="8" spans="1:79" s="25" customFormat="1" ht="16.5" customHeight="1" thickBot="1">
      <c r="A8" s="450">
        <v>-1</v>
      </c>
      <c r="B8" s="293" t="s">
        <v>261</v>
      </c>
      <c r="C8" s="293"/>
      <c r="D8" s="388"/>
      <c r="E8" s="451"/>
      <c r="F8" s="388"/>
      <c r="G8" s="388"/>
      <c r="H8" s="388"/>
      <c r="I8" s="293"/>
      <c r="J8" s="293"/>
      <c r="K8" s="293"/>
      <c r="L8" s="293"/>
      <c r="M8" s="293"/>
      <c r="N8" s="293"/>
      <c r="O8" s="293"/>
      <c r="P8" s="11"/>
      <c r="Q8" s="11"/>
      <c r="T8" s="293"/>
      <c r="AH8" s="488">
        <v>2</v>
      </c>
      <c r="AI8" s="994" t="s">
        <v>274</v>
      </c>
      <c r="AJ8" s="287"/>
      <c r="AK8" s="282" t="s">
        <v>262</v>
      </c>
      <c r="AL8" s="282" t="s">
        <v>1530</v>
      </c>
      <c r="AM8" s="282" t="s">
        <v>1175</v>
      </c>
      <c r="AN8" s="282" t="s">
        <v>2231</v>
      </c>
      <c r="AO8" s="282"/>
      <c r="AP8" s="786"/>
      <c r="AQ8" s="768"/>
      <c r="AR8" s="768"/>
      <c r="AS8" s="768"/>
      <c r="AT8" s="281"/>
      <c r="AU8" s="281"/>
      <c r="AV8" s="281"/>
    </row>
    <row r="9" spans="1:79" s="25" customFormat="1" ht="16.5" customHeight="1" thickBot="1">
      <c r="A9" s="1422" t="s">
        <v>258</v>
      </c>
      <c r="B9" s="1422" t="s">
        <v>1197</v>
      </c>
      <c r="C9" s="1422"/>
      <c r="D9" s="1422" t="s">
        <v>1198</v>
      </c>
      <c r="E9" s="1422"/>
      <c r="F9" s="716" t="s">
        <v>1199</v>
      </c>
      <c r="G9" s="716" t="s">
        <v>1474</v>
      </c>
      <c r="H9" s="716" t="s">
        <v>1475</v>
      </c>
      <c r="I9" s="716" t="s">
        <v>1476</v>
      </c>
      <c r="J9" s="716" t="s">
        <v>1200</v>
      </c>
      <c r="K9" s="716" t="s">
        <v>1465</v>
      </c>
      <c r="L9" s="716" t="s">
        <v>1466</v>
      </c>
      <c r="M9" s="716" t="s">
        <v>1495</v>
      </c>
      <c r="N9" s="1442" t="s">
        <v>260</v>
      </c>
      <c r="O9" s="13"/>
      <c r="P9" s="1411" t="s">
        <v>607</v>
      </c>
      <c r="Q9" s="1411"/>
      <c r="S9" s="521" t="s">
        <v>304</v>
      </c>
      <c r="T9" s="293"/>
      <c r="AH9" s="488">
        <v>3</v>
      </c>
      <c r="AI9" s="994" t="s">
        <v>427</v>
      </c>
      <c r="AJ9" s="287"/>
      <c r="AK9" s="282" t="s">
        <v>262</v>
      </c>
      <c r="AL9" s="768"/>
      <c r="AM9" s="768"/>
      <c r="AN9" s="282"/>
      <c r="AO9" s="768"/>
      <c r="AP9" s="769"/>
      <c r="AQ9" s="768"/>
      <c r="AR9" s="768"/>
      <c r="AS9" s="768"/>
      <c r="AT9" s="281"/>
      <c r="AU9" s="274"/>
      <c r="AV9" s="274"/>
    </row>
    <row r="10" spans="1:79" s="25" customFormat="1" ht="16.5" customHeight="1" thickBot="1">
      <c r="A10" s="1422"/>
      <c r="B10" s="1422" t="s">
        <v>1201</v>
      </c>
      <c r="C10" s="1422"/>
      <c r="D10" s="1422" t="s">
        <v>259</v>
      </c>
      <c r="E10" s="1422"/>
      <c r="F10" s="716" t="s">
        <v>1474</v>
      </c>
      <c r="G10" s="716" t="s">
        <v>1475</v>
      </c>
      <c r="H10" s="716" t="s">
        <v>1476</v>
      </c>
      <c r="I10" s="716" t="s">
        <v>1477</v>
      </c>
      <c r="J10" s="716" t="s">
        <v>1465</v>
      </c>
      <c r="K10" s="716" t="s">
        <v>1466</v>
      </c>
      <c r="L10" s="716" t="s">
        <v>1495</v>
      </c>
      <c r="M10" s="716" t="s">
        <v>1496</v>
      </c>
      <c r="N10" s="1443"/>
      <c r="O10" s="293"/>
      <c r="P10" s="296" t="s">
        <v>608</v>
      </c>
      <c r="Q10" s="1412" t="s">
        <v>260</v>
      </c>
      <c r="R10" s="1413"/>
      <c r="S10" s="518" t="s">
        <v>614</v>
      </c>
      <c r="T10" s="293"/>
      <c r="AH10" s="488">
        <v>4</v>
      </c>
      <c r="AI10" s="994" t="s">
        <v>1943</v>
      </c>
      <c r="AJ10" s="287"/>
      <c r="AK10" s="282" t="s">
        <v>262</v>
      </c>
      <c r="AL10" s="768" t="s">
        <v>2228</v>
      </c>
      <c r="AM10" s="768" t="s">
        <v>268</v>
      </c>
      <c r="AN10" s="768"/>
      <c r="AO10" s="768" t="s">
        <v>328</v>
      </c>
      <c r="AP10" s="785"/>
      <c r="AQ10" s="282"/>
      <c r="AR10" s="282"/>
      <c r="AS10" s="282"/>
      <c r="AT10" s="274"/>
      <c r="AU10" s="274"/>
      <c r="AV10" s="274"/>
    </row>
    <row r="11" spans="1:79" s="25" customFormat="1" ht="16.5" customHeight="1" thickBot="1">
      <c r="A11" s="531">
        <v>1</v>
      </c>
      <c r="B11" s="1457" t="str">
        <f t="shared" ref="B11:B20" si="0">VLOOKUP(P11,$AH$7:$AW$60,2,FALSE)</f>
        <v>بويعقوب زينة</v>
      </c>
      <c r="C11" s="1458"/>
      <c r="D11" s="1473" t="str">
        <f t="shared" ref="D11:D20" si="1">VLOOKUP(P11,$AH$7:$AW$60,4,FALSE)</f>
        <v>أدب عربي</v>
      </c>
      <c r="E11" s="1473">
        <f t="shared" ref="E11:E20" si="2">VLOOKUP(P11,$AH$7:$AW$60,5,FALSE)</f>
        <v>0</v>
      </c>
      <c r="F11" s="925">
        <f t="shared" ref="F11:F20" si="3">VLOOKUP(P11,$AH$7:$AW$60,5,FALSE)</f>
        <v>0</v>
      </c>
      <c r="G11" s="925">
        <f t="shared" ref="G11:G20" si="4">VLOOKUP(P11,$AH$7:$AW$60,6,FALSE)</f>
        <v>0</v>
      </c>
      <c r="H11" s="925">
        <f t="shared" ref="H11:H20" si="5">VLOOKUP(P11,$AH$7:$AW$60,7,FALSE)</f>
        <v>0</v>
      </c>
      <c r="I11" s="1013" t="str">
        <f t="shared" ref="I11:I20" si="6">VLOOKUP(P11,$AH$7:$AW$60,8,FALSE)</f>
        <v>1اد3</v>
      </c>
      <c r="J11" s="925">
        <f t="shared" ref="J11:J20" si="7">VLOOKUP(P11,$AH$7:$AW$60,10,FALSE)</f>
        <v>0</v>
      </c>
      <c r="K11" s="925">
        <f t="shared" ref="K11:K20" si="8">VLOOKUP(P11,$AH$7:$AW$60,11,FALSE)</f>
        <v>0</v>
      </c>
      <c r="L11" s="925">
        <f t="shared" ref="L11:L20" si="9">VLOOKUP(P11,$AH$7:$AW$60,12,FALSE)</f>
        <v>0</v>
      </c>
      <c r="M11" s="907">
        <f t="shared" ref="M11:M20" si="10">VLOOKUP(P11,$AH$7:$AW$60,13,FALSE)</f>
        <v>0</v>
      </c>
      <c r="N11" s="1039" t="str">
        <f>VLOOKUP(Q11,اس!$S$3:$T$31,2,FALSE)</f>
        <v>.</v>
      </c>
      <c r="O11" s="293"/>
      <c r="P11" s="297">
        <v>28</v>
      </c>
      <c r="Q11" s="923">
        <v>5</v>
      </c>
      <c r="R11" s="812"/>
      <c r="S11" s="519" t="s">
        <v>615</v>
      </c>
      <c r="T11" s="293"/>
      <c r="AH11" s="488">
        <v>5</v>
      </c>
      <c r="AI11" s="994" t="s">
        <v>1220</v>
      </c>
      <c r="AJ11" s="287"/>
      <c r="AK11" s="282" t="s">
        <v>262</v>
      </c>
      <c r="AL11" s="282"/>
      <c r="AM11" s="282" t="s">
        <v>2226</v>
      </c>
      <c r="AN11" s="768"/>
      <c r="AO11" s="768"/>
      <c r="AP11" s="769"/>
      <c r="AQ11" s="282"/>
      <c r="AR11" s="282"/>
      <c r="AS11" s="282"/>
      <c r="AT11" s="282"/>
      <c r="AU11" s="274"/>
      <c r="AV11" s="274"/>
    </row>
    <row r="12" spans="1:79" s="25" customFormat="1" ht="16.5" customHeight="1" thickBot="1">
      <c r="A12" s="532">
        <v>2</v>
      </c>
      <c r="B12" s="1420" t="e">
        <f t="shared" si="0"/>
        <v>#N/A</v>
      </c>
      <c r="C12" s="1421"/>
      <c r="D12" s="1448" t="e">
        <f t="shared" si="1"/>
        <v>#N/A</v>
      </c>
      <c r="E12" s="1448" t="e">
        <f t="shared" si="2"/>
        <v>#N/A</v>
      </c>
      <c r="F12" s="863" t="e">
        <f t="shared" si="3"/>
        <v>#N/A</v>
      </c>
      <c r="G12" s="863" t="e">
        <f t="shared" si="4"/>
        <v>#N/A</v>
      </c>
      <c r="H12" s="863" t="e">
        <f t="shared" si="5"/>
        <v>#N/A</v>
      </c>
      <c r="I12" s="863" t="e">
        <f t="shared" si="6"/>
        <v>#N/A</v>
      </c>
      <c r="J12" s="863" t="e">
        <f t="shared" si="7"/>
        <v>#N/A</v>
      </c>
      <c r="K12" s="863" t="e">
        <f t="shared" si="8"/>
        <v>#N/A</v>
      </c>
      <c r="L12" s="863" t="e">
        <f t="shared" si="9"/>
        <v>#N/A</v>
      </c>
      <c r="M12" s="908" t="e">
        <f t="shared" si="10"/>
        <v>#N/A</v>
      </c>
      <c r="N12" s="1039" t="str">
        <f>VLOOKUP(Q12,اس!$S$3:$T$31,2,FALSE)</f>
        <v>.</v>
      </c>
      <c r="O12" s="293"/>
      <c r="P12" s="297"/>
      <c r="Q12" s="923">
        <v>5</v>
      </c>
      <c r="R12" s="812"/>
      <c r="S12" s="519" t="s">
        <v>628</v>
      </c>
      <c r="T12" s="293"/>
      <c r="AH12" s="488">
        <v>6</v>
      </c>
      <c r="AI12" s="994" t="s">
        <v>1219</v>
      </c>
      <c r="AJ12" s="287"/>
      <c r="AK12" s="282" t="s">
        <v>262</v>
      </c>
      <c r="AL12" s="768" t="s">
        <v>2227</v>
      </c>
      <c r="AM12" s="768" t="s">
        <v>327</v>
      </c>
      <c r="AN12" s="768" t="s">
        <v>327</v>
      </c>
      <c r="AO12" s="768" t="s">
        <v>2215</v>
      </c>
      <c r="AP12" s="785"/>
      <c r="AQ12" s="282"/>
      <c r="AR12" s="282"/>
      <c r="AS12" s="282"/>
      <c r="AT12" s="274"/>
      <c r="AU12" s="274"/>
      <c r="AV12" s="274"/>
    </row>
    <row r="13" spans="1:79" s="25" customFormat="1" ht="16.5" customHeight="1" thickBot="1">
      <c r="A13" s="532">
        <v>3</v>
      </c>
      <c r="B13" s="1420" t="e">
        <f t="shared" si="0"/>
        <v>#N/A</v>
      </c>
      <c r="C13" s="1421"/>
      <c r="D13" s="1448" t="e">
        <f t="shared" si="1"/>
        <v>#N/A</v>
      </c>
      <c r="E13" s="1448" t="e">
        <f t="shared" si="2"/>
        <v>#N/A</v>
      </c>
      <c r="F13" s="863" t="e">
        <f t="shared" si="3"/>
        <v>#N/A</v>
      </c>
      <c r="G13" s="863" t="e">
        <f t="shared" si="4"/>
        <v>#N/A</v>
      </c>
      <c r="H13" s="863" t="e">
        <f t="shared" si="5"/>
        <v>#N/A</v>
      </c>
      <c r="I13" s="863" t="e">
        <f t="shared" si="6"/>
        <v>#N/A</v>
      </c>
      <c r="J13" s="863" t="e">
        <f t="shared" si="7"/>
        <v>#N/A</v>
      </c>
      <c r="K13" s="863" t="e">
        <f t="shared" si="8"/>
        <v>#N/A</v>
      </c>
      <c r="L13" s="863" t="e">
        <f t="shared" si="9"/>
        <v>#N/A</v>
      </c>
      <c r="M13" s="908" t="e">
        <f t="shared" si="10"/>
        <v>#N/A</v>
      </c>
      <c r="N13" s="1039" t="str">
        <f>VLOOKUP(Q13,اس!$S$3:$T$31,2,FALSE)</f>
        <v>.</v>
      </c>
      <c r="O13" s="293"/>
      <c r="P13" s="297"/>
      <c r="Q13" s="923">
        <v>5</v>
      </c>
      <c r="R13" s="924"/>
      <c r="S13" s="520"/>
      <c r="T13" s="293"/>
      <c r="AH13" s="488">
        <v>7</v>
      </c>
      <c r="AI13" s="994" t="s">
        <v>808</v>
      </c>
      <c r="AJ13" s="287"/>
      <c r="AK13" s="282" t="s">
        <v>270</v>
      </c>
      <c r="AL13" s="282" t="s">
        <v>2232</v>
      </c>
      <c r="AM13" s="282" t="s">
        <v>2232</v>
      </c>
      <c r="AN13" s="282" t="s">
        <v>1850</v>
      </c>
      <c r="AO13" s="282" t="s">
        <v>500</v>
      </c>
      <c r="AP13" s="769"/>
      <c r="AQ13" s="282"/>
      <c r="AR13" s="768"/>
      <c r="AS13" s="768"/>
      <c r="AT13" s="281"/>
      <c r="AU13" s="281"/>
      <c r="AV13" s="281"/>
    </row>
    <row r="14" spans="1:79" s="25" customFormat="1" ht="16.5" customHeight="1" thickBot="1">
      <c r="A14" s="533">
        <v>4</v>
      </c>
      <c r="B14" s="1420" t="e">
        <f t="shared" si="0"/>
        <v>#N/A</v>
      </c>
      <c r="C14" s="1421"/>
      <c r="D14" s="1448" t="e">
        <f t="shared" si="1"/>
        <v>#N/A</v>
      </c>
      <c r="E14" s="1448" t="e">
        <f t="shared" si="2"/>
        <v>#N/A</v>
      </c>
      <c r="F14" s="863" t="e">
        <f t="shared" si="3"/>
        <v>#N/A</v>
      </c>
      <c r="G14" s="863" t="e">
        <f t="shared" si="4"/>
        <v>#N/A</v>
      </c>
      <c r="H14" s="863" t="e">
        <f t="shared" si="5"/>
        <v>#N/A</v>
      </c>
      <c r="I14" s="863" t="e">
        <f t="shared" si="6"/>
        <v>#N/A</v>
      </c>
      <c r="J14" s="863" t="e">
        <f t="shared" si="7"/>
        <v>#N/A</v>
      </c>
      <c r="K14" s="863" t="e">
        <f t="shared" si="8"/>
        <v>#N/A</v>
      </c>
      <c r="L14" s="1026" t="e">
        <f t="shared" si="9"/>
        <v>#N/A</v>
      </c>
      <c r="M14" s="908" t="e">
        <f t="shared" si="10"/>
        <v>#N/A</v>
      </c>
      <c r="N14" s="1039" t="str">
        <f>VLOOKUP(Q14,اس!$S$3:$T$31,2,FALSE)</f>
        <v>.</v>
      </c>
      <c r="O14" s="293"/>
      <c r="P14" s="297"/>
      <c r="Q14" s="923">
        <v>5</v>
      </c>
      <c r="R14" s="924"/>
      <c r="T14" s="293"/>
      <c r="AH14" s="488">
        <v>8</v>
      </c>
      <c r="AI14" s="994" t="s">
        <v>955</v>
      </c>
      <c r="AJ14" s="287"/>
      <c r="AK14" s="282" t="s">
        <v>270</v>
      </c>
      <c r="AL14" s="282"/>
      <c r="AM14" s="282"/>
      <c r="AN14" s="282"/>
      <c r="AO14" s="282"/>
      <c r="AP14" s="769"/>
      <c r="AQ14" s="282"/>
      <c r="AR14" s="282"/>
      <c r="AS14" s="282"/>
      <c r="AT14" s="274"/>
      <c r="AU14" s="274"/>
      <c r="AV14" s="274"/>
    </row>
    <row r="15" spans="1:79" s="25" customFormat="1" ht="16.5" customHeight="1" thickBot="1">
      <c r="A15" s="533">
        <v>5</v>
      </c>
      <c r="B15" s="1420" t="e">
        <f t="shared" si="0"/>
        <v>#N/A</v>
      </c>
      <c r="C15" s="1421"/>
      <c r="D15" s="1448" t="e">
        <f t="shared" si="1"/>
        <v>#N/A</v>
      </c>
      <c r="E15" s="1448" t="e">
        <f t="shared" si="2"/>
        <v>#N/A</v>
      </c>
      <c r="F15" s="863" t="e">
        <f t="shared" si="3"/>
        <v>#N/A</v>
      </c>
      <c r="G15" s="863" t="e">
        <f t="shared" si="4"/>
        <v>#N/A</v>
      </c>
      <c r="H15" s="863" t="e">
        <f t="shared" si="5"/>
        <v>#N/A</v>
      </c>
      <c r="I15" s="863" t="e">
        <f t="shared" si="6"/>
        <v>#N/A</v>
      </c>
      <c r="J15" s="863" t="e">
        <f t="shared" si="7"/>
        <v>#N/A</v>
      </c>
      <c r="K15" s="863" t="e">
        <f t="shared" si="8"/>
        <v>#N/A</v>
      </c>
      <c r="L15" s="863" t="e">
        <f t="shared" si="9"/>
        <v>#N/A</v>
      </c>
      <c r="M15" s="908" t="e">
        <f t="shared" si="10"/>
        <v>#N/A</v>
      </c>
      <c r="N15" s="1039" t="str">
        <f>VLOOKUP(Q15,اس!$S$3:$T$31,2,FALSE)</f>
        <v>.</v>
      </c>
      <c r="O15" s="293"/>
      <c r="P15" s="297"/>
      <c r="Q15" s="923">
        <v>5</v>
      </c>
      <c r="R15" s="924"/>
      <c r="T15" s="293"/>
      <c r="AH15" s="488">
        <v>9</v>
      </c>
      <c r="AI15" s="994" t="s">
        <v>1250</v>
      </c>
      <c r="AJ15" s="513"/>
      <c r="AK15" s="282" t="s">
        <v>270</v>
      </c>
      <c r="AL15" s="768"/>
      <c r="AM15" s="768"/>
      <c r="AN15" s="768"/>
      <c r="AO15" s="768"/>
      <c r="AP15" s="769"/>
      <c r="AQ15" s="282" t="s">
        <v>326</v>
      </c>
      <c r="AR15" s="282" t="s">
        <v>824</v>
      </c>
      <c r="AS15" s="282" t="s">
        <v>1529</v>
      </c>
      <c r="AT15" s="274"/>
      <c r="AU15" s="274"/>
      <c r="AV15" s="274"/>
    </row>
    <row r="16" spans="1:79" s="25" customFormat="1" ht="16.5" customHeight="1" thickBot="1">
      <c r="A16" s="533">
        <v>6</v>
      </c>
      <c r="B16" s="1420" t="e">
        <f t="shared" si="0"/>
        <v>#N/A</v>
      </c>
      <c r="C16" s="1421"/>
      <c r="D16" s="1438" t="e">
        <f t="shared" si="1"/>
        <v>#N/A</v>
      </c>
      <c r="E16" s="1438" t="e">
        <f t="shared" si="2"/>
        <v>#N/A</v>
      </c>
      <c r="F16" s="1026" t="e">
        <f t="shared" si="3"/>
        <v>#N/A</v>
      </c>
      <c r="G16" s="1026" t="e">
        <f t="shared" si="4"/>
        <v>#N/A</v>
      </c>
      <c r="H16" s="1026" t="e">
        <f t="shared" si="5"/>
        <v>#N/A</v>
      </c>
      <c r="I16" s="1026" t="e">
        <f t="shared" si="6"/>
        <v>#N/A</v>
      </c>
      <c r="J16" s="863" t="e">
        <f t="shared" si="7"/>
        <v>#N/A</v>
      </c>
      <c r="K16" s="863" t="e">
        <f t="shared" si="8"/>
        <v>#N/A</v>
      </c>
      <c r="L16" s="863" t="e">
        <f t="shared" si="9"/>
        <v>#N/A</v>
      </c>
      <c r="M16" s="1027" t="e">
        <f t="shared" si="10"/>
        <v>#N/A</v>
      </c>
      <c r="N16" s="1039" t="str">
        <f>VLOOKUP(Q16,اس!$S$3:$T$31,2,FALSE)</f>
        <v>.</v>
      </c>
      <c r="O16" s="293"/>
      <c r="P16" s="297"/>
      <c r="Q16" s="923">
        <v>5</v>
      </c>
      <c r="R16" s="924"/>
      <c r="T16" s="293"/>
      <c r="AH16" s="488">
        <v>10</v>
      </c>
      <c r="AI16" s="994" t="s">
        <v>1221</v>
      </c>
      <c r="AJ16" s="287"/>
      <c r="AK16" s="282" t="s">
        <v>270</v>
      </c>
      <c r="AL16" s="768" t="s">
        <v>821</v>
      </c>
      <c r="AM16" s="768" t="s">
        <v>821</v>
      </c>
      <c r="AN16" s="768"/>
      <c r="AO16" s="768" t="s">
        <v>1175</v>
      </c>
      <c r="AP16" s="769"/>
      <c r="AQ16" s="282" t="s">
        <v>2212</v>
      </c>
      <c r="AR16" s="282"/>
      <c r="AS16" s="282"/>
      <c r="AT16" s="274"/>
      <c r="AU16" s="274"/>
      <c r="AV16" s="274"/>
    </row>
    <row r="17" spans="1:49" s="25" customFormat="1" ht="16.5" customHeight="1" thickBot="1">
      <c r="A17" s="533">
        <v>7</v>
      </c>
      <c r="B17" s="1420" t="e">
        <f t="shared" si="0"/>
        <v>#N/A</v>
      </c>
      <c r="C17" s="1421"/>
      <c r="D17" s="1438" t="e">
        <f t="shared" si="1"/>
        <v>#N/A</v>
      </c>
      <c r="E17" s="1438" t="e">
        <f t="shared" si="2"/>
        <v>#N/A</v>
      </c>
      <c r="F17" s="863" t="e">
        <f t="shared" si="3"/>
        <v>#N/A</v>
      </c>
      <c r="G17" s="863" t="e">
        <f t="shared" si="4"/>
        <v>#N/A</v>
      </c>
      <c r="H17" s="863" t="e">
        <f t="shared" si="5"/>
        <v>#N/A</v>
      </c>
      <c r="I17" s="863" t="e">
        <f t="shared" si="6"/>
        <v>#N/A</v>
      </c>
      <c r="J17" s="863" t="e">
        <f t="shared" si="7"/>
        <v>#N/A</v>
      </c>
      <c r="K17" s="1026" t="e">
        <f t="shared" si="8"/>
        <v>#N/A</v>
      </c>
      <c r="L17" s="863" t="e">
        <f t="shared" si="9"/>
        <v>#N/A</v>
      </c>
      <c r="M17" s="1027" t="e">
        <f t="shared" si="10"/>
        <v>#N/A</v>
      </c>
      <c r="N17" s="1039" t="str">
        <f>VLOOKUP(Q17,اس!$S$3:$T$31,2,FALSE)</f>
        <v>.</v>
      </c>
      <c r="O17" s="293"/>
      <c r="P17" s="297"/>
      <c r="Q17" s="923">
        <v>5</v>
      </c>
      <c r="R17" s="924"/>
      <c r="T17" s="293"/>
      <c r="AH17" s="488">
        <v>11</v>
      </c>
      <c r="AI17" s="995" t="s">
        <v>941</v>
      </c>
      <c r="AJ17" s="287"/>
      <c r="AK17" s="282" t="s">
        <v>270</v>
      </c>
      <c r="AL17" s="768" t="s">
        <v>328</v>
      </c>
      <c r="AM17" s="768"/>
      <c r="AN17" s="768"/>
      <c r="AO17" s="768"/>
      <c r="AP17" s="769"/>
      <c r="AQ17" s="282"/>
      <c r="AR17" s="282"/>
      <c r="AS17" s="282"/>
      <c r="AT17" s="274"/>
      <c r="AU17" s="274"/>
      <c r="AV17" s="274"/>
    </row>
    <row r="18" spans="1:49" s="25" customFormat="1" ht="16.5" customHeight="1" thickBot="1">
      <c r="A18" s="533">
        <v>8</v>
      </c>
      <c r="B18" s="1420" t="e">
        <f t="shared" si="0"/>
        <v>#N/A</v>
      </c>
      <c r="C18" s="1421"/>
      <c r="D18" s="1438" t="e">
        <f t="shared" si="1"/>
        <v>#N/A</v>
      </c>
      <c r="E18" s="1438" t="e">
        <f t="shared" si="2"/>
        <v>#N/A</v>
      </c>
      <c r="F18" s="863" t="e">
        <f t="shared" si="3"/>
        <v>#N/A</v>
      </c>
      <c r="G18" s="863" t="e">
        <f t="shared" si="4"/>
        <v>#N/A</v>
      </c>
      <c r="H18" s="863" t="e">
        <f t="shared" si="5"/>
        <v>#N/A</v>
      </c>
      <c r="I18" s="1026" t="e">
        <f t="shared" si="6"/>
        <v>#N/A</v>
      </c>
      <c r="J18" s="1026" t="e">
        <f t="shared" si="7"/>
        <v>#N/A</v>
      </c>
      <c r="K18" s="1026" t="e">
        <f t="shared" si="8"/>
        <v>#N/A</v>
      </c>
      <c r="L18" s="863" t="e">
        <f t="shared" si="9"/>
        <v>#N/A</v>
      </c>
      <c r="M18" s="1030" t="e">
        <f t="shared" si="10"/>
        <v>#N/A</v>
      </c>
      <c r="N18" s="1039" t="str">
        <f>VLOOKUP(Q18,اس!$S$3:$T$31,2,FALSE)</f>
        <v>.</v>
      </c>
      <c r="O18" s="293"/>
      <c r="P18" s="297"/>
      <c r="Q18" s="923">
        <v>5</v>
      </c>
      <c r="R18" s="924"/>
      <c r="T18" s="293"/>
      <c r="AH18" s="488">
        <v>12</v>
      </c>
      <c r="AI18" s="995" t="s">
        <v>811</v>
      </c>
      <c r="AJ18" s="287"/>
      <c r="AK18" s="282" t="s">
        <v>408</v>
      </c>
      <c r="AL18" s="282" t="s">
        <v>819</v>
      </c>
      <c r="AM18" s="282" t="s">
        <v>2257</v>
      </c>
      <c r="AN18" s="768" t="s">
        <v>1175</v>
      </c>
      <c r="AO18" s="768"/>
      <c r="AP18" s="785"/>
      <c r="AQ18" s="282"/>
      <c r="AR18" s="282"/>
      <c r="AS18" s="282"/>
      <c r="AT18" s="274"/>
      <c r="AU18" s="274"/>
      <c r="AV18" s="274"/>
    </row>
    <row r="19" spans="1:49" s="25" customFormat="1" ht="16.5" customHeight="1" thickBot="1">
      <c r="A19" s="533">
        <v>9</v>
      </c>
      <c r="B19" s="1420" t="e">
        <f t="shared" si="0"/>
        <v>#N/A</v>
      </c>
      <c r="C19" s="1421"/>
      <c r="D19" s="1448" t="e">
        <f t="shared" si="1"/>
        <v>#N/A</v>
      </c>
      <c r="E19" s="1448" t="e">
        <f t="shared" si="2"/>
        <v>#N/A</v>
      </c>
      <c r="F19" s="863" t="e">
        <f t="shared" si="3"/>
        <v>#N/A</v>
      </c>
      <c r="G19" s="863" t="e">
        <f t="shared" si="4"/>
        <v>#N/A</v>
      </c>
      <c r="H19" s="863" t="e">
        <f t="shared" si="5"/>
        <v>#N/A</v>
      </c>
      <c r="I19" s="863" t="e">
        <f t="shared" si="6"/>
        <v>#N/A</v>
      </c>
      <c r="J19" s="863" t="e">
        <f t="shared" si="7"/>
        <v>#N/A</v>
      </c>
      <c r="K19" s="1026" t="e">
        <f t="shared" si="8"/>
        <v>#N/A</v>
      </c>
      <c r="L19" s="863" t="e">
        <f t="shared" si="9"/>
        <v>#N/A</v>
      </c>
      <c r="M19" s="1027" t="e">
        <f t="shared" si="10"/>
        <v>#N/A</v>
      </c>
      <c r="N19" s="1039" t="str">
        <f>VLOOKUP(Q19,اس!$S$3:$T$31,2,FALSE)</f>
        <v>.</v>
      </c>
      <c r="O19" s="293"/>
      <c r="P19" s="297"/>
      <c r="Q19" s="923">
        <v>5</v>
      </c>
      <c r="R19" s="924"/>
      <c r="T19" s="293"/>
      <c r="AH19" s="488">
        <v>13</v>
      </c>
      <c r="AI19" s="994" t="s">
        <v>1222</v>
      </c>
      <c r="AJ19" s="513"/>
      <c r="AK19" s="282" t="s">
        <v>408</v>
      </c>
      <c r="AL19" s="282"/>
      <c r="AM19" s="282"/>
      <c r="AN19" s="768"/>
      <c r="AO19" s="282"/>
      <c r="AP19" s="769"/>
      <c r="AQ19" s="789"/>
      <c r="AR19" s="789"/>
      <c r="AS19" s="282"/>
      <c r="AT19" s="274"/>
      <c r="AU19" s="274"/>
      <c r="AV19" s="274"/>
    </row>
    <row r="20" spans="1:49" s="25" customFormat="1" ht="16.5" customHeight="1" thickBot="1">
      <c r="A20" s="534">
        <v>10</v>
      </c>
      <c r="B20" s="1433" t="e">
        <f t="shared" si="0"/>
        <v>#N/A</v>
      </c>
      <c r="C20" s="1434"/>
      <c r="D20" s="1450" t="e">
        <f t="shared" si="1"/>
        <v>#N/A</v>
      </c>
      <c r="E20" s="1450" t="e">
        <f t="shared" si="2"/>
        <v>#N/A</v>
      </c>
      <c r="F20" s="859" t="e">
        <f t="shared" si="3"/>
        <v>#N/A</v>
      </c>
      <c r="G20" s="859" t="e">
        <f t="shared" si="4"/>
        <v>#N/A</v>
      </c>
      <c r="H20" s="859" t="e">
        <f t="shared" si="5"/>
        <v>#N/A</v>
      </c>
      <c r="I20" s="859" t="e">
        <f t="shared" si="6"/>
        <v>#N/A</v>
      </c>
      <c r="J20" s="859" t="e">
        <f t="shared" si="7"/>
        <v>#N/A</v>
      </c>
      <c r="K20" s="902" t="e">
        <f t="shared" si="8"/>
        <v>#N/A</v>
      </c>
      <c r="L20" s="863" t="e">
        <f t="shared" si="9"/>
        <v>#N/A</v>
      </c>
      <c r="M20" s="903" t="e">
        <f t="shared" si="10"/>
        <v>#N/A</v>
      </c>
      <c r="N20" s="1039" t="str">
        <f>VLOOKUP(Q20,اس!$S$3:$T$31,2,FALSE)</f>
        <v>.</v>
      </c>
      <c r="O20" s="293"/>
      <c r="P20" s="297"/>
      <c r="Q20" s="923">
        <v>5</v>
      </c>
      <c r="R20" s="924"/>
      <c r="T20" s="293"/>
      <c r="AH20" s="488">
        <v>14</v>
      </c>
      <c r="AI20" s="994" t="s">
        <v>812</v>
      </c>
      <c r="AJ20" s="287"/>
      <c r="AK20" s="282" t="s">
        <v>408</v>
      </c>
      <c r="AL20" s="768" t="s">
        <v>820</v>
      </c>
      <c r="AM20" s="768" t="s">
        <v>820</v>
      </c>
      <c r="AN20" s="768" t="s">
        <v>820</v>
      </c>
      <c r="AO20" s="768" t="s">
        <v>820</v>
      </c>
      <c r="AP20" s="785"/>
      <c r="AQ20" s="282"/>
      <c r="AR20" s="282"/>
      <c r="AS20" s="282"/>
      <c r="AT20" s="281"/>
      <c r="AU20" s="281"/>
      <c r="AV20" s="281"/>
    </row>
    <row r="21" spans="1:49" s="25" customFormat="1" ht="16.5" customHeight="1" thickBot="1">
      <c r="A21" s="522">
        <v>-2</v>
      </c>
      <c r="B21" s="523" t="s">
        <v>294</v>
      </c>
      <c r="C21" s="523"/>
      <c r="D21" s="523"/>
      <c r="E21" s="524"/>
      <c r="F21" s="525"/>
      <c r="G21" s="525"/>
      <c r="H21" s="525"/>
      <c r="I21" s="525"/>
      <c r="J21" s="565" t="s">
        <v>954</v>
      </c>
      <c r="K21" s="526"/>
      <c r="L21" s="526"/>
      <c r="M21" s="526"/>
      <c r="N21" s="298"/>
      <c r="O21" s="298"/>
      <c r="P21" s="297"/>
      <c r="Q21" s="923"/>
      <c r="R21" s="924"/>
      <c r="T21" s="293"/>
      <c r="AH21" s="488">
        <v>15</v>
      </c>
      <c r="AI21" s="994" t="s">
        <v>1944</v>
      </c>
      <c r="AJ21" s="287"/>
      <c r="AK21" s="282" t="s">
        <v>408</v>
      </c>
      <c r="AL21" s="768"/>
      <c r="AM21" s="768"/>
      <c r="AN21" s="768"/>
      <c r="AO21" s="768"/>
      <c r="AP21" s="785"/>
      <c r="AQ21" s="768"/>
      <c r="AR21" s="282"/>
      <c r="AS21" s="768"/>
      <c r="AT21" s="281"/>
      <c r="AU21" s="274"/>
      <c r="AV21" s="274"/>
    </row>
    <row r="22" spans="1:49" s="25" customFormat="1" ht="16.5" customHeight="1" thickBot="1">
      <c r="A22" s="529" t="s">
        <v>298</v>
      </c>
      <c r="B22" s="1417" t="s">
        <v>299</v>
      </c>
      <c r="C22" s="1417"/>
      <c r="D22" s="1417" t="s">
        <v>300</v>
      </c>
      <c r="E22" s="1417"/>
      <c r="F22" s="1417" t="s">
        <v>301</v>
      </c>
      <c r="G22" s="1417"/>
      <c r="H22" s="1417" t="s">
        <v>302</v>
      </c>
      <c r="I22" s="1441"/>
      <c r="J22" s="1437" t="s">
        <v>303</v>
      </c>
      <c r="K22" s="1437"/>
      <c r="L22" s="1437"/>
      <c r="M22" s="1006" t="s">
        <v>304</v>
      </c>
      <c r="N22" s="555" t="s">
        <v>541</v>
      </c>
      <c r="O22" s="503"/>
      <c r="P22" s="387" t="s">
        <v>825</v>
      </c>
      <c r="Q22" s="1415" t="s">
        <v>260</v>
      </c>
      <c r="R22" s="1415"/>
      <c r="T22" s="293"/>
      <c r="AH22" s="488">
        <v>16</v>
      </c>
      <c r="AI22" s="994" t="s">
        <v>1964</v>
      </c>
      <c r="AJ22" s="287"/>
      <c r="AK22" s="282" t="s">
        <v>408</v>
      </c>
      <c r="AL22" s="768" t="s">
        <v>1176</v>
      </c>
      <c r="AM22" s="768" t="s">
        <v>1176</v>
      </c>
      <c r="AN22" s="768" t="s">
        <v>1176</v>
      </c>
      <c r="AO22" s="768" t="s">
        <v>1176</v>
      </c>
      <c r="AP22" s="785"/>
      <c r="AQ22" s="282"/>
      <c r="AR22" s="282"/>
      <c r="AS22" s="282"/>
      <c r="AT22" s="274"/>
      <c r="AU22" s="274"/>
      <c r="AV22" s="274"/>
    </row>
    <row r="23" spans="1:49" s="25" customFormat="1" ht="16.5" customHeight="1" thickBot="1">
      <c r="A23" s="541" t="s">
        <v>307</v>
      </c>
      <c r="B23" s="1432">
        <f>SUM(C25+B25)</f>
        <v>245</v>
      </c>
      <c r="C23" s="1432"/>
      <c r="D23" s="1432">
        <f>SUM(E25+D25)</f>
        <v>250</v>
      </c>
      <c r="E23" s="1432"/>
      <c r="F23" s="1432">
        <f>SUM(G25+F25)</f>
        <v>72</v>
      </c>
      <c r="G23" s="1432"/>
      <c r="H23" s="1432">
        <f>SUM(I25+H25)</f>
        <v>567</v>
      </c>
      <c r="I23" s="1449"/>
      <c r="J23" s="1451" t="e">
        <f>VLOOKUP(P23,اس!$S$3:$X$31,5,FALSE)</f>
        <v>#N/A</v>
      </c>
      <c r="K23" s="1451"/>
      <c r="L23" s="1451"/>
      <c r="M23" s="774"/>
      <c r="N23" s="775" t="e">
        <f>VLOOKUP(Q23,اس!$S$3:$X$31,2,FALSE)</f>
        <v>#N/A</v>
      </c>
      <c r="O23" s="503"/>
      <c r="P23" s="387"/>
      <c r="Q23" s="1415"/>
      <c r="R23" s="1415"/>
      <c r="T23" s="293"/>
      <c r="AH23" s="488">
        <v>17</v>
      </c>
      <c r="AI23" s="994" t="s">
        <v>283</v>
      </c>
      <c r="AJ23" s="285"/>
      <c r="AK23" s="282" t="s">
        <v>1207</v>
      </c>
      <c r="AL23" s="282"/>
      <c r="AM23" s="282"/>
      <c r="AN23" s="282"/>
      <c r="AO23" s="282"/>
      <c r="AP23" s="769"/>
      <c r="AQ23" s="282"/>
      <c r="AR23" s="282"/>
      <c r="AS23" s="282"/>
      <c r="AT23" s="274"/>
      <c r="AU23" s="274"/>
      <c r="AV23" s="274"/>
    </row>
    <row r="24" spans="1:49" s="25" customFormat="1" ht="16.5" customHeight="1" thickBot="1">
      <c r="A24" s="530" t="s">
        <v>310</v>
      </c>
      <c r="B24" s="1006" t="s">
        <v>311</v>
      </c>
      <c r="C24" s="1006" t="s">
        <v>312</v>
      </c>
      <c r="D24" s="1006" t="s">
        <v>311</v>
      </c>
      <c r="E24" s="1006" t="s">
        <v>312</v>
      </c>
      <c r="F24" s="1006" t="s">
        <v>311</v>
      </c>
      <c r="G24" s="1006" t="s">
        <v>312</v>
      </c>
      <c r="H24" s="1006" t="s">
        <v>311</v>
      </c>
      <c r="I24" s="608" t="s">
        <v>312</v>
      </c>
      <c r="J24" s="1451" t="e">
        <f>VLOOKUP(P24,اس!$S$3:$X$31,5,FALSE)</f>
        <v>#N/A</v>
      </c>
      <c r="K24" s="1451"/>
      <c r="L24" s="1451"/>
      <c r="M24" s="564"/>
      <c r="N24" s="775" t="e">
        <f>VLOOKUP(Q24,اس!$S$3:$X$31,2,FALSE)</f>
        <v>#N/A</v>
      </c>
      <c r="O24" s="503"/>
      <c r="P24" s="387"/>
      <c r="Q24" s="1415"/>
      <c r="R24" s="1415"/>
      <c r="T24" s="293"/>
      <c r="AH24" s="488">
        <v>18</v>
      </c>
      <c r="AI24" s="996" t="s">
        <v>1965</v>
      </c>
      <c r="AJ24" s="511"/>
      <c r="AK24" s="282" t="s">
        <v>1207</v>
      </c>
      <c r="AL24" s="282"/>
      <c r="AM24" s="789"/>
      <c r="AN24" s="789"/>
      <c r="AO24" s="789"/>
      <c r="AP24" s="769"/>
      <c r="AQ24" s="282"/>
      <c r="AR24" s="282"/>
      <c r="AS24" s="282"/>
      <c r="AT24" s="274"/>
      <c r="AU24" s="274"/>
      <c r="AV24" s="274"/>
    </row>
    <row r="25" spans="1:49" s="25" customFormat="1" ht="16.5" customHeight="1" thickBot="1">
      <c r="A25" s="537" t="s">
        <v>315</v>
      </c>
      <c r="B25" s="537">
        <f>COUNTIF(etat!$P$9:$P$1136,"ذن/د3")+COUNTIF(etat!$P$9:$P$1136,"ذخ3")</f>
        <v>110</v>
      </c>
      <c r="C25" s="537">
        <f>COUNTIF(etat!$P$9:$P$1136,"ان/د3")+COUNTIF(etat!$P$9:$P$1136,"اخ3")</f>
        <v>135</v>
      </c>
      <c r="D25" s="537">
        <f>COUNTIF(etat!$P$9:$P$1136,"ذن/د2")+COUNTIF(etat!$P$9:$P$1136,"ذخ2")</f>
        <v>93</v>
      </c>
      <c r="E25" s="537">
        <f>COUNTIF(etat!$P$9:$P$1136,"ان/د2")+COUNTIF(etat!$P$9:$P$1136,"اخ2")</f>
        <v>157</v>
      </c>
      <c r="F25" s="537">
        <f>COUNTIF(etat!$P$9:$P$1136,"ذن/د1")+COUNTIF(etat!$P$9:$P$1136,"ذخ1")</f>
        <v>29</v>
      </c>
      <c r="G25" s="537">
        <f>COUNTIF(etat!$P$9:$P$1136,"ان/د1")+COUNTIF(etat!$P$9:$P$1136,"اخ1")</f>
        <v>43</v>
      </c>
      <c r="H25" s="1007">
        <f>SUM(B25+D25+F25)</f>
        <v>232</v>
      </c>
      <c r="I25" s="1008">
        <f>SUM(C25+E25+G25)</f>
        <v>335</v>
      </c>
      <c r="J25" s="1451" t="e">
        <f>VLOOKUP(P25,اس!$S$3:$X$31,5,FALSE)</f>
        <v>#N/A</v>
      </c>
      <c r="K25" s="1451"/>
      <c r="L25" s="1451"/>
      <c r="M25" s="564"/>
      <c r="N25" s="775" t="e">
        <f>VLOOKUP(Q25,اس!$S$3:$X$31,2,FALSE)</f>
        <v>#N/A</v>
      </c>
      <c r="O25" s="503"/>
      <c r="P25" s="387"/>
      <c r="Q25" s="1461">
        <v>0</v>
      </c>
      <c r="R25" s="1461"/>
      <c r="T25" s="293"/>
      <c r="AH25" s="488">
        <v>19</v>
      </c>
      <c r="AI25" s="997" t="s">
        <v>1509</v>
      </c>
      <c r="AJ25" s="511"/>
      <c r="AK25" s="282" t="s">
        <v>1207</v>
      </c>
      <c r="AL25" s="282"/>
      <c r="AM25" s="768"/>
      <c r="AN25" s="768"/>
      <c r="AO25" s="282"/>
      <c r="AP25" s="769"/>
      <c r="AQ25" s="768"/>
      <c r="AR25" s="768"/>
      <c r="AS25" s="768"/>
      <c r="AT25" s="274"/>
      <c r="AU25" s="274"/>
      <c r="AV25" s="274"/>
    </row>
    <row r="26" spans="1:49" s="25" customFormat="1" ht="16.5" customHeight="1" thickBot="1">
      <c r="A26" s="538" t="s">
        <v>316</v>
      </c>
      <c r="B26" s="539">
        <f t="shared" ref="B26:I26" si="11">SUM(B25-B30)</f>
        <v>31</v>
      </c>
      <c r="C26" s="539">
        <f t="shared" si="11"/>
        <v>27</v>
      </c>
      <c r="D26" s="539">
        <f t="shared" si="11"/>
        <v>80</v>
      </c>
      <c r="E26" s="539">
        <f t="shared" si="11"/>
        <v>133</v>
      </c>
      <c r="F26" s="539">
        <f t="shared" si="11"/>
        <v>27</v>
      </c>
      <c r="G26" s="539">
        <f t="shared" si="11"/>
        <v>40</v>
      </c>
      <c r="H26" s="539">
        <f t="shared" si="11"/>
        <v>138</v>
      </c>
      <c r="I26" s="563">
        <f t="shared" si="11"/>
        <v>200</v>
      </c>
      <c r="J26" s="1451" t="e">
        <f>VLOOKUP(P26,اس!$S$3:$X$31,5,FALSE)</f>
        <v>#N/A</v>
      </c>
      <c r="K26" s="1451"/>
      <c r="L26" s="1451"/>
      <c r="M26" s="774"/>
      <c r="N26" s="775" t="e">
        <f>VLOOKUP(Q26,اس!$S$3:$X$31,2,FALSE)</f>
        <v>#N/A</v>
      </c>
      <c r="O26" s="503"/>
      <c r="P26" s="387"/>
      <c r="Q26" s="1461">
        <v>0</v>
      </c>
      <c r="R26" s="1461"/>
      <c r="T26" s="293"/>
      <c r="AH26" s="488">
        <v>20</v>
      </c>
      <c r="AI26" s="994" t="s">
        <v>942</v>
      </c>
      <c r="AJ26" s="287"/>
      <c r="AK26" s="282" t="s">
        <v>279</v>
      </c>
      <c r="AL26" s="768"/>
      <c r="AM26" s="768"/>
      <c r="AN26" s="282"/>
      <c r="AO26" s="282"/>
      <c r="AP26" s="769"/>
      <c r="AQ26" s="282"/>
      <c r="AR26" s="282"/>
      <c r="AS26" s="282"/>
      <c r="AT26" s="274"/>
      <c r="AU26" s="274"/>
      <c r="AV26" s="274"/>
    </row>
    <row r="27" spans="1:49" s="25" customFormat="1" ht="16.5" customHeight="1" thickBot="1">
      <c r="A27" s="553">
        <v>-2</v>
      </c>
      <c r="B27" s="551" t="s">
        <v>294</v>
      </c>
      <c r="C27" s="551"/>
      <c r="D27" s="551"/>
      <c r="E27" s="554"/>
      <c r="F27" s="551"/>
      <c r="G27" s="551"/>
      <c r="H27" s="551"/>
      <c r="I27" s="551"/>
      <c r="J27" s="294"/>
      <c r="K27" s="294"/>
      <c r="L27" s="294"/>
      <c r="M27" s="294"/>
      <c r="N27" s="294"/>
      <c r="O27" s="142"/>
      <c r="T27" s="293"/>
      <c r="AH27" s="488">
        <v>21</v>
      </c>
      <c r="AI27" s="997" t="s">
        <v>278</v>
      </c>
      <c r="AJ27" s="513"/>
      <c r="AK27" s="282" t="s">
        <v>279</v>
      </c>
      <c r="AL27" s="768"/>
      <c r="AM27" s="768"/>
      <c r="AN27" s="768"/>
      <c r="AO27" s="282"/>
      <c r="AP27" s="785"/>
      <c r="AQ27" s="282"/>
      <c r="AR27" s="282"/>
      <c r="AS27" s="282"/>
      <c r="AT27" s="274"/>
      <c r="AU27" s="274"/>
      <c r="AV27" s="274"/>
      <c r="AW27" s="150"/>
    </row>
    <row r="28" spans="1:49" s="25" customFormat="1" ht="16.5" customHeight="1" thickBot="1">
      <c r="A28" s="552" t="s">
        <v>827</v>
      </c>
      <c r="B28" s="1430" t="s">
        <v>299</v>
      </c>
      <c r="C28" s="1430"/>
      <c r="D28" s="1424" t="s">
        <v>300</v>
      </c>
      <c r="E28" s="1424"/>
      <c r="F28" s="1424" t="s">
        <v>301</v>
      </c>
      <c r="G28" s="1424"/>
      <c r="H28" s="1424" t="s">
        <v>302</v>
      </c>
      <c r="I28" s="1424"/>
      <c r="J28" s="560" t="s">
        <v>952</v>
      </c>
      <c r="K28" s="741"/>
      <c r="L28" s="741"/>
      <c r="M28" s="741"/>
      <c r="N28" s="741"/>
      <c r="O28" s="142"/>
      <c r="T28" s="293"/>
      <c r="AH28" s="488">
        <v>22</v>
      </c>
      <c r="AI28" s="994" t="s">
        <v>2216</v>
      </c>
      <c r="AJ28" s="513"/>
      <c r="AK28" s="282" t="s">
        <v>279</v>
      </c>
      <c r="AL28" s="282" t="s">
        <v>639</v>
      </c>
      <c r="AM28" s="282" t="s">
        <v>1504</v>
      </c>
      <c r="AN28" s="771"/>
      <c r="AO28" s="282"/>
      <c r="AP28" s="785"/>
      <c r="AQ28" s="768"/>
      <c r="AR28" s="768"/>
      <c r="AS28" s="768"/>
      <c r="AT28" s="274"/>
      <c r="AU28" s="274"/>
      <c r="AV28" s="274"/>
      <c r="AW28" s="154"/>
    </row>
    <row r="29" spans="1:49" s="25" customFormat="1" ht="16.5" customHeight="1" thickBot="1">
      <c r="A29" s="921" t="s">
        <v>302</v>
      </c>
      <c r="B29" s="1423">
        <f>SUM(C30+B30)</f>
        <v>187</v>
      </c>
      <c r="C29" s="1423"/>
      <c r="D29" s="1423">
        <f>SUM(E30+D30)</f>
        <v>37</v>
      </c>
      <c r="E29" s="1423"/>
      <c r="F29" s="1423">
        <f>SUM(G30+F30)</f>
        <v>5</v>
      </c>
      <c r="G29" s="1423"/>
      <c r="H29" s="1423">
        <f>SUM(I30+H30)</f>
        <v>229</v>
      </c>
      <c r="I29" s="1423"/>
      <c r="J29" s="738" t="s">
        <v>1247</v>
      </c>
      <c r="K29" s="739"/>
      <c r="L29" s="1471" t="s">
        <v>1545</v>
      </c>
      <c r="M29" s="1472"/>
      <c r="N29" s="724" t="s">
        <v>1546</v>
      </c>
      <c r="O29" s="142"/>
      <c r="P29" s="142"/>
      <c r="Q29" s="29"/>
      <c r="R29" s="142"/>
      <c r="S29" s="299"/>
      <c r="T29" s="293"/>
      <c r="AH29" s="488">
        <v>23</v>
      </c>
      <c r="AI29" s="995" t="s">
        <v>1205</v>
      </c>
      <c r="AJ29" s="998"/>
      <c r="AK29" s="282" t="s">
        <v>1202</v>
      </c>
      <c r="AL29" s="282" t="s">
        <v>2215</v>
      </c>
      <c r="AM29" s="282" t="s">
        <v>2215</v>
      </c>
      <c r="AN29" s="768" t="s">
        <v>6</v>
      </c>
      <c r="AO29" s="282" t="s">
        <v>819</v>
      </c>
      <c r="AP29" s="785"/>
      <c r="AQ29" s="768"/>
      <c r="AR29" s="768"/>
      <c r="AS29" s="282"/>
      <c r="AT29" s="274"/>
      <c r="AU29" s="274"/>
      <c r="AV29" s="274"/>
      <c r="AW29" s="154"/>
    </row>
    <row r="30" spans="1:49" s="25" customFormat="1" ht="16.5" customHeight="1" thickBot="1">
      <c r="A30" s="736" t="s">
        <v>317</v>
      </c>
      <c r="B30" s="1010">
        <f t="shared" ref="B30:I30" si="12">SUM(B31:B32)</f>
        <v>79</v>
      </c>
      <c r="C30" s="1010">
        <f t="shared" si="12"/>
        <v>108</v>
      </c>
      <c r="D30" s="1010">
        <f t="shared" si="12"/>
        <v>13</v>
      </c>
      <c r="E30" s="1010">
        <f t="shared" si="12"/>
        <v>24</v>
      </c>
      <c r="F30" s="1010">
        <f t="shared" si="12"/>
        <v>2</v>
      </c>
      <c r="G30" s="1010">
        <f t="shared" si="12"/>
        <v>3</v>
      </c>
      <c r="H30" s="1010">
        <f t="shared" si="12"/>
        <v>94</v>
      </c>
      <c r="I30" s="1010">
        <f t="shared" si="12"/>
        <v>135</v>
      </c>
      <c r="J30" s="737" t="s">
        <v>302</v>
      </c>
      <c r="K30" s="737"/>
      <c r="L30" s="502">
        <f>COUNT(AH7:AH60)</f>
        <v>54</v>
      </c>
      <c r="M30" s="502">
        <f>COUNT(اس!V3:W8)</f>
        <v>6</v>
      </c>
      <c r="N30" s="502">
        <f>COUNT(اس!V1:X3)</f>
        <v>1</v>
      </c>
      <c r="O30" s="142"/>
      <c r="P30" s="142"/>
      <c r="Q30" s="26"/>
      <c r="R30" s="142"/>
      <c r="S30" s="501"/>
      <c r="T30" s="293"/>
      <c r="AH30" s="488">
        <v>24</v>
      </c>
      <c r="AI30" s="995" t="s">
        <v>286</v>
      </c>
      <c r="AJ30" s="999"/>
      <c r="AK30" s="282" t="s">
        <v>1202</v>
      </c>
      <c r="AL30" s="282" t="s">
        <v>500</v>
      </c>
      <c r="AM30" s="282" t="s">
        <v>1248</v>
      </c>
      <c r="AN30" s="772" t="s">
        <v>2226</v>
      </c>
      <c r="AO30" s="282"/>
      <c r="AP30" s="769"/>
      <c r="AQ30" s="768"/>
      <c r="AR30" s="768"/>
      <c r="AS30" s="768"/>
      <c r="AT30" s="281"/>
      <c r="AU30" s="281"/>
      <c r="AV30" s="281"/>
      <c r="AW30" s="154"/>
    </row>
    <row r="31" spans="1:49" s="25" customFormat="1" ht="16.5" customHeight="1" thickBot="1">
      <c r="A31" s="736" t="s">
        <v>318</v>
      </c>
      <c r="B31" s="454">
        <f>COUNTIF($S$57:$S$699,"ذن/د3")</f>
        <v>9</v>
      </c>
      <c r="C31" s="454">
        <f>COUNTIF($S$57:$S$699,"ان/د3")</f>
        <v>22</v>
      </c>
      <c r="D31" s="454">
        <f>COUNTIF($S$57:$S$699,"ذن/د2")</f>
        <v>2</v>
      </c>
      <c r="E31" s="454">
        <f>COUNTIF($S$57:$S$699,"ان/د2")</f>
        <v>8</v>
      </c>
      <c r="F31" s="454">
        <f>COUNTIF($S$57:$S$699,"ذن/د1")</f>
        <v>0</v>
      </c>
      <c r="G31" s="454">
        <f>COUNTIF($S$57:$S$699,"ان/د1")</f>
        <v>0</v>
      </c>
      <c r="H31" s="454">
        <f t="shared" ref="H31:I32" si="13">B31+D31+F31</f>
        <v>11</v>
      </c>
      <c r="I31" s="454">
        <f t="shared" si="13"/>
        <v>30</v>
      </c>
      <c r="J31" s="737" t="s">
        <v>316</v>
      </c>
      <c r="K31" s="737"/>
      <c r="L31" s="502">
        <f>SUM(L30-L32)</f>
        <v>53</v>
      </c>
      <c r="M31" s="502">
        <f>SUM(M30-M32)</f>
        <v>6</v>
      </c>
      <c r="N31" s="502">
        <f t="shared" ref="N31" si="14">SUM(N30-N32)</f>
        <v>1</v>
      </c>
      <c r="O31" s="142"/>
      <c r="P31" s="142"/>
      <c r="Q31" s="142"/>
      <c r="R31" s="142"/>
      <c r="S31" s="142"/>
      <c r="T31" s="293"/>
      <c r="AH31" s="488">
        <v>25</v>
      </c>
      <c r="AI31" s="995" t="s">
        <v>287</v>
      </c>
      <c r="AJ31" s="999"/>
      <c r="AK31" s="282" t="s">
        <v>1202</v>
      </c>
      <c r="AL31" s="792"/>
      <c r="AM31" s="792"/>
      <c r="AN31" s="792"/>
      <c r="AO31" s="792" t="s">
        <v>828</v>
      </c>
      <c r="AP31" s="788"/>
      <c r="AQ31" s="783"/>
      <c r="AR31" s="789"/>
      <c r="AS31" s="282"/>
      <c r="AT31" s="274"/>
      <c r="AW31" s="154"/>
    </row>
    <row r="32" spans="1:49" s="25" customFormat="1" ht="16.5" customHeight="1" thickBot="1">
      <c r="A32" s="736" t="s">
        <v>319</v>
      </c>
      <c r="B32" s="454">
        <f>COUNTIF($S$57:$S$699,"ذخ3")</f>
        <v>70</v>
      </c>
      <c r="C32" s="454">
        <f>COUNTIF($S$57:$S$699,"اخ3")</f>
        <v>86</v>
      </c>
      <c r="D32" s="454">
        <f>COUNTIF($S$57:$S$699,"ذخ2")</f>
        <v>11</v>
      </c>
      <c r="E32" s="454">
        <f>COUNTIF($S$57:$S$699,"اخ2")</f>
        <v>16</v>
      </c>
      <c r="F32" s="454">
        <f>COUNTIF($S$57:$S$699,"ذخ1")</f>
        <v>2</v>
      </c>
      <c r="G32" s="454">
        <f>COUNTIF($S$57:$S$699,"اخ1")</f>
        <v>3</v>
      </c>
      <c r="H32" s="454">
        <f>B32+D32+F32</f>
        <v>83</v>
      </c>
      <c r="I32" s="454">
        <f t="shared" si="13"/>
        <v>105</v>
      </c>
      <c r="J32" s="737" t="s">
        <v>321</v>
      </c>
      <c r="K32" s="737"/>
      <c r="L32" s="502">
        <f>COUNT(P11:P21)</f>
        <v>1</v>
      </c>
      <c r="M32" s="502">
        <v>0</v>
      </c>
      <c r="N32" s="502">
        <v>0</v>
      </c>
      <c r="O32" s="142"/>
      <c r="P32" s="142"/>
      <c r="Q32" s="142"/>
      <c r="R32" s="142"/>
      <c r="S32" s="142"/>
      <c r="T32" s="293"/>
      <c r="AH32" s="488">
        <v>26</v>
      </c>
      <c r="AI32" s="1000" t="s">
        <v>284</v>
      </c>
      <c r="AJ32" s="999"/>
      <c r="AK32" s="282" t="s">
        <v>1202</v>
      </c>
      <c r="AL32" s="768"/>
      <c r="AM32" s="768"/>
      <c r="AN32" s="282"/>
      <c r="AO32" s="768" t="s">
        <v>1850</v>
      </c>
      <c r="AP32" s="785"/>
      <c r="AQ32" s="282"/>
      <c r="AR32" s="282"/>
      <c r="AS32" s="282"/>
      <c r="AT32" s="274"/>
      <c r="AU32" s="274"/>
      <c r="AV32" s="274"/>
      <c r="AW32" s="154"/>
    </row>
    <row r="33" spans="1:79" s="25" customFormat="1" ht="16.5" customHeight="1" thickBot="1">
      <c r="A33" s="514" t="s">
        <v>320</v>
      </c>
      <c r="B33" s="767">
        <f t="shared" ref="B33:I33" si="15">SUM(B30/B25*100)</f>
        <v>71.818181818181813</v>
      </c>
      <c r="C33" s="514">
        <f t="shared" si="15"/>
        <v>80</v>
      </c>
      <c r="D33" s="514">
        <f t="shared" si="15"/>
        <v>13.978494623655912</v>
      </c>
      <c r="E33" s="514">
        <f t="shared" si="15"/>
        <v>15.286624203821656</v>
      </c>
      <c r="F33" s="496">
        <f t="shared" si="15"/>
        <v>6.8965517241379306</v>
      </c>
      <c r="G33" s="514">
        <f t="shared" si="15"/>
        <v>6.9767441860465116</v>
      </c>
      <c r="H33" s="514">
        <f t="shared" si="15"/>
        <v>40.517241379310342</v>
      </c>
      <c r="I33" s="514">
        <f t="shared" si="15"/>
        <v>40.298507462686565</v>
      </c>
      <c r="J33" s="1449" t="s">
        <v>323</v>
      </c>
      <c r="K33" s="1455"/>
      <c r="L33" s="550">
        <f>SUM(L32/L30*100)</f>
        <v>1.8518518518518516</v>
      </c>
      <c r="M33" s="1007">
        <f t="shared" ref="M33:N33" si="16">SUM(M32/M30*100)</f>
        <v>0</v>
      </c>
      <c r="N33" s="1007">
        <f t="shared" si="16"/>
        <v>0</v>
      </c>
      <c r="O33" s="142"/>
      <c r="P33" s="142"/>
      <c r="Q33" s="142"/>
      <c r="R33" s="142"/>
      <c r="S33" s="142"/>
      <c r="T33" s="501"/>
      <c r="AH33" s="488">
        <v>27</v>
      </c>
      <c r="AI33" s="995" t="s">
        <v>1228</v>
      </c>
      <c r="AJ33" s="1001"/>
      <c r="AK33" s="282" t="s">
        <v>1202</v>
      </c>
      <c r="AL33" s="771" t="s">
        <v>268</v>
      </c>
      <c r="AM33" s="771"/>
      <c r="AN33" s="768" t="s">
        <v>2228</v>
      </c>
      <c r="AO33" s="768" t="s">
        <v>2228</v>
      </c>
      <c r="AP33" s="769"/>
      <c r="AQ33" s="768"/>
      <c r="AR33" s="768"/>
      <c r="AS33" s="768"/>
      <c r="AT33" s="281"/>
      <c r="AU33" s="281"/>
      <c r="AV33" s="281"/>
      <c r="AW33" s="154"/>
    </row>
    <row r="34" spans="1:79" s="25" customFormat="1" ht="16.5" customHeight="1" thickBot="1">
      <c r="A34" s="536" t="s">
        <v>322</v>
      </c>
      <c r="B34" s="1465">
        <f>SUM(B29/B23)*100</f>
        <v>76.326530612244909</v>
      </c>
      <c r="C34" s="1465"/>
      <c r="D34" s="1465">
        <f>SUM(D29/D23)*100</f>
        <v>14.799999999999999</v>
      </c>
      <c r="E34" s="1465"/>
      <c r="F34" s="1462">
        <f>SUM(F29/F23)*100</f>
        <v>6.9444444444444446</v>
      </c>
      <c r="G34" s="1462"/>
      <c r="H34" s="1462">
        <f>SUM(H29/H23)*100</f>
        <v>40.388007054673722</v>
      </c>
      <c r="I34" s="1462"/>
      <c r="J34" s="561"/>
      <c r="K34" s="561"/>
      <c r="L34" s="561"/>
      <c r="M34" s="561"/>
      <c r="N34" s="561"/>
      <c r="O34" s="142"/>
      <c r="P34" s="142"/>
      <c r="Q34" s="142"/>
      <c r="R34" s="142"/>
      <c r="S34" s="142"/>
      <c r="T34" s="1009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488">
        <v>28</v>
      </c>
      <c r="AI34" s="995" t="s">
        <v>1510</v>
      </c>
      <c r="AJ34" s="513"/>
      <c r="AK34" s="282" t="s">
        <v>1202</v>
      </c>
      <c r="AL34" s="282"/>
      <c r="AM34" s="282"/>
      <c r="AN34" s="282"/>
      <c r="AO34" s="282" t="s">
        <v>1530</v>
      </c>
      <c r="AP34" s="769"/>
      <c r="AQ34" s="282"/>
      <c r="AR34" s="282"/>
      <c r="AS34" s="282"/>
      <c r="AT34" s="318"/>
      <c r="AU34" s="318"/>
      <c r="AV34" s="318"/>
      <c r="AW34" s="319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</row>
    <row r="35" spans="1:79" s="25" customFormat="1" ht="16.5" customHeight="1" thickBot="1">
      <c r="A35" s="1427"/>
      <c r="B35" s="1428"/>
      <c r="C35" s="1428"/>
      <c r="D35" s="1428"/>
      <c r="E35" s="1428"/>
      <c r="F35" s="1429"/>
      <c r="G35" s="1429"/>
      <c r="H35" s="1429"/>
      <c r="I35" s="1429"/>
      <c r="J35" s="1429"/>
      <c r="K35" s="1429"/>
      <c r="L35" s="1429"/>
      <c r="M35" s="562"/>
      <c r="N35" s="562"/>
      <c r="O35" s="320"/>
      <c r="P35" s="142"/>
      <c r="Q35" s="142"/>
      <c r="R35" s="142"/>
      <c r="S35" s="142"/>
      <c r="T35" s="501"/>
      <c r="AH35" s="488">
        <v>29</v>
      </c>
      <c r="AI35" s="994" t="s">
        <v>271</v>
      </c>
      <c r="AJ35" s="287"/>
      <c r="AK35" s="282" t="s">
        <v>1229</v>
      </c>
      <c r="AL35" s="771"/>
      <c r="AM35" s="768" t="s">
        <v>1174</v>
      </c>
      <c r="AN35" s="768" t="s">
        <v>2215</v>
      </c>
      <c r="AO35" s="282" t="s">
        <v>1173</v>
      </c>
      <c r="AP35" s="769"/>
      <c r="AQ35" s="768"/>
      <c r="AR35" s="768"/>
      <c r="AS35" s="282"/>
      <c r="AT35" s="281"/>
      <c r="AU35" s="281"/>
      <c r="AV35" s="274"/>
      <c r="AW35" s="154"/>
    </row>
    <row r="36" spans="1:79" s="25" customFormat="1" ht="16.5" customHeight="1" thickBot="1">
      <c r="A36" s="530" t="s">
        <v>324</v>
      </c>
      <c r="B36" s="856" t="s">
        <v>500</v>
      </c>
      <c r="C36" s="856" t="s">
        <v>1519</v>
      </c>
      <c r="D36" s="856" t="s">
        <v>1497</v>
      </c>
      <c r="E36" s="856" t="s">
        <v>820</v>
      </c>
      <c r="F36" s="856" t="s">
        <v>819</v>
      </c>
      <c r="G36" s="856" t="s">
        <v>1850</v>
      </c>
      <c r="H36" s="856" t="s">
        <v>1851</v>
      </c>
      <c r="I36" s="856" t="s">
        <v>1852</v>
      </c>
      <c r="J36" s="856" t="s">
        <v>268</v>
      </c>
      <c r="K36" s="556"/>
      <c r="L36" s="556"/>
      <c r="M36" s="901" t="s">
        <v>302</v>
      </c>
      <c r="N36" s="756" t="s">
        <v>302</v>
      </c>
      <c r="O36" s="300"/>
      <c r="P36" s="300"/>
      <c r="Q36" s="142"/>
      <c r="R36" s="142"/>
      <c r="S36" s="142"/>
      <c r="T36" s="501"/>
      <c r="AH36" s="488">
        <v>30</v>
      </c>
      <c r="AI36" s="994" t="s">
        <v>944</v>
      </c>
      <c r="AJ36" s="287"/>
      <c r="AK36" s="282" t="s">
        <v>1229</v>
      </c>
      <c r="AL36" s="282"/>
      <c r="AM36" s="282"/>
      <c r="AN36" s="282" t="s">
        <v>1530</v>
      </c>
      <c r="AO36" s="282" t="s">
        <v>1505</v>
      </c>
      <c r="AP36" s="769"/>
      <c r="AQ36" s="282"/>
      <c r="AR36" s="282"/>
      <c r="AS36" s="282"/>
      <c r="AT36" s="274"/>
      <c r="AU36" s="274"/>
      <c r="AV36" s="274"/>
      <c r="AW36" s="154"/>
    </row>
    <row r="37" spans="1:79" s="25" customFormat="1" ht="16.5" customHeight="1" thickBot="1">
      <c r="A37" s="736" t="s">
        <v>325</v>
      </c>
      <c r="B37" s="454">
        <f>COUNTIF($Q$51:$Q$2281,"3ت ر")</f>
        <v>0</v>
      </c>
      <c r="C37" s="454">
        <f>COUNTIF($Q$51:$Q$2281,"3ت ا ق1")</f>
        <v>19</v>
      </c>
      <c r="D37" s="454">
        <f>COUNTIF($Q$51:$Q$2281,"3ت ا ق2")</f>
        <v>16</v>
      </c>
      <c r="E37" s="454">
        <f>COUNTIF($Q$51:$Q$2281,"3ع ت1")</f>
        <v>23</v>
      </c>
      <c r="F37" s="454">
        <f>COUNTIF($Q$51:$Q$2281,"3ع ت2")</f>
        <v>21</v>
      </c>
      <c r="G37" s="454">
        <f>COUNTIF($Q$51:$Q$2280,"3ع ت3")</f>
        <v>0</v>
      </c>
      <c r="H37" s="454">
        <f>COUNTIF($Q$51:$Q$2281,"3آ ف1")</f>
        <v>0</v>
      </c>
      <c r="I37" s="454">
        <f>COUNTIF($Q$51:$Q$2281,"3آ ف2")</f>
        <v>0</v>
      </c>
      <c r="J37" s="454">
        <f>COUNTIF($Q$51:$Q$2281,"3ل أ")</f>
        <v>10</v>
      </c>
      <c r="K37" s="573"/>
      <c r="L37" s="573"/>
      <c r="M37" s="735">
        <f>SUM(B37:L37)</f>
        <v>89</v>
      </c>
      <c r="N37" s="1452">
        <f>SUM(M37+M39+M41)</f>
        <v>142</v>
      </c>
      <c r="O37" s="300"/>
      <c r="P37" s="300"/>
      <c r="Q37" s="11"/>
      <c r="R37" s="142"/>
      <c r="S37" s="501"/>
      <c r="T37" s="501"/>
      <c r="AH37" s="488">
        <v>31</v>
      </c>
      <c r="AI37" s="994" t="s">
        <v>1218</v>
      </c>
      <c r="AJ37" s="287"/>
      <c r="AK37" s="282" t="s">
        <v>1229</v>
      </c>
      <c r="AL37" s="316" t="s">
        <v>1248</v>
      </c>
      <c r="AM37" s="316"/>
      <c r="AN37" s="316" t="s">
        <v>2227</v>
      </c>
      <c r="AO37" s="316" t="s">
        <v>268</v>
      </c>
      <c r="AP37" s="769"/>
      <c r="AQ37" s="282"/>
      <c r="AR37" s="282"/>
      <c r="AS37" s="282"/>
      <c r="AT37" s="274"/>
      <c r="AU37" s="274"/>
      <c r="AV37" s="274"/>
      <c r="AW37" s="154"/>
    </row>
    <row r="38" spans="1:79" s="25" customFormat="1" ht="16.5" customHeight="1" thickBot="1">
      <c r="A38" s="736" t="s">
        <v>324</v>
      </c>
      <c r="B38" s="1006" t="s">
        <v>6</v>
      </c>
      <c r="C38" s="1006" t="s">
        <v>1173</v>
      </c>
      <c r="D38" s="1006" t="s">
        <v>1174</v>
      </c>
      <c r="E38" s="1006" t="s">
        <v>1520</v>
      </c>
      <c r="F38" s="1006" t="s">
        <v>1521</v>
      </c>
      <c r="G38" s="1006" t="s">
        <v>2153</v>
      </c>
      <c r="H38" s="1006" t="s">
        <v>4</v>
      </c>
      <c r="I38" s="1006"/>
      <c r="J38" s="1006"/>
      <c r="K38" s="1006"/>
      <c r="L38" s="556"/>
      <c r="M38" s="901" t="s">
        <v>302</v>
      </c>
      <c r="N38" s="1453"/>
      <c r="O38" s="300"/>
      <c r="P38" s="300"/>
      <c r="T38" s="501"/>
      <c r="AH38" s="488">
        <v>32</v>
      </c>
      <c r="AI38" s="994" t="s">
        <v>1230</v>
      </c>
      <c r="AJ38" s="287"/>
      <c r="AK38" s="282" t="s">
        <v>1229</v>
      </c>
      <c r="AL38" s="771" t="s">
        <v>1529</v>
      </c>
      <c r="AM38" s="282" t="s">
        <v>2258</v>
      </c>
      <c r="AN38" s="768"/>
      <c r="AO38" s="282" t="s">
        <v>821</v>
      </c>
      <c r="AP38" s="785"/>
      <c r="AQ38" s="282"/>
      <c r="AR38" s="282"/>
      <c r="AS38" s="768"/>
      <c r="AT38" s="274"/>
      <c r="AU38" s="274"/>
      <c r="AV38" s="274"/>
      <c r="AW38" s="154"/>
    </row>
    <row r="39" spans="1:79" s="25" customFormat="1" ht="16.5" customHeight="1" thickBot="1">
      <c r="A39" s="736" t="s">
        <v>325</v>
      </c>
      <c r="B39" s="454">
        <f>COUNTIF($Q$51:$Q$2281,"2ت ر")</f>
        <v>0</v>
      </c>
      <c r="C39" s="454">
        <f>COUNTIF($Q$51:$Q$2281,"2ت ا ق1")</f>
        <v>30</v>
      </c>
      <c r="D39" s="454">
        <f>COUNTIF($Q$51:$Q$2281,"2ت ا ق2")</f>
        <v>0</v>
      </c>
      <c r="E39" s="454">
        <f>COUNTIF($Q$51:$Q$2281,"2ع ت1")</f>
        <v>7</v>
      </c>
      <c r="F39" s="454">
        <f>COUNTIF($Q$51:$Q$2281,"2ع ت2")</f>
        <v>0</v>
      </c>
      <c r="G39" s="454">
        <f>COUNTIF($Q$51:$Q$2281,"2أ ف")</f>
        <v>0</v>
      </c>
      <c r="H39" s="454">
        <f>COUNTIF($Q$51:$Q$2281,"2ل أ")</f>
        <v>2</v>
      </c>
      <c r="I39" s="454"/>
      <c r="J39" s="454"/>
      <c r="K39" s="454"/>
      <c r="L39" s="573"/>
      <c r="M39" s="735">
        <f>SUM(B39:L39)</f>
        <v>39</v>
      </c>
      <c r="N39" s="1453"/>
      <c r="O39" s="300"/>
      <c r="P39" s="300"/>
      <c r="Q39" s="11"/>
      <c r="R39" s="142"/>
      <c r="S39" s="501"/>
      <c r="T39" s="501"/>
      <c r="AH39" s="488">
        <v>33</v>
      </c>
      <c r="AI39" s="994" t="s">
        <v>1945</v>
      </c>
      <c r="AJ39" s="287"/>
      <c r="AK39" s="282" t="s">
        <v>1229</v>
      </c>
      <c r="AL39" s="282"/>
      <c r="AM39" s="282"/>
      <c r="AN39" s="282" t="s">
        <v>500</v>
      </c>
      <c r="AO39" s="282"/>
      <c r="AP39" s="769"/>
      <c r="AQ39" s="768"/>
      <c r="AR39" s="768"/>
      <c r="AS39" s="768"/>
      <c r="AT39" s="281"/>
      <c r="AU39" s="274"/>
      <c r="AV39" s="274"/>
      <c r="AW39" s="154"/>
    </row>
    <row r="40" spans="1:79" s="25" customFormat="1" ht="16.5" customHeight="1" thickBot="1">
      <c r="A40" s="736" t="s">
        <v>324</v>
      </c>
      <c r="B40" s="1006" t="s">
        <v>326</v>
      </c>
      <c r="C40" s="1006" t="s">
        <v>327</v>
      </c>
      <c r="D40" s="1006" t="s">
        <v>328</v>
      </c>
      <c r="E40" s="1006" t="s">
        <v>1175</v>
      </c>
      <c r="F40" s="1006" t="s">
        <v>1176</v>
      </c>
      <c r="G40" s="1006" t="s">
        <v>329</v>
      </c>
      <c r="H40" s="1006" t="s">
        <v>330</v>
      </c>
      <c r="I40" s="1006" t="s">
        <v>2154</v>
      </c>
      <c r="J40" s="1006"/>
      <c r="K40" s="1006"/>
      <c r="L40" s="556"/>
      <c r="M40" s="901" t="s">
        <v>302</v>
      </c>
      <c r="N40" s="1453"/>
      <c r="O40" s="300"/>
      <c r="P40" s="300"/>
      <c r="Q40" s="11"/>
      <c r="R40" s="142"/>
      <c r="S40" s="501"/>
      <c r="T40" s="501"/>
      <c r="AH40" s="488">
        <v>34</v>
      </c>
      <c r="AI40" s="994" t="s">
        <v>396</v>
      </c>
      <c r="AJ40" s="513"/>
      <c r="AK40" s="282" t="s">
        <v>290</v>
      </c>
      <c r="AL40" s="768"/>
      <c r="AM40" s="768"/>
      <c r="AN40" s="768"/>
      <c r="AO40" s="768"/>
      <c r="AP40" s="785"/>
      <c r="AQ40" s="768"/>
      <c r="AR40" s="768"/>
      <c r="AS40" s="282"/>
      <c r="AT40" s="274"/>
      <c r="AU40" s="274"/>
      <c r="AV40" s="274"/>
      <c r="AW40" s="154"/>
    </row>
    <row r="41" spans="1:79" s="25" customFormat="1" ht="16.5" customHeight="1" thickBot="1">
      <c r="A41" s="736" t="s">
        <v>325</v>
      </c>
      <c r="B41" s="454">
        <f>COUNTIF($Q$51:$Q$2281,"1ج م ع1")</f>
        <v>3</v>
      </c>
      <c r="C41" s="454">
        <f>COUNTIF($Q$51:$Q$2281,"1ج م ع2")</f>
        <v>3</v>
      </c>
      <c r="D41" s="454">
        <f>COUNTIF($Q$51:$Q$2281,"1ج م ع3")</f>
        <v>7</v>
      </c>
      <c r="E41" s="454">
        <f>COUNTIF($Q$51:$Q$2281,"1ج م ع4")</f>
        <v>1</v>
      </c>
      <c r="F41" s="454">
        <f>COUNTIF($Q$51:$Q$2281,"1ج م ع5")</f>
        <v>0</v>
      </c>
      <c r="G41" s="454">
        <f>COUNTIF($Q$51:$Q$2281,"1ج م ا1")</f>
        <v>0</v>
      </c>
      <c r="H41" s="454">
        <f>COUNTIF($Q$51:$Q$2281,"1ج م ا2")</f>
        <v>0</v>
      </c>
      <c r="I41" s="454">
        <f>COUNTIF($Q$51:$Q$2281,"1ج م ا3")</f>
        <v>0</v>
      </c>
      <c r="J41" s="455"/>
      <c r="K41" s="455"/>
      <c r="L41" s="573"/>
      <c r="M41" s="735">
        <f>SUM(B41:L41)</f>
        <v>14</v>
      </c>
      <c r="N41" s="1454"/>
      <c r="O41" s="300"/>
      <c r="P41" s="300"/>
      <c r="Q41" s="10"/>
      <c r="R41" s="10"/>
      <c r="S41" s="246"/>
      <c r="T41" s="501"/>
      <c r="AH41" s="488">
        <v>35</v>
      </c>
      <c r="AI41" s="994" t="s">
        <v>291</v>
      </c>
      <c r="AJ41" s="513"/>
      <c r="AK41" s="282" t="s">
        <v>290</v>
      </c>
      <c r="AL41" s="771"/>
      <c r="AM41" s="282"/>
      <c r="AN41" s="282"/>
      <c r="AO41" s="768"/>
      <c r="AP41" s="769"/>
      <c r="AQ41" s="768"/>
      <c r="AR41" s="768"/>
      <c r="AS41" s="768"/>
      <c r="AT41" s="281"/>
      <c r="AU41" s="274"/>
      <c r="AV41" s="274"/>
      <c r="AW41" s="154"/>
    </row>
    <row r="42" spans="1:79" s="25" customFormat="1" ht="16.5" customHeight="1" thickBot="1">
      <c r="A42" s="1425" t="s">
        <v>331</v>
      </c>
      <c r="B42" s="1425"/>
      <c r="C42" s="1425"/>
      <c r="D42" s="460"/>
      <c r="E42" s="460"/>
      <c r="F42" s="483"/>
      <c r="G42" s="484" t="s">
        <v>332</v>
      </c>
      <c r="H42" s="485"/>
      <c r="I42" s="367"/>
      <c r="J42" s="461"/>
      <c r="K42" s="461"/>
      <c r="L42" s="462" t="s">
        <v>333</v>
      </c>
      <c r="M42" s="367"/>
      <c r="N42" s="367"/>
      <c r="O42" s="12"/>
      <c r="P42" s="9"/>
      <c r="Q42" s="9"/>
      <c r="R42" s="311"/>
      <c r="S42" s="1009"/>
      <c r="T42" s="1009"/>
      <c r="U42" s="13"/>
      <c r="V42" s="13"/>
      <c r="W42" s="13"/>
      <c r="X42" s="13"/>
      <c r="Y42" s="13"/>
      <c r="AA42" s="13"/>
      <c r="AB42" s="13"/>
      <c r="AC42" s="13"/>
      <c r="AD42" s="13"/>
      <c r="AE42" s="13"/>
      <c r="AF42" s="13"/>
      <c r="AG42" s="13"/>
      <c r="AH42" s="488">
        <v>36</v>
      </c>
      <c r="AI42" s="995" t="s">
        <v>2094</v>
      </c>
      <c r="AJ42" s="513"/>
      <c r="AK42" s="282" t="s">
        <v>290</v>
      </c>
      <c r="AL42" s="768" t="s">
        <v>1529</v>
      </c>
      <c r="AM42" s="768" t="s">
        <v>1529</v>
      </c>
      <c r="AN42" s="768"/>
      <c r="AO42" s="768"/>
      <c r="AP42" s="785"/>
      <c r="AQ42" s="282" t="s">
        <v>1963</v>
      </c>
      <c r="AR42" s="282" t="s">
        <v>1530</v>
      </c>
      <c r="AS42" s="282" t="s">
        <v>1175</v>
      </c>
      <c r="AT42" s="318"/>
      <c r="AU42" s="318"/>
      <c r="AV42" s="318"/>
      <c r="AW42" s="319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</row>
    <row r="43" spans="1:79" s="25" customFormat="1" ht="16.5" customHeight="1" thickBot="1">
      <c r="A43" s="1028" t="s">
        <v>1503</v>
      </c>
      <c r="B43" s="458"/>
      <c r="C43" s="458"/>
      <c r="D43" s="458"/>
      <c r="E43" s="459"/>
      <c r="F43" s="459"/>
      <c r="G43" s="459"/>
      <c r="H43" s="460"/>
      <c r="I43" s="367"/>
      <c r="J43" s="367"/>
      <c r="K43" s="367"/>
      <c r="L43" s="367"/>
      <c r="M43" s="21"/>
      <c r="N43" s="21"/>
      <c r="O43" s="8"/>
      <c r="P43" s="8"/>
      <c r="Q43" s="8"/>
      <c r="R43" s="311"/>
      <c r="S43" s="1009"/>
      <c r="T43" s="1009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488">
        <v>37</v>
      </c>
      <c r="AI43" s="995" t="s">
        <v>1958</v>
      </c>
      <c r="AJ43" s="287"/>
      <c r="AK43" s="282" t="s">
        <v>290</v>
      </c>
      <c r="AL43" s="282"/>
      <c r="AM43" s="282"/>
      <c r="AN43" s="282"/>
      <c r="AO43" s="282"/>
      <c r="AP43" s="769"/>
      <c r="AQ43" s="768"/>
      <c r="AR43" s="768"/>
      <c r="AS43" s="768"/>
      <c r="AT43" s="318"/>
      <c r="AU43" s="318"/>
      <c r="AV43" s="318"/>
      <c r="AW43" s="319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</row>
    <row r="44" spans="1:79" s="25" customFormat="1" ht="16.5" customHeight="1" thickBot="1">
      <c r="A44" s="457"/>
      <c r="N44" s="367"/>
      <c r="O44" s="12"/>
      <c r="P44" s="12"/>
      <c r="Q44" s="11"/>
      <c r="R44" s="142"/>
      <c r="S44" s="501"/>
      <c r="T44" s="501"/>
      <c r="AH44" s="488">
        <v>38</v>
      </c>
      <c r="AI44" s="995" t="s">
        <v>1536</v>
      </c>
      <c r="AJ44" s="287"/>
      <c r="AK44" s="282" t="s">
        <v>290</v>
      </c>
      <c r="AL44" s="787"/>
      <c r="AM44" s="792" t="s">
        <v>1507</v>
      </c>
      <c r="AN44" s="789"/>
      <c r="AO44" s="787"/>
      <c r="AP44" s="790"/>
      <c r="AQ44" s="783"/>
      <c r="AR44" s="282"/>
      <c r="AS44" s="282"/>
      <c r="AT44" s="274"/>
      <c r="AU44" s="274"/>
      <c r="AV44" s="274"/>
      <c r="AW44" s="154"/>
    </row>
    <row r="45" spans="1:79" s="25" customFormat="1" ht="16.5" customHeight="1" thickBot="1">
      <c r="A45" s="462" t="s">
        <v>334</v>
      </c>
      <c r="B45" s="462"/>
      <c r="C45" s="462"/>
      <c r="D45" s="461"/>
      <c r="E45" s="460"/>
      <c r="F45" s="460"/>
      <c r="G45" s="461" t="s">
        <v>334</v>
      </c>
      <c r="H45" s="461"/>
      <c r="I45" s="367"/>
      <c r="J45" s="367"/>
      <c r="K45" s="21"/>
      <c r="L45" s="462" t="s">
        <v>334</v>
      </c>
      <c r="M45" s="21"/>
      <c r="N45" s="367"/>
      <c r="O45" s="12"/>
      <c r="P45" s="12"/>
      <c r="Q45" s="11"/>
      <c r="R45" s="142"/>
      <c r="S45" s="501"/>
      <c r="T45" s="501"/>
      <c r="AH45" s="488">
        <v>39</v>
      </c>
      <c r="AI45" s="994" t="s">
        <v>2217</v>
      </c>
      <c r="AJ45" s="287"/>
      <c r="AK45" s="282" t="s">
        <v>290</v>
      </c>
      <c r="AL45" s="768"/>
      <c r="AM45" s="316"/>
      <c r="AN45" s="316"/>
      <c r="AO45" s="316"/>
      <c r="AP45" s="769"/>
      <c r="AQ45" s="282"/>
      <c r="AR45" s="282"/>
      <c r="AS45" s="282"/>
      <c r="AT45" s="274"/>
      <c r="AU45" s="274"/>
      <c r="AV45" s="274"/>
      <c r="AW45" s="154"/>
    </row>
    <row r="46" spans="1:79" s="25" customFormat="1" ht="16.5" customHeight="1" thickBot="1">
      <c r="A46" s="457"/>
      <c r="N46" s="367"/>
      <c r="O46" s="12"/>
      <c r="P46" s="12"/>
      <c r="Q46" s="11"/>
      <c r="R46" s="142"/>
      <c r="S46" s="501"/>
      <c r="T46" s="501"/>
      <c r="AH46" s="488">
        <v>40</v>
      </c>
      <c r="AI46" s="994" t="s">
        <v>296</v>
      </c>
      <c r="AJ46" s="287"/>
      <c r="AK46" s="282" t="s">
        <v>1206</v>
      </c>
      <c r="AL46" s="768"/>
      <c r="AM46" s="316"/>
      <c r="AN46" s="316"/>
      <c r="AO46" s="316"/>
      <c r="AP46" s="769"/>
      <c r="AQ46" s="282"/>
      <c r="AR46" s="282"/>
      <c r="AS46" s="282"/>
      <c r="AT46" s="274"/>
      <c r="AU46" s="274"/>
      <c r="AV46" s="274"/>
      <c r="AW46" s="154"/>
    </row>
    <row r="47" spans="1:79" s="25" customFormat="1" ht="16.5" customHeight="1" thickBot="1">
      <c r="N47" s="457"/>
      <c r="O47" s="12"/>
      <c r="P47" s="12"/>
      <c r="Q47" s="11"/>
      <c r="R47" s="142"/>
      <c r="S47" s="501"/>
      <c r="T47" s="501"/>
      <c r="AH47" s="488">
        <v>41</v>
      </c>
      <c r="AI47" s="994" t="s">
        <v>1946</v>
      </c>
      <c r="AJ47" s="287"/>
      <c r="AK47" s="282" t="s">
        <v>1206</v>
      </c>
      <c r="AL47" s="768"/>
      <c r="AM47" s="768"/>
      <c r="AN47" s="282"/>
      <c r="AO47" s="282"/>
      <c r="AP47" s="769"/>
      <c r="AQ47" s="282" t="s">
        <v>2215</v>
      </c>
      <c r="AR47" s="282" t="s">
        <v>328</v>
      </c>
      <c r="AS47" s="282" t="s">
        <v>500</v>
      </c>
      <c r="AT47" s="282"/>
      <c r="AU47" s="282"/>
      <c r="AV47" s="274"/>
      <c r="AW47" s="24"/>
    </row>
    <row r="48" spans="1:79" s="25" customFormat="1" ht="16.5" customHeight="1" thickBot="1">
      <c r="N48" s="457"/>
      <c r="O48" s="12"/>
      <c r="P48" s="12"/>
      <c r="Q48" s="11"/>
      <c r="R48" s="142"/>
      <c r="S48" s="501"/>
      <c r="T48" s="501"/>
      <c r="AH48" s="488">
        <v>42</v>
      </c>
      <c r="AI48" s="994" t="s">
        <v>640</v>
      </c>
      <c r="AJ48" s="287"/>
      <c r="AK48" s="282" t="s">
        <v>1206</v>
      </c>
      <c r="AL48" s="768"/>
      <c r="AM48" s="768"/>
      <c r="AN48" s="282"/>
      <c r="AO48" s="282"/>
      <c r="AP48" s="769"/>
      <c r="AQ48" s="282"/>
      <c r="AR48" s="282"/>
      <c r="AS48" s="282"/>
      <c r="AT48" s="282"/>
      <c r="AU48" s="282"/>
      <c r="AV48" s="274"/>
      <c r="AW48" s="24"/>
    </row>
    <row r="49" spans="4:49" s="25" customFormat="1" ht="16.5" customHeight="1" thickBot="1">
      <c r="O49" s="11"/>
      <c r="P49" s="11"/>
      <c r="Q49" s="11"/>
      <c r="R49" s="142"/>
      <c r="S49" s="501"/>
      <c r="T49" s="501"/>
      <c r="V49" s="542"/>
      <c r="W49" s="542"/>
      <c r="AH49" s="488">
        <v>43</v>
      </c>
      <c r="AI49" s="994" t="s">
        <v>2219</v>
      </c>
      <c r="AJ49" s="287"/>
      <c r="AK49" s="282" t="s">
        <v>270</v>
      </c>
      <c r="AL49" s="768" t="s">
        <v>1176</v>
      </c>
      <c r="AM49" s="768" t="s">
        <v>1176</v>
      </c>
      <c r="AN49" s="768" t="s">
        <v>1176</v>
      </c>
      <c r="AO49" s="768" t="s">
        <v>1176</v>
      </c>
      <c r="AP49" s="769"/>
      <c r="AQ49" s="282"/>
      <c r="AR49" s="282"/>
      <c r="AS49" s="282"/>
      <c r="AT49" s="282"/>
      <c r="AU49" s="282"/>
      <c r="AV49" s="274"/>
      <c r="AW49" s="24"/>
    </row>
    <row r="50" spans="4:49" s="25" customFormat="1" ht="16.5" customHeight="1" thickBot="1">
      <c r="D50" s="295"/>
      <c r="E50" s="295"/>
      <c r="F50" s="295"/>
      <c r="G50" s="295"/>
      <c r="H50" s="295"/>
      <c r="AH50" s="488">
        <v>44</v>
      </c>
      <c r="AI50" s="994" t="s">
        <v>1537</v>
      </c>
      <c r="AJ50" s="285"/>
      <c r="AK50" s="282" t="s">
        <v>1206</v>
      </c>
      <c r="AL50" s="316"/>
      <c r="AM50" s="316"/>
      <c r="AN50" s="316"/>
      <c r="AO50" s="316"/>
      <c r="AP50" s="770"/>
      <c r="AQ50" s="316"/>
      <c r="AR50" s="316"/>
      <c r="AS50" s="316"/>
      <c r="AT50" s="24"/>
      <c r="AU50" s="24"/>
      <c r="AV50" s="24"/>
      <c r="AW50" s="13"/>
    </row>
    <row r="51" spans="4:49" s="25" customFormat="1" ht="16.5" customHeight="1" thickBot="1">
      <c r="D51" s="295"/>
      <c r="E51" s="295"/>
      <c r="F51" s="295"/>
      <c r="G51" s="295"/>
      <c r="H51" s="295"/>
      <c r="AH51" s="488">
        <v>45</v>
      </c>
      <c r="AI51" s="994" t="s">
        <v>1232</v>
      </c>
      <c r="AJ51" s="285"/>
      <c r="AK51" s="282" t="s">
        <v>1206</v>
      </c>
      <c r="AL51" s="316"/>
      <c r="AM51" s="316"/>
      <c r="AN51" s="316"/>
      <c r="AO51" s="316"/>
      <c r="AP51" s="770"/>
      <c r="AQ51" s="282" t="s">
        <v>1530</v>
      </c>
      <c r="AR51" s="316" t="s">
        <v>1529</v>
      </c>
      <c r="AS51" s="316" t="s">
        <v>1962</v>
      </c>
      <c r="AT51" s="24"/>
      <c r="AU51" s="24"/>
      <c r="AV51" s="24"/>
      <c r="AW51" s="13"/>
    </row>
    <row r="52" spans="4:49" s="25" customFormat="1" ht="16.5" customHeight="1" thickBot="1">
      <c r="D52" s="295"/>
      <c r="E52" s="295"/>
      <c r="F52" s="295"/>
      <c r="G52" s="295"/>
      <c r="H52" s="295"/>
      <c r="AH52" s="488">
        <v>46</v>
      </c>
      <c r="AI52" s="994" t="s">
        <v>1502</v>
      </c>
      <c r="AJ52" s="285"/>
      <c r="AK52" s="282" t="s">
        <v>1959</v>
      </c>
      <c r="AL52" s="24"/>
      <c r="AM52" s="24"/>
      <c r="AN52" s="24"/>
      <c r="AO52" s="24" t="s">
        <v>1507</v>
      </c>
      <c r="AP52" s="770"/>
      <c r="AQ52" s="316"/>
      <c r="AR52" s="316"/>
      <c r="AS52" s="768"/>
      <c r="AT52" s="24"/>
      <c r="AU52" s="24"/>
      <c r="AV52" s="24"/>
      <c r="AW52" s="13"/>
    </row>
    <row r="53" spans="4:49" s="25" customFormat="1" ht="16.5" customHeight="1" thickBot="1">
      <c r="D53" s="295"/>
      <c r="E53" s="295"/>
      <c r="F53" s="295"/>
      <c r="G53" s="295"/>
      <c r="H53" s="295"/>
      <c r="AH53" s="488">
        <v>47</v>
      </c>
      <c r="AI53" s="994" t="s">
        <v>2097</v>
      </c>
      <c r="AJ53" s="285"/>
      <c r="AK53" s="849" t="s">
        <v>1959</v>
      </c>
      <c r="AL53" s="316"/>
      <c r="AM53" s="316"/>
      <c r="AN53" s="316"/>
      <c r="AO53" s="316"/>
      <c r="AP53" s="770"/>
      <c r="AQ53" s="316"/>
      <c r="AR53" s="316"/>
      <c r="AS53" s="316"/>
      <c r="AT53" s="316"/>
      <c r="AU53" s="316"/>
      <c r="AV53" s="316"/>
      <c r="AW53" s="13"/>
    </row>
    <row r="54" spans="4:49" s="25" customFormat="1" ht="16.5" customHeight="1" thickBot="1">
      <c r="D54" s="295"/>
      <c r="E54" s="295"/>
      <c r="F54" s="295"/>
      <c r="G54" s="295"/>
      <c r="H54" s="295"/>
      <c r="AH54" s="488">
        <v>48</v>
      </c>
      <c r="AI54" s="1002" t="s">
        <v>1947</v>
      </c>
      <c r="AJ54" s="285"/>
      <c r="AK54" s="849" t="s">
        <v>1960</v>
      </c>
      <c r="AL54" s="316"/>
      <c r="AM54" s="316"/>
      <c r="AN54" s="316"/>
      <c r="AO54" s="316"/>
      <c r="AP54" s="770"/>
      <c r="AQ54" s="316"/>
      <c r="AR54" s="316"/>
      <c r="AS54" s="316"/>
      <c r="AT54" s="316"/>
      <c r="AU54" s="316"/>
      <c r="AV54" s="316"/>
      <c r="AW54" s="13"/>
    </row>
    <row r="55" spans="4:49" s="25" customFormat="1" ht="16.5" customHeight="1" thickBot="1">
      <c r="D55" s="295"/>
      <c r="E55" s="295"/>
      <c r="F55" s="295"/>
      <c r="G55" s="295"/>
      <c r="H55" s="295"/>
      <c r="L55" s="367"/>
      <c r="M55" s="367"/>
      <c r="O55" s="1055" t="s">
        <v>335</v>
      </c>
      <c r="P55" s="1056"/>
      <c r="Q55" s="1084" t="s">
        <v>346</v>
      </c>
      <c r="R55" s="1084"/>
      <c r="S55" s="1084"/>
      <c r="T55" s="1057">
        <v>45783</v>
      </c>
      <c r="U55" s="1042"/>
      <c r="V55" s="1042"/>
      <c r="W55" s="304"/>
      <c r="X55" s="1043"/>
      <c r="Y55" s="1044"/>
      <c r="Z55" s="1044"/>
      <c r="AA55" s="304"/>
      <c r="AH55" s="488">
        <v>49</v>
      </c>
      <c r="AI55" s="1002" t="s">
        <v>1236</v>
      </c>
      <c r="AJ55" s="285"/>
      <c r="AK55" s="849" t="s">
        <v>1238</v>
      </c>
      <c r="AL55" s="316"/>
      <c r="AM55" s="316"/>
      <c r="AN55" s="316"/>
      <c r="AO55" s="316"/>
      <c r="AP55" s="770"/>
      <c r="AQ55" s="316"/>
      <c r="AR55" s="316"/>
      <c r="AS55" s="316"/>
      <c r="AT55" s="316"/>
      <c r="AU55" s="316"/>
      <c r="AV55" s="316"/>
      <c r="AW55" s="13"/>
    </row>
    <row r="56" spans="4:49" s="25" customFormat="1" ht="16.5" customHeight="1" thickBot="1">
      <c r="D56" s="295"/>
      <c r="E56" s="295"/>
      <c r="F56" s="295"/>
      <c r="G56" s="295"/>
      <c r="H56" s="295"/>
      <c r="L56" s="1029" t="s">
        <v>339</v>
      </c>
      <c r="M56" s="1029"/>
      <c r="N56" s="1029" t="s">
        <v>1564</v>
      </c>
      <c r="O56" s="1474" t="s">
        <v>258</v>
      </c>
      <c r="P56" s="1474" t="s">
        <v>336</v>
      </c>
      <c r="Q56" s="1474" t="s">
        <v>5</v>
      </c>
      <c r="R56" s="1474" t="s">
        <v>7</v>
      </c>
      <c r="S56" s="1045"/>
      <c r="T56" s="1474" t="s">
        <v>634</v>
      </c>
      <c r="U56" s="1476" t="s">
        <v>356</v>
      </c>
      <c r="V56" s="1474" t="s">
        <v>635</v>
      </c>
      <c r="W56" s="1474" t="s">
        <v>636</v>
      </c>
      <c r="X56" s="1474" t="s">
        <v>337</v>
      </c>
      <c r="Y56" s="1474" t="s">
        <v>338</v>
      </c>
      <c r="Z56" s="1474" t="s">
        <v>339</v>
      </c>
      <c r="AA56" s="1474" t="s">
        <v>2211</v>
      </c>
      <c r="AH56" s="488">
        <v>50</v>
      </c>
      <c r="AI56" s="1002" t="s">
        <v>2218</v>
      </c>
      <c r="AJ56" s="285"/>
      <c r="AK56" s="849" t="s">
        <v>1961</v>
      </c>
      <c r="AL56" s="316"/>
      <c r="AM56" s="316"/>
      <c r="AN56" s="316"/>
      <c r="AO56" s="316"/>
      <c r="AP56" s="770"/>
      <c r="AQ56" s="316"/>
      <c r="AR56" s="316"/>
      <c r="AS56" s="316"/>
      <c r="AT56" s="316"/>
      <c r="AU56" s="316"/>
      <c r="AV56" s="316"/>
      <c r="AW56" s="13"/>
    </row>
    <row r="57" spans="4:49" s="25" customFormat="1" ht="16.5" customHeight="1" thickBot="1">
      <c r="D57" s="295"/>
      <c r="E57" s="295"/>
      <c r="F57" s="295"/>
      <c r="G57" s="295"/>
      <c r="H57" s="295"/>
      <c r="L57" s="1029"/>
      <c r="M57" s="1029"/>
      <c r="N57" s="1029"/>
      <c r="O57" s="1475"/>
      <c r="P57" s="1475"/>
      <c r="Q57" s="1475"/>
      <c r="R57" s="1475"/>
      <c r="S57" s="1046"/>
      <c r="T57" s="1475"/>
      <c r="U57" s="1477"/>
      <c r="V57" s="1475"/>
      <c r="W57" s="1475"/>
      <c r="X57" s="1475"/>
      <c r="Y57" s="1475"/>
      <c r="Z57" s="1475"/>
      <c r="AA57" s="1475"/>
      <c r="AH57" s="488">
        <v>51</v>
      </c>
      <c r="AI57" s="1003" t="s">
        <v>1237</v>
      </c>
      <c r="AJ57" s="285"/>
      <c r="AK57" s="849" t="s">
        <v>1238</v>
      </c>
      <c r="AL57" s="316"/>
      <c r="AM57" s="316"/>
      <c r="AN57" s="316"/>
      <c r="AO57" s="316"/>
      <c r="AP57" s="770"/>
      <c r="AQ57" s="316"/>
      <c r="AR57" s="316"/>
      <c r="AS57" s="316"/>
      <c r="AT57" s="316"/>
      <c r="AU57" s="316"/>
      <c r="AV57" s="316"/>
      <c r="AW57" s="13"/>
    </row>
    <row r="58" spans="4:49" s="25" customFormat="1" ht="15.6" customHeight="1" thickBot="1">
      <c r="D58" s="295"/>
      <c r="E58" s="295"/>
      <c r="F58" s="295"/>
      <c r="G58" s="295"/>
      <c r="H58" s="295"/>
      <c r="L58" s="777">
        <v>5</v>
      </c>
      <c r="M58" s="778"/>
      <c r="N58" s="976">
        <v>1</v>
      </c>
      <c r="O58" s="1020">
        <v>1</v>
      </c>
      <c r="P58" s="847">
        <f>VLOOKUP(N58,etat!$A$9:$N$1004,2,FALSE)</f>
        <v>0</v>
      </c>
      <c r="Q58" s="797" t="str">
        <f>VLOOKUP(N58,etat!$A$9:$N$963,7,FALSE)</f>
        <v xml:space="preserve"> 3ت ر كه </v>
      </c>
      <c r="R58" s="797" t="str">
        <f>VLOOKUP(N58,etat!$A$9:$N$1003,9,FALSE)</f>
        <v>ن/د</v>
      </c>
      <c r="S58" s="866" t="str">
        <f>VLOOKUP(N58,etat!$A$9:$P$905,16,FALSE)</f>
        <v>ان/د3</v>
      </c>
      <c r="T58" s="755">
        <v>45782</v>
      </c>
      <c r="U58" s="791">
        <v>2</v>
      </c>
      <c r="V58" s="784"/>
      <c r="W58" s="784"/>
      <c r="X58" s="784"/>
      <c r="Y58" s="1116"/>
      <c r="Z58" s="975"/>
      <c r="AA58" s="967">
        <v>4</v>
      </c>
      <c r="AH58" s="488">
        <v>52</v>
      </c>
      <c r="AI58" s="1003" t="s">
        <v>1239</v>
      </c>
      <c r="AJ58" s="285"/>
      <c r="AK58" s="849" t="s">
        <v>387</v>
      </c>
      <c r="AL58" s="316"/>
      <c r="AM58" s="316"/>
      <c r="AN58" s="316" t="s">
        <v>327</v>
      </c>
      <c r="AO58" s="316" t="s">
        <v>327</v>
      </c>
      <c r="AP58" s="770"/>
      <c r="AQ58" s="316" t="s">
        <v>9</v>
      </c>
      <c r="AR58" s="316" t="s">
        <v>9</v>
      </c>
      <c r="AS58" s="316"/>
      <c r="AT58" s="316"/>
      <c r="AU58" s="316"/>
      <c r="AV58" s="316"/>
      <c r="AW58" s="24"/>
    </row>
    <row r="59" spans="4:49" s="25" customFormat="1" ht="15.6" customHeight="1" thickBot="1">
      <c r="D59" s="295"/>
      <c r="E59" s="295"/>
      <c r="F59" s="295"/>
      <c r="G59" s="295"/>
      <c r="H59" s="295"/>
      <c r="L59" s="777">
        <v>5</v>
      </c>
      <c r="M59" s="778"/>
      <c r="N59" s="976">
        <v>2</v>
      </c>
      <c r="O59" s="1020">
        <v>2</v>
      </c>
      <c r="P59" s="847">
        <f>VLOOKUP(N59,etat!$A$9:$N$1004,2,FALSE)</f>
        <v>0</v>
      </c>
      <c r="Q59" s="797" t="str">
        <f>VLOOKUP(N59,etat!$A$9:$N$963,7,FALSE)</f>
        <v xml:space="preserve"> 3ت ر كه </v>
      </c>
      <c r="R59" s="797" t="str">
        <f>VLOOKUP(N59,etat!$A$9:$N$1003,9,FALSE)</f>
        <v>خ</v>
      </c>
      <c r="S59" s="866" t="str">
        <f>VLOOKUP(N59,etat!$A$9:$P$905,16,FALSE)</f>
        <v>اخ3</v>
      </c>
      <c r="T59" s="755">
        <v>45782</v>
      </c>
      <c r="U59" s="791">
        <v>2</v>
      </c>
      <c r="V59" s="784"/>
      <c r="W59" s="784"/>
      <c r="X59" s="784"/>
      <c r="Y59" s="975"/>
      <c r="Z59" s="975"/>
      <c r="AA59" s="967">
        <v>4</v>
      </c>
      <c r="AH59" s="488">
        <v>53</v>
      </c>
      <c r="AI59" s="1003" t="s">
        <v>314</v>
      </c>
      <c r="AJ59" s="285"/>
      <c r="AK59" s="849" t="s">
        <v>387</v>
      </c>
      <c r="AL59" s="316"/>
      <c r="AM59" s="316"/>
      <c r="AN59" s="316"/>
      <c r="AO59" s="316"/>
      <c r="AP59" s="770"/>
      <c r="AQ59" s="316"/>
      <c r="AR59" s="316"/>
      <c r="AS59" s="316"/>
      <c r="AT59" s="316"/>
      <c r="AU59" s="316"/>
      <c r="AV59" s="316"/>
      <c r="AW59" s="24"/>
    </row>
    <row r="60" spans="4:49" s="25" customFormat="1" ht="15.6" customHeight="1" thickBot="1">
      <c r="D60" s="295"/>
      <c r="E60" s="295"/>
      <c r="F60" s="295"/>
      <c r="G60" s="295"/>
      <c r="H60" s="295"/>
      <c r="L60" s="777">
        <v>5</v>
      </c>
      <c r="M60" s="778"/>
      <c r="N60" s="976">
        <v>3</v>
      </c>
      <c r="O60" s="1020">
        <v>3</v>
      </c>
      <c r="P60" s="847">
        <f>VLOOKUP(N60,etat!$A$9:$N$1004,2,FALSE)</f>
        <v>0</v>
      </c>
      <c r="Q60" s="797" t="str">
        <f>VLOOKUP(N60,etat!$A$9:$N$963,7,FALSE)</f>
        <v xml:space="preserve"> 3ت ر كه </v>
      </c>
      <c r="R60" s="797" t="str">
        <f>VLOOKUP(N60,etat!$A$9:$N$1003,9,FALSE)</f>
        <v>خ</v>
      </c>
      <c r="S60" s="866" t="str">
        <f>VLOOKUP(N60,etat!$A$9:$P$905,16,FALSE)</f>
        <v>اخ3</v>
      </c>
      <c r="T60" s="755">
        <v>45782</v>
      </c>
      <c r="U60" s="791">
        <v>2</v>
      </c>
      <c r="V60" s="784"/>
      <c r="W60" s="784"/>
      <c r="X60" s="784"/>
      <c r="Y60" s="975"/>
      <c r="Z60" s="975"/>
      <c r="AA60" s="967">
        <v>4</v>
      </c>
      <c r="AH60" s="488">
        <v>54</v>
      </c>
      <c r="AI60" s="1003" t="s">
        <v>1240</v>
      </c>
      <c r="AJ60" s="285"/>
      <c r="AK60" s="849" t="s">
        <v>387</v>
      </c>
      <c r="AL60" s="316"/>
      <c r="AM60" s="316"/>
      <c r="AN60" s="316"/>
      <c r="AO60" s="316"/>
      <c r="AP60" s="770"/>
      <c r="AQ60" s="316" t="s">
        <v>2220</v>
      </c>
      <c r="AR60" s="316" t="s">
        <v>2220</v>
      </c>
      <c r="AS60" s="316"/>
      <c r="AT60" s="316"/>
      <c r="AU60" s="316"/>
      <c r="AV60" s="316"/>
    </row>
    <row r="61" spans="4:49" s="25" customFormat="1" ht="15.6" customHeight="1" thickBot="1">
      <c r="D61" s="295"/>
      <c r="E61" s="295"/>
      <c r="F61" s="295"/>
      <c r="G61" s="295"/>
      <c r="H61" s="295"/>
      <c r="L61" s="777">
        <v>5</v>
      </c>
      <c r="M61" s="778"/>
      <c r="N61" s="976">
        <v>4</v>
      </c>
      <c r="O61" s="1020">
        <v>4</v>
      </c>
      <c r="P61" s="847">
        <f>VLOOKUP(N61,etat!$A$9:$N$1004,2,FALSE)</f>
        <v>0</v>
      </c>
      <c r="Q61" s="797" t="str">
        <f>VLOOKUP(N61,etat!$A$9:$N$963,7,FALSE)</f>
        <v xml:space="preserve"> 3ت ر كه </v>
      </c>
      <c r="R61" s="797" t="str">
        <f>VLOOKUP(N61,etat!$A$9:$N$1003,9,FALSE)</f>
        <v>خ</v>
      </c>
      <c r="S61" s="866" t="str">
        <f>VLOOKUP(N61,etat!$A$9:$P$905,16,FALSE)</f>
        <v>اخ3</v>
      </c>
      <c r="T61" s="755">
        <v>45781</v>
      </c>
      <c r="U61" s="791">
        <v>3</v>
      </c>
      <c r="V61" s="784"/>
      <c r="W61" s="784"/>
      <c r="X61" s="784"/>
      <c r="Y61" s="975"/>
      <c r="Z61" s="967"/>
      <c r="AA61" s="967">
        <v>4</v>
      </c>
      <c r="AH61" s="488">
        <v>55</v>
      </c>
      <c r="AI61" s="1003"/>
      <c r="AJ61" s="285"/>
      <c r="AK61" s="849"/>
      <c r="AL61" s="316"/>
      <c r="AM61" s="316"/>
      <c r="AN61" s="316"/>
      <c r="AO61" s="316"/>
      <c r="AP61" s="770"/>
      <c r="AQ61" s="316"/>
      <c r="AR61" s="316"/>
      <c r="AS61" s="316"/>
      <c r="AT61" s="316"/>
      <c r="AU61" s="316"/>
      <c r="AV61" s="316"/>
    </row>
    <row r="62" spans="4:49" s="25" customFormat="1" ht="15.6" customHeight="1" thickBot="1">
      <c r="D62" s="295"/>
      <c r="E62" s="295"/>
      <c r="F62" s="295"/>
      <c r="G62" s="295"/>
      <c r="H62" s="295"/>
      <c r="L62" s="777">
        <v>5</v>
      </c>
      <c r="M62" s="778"/>
      <c r="N62" s="976">
        <v>5</v>
      </c>
      <c r="O62" s="1020">
        <v>5</v>
      </c>
      <c r="P62" s="847">
        <f>VLOOKUP(N62,etat!$A$9:$N$1004,2,FALSE)</f>
        <v>0</v>
      </c>
      <c r="Q62" s="797" t="str">
        <f>VLOOKUP(N62,etat!$A$9:$N$963,7,FALSE)</f>
        <v xml:space="preserve"> 3ت ر كه </v>
      </c>
      <c r="R62" s="797" t="str">
        <f>VLOOKUP(N62,etat!$A$9:$N$1003,9,FALSE)</f>
        <v>خ</v>
      </c>
      <c r="S62" s="866" t="str">
        <f>VLOOKUP(N62,etat!$A$9:$P$905,16,FALSE)</f>
        <v>ذخ3</v>
      </c>
      <c r="T62" s="755">
        <v>45782</v>
      </c>
      <c r="U62" s="791">
        <v>2</v>
      </c>
      <c r="V62" s="784"/>
      <c r="W62" s="784"/>
      <c r="X62" s="784"/>
      <c r="Y62" s="975"/>
      <c r="Z62" s="975"/>
      <c r="AA62" s="967">
        <v>4</v>
      </c>
      <c r="AH62" s="488">
        <v>56</v>
      </c>
      <c r="AI62" s="962" t="s">
        <v>497</v>
      </c>
      <c r="AJ62" s="285"/>
      <c r="AK62" s="316"/>
      <c r="AL62" s="316"/>
      <c r="AM62" s="316"/>
      <c r="AN62" s="316"/>
      <c r="AO62" s="316"/>
      <c r="AP62" s="770"/>
      <c r="AQ62" s="316"/>
      <c r="AR62" s="316"/>
      <c r="AS62" s="316"/>
      <c r="AT62" s="316"/>
      <c r="AU62" s="316"/>
      <c r="AV62" s="316"/>
    </row>
    <row r="63" spans="4:49" s="25" customFormat="1" ht="15.6" customHeight="1" thickBot="1">
      <c r="D63" s="295"/>
      <c r="E63" s="295"/>
      <c r="F63" s="295"/>
      <c r="G63" s="295"/>
      <c r="H63" s="295"/>
      <c r="L63" s="777">
        <v>5</v>
      </c>
      <c r="M63" s="778"/>
      <c r="N63" s="976">
        <v>6</v>
      </c>
      <c r="O63" s="1020">
        <v>6</v>
      </c>
      <c r="P63" s="847">
        <f>VLOOKUP(N63,etat!$A$9:$N$1004,2,FALSE)</f>
        <v>0</v>
      </c>
      <c r="Q63" s="797" t="str">
        <f>VLOOKUP(N63,etat!$A$9:$N$963,7,FALSE)</f>
        <v xml:space="preserve"> 3ت ر كه </v>
      </c>
      <c r="R63" s="797" t="str">
        <f>VLOOKUP(N63,etat!$A$9:$N$1003,9,FALSE)</f>
        <v>خ</v>
      </c>
      <c r="S63" s="866" t="str">
        <f>VLOOKUP(N63,etat!$A$9:$P$905,16,FALSE)</f>
        <v>ذخ3</v>
      </c>
      <c r="T63" s="755">
        <v>45781</v>
      </c>
      <c r="U63" s="791">
        <v>3</v>
      </c>
      <c r="V63" s="784" t="s">
        <v>2285</v>
      </c>
      <c r="W63" s="784"/>
      <c r="X63" s="784"/>
      <c r="Y63" s="1117"/>
      <c r="Z63" s="967"/>
      <c r="AA63" s="967">
        <v>4</v>
      </c>
      <c r="AH63" s="488">
        <v>57</v>
      </c>
      <c r="AI63" s="962" t="s">
        <v>497</v>
      </c>
      <c r="AJ63" s="285"/>
      <c r="AK63" s="849"/>
      <c r="AL63" s="316"/>
      <c r="AM63" s="316"/>
      <c r="AN63" s="316"/>
      <c r="AO63" s="316"/>
      <c r="AP63" s="770"/>
      <c r="AQ63" s="316"/>
      <c r="AR63" s="316"/>
      <c r="AS63" s="316"/>
      <c r="AT63" s="316"/>
      <c r="AU63" s="316"/>
      <c r="AV63" s="316"/>
    </row>
    <row r="64" spans="4:49" s="25" customFormat="1" ht="15.6" customHeight="1" thickBot="1">
      <c r="D64" s="295"/>
      <c r="E64" s="295"/>
      <c r="F64" s="295"/>
      <c r="G64" s="295"/>
      <c r="H64" s="295"/>
      <c r="L64" s="777">
        <v>5</v>
      </c>
      <c r="M64" s="778"/>
      <c r="N64" s="976">
        <v>7</v>
      </c>
      <c r="O64" s="1020">
        <v>7</v>
      </c>
      <c r="P64" s="847">
        <f>VLOOKUP(N64,etat!$A$9:$N$1004,2,FALSE)</f>
        <v>0</v>
      </c>
      <c r="Q64" s="797" t="str">
        <f>VLOOKUP(N64,etat!$A$9:$N$963,7,FALSE)</f>
        <v xml:space="preserve"> 3ت ر كه </v>
      </c>
      <c r="R64" s="797" t="str">
        <f>VLOOKUP(N64,etat!$A$9:$N$1003,9,FALSE)</f>
        <v>خ</v>
      </c>
      <c r="S64" s="866" t="str">
        <f>VLOOKUP(N64,etat!$A$9:$P$905,16,FALSE)</f>
        <v>اخ3</v>
      </c>
      <c r="T64" s="755">
        <v>45782</v>
      </c>
      <c r="U64" s="791">
        <v>2</v>
      </c>
      <c r="V64" s="784"/>
      <c r="W64" s="784"/>
      <c r="X64" s="784"/>
      <c r="Y64" s="975"/>
      <c r="Z64" s="967"/>
      <c r="AA64" s="967">
        <v>4</v>
      </c>
      <c r="AH64" s="488">
        <v>58</v>
      </c>
      <c r="AI64" s="962" t="s">
        <v>497</v>
      </c>
      <c r="AJ64" s="285"/>
      <c r="AK64" s="316"/>
      <c r="AL64" s="316"/>
      <c r="AM64" s="316"/>
      <c r="AN64" s="316"/>
      <c r="AO64" s="316"/>
      <c r="AP64" s="770"/>
      <c r="AQ64" s="316"/>
      <c r="AR64" s="316"/>
      <c r="AS64" s="316"/>
      <c r="AT64" s="316"/>
      <c r="AU64" s="316"/>
      <c r="AV64" s="316"/>
    </row>
    <row r="65" spans="4:48" s="25" customFormat="1" ht="15.6" customHeight="1" thickBot="1">
      <c r="D65" s="295"/>
      <c r="E65" s="295"/>
      <c r="F65" s="295"/>
      <c r="G65" s="295"/>
      <c r="H65" s="295"/>
      <c r="L65" s="777">
        <v>5</v>
      </c>
      <c r="M65" s="778"/>
      <c r="N65" s="976">
        <v>8</v>
      </c>
      <c r="O65" s="1020">
        <v>8</v>
      </c>
      <c r="P65" s="847">
        <f>VLOOKUP(N65,etat!$A$9:$N$1004,2,FALSE)</f>
        <v>0</v>
      </c>
      <c r="Q65" s="797" t="str">
        <f>VLOOKUP(N65,etat!$A$9:$N$963,7,FALSE)</f>
        <v xml:space="preserve"> 3ت ر كه </v>
      </c>
      <c r="R65" s="797" t="str">
        <f>VLOOKUP(N65,etat!$A$9:$N$1003,9,FALSE)</f>
        <v>خ</v>
      </c>
      <c r="S65" s="866" t="str">
        <f>VLOOKUP(N65,etat!$A$9:$P$905,16,FALSE)</f>
        <v>ذخ3</v>
      </c>
      <c r="T65" s="755">
        <v>45782</v>
      </c>
      <c r="U65" s="791">
        <v>2</v>
      </c>
      <c r="V65" s="784"/>
      <c r="W65" s="784"/>
      <c r="X65" s="784"/>
      <c r="Y65" s="975"/>
      <c r="Z65" s="967"/>
      <c r="AA65" s="967">
        <v>4</v>
      </c>
      <c r="AH65" s="488"/>
      <c r="AI65" s="962" t="s">
        <v>497</v>
      </c>
      <c r="AJ65" s="285"/>
      <c r="AK65" s="316"/>
      <c r="AL65" s="316"/>
      <c r="AM65" s="316"/>
      <c r="AN65" s="316"/>
      <c r="AO65" s="316"/>
      <c r="AP65" s="770"/>
      <c r="AQ65" s="316"/>
      <c r="AR65" s="316"/>
      <c r="AS65" s="316"/>
      <c r="AT65" s="316"/>
      <c r="AU65" s="316"/>
      <c r="AV65" s="316"/>
    </row>
    <row r="66" spans="4:48" s="25" customFormat="1" ht="15.6" customHeight="1" thickBot="1">
      <c r="D66" s="295"/>
      <c r="E66" s="295"/>
      <c r="F66" s="295"/>
      <c r="G66" s="295"/>
      <c r="H66" s="295"/>
      <c r="L66" s="777">
        <v>5</v>
      </c>
      <c r="M66" s="778"/>
      <c r="N66" s="976">
        <v>9</v>
      </c>
      <c r="O66" s="1020">
        <v>9</v>
      </c>
      <c r="P66" s="847">
        <f>VLOOKUP(N66,etat!$A$9:$N$1004,2,FALSE)</f>
        <v>0</v>
      </c>
      <c r="Q66" s="797" t="str">
        <f>VLOOKUP(N66,etat!$A$9:$N$963,7,FALSE)</f>
        <v xml:space="preserve"> 3ت ر كه </v>
      </c>
      <c r="R66" s="797" t="str">
        <f>VLOOKUP(N66,etat!$A$9:$N$1003,9,FALSE)</f>
        <v>خ</v>
      </c>
      <c r="S66" s="866" t="str">
        <f>VLOOKUP(N66,etat!$A$9:$P$905,16,FALSE)</f>
        <v>ذخ3</v>
      </c>
      <c r="T66" s="755">
        <v>45781</v>
      </c>
      <c r="U66" s="791">
        <v>3</v>
      </c>
      <c r="V66" s="784" t="s">
        <v>2285</v>
      </c>
      <c r="W66" s="784"/>
      <c r="X66" s="784"/>
      <c r="Y66" s="975"/>
      <c r="Z66" s="975"/>
      <c r="AA66" s="967">
        <v>4</v>
      </c>
      <c r="AH66" s="488"/>
      <c r="AI66" s="962" t="s">
        <v>497</v>
      </c>
      <c r="AJ66" s="285"/>
      <c r="AK66" s="282"/>
      <c r="AL66" s="316"/>
      <c r="AM66" s="316"/>
      <c r="AN66" s="316"/>
      <c r="AO66" s="316"/>
      <c r="AP66" s="770"/>
      <c r="AQ66" s="316"/>
      <c r="AR66" s="316"/>
      <c r="AS66" s="316"/>
      <c r="AT66" s="24"/>
      <c r="AU66" s="24"/>
      <c r="AV66" s="24"/>
    </row>
    <row r="67" spans="4:48" s="25" customFormat="1" ht="15.6" customHeight="1" thickBot="1">
      <c r="D67" s="295"/>
      <c r="E67" s="295"/>
      <c r="F67" s="295"/>
      <c r="G67" s="295"/>
      <c r="H67" s="295"/>
      <c r="L67" s="777">
        <v>5</v>
      </c>
      <c r="M67" s="778"/>
      <c r="N67" s="976">
        <v>10</v>
      </c>
      <c r="O67" s="1020">
        <v>10</v>
      </c>
      <c r="P67" s="847">
        <f>VLOOKUP(N67,etat!$A$9:$N$1004,2,FALSE)</f>
        <v>0</v>
      </c>
      <c r="Q67" s="797" t="str">
        <f>VLOOKUP(N67,etat!$A$9:$N$963,7,FALSE)</f>
        <v xml:space="preserve"> 3ت ر كه </v>
      </c>
      <c r="R67" s="797" t="str">
        <f>VLOOKUP(N67,etat!$A$9:$N$1003,9,FALSE)</f>
        <v>خ</v>
      </c>
      <c r="S67" s="866" t="str">
        <f>VLOOKUP(N67,etat!$A$9:$P$905,16,FALSE)</f>
        <v>ذخ3</v>
      </c>
      <c r="T67" s="755">
        <v>45782</v>
      </c>
      <c r="U67" s="791">
        <v>2</v>
      </c>
      <c r="V67" s="784"/>
      <c r="W67" s="784"/>
      <c r="X67" s="784"/>
      <c r="Y67" s="975"/>
      <c r="Z67" s="967"/>
      <c r="AA67" s="967">
        <v>4</v>
      </c>
      <c r="AH67" s="488"/>
      <c r="AI67" s="962" t="s">
        <v>497</v>
      </c>
      <c r="AJ67" s="285"/>
      <c r="AK67" s="282"/>
      <c r="AL67" s="316"/>
      <c r="AM67" s="316"/>
      <c r="AN67" s="316"/>
      <c r="AO67" s="316"/>
      <c r="AP67" s="770"/>
      <c r="AQ67" s="316"/>
      <c r="AR67" s="316"/>
      <c r="AS67" s="316"/>
      <c r="AT67" s="24"/>
      <c r="AU67" s="24"/>
      <c r="AV67" s="24"/>
    </row>
    <row r="68" spans="4:48" s="25" customFormat="1" ht="15.6" customHeight="1" thickBot="1">
      <c r="D68" s="295"/>
      <c r="E68" s="295"/>
      <c r="F68" s="295"/>
      <c r="G68" s="295"/>
      <c r="H68" s="295"/>
      <c r="L68" s="777">
        <v>5</v>
      </c>
      <c r="M68" s="778"/>
      <c r="N68" s="976">
        <v>11</v>
      </c>
      <c r="O68" s="1020">
        <v>11</v>
      </c>
      <c r="P68" s="847">
        <f>VLOOKUP(N68,etat!$A$9:$N$1004,2,FALSE)</f>
        <v>0</v>
      </c>
      <c r="Q68" s="797" t="str">
        <f>VLOOKUP(N68,etat!$A$9:$N$963,7,FALSE)</f>
        <v xml:space="preserve"> 3ت ر كه </v>
      </c>
      <c r="R68" s="797" t="str">
        <f>VLOOKUP(N68,etat!$A$9:$N$1003,9,FALSE)</f>
        <v>خ</v>
      </c>
      <c r="S68" s="866" t="str">
        <f>VLOOKUP(N68,etat!$A$9:$P$905,16,FALSE)</f>
        <v>اخ3</v>
      </c>
      <c r="T68" s="755">
        <v>45781</v>
      </c>
      <c r="U68" s="791">
        <v>3</v>
      </c>
      <c r="V68" s="784" t="s">
        <v>2285</v>
      </c>
      <c r="W68" s="784"/>
      <c r="X68" s="784"/>
      <c r="Y68" s="975"/>
      <c r="Z68" s="967"/>
      <c r="AA68" s="967">
        <v>4</v>
      </c>
      <c r="AH68" s="488"/>
      <c r="AI68" s="962" t="s">
        <v>497</v>
      </c>
      <c r="AJ68" s="285"/>
      <c r="AK68" s="861"/>
      <c r="AL68" s="316"/>
      <c r="AM68" s="316"/>
      <c r="AN68" s="316"/>
      <c r="AO68" s="316"/>
      <c r="AP68" s="770"/>
      <c r="AQ68" s="316"/>
      <c r="AR68" s="316"/>
      <c r="AS68" s="316"/>
      <c r="AT68" s="24"/>
      <c r="AU68" s="24"/>
      <c r="AV68" s="24"/>
    </row>
    <row r="69" spans="4:48" s="25" customFormat="1" ht="15.6" customHeight="1" thickBot="1">
      <c r="D69" s="295"/>
      <c r="E69" s="295"/>
      <c r="F69" s="295"/>
      <c r="G69" s="295"/>
      <c r="H69" s="295"/>
      <c r="L69" s="777">
        <v>5</v>
      </c>
      <c r="M69" s="778"/>
      <c r="N69" s="976">
        <v>12</v>
      </c>
      <c r="O69" s="1020">
        <v>12</v>
      </c>
      <c r="P69" s="847">
        <f>VLOOKUP(N69,etat!$A$9:$N$1004,2,FALSE)</f>
        <v>0</v>
      </c>
      <c r="Q69" s="797" t="str">
        <f>VLOOKUP(N69,etat!$A$9:$N$963,7,FALSE)</f>
        <v xml:space="preserve"> 3ت ر كه </v>
      </c>
      <c r="R69" s="797" t="str">
        <f>VLOOKUP(N69,etat!$A$9:$N$1003,9,FALSE)</f>
        <v>خ</v>
      </c>
      <c r="S69" s="866" t="str">
        <f>VLOOKUP(N69,etat!$A$9:$P$905,16,FALSE)</f>
        <v>اخ3</v>
      </c>
      <c r="T69" s="755">
        <v>45781</v>
      </c>
      <c r="U69" s="791">
        <v>3</v>
      </c>
      <c r="V69" s="784" t="s">
        <v>2285</v>
      </c>
      <c r="W69" s="784"/>
      <c r="X69" s="784"/>
      <c r="Y69" s="975"/>
      <c r="Z69" s="975"/>
      <c r="AA69" s="967">
        <v>4</v>
      </c>
      <c r="AH69" s="910"/>
      <c r="AI69" s="962" t="s">
        <v>497</v>
      </c>
      <c r="AJ69" s="285"/>
      <c r="AK69" s="488"/>
      <c r="AL69" s="316"/>
      <c r="AM69" s="316"/>
      <c r="AN69" s="316"/>
      <c r="AO69" s="316"/>
      <c r="AP69" s="770"/>
      <c r="AQ69" s="316"/>
      <c r="AR69" s="316"/>
      <c r="AS69" s="316"/>
      <c r="AT69" s="24"/>
      <c r="AU69" s="24"/>
      <c r="AV69" s="24"/>
    </row>
    <row r="70" spans="4:48" s="25" customFormat="1" ht="15.6" customHeight="1">
      <c r="D70" s="295"/>
      <c r="E70" s="295"/>
      <c r="F70" s="295"/>
      <c r="G70" s="295"/>
      <c r="H70" s="295"/>
      <c r="L70" s="777">
        <v>5</v>
      </c>
      <c r="M70" s="778"/>
      <c r="N70" s="976">
        <v>13</v>
      </c>
      <c r="O70" s="1020">
        <v>13</v>
      </c>
      <c r="P70" s="847">
        <f>VLOOKUP(N70,etat!$A$9:$N$1004,2,FALSE)</f>
        <v>0</v>
      </c>
      <c r="Q70" s="797" t="str">
        <f>VLOOKUP(N70,etat!$A$9:$N$963,7,FALSE)</f>
        <v xml:space="preserve"> 3ت ر مك </v>
      </c>
      <c r="R70" s="797" t="str">
        <f>VLOOKUP(N70,etat!$A$9:$N$1003,9,FALSE)</f>
        <v>ن/د</v>
      </c>
      <c r="S70" s="866" t="str">
        <f>VLOOKUP(N70,etat!$A$9:$P$905,16,FALSE)</f>
        <v>ذن/د3</v>
      </c>
      <c r="T70" s="755">
        <v>45769</v>
      </c>
      <c r="U70" s="791">
        <v>15</v>
      </c>
      <c r="V70" s="784" t="s">
        <v>2278</v>
      </c>
      <c r="W70" s="784" t="s">
        <v>2283</v>
      </c>
      <c r="X70" s="784"/>
      <c r="Y70" s="975"/>
      <c r="Z70" s="967"/>
      <c r="AA70" s="967">
        <v>4</v>
      </c>
      <c r="AH70" s="910"/>
      <c r="AI70" s="862"/>
      <c r="AJ70" s="302"/>
      <c r="AK70" s="910"/>
      <c r="AL70" s="911"/>
      <c r="AM70" s="911"/>
      <c r="AN70" s="911"/>
      <c r="AO70" s="911"/>
      <c r="AP70" s="912"/>
      <c r="AQ70" s="911"/>
      <c r="AR70" s="911"/>
      <c r="AS70" s="911"/>
      <c r="AT70" s="26"/>
      <c r="AU70" s="26"/>
      <c r="AV70" s="26"/>
    </row>
    <row r="71" spans="4:48" s="25" customFormat="1" ht="15.6" customHeight="1">
      <c r="D71" s="295"/>
      <c r="E71" s="295"/>
      <c r="F71" s="295"/>
      <c r="G71" s="295"/>
      <c r="H71" s="295"/>
      <c r="L71" s="777">
        <v>5</v>
      </c>
      <c r="M71" s="778"/>
      <c r="N71" s="976">
        <v>14</v>
      </c>
      <c r="O71" s="1020">
        <v>14</v>
      </c>
      <c r="P71" s="847">
        <f>VLOOKUP(N71,etat!$A$9:$N$1004,2,FALSE)</f>
        <v>0</v>
      </c>
      <c r="Q71" s="797" t="str">
        <f>VLOOKUP(N71,etat!$A$9:$N$963,7,FALSE)</f>
        <v xml:space="preserve"> 3ت ر مك </v>
      </c>
      <c r="R71" s="797" t="str">
        <f>VLOOKUP(N71,etat!$A$9:$N$1003,9,FALSE)</f>
        <v>خ</v>
      </c>
      <c r="S71" s="866" t="str">
        <f>VLOOKUP(N71,etat!$A$9:$P$905,16,FALSE)</f>
        <v>ذخ3</v>
      </c>
      <c r="T71" s="755">
        <v>45781</v>
      </c>
      <c r="U71" s="791">
        <v>3</v>
      </c>
      <c r="V71" s="784" t="s">
        <v>2285</v>
      </c>
      <c r="W71" s="784"/>
      <c r="X71" s="784"/>
      <c r="Y71" s="1116"/>
      <c r="Z71" s="975"/>
      <c r="AA71" s="967">
        <v>4</v>
      </c>
      <c r="AH71" s="910"/>
      <c r="AI71" s="862"/>
      <c r="AJ71" s="302"/>
      <c r="AK71" s="910"/>
      <c r="AL71" s="911"/>
      <c r="AM71" s="911"/>
      <c r="AN71" s="911"/>
      <c r="AO71" s="911"/>
      <c r="AP71" s="912"/>
      <c r="AQ71" s="911"/>
      <c r="AR71" s="911"/>
      <c r="AS71" s="911"/>
      <c r="AT71" s="26"/>
      <c r="AU71" s="26"/>
      <c r="AV71" s="26"/>
    </row>
    <row r="72" spans="4:48" s="25" customFormat="1" ht="15.6" customHeight="1">
      <c r="D72" s="295"/>
      <c r="E72" s="295"/>
      <c r="F72" s="295"/>
      <c r="G72" s="295"/>
      <c r="H72" s="295"/>
      <c r="L72" s="777">
        <v>5</v>
      </c>
      <c r="M72" s="778"/>
      <c r="N72" s="976">
        <v>15</v>
      </c>
      <c r="O72" s="1020">
        <v>15</v>
      </c>
      <c r="P72" s="847">
        <f>VLOOKUP(N72,etat!$A$9:$N$1004,2,FALSE)</f>
        <v>0</v>
      </c>
      <c r="Q72" s="797" t="str">
        <f>VLOOKUP(N72,etat!$A$9:$N$963,7,FALSE)</f>
        <v xml:space="preserve"> 3ت ر مك </v>
      </c>
      <c r="R72" s="797" t="str">
        <f>VLOOKUP(N72,etat!$A$9:$N$1003,9,FALSE)</f>
        <v>خ</v>
      </c>
      <c r="S72" s="866" t="str">
        <f>VLOOKUP(N72,etat!$A$9:$P$905,16,FALSE)</f>
        <v>ذخ3</v>
      </c>
      <c r="T72" s="755">
        <v>45768</v>
      </c>
      <c r="U72" s="791">
        <v>16</v>
      </c>
      <c r="V72" s="784" t="s">
        <v>2275</v>
      </c>
      <c r="W72" s="784" t="s">
        <v>2283</v>
      </c>
      <c r="X72" s="784"/>
      <c r="Y72" s="1117"/>
      <c r="Z72" s="967"/>
      <c r="AA72" s="967">
        <v>4</v>
      </c>
      <c r="AH72" s="910"/>
      <c r="AI72" s="862"/>
      <c r="AJ72" s="302"/>
      <c r="AK72" s="910"/>
      <c r="AL72" s="911"/>
      <c r="AM72" s="911"/>
      <c r="AN72" s="911"/>
      <c r="AO72" s="911"/>
      <c r="AP72" s="912"/>
      <c r="AQ72" s="911"/>
      <c r="AR72" s="911"/>
      <c r="AS72" s="911"/>
      <c r="AT72" s="26"/>
      <c r="AU72" s="26"/>
      <c r="AV72" s="26"/>
    </row>
    <row r="73" spans="4:48" s="25" customFormat="1" ht="15.6" customHeight="1">
      <c r="D73" s="295"/>
      <c r="E73" s="295"/>
      <c r="F73" s="295"/>
      <c r="G73" s="295"/>
      <c r="H73" s="295"/>
      <c r="L73" s="777">
        <v>5</v>
      </c>
      <c r="M73" s="778"/>
      <c r="N73" s="976">
        <v>16</v>
      </c>
      <c r="O73" s="1020">
        <v>16</v>
      </c>
      <c r="P73" s="847">
        <f>VLOOKUP(N73,etat!$A$9:$N$1004,2,FALSE)</f>
        <v>0</v>
      </c>
      <c r="Q73" s="797" t="str">
        <f>VLOOKUP(N73,etat!$A$9:$N$963,7,FALSE)</f>
        <v xml:space="preserve"> 3ت ر مك </v>
      </c>
      <c r="R73" s="797" t="str">
        <f>VLOOKUP(N73,etat!$A$9:$N$1003,9,FALSE)</f>
        <v>خ</v>
      </c>
      <c r="S73" s="866" t="str">
        <f>VLOOKUP(N73,etat!$A$9:$P$905,16,FALSE)</f>
        <v>ذخ3</v>
      </c>
      <c r="T73" s="755">
        <v>45782</v>
      </c>
      <c r="U73" s="791">
        <v>2</v>
      </c>
      <c r="V73" s="784"/>
      <c r="W73" s="784"/>
      <c r="X73" s="784"/>
      <c r="Y73" s="975"/>
      <c r="Z73" s="975"/>
      <c r="AA73" s="967">
        <v>4</v>
      </c>
      <c r="AH73" s="910"/>
      <c r="AI73" s="862"/>
      <c r="AJ73" s="302"/>
      <c r="AK73" s="910"/>
      <c r="AL73" s="911"/>
      <c r="AM73" s="911"/>
      <c r="AN73" s="911"/>
      <c r="AO73" s="911"/>
      <c r="AP73" s="912"/>
      <c r="AQ73" s="911"/>
      <c r="AR73" s="911"/>
      <c r="AS73" s="911"/>
      <c r="AT73" s="26"/>
      <c r="AU73" s="26"/>
      <c r="AV73" s="26"/>
    </row>
    <row r="74" spans="4:48" s="25" customFormat="1" ht="15.6" customHeight="1">
      <c r="D74" s="295"/>
      <c r="E74" s="295"/>
      <c r="F74" s="295"/>
      <c r="G74" s="295"/>
      <c r="H74" s="295"/>
      <c r="L74" s="777">
        <v>5</v>
      </c>
      <c r="M74" s="778"/>
      <c r="N74" s="976">
        <v>17</v>
      </c>
      <c r="O74" s="1020">
        <v>17</v>
      </c>
      <c r="P74" s="847">
        <f>VLOOKUP(N74,etat!$A$9:$N$1004,2,FALSE)</f>
        <v>0</v>
      </c>
      <c r="Q74" s="797" t="str">
        <f>VLOOKUP(N74,etat!$A$9:$N$963,7,FALSE)</f>
        <v xml:space="preserve"> 3ت ر مك </v>
      </c>
      <c r="R74" s="797" t="str">
        <f>VLOOKUP(N74,etat!$A$9:$N$1003,9,FALSE)</f>
        <v>خ</v>
      </c>
      <c r="S74" s="866" t="str">
        <f>VLOOKUP(N74,etat!$A$9:$P$905,16,FALSE)</f>
        <v>ذخ3</v>
      </c>
      <c r="T74" s="755">
        <v>45768</v>
      </c>
      <c r="U74" s="791">
        <v>16</v>
      </c>
      <c r="V74" s="784" t="s">
        <v>2275</v>
      </c>
      <c r="W74" s="784" t="s">
        <v>2283</v>
      </c>
      <c r="X74" s="784"/>
      <c r="Y74" s="1117"/>
      <c r="Z74" s="967"/>
      <c r="AA74" s="967">
        <v>4</v>
      </c>
      <c r="AH74" s="910"/>
      <c r="AI74" s="862"/>
      <c r="AJ74" s="302"/>
      <c r="AK74" s="910"/>
      <c r="AL74" s="911"/>
      <c r="AM74" s="911"/>
      <c r="AN74" s="911"/>
      <c r="AO74" s="911"/>
      <c r="AP74" s="912"/>
      <c r="AQ74" s="911"/>
      <c r="AR74" s="911"/>
      <c r="AS74" s="911"/>
      <c r="AT74" s="26"/>
      <c r="AU74" s="26"/>
      <c r="AV74" s="26"/>
    </row>
    <row r="75" spans="4:48" s="25" customFormat="1" ht="15.6" customHeight="1">
      <c r="D75" s="295"/>
      <c r="E75" s="295"/>
      <c r="F75" s="295"/>
      <c r="G75" s="295"/>
      <c r="H75" s="295"/>
      <c r="L75" s="777">
        <v>5</v>
      </c>
      <c r="M75" s="778"/>
      <c r="N75" s="976">
        <v>18</v>
      </c>
      <c r="O75" s="1020">
        <v>18</v>
      </c>
      <c r="P75" s="847">
        <f>VLOOKUP(N75,etat!$A$9:$N$1004,2,FALSE)</f>
        <v>0</v>
      </c>
      <c r="Q75" s="797" t="str">
        <f>VLOOKUP(N75,etat!$A$9:$N$963,7,FALSE)</f>
        <v xml:space="preserve"> 3ت ر مك </v>
      </c>
      <c r="R75" s="797" t="str">
        <f>VLOOKUP(N75,etat!$A$9:$N$1003,9,FALSE)</f>
        <v>خ</v>
      </c>
      <c r="S75" s="866" t="str">
        <f>VLOOKUP(N75,etat!$A$9:$P$905,16,FALSE)</f>
        <v>ذخ3</v>
      </c>
      <c r="T75" s="755">
        <v>45768</v>
      </c>
      <c r="U75" s="791">
        <v>16</v>
      </c>
      <c r="V75" s="784" t="s">
        <v>2275</v>
      </c>
      <c r="W75" s="784" t="s">
        <v>2283</v>
      </c>
      <c r="X75" s="784"/>
      <c r="Y75" s="1117"/>
      <c r="Z75" s="967"/>
      <c r="AA75" s="967">
        <v>4</v>
      </c>
      <c r="AH75" s="910"/>
      <c r="AI75" s="862"/>
      <c r="AJ75" s="302"/>
      <c r="AK75" s="910"/>
      <c r="AL75" s="911"/>
      <c r="AM75" s="911"/>
      <c r="AN75" s="911"/>
      <c r="AO75" s="911"/>
      <c r="AP75" s="912"/>
      <c r="AQ75" s="911"/>
      <c r="AR75" s="911"/>
      <c r="AS75" s="911"/>
      <c r="AT75" s="26"/>
      <c r="AU75" s="26"/>
      <c r="AV75" s="26"/>
    </row>
    <row r="76" spans="4:48" s="25" customFormat="1" ht="15.6" customHeight="1">
      <c r="D76" s="295"/>
      <c r="E76" s="295"/>
      <c r="F76" s="295"/>
      <c r="G76" s="295"/>
      <c r="H76" s="295"/>
      <c r="L76" s="777">
        <v>5</v>
      </c>
      <c r="M76" s="778"/>
      <c r="N76" s="976">
        <v>19</v>
      </c>
      <c r="O76" s="1020">
        <v>19</v>
      </c>
      <c r="P76" s="847">
        <f>VLOOKUP(N76,etat!$A$9:$N$1004,2,FALSE)</f>
        <v>0</v>
      </c>
      <c r="Q76" s="797" t="str">
        <f>VLOOKUP(N76,etat!$A$9:$N$963,7,FALSE)</f>
        <v xml:space="preserve"> 3ت ر مك </v>
      </c>
      <c r="R76" s="797" t="str">
        <f>VLOOKUP(N76,etat!$A$9:$N$1003,9,FALSE)</f>
        <v>خ</v>
      </c>
      <c r="S76" s="866" t="str">
        <f>VLOOKUP(N76,etat!$A$9:$P$905,16,FALSE)</f>
        <v>ذخ3</v>
      </c>
      <c r="T76" s="755">
        <v>45769</v>
      </c>
      <c r="U76" s="791">
        <v>15</v>
      </c>
      <c r="V76" s="784" t="s">
        <v>2278</v>
      </c>
      <c r="W76" s="784" t="s">
        <v>2283</v>
      </c>
      <c r="X76" s="784"/>
      <c r="Y76" s="975"/>
      <c r="Z76" s="967"/>
      <c r="AA76" s="967">
        <v>4</v>
      </c>
      <c r="AH76" s="910"/>
      <c r="AI76" s="862"/>
      <c r="AJ76" s="302"/>
      <c r="AK76" s="910"/>
      <c r="AL76" s="911"/>
      <c r="AM76" s="911"/>
      <c r="AN76" s="911"/>
      <c r="AO76" s="911"/>
      <c r="AP76" s="912"/>
      <c r="AQ76" s="911"/>
      <c r="AR76" s="911"/>
      <c r="AS76" s="911"/>
      <c r="AT76" s="26"/>
      <c r="AU76" s="26"/>
      <c r="AV76" s="26"/>
    </row>
    <row r="77" spans="4:48" s="25" customFormat="1" ht="15.6" customHeight="1">
      <c r="D77" s="295"/>
      <c r="E77" s="295"/>
      <c r="F77" s="295"/>
      <c r="G77" s="295"/>
      <c r="H77" s="295"/>
      <c r="L77" s="777">
        <v>5</v>
      </c>
      <c r="M77" s="778"/>
      <c r="N77" s="976">
        <v>20</v>
      </c>
      <c r="O77" s="1020">
        <v>20</v>
      </c>
      <c r="P77" s="847">
        <f>VLOOKUP(N77,etat!$A$9:$N$1004,2,FALSE)</f>
        <v>0</v>
      </c>
      <c r="Q77" s="797" t="str">
        <f>VLOOKUP(N77,etat!$A$9:$N$963,7,FALSE)</f>
        <v xml:space="preserve"> 3ت ر مك </v>
      </c>
      <c r="R77" s="797" t="str">
        <f>VLOOKUP(N77,etat!$A$9:$N$1003,9,FALSE)</f>
        <v>خ</v>
      </c>
      <c r="S77" s="866" t="str">
        <f>VLOOKUP(N77,etat!$A$9:$P$905,16,FALSE)</f>
        <v>ذخ3</v>
      </c>
      <c r="T77" s="755">
        <v>45775</v>
      </c>
      <c r="U77" s="791">
        <v>9</v>
      </c>
      <c r="V77" s="784" t="s">
        <v>2282</v>
      </c>
      <c r="W77" s="784"/>
      <c r="X77" s="784"/>
      <c r="Y77" s="975"/>
      <c r="Z77" s="975"/>
      <c r="AA77" s="967">
        <v>4</v>
      </c>
      <c r="AH77" s="910"/>
      <c r="AI77" s="862"/>
      <c r="AJ77" s="302"/>
      <c r="AK77" s="910"/>
      <c r="AL77" s="911"/>
      <c r="AM77" s="911"/>
      <c r="AN77" s="911"/>
      <c r="AO77" s="911"/>
      <c r="AP77" s="912"/>
      <c r="AQ77" s="911"/>
      <c r="AR77" s="911"/>
      <c r="AS77" s="911"/>
      <c r="AT77" s="26"/>
      <c r="AU77" s="26"/>
      <c r="AV77" s="26"/>
    </row>
    <row r="78" spans="4:48" s="25" customFormat="1" ht="15.6" customHeight="1">
      <c r="D78" s="295"/>
      <c r="E78" s="295"/>
      <c r="F78" s="295"/>
      <c r="G78" s="295"/>
      <c r="H78" s="295"/>
      <c r="L78" s="777">
        <v>5</v>
      </c>
      <c r="M78" s="778"/>
      <c r="N78" s="976">
        <v>21</v>
      </c>
      <c r="O78" s="1020">
        <v>21</v>
      </c>
      <c r="P78" s="847">
        <f>VLOOKUP(N78,etat!$A$9:$N$1004,2,FALSE)</f>
        <v>0</v>
      </c>
      <c r="Q78" s="797" t="str">
        <f>VLOOKUP(N78,etat!$A$9:$N$963,7,FALSE)</f>
        <v xml:space="preserve"> 3ت ر طرا </v>
      </c>
      <c r="R78" s="797" t="str">
        <f>VLOOKUP(N78,etat!$A$9:$N$1003,9,FALSE)</f>
        <v>ن/د</v>
      </c>
      <c r="S78" s="866" t="str">
        <f>VLOOKUP(N78,etat!$A$9:$P$905,16,FALSE)</f>
        <v>ذن/د3</v>
      </c>
      <c r="T78" s="755">
        <v>45775</v>
      </c>
      <c r="U78" s="791">
        <v>9</v>
      </c>
      <c r="V78" s="784" t="s">
        <v>2282</v>
      </c>
      <c r="W78" s="784"/>
      <c r="X78" s="784"/>
      <c r="Y78" s="1118"/>
      <c r="Z78" s="975"/>
      <c r="AA78" s="967">
        <v>4</v>
      </c>
      <c r="AH78" s="910"/>
      <c r="AI78" s="862"/>
      <c r="AJ78" s="302"/>
      <c r="AK78" s="910"/>
      <c r="AL78" s="911"/>
      <c r="AM78" s="911"/>
      <c r="AN78" s="911"/>
      <c r="AO78" s="911"/>
      <c r="AP78" s="912"/>
      <c r="AQ78" s="911"/>
      <c r="AR78" s="911"/>
      <c r="AS78" s="911"/>
      <c r="AT78" s="26"/>
      <c r="AU78" s="26"/>
      <c r="AV78" s="26"/>
    </row>
    <row r="79" spans="4:48" s="25" customFormat="1" ht="15.6" customHeight="1">
      <c r="D79" s="295"/>
      <c r="E79" s="295"/>
      <c r="F79" s="295"/>
      <c r="G79" s="295"/>
      <c r="H79" s="295"/>
      <c r="L79" s="777">
        <v>5</v>
      </c>
      <c r="M79" s="778"/>
      <c r="N79" s="976">
        <v>22</v>
      </c>
      <c r="O79" s="1020">
        <v>22</v>
      </c>
      <c r="P79" s="847">
        <f>VLOOKUP(N79,etat!$A$9:$N$1004,2,FALSE)</f>
        <v>0</v>
      </c>
      <c r="Q79" s="797" t="str">
        <f>VLOOKUP(N79,etat!$A$9:$N$963,7,FALSE)</f>
        <v xml:space="preserve"> 3ت ر طرا </v>
      </c>
      <c r="R79" s="797" t="str">
        <f>VLOOKUP(N79,etat!$A$9:$N$1003,9,FALSE)</f>
        <v>خ</v>
      </c>
      <c r="S79" s="866" t="str">
        <f>VLOOKUP(N79,etat!$A$9:$P$905,16,FALSE)</f>
        <v>اخ3</v>
      </c>
      <c r="T79" s="755">
        <v>45781</v>
      </c>
      <c r="U79" s="791">
        <v>3</v>
      </c>
      <c r="V79" s="784" t="s">
        <v>2285</v>
      </c>
      <c r="W79" s="784"/>
      <c r="X79" s="784"/>
      <c r="Y79" s="1118"/>
      <c r="Z79" s="975"/>
      <c r="AA79" s="967">
        <v>4</v>
      </c>
      <c r="AH79" s="910"/>
      <c r="AI79" s="862"/>
      <c r="AJ79" s="302"/>
      <c r="AK79" s="910"/>
      <c r="AL79" s="911"/>
      <c r="AM79" s="911"/>
      <c r="AN79" s="911"/>
      <c r="AO79" s="911"/>
      <c r="AP79" s="912"/>
      <c r="AQ79" s="911"/>
      <c r="AR79" s="911"/>
      <c r="AS79" s="911"/>
      <c r="AT79" s="26"/>
      <c r="AU79" s="26"/>
      <c r="AV79" s="26"/>
    </row>
    <row r="80" spans="4:48" s="25" customFormat="1" ht="15.6" customHeight="1">
      <c r="D80" s="295"/>
      <c r="E80" s="295"/>
      <c r="F80" s="295"/>
      <c r="G80" s="295"/>
      <c r="H80" s="295"/>
      <c r="L80" s="777">
        <v>5</v>
      </c>
      <c r="M80" s="778"/>
      <c r="N80" s="976">
        <v>23</v>
      </c>
      <c r="O80" s="1020">
        <v>23</v>
      </c>
      <c r="P80" s="847">
        <f>VLOOKUP(N80,etat!$A$9:$N$1004,2,FALSE)</f>
        <v>0</v>
      </c>
      <c r="Q80" s="797" t="str">
        <f>VLOOKUP(N80,etat!$A$9:$N$963,7,FALSE)</f>
        <v xml:space="preserve"> 3ت ر طرا </v>
      </c>
      <c r="R80" s="797" t="str">
        <f>VLOOKUP(N80,etat!$A$9:$N$1003,9,FALSE)</f>
        <v>خ</v>
      </c>
      <c r="S80" s="866" t="str">
        <f>VLOOKUP(N80,etat!$A$9:$P$905,16,FALSE)</f>
        <v>اخ3</v>
      </c>
      <c r="T80" s="755">
        <v>45768</v>
      </c>
      <c r="U80" s="791">
        <v>16</v>
      </c>
      <c r="V80" s="784" t="s">
        <v>2275</v>
      </c>
      <c r="W80" s="784" t="s">
        <v>2283</v>
      </c>
      <c r="X80" s="784"/>
      <c r="Y80" s="1118"/>
      <c r="Z80" s="975"/>
      <c r="AA80" s="967">
        <v>4</v>
      </c>
      <c r="AH80" s="910"/>
      <c r="AI80" s="862"/>
      <c r="AJ80" s="302"/>
      <c r="AK80" s="910"/>
      <c r="AL80" s="911"/>
      <c r="AM80" s="911"/>
      <c r="AN80" s="911"/>
      <c r="AO80" s="911"/>
      <c r="AP80" s="912"/>
      <c r="AQ80" s="911"/>
      <c r="AR80" s="911"/>
      <c r="AS80" s="911"/>
      <c r="AT80" s="26"/>
      <c r="AU80" s="26"/>
      <c r="AV80" s="26"/>
    </row>
    <row r="81" spans="4:48" s="25" customFormat="1" ht="15.6" customHeight="1">
      <c r="D81" s="295"/>
      <c r="E81" s="295"/>
      <c r="F81" s="295"/>
      <c r="G81" s="295"/>
      <c r="H81" s="295"/>
      <c r="L81" s="777">
        <v>5</v>
      </c>
      <c r="M81" s="778"/>
      <c r="N81" s="976">
        <v>24</v>
      </c>
      <c r="O81" s="1020">
        <v>24</v>
      </c>
      <c r="P81" s="847">
        <f>VLOOKUP(N81,etat!$A$9:$N$1004,2,FALSE)</f>
        <v>0</v>
      </c>
      <c r="Q81" s="797" t="str">
        <f>VLOOKUP(N81,etat!$A$9:$N$963,7,FALSE)</f>
        <v xml:space="preserve"> 3ت ر طرا </v>
      </c>
      <c r="R81" s="797" t="str">
        <f>VLOOKUP(N81,etat!$A$9:$N$1003,9,FALSE)</f>
        <v>خ</v>
      </c>
      <c r="S81" s="866" t="str">
        <f>VLOOKUP(N81,etat!$A$9:$P$905,16,FALSE)</f>
        <v>اخ3</v>
      </c>
      <c r="T81" s="755">
        <v>45782</v>
      </c>
      <c r="U81" s="791">
        <v>2</v>
      </c>
      <c r="V81" s="784"/>
      <c r="W81" s="784"/>
      <c r="X81" s="784"/>
      <c r="Y81" s="975"/>
      <c r="Z81" s="967"/>
      <c r="AA81" s="967">
        <v>4</v>
      </c>
      <c r="AH81" s="910"/>
      <c r="AI81" s="862"/>
      <c r="AJ81" s="302"/>
      <c r="AK81" s="910"/>
      <c r="AL81" s="911"/>
      <c r="AM81" s="911"/>
      <c r="AN81" s="911"/>
      <c r="AO81" s="911"/>
      <c r="AP81" s="912"/>
      <c r="AQ81" s="911"/>
      <c r="AR81" s="911"/>
      <c r="AS81" s="911"/>
      <c r="AT81" s="26"/>
      <c r="AU81" s="26"/>
      <c r="AV81" s="26"/>
    </row>
    <row r="82" spans="4:48" s="25" customFormat="1" ht="15.6" customHeight="1">
      <c r="D82" s="295"/>
      <c r="E82" s="295"/>
      <c r="F82" s="295"/>
      <c r="G82" s="295"/>
      <c r="H82" s="295"/>
      <c r="L82" s="777">
        <v>5</v>
      </c>
      <c r="M82" s="778"/>
      <c r="N82" s="976">
        <v>25</v>
      </c>
      <c r="O82" s="1020">
        <v>25</v>
      </c>
      <c r="P82" s="847">
        <f>VLOOKUP(N82,etat!$A$9:$N$1004,2,FALSE)</f>
        <v>0</v>
      </c>
      <c r="Q82" s="797" t="str">
        <f>VLOOKUP(N82,etat!$A$9:$N$963,7,FALSE)</f>
        <v xml:space="preserve"> 3ت ر طرا </v>
      </c>
      <c r="R82" s="797" t="str">
        <f>VLOOKUP(N82,etat!$A$9:$N$1003,9,FALSE)</f>
        <v>خ</v>
      </c>
      <c r="S82" s="866" t="str">
        <f>VLOOKUP(N82,etat!$A$9:$P$905,16,FALSE)</f>
        <v>ذخ3</v>
      </c>
      <c r="T82" s="755">
        <v>45781</v>
      </c>
      <c r="U82" s="791">
        <v>3</v>
      </c>
      <c r="V82" s="784" t="s">
        <v>2285</v>
      </c>
      <c r="W82" s="784"/>
      <c r="X82" s="784"/>
      <c r="Y82" s="975"/>
      <c r="Z82" s="967"/>
      <c r="AA82" s="967">
        <v>4</v>
      </c>
      <c r="AH82" s="910"/>
      <c r="AI82" s="862"/>
      <c r="AJ82" s="302"/>
      <c r="AK82" s="910"/>
      <c r="AL82" s="911"/>
      <c r="AM82" s="911"/>
      <c r="AN82" s="911"/>
      <c r="AO82" s="911"/>
      <c r="AP82" s="912"/>
      <c r="AQ82" s="911"/>
      <c r="AR82" s="911"/>
      <c r="AS82" s="911"/>
      <c r="AT82" s="26"/>
      <c r="AU82" s="26"/>
      <c r="AV82" s="26"/>
    </row>
    <row r="83" spans="4:48" s="25" customFormat="1" ht="15.6" customHeight="1">
      <c r="D83" s="295"/>
      <c r="E83" s="295"/>
      <c r="F83" s="295"/>
      <c r="G83" s="295"/>
      <c r="H83" s="295"/>
      <c r="L83" s="777">
        <v>5</v>
      </c>
      <c r="M83" s="778"/>
      <c r="N83" s="976">
        <v>27</v>
      </c>
      <c r="O83" s="1020">
        <v>26</v>
      </c>
      <c r="P83" s="847">
        <f>VLOOKUP(N83,etat!$A$9:$N$1004,2,FALSE)</f>
        <v>0</v>
      </c>
      <c r="Q83" s="797" t="str">
        <f>VLOOKUP(N83,etat!$A$9:$N$963,7,FALSE)</f>
        <v xml:space="preserve"> 3ت ر طرا </v>
      </c>
      <c r="R83" s="797" t="str">
        <f>VLOOKUP(N83,etat!$A$9:$N$1003,9,FALSE)</f>
        <v>خ</v>
      </c>
      <c r="S83" s="866" t="str">
        <f>VLOOKUP(N83,etat!$A$9:$P$905,16,FALSE)</f>
        <v>ذخ3</v>
      </c>
      <c r="T83" s="755">
        <v>45781</v>
      </c>
      <c r="U83" s="791">
        <v>3</v>
      </c>
      <c r="V83" s="784" t="s">
        <v>2285</v>
      </c>
      <c r="W83" s="784"/>
      <c r="X83" s="784"/>
      <c r="Y83" s="975"/>
      <c r="Z83" s="975"/>
      <c r="AA83" s="967">
        <v>4</v>
      </c>
      <c r="AH83" s="910"/>
      <c r="AI83" s="862"/>
      <c r="AJ83" s="302"/>
      <c r="AK83" s="910"/>
      <c r="AL83" s="911"/>
      <c r="AM83" s="911"/>
      <c r="AN83" s="911"/>
      <c r="AO83" s="911"/>
      <c r="AP83" s="912"/>
      <c r="AQ83" s="911"/>
      <c r="AR83" s="911"/>
      <c r="AS83" s="911"/>
      <c r="AT83" s="26"/>
      <c r="AU83" s="26"/>
      <c r="AV83" s="26"/>
    </row>
    <row r="84" spans="4:48" s="25" customFormat="1" ht="15.6" customHeight="1">
      <c r="D84" s="295"/>
      <c r="E84" s="295"/>
      <c r="F84" s="295"/>
      <c r="G84" s="295"/>
      <c r="H84" s="295"/>
      <c r="L84" s="777">
        <v>5</v>
      </c>
      <c r="M84" s="778"/>
      <c r="N84" s="976">
        <v>29</v>
      </c>
      <c r="O84" s="1020">
        <v>27</v>
      </c>
      <c r="P84" s="847">
        <f>VLOOKUP(N84,etat!$A$9:$N$1004,2,FALSE)</f>
        <v>0</v>
      </c>
      <c r="Q84" s="797" t="str">
        <f>VLOOKUP(N84,etat!$A$9:$N$963,7,FALSE)</f>
        <v>3ت ا ق1</v>
      </c>
      <c r="R84" s="797" t="str">
        <f>VLOOKUP(N84,etat!$A$9:$N$1003,9,FALSE)</f>
        <v>ن/د</v>
      </c>
      <c r="S84" s="866" t="str">
        <f>VLOOKUP(N84,etat!$A$9:$P$905,16,FALSE)</f>
        <v>ذخ3</v>
      </c>
      <c r="T84" s="755">
        <v>45761</v>
      </c>
      <c r="U84" s="791">
        <v>23</v>
      </c>
      <c r="V84" s="784" t="s">
        <v>2267</v>
      </c>
      <c r="W84" s="784" t="s">
        <v>2275</v>
      </c>
      <c r="X84" s="784" t="s">
        <v>2283</v>
      </c>
      <c r="Y84" s="975"/>
      <c r="Z84" s="975" t="str">
        <f>VLOOKUP(L84,[2]اس!$S$3:$X$31,3,FALSE)</f>
        <v>.</v>
      </c>
      <c r="AA84" s="967">
        <v>4</v>
      </c>
      <c r="AH84" s="910"/>
      <c r="AI84" s="862"/>
      <c r="AJ84" s="302"/>
      <c r="AK84" s="910"/>
      <c r="AL84" s="911"/>
      <c r="AM84" s="911"/>
      <c r="AN84" s="911"/>
      <c r="AO84" s="911"/>
      <c r="AP84" s="912"/>
      <c r="AQ84" s="911"/>
      <c r="AR84" s="911"/>
      <c r="AS84" s="911"/>
      <c r="AT84" s="26"/>
      <c r="AU84" s="26"/>
      <c r="AV84" s="26"/>
    </row>
    <row r="85" spans="4:48" s="25" customFormat="1" ht="15.6" customHeight="1">
      <c r="D85" s="295"/>
      <c r="E85" s="295"/>
      <c r="F85" s="295"/>
      <c r="G85" s="295"/>
      <c r="H85" s="295"/>
      <c r="L85" s="777">
        <v>5</v>
      </c>
      <c r="M85" s="778"/>
      <c r="N85" s="976">
        <v>30</v>
      </c>
      <c r="O85" s="1020">
        <v>28</v>
      </c>
      <c r="P85" s="847">
        <f>VLOOKUP(N85,etat!$A$9:$N$1004,2,FALSE)</f>
        <v>0</v>
      </c>
      <c r="Q85" s="797" t="str">
        <f>VLOOKUP(N85,etat!$A$9:$N$963,7,FALSE)</f>
        <v>3ت ا ق1</v>
      </c>
      <c r="R85" s="797" t="str">
        <f>VLOOKUP(N85,etat!$A$9:$N$1003,9,FALSE)</f>
        <v>ن/د</v>
      </c>
      <c r="S85" s="866" t="str">
        <f>VLOOKUP(N85,etat!$A$9:$P$905,16,FALSE)</f>
        <v>اخ3</v>
      </c>
      <c r="T85" s="755">
        <v>45776</v>
      </c>
      <c r="U85" s="791">
        <v>8</v>
      </c>
      <c r="V85" s="784" t="s">
        <v>2283</v>
      </c>
      <c r="W85" s="784"/>
      <c r="X85" s="784"/>
      <c r="Y85" s="975"/>
      <c r="Z85" s="967"/>
      <c r="AA85" s="967">
        <v>4</v>
      </c>
      <c r="AH85" s="910"/>
      <c r="AI85" s="862"/>
      <c r="AJ85" s="302"/>
      <c r="AK85" s="910"/>
      <c r="AL85" s="911"/>
      <c r="AM85" s="911"/>
      <c r="AN85" s="911"/>
      <c r="AO85" s="911"/>
      <c r="AP85" s="912"/>
      <c r="AQ85" s="911"/>
      <c r="AR85" s="911"/>
      <c r="AS85" s="911"/>
      <c r="AT85" s="26"/>
      <c r="AU85" s="26"/>
      <c r="AV85" s="26"/>
    </row>
    <row r="86" spans="4:48" s="25" customFormat="1" ht="15.6" customHeight="1">
      <c r="D86" s="295"/>
      <c r="E86" s="295"/>
      <c r="F86" s="295"/>
      <c r="G86" s="295"/>
      <c r="H86" s="295"/>
      <c r="L86" s="777">
        <v>5</v>
      </c>
      <c r="M86" s="778"/>
      <c r="N86" s="976">
        <v>31</v>
      </c>
      <c r="O86" s="1020">
        <v>29</v>
      </c>
      <c r="P86" s="847">
        <f>VLOOKUP(N86,etat!$A$9:$N$1004,2,FALSE)</f>
        <v>0</v>
      </c>
      <c r="Q86" s="797" t="str">
        <f>VLOOKUP(N86,etat!$A$9:$N$963,7,FALSE)</f>
        <v>3ت ا ق1</v>
      </c>
      <c r="R86" s="797" t="str">
        <f>VLOOKUP(N86,etat!$A$9:$N$1003,9,FALSE)</f>
        <v>خ</v>
      </c>
      <c r="S86" s="866" t="str">
        <f>VLOOKUP(N86,etat!$A$9:$P$905,16,FALSE)</f>
        <v>اخ3</v>
      </c>
      <c r="T86" s="755">
        <v>45769</v>
      </c>
      <c r="U86" s="791">
        <v>15</v>
      </c>
      <c r="V86" s="784" t="s">
        <v>2278</v>
      </c>
      <c r="W86" s="784" t="s">
        <v>2283</v>
      </c>
      <c r="X86" s="784"/>
      <c r="Y86" s="975"/>
      <c r="Z86" s="975"/>
      <c r="AA86" s="967">
        <v>4</v>
      </c>
      <c r="AH86" s="910"/>
      <c r="AI86" s="862"/>
      <c r="AJ86" s="302"/>
      <c r="AK86" s="910"/>
      <c r="AL86" s="911"/>
      <c r="AM86" s="911"/>
      <c r="AN86" s="911"/>
      <c r="AO86" s="911"/>
      <c r="AP86" s="912"/>
      <c r="AQ86" s="911"/>
      <c r="AR86" s="911"/>
      <c r="AS86" s="911"/>
      <c r="AT86" s="26"/>
      <c r="AU86" s="26"/>
      <c r="AV86" s="26"/>
    </row>
    <row r="87" spans="4:48" s="25" customFormat="1" ht="15.6" customHeight="1">
      <c r="D87" s="295"/>
      <c r="E87" s="295"/>
      <c r="F87" s="295"/>
      <c r="G87" s="295"/>
      <c r="H87" s="295"/>
      <c r="L87" s="777">
        <v>5</v>
      </c>
      <c r="M87" s="778"/>
      <c r="N87" s="976">
        <v>32</v>
      </c>
      <c r="O87" s="1020">
        <v>30</v>
      </c>
      <c r="P87" s="847">
        <f>VLOOKUP(N87,etat!$A$9:$N$1004,2,FALSE)</f>
        <v>0</v>
      </c>
      <c r="Q87" s="797" t="str">
        <f>VLOOKUP(N87,etat!$A$9:$N$963,7,FALSE)</f>
        <v>3ت ا ق1</v>
      </c>
      <c r="R87" s="797" t="str">
        <f>VLOOKUP(N87,etat!$A$9:$N$1003,9,FALSE)</f>
        <v>خ</v>
      </c>
      <c r="S87" s="866" t="str">
        <f>VLOOKUP(N87,etat!$A$9:$P$905,16,FALSE)</f>
        <v>اخ3</v>
      </c>
      <c r="T87" s="755">
        <v>45769</v>
      </c>
      <c r="U87" s="791">
        <v>15</v>
      </c>
      <c r="V87" s="784" t="s">
        <v>2278</v>
      </c>
      <c r="W87" s="784" t="s">
        <v>2283</v>
      </c>
      <c r="X87" s="784"/>
      <c r="Y87" s="975"/>
      <c r="Z87" s="975"/>
      <c r="AA87" s="967">
        <v>4</v>
      </c>
      <c r="AH87" s="910"/>
      <c r="AI87" s="862"/>
      <c r="AJ87" s="302"/>
      <c r="AK87" s="910"/>
      <c r="AL87" s="911"/>
      <c r="AM87" s="911"/>
      <c r="AN87" s="911"/>
      <c r="AO87" s="911"/>
      <c r="AP87" s="912"/>
      <c r="AQ87" s="911"/>
      <c r="AR87" s="911"/>
      <c r="AS87" s="911"/>
      <c r="AT87" s="26"/>
      <c r="AU87" s="26"/>
      <c r="AV87" s="26"/>
    </row>
    <row r="88" spans="4:48" s="25" customFormat="1" ht="15.6" customHeight="1">
      <c r="D88" s="295"/>
      <c r="E88" s="295"/>
      <c r="F88" s="295"/>
      <c r="G88" s="295"/>
      <c r="H88" s="295"/>
      <c r="L88" s="777">
        <v>5</v>
      </c>
      <c r="M88" s="778"/>
      <c r="N88" s="976">
        <v>33</v>
      </c>
      <c r="O88" s="1020">
        <v>31</v>
      </c>
      <c r="P88" s="847">
        <f>VLOOKUP(N88,etat!$A$9:$N$1004,2,FALSE)</f>
        <v>0</v>
      </c>
      <c r="Q88" s="797" t="str">
        <f>VLOOKUP(N88,etat!$A$9:$N$963,7,FALSE)</f>
        <v>3ت ا ق1</v>
      </c>
      <c r="R88" s="797" t="str">
        <f>VLOOKUP(N88,etat!$A$9:$N$1003,9,FALSE)</f>
        <v>خ</v>
      </c>
      <c r="S88" s="866" t="str">
        <f>VLOOKUP(N88,etat!$A$9:$P$905,16,FALSE)</f>
        <v>اخ3</v>
      </c>
      <c r="T88" s="755">
        <v>45781</v>
      </c>
      <c r="U88" s="791">
        <v>3</v>
      </c>
      <c r="V88" s="784" t="s">
        <v>2285</v>
      </c>
      <c r="W88" s="784"/>
      <c r="X88" s="784"/>
      <c r="Y88" s="975"/>
      <c r="Z88" s="967"/>
      <c r="AA88" s="967">
        <v>4</v>
      </c>
      <c r="AH88" s="910"/>
      <c r="AI88" s="862"/>
      <c r="AJ88" s="302"/>
      <c r="AK88" s="910"/>
      <c r="AL88" s="911"/>
      <c r="AM88" s="911"/>
      <c r="AN88" s="911"/>
      <c r="AO88" s="911"/>
      <c r="AP88" s="912"/>
      <c r="AQ88" s="911"/>
      <c r="AR88" s="911"/>
      <c r="AS88" s="911"/>
      <c r="AT88" s="26"/>
      <c r="AU88" s="26"/>
      <c r="AV88" s="26"/>
    </row>
    <row r="89" spans="4:48" s="25" customFormat="1" ht="15.6" customHeight="1">
      <c r="D89" s="295"/>
      <c r="E89" s="295"/>
      <c r="F89" s="295"/>
      <c r="G89" s="295"/>
      <c r="H89" s="295"/>
      <c r="L89" s="777">
        <v>5</v>
      </c>
      <c r="M89" s="778"/>
      <c r="N89" s="976">
        <v>34</v>
      </c>
      <c r="O89" s="1020">
        <v>32</v>
      </c>
      <c r="P89" s="847">
        <f>VLOOKUP(N89,etat!$A$9:$N$1004,2,FALSE)</f>
        <v>0</v>
      </c>
      <c r="Q89" s="797" t="str">
        <f>VLOOKUP(N89,etat!$A$9:$N$963,7,FALSE)</f>
        <v>3ت ا ق1</v>
      </c>
      <c r="R89" s="797" t="str">
        <f>VLOOKUP(N89,etat!$A$9:$N$1003,9,FALSE)</f>
        <v>خ</v>
      </c>
      <c r="S89" s="866" t="str">
        <f>VLOOKUP(N89,etat!$A$9:$P$905,16,FALSE)</f>
        <v>ذخ3</v>
      </c>
      <c r="T89" s="755">
        <v>45774</v>
      </c>
      <c r="U89" s="791">
        <v>10</v>
      </c>
      <c r="V89" s="784" t="s">
        <v>2281</v>
      </c>
      <c r="W89" s="784" t="s">
        <v>2285</v>
      </c>
      <c r="X89" s="784"/>
      <c r="Y89" s="1117"/>
      <c r="Z89" s="975" t="str">
        <f>VLOOKUP(L89,[2]اس!$S$3:$X$31,3,FALSE)</f>
        <v>.</v>
      </c>
      <c r="AA89" s="967">
        <v>4</v>
      </c>
      <c r="AH89" s="910"/>
      <c r="AI89" s="862"/>
      <c r="AJ89" s="302"/>
      <c r="AK89" s="910"/>
      <c r="AL89" s="911"/>
      <c r="AM89" s="911"/>
      <c r="AN89" s="911"/>
      <c r="AO89" s="911"/>
      <c r="AP89" s="912"/>
      <c r="AQ89" s="911"/>
      <c r="AR89" s="911"/>
      <c r="AS89" s="911"/>
      <c r="AT89" s="26"/>
      <c r="AU89" s="26"/>
      <c r="AV89" s="26"/>
    </row>
    <row r="90" spans="4:48" s="25" customFormat="1" ht="15.6" customHeight="1">
      <c r="D90" s="295"/>
      <c r="E90" s="295"/>
      <c r="F90" s="295"/>
      <c r="G90" s="295"/>
      <c r="H90" s="295"/>
      <c r="L90" s="777">
        <v>5</v>
      </c>
      <c r="M90" s="778"/>
      <c r="N90" s="976">
        <v>35</v>
      </c>
      <c r="O90" s="1020">
        <v>33</v>
      </c>
      <c r="P90" s="847">
        <f>VLOOKUP(N90,etat!$A$9:$N$1004,2,FALSE)</f>
        <v>0</v>
      </c>
      <c r="Q90" s="797" t="str">
        <f>VLOOKUP(N90,etat!$A$9:$N$963,7,FALSE)</f>
        <v>3ت ا ق1</v>
      </c>
      <c r="R90" s="797" t="str">
        <f>VLOOKUP(N90,etat!$A$9:$N$1003,9,FALSE)</f>
        <v>خ</v>
      </c>
      <c r="S90" s="866" t="str">
        <f>VLOOKUP(N90,etat!$A$9:$P$905,16,FALSE)</f>
        <v>ذخ3</v>
      </c>
      <c r="T90" s="755">
        <v>45754</v>
      </c>
      <c r="U90" s="791">
        <v>30</v>
      </c>
      <c r="V90" s="784" t="s">
        <v>2264</v>
      </c>
      <c r="W90" s="784" t="s">
        <v>2267</v>
      </c>
      <c r="X90" s="784" t="s">
        <v>2275</v>
      </c>
      <c r="Y90" s="975"/>
      <c r="Z90" s="967"/>
      <c r="AA90" s="967">
        <v>4</v>
      </c>
      <c r="AH90" s="910"/>
      <c r="AI90" s="862"/>
      <c r="AJ90" s="302"/>
      <c r="AK90" s="910"/>
      <c r="AL90" s="911"/>
      <c r="AM90" s="911"/>
      <c r="AN90" s="911"/>
      <c r="AO90" s="911"/>
      <c r="AP90" s="912"/>
      <c r="AQ90" s="911"/>
      <c r="AR90" s="911"/>
      <c r="AS90" s="911"/>
      <c r="AT90" s="26"/>
      <c r="AU90" s="26"/>
      <c r="AV90" s="26"/>
    </row>
    <row r="91" spans="4:48" s="25" customFormat="1" ht="15.6" customHeight="1">
      <c r="D91" s="295"/>
      <c r="E91" s="295"/>
      <c r="F91" s="295"/>
      <c r="G91" s="295"/>
      <c r="H91" s="295"/>
      <c r="L91" s="777">
        <v>5</v>
      </c>
      <c r="M91" s="778"/>
      <c r="N91" s="976">
        <v>36</v>
      </c>
      <c r="O91" s="1020">
        <v>34</v>
      </c>
      <c r="P91" s="847">
        <f>VLOOKUP(N91,etat!$A$9:$N$1004,2,FALSE)</f>
        <v>0</v>
      </c>
      <c r="Q91" s="797" t="str">
        <f>VLOOKUP(N91,etat!$A$9:$N$963,7,FALSE)</f>
        <v>3ت ا ق1</v>
      </c>
      <c r="R91" s="797" t="str">
        <f>VLOOKUP(N91,etat!$A$9:$N$1003,9,FALSE)</f>
        <v>خ</v>
      </c>
      <c r="S91" s="866" t="str">
        <f>VLOOKUP(N91,etat!$A$9:$P$905,16,FALSE)</f>
        <v>اخ3</v>
      </c>
      <c r="T91" s="755">
        <v>45782</v>
      </c>
      <c r="U91" s="791">
        <v>2</v>
      </c>
      <c r="V91" s="784"/>
      <c r="W91" s="784"/>
      <c r="X91" s="784"/>
      <c r="Y91" s="975"/>
      <c r="Z91" s="975" t="str">
        <f>VLOOKUP(L91,[2]اس!$S$3:$X$31,3,FALSE)</f>
        <v>.</v>
      </c>
      <c r="AA91" s="967">
        <v>4</v>
      </c>
      <c r="AH91" s="910"/>
      <c r="AI91" s="862"/>
      <c r="AJ91" s="302"/>
      <c r="AK91" s="910"/>
      <c r="AL91" s="911"/>
      <c r="AM91" s="911"/>
      <c r="AN91" s="911"/>
      <c r="AO91" s="911"/>
      <c r="AP91" s="912"/>
      <c r="AQ91" s="911"/>
      <c r="AR91" s="911"/>
      <c r="AS91" s="911"/>
      <c r="AT91" s="26"/>
      <c r="AU91" s="26"/>
      <c r="AV91" s="26"/>
    </row>
    <row r="92" spans="4:48" s="25" customFormat="1" ht="15.6" customHeight="1">
      <c r="D92" s="295"/>
      <c r="E92" s="295"/>
      <c r="F92" s="295"/>
      <c r="G92" s="295"/>
      <c r="H92" s="295"/>
      <c r="L92" s="777">
        <v>5</v>
      </c>
      <c r="M92" s="778"/>
      <c r="N92" s="976">
        <v>37</v>
      </c>
      <c r="O92" s="1020">
        <v>35</v>
      </c>
      <c r="P92" s="847">
        <f>VLOOKUP(N92,etat!$A$9:$N$1004,2,FALSE)</f>
        <v>0</v>
      </c>
      <c r="Q92" s="797" t="str">
        <f>VLOOKUP(N92,etat!$A$9:$N$963,7,FALSE)</f>
        <v>3ت ا ق1</v>
      </c>
      <c r="R92" s="797" t="str">
        <f>VLOOKUP(N92,etat!$A$9:$N$1003,9,FALSE)</f>
        <v>خ</v>
      </c>
      <c r="S92" s="866" t="str">
        <f>VLOOKUP(N92,etat!$A$9:$P$905,16,FALSE)</f>
        <v>ذخ3</v>
      </c>
      <c r="T92" s="755">
        <v>45782</v>
      </c>
      <c r="U92" s="791">
        <v>2</v>
      </c>
      <c r="V92" s="784"/>
      <c r="W92" s="784"/>
      <c r="X92" s="784"/>
      <c r="Y92" s="975"/>
      <c r="Z92" s="975"/>
      <c r="AA92" s="967">
        <v>4</v>
      </c>
      <c r="AH92" s="910"/>
      <c r="AI92" s="862"/>
      <c r="AJ92" s="302"/>
      <c r="AK92" s="910"/>
      <c r="AL92" s="911"/>
      <c r="AM92" s="911"/>
      <c r="AN92" s="911"/>
      <c r="AO92" s="911"/>
      <c r="AP92" s="912"/>
      <c r="AQ92" s="911"/>
      <c r="AR92" s="911"/>
      <c r="AS92" s="911"/>
      <c r="AT92" s="26"/>
      <c r="AU92" s="26"/>
      <c r="AV92" s="26"/>
    </row>
    <row r="93" spans="4:48" s="25" customFormat="1" ht="15.6" customHeight="1">
      <c r="D93" s="295"/>
      <c r="E93" s="295"/>
      <c r="F93" s="295"/>
      <c r="G93" s="295"/>
      <c r="H93" s="295"/>
      <c r="L93" s="777">
        <v>5</v>
      </c>
      <c r="M93" s="778"/>
      <c r="N93" s="976">
        <v>38</v>
      </c>
      <c r="O93" s="1020">
        <v>36</v>
      </c>
      <c r="P93" s="847">
        <f>VLOOKUP(N93,etat!$A$9:$N$1004,2,FALSE)</f>
        <v>0</v>
      </c>
      <c r="Q93" s="797" t="str">
        <f>VLOOKUP(N93,etat!$A$9:$N$963,7,FALSE)</f>
        <v>3ت ا ق1</v>
      </c>
      <c r="R93" s="797" t="str">
        <f>VLOOKUP(N93,etat!$A$9:$N$1003,9,FALSE)</f>
        <v>خ</v>
      </c>
      <c r="S93" s="866" t="str">
        <f>VLOOKUP(N93,etat!$A$9:$P$905,16,FALSE)</f>
        <v>ذخ3</v>
      </c>
      <c r="T93" s="755">
        <v>45782</v>
      </c>
      <c r="U93" s="791">
        <v>2</v>
      </c>
      <c r="V93" s="784"/>
      <c r="W93" s="784"/>
      <c r="X93" s="784"/>
      <c r="Y93" s="975"/>
      <c r="Z93" s="975" t="str">
        <f>VLOOKUP(L93,[2]اس!$S$3:$X$31,3,FALSE)</f>
        <v>.</v>
      </c>
      <c r="AA93" s="967">
        <v>4</v>
      </c>
      <c r="AH93" s="910"/>
      <c r="AI93" s="862"/>
      <c r="AJ93" s="302"/>
      <c r="AK93" s="910"/>
      <c r="AL93" s="911"/>
      <c r="AM93" s="911"/>
      <c r="AN93" s="911"/>
      <c r="AO93" s="911"/>
      <c r="AP93" s="912"/>
      <c r="AQ93" s="911"/>
      <c r="AR93" s="911"/>
      <c r="AS93" s="911"/>
      <c r="AT93" s="26"/>
      <c r="AU93" s="26"/>
      <c r="AV93" s="26"/>
    </row>
    <row r="94" spans="4:48" s="25" customFormat="1" ht="15.6" customHeight="1">
      <c r="D94" s="295"/>
      <c r="E94" s="295"/>
      <c r="F94" s="295"/>
      <c r="G94" s="295"/>
      <c r="H94" s="295"/>
      <c r="L94" s="777">
        <v>5</v>
      </c>
      <c r="M94" s="778"/>
      <c r="N94" s="976">
        <v>39</v>
      </c>
      <c r="O94" s="1020">
        <v>37</v>
      </c>
      <c r="P94" s="847">
        <f>VLOOKUP(N94,etat!$A$9:$N$1004,2,FALSE)</f>
        <v>0</v>
      </c>
      <c r="Q94" s="797" t="str">
        <f>VLOOKUP(N94,etat!$A$9:$N$963,7,FALSE)</f>
        <v>3ت ا ق1</v>
      </c>
      <c r="R94" s="797" t="str">
        <f>VLOOKUP(N94,etat!$A$9:$N$1003,9,FALSE)</f>
        <v>خ</v>
      </c>
      <c r="S94" s="866" t="str">
        <f>VLOOKUP(N94,etat!$A$9:$P$905,16,FALSE)</f>
        <v>اخ3</v>
      </c>
      <c r="T94" s="755">
        <v>45768</v>
      </c>
      <c r="U94" s="791">
        <v>16</v>
      </c>
      <c r="V94" s="784" t="s">
        <v>2275</v>
      </c>
      <c r="W94" s="784" t="s">
        <v>2283</v>
      </c>
      <c r="X94" s="784"/>
      <c r="Y94" s="975"/>
      <c r="Z94" s="975" t="str">
        <f>VLOOKUP(L94,[2]اس!$S$3:$X$31,3,FALSE)</f>
        <v>.</v>
      </c>
      <c r="AA94" s="967">
        <v>4</v>
      </c>
      <c r="AH94" s="910"/>
      <c r="AI94" s="862"/>
      <c r="AJ94" s="302"/>
      <c r="AK94" s="910"/>
      <c r="AL94" s="911"/>
      <c r="AM94" s="911"/>
      <c r="AN94" s="911"/>
      <c r="AO94" s="911"/>
      <c r="AP94" s="912"/>
      <c r="AQ94" s="911"/>
      <c r="AR94" s="911"/>
      <c r="AS94" s="911"/>
      <c r="AT94" s="26"/>
      <c r="AU94" s="26"/>
      <c r="AV94" s="26"/>
    </row>
    <row r="95" spans="4:48" s="25" customFormat="1" ht="15.6" customHeight="1">
      <c r="D95" s="295"/>
      <c r="E95" s="295"/>
      <c r="F95" s="295"/>
      <c r="G95" s="295"/>
      <c r="H95" s="295"/>
      <c r="L95" s="777">
        <v>5</v>
      </c>
      <c r="M95" s="778"/>
      <c r="N95" s="976">
        <v>40</v>
      </c>
      <c r="O95" s="1020">
        <v>38</v>
      </c>
      <c r="P95" s="847">
        <f>VLOOKUP(N95,etat!$A$9:$N$1004,2,FALSE)</f>
        <v>0</v>
      </c>
      <c r="Q95" s="797" t="str">
        <f>VLOOKUP(N95,etat!$A$9:$N$963,7,FALSE)</f>
        <v>3ت ا ق1</v>
      </c>
      <c r="R95" s="797" t="str">
        <f>VLOOKUP(N95,etat!$A$9:$N$1003,9,FALSE)</f>
        <v>خ</v>
      </c>
      <c r="S95" s="866" t="str">
        <f>VLOOKUP(N95,etat!$A$9:$P$905,16,FALSE)</f>
        <v>اخ3</v>
      </c>
      <c r="T95" s="755">
        <v>45768</v>
      </c>
      <c r="U95" s="791">
        <v>16</v>
      </c>
      <c r="V95" s="784" t="s">
        <v>2275</v>
      </c>
      <c r="W95" s="784" t="s">
        <v>2283</v>
      </c>
      <c r="X95" s="784"/>
      <c r="Y95" s="975"/>
      <c r="Z95" s="975" t="str">
        <f>VLOOKUP(L95,[2]اس!$S$3:$X$31,3,FALSE)</f>
        <v>.</v>
      </c>
      <c r="AA95" s="967">
        <v>4</v>
      </c>
      <c r="AH95" s="910"/>
      <c r="AI95" s="862"/>
      <c r="AJ95" s="302"/>
      <c r="AK95" s="910"/>
      <c r="AL95" s="911"/>
      <c r="AM95" s="911"/>
      <c r="AN95" s="911"/>
      <c r="AO95" s="911"/>
      <c r="AP95" s="912"/>
      <c r="AQ95" s="911"/>
      <c r="AR95" s="911"/>
      <c r="AS95" s="911"/>
      <c r="AT95" s="26"/>
      <c r="AU95" s="26"/>
      <c r="AV95" s="26"/>
    </row>
    <row r="96" spans="4:48" s="25" customFormat="1" ht="15.6" customHeight="1">
      <c r="D96" s="295"/>
      <c r="E96" s="295"/>
      <c r="F96" s="295"/>
      <c r="G96" s="295"/>
      <c r="H96" s="295"/>
      <c r="L96" s="777">
        <v>5</v>
      </c>
      <c r="M96" s="778"/>
      <c r="N96" s="976">
        <v>41</v>
      </c>
      <c r="O96" s="1020">
        <v>39</v>
      </c>
      <c r="P96" s="847">
        <f>VLOOKUP(N96,etat!$A$9:$N$1004,2,FALSE)</f>
        <v>0</v>
      </c>
      <c r="Q96" s="797" t="str">
        <f>VLOOKUP(N96,etat!$A$9:$N$963,7,FALSE)</f>
        <v>3ت ا ق1</v>
      </c>
      <c r="R96" s="797" t="str">
        <f>VLOOKUP(N96,etat!$A$9:$N$1003,9,FALSE)</f>
        <v>خ</v>
      </c>
      <c r="S96" s="866" t="str">
        <f>VLOOKUP(N96,etat!$A$9:$P$905,16,FALSE)</f>
        <v>ذخ3</v>
      </c>
      <c r="T96" s="755">
        <v>45768</v>
      </c>
      <c r="U96" s="791">
        <v>16</v>
      </c>
      <c r="V96" s="784" t="s">
        <v>2275</v>
      </c>
      <c r="W96" s="784" t="s">
        <v>2283</v>
      </c>
      <c r="X96" s="784"/>
      <c r="Y96" s="1118"/>
      <c r="Z96" s="975" t="str">
        <f>VLOOKUP(L96,[2]اس!$S$3:$X$31,3,FALSE)</f>
        <v>.</v>
      </c>
      <c r="AA96" s="967">
        <v>4</v>
      </c>
      <c r="AH96" s="910"/>
      <c r="AI96" s="862"/>
      <c r="AJ96" s="302"/>
      <c r="AK96" s="910"/>
      <c r="AL96" s="911"/>
      <c r="AM96" s="911"/>
      <c r="AN96" s="911"/>
      <c r="AO96" s="911"/>
      <c r="AP96" s="912"/>
      <c r="AQ96" s="911"/>
      <c r="AR96" s="911"/>
      <c r="AS96" s="911"/>
      <c r="AT96" s="26"/>
      <c r="AU96" s="26"/>
      <c r="AV96" s="26"/>
    </row>
    <row r="97" spans="4:48" s="25" customFormat="1" ht="15.6" customHeight="1">
      <c r="D97" s="295"/>
      <c r="E97" s="295"/>
      <c r="F97" s="295"/>
      <c r="G97" s="295"/>
      <c r="H97" s="295"/>
      <c r="L97" s="777">
        <v>5</v>
      </c>
      <c r="M97" s="778"/>
      <c r="N97" s="976">
        <v>42</v>
      </c>
      <c r="O97" s="1020">
        <v>40</v>
      </c>
      <c r="P97" s="847">
        <f>VLOOKUP(N97,etat!$A$9:$N$1004,2,FALSE)</f>
        <v>0</v>
      </c>
      <c r="Q97" s="797" t="str">
        <f>VLOOKUP(N97,etat!$A$9:$N$963,7,FALSE)</f>
        <v>3ت ا ق1</v>
      </c>
      <c r="R97" s="797" t="str">
        <f>VLOOKUP(N97,etat!$A$9:$N$1003,9,FALSE)</f>
        <v>خ</v>
      </c>
      <c r="S97" s="866" t="str">
        <f>VLOOKUP(N97,etat!$A$9:$P$905,16,FALSE)</f>
        <v>ذن/د3</v>
      </c>
      <c r="T97" s="755">
        <v>45767</v>
      </c>
      <c r="U97" s="791">
        <v>17</v>
      </c>
      <c r="V97" s="784" t="s">
        <v>2273</v>
      </c>
      <c r="W97" s="784" t="s">
        <v>2282</v>
      </c>
      <c r="X97" s="784"/>
      <c r="Y97" s="975"/>
      <c r="Z97" s="975" t="str">
        <f>VLOOKUP(L97,[2]اس!$S$3:$X$31,3,FALSE)</f>
        <v>.</v>
      </c>
      <c r="AA97" s="967">
        <v>4</v>
      </c>
      <c r="AH97" s="910"/>
      <c r="AI97" s="862"/>
      <c r="AJ97" s="302"/>
      <c r="AK97" s="910"/>
      <c r="AL97" s="911"/>
      <c r="AM97" s="911"/>
      <c r="AN97" s="911"/>
      <c r="AO97" s="911"/>
      <c r="AP97" s="912"/>
      <c r="AQ97" s="911"/>
      <c r="AR97" s="911"/>
      <c r="AS97" s="911"/>
      <c r="AT97" s="26"/>
      <c r="AU97" s="26"/>
      <c r="AV97" s="26"/>
    </row>
    <row r="98" spans="4:48" s="25" customFormat="1" ht="15.6" customHeight="1">
      <c r="D98" s="295"/>
      <c r="E98" s="295"/>
      <c r="F98" s="295"/>
      <c r="G98" s="295"/>
      <c r="H98" s="295"/>
      <c r="L98" s="777">
        <v>5</v>
      </c>
      <c r="M98" s="778"/>
      <c r="N98" s="976">
        <v>43</v>
      </c>
      <c r="O98" s="1020">
        <v>41</v>
      </c>
      <c r="P98" s="847">
        <f>VLOOKUP(N98,etat!$A$9:$N$1004,2,FALSE)</f>
        <v>0</v>
      </c>
      <c r="Q98" s="797" t="str">
        <f>VLOOKUP(N98,etat!$A$9:$N$963,7,FALSE)</f>
        <v>3ت ا ق1</v>
      </c>
      <c r="R98" s="797" t="str">
        <f>VLOOKUP(N98,etat!$A$9:$N$1003,9,FALSE)</f>
        <v>خ</v>
      </c>
      <c r="S98" s="866" t="str">
        <f>VLOOKUP(N98,etat!$A$9:$P$905,16,FALSE)</f>
        <v>ذن/د3</v>
      </c>
      <c r="T98" s="755">
        <v>45781</v>
      </c>
      <c r="U98" s="791">
        <v>3</v>
      </c>
      <c r="V98" s="784" t="s">
        <v>2285</v>
      </c>
      <c r="W98" s="784"/>
      <c r="X98" s="784"/>
      <c r="Y98" s="975"/>
      <c r="Z98" s="975"/>
      <c r="AA98" s="967">
        <v>4</v>
      </c>
      <c r="AH98" s="910"/>
      <c r="AI98" s="862"/>
      <c r="AJ98" s="302"/>
      <c r="AK98" s="910"/>
      <c r="AL98" s="911"/>
      <c r="AM98" s="911"/>
      <c r="AN98" s="911"/>
      <c r="AO98" s="911"/>
      <c r="AP98" s="912"/>
      <c r="AQ98" s="911"/>
      <c r="AR98" s="911"/>
      <c r="AS98" s="911"/>
      <c r="AT98" s="26"/>
      <c r="AU98" s="26"/>
      <c r="AV98" s="26"/>
    </row>
    <row r="99" spans="4:48" s="25" customFormat="1" ht="15.6" customHeight="1">
      <c r="D99" s="295"/>
      <c r="E99" s="295"/>
      <c r="F99" s="295"/>
      <c r="G99" s="295"/>
      <c r="H99" s="295"/>
      <c r="L99" s="777">
        <v>5</v>
      </c>
      <c r="M99" s="778"/>
      <c r="N99" s="976">
        <v>44</v>
      </c>
      <c r="O99" s="1020">
        <v>42</v>
      </c>
      <c r="P99" s="847">
        <f>VLOOKUP(N99,etat!$A$9:$N$1004,2,FALSE)</f>
        <v>0</v>
      </c>
      <c r="Q99" s="797" t="str">
        <f>VLOOKUP(N99,etat!$A$9:$N$963,7,FALSE)</f>
        <v>3ت ا ق1</v>
      </c>
      <c r="R99" s="797" t="str">
        <f>VLOOKUP(N99,etat!$A$9:$N$1003,9,FALSE)</f>
        <v>خ</v>
      </c>
      <c r="S99" s="866" t="str">
        <f>VLOOKUP(N99,etat!$A$9:$P$905,16,FALSE)</f>
        <v>ان/د3</v>
      </c>
      <c r="T99" s="755">
        <v>45782</v>
      </c>
      <c r="U99" s="791">
        <v>2</v>
      </c>
      <c r="V99" s="784"/>
      <c r="W99" s="784"/>
      <c r="X99" s="784"/>
      <c r="Y99" s="975"/>
      <c r="Z99" s="975" t="str">
        <f>VLOOKUP(L99,[2]اس!$S$3:$X$31,3,FALSE)</f>
        <v>.</v>
      </c>
      <c r="AA99" s="967">
        <v>4</v>
      </c>
      <c r="AH99" s="910"/>
      <c r="AI99" s="862"/>
      <c r="AJ99" s="302"/>
      <c r="AK99" s="910"/>
      <c r="AL99" s="911"/>
      <c r="AM99" s="911"/>
      <c r="AN99" s="911"/>
      <c r="AO99" s="911"/>
      <c r="AP99" s="912"/>
      <c r="AQ99" s="911"/>
      <c r="AR99" s="911"/>
      <c r="AS99" s="911"/>
      <c r="AT99" s="26"/>
      <c r="AU99" s="26"/>
      <c r="AV99" s="26"/>
    </row>
    <row r="100" spans="4:48" s="25" customFormat="1" ht="15.6" customHeight="1">
      <c r="D100" s="295"/>
      <c r="E100" s="295"/>
      <c r="F100" s="295"/>
      <c r="G100" s="295"/>
      <c r="H100" s="295"/>
      <c r="L100" s="777">
        <v>5</v>
      </c>
      <c r="M100" s="778"/>
      <c r="N100" s="976">
        <v>45</v>
      </c>
      <c r="O100" s="1020">
        <v>43</v>
      </c>
      <c r="P100" s="847">
        <f>VLOOKUP(N100,etat!$A$9:$N$1004,2,FALSE)</f>
        <v>0</v>
      </c>
      <c r="Q100" s="797" t="str">
        <f>VLOOKUP(N100,etat!$A$9:$N$963,7,FALSE)</f>
        <v>3ت ا ق1</v>
      </c>
      <c r="R100" s="797" t="str">
        <f>VLOOKUP(N100,etat!$A$9:$N$1003,9,FALSE)</f>
        <v>خ</v>
      </c>
      <c r="S100" s="866" t="str">
        <f>VLOOKUP(N100,etat!$A$9:$P$905,16,FALSE)</f>
        <v>ان/د3</v>
      </c>
      <c r="T100" s="755">
        <v>45775</v>
      </c>
      <c r="U100" s="791">
        <v>9</v>
      </c>
      <c r="V100" s="784" t="s">
        <v>2282</v>
      </c>
      <c r="W100" s="784"/>
      <c r="X100" s="784"/>
      <c r="Y100" s="975"/>
      <c r="Z100" s="975" t="str">
        <f>VLOOKUP(L100,[2]اس!$S$3:$X$31,3,FALSE)</f>
        <v>.</v>
      </c>
      <c r="AA100" s="967">
        <v>4</v>
      </c>
      <c r="AH100" s="910"/>
      <c r="AI100" s="862"/>
      <c r="AJ100" s="302"/>
      <c r="AK100" s="910"/>
      <c r="AL100" s="911"/>
      <c r="AM100" s="911"/>
      <c r="AN100" s="911"/>
      <c r="AO100" s="911"/>
      <c r="AP100" s="912"/>
      <c r="AQ100" s="911"/>
      <c r="AR100" s="911"/>
      <c r="AS100" s="911"/>
      <c r="AT100" s="26"/>
      <c r="AU100" s="26"/>
      <c r="AV100" s="26"/>
    </row>
    <row r="101" spans="4:48" s="25" customFormat="1" ht="15.6" customHeight="1">
      <c r="D101" s="295"/>
      <c r="E101" s="295"/>
      <c r="F101" s="295"/>
      <c r="G101" s="295"/>
      <c r="H101" s="295"/>
      <c r="L101" s="777">
        <v>5</v>
      </c>
      <c r="M101" s="778"/>
      <c r="N101" s="976">
        <v>46</v>
      </c>
      <c r="O101" s="1020">
        <v>44</v>
      </c>
      <c r="P101" s="847">
        <f>VLOOKUP(N101,etat!$A$9:$N$1004,2,FALSE)</f>
        <v>0</v>
      </c>
      <c r="Q101" s="797" t="str">
        <f>VLOOKUP(N101,etat!$A$9:$N$963,7,FALSE)</f>
        <v>3ت ا ق1</v>
      </c>
      <c r="R101" s="797" t="str">
        <f>VLOOKUP(N101,etat!$A$9:$N$1003,9,FALSE)</f>
        <v>خ</v>
      </c>
      <c r="S101" s="866" t="str">
        <f>VLOOKUP(N101,etat!$A$9:$P$905,16,FALSE)</f>
        <v>اخ3</v>
      </c>
      <c r="T101" s="755">
        <v>45775</v>
      </c>
      <c r="U101" s="791">
        <v>9</v>
      </c>
      <c r="V101" s="784" t="s">
        <v>2282</v>
      </c>
      <c r="W101" s="784"/>
      <c r="X101" s="784"/>
      <c r="Y101" s="975"/>
      <c r="Z101" s="975" t="str">
        <f>VLOOKUP(L101,[2]اس!$S$3:$X$31,3,FALSE)</f>
        <v>.</v>
      </c>
      <c r="AA101" s="967">
        <v>4</v>
      </c>
      <c r="AH101" s="910"/>
      <c r="AI101" s="862"/>
      <c r="AJ101" s="302"/>
      <c r="AK101" s="910"/>
      <c r="AL101" s="911"/>
      <c r="AM101" s="911"/>
      <c r="AN101" s="911"/>
      <c r="AO101" s="911"/>
      <c r="AP101" s="912"/>
      <c r="AQ101" s="911"/>
      <c r="AR101" s="911"/>
      <c r="AS101" s="911"/>
      <c r="AT101" s="26"/>
      <c r="AU101" s="26"/>
      <c r="AV101" s="26"/>
    </row>
    <row r="102" spans="4:48" s="25" customFormat="1" ht="15.6" customHeight="1">
      <c r="D102" s="295"/>
      <c r="E102" s="295"/>
      <c r="F102" s="295"/>
      <c r="G102" s="295"/>
      <c r="H102" s="295"/>
      <c r="L102" s="777">
        <v>5</v>
      </c>
      <c r="M102" s="778"/>
      <c r="N102" s="976">
        <v>47</v>
      </c>
      <c r="O102" s="1020">
        <v>45</v>
      </c>
      <c r="P102" s="847">
        <f>VLOOKUP(N102,etat!$A$9:$N$1004,2,FALSE)</f>
        <v>0</v>
      </c>
      <c r="Q102" s="797" t="str">
        <f>VLOOKUP(N102,etat!$A$9:$N$963,7,FALSE)</f>
        <v>3ت ا ق1</v>
      </c>
      <c r="R102" s="797" t="str">
        <f>VLOOKUP(N102,etat!$A$9:$N$1003,9,FALSE)</f>
        <v>خ</v>
      </c>
      <c r="S102" s="866" t="str">
        <f>VLOOKUP(N102,etat!$A$9:$P$905,16,FALSE)</f>
        <v>اخ3</v>
      </c>
      <c r="T102" s="755">
        <v>45781</v>
      </c>
      <c r="U102" s="791">
        <v>3</v>
      </c>
      <c r="V102" s="784" t="s">
        <v>2285</v>
      </c>
      <c r="W102" s="784"/>
      <c r="X102" s="784"/>
      <c r="Y102" s="975"/>
      <c r="Z102" s="975"/>
      <c r="AA102" s="967">
        <v>4</v>
      </c>
      <c r="AH102" s="910"/>
      <c r="AI102" s="862"/>
      <c r="AJ102" s="302"/>
      <c r="AK102" s="910"/>
      <c r="AL102" s="911"/>
      <c r="AM102" s="911"/>
      <c r="AN102" s="911"/>
      <c r="AO102" s="911"/>
      <c r="AP102" s="912"/>
      <c r="AQ102" s="911"/>
      <c r="AR102" s="911"/>
      <c r="AS102" s="911"/>
      <c r="AT102" s="26"/>
      <c r="AU102" s="26"/>
      <c r="AV102" s="26"/>
    </row>
    <row r="103" spans="4:48" s="25" customFormat="1" ht="15.6" customHeight="1">
      <c r="D103" s="295"/>
      <c r="E103" s="295"/>
      <c r="F103" s="295"/>
      <c r="G103" s="295"/>
      <c r="H103" s="295"/>
      <c r="L103" s="777">
        <v>5</v>
      </c>
      <c r="M103" s="778"/>
      <c r="N103" s="976">
        <v>48</v>
      </c>
      <c r="O103" s="1020">
        <v>46</v>
      </c>
      <c r="P103" s="847">
        <f>VLOOKUP(N103,etat!$A$9:$N$1004,2,FALSE)</f>
        <v>0</v>
      </c>
      <c r="Q103" s="797" t="str">
        <f>VLOOKUP(N103,etat!$A$9:$N$963,7,FALSE)</f>
        <v>3ت ا ق2</v>
      </c>
      <c r="R103" s="797" t="str">
        <f>VLOOKUP(N103,etat!$A$9:$N$1003,9,FALSE)</f>
        <v>ن/د</v>
      </c>
      <c r="S103" s="866" t="str">
        <f>VLOOKUP(N103,etat!$A$9:$P$905,16,FALSE)</f>
        <v>ذخ3</v>
      </c>
      <c r="T103" s="755">
        <v>45768</v>
      </c>
      <c r="U103" s="791">
        <v>16</v>
      </c>
      <c r="V103" s="784" t="s">
        <v>2275</v>
      </c>
      <c r="W103" s="784" t="s">
        <v>2282</v>
      </c>
      <c r="X103" s="784"/>
      <c r="Y103" s="1116"/>
      <c r="Z103" s="975" t="str">
        <f>VLOOKUP(L103,[2]اس!$S$3:$X$31,3,FALSE)</f>
        <v>.</v>
      </c>
      <c r="AA103" s="967">
        <v>4</v>
      </c>
      <c r="AH103" s="910"/>
      <c r="AI103" s="862"/>
      <c r="AJ103" s="302"/>
      <c r="AK103" s="910"/>
      <c r="AL103" s="911"/>
      <c r="AM103" s="911"/>
      <c r="AN103" s="911"/>
      <c r="AO103" s="911"/>
      <c r="AP103" s="912"/>
      <c r="AQ103" s="911"/>
      <c r="AR103" s="911"/>
      <c r="AS103" s="911"/>
      <c r="AT103" s="26"/>
      <c r="AU103" s="26"/>
      <c r="AV103" s="26"/>
    </row>
    <row r="104" spans="4:48" s="25" customFormat="1" ht="15.6" customHeight="1">
      <c r="D104" s="295"/>
      <c r="E104" s="295"/>
      <c r="F104" s="295"/>
      <c r="G104" s="295"/>
      <c r="H104" s="295"/>
      <c r="L104" s="777">
        <v>5</v>
      </c>
      <c r="M104" s="778"/>
      <c r="N104" s="976">
        <v>50</v>
      </c>
      <c r="O104" s="1020">
        <v>47</v>
      </c>
      <c r="P104" s="847">
        <f>VLOOKUP(N104,etat!$A$9:$N$1004,2,FALSE)</f>
        <v>0</v>
      </c>
      <c r="Q104" s="797" t="str">
        <f>VLOOKUP(N104,etat!$A$9:$N$963,7,FALSE)</f>
        <v>3ت ا ق2</v>
      </c>
      <c r="R104" s="866" t="str">
        <f>VLOOKUP(N104,etat!$A$9:$N$1003,9,FALSE)</f>
        <v>خ</v>
      </c>
      <c r="S104" s="866" t="str">
        <f>VLOOKUP(N104,etat!$A$9:$P$905,16,FALSE)</f>
        <v>اخ3</v>
      </c>
      <c r="T104" s="755">
        <v>45775</v>
      </c>
      <c r="U104" s="791">
        <v>9</v>
      </c>
      <c r="V104" s="784" t="s">
        <v>2282</v>
      </c>
      <c r="W104" s="869"/>
      <c r="X104" s="869"/>
      <c r="Y104" s="975"/>
      <c r="Z104" s="975"/>
      <c r="AA104" s="967">
        <v>4</v>
      </c>
      <c r="AH104" s="910"/>
      <c r="AI104" s="862"/>
      <c r="AJ104" s="302"/>
      <c r="AK104" s="910"/>
      <c r="AL104" s="911"/>
      <c r="AM104" s="911"/>
      <c r="AN104" s="911"/>
      <c r="AO104" s="911"/>
      <c r="AP104" s="912"/>
      <c r="AQ104" s="911"/>
      <c r="AR104" s="911"/>
      <c r="AS104" s="911"/>
      <c r="AT104" s="26"/>
      <c r="AU104" s="26"/>
      <c r="AV104" s="26"/>
    </row>
    <row r="105" spans="4:48" s="25" customFormat="1" ht="15.6" customHeight="1">
      <c r="D105" s="295"/>
      <c r="E105" s="295"/>
      <c r="F105" s="295"/>
      <c r="G105" s="295"/>
      <c r="H105" s="295"/>
      <c r="L105" s="777">
        <v>5</v>
      </c>
      <c r="M105" s="778"/>
      <c r="N105" s="976">
        <v>51</v>
      </c>
      <c r="O105" s="1020">
        <v>48</v>
      </c>
      <c r="P105" s="847">
        <f>VLOOKUP(N105,etat!$A$9:$N$1004,2,FALSE)</f>
        <v>0</v>
      </c>
      <c r="Q105" s="797" t="str">
        <f>VLOOKUP(N105,etat!$A$9:$N$963,7,FALSE)</f>
        <v>3ت ا ق2</v>
      </c>
      <c r="R105" s="797" t="str">
        <f>VLOOKUP(N105,etat!$A$9:$N$1003,9,FALSE)</f>
        <v>خ</v>
      </c>
      <c r="S105" s="866" t="str">
        <f>VLOOKUP(N105,etat!$A$9:$P$905,16,FALSE)</f>
        <v>ذخ3</v>
      </c>
      <c r="T105" s="755">
        <v>45782</v>
      </c>
      <c r="U105" s="791">
        <v>2</v>
      </c>
      <c r="V105" s="784"/>
      <c r="W105" s="784"/>
      <c r="X105" s="784"/>
      <c r="Y105" s="1117"/>
      <c r="Z105" s="967"/>
      <c r="AA105" s="967">
        <v>4</v>
      </c>
      <c r="AH105" s="910"/>
      <c r="AI105" s="862"/>
      <c r="AJ105" s="302"/>
      <c r="AK105" s="910"/>
      <c r="AL105" s="911"/>
      <c r="AM105" s="911"/>
      <c r="AN105" s="911"/>
      <c r="AO105" s="911"/>
      <c r="AP105" s="912"/>
      <c r="AQ105" s="911"/>
      <c r="AR105" s="911"/>
      <c r="AS105" s="911"/>
      <c r="AT105" s="26"/>
      <c r="AU105" s="26"/>
      <c r="AV105" s="26"/>
    </row>
    <row r="106" spans="4:48" s="25" customFormat="1" ht="15.6" customHeight="1">
      <c r="D106" s="295"/>
      <c r="E106" s="295"/>
      <c r="F106" s="295"/>
      <c r="G106" s="295"/>
      <c r="H106" s="295"/>
      <c r="L106" s="777">
        <v>5</v>
      </c>
      <c r="M106" s="778"/>
      <c r="N106" s="976">
        <v>52</v>
      </c>
      <c r="O106" s="1020">
        <v>49</v>
      </c>
      <c r="P106" s="847">
        <f>VLOOKUP(N106,etat!$A$9:$N$1004,2,FALSE)</f>
        <v>0</v>
      </c>
      <c r="Q106" s="797" t="str">
        <f>VLOOKUP(N106,etat!$A$9:$N$963,7,FALSE)</f>
        <v>3ت ا ق2</v>
      </c>
      <c r="R106" s="797" t="str">
        <f>VLOOKUP(N106,etat!$A$9:$N$1003,9,FALSE)</f>
        <v>خ</v>
      </c>
      <c r="S106" s="866" t="str">
        <f>VLOOKUP(N106,etat!$A$9:$P$905,16,FALSE)</f>
        <v>ذخ3</v>
      </c>
      <c r="T106" s="755">
        <v>45782</v>
      </c>
      <c r="U106" s="791">
        <v>2</v>
      </c>
      <c r="V106" s="784"/>
      <c r="W106" s="784"/>
      <c r="X106" s="784"/>
      <c r="Y106" s="1117"/>
      <c r="Z106" s="967"/>
      <c r="AA106" s="967">
        <v>4</v>
      </c>
      <c r="AH106" s="910"/>
      <c r="AI106" s="862"/>
      <c r="AJ106" s="302"/>
      <c r="AK106" s="910"/>
      <c r="AL106" s="911"/>
      <c r="AM106" s="911"/>
      <c r="AN106" s="911"/>
      <c r="AO106" s="911"/>
      <c r="AP106" s="912"/>
      <c r="AQ106" s="911"/>
      <c r="AR106" s="911"/>
      <c r="AS106" s="911"/>
      <c r="AT106" s="26"/>
      <c r="AU106" s="26"/>
      <c r="AV106" s="26"/>
    </row>
    <row r="107" spans="4:48" s="25" customFormat="1" ht="15.6" customHeight="1">
      <c r="D107" s="295"/>
      <c r="E107" s="295"/>
      <c r="F107" s="295"/>
      <c r="G107" s="295"/>
      <c r="H107" s="295"/>
      <c r="L107" s="777">
        <v>5</v>
      </c>
      <c r="M107" s="778"/>
      <c r="N107" s="976">
        <v>54</v>
      </c>
      <c r="O107" s="1020">
        <v>50</v>
      </c>
      <c r="P107" s="847">
        <f>VLOOKUP(N107,etat!$A$9:$N$1004,2,FALSE)</f>
        <v>0</v>
      </c>
      <c r="Q107" s="797" t="str">
        <f>VLOOKUP(N107,etat!$A$9:$N$963,7,FALSE)</f>
        <v>3ت ا ق2</v>
      </c>
      <c r="R107" s="797" t="str">
        <f>VLOOKUP(N107,etat!$A$9:$N$1003,9,FALSE)</f>
        <v>خ</v>
      </c>
      <c r="S107" s="866" t="str">
        <f>VLOOKUP(N107,etat!$A$9:$P$905,16,FALSE)</f>
        <v>ذخ3</v>
      </c>
      <c r="T107" s="755">
        <v>45782</v>
      </c>
      <c r="U107" s="791">
        <v>2</v>
      </c>
      <c r="V107" s="784"/>
      <c r="W107" s="784"/>
      <c r="X107" s="784"/>
      <c r="Y107" s="1117"/>
      <c r="Z107" s="967"/>
      <c r="AA107" s="967">
        <v>4</v>
      </c>
      <c r="AH107" s="910"/>
      <c r="AI107" s="862"/>
      <c r="AJ107" s="302"/>
      <c r="AK107" s="910"/>
      <c r="AL107" s="911"/>
      <c r="AM107" s="911"/>
      <c r="AN107" s="911"/>
      <c r="AO107" s="911"/>
      <c r="AP107" s="912"/>
      <c r="AQ107" s="911"/>
      <c r="AR107" s="911"/>
      <c r="AS107" s="911"/>
      <c r="AT107" s="26"/>
      <c r="AU107" s="26"/>
      <c r="AV107" s="26"/>
    </row>
    <row r="108" spans="4:48" s="25" customFormat="1" ht="15.6" customHeight="1">
      <c r="D108" s="295"/>
      <c r="E108" s="295"/>
      <c r="F108" s="295"/>
      <c r="G108" s="295"/>
      <c r="H108" s="295"/>
      <c r="L108" s="777">
        <v>5</v>
      </c>
      <c r="M108" s="778"/>
      <c r="N108" s="976">
        <v>56</v>
      </c>
      <c r="O108" s="1020">
        <v>51</v>
      </c>
      <c r="P108" s="847">
        <f>VLOOKUP(N108,etat!$A$9:$N$1004,2,FALSE)</f>
        <v>0</v>
      </c>
      <c r="Q108" s="797" t="str">
        <f>VLOOKUP(N108,etat!$A$9:$N$963,7,FALSE)</f>
        <v>3ت ا ق2</v>
      </c>
      <c r="R108" s="797" t="str">
        <f>VLOOKUP(N108,etat!$A$9:$N$1003,9,FALSE)</f>
        <v>خ</v>
      </c>
      <c r="S108" s="866" t="str">
        <f>VLOOKUP(N108,etat!$A$9:$P$905,16,FALSE)</f>
        <v>اخ3</v>
      </c>
      <c r="T108" s="755">
        <v>45771</v>
      </c>
      <c r="U108" s="791">
        <v>13</v>
      </c>
      <c r="V108" s="784" t="s">
        <v>2280</v>
      </c>
      <c r="W108" s="784" t="s">
        <v>2283</v>
      </c>
      <c r="X108" s="784"/>
      <c r="Y108" s="975"/>
      <c r="Z108" s="967"/>
      <c r="AA108" s="967">
        <v>4</v>
      </c>
      <c r="AH108" s="910"/>
      <c r="AI108" s="862"/>
      <c r="AJ108" s="302"/>
      <c r="AK108" s="910"/>
      <c r="AL108" s="911"/>
      <c r="AM108" s="911"/>
      <c r="AN108" s="911"/>
      <c r="AO108" s="911"/>
      <c r="AP108" s="912"/>
      <c r="AQ108" s="911"/>
      <c r="AR108" s="911"/>
      <c r="AS108" s="911"/>
      <c r="AT108" s="26"/>
      <c r="AU108" s="26"/>
      <c r="AV108" s="26"/>
    </row>
    <row r="109" spans="4:48" s="25" customFormat="1" ht="15.6" customHeight="1">
      <c r="D109" s="295"/>
      <c r="E109" s="295"/>
      <c r="F109" s="295"/>
      <c r="G109" s="295"/>
      <c r="H109" s="295"/>
      <c r="L109" s="777">
        <v>5</v>
      </c>
      <c r="M109" s="778"/>
      <c r="N109" s="976">
        <v>57</v>
      </c>
      <c r="O109" s="1020">
        <v>52</v>
      </c>
      <c r="P109" s="847">
        <f>VLOOKUP(N109,etat!$A$9:$N$1004,2,FALSE)</f>
        <v>0</v>
      </c>
      <c r="Q109" s="797" t="str">
        <f>VLOOKUP(N109,etat!$A$9:$N$963,7,FALSE)</f>
        <v>3ت ا ق2</v>
      </c>
      <c r="R109" s="797" t="str">
        <f>VLOOKUP(N109,etat!$A$9:$N$1003,9,FALSE)</f>
        <v>خ</v>
      </c>
      <c r="S109" s="866" t="str">
        <f>VLOOKUP(N109,etat!$A$9:$P$905,16,FALSE)</f>
        <v>ذخ3</v>
      </c>
      <c r="T109" s="755">
        <v>45781</v>
      </c>
      <c r="U109" s="791">
        <v>3</v>
      </c>
      <c r="V109" s="784" t="s">
        <v>2285</v>
      </c>
      <c r="W109" s="784"/>
      <c r="X109" s="784"/>
      <c r="Y109" s="975"/>
      <c r="Z109" s="975"/>
      <c r="AA109" s="967">
        <v>4</v>
      </c>
      <c r="AH109" s="910"/>
      <c r="AI109" s="862"/>
      <c r="AJ109" s="302"/>
      <c r="AK109" s="910"/>
      <c r="AL109" s="911"/>
      <c r="AM109" s="911"/>
      <c r="AN109" s="911"/>
      <c r="AO109" s="911"/>
      <c r="AP109" s="912"/>
      <c r="AQ109" s="911"/>
      <c r="AR109" s="911"/>
      <c r="AS109" s="911"/>
      <c r="AT109" s="26"/>
      <c r="AU109" s="26"/>
      <c r="AV109" s="26"/>
    </row>
    <row r="110" spans="4:48" s="25" customFormat="1" ht="15.6" customHeight="1">
      <c r="D110" s="295"/>
      <c r="E110" s="295"/>
      <c r="F110" s="295"/>
      <c r="G110" s="295"/>
      <c r="H110" s="295"/>
      <c r="L110" s="777">
        <v>5</v>
      </c>
      <c r="M110" s="778"/>
      <c r="N110" s="976">
        <v>60</v>
      </c>
      <c r="O110" s="1020">
        <v>53</v>
      </c>
      <c r="P110" s="847">
        <f>VLOOKUP(N110,etat!$A$9:$N$1004,2,FALSE)</f>
        <v>0</v>
      </c>
      <c r="Q110" s="797" t="str">
        <f>VLOOKUP(N110,etat!$A$9:$N$963,7,FALSE)</f>
        <v>3ت ا ق2</v>
      </c>
      <c r="R110" s="797" t="str">
        <f>VLOOKUP(N110,etat!$A$9:$N$1003,9,FALSE)</f>
        <v>خ</v>
      </c>
      <c r="S110" s="866" t="str">
        <f>VLOOKUP(N110,etat!$A$9:$P$905,16,FALSE)</f>
        <v>ذخ3</v>
      </c>
      <c r="T110" s="755">
        <v>45762</v>
      </c>
      <c r="U110" s="791">
        <v>22</v>
      </c>
      <c r="V110" s="784" t="s">
        <v>2268</v>
      </c>
      <c r="W110" s="784" t="s">
        <v>2278</v>
      </c>
      <c r="X110" s="784" t="s">
        <v>2283</v>
      </c>
      <c r="Y110" s="975"/>
      <c r="Z110" s="975"/>
      <c r="AA110" s="967">
        <v>4</v>
      </c>
      <c r="AH110" s="910"/>
      <c r="AI110" s="862"/>
      <c r="AJ110" s="302"/>
      <c r="AK110" s="910"/>
      <c r="AL110" s="911"/>
      <c r="AM110" s="911"/>
      <c r="AN110" s="911"/>
      <c r="AO110" s="911"/>
      <c r="AP110" s="912"/>
      <c r="AQ110" s="911"/>
      <c r="AR110" s="911"/>
      <c r="AS110" s="911"/>
      <c r="AT110" s="26"/>
      <c r="AU110" s="26"/>
      <c r="AV110" s="26"/>
    </row>
    <row r="111" spans="4:48" s="25" customFormat="1" ht="15.6" customHeight="1">
      <c r="D111" s="295"/>
      <c r="E111" s="295"/>
      <c r="F111" s="295"/>
      <c r="G111" s="295"/>
      <c r="H111" s="295"/>
      <c r="L111" s="777">
        <v>5</v>
      </c>
      <c r="M111" s="778"/>
      <c r="N111" s="976">
        <v>61</v>
      </c>
      <c r="O111" s="1020">
        <v>54</v>
      </c>
      <c r="P111" s="847">
        <f>VLOOKUP(N111,etat!$A$9:$N$1004,2,FALSE)</f>
        <v>0</v>
      </c>
      <c r="Q111" s="797" t="str">
        <f>VLOOKUP(N111,etat!$A$9:$N$963,7,FALSE)</f>
        <v>3ت ا ق2</v>
      </c>
      <c r="R111" s="797" t="str">
        <f>VLOOKUP(N111,etat!$A$9:$N$1003,9,FALSE)</f>
        <v>خ</v>
      </c>
      <c r="S111" s="866" t="str">
        <f>VLOOKUP(N111,etat!$A$9:$P$905,16,FALSE)</f>
        <v>اخ3</v>
      </c>
      <c r="T111" s="755">
        <v>45774</v>
      </c>
      <c r="U111" s="791">
        <v>10</v>
      </c>
      <c r="V111" s="784" t="s">
        <v>2281</v>
      </c>
      <c r="W111" s="784" t="s">
        <v>2285</v>
      </c>
      <c r="X111" s="784"/>
      <c r="Y111" s="1117"/>
      <c r="Z111" s="967"/>
      <c r="AA111" s="967">
        <v>4</v>
      </c>
      <c r="AH111" s="910"/>
      <c r="AI111" s="862"/>
      <c r="AJ111" s="302"/>
      <c r="AK111" s="910"/>
      <c r="AL111" s="911"/>
      <c r="AM111" s="911"/>
      <c r="AN111" s="911"/>
      <c r="AO111" s="911"/>
      <c r="AP111" s="912"/>
      <c r="AQ111" s="911"/>
      <c r="AR111" s="911"/>
      <c r="AS111" s="911"/>
      <c r="AT111" s="26"/>
      <c r="AU111" s="26"/>
      <c r="AV111" s="26"/>
    </row>
    <row r="112" spans="4:48" s="25" customFormat="1" ht="15.6" customHeight="1">
      <c r="D112" s="295"/>
      <c r="E112" s="295"/>
      <c r="F112" s="295"/>
      <c r="G112" s="295"/>
      <c r="H112" s="295"/>
      <c r="L112" s="777">
        <v>5</v>
      </c>
      <c r="M112" s="778"/>
      <c r="N112" s="976">
        <v>62</v>
      </c>
      <c r="O112" s="1020">
        <v>55</v>
      </c>
      <c r="P112" s="847">
        <f>VLOOKUP(N112,etat!$A$9:$N$1004,2,FALSE)</f>
        <v>0</v>
      </c>
      <c r="Q112" s="797" t="str">
        <f>VLOOKUP(N112,etat!$A$9:$N$963,7,FALSE)</f>
        <v>3ت ا ق2</v>
      </c>
      <c r="R112" s="797" t="str">
        <f>VLOOKUP(N112,etat!$A$9:$N$1003,9,FALSE)</f>
        <v>خ</v>
      </c>
      <c r="S112" s="866" t="str">
        <f>VLOOKUP(N112,etat!$A$9:$P$905,16,FALSE)</f>
        <v>ذخ3</v>
      </c>
      <c r="T112" s="755">
        <v>45769</v>
      </c>
      <c r="U112" s="791">
        <v>15</v>
      </c>
      <c r="V112" s="784" t="s">
        <v>2278</v>
      </c>
      <c r="W112" s="784" t="s">
        <v>2283</v>
      </c>
      <c r="X112" s="784"/>
      <c r="Y112" s="975"/>
      <c r="Z112" s="975" t="str">
        <f>VLOOKUP(L112,[2]اس!$S$3:$X$31,3,FALSE)</f>
        <v>.</v>
      </c>
      <c r="AA112" s="967">
        <v>4</v>
      </c>
      <c r="AH112" s="910"/>
      <c r="AI112" s="862"/>
      <c r="AJ112" s="302"/>
      <c r="AK112" s="910"/>
      <c r="AL112" s="911"/>
      <c r="AM112" s="911"/>
      <c r="AN112" s="911"/>
      <c r="AO112" s="911"/>
      <c r="AP112" s="912"/>
      <c r="AQ112" s="911"/>
      <c r="AR112" s="911"/>
      <c r="AS112" s="911"/>
      <c r="AT112" s="26"/>
      <c r="AU112" s="26"/>
      <c r="AV112" s="26"/>
    </row>
    <row r="113" spans="1:79" s="25" customFormat="1" ht="15.6" customHeight="1">
      <c r="D113" s="295"/>
      <c r="E113" s="295"/>
      <c r="F113" s="295"/>
      <c r="G113" s="295"/>
      <c r="H113" s="295"/>
      <c r="L113" s="777">
        <v>5</v>
      </c>
      <c r="M113" s="778"/>
      <c r="N113" s="976">
        <v>63</v>
      </c>
      <c r="O113" s="1020">
        <v>56</v>
      </c>
      <c r="P113" s="847">
        <f>VLOOKUP(N113,etat!$A$9:$N$1004,2,FALSE)</f>
        <v>0</v>
      </c>
      <c r="Q113" s="797" t="str">
        <f>VLOOKUP(N113,etat!$A$9:$N$963,7,FALSE)</f>
        <v>3ت ا ق2</v>
      </c>
      <c r="R113" s="797" t="str">
        <f>VLOOKUP(N113,etat!$A$9:$N$1003,9,FALSE)</f>
        <v>خ</v>
      </c>
      <c r="S113" s="866" t="str">
        <f>VLOOKUP(N113,etat!$A$9:$P$905,16,FALSE)</f>
        <v>اخ3</v>
      </c>
      <c r="T113" s="755">
        <v>45763</v>
      </c>
      <c r="U113" s="791">
        <v>21</v>
      </c>
      <c r="V113" s="784" t="s">
        <v>2269</v>
      </c>
      <c r="W113" s="784" t="s">
        <v>2280</v>
      </c>
      <c r="X113" s="784" t="s">
        <v>2283</v>
      </c>
      <c r="Y113" s="975"/>
      <c r="Z113" s="975" t="str">
        <f>VLOOKUP(L113,[2]اس!$S$3:$X$31,3,FALSE)</f>
        <v>.</v>
      </c>
      <c r="AA113" s="967">
        <v>4</v>
      </c>
      <c r="AH113" s="910"/>
      <c r="AI113" s="862"/>
      <c r="AJ113" s="302"/>
      <c r="AK113" s="910"/>
      <c r="AL113" s="911"/>
      <c r="AM113" s="911"/>
      <c r="AN113" s="911"/>
      <c r="AO113" s="911"/>
      <c r="AP113" s="912"/>
      <c r="AQ113" s="911"/>
      <c r="AR113" s="911"/>
      <c r="AS113" s="911"/>
      <c r="AT113" s="26"/>
      <c r="AU113" s="26"/>
      <c r="AV113" s="26"/>
    </row>
    <row r="114" spans="1:79" s="25" customFormat="1" ht="15.6" customHeight="1">
      <c r="D114" s="295"/>
      <c r="E114" s="295"/>
      <c r="F114" s="295"/>
      <c r="G114" s="295"/>
      <c r="H114" s="295"/>
      <c r="L114" s="777">
        <v>5</v>
      </c>
      <c r="M114" s="778"/>
      <c r="N114" s="976">
        <v>64</v>
      </c>
      <c r="O114" s="1020">
        <v>57</v>
      </c>
      <c r="P114" s="847">
        <f>VLOOKUP(N114,etat!$A$9:$N$1004,2,FALSE)</f>
        <v>0</v>
      </c>
      <c r="Q114" s="797" t="str">
        <f>VLOOKUP(N114,etat!$A$9:$N$963,7,FALSE)</f>
        <v>3ت ا ق2</v>
      </c>
      <c r="R114" s="797" t="str">
        <f>VLOOKUP(N114,etat!$A$9:$N$1003,9,FALSE)</f>
        <v>خ</v>
      </c>
      <c r="S114" s="866" t="str">
        <f>VLOOKUP(N114,etat!$A$9:$P$905,16,FALSE)</f>
        <v>اخ3</v>
      </c>
      <c r="T114" s="755">
        <v>45776</v>
      </c>
      <c r="U114" s="791">
        <v>8</v>
      </c>
      <c r="V114" s="784" t="s">
        <v>2283</v>
      </c>
      <c r="W114" s="784"/>
      <c r="X114" s="784"/>
      <c r="Y114" s="975"/>
      <c r="Z114" s="975"/>
      <c r="AA114" s="967">
        <v>4</v>
      </c>
      <c r="AH114" s="910"/>
      <c r="AI114" s="862"/>
      <c r="AJ114" s="302"/>
      <c r="AK114" s="910"/>
      <c r="AL114" s="911"/>
      <c r="AM114" s="911"/>
      <c r="AN114" s="911"/>
      <c r="AO114" s="911"/>
      <c r="AP114" s="912"/>
      <c r="AQ114" s="911"/>
      <c r="AR114" s="911"/>
      <c r="AS114" s="911"/>
      <c r="AT114" s="26"/>
      <c r="AU114" s="26"/>
      <c r="AV114" s="26"/>
    </row>
    <row r="115" spans="1:79" s="25" customFormat="1" ht="15.6" customHeight="1">
      <c r="D115" s="295"/>
      <c r="E115" s="295"/>
      <c r="F115" s="295"/>
      <c r="G115" s="295"/>
      <c r="H115" s="295"/>
      <c r="L115" s="777">
        <v>5</v>
      </c>
      <c r="M115" s="778"/>
      <c r="N115" s="976">
        <v>65</v>
      </c>
      <c r="O115" s="1020">
        <v>58</v>
      </c>
      <c r="P115" s="847">
        <f>VLOOKUP(N115,etat!$A$9:$N$1004,2,FALSE)</f>
        <v>0</v>
      </c>
      <c r="Q115" s="797" t="str">
        <f>VLOOKUP(N115,etat!$A$9:$N$963,7,FALSE)</f>
        <v>3ت ا ق2</v>
      </c>
      <c r="R115" s="797" t="str">
        <f>VLOOKUP(N115,etat!$A$9:$N$1003,9,FALSE)</f>
        <v>خ</v>
      </c>
      <c r="S115" s="866" t="str">
        <f>VLOOKUP(N115,etat!$A$9:$P$905,16,FALSE)</f>
        <v>اخ3</v>
      </c>
      <c r="T115" s="755">
        <v>45776</v>
      </c>
      <c r="U115" s="791">
        <v>8</v>
      </c>
      <c r="V115" s="784" t="s">
        <v>2283</v>
      </c>
      <c r="W115" s="784"/>
      <c r="X115" s="784"/>
      <c r="Y115" s="975"/>
      <c r="Z115" s="975"/>
      <c r="AA115" s="967">
        <v>4</v>
      </c>
      <c r="AH115" s="910"/>
      <c r="AI115" s="862"/>
      <c r="AJ115" s="302"/>
      <c r="AK115" s="910"/>
      <c r="AL115" s="911"/>
      <c r="AM115" s="911"/>
      <c r="AN115" s="911"/>
      <c r="AO115" s="911"/>
      <c r="AP115" s="912"/>
      <c r="AQ115" s="911"/>
      <c r="AR115" s="911"/>
      <c r="AS115" s="911"/>
      <c r="AT115" s="26"/>
      <c r="AU115" s="26"/>
      <c r="AV115" s="26"/>
    </row>
    <row r="116" spans="1:79" s="25" customFormat="1" ht="15.6" customHeight="1">
      <c r="D116" s="295"/>
      <c r="E116" s="295"/>
      <c r="F116" s="295"/>
      <c r="G116" s="295"/>
      <c r="H116" s="295"/>
      <c r="L116" s="777">
        <v>5</v>
      </c>
      <c r="M116" s="778"/>
      <c r="N116" s="976">
        <v>66</v>
      </c>
      <c r="O116" s="1020">
        <v>59</v>
      </c>
      <c r="P116" s="847">
        <f>VLOOKUP(N116,etat!$A$9:$N$1004,2,FALSE)</f>
        <v>0</v>
      </c>
      <c r="Q116" s="797" t="str">
        <f>VLOOKUP(N116,etat!$A$9:$N$963,7,FALSE)</f>
        <v>3ت ا ق2</v>
      </c>
      <c r="R116" s="797" t="str">
        <f>VLOOKUP(N116,etat!$A$9:$N$1003,9,FALSE)</f>
        <v>خ</v>
      </c>
      <c r="S116" s="866" t="str">
        <f>VLOOKUP(N116,etat!$A$9:$P$905,16,FALSE)</f>
        <v>ذخ3</v>
      </c>
      <c r="T116" s="755">
        <v>45782</v>
      </c>
      <c r="U116" s="791">
        <v>1</v>
      </c>
      <c r="V116" s="784"/>
      <c r="W116" s="784"/>
      <c r="X116" s="784"/>
      <c r="Y116" s="1117"/>
      <c r="Z116" s="967"/>
      <c r="AA116" s="967">
        <v>4</v>
      </c>
      <c r="AH116" s="910"/>
      <c r="AI116" s="862"/>
      <c r="AJ116" s="302"/>
      <c r="AK116" s="910"/>
      <c r="AL116" s="911"/>
      <c r="AM116" s="911"/>
      <c r="AN116" s="911"/>
      <c r="AO116" s="911"/>
      <c r="AP116" s="912"/>
      <c r="AQ116" s="911"/>
      <c r="AR116" s="911"/>
      <c r="AS116" s="911"/>
      <c r="AT116" s="26"/>
      <c r="AU116" s="26"/>
      <c r="AV116" s="26"/>
    </row>
    <row r="117" spans="1:79" s="25" customFormat="1" ht="15.6" customHeight="1">
      <c r="D117" s="295"/>
      <c r="E117" s="295"/>
      <c r="F117" s="295"/>
      <c r="G117" s="295"/>
      <c r="H117" s="295"/>
      <c r="L117" s="777">
        <v>5</v>
      </c>
      <c r="M117" s="778"/>
      <c r="N117" s="976">
        <v>67</v>
      </c>
      <c r="O117" s="1020">
        <v>60</v>
      </c>
      <c r="P117" s="847">
        <f>VLOOKUP(N117,etat!$A$9:$N$1004,2,FALSE)</f>
        <v>0</v>
      </c>
      <c r="Q117" s="797" t="str">
        <f>VLOOKUP(N117,etat!$A$9:$N$963,7,FALSE)</f>
        <v>3ت ا ق2</v>
      </c>
      <c r="R117" s="797" t="str">
        <f>VLOOKUP(N117,etat!$A$9:$N$1003,9,FALSE)</f>
        <v>خ</v>
      </c>
      <c r="S117" s="866" t="str">
        <f>VLOOKUP(N117,etat!$A$9:$P$905,16,FALSE)</f>
        <v>اخ3</v>
      </c>
      <c r="T117" s="755">
        <v>45781</v>
      </c>
      <c r="U117" s="791">
        <v>3</v>
      </c>
      <c r="V117" s="784" t="s">
        <v>2285</v>
      </c>
      <c r="W117" s="784"/>
      <c r="X117" s="784"/>
      <c r="Y117" s="1118"/>
      <c r="Z117" s="975" t="str">
        <f>VLOOKUP(L117,[2]اس!$S$3:$X$31,3,FALSE)</f>
        <v>.</v>
      </c>
      <c r="AA117" s="967">
        <v>4</v>
      </c>
      <c r="AH117" s="910"/>
      <c r="AI117" s="862"/>
      <c r="AJ117" s="302"/>
      <c r="AK117" s="910"/>
      <c r="AL117" s="911"/>
      <c r="AM117" s="911"/>
      <c r="AN117" s="911"/>
      <c r="AO117" s="911"/>
      <c r="AP117" s="912"/>
      <c r="AQ117" s="911"/>
      <c r="AR117" s="911"/>
      <c r="AS117" s="911"/>
      <c r="AT117" s="26"/>
      <c r="AU117" s="26"/>
      <c r="AV117" s="26"/>
    </row>
    <row r="118" spans="1:79" s="25" customFormat="1" ht="15.6" customHeight="1">
      <c r="D118" s="295"/>
      <c r="E118" s="295"/>
      <c r="F118" s="295"/>
      <c r="G118" s="295"/>
      <c r="H118" s="295"/>
      <c r="L118" s="777">
        <v>5</v>
      </c>
      <c r="M118" s="778"/>
      <c r="N118" s="976">
        <v>68</v>
      </c>
      <c r="O118" s="1020">
        <v>61</v>
      </c>
      <c r="P118" s="847">
        <f>VLOOKUP(N118,etat!$A$9:$N$1004,2,FALSE)</f>
        <v>0</v>
      </c>
      <c r="Q118" s="797" t="str">
        <f>VLOOKUP(N118,etat!$A$9:$N$963,7,FALSE)</f>
        <v>3ت ا ق2</v>
      </c>
      <c r="R118" s="797" t="str">
        <f>VLOOKUP(N118,etat!$A$9:$N$1003,9,FALSE)</f>
        <v>خ</v>
      </c>
      <c r="S118" s="866" t="str">
        <f>VLOOKUP(N118,etat!$A$9:$P$905,16,FALSE)</f>
        <v>اخ3</v>
      </c>
      <c r="T118" s="755">
        <v>45782</v>
      </c>
      <c r="U118" s="791">
        <v>1</v>
      </c>
      <c r="V118" s="784"/>
      <c r="W118" s="784"/>
      <c r="X118" s="784"/>
      <c r="Y118" s="1134"/>
      <c r="Z118" s="967"/>
      <c r="AA118" s="967">
        <v>4</v>
      </c>
      <c r="AH118" s="910"/>
      <c r="AI118" s="862"/>
      <c r="AJ118" s="302"/>
      <c r="AK118" s="910"/>
      <c r="AL118" s="911"/>
      <c r="AM118" s="911"/>
      <c r="AN118" s="911"/>
      <c r="AO118" s="911"/>
      <c r="AP118" s="912"/>
      <c r="AQ118" s="911"/>
      <c r="AR118" s="911"/>
      <c r="AS118" s="911"/>
      <c r="AT118" s="26"/>
      <c r="AU118" s="26"/>
      <c r="AV118" s="26"/>
    </row>
    <row r="119" spans="1:79" s="25" customFormat="1" ht="15.6" customHeight="1">
      <c r="D119" s="295"/>
      <c r="E119" s="295"/>
      <c r="F119" s="295"/>
      <c r="G119" s="295"/>
      <c r="H119" s="295"/>
      <c r="L119" s="777">
        <v>5</v>
      </c>
      <c r="M119" s="778"/>
      <c r="N119" s="976">
        <v>69</v>
      </c>
      <c r="O119" s="1020">
        <v>62</v>
      </c>
      <c r="P119" s="847">
        <f>VLOOKUP(N119,etat!$A$9:$N$1004,2,FALSE)</f>
        <v>0</v>
      </c>
      <c r="Q119" s="797" t="str">
        <f>VLOOKUP(N119,etat!$A$9:$N$963,7,FALSE)</f>
        <v>3ع ت1</v>
      </c>
      <c r="R119" s="797" t="str">
        <f>VLOOKUP(N119,etat!$A$9:$N$1003,9,FALSE)</f>
        <v>ن/د</v>
      </c>
      <c r="S119" s="866" t="str">
        <f>VLOOKUP(N119,etat!$A$9:$P$905,16,FALSE)</f>
        <v>ذخ3</v>
      </c>
      <c r="T119" s="755">
        <v>45768</v>
      </c>
      <c r="U119" s="791">
        <v>16</v>
      </c>
      <c r="V119" s="784" t="s">
        <v>2275</v>
      </c>
      <c r="W119" s="784" t="s">
        <v>2283</v>
      </c>
      <c r="X119" s="784"/>
      <c r="Y119" s="975"/>
      <c r="Z119" s="975" t="str">
        <f>VLOOKUP(L119,[2]اس!$S$3:$X$31,3,FALSE)</f>
        <v>.</v>
      </c>
      <c r="AA119" s="967">
        <v>4</v>
      </c>
      <c r="AH119" s="910"/>
      <c r="AI119" s="862"/>
      <c r="AJ119" s="302"/>
      <c r="AK119" s="910"/>
      <c r="AL119" s="911"/>
      <c r="AM119" s="911"/>
      <c r="AN119" s="911"/>
      <c r="AO119" s="911"/>
      <c r="AP119" s="912"/>
      <c r="AQ119" s="911"/>
      <c r="AR119" s="911"/>
      <c r="AS119" s="911"/>
      <c r="AT119" s="26"/>
      <c r="AU119" s="26"/>
      <c r="AV119" s="26"/>
    </row>
    <row r="120" spans="1:79" s="25" customFormat="1" ht="15.6" customHeight="1">
      <c r="D120" s="295"/>
      <c r="E120" s="295"/>
      <c r="F120" s="295"/>
      <c r="G120" s="295"/>
      <c r="H120" s="295"/>
      <c r="L120" s="777">
        <v>5</v>
      </c>
      <c r="M120" s="778"/>
      <c r="N120" s="976">
        <v>70</v>
      </c>
      <c r="O120" s="1020">
        <v>63</v>
      </c>
      <c r="P120" s="847">
        <f>VLOOKUP(N120,etat!$A$9:$N$1004,2,FALSE)</f>
        <v>0</v>
      </c>
      <c r="Q120" s="797" t="str">
        <f>VLOOKUP(N120,etat!$A$9:$N$963,7,FALSE)</f>
        <v>3ع ت1</v>
      </c>
      <c r="R120" s="797" t="str">
        <f>VLOOKUP(N120,etat!$A$9:$N$1003,9,FALSE)</f>
        <v>ن/د</v>
      </c>
      <c r="S120" s="866" t="str">
        <f>VLOOKUP(N120,etat!$A$9:$P$905,16,FALSE)</f>
        <v>ذخ3</v>
      </c>
      <c r="T120" s="755">
        <v>45781</v>
      </c>
      <c r="U120" s="791">
        <v>3</v>
      </c>
      <c r="V120" s="784" t="s">
        <v>2285</v>
      </c>
      <c r="W120" s="784"/>
      <c r="X120" s="784"/>
      <c r="Y120" s="1116"/>
      <c r="Z120" s="975"/>
      <c r="AA120" s="967">
        <v>4</v>
      </c>
      <c r="AH120" s="910"/>
      <c r="AI120" s="862"/>
      <c r="AJ120" s="302"/>
      <c r="AK120" s="910"/>
      <c r="AL120" s="911"/>
      <c r="AM120" s="911"/>
      <c r="AN120" s="911"/>
      <c r="AO120" s="911"/>
      <c r="AP120" s="912"/>
      <c r="AQ120" s="911"/>
      <c r="AR120" s="911"/>
      <c r="AS120" s="911"/>
      <c r="AT120" s="26"/>
      <c r="AU120" s="26"/>
      <c r="AV120" s="26"/>
    </row>
    <row r="121" spans="1:79" s="25" customFormat="1" ht="15.6" customHeight="1">
      <c r="D121" s="295"/>
      <c r="E121" s="295"/>
      <c r="F121" s="295"/>
      <c r="G121" s="295"/>
      <c r="H121" s="295"/>
      <c r="L121" s="777">
        <v>5</v>
      </c>
      <c r="M121" s="778"/>
      <c r="N121" s="976">
        <v>73</v>
      </c>
      <c r="O121" s="1020">
        <v>64</v>
      </c>
      <c r="P121" s="847">
        <f>VLOOKUP(N121,etat!$A$9:$N$1004,2,FALSE)</f>
        <v>0</v>
      </c>
      <c r="Q121" s="797" t="str">
        <f>VLOOKUP(N121,etat!$A$9:$N$963,7,FALSE)</f>
        <v>3ع ت1</v>
      </c>
      <c r="R121" s="797" t="str">
        <f>VLOOKUP(N121,etat!$A$9:$N$1003,9,FALSE)</f>
        <v>ن/د</v>
      </c>
      <c r="S121" s="866" t="str">
        <f>VLOOKUP(N121,etat!$A$9:$P$905,16,FALSE)</f>
        <v>ان/د3</v>
      </c>
      <c r="T121" s="755">
        <v>45769</v>
      </c>
      <c r="U121" s="791">
        <v>15</v>
      </c>
      <c r="V121" s="784" t="s">
        <v>2278</v>
      </c>
      <c r="W121" s="784" t="s">
        <v>2283</v>
      </c>
      <c r="X121" s="784"/>
      <c r="Y121" s="975"/>
      <c r="Z121" s="975" t="str">
        <f>VLOOKUP(L121,[2]اس!$S$3:$X$31,3,FALSE)</f>
        <v>.</v>
      </c>
      <c r="AA121" s="967">
        <v>4</v>
      </c>
      <c r="AH121" s="910"/>
      <c r="AI121" s="862"/>
      <c r="AJ121" s="302"/>
      <c r="AK121" s="910"/>
      <c r="AL121" s="911"/>
      <c r="AM121" s="911"/>
      <c r="AN121" s="911"/>
      <c r="AO121" s="911"/>
      <c r="AP121" s="912"/>
      <c r="AQ121" s="911"/>
      <c r="AR121" s="911"/>
      <c r="AS121" s="911"/>
      <c r="AT121" s="26"/>
      <c r="AU121" s="26"/>
      <c r="AV121" s="26"/>
    </row>
    <row r="122" spans="1:79" s="25" customFormat="1" ht="15.6" customHeight="1">
      <c r="D122" s="295"/>
      <c r="E122" s="295"/>
      <c r="F122" s="295"/>
      <c r="G122" s="295"/>
      <c r="H122" s="295"/>
      <c r="L122" s="777">
        <v>5</v>
      </c>
      <c r="M122" s="778"/>
      <c r="N122" s="976">
        <v>74</v>
      </c>
      <c r="O122" s="1020">
        <v>65</v>
      </c>
      <c r="P122" s="847">
        <f>VLOOKUP(N122,etat!$A$9:$N$1004,2,FALSE)</f>
        <v>0</v>
      </c>
      <c r="Q122" s="797" t="str">
        <f>VLOOKUP(N122,etat!$A$9:$N$963,7,FALSE)</f>
        <v>3ع ت1</v>
      </c>
      <c r="R122" s="797" t="str">
        <f>VLOOKUP(N122,etat!$A$9:$N$1003,9,FALSE)</f>
        <v>خ</v>
      </c>
      <c r="S122" s="866" t="str">
        <f>VLOOKUP(N122,etat!$A$9:$P$905,16,FALSE)</f>
        <v>ان/د3</v>
      </c>
      <c r="T122" s="755">
        <v>45782</v>
      </c>
      <c r="U122" s="791">
        <v>1</v>
      </c>
      <c r="V122" s="784"/>
      <c r="W122" s="784"/>
      <c r="X122" s="784"/>
      <c r="Y122" s="1117"/>
      <c r="Z122" s="967"/>
      <c r="AA122" s="967">
        <v>4</v>
      </c>
      <c r="AH122" s="910"/>
      <c r="AI122" s="862"/>
      <c r="AJ122" s="302"/>
      <c r="AK122" s="910"/>
      <c r="AL122" s="911"/>
      <c r="AM122" s="911"/>
      <c r="AN122" s="911"/>
      <c r="AO122" s="911"/>
      <c r="AP122" s="912"/>
      <c r="AQ122" s="911"/>
      <c r="AR122" s="911"/>
      <c r="AS122" s="911"/>
      <c r="AT122" s="26"/>
      <c r="AU122" s="26"/>
      <c r="AV122" s="26"/>
    </row>
    <row r="123" spans="1:79" s="25" customFormat="1" ht="15.6" customHeight="1">
      <c r="D123" s="295"/>
      <c r="E123" s="295"/>
      <c r="F123" s="295"/>
      <c r="G123" s="295"/>
      <c r="H123" s="295"/>
      <c r="L123" s="777">
        <v>5</v>
      </c>
      <c r="M123" s="864"/>
      <c r="N123" s="976">
        <v>75</v>
      </c>
      <c r="O123" s="1020">
        <v>66</v>
      </c>
      <c r="P123" s="847">
        <f>VLOOKUP(N123,etat!$A$9:$N$1004,2,FALSE)</f>
        <v>0</v>
      </c>
      <c r="Q123" s="797" t="str">
        <f>VLOOKUP(N123,etat!$A$9:$N$963,7,FALSE)</f>
        <v>3ع ت1</v>
      </c>
      <c r="R123" s="797" t="str">
        <f>VLOOKUP(N123,etat!$A$9:$N$1003,9,FALSE)</f>
        <v>خ</v>
      </c>
      <c r="S123" s="866" t="str">
        <f>VLOOKUP(N123,etat!$A$9:$P$905,16,FALSE)</f>
        <v>اخ3</v>
      </c>
      <c r="T123" s="755">
        <v>45769</v>
      </c>
      <c r="U123" s="791">
        <v>15</v>
      </c>
      <c r="V123" s="784" t="s">
        <v>2278</v>
      </c>
      <c r="W123" s="784" t="s">
        <v>2283</v>
      </c>
      <c r="X123" s="784"/>
      <c r="Y123" s="975"/>
      <c r="Z123" s="975" t="str">
        <f>VLOOKUP(L123,[2]اس!$S$3:$X$31,3,FALSE)</f>
        <v>.</v>
      </c>
      <c r="AA123" s="967">
        <v>4</v>
      </c>
      <c r="AH123" s="910"/>
      <c r="AI123" s="862"/>
      <c r="AJ123" s="302"/>
      <c r="AK123" s="910"/>
      <c r="AL123" s="911"/>
      <c r="AM123" s="911"/>
      <c r="AN123" s="911"/>
      <c r="AO123" s="911"/>
      <c r="AP123" s="912"/>
      <c r="AQ123" s="911"/>
      <c r="AR123" s="911"/>
      <c r="AS123" s="911"/>
      <c r="AT123" s="26"/>
      <c r="AU123" s="26"/>
      <c r="AV123" s="26"/>
    </row>
    <row r="124" spans="1:79" ht="15.6" customHeight="1">
      <c r="A124" s="25"/>
      <c r="B124" s="25"/>
      <c r="C124" s="25"/>
      <c r="D124" s="295"/>
      <c r="E124" s="295"/>
      <c r="F124" s="295"/>
      <c r="G124" s="295"/>
      <c r="H124" s="295"/>
      <c r="I124" s="25"/>
      <c r="J124" s="25"/>
      <c r="K124" s="25"/>
      <c r="L124" s="777">
        <v>5</v>
      </c>
      <c r="M124" s="864"/>
      <c r="N124" s="976">
        <v>77</v>
      </c>
      <c r="O124" s="1020">
        <v>67</v>
      </c>
      <c r="P124" s="847">
        <f>VLOOKUP(N124,etat!$A$9:$N$1004,2,FALSE)</f>
        <v>0</v>
      </c>
      <c r="Q124" s="797" t="str">
        <f>VLOOKUP(N124,etat!$A$9:$N$963,7,FALSE)</f>
        <v>3ع ت1</v>
      </c>
      <c r="R124" s="797" t="str">
        <f>VLOOKUP(N124,etat!$A$9:$N$1003,9,FALSE)</f>
        <v>خ</v>
      </c>
      <c r="S124" s="866" t="str">
        <f>VLOOKUP(N124,etat!$A$9:$P$905,16,FALSE)</f>
        <v>ذخ3</v>
      </c>
      <c r="T124" s="755">
        <v>45782</v>
      </c>
      <c r="U124" s="791">
        <v>1</v>
      </c>
      <c r="V124" s="784"/>
      <c r="W124" s="784"/>
      <c r="X124" s="784"/>
      <c r="Y124" s="1117"/>
      <c r="Z124" s="967"/>
      <c r="AA124" s="967">
        <v>4</v>
      </c>
      <c r="AB124" s="25"/>
      <c r="AC124" s="25"/>
      <c r="AD124" s="25"/>
      <c r="AE124" s="25"/>
      <c r="AF124" s="25"/>
      <c r="AG124" s="25"/>
      <c r="AH124" s="910"/>
      <c r="AI124" s="862"/>
      <c r="AJ124" s="302"/>
      <c r="AK124" s="910"/>
      <c r="AL124" s="911"/>
      <c r="AM124" s="911"/>
      <c r="AN124" s="911"/>
      <c r="AO124" s="911"/>
      <c r="AP124" s="912"/>
      <c r="AQ124" s="911"/>
      <c r="AR124" s="911"/>
      <c r="AS124" s="911"/>
      <c r="AT124" s="26"/>
      <c r="AU124" s="26"/>
      <c r="AV124" s="26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</row>
    <row r="125" spans="1:79" ht="15.6" customHeight="1">
      <c r="A125" s="25"/>
      <c r="B125" s="25"/>
      <c r="C125" s="25"/>
      <c r="D125" s="295"/>
      <c r="E125" s="295"/>
      <c r="F125" s="295"/>
      <c r="G125" s="295"/>
      <c r="H125" s="295"/>
      <c r="I125" s="25"/>
      <c r="J125" s="25"/>
      <c r="K125" s="25"/>
      <c r="L125" s="777">
        <v>5</v>
      </c>
      <c r="M125" s="778"/>
      <c r="N125" s="976">
        <v>78</v>
      </c>
      <c r="O125" s="1020">
        <v>68</v>
      </c>
      <c r="P125" s="847">
        <f>VLOOKUP(N125,etat!$A$9:$N$1004,2,FALSE)</f>
        <v>0</v>
      </c>
      <c r="Q125" s="797" t="str">
        <f>VLOOKUP(N125,etat!$A$9:$N$963,7,FALSE)</f>
        <v>3ع ت1</v>
      </c>
      <c r="R125" s="797" t="str">
        <f>VLOOKUP(N125,etat!$A$9:$N$1003,9,FALSE)</f>
        <v>خ</v>
      </c>
      <c r="S125" s="866" t="str">
        <f>VLOOKUP(N125,etat!$A$9:$P$905,16,FALSE)</f>
        <v>ذخ3</v>
      </c>
      <c r="T125" s="755">
        <v>45781</v>
      </c>
      <c r="U125" s="791">
        <v>3</v>
      </c>
      <c r="V125" s="784" t="s">
        <v>2285</v>
      </c>
      <c r="W125" s="784"/>
      <c r="X125" s="784"/>
      <c r="Y125" s="1118"/>
      <c r="Z125" s="975"/>
      <c r="AA125" s="967">
        <v>4</v>
      </c>
      <c r="AB125" s="25"/>
      <c r="AC125" s="25"/>
      <c r="AD125" s="25"/>
      <c r="AE125" s="25"/>
      <c r="AF125" s="25"/>
      <c r="AG125" s="25"/>
      <c r="AH125" s="910"/>
      <c r="AI125" s="862"/>
      <c r="AJ125" s="302"/>
      <c r="AK125" s="910"/>
      <c r="AL125" s="911"/>
      <c r="AM125" s="911"/>
      <c r="AN125" s="911"/>
      <c r="AO125" s="911"/>
      <c r="AP125" s="912"/>
      <c r="AQ125" s="911"/>
      <c r="AR125" s="911"/>
      <c r="AS125" s="911"/>
      <c r="AT125" s="26"/>
      <c r="AU125" s="26"/>
      <c r="AV125" s="26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</row>
    <row r="126" spans="1:79" s="966" customFormat="1" ht="15.6" customHeight="1">
      <c r="A126" s="25"/>
      <c r="B126" s="25"/>
      <c r="C126" s="25"/>
      <c r="D126" s="295"/>
      <c r="E126" s="295"/>
      <c r="F126" s="295"/>
      <c r="G126" s="295"/>
      <c r="H126" s="295"/>
      <c r="I126" s="25"/>
      <c r="J126" s="25"/>
      <c r="K126" s="25"/>
      <c r="L126" s="777">
        <v>5</v>
      </c>
      <c r="M126" s="778"/>
      <c r="N126" s="976">
        <v>79</v>
      </c>
      <c r="O126" s="1020">
        <v>69</v>
      </c>
      <c r="P126" s="847">
        <f>VLOOKUP(N126,etat!$A$9:$N$1004,2,FALSE)</f>
        <v>0</v>
      </c>
      <c r="Q126" s="797" t="str">
        <f>VLOOKUP(N126,etat!$A$9:$N$963,7,FALSE)</f>
        <v>3ع ت1</v>
      </c>
      <c r="R126" s="797" t="str">
        <f>VLOOKUP(N126,etat!$A$9:$N$1003,9,FALSE)</f>
        <v>خ</v>
      </c>
      <c r="S126" s="866" t="str">
        <f>VLOOKUP(N126,etat!$A$9:$P$905,16,FALSE)</f>
        <v>ذخ3</v>
      </c>
      <c r="T126" s="755">
        <v>45782</v>
      </c>
      <c r="U126" s="791">
        <v>1</v>
      </c>
      <c r="V126" s="784"/>
      <c r="W126" s="784"/>
      <c r="X126" s="784"/>
      <c r="Y126" s="975"/>
      <c r="Z126" s="975"/>
      <c r="AA126" s="967">
        <v>4</v>
      </c>
      <c r="AB126" s="25"/>
      <c r="AC126" s="25"/>
      <c r="AD126" s="25"/>
      <c r="AE126" s="25"/>
      <c r="AF126" s="25"/>
      <c r="AG126" s="25"/>
      <c r="AH126" s="910"/>
      <c r="AI126" s="862"/>
      <c r="AJ126" s="302"/>
      <c r="AK126" s="910"/>
      <c r="AL126" s="911"/>
      <c r="AM126" s="911"/>
      <c r="AN126" s="911"/>
      <c r="AO126" s="911"/>
      <c r="AP126" s="912"/>
      <c r="AQ126" s="911"/>
      <c r="AR126" s="911"/>
      <c r="AS126" s="911"/>
      <c r="AT126" s="26"/>
      <c r="AU126" s="26"/>
      <c r="AV126" s="26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</row>
    <row r="127" spans="1:79" s="966" customFormat="1" ht="15.6" customHeight="1">
      <c r="A127" s="25"/>
      <c r="B127" s="25"/>
      <c r="C127" s="25"/>
      <c r="D127" s="295"/>
      <c r="E127" s="295"/>
      <c r="F127" s="295"/>
      <c r="G127" s="295"/>
      <c r="H127" s="295"/>
      <c r="I127" s="25"/>
      <c r="J127" s="25"/>
      <c r="K127" s="25"/>
      <c r="L127" s="777">
        <v>5</v>
      </c>
      <c r="M127" s="778"/>
      <c r="N127" s="976">
        <v>80</v>
      </c>
      <c r="O127" s="1020">
        <v>70</v>
      </c>
      <c r="P127" s="847">
        <f>VLOOKUP(N127,etat!$A$9:$N$1004,2,FALSE)</f>
        <v>0</v>
      </c>
      <c r="Q127" s="797" t="str">
        <f>VLOOKUP(N127,etat!$A$9:$N$963,7,FALSE)</f>
        <v>3ع ت1</v>
      </c>
      <c r="R127" s="797" t="str">
        <f>VLOOKUP(N127,etat!$A$9:$N$1003,9,FALSE)</f>
        <v>خ</v>
      </c>
      <c r="S127" s="866" t="str">
        <f>VLOOKUP(N127,etat!$A$9:$P$905,16,FALSE)</f>
        <v>اخ3</v>
      </c>
      <c r="T127" s="755">
        <v>45782</v>
      </c>
      <c r="U127" s="791">
        <v>1</v>
      </c>
      <c r="V127" s="784"/>
      <c r="W127" s="784"/>
      <c r="X127" s="784"/>
      <c r="Y127" s="975"/>
      <c r="Z127" s="975"/>
      <c r="AA127" s="967">
        <v>4</v>
      </c>
      <c r="AB127" s="25"/>
      <c r="AC127" s="25"/>
      <c r="AD127" s="25"/>
      <c r="AE127" s="25"/>
      <c r="AF127" s="25"/>
      <c r="AG127" s="25"/>
      <c r="AH127" s="910"/>
      <c r="AI127" s="862"/>
      <c r="AJ127" s="302"/>
      <c r="AK127" s="910"/>
      <c r="AL127" s="911"/>
      <c r="AM127" s="911"/>
      <c r="AN127" s="911"/>
      <c r="AO127" s="911"/>
      <c r="AP127" s="912"/>
      <c r="AQ127" s="911"/>
      <c r="AR127" s="911"/>
      <c r="AS127" s="911"/>
      <c r="AT127" s="26"/>
      <c r="AU127" s="26"/>
      <c r="AV127" s="26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</row>
    <row r="128" spans="1:79" s="935" customFormat="1" ht="15.6" customHeight="1">
      <c r="A128" s="25"/>
      <c r="B128" s="25"/>
      <c r="C128" s="25"/>
      <c r="D128" s="295"/>
      <c r="E128" s="295"/>
      <c r="F128" s="295"/>
      <c r="G128" s="295"/>
      <c r="H128" s="295"/>
      <c r="I128" s="25"/>
      <c r="J128" s="25"/>
      <c r="K128" s="25"/>
      <c r="L128" s="777">
        <v>5</v>
      </c>
      <c r="M128" s="778"/>
      <c r="N128" s="976">
        <v>81</v>
      </c>
      <c r="O128" s="1020">
        <v>71</v>
      </c>
      <c r="P128" s="847">
        <f>VLOOKUP(N128,etat!$A$9:$N$1004,2,FALSE)</f>
        <v>0</v>
      </c>
      <c r="Q128" s="797" t="str">
        <f>VLOOKUP(N128,etat!$A$9:$N$963,7,FALSE)</f>
        <v>3ع ت1</v>
      </c>
      <c r="R128" s="797" t="str">
        <f>VLOOKUP(N128,etat!$A$9:$N$1003,9,FALSE)</f>
        <v>خ</v>
      </c>
      <c r="S128" s="866" t="str">
        <f>VLOOKUP(N128,etat!$A$9:$P$905,16,FALSE)</f>
        <v>ذخ3</v>
      </c>
      <c r="T128" s="755">
        <v>45782</v>
      </c>
      <c r="U128" s="791">
        <v>1</v>
      </c>
      <c r="V128" s="784"/>
      <c r="W128" s="784"/>
      <c r="X128" s="784"/>
      <c r="Y128" s="975"/>
      <c r="Z128" s="975"/>
      <c r="AA128" s="967">
        <v>4</v>
      </c>
      <c r="AB128" s="25"/>
      <c r="AC128" s="25"/>
      <c r="AD128" s="25"/>
      <c r="AE128" s="25"/>
      <c r="AF128" s="25"/>
      <c r="AG128" s="25"/>
      <c r="AH128" s="910"/>
      <c r="AI128" s="862"/>
      <c r="AJ128" s="302"/>
      <c r="AK128" s="910"/>
      <c r="AL128" s="911"/>
      <c r="AM128" s="911"/>
      <c r="AN128" s="911"/>
      <c r="AO128" s="911"/>
      <c r="AP128" s="912"/>
      <c r="AQ128" s="911"/>
      <c r="AR128" s="911"/>
      <c r="AS128" s="911"/>
      <c r="AT128" s="26"/>
      <c r="AU128" s="26"/>
      <c r="AV128" s="26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</row>
    <row r="129" spans="1:79" s="935" customFormat="1" ht="15.6" customHeight="1">
      <c r="A129" s="25"/>
      <c r="B129" s="25"/>
      <c r="C129" s="25"/>
      <c r="D129" s="295"/>
      <c r="E129" s="295"/>
      <c r="F129" s="295"/>
      <c r="G129" s="295"/>
      <c r="H129" s="295"/>
      <c r="I129" s="25"/>
      <c r="J129" s="25"/>
      <c r="K129" s="25"/>
      <c r="L129" s="777">
        <v>5</v>
      </c>
      <c r="M129" s="778"/>
      <c r="N129" s="976">
        <v>82</v>
      </c>
      <c r="O129" s="1020">
        <v>72</v>
      </c>
      <c r="P129" s="847">
        <f>VLOOKUP(N129,etat!$A$9:$N$1004,2,FALSE)</f>
        <v>0</v>
      </c>
      <c r="Q129" s="797" t="str">
        <f>VLOOKUP(N129,etat!$A$9:$N$963,7,FALSE)</f>
        <v>3ع ت1</v>
      </c>
      <c r="R129" s="797" t="str">
        <f>VLOOKUP(N129,etat!$A$9:$N$1003,9,FALSE)</f>
        <v>خ</v>
      </c>
      <c r="S129" s="866" t="str">
        <f>VLOOKUP(N129,etat!$A$9:$P$905,16,FALSE)</f>
        <v>اخ3</v>
      </c>
      <c r="T129" s="755">
        <v>45782</v>
      </c>
      <c r="U129" s="791">
        <v>1</v>
      </c>
      <c r="V129" s="784"/>
      <c r="W129" s="784"/>
      <c r="X129" s="784"/>
      <c r="Y129" s="975"/>
      <c r="Z129" s="967"/>
      <c r="AA129" s="967">
        <v>4</v>
      </c>
      <c r="AB129" s="25"/>
      <c r="AC129" s="25"/>
      <c r="AD129" s="25"/>
      <c r="AE129" s="25"/>
      <c r="AF129" s="25"/>
      <c r="AG129" s="25"/>
      <c r="AH129" s="910"/>
      <c r="AI129" s="862"/>
      <c r="AJ129" s="302"/>
      <c r="AK129" s="910"/>
      <c r="AL129" s="911"/>
      <c r="AM129" s="911"/>
      <c r="AN129" s="911"/>
      <c r="AO129" s="911"/>
      <c r="AP129" s="912"/>
      <c r="AQ129" s="911"/>
      <c r="AR129" s="911"/>
      <c r="AS129" s="911"/>
      <c r="AT129" s="26"/>
      <c r="AU129" s="26"/>
      <c r="AV129" s="26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</row>
    <row r="130" spans="1:79" s="935" customFormat="1" ht="15.6" customHeight="1">
      <c r="A130" s="25"/>
      <c r="B130" s="25"/>
      <c r="C130" s="25"/>
      <c r="D130" s="295"/>
      <c r="E130" s="295"/>
      <c r="F130" s="295"/>
      <c r="G130" s="295"/>
      <c r="H130" s="295"/>
      <c r="I130" s="25"/>
      <c r="J130" s="25"/>
      <c r="K130" s="25"/>
      <c r="L130" s="777">
        <v>5</v>
      </c>
      <c r="M130" s="778"/>
      <c r="N130" s="976">
        <v>83</v>
      </c>
      <c r="O130" s="1020">
        <v>73</v>
      </c>
      <c r="P130" s="847">
        <f>VLOOKUP(N130,etat!$A$9:$N$1004,2,FALSE)</f>
        <v>0</v>
      </c>
      <c r="Q130" s="797" t="str">
        <f>VLOOKUP(N130,etat!$A$9:$N$963,7,FALSE)</f>
        <v>3ع ت1</v>
      </c>
      <c r="R130" s="797" t="str">
        <f>VLOOKUP(N130,etat!$A$9:$N$1003,9,FALSE)</f>
        <v>خ</v>
      </c>
      <c r="S130" s="866" t="str">
        <f>VLOOKUP(N130,etat!$A$9:$P$905,16,FALSE)</f>
        <v>اخ3</v>
      </c>
      <c r="T130" s="755">
        <v>45781</v>
      </c>
      <c r="U130" s="791">
        <v>3</v>
      </c>
      <c r="V130" s="784" t="s">
        <v>2285</v>
      </c>
      <c r="W130" s="784"/>
      <c r="X130" s="784"/>
      <c r="Y130" s="975"/>
      <c r="Z130" s="975"/>
      <c r="AA130" s="967">
        <v>4</v>
      </c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</row>
    <row r="131" spans="1:79" s="935" customFormat="1" ht="15.6" customHeight="1">
      <c r="A131" s="25"/>
      <c r="B131" s="25"/>
      <c r="C131" s="25"/>
      <c r="D131" s="295"/>
      <c r="E131" s="295"/>
      <c r="F131" s="295"/>
      <c r="G131" s="295"/>
      <c r="H131" s="295"/>
      <c r="I131" s="25"/>
      <c r="J131" s="25"/>
      <c r="K131" s="25"/>
      <c r="L131" s="777">
        <v>5</v>
      </c>
      <c r="M131" s="778"/>
      <c r="N131" s="976">
        <v>84</v>
      </c>
      <c r="O131" s="1020">
        <v>74</v>
      </c>
      <c r="P131" s="847">
        <f>VLOOKUP(N131,etat!$A$9:$N$1004,2,FALSE)</f>
        <v>0</v>
      </c>
      <c r="Q131" s="797" t="str">
        <f>VLOOKUP(N131,etat!$A$9:$N$963,7,FALSE)</f>
        <v>3ع ت1</v>
      </c>
      <c r="R131" s="797" t="str">
        <f>VLOOKUP(N131,etat!$A$9:$N$1003,9,FALSE)</f>
        <v>خ</v>
      </c>
      <c r="S131" s="866" t="str">
        <f>VLOOKUP(N131,etat!$A$9:$P$905,16,FALSE)</f>
        <v>اخ3</v>
      </c>
      <c r="T131" s="755">
        <v>45781</v>
      </c>
      <c r="U131" s="791">
        <v>3</v>
      </c>
      <c r="V131" s="784" t="s">
        <v>2285</v>
      </c>
      <c r="W131" s="784"/>
      <c r="X131" s="784"/>
      <c r="Y131" s="975"/>
      <c r="Z131" s="975"/>
      <c r="AA131" s="967">
        <v>4</v>
      </c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</row>
    <row r="132" spans="1:79" s="966" customFormat="1" ht="15.6" customHeight="1">
      <c r="A132" s="25"/>
      <c r="B132" s="25"/>
      <c r="C132" s="25"/>
      <c r="D132" s="295"/>
      <c r="E132" s="295"/>
      <c r="F132" s="295"/>
      <c r="G132" s="295"/>
      <c r="H132" s="295"/>
      <c r="I132" s="25"/>
      <c r="J132" s="25"/>
      <c r="K132" s="25"/>
      <c r="L132" s="777">
        <v>5</v>
      </c>
      <c r="M132" s="778"/>
      <c r="N132" s="976">
        <v>85</v>
      </c>
      <c r="O132" s="1020">
        <v>75</v>
      </c>
      <c r="P132" s="847">
        <f>VLOOKUP(N132,etat!$A$9:$N$1004,2,FALSE)</f>
        <v>0</v>
      </c>
      <c r="Q132" s="797" t="str">
        <f>VLOOKUP(N132,etat!$A$9:$N$963,7,FALSE)</f>
        <v>3ع ت1</v>
      </c>
      <c r="R132" s="797" t="str">
        <f>VLOOKUP(N132,etat!$A$9:$N$1003,9,FALSE)</f>
        <v>خ</v>
      </c>
      <c r="S132" s="866" t="str">
        <f>VLOOKUP(N132,etat!$A$9:$P$905,16,FALSE)</f>
        <v>اخ3</v>
      </c>
      <c r="T132" s="755">
        <v>45781</v>
      </c>
      <c r="U132" s="791">
        <v>3</v>
      </c>
      <c r="V132" s="784" t="s">
        <v>2285</v>
      </c>
      <c r="W132" s="784"/>
      <c r="X132" s="784"/>
      <c r="Y132" s="975"/>
      <c r="Z132" s="975"/>
      <c r="AA132" s="967">
        <v>4</v>
      </c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</row>
    <row r="133" spans="1:79" s="966" customFormat="1" ht="15.6" customHeight="1">
      <c r="A133" s="25"/>
      <c r="B133" s="25"/>
      <c r="C133" s="25"/>
      <c r="D133" s="295"/>
      <c r="E133" s="295"/>
      <c r="F133" s="295"/>
      <c r="G133" s="295"/>
      <c r="H133" s="295"/>
      <c r="I133" s="25"/>
      <c r="J133" s="25"/>
      <c r="K133" s="25"/>
      <c r="L133" s="777">
        <v>5</v>
      </c>
      <c r="M133" s="778"/>
      <c r="N133" s="976">
        <v>86</v>
      </c>
      <c r="O133" s="1020">
        <v>76</v>
      </c>
      <c r="P133" s="847">
        <f>VLOOKUP(N133,etat!$A$9:$N$1004,2,FALSE)</f>
        <v>0</v>
      </c>
      <c r="Q133" s="797" t="str">
        <f>VLOOKUP(N133,etat!$A$9:$N$963,7,FALSE)</f>
        <v>3ع ت1</v>
      </c>
      <c r="R133" s="866" t="str">
        <f>VLOOKUP(N133,etat!$A$9:$N$1003,9,FALSE)</f>
        <v>خ</v>
      </c>
      <c r="S133" s="866" t="str">
        <f>VLOOKUP(N133,etat!$A$9:$P$905,16,FALSE)</f>
        <v>اخ3</v>
      </c>
      <c r="T133" s="755">
        <v>45781</v>
      </c>
      <c r="U133" s="791">
        <v>3</v>
      </c>
      <c r="V133" s="784" t="s">
        <v>2285</v>
      </c>
      <c r="W133" s="784"/>
      <c r="X133" s="784"/>
      <c r="Y133" s="975"/>
      <c r="Z133" s="975"/>
      <c r="AA133" s="967">
        <v>4</v>
      </c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</row>
    <row r="134" spans="1:79" s="935" customFormat="1" ht="15.6" customHeight="1">
      <c r="A134" s="25"/>
      <c r="B134" s="25"/>
      <c r="C134" s="25"/>
      <c r="D134" s="295"/>
      <c r="E134" s="295"/>
      <c r="F134" s="295"/>
      <c r="G134" s="295"/>
      <c r="H134" s="295"/>
      <c r="I134" s="25"/>
      <c r="J134" s="25"/>
      <c r="K134" s="25"/>
      <c r="L134" s="777">
        <v>5</v>
      </c>
      <c r="M134" s="864"/>
      <c r="N134" s="976">
        <v>87</v>
      </c>
      <c r="O134" s="1020">
        <v>77</v>
      </c>
      <c r="P134" s="847">
        <f>VLOOKUP(N134,etat!$A$9:$N$1004,2,FALSE)</f>
        <v>0</v>
      </c>
      <c r="Q134" s="797" t="str">
        <f>VLOOKUP(N134,etat!$A$9:$N$963,7,FALSE)</f>
        <v>3ع ت1</v>
      </c>
      <c r="R134" s="797" t="str">
        <f>VLOOKUP(N134,etat!$A$9:$N$1003,9,FALSE)</f>
        <v>خ</v>
      </c>
      <c r="S134" s="866" t="str">
        <f>VLOOKUP(N134,etat!$A$9:$P$905,16,FALSE)</f>
        <v>اخ3</v>
      </c>
      <c r="T134" s="755">
        <v>45769</v>
      </c>
      <c r="U134" s="791">
        <v>15</v>
      </c>
      <c r="V134" s="784" t="s">
        <v>2278</v>
      </c>
      <c r="W134" s="784" t="s">
        <v>2283</v>
      </c>
      <c r="X134" s="784"/>
      <c r="Y134" s="975"/>
      <c r="Z134" s="975" t="str">
        <f>VLOOKUP(L134,[2]اس!$S$3:$X$31,3,FALSE)</f>
        <v>.</v>
      </c>
      <c r="AA134" s="967">
        <v>4</v>
      </c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</row>
    <row r="135" spans="1:79" s="935" customFormat="1" ht="15.6" customHeight="1">
      <c r="A135" s="25"/>
      <c r="B135" s="25"/>
      <c r="C135" s="25"/>
      <c r="D135" s="295"/>
      <c r="E135" s="295"/>
      <c r="F135" s="295"/>
      <c r="G135" s="295"/>
      <c r="H135" s="295"/>
      <c r="I135" s="25"/>
      <c r="J135" s="25"/>
      <c r="K135" s="25"/>
      <c r="L135" s="777">
        <v>5</v>
      </c>
      <c r="M135" s="778"/>
      <c r="N135" s="976">
        <v>88</v>
      </c>
      <c r="O135" s="1020">
        <v>78</v>
      </c>
      <c r="P135" s="847">
        <f>VLOOKUP(N135,etat!$A$9:$N$1004,2,FALSE)</f>
        <v>0</v>
      </c>
      <c r="Q135" s="797" t="str">
        <f>VLOOKUP(N135,etat!$A$9:$N$963,7,FALSE)</f>
        <v>3ع ت1</v>
      </c>
      <c r="R135" s="797" t="str">
        <f>VLOOKUP(N135,etat!$A$9:$N$1003,9,FALSE)</f>
        <v>خ</v>
      </c>
      <c r="S135" s="866" t="str">
        <f>VLOOKUP(N135,etat!$A$9:$P$905,16,FALSE)</f>
        <v>ذخ3</v>
      </c>
      <c r="T135" s="755">
        <v>45770</v>
      </c>
      <c r="U135" s="791">
        <v>14</v>
      </c>
      <c r="V135" s="784" t="s">
        <v>2280</v>
      </c>
      <c r="W135" s="784" t="s">
        <v>2283</v>
      </c>
      <c r="X135" s="784"/>
      <c r="Y135" s="975"/>
      <c r="Z135" s="975" t="str">
        <f>VLOOKUP(L135,[2]اس!$S$3:$X$31,3,FALSE)</f>
        <v>.</v>
      </c>
      <c r="AA135" s="967">
        <v>4</v>
      </c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</row>
    <row r="136" spans="1:79" s="935" customFormat="1" ht="15.6" customHeight="1">
      <c r="A136" s="25"/>
      <c r="B136" s="25"/>
      <c r="C136" s="25"/>
      <c r="D136" s="295"/>
      <c r="E136" s="295"/>
      <c r="F136" s="295"/>
      <c r="G136" s="295"/>
      <c r="H136" s="295"/>
      <c r="I136" s="25"/>
      <c r="J136" s="25"/>
      <c r="K136" s="25"/>
      <c r="L136" s="777">
        <v>5</v>
      </c>
      <c r="M136" s="778"/>
      <c r="N136" s="976">
        <v>89</v>
      </c>
      <c r="O136" s="1020">
        <v>79</v>
      </c>
      <c r="P136" s="847">
        <f>VLOOKUP(N136,etat!$A$9:$N$1004,2,FALSE)</f>
        <v>0</v>
      </c>
      <c r="Q136" s="797" t="str">
        <f>VLOOKUP(N136,etat!$A$9:$N$963,7,FALSE)</f>
        <v>3ع ت1</v>
      </c>
      <c r="R136" s="797" t="str">
        <f>VLOOKUP(N136,etat!$A$9:$N$1003,9,FALSE)</f>
        <v>خ</v>
      </c>
      <c r="S136" s="866" t="str">
        <f>VLOOKUP(N136,etat!$A$9:$P$905,16,FALSE)</f>
        <v>ذخ3</v>
      </c>
      <c r="T136" s="755">
        <v>45769</v>
      </c>
      <c r="U136" s="791">
        <v>15</v>
      </c>
      <c r="V136" s="784" t="s">
        <v>2278</v>
      </c>
      <c r="W136" s="784" t="s">
        <v>2283</v>
      </c>
      <c r="X136" s="784"/>
      <c r="Y136" s="975"/>
      <c r="Z136" s="975" t="str">
        <f>VLOOKUP(L136,[2]اس!$S$3:$X$31,3,FALSE)</f>
        <v>.</v>
      </c>
      <c r="AA136" s="967">
        <v>4</v>
      </c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</row>
    <row r="137" spans="1:79" s="935" customFormat="1" ht="15.6" customHeight="1">
      <c r="A137" s="25"/>
      <c r="B137" s="25"/>
      <c r="C137" s="25"/>
      <c r="D137" s="295"/>
      <c r="E137" s="295"/>
      <c r="F137" s="295"/>
      <c r="G137" s="295"/>
      <c r="H137" s="295"/>
      <c r="I137" s="25"/>
      <c r="J137" s="25"/>
      <c r="K137" s="25"/>
      <c r="L137" s="777">
        <v>5</v>
      </c>
      <c r="M137" s="778"/>
      <c r="N137" s="976">
        <v>90</v>
      </c>
      <c r="O137" s="1020">
        <v>80</v>
      </c>
      <c r="P137" s="847">
        <f>VLOOKUP(N137,etat!$A$9:$N$1004,2,FALSE)</f>
        <v>0</v>
      </c>
      <c r="Q137" s="797" t="str">
        <f>VLOOKUP(N137,etat!$A$9:$N$963,7,FALSE)</f>
        <v>3ع ت1</v>
      </c>
      <c r="R137" s="797" t="str">
        <f>VLOOKUP(N137,etat!$A$9:$N$1003,9,FALSE)</f>
        <v>خ</v>
      </c>
      <c r="S137" s="866" t="str">
        <f>VLOOKUP(N137,etat!$A$9:$P$905,16,FALSE)</f>
        <v>ذخ3</v>
      </c>
      <c r="T137" s="755">
        <v>45762</v>
      </c>
      <c r="U137" s="791">
        <v>22</v>
      </c>
      <c r="V137" s="784" t="s">
        <v>2268</v>
      </c>
      <c r="W137" s="784" t="s">
        <v>2278</v>
      </c>
      <c r="X137" s="784" t="s">
        <v>2283</v>
      </c>
      <c r="Y137" s="975"/>
      <c r="Z137" s="975" t="str">
        <f>VLOOKUP(L137,[2]اس!$S$3:$X$31,3,FALSE)</f>
        <v>.</v>
      </c>
      <c r="AA137" s="967">
        <v>4</v>
      </c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</row>
    <row r="138" spans="1:79" s="935" customFormat="1" ht="15.6" customHeight="1">
      <c r="A138" s="25"/>
      <c r="B138" s="25"/>
      <c r="C138" s="25"/>
      <c r="D138" s="295"/>
      <c r="E138" s="295"/>
      <c r="F138" s="295"/>
      <c r="G138" s="295"/>
      <c r="H138" s="295"/>
      <c r="I138" s="25"/>
      <c r="J138" s="25"/>
      <c r="K138" s="25"/>
      <c r="L138" s="777">
        <v>5</v>
      </c>
      <c r="M138" s="778"/>
      <c r="N138" s="976">
        <v>91</v>
      </c>
      <c r="O138" s="1020">
        <v>81</v>
      </c>
      <c r="P138" s="847">
        <f>VLOOKUP(N138,etat!$A$9:$N$1004,2,FALSE)</f>
        <v>0</v>
      </c>
      <c r="Q138" s="797" t="str">
        <f>VLOOKUP(N138,etat!$A$9:$N$963,7,FALSE)</f>
        <v>3ع ت1</v>
      </c>
      <c r="R138" s="797" t="str">
        <f>VLOOKUP(N138,etat!$A$9:$N$1003,9,FALSE)</f>
        <v>خ</v>
      </c>
      <c r="S138" s="866" t="str">
        <f>VLOOKUP(N138,etat!$A$9:$P$905,16,FALSE)</f>
        <v>اخ3</v>
      </c>
      <c r="T138" s="755">
        <v>45769</v>
      </c>
      <c r="U138" s="791">
        <v>15</v>
      </c>
      <c r="V138" s="784" t="s">
        <v>2278</v>
      </c>
      <c r="W138" s="784" t="s">
        <v>2283</v>
      </c>
      <c r="X138" s="784"/>
      <c r="Y138" s="1118"/>
      <c r="Z138" s="967"/>
      <c r="AA138" s="967">
        <v>4</v>
      </c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</row>
    <row r="139" spans="1:79" s="935" customFormat="1" ht="15.6" customHeight="1">
      <c r="A139" s="25"/>
      <c r="B139" s="25"/>
      <c r="C139" s="25"/>
      <c r="D139" s="295"/>
      <c r="E139" s="295"/>
      <c r="F139" s="295"/>
      <c r="G139" s="295"/>
      <c r="H139" s="295"/>
      <c r="I139" s="25"/>
      <c r="J139" s="25"/>
      <c r="K139" s="25"/>
      <c r="L139" s="777">
        <v>5</v>
      </c>
      <c r="M139" s="778"/>
      <c r="N139" s="976">
        <v>92</v>
      </c>
      <c r="O139" s="1020">
        <v>82</v>
      </c>
      <c r="P139" s="847">
        <f>VLOOKUP(N139,etat!$A$9:$N$1004,2,FALSE)</f>
        <v>0</v>
      </c>
      <c r="Q139" s="797" t="str">
        <f>VLOOKUP(N139,etat!$A$9:$N$963,7,FALSE)</f>
        <v>3ع ت1</v>
      </c>
      <c r="R139" s="797" t="str">
        <f>VLOOKUP(N139,etat!$A$9:$N$1003,9,FALSE)</f>
        <v>خ</v>
      </c>
      <c r="S139" s="866" t="str">
        <f>VLOOKUP(N139,etat!$A$9:$P$905,16,FALSE)</f>
        <v>ذخ3</v>
      </c>
      <c r="T139" s="755">
        <v>45782</v>
      </c>
      <c r="U139" s="791">
        <v>1</v>
      </c>
      <c r="V139" s="784"/>
      <c r="W139" s="784"/>
      <c r="X139" s="784"/>
      <c r="Y139" s="1118"/>
      <c r="Z139" s="967"/>
      <c r="AA139" s="967">
        <v>4</v>
      </c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</row>
    <row r="140" spans="1:79" s="935" customFormat="1" ht="15.6" customHeight="1">
      <c r="A140" s="25"/>
      <c r="B140" s="25"/>
      <c r="C140" s="25"/>
      <c r="D140" s="295"/>
      <c r="E140" s="295"/>
      <c r="F140" s="295"/>
      <c r="G140" s="295"/>
      <c r="H140" s="295"/>
      <c r="I140" s="25"/>
      <c r="J140" s="25"/>
      <c r="K140" s="25"/>
      <c r="L140" s="777">
        <v>5</v>
      </c>
      <c r="M140" s="778"/>
      <c r="N140" s="976">
        <v>93</v>
      </c>
      <c r="O140" s="1020">
        <v>83</v>
      </c>
      <c r="P140" s="847">
        <f>VLOOKUP(N140,etat!$A$9:$N$1004,2,FALSE)</f>
        <v>0</v>
      </c>
      <c r="Q140" s="797" t="str">
        <f>VLOOKUP(N140,etat!$A$9:$N$963,7,FALSE)</f>
        <v>3ع ت1</v>
      </c>
      <c r="R140" s="797" t="str">
        <f>VLOOKUP(N140,etat!$A$9:$N$1003,9,FALSE)</f>
        <v>خ</v>
      </c>
      <c r="S140" s="866" t="str">
        <f>VLOOKUP(N140,etat!$A$9:$P$905,16,FALSE)</f>
        <v>اخ3</v>
      </c>
      <c r="T140" s="755">
        <v>45781</v>
      </c>
      <c r="U140" s="791">
        <v>3</v>
      </c>
      <c r="V140" s="784" t="s">
        <v>2285</v>
      </c>
      <c r="W140" s="784"/>
      <c r="X140" s="784"/>
      <c r="Y140" s="975"/>
      <c r="Z140" s="967"/>
      <c r="AA140" s="967">
        <v>4</v>
      </c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</row>
    <row r="141" spans="1:79" s="935" customFormat="1" ht="15.6" customHeight="1">
      <c r="A141" s="25"/>
      <c r="B141" s="25"/>
      <c r="C141" s="25"/>
      <c r="D141" s="295"/>
      <c r="E141" s="295"/>
      <c r="F141" s="295"/>
      <c r="G141" s="295"/>
      <c r="H141" s="295"/>
      <c r="I141" s="25"/>
      <c r="J141" s="25"/>
      <c r="K141" s="25"/>
      <c r="L141" s="777">
        <v>5</v>
      </c>
      <c r="M141" s="778"/>
      <c r="N141" s="976">
        <v>94</v>
      </c>
      <c r="O141" s="1020">
        <v>84</v>
      </c>
      <c r="P141" s="847">
        <f>VLOOKUP(N141,etat!$A$9:$N$1004,2,FALSE)</f>
        <v>0</v>
      </c>
      <c r="Q141" s="797" t="str">
        <f>VLOOKUP(N141,etat!$A$9:$N$963,7,FALSE)</f>
        <v>3ع ت1</v>
      </c>
      <c r="R141" s="797" t="str">
        <f>VLOOKUP(N141,etat!$A$9:$N$1003,9,FALSE)</f>
        <v>خ</v>
      </c>
      <c r="S141" s="866" t="str">
        <f>VLOOKUP(N141,etat!$A$9:$P$905,16,FALSE)</f>
        <v>اخ3</v>
      </c>
      <c r="T141" s="755">
        <v>45781</v>
      </c>
      <c r="U141" s="791">
        <v>3</v>
      </c>
      <c r="V141" s="784" t="s">
        <v>2285</v>
      </c>
      <c r="W141" s="784"/>
      <c r="X141" s="784"/>
      <c r="Y141" s="975"/>
      <c r="Z141" s="975"/>
      <c r="AA141" s="967">
        <v>4</v>
      </c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</row>
    <row r="142" spans="1:79" s="935" customFormat="1" ht="15.6" customHeight="1">
      <c r="A142" s="25"/>
      <c r="B142" s="25"/>
      <c r="C142" s="25"/>
      <c r="D142" s="295"/>
      <c r="E142" s="295"/>
      <c r="F142" s="295"/>
      <c r="G142" s="295"/>
      <c r="H142" s="295"/>
      <c r="I142" s="25"/>
      <c r="J142" s="25"/>
      <c r="K142" s="25"/>
      <c r="L142" s="777">
        <v>5</v>
      </c>
      <c r="M142" s="778"/>
      <c r="N142" s="976">
        <v>95</v>
      </c>
      <c r="O142" s="1020">
        <v>85</v>
      </c>
      <c r="P142" s="847">
        <f>VLOOKUP(N142,etat!$A$9:$N$1004,2,FALSE)</f>
        <v>0</v>
      </c>
      <c r="Q142" s="797" t="str">
        <f>VLOOKUP(N142,etat!$A$9:$N$963,7,FALSE)</f>
        <v>3ع ت2</v>
      </c>
      <c r="R142" s="797" t="str">
        <f>VLOOKUP(N142,etat!$A$9:$N$1003,9,FALSE)</f>
        <v>ن/د</v>
      </c>
      <c r="S142" s="866" t="str">
        <f>VLOOKUP(N142,etat!$A$9:$P$905,16,FALSE)</f>
        <v>ذخ3</v>
      </c>
      <c r="T142" s="755">
        <v>45781</v>
      </c>
      <c r="U142" s="791">
        <v>3</v>
      </c>
      <c r="V142" s="784" t="s">
        <v>2285</v>
      </c>
      <c r="W142" s="784"/>
      <c r="X142" s="784"/>
      <c r="Y142" s="975"/>
      <c r="Z142" s="975"/>
      <c r="AA142" s="967">
        <v>4</v>
      </c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</row>
    <row r="143" spans="1:79" s="935" customFormat="1" ht="15.6" customHeight="1">
      <c r="A143" s="25"/>
      <c r="B143" s="25"/>
      <c r="C143" s="25"/>
      <c r="D143" s="295"/>
      <c r="E143" s="295"/>
      <c r="F143" s="295"/>
      <c r="G143" s="295"/>
      <c r="H143" s="295"/>
      <c r="I143" s="25"/>
      <c r="J143" s="25"/>
      <c r="K143" s="25"/>
      <c r="L143" s="777">
        <v>5</v>
      </c>
      <c r="M143" s="778"/>
      <c r="N143" s="976">
        <v>96</v>
      </c>
      <c r="O143" s="1020">
        <v>86</v>
      </c>
      <c r="P143" s="847">
        <f>VLOOKUP(N143,etat!$A$9:$N$1004,2,FALSE)</f>
        <v>0</v>
      </c>
      <c r="Q143" s="797" t="str">
        <f>VLOOKUP(N143,etat!$A$9:$N$963,7,FALSE)</f>
        <v>3ع ت2</v>
      </c>
      <c r="R143" s="866" t="str">
        <f>VLOOKUP(N143,etat!$A$9:$N$1003,9,FALSE)</f>
        <v>خ</v>
      </c>
      <c r="S143" s="866" t="str">
        <f>VLOOKUP(N143,etat!$A$9:$P$905,16,FALSE)</f>
        <v>ذخ3</v>
      </c>
      <c r="T143" s="755">
        <v>45781</v>
      </c>
      <c r="U143" s="791">
        <v>3</v>
      </c>
      <c r="V143" s="784" t="s">
        <v>2285</v>
      </c>
      <c r="W143" s="784"/>
      <c r="X143" s="784"/>
      <c r="Y143" s="1116"/>
      <c r="Z143" s="975"/>
      <c r="AA143" s="967">
        <v>4</v>
      </c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</row>
    <row r="144" spans="1:79" ht="15.6" customHeight="1">
      <c r="A144" s="25"/>
      <c r="B144" s="25"/>
      <c r="C144" s="25"/>
      <c r="D144" s="295"/>
      <c r="E144" s="295"/>
      <c r="F144" s="295"/>
      <c r="G144" s="295"/>
      <c r="H144" s="295"/>
      <c r="I144" s="25"/>
      <c r="J144" s="25"/>
      <c r="K144" s="25"/>
      <c r="L144" s="777">
        <v>5</v>
      </c>
      <c r="M144" s="778"/>
      <c r="N144" s="976">
        <v>97</v>
      </c>
      <c r="O144" s="1020">
        <v>87</v>
      </c>
      <c r="P144" s="847">
        <f>VLOOKUP(N144,etat!$A$9:$N$1004,2,FALSE)</f>
        <v>0</v>
      </c>
      <c r="Q144" s="797" t="str">
        <f>VLOOKUP(N144,etat!$A$9:$N$963,7,FALSE)</f>
        <v>3ع ت2</v>
      </c>
      <c r="R144" s="797" t="str">
        <f>VLOOKUP(N144,etat!$A$9:$N$1003,9,FALSE)</f>
        <v>خ</v>
      </c>
      <c r="S144" s="866" t="str">
        <f>VLOOKUP(N144,etat!$A$9:$P$905,16,FALSE)</f>
        <v>اخ3</v>
      </c>
      <c r="T144" s="755">
        <v>45769</v>
      </c>
      <c r="U144" s="791">
        <v>15</v>
      </c>
      <c r="V144" s="784" t="s">
        <v>2278</v>
      </c>
      <c r="W144" s="784" t="s">
        <v>2283</v>
      </c>
      <c r="X144" s="784"/>
      <c r="Y144" s="1116"/>
      <c r="Z144" s="975"/>
      <c r="AA144" s="967">
        <v>4</v>
      </c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</row>
    <row r="145" spans="1:79" ht="15.6" customHeight="1">
      <c r="A145" s="25"/>
      <c r="B145" s="25"/>
      <c r="C145" s="25"/>
      <c r="D145" s="295"/>
      <c r="E145" s="295"/>
      <c r="F145" s="295"/>
      <c r="G145" s="295"/>
      <c r="H145" s="295"/>
      <c r="I145" s="25"/>
      <c r="J145" s="25"/>
      <c r="K145" s="25"/>
      <c r="L145" s="777">
        <v>5</v>
      </c>
      <c r="M145" s="778"/>
      <c r="N145" s="976">
        <v>98</v>
      </c>
      <c r="O145" s="1020">
        <v>88</v>
      </c>
      <c r="P145" s="847">
        <f>VLOOKUP(N145,etat!$A$9:$N$1004,2,FALSE)</f>
        <v>0</v>
      </c>
      <c r="Q145" s="797" t="str">
        <f>VLOOKUP(N145,etat!$A$9:$N$963,7,FALSE)</f>
        <v>3ع ت2</v>
      </c>
      <c r="R145" s="797" t="str">
        <f>VLOOKUP(N145,etat!$A$9:$N$1003,9,FALSE)</f>
        <v>خ</v>
      </c>
      <c r="S145" s="866" t="str">
        <f>VLOOKUP(N145,etat!$A$9:$P$905,16,FALSE)</f>
        <v>اخ3</v>
      </c>
      <c r="T145" s="755">
        <v>45782</v>
      </c>
      <c r="U145" s="791">
        <v>1</v>
      </c>
      <c r="V145" s="784"/>
      <c r="W145" s="784"/>
      <c r="X145" s="784"/>
      <c r="Y145" s="975"/>
      <c r="Z145" s="975"/>
      <c r="AA145" s="967">
        <v>4</v>
      </c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</row>
    <row r="146" spans="1:79" ht="15.6" customHeight="1">
      <c r="A146" s="25"/>
      <c r="B146" s="25"/>
      <c r="C146" s="25"/>
      <c r="D146" s="295"/>
      <c r="E146" s="295"/>
      <c r="F146" s="295"/>
      <c r="G146" s="295"/>
      <c r="H146" s="295"/>
      <c r="I146" s="25"/>
      <c r="J146" s="25"/>
      <c r="K146" s="25"/>
      <c r="L146" s="777">
        <v>5</v>
      </c>
      <c r="M146" s="778"/>
      <c r="N146" s="976">
        <v>99</v>
      </c>
      <c r="O146" s="1020">
        <v>89</v>
      </c>
      <c r="P146" s="847">
        <f>VLOOKUP(N146,etat!$A$9:$N$1004,2,FALSE)</f>
        <v>0</v>
      </c>
      <c r="Q146" s="797" t="str">
        <f>VLOOKUP(N146,etat!$A$9:$N$963,7,FALSE)</f>
        <v>3ع ت2</v>
      </c>
      <c r="R146" s="797" t="str">
        <f>VLOOKUP(N146,etat!$A$9:$N$1003,9,FALSE)</f>
        <v>خ</v>
      </c>
      <c r="S146" s="866" t="str">
        <f>VLOOKUP(N146,etat!$A$9:$P$905,16,FALSE)</f>
        <v>ذخ3</v>
      </c>
      <c r="T146" s="755">
        <v>45781</v>
      </c>
      <c r="U146" s="791">
        <v>3</v>
      </c>
      <c r="V146" s="784" t="s">
        <v>2285</v>
      </c>
      <c r="W146" s="784"/>
      <c r="X146" s="784"/>
      <c r="Y146" s="975"/>
      <c r="Z146" s="975"/>
      <c r="AA146" s="967">
        <v>4</v>
      </c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</row>
    <row r="147" spans="1:79" s="966" customFormat="1" ht="15.6" customHeight="1">
      <c r="A147" s="25"/>
      <c r="B147" s="25"/>
      <c r="C147" s="25"/>
      <c r="D147" s="295"/>
      <c r="E147" s="295"/>
      <c r="F147" s="295"/>
      <c r="G147" s="295"/>
      <c r="H147" s="295"/>
      <c r="I147" s="25"/>
      <c r="J147" s="25"/>
      <c r="K147" s="25"/>
      <c r="L147" s="777">
        <v>5</v>
      </c>
      <c r="M147" s="778"/>
      <c r="N147" s="976">
        <v>100</v>
      </c>
      <c r="O147" s="1020">
        <v>90</v>
      </c>
      <c r="P147" s="847">
        <f>VLOOKUP(N147,etat!$A$9:$N$1004,2,FALSE)</f>
        <v>0</v>
      </c>
      <c r="Q147" s="797" t="str">
        <f>VLOOKUP(N147,etat!$A$9:$N$963,7,FALSE)</f>
        <v>3ع ت2</v>
      </c>
      <c r="R147" s="797" t="str">
        <f>VLOOKUP(N147,etat!$A$9:$N$1003,9,FALSE)</f>
        <v>خ</v>
      </c>
      <c r="S147" s="866" t="str">
        <f>VLOOKUP(N147,etat!$A$9:$P$905,16,FALSE)</f>
        <v>ذخ3</v>
      </c>
      <c r="T147" s="755">
        <v>45769</v>
      </c>
      <c r="U147" s="791">
        <v>15</v>
      </c>
      <c r="V147" s="784" t="s">
        <v>2278</v>
      </c>
      <c r="W147" s="784" t="s">
        <v>2283</v>
      </c>
      <c r="X147" s="784"/>
      <c r="Y147" s="975"/>
      <c r="Z147" s="975" t="str">
        <f>VLOOKUP(L147,[2]اس!$S$3:$X$31,3,FALSE)</f>
        <v>.</v>
      </c>
      <c r="AA147" s="967">
        <v>4</v>
      </c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</row>
    <row r="148" spans="1:79" ht="15.6" customHeight="1">
      <c r="A148" s="25"/>
      <c r="B148" s="25"/>
      <c r="C148" s="25"/>
      <c r="D148" s="295"/>
      <c r="E148" s="295"/>
      <c r="F148" s="295"/>
      <c r="G148" s="295"/>
      <c r="H148" s="295"/>
      <c r="I148" s="25"/>
      <c r="J148" s="25"/>
      <c r="K148" s="25"/>
      <c r="L148" s="777">
        <v>5</v>
      </c>
      <c r="M148" s="778"/>
      <c r="N148" s="976">
        <v>101</v>
      </c>
      <c r="O148" s="1020">
        <v>91</v>
      </c>
      <c r="P148" s="847">
        <f>VLOOKUP(N148,etat!$A$9:$N$1004,2,FALSE)</f>
        <v>0</v>
      </c>
      <c r="Q148" s="797" t="str">
        <f>VLOOKUP(N148,etat!$A$9:$N$963,7,FALSE)</f>
        <v>3ع ت2</v>
      </c>
      <c r="R148" s="797" t="str">
        <f>VLOOKUP(N148,etat!$A$9:$N$1003,9,FALSE)</f>
        <v>خ</v>
      </c>
      <c r="S148" s="866" t="str">
        <f>VLOOKUP(N148,etat!$A$9:$P$905,16,FALSE)</f>
        <v>ذخ3</v>
      </c>
      <c r="T148" s="755">
        <v>45769</v>
      </c>
      <c r="U148" s="791">
        <v>15</v>
      </c>
      <c r="V148" s="784" t="s">
        <v>2278</v>
      </c>
      <c r="W148" s="784" t="s">
        <v>2283</v>
      </c>
      <c r="X148" s="784"/>
      <c r="Y148" s="1118"/>
      <c r="Z148" s="975" t="str">
        <f>VLOOKUP(L148,[2]اس!$S$3:$X$31,3,FALSE)</f>
        <v>.</v>
      </c>
      <c r="AA148" s="967">
        <v>4</v>
      </c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</row>
    <row r="149" spans="1:79" ht="15.6" customHeight="1">
      <c r="A149" s="25"/>
      <c r="B149" s="25"/>
      <c r="C149" s="25"/>
      <c r="D149" s="295"/>
      <c r="E149" s="295"/>
      <c r="F149" s="295"/>
      <c r="G149" s="295"/>
      <c r="H149" s="295"/>
      <c r="I149" s="25"/>
      <c r="J149" s="25"/>
      <c r="K149" s="25"/>
      <c r="L149" s="777">
        <v>5</v>
      </c>
      <c r="M149" s="778"/>
      <c r="N149" s="976">
        <v>102</v>
      </c>
      <c r="O149" s="1020">
        <v>92</v>
      </c>
      <c r="P149" s="847">
        <f>VLOOKUP(N149,etat!$A$9:$N$1004,2,FALSE)</f>
        <v>0</v>
      </c>
      <c r="Q149" s="797" t="str">
        <f>VLOOKUP(N149,etat!$A$9:$N$963,7,FALSE)</f>
        <v>3ع ت2</v>
      </c>
      <c r="R149" s="797" t="str">
        <f>VLOOKUP(N149,etat!$A$9:$N$1003,9,FALSE)</f>
        <v>خ</v>
      </c>
      <c r="S149" s="866" t="str">
        <f>VLOOKUP(N149,etat!$A$9:$P$905,16,FALSE)</f>
        <v>ذخ3</v>
      </c>
      <c r="T149" s="755">
        <v>45782</v>
      </c>
      <c r="U149" s="791">
        <v>1</v>
      </c>
      <c r="V149" s="784"/>
      <c r="W149" s="784"/>
      <c r="X149" s="784"/>
      <c r="Y149" s="1118"/>
      <c r="Z149" s="975"/>
      <c r="AA149" s="967">
        <v>4</v>
      </c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</row>
    <row r="150" spans="1:79" ht="15.6" customHeight="1">
      <c r="A150" s="25"/>
      <c r="B150" s="25"/>
      <c r="C150" s="25"/>
      <c r="D150" s="295"/>
      <c r="E150" s="295"/>
      <c r="F150" s="295"/>
      <c r="G150" s="295"/>
      <c r="H150" s="295"/>
      <c r="I150" s="25"/>
      <c r="J150" s="25"/>
      <c r="K150" s="25"/>
      <c r="L150" s="777">
        <v>5</v>
      </c>
      <c r="M150" s="778"/>
      <c r="N150" s="976">
        <v>103</v>
      </c>
      <c r="O150" s="1020">
        <v>93</v>
      </c>
      <c r="P150" s="847">
        <f>VLOOKUP(N150,etat!$A$9:$N$1004,2,FALSE)</f>
        <v>0</v>
      </c>
      <c r="Q150" s="797" t="str">
        <f>VLOOKUP(N150,etat!$A$9:$N$963,7,FALSE)</f>
        <v>3ع ت2</v>
      </c>
      <c r="R150" s="866" t="str">
        <f>VLOOKUP(N150,etat!$A$9:$N$1003,9,FALSE)</f>
        <v>خ</v>
      </c>
      <c r="S150" s="866" t="str">
        <f>VLOOKUP(N150,etat!$A$9:$P$905,16,FALSE)</f>
        <v>اخ3</v>
      </c>
      <c r="T150" s="755">
        <v>45775</v>
      </c>
      <c r="U150" s="791">
        <v>9</v>
      </c>
      <c r="V150" s="784" t="s">
        <v>2282</v>
      </c>
      <c r="W150" s="869"/>
      <c r="X150" s="869"/>
      <c r="Y150" s="975"/>
      <c r="Z150" s="967"/>
      <c r="AA150" s="967">
        <v>4</v>
      </c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</row>
    <row r="151" spans="1:79" ht="15.6" customHeight="1">
      <c r="A151" s="25"/>
      <c r="B151" s="25"/>
      <c r="C151" s="25"/>
      <c r="D151" s="295"/>
      <c r="E151" s="295"/>
      <c r="F151" s="295"/>
      <c r="G151" s="295"/>
      <c r="H151" s="295"/>
      <c r="I151" s="25"/>
      <c r="J151" s="25"/>
      <c r="K151" s="25"/>
      <c r="L151" s="777">
        <v>5</v>
      </c>
      <c r="M151" s="778"/>
      <c r="N151" s="976">
        <v>104</v>
      </c>
      <c r="O151" s="1020">
        <v>94</v>
      </c>
      <c r="P151" s="847">
        <f>VLOOKUP(N151,etat!$A$9:$N$1004,2,FALSE)</f>
        <v>0</v>
      </c>
      <c r="Q151" s="797" t="str">
        <f>VLOOKUP(N151,etat!$A$9:$N$963,7,FALSE)</f>
        <v>3ع ت2</v>
      </c>
      <c r="R151" s="797" t="str">
        <f>VLOOKUP(N151,etat!$A$9:$N$1003,9,FALSE)</f>
        <v>ن/د</v>
      </c>
      <c r="S151" s="866" t="str">
        <f>VLOOKUP(N151,etat!$A$9:$P$905,16,FALSE)</f>
        <v>ذن/د3</v>
      </c>
      <c r="T151" s="755">
        <v>45769</v>
      </c>
      <c r="U151" s="791">
        <v>15</v>
      </c>
      <c r="V151" s="784" t="s">
        <v>2278</v>
      </c>
      <c r="W151" s="784" t="s">
        <v>2283</v>
      </c>
      <c r="X151" s="784"/>
      <c r="Y151" s="975"/>
      <c r="Z151" s="975" t="str">
        <f>VLOOKUP(L151,[2]اس!$S$3:$X$31,3,FALSE)</f>
        <v>.</v>
      </c>
      <c r="AA151" s="967">
        <v>4</v>
      </c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</row>
    <row r="152" spans="1:79" ht="15.6" customHeight="1">
      <c r="A152" s="25"/>
      <c r="B152" s="25"/>
      <c r="C152" s="25"/>
      <c r="D152" s="295"/>
      <c r="E152" s="295"/>
      <c r="F152" s="295"/>
      <c r="G152" s="295"/>
      <c r="H152" s="295"/>
      <c r="I152" s="25"/>
      <c r="J152" s="25"/>
      <c r="K152" s="25"/>
      <c r="L152" s="777">
        <v>5</v>
      </c>
      <c r="M152" s="778"/>
      <c r="N152" s="976">
        <v>105</v>
      </c>
      <c r="O152" s="1020">
        <v>95</v>
      </c>
      <c r="P152" s="847">
        <f>VLOOKUP(N152,etat!$A$9:$N$1004,2,FALSE)</f>
        <v>0</v>
      </c>
      <c r="Q152" s="797" t="str">
        <f>VLOOKUP(N152,etat!$A$9:$N$963,7,FALSE)</f>
        <v>3ع ت2</v>
      </c>
      <c r="R152" s="797" t="str">
        <f>VLOOKUP(N152,etat!$A$9:$N$1003,9,FALSE)</f>
        <v>خ</v>
      </c>
      <c r="S152" s="866" t="str">
        <f>VLOOKUP(N152,etat!$A$9:$P$905,16,FALSE)</f>
        <v>ان/د3</v>
      </c>
      <c r="T152" s="755">
        <v>45781</v>
      </c>
      <c r="U152" s="791">
        <v>3</v>
      </c>
      <c r="V152" s="784" t="s">
        <v>2285</v>
      </c>
      <c r="W152" s="784"/>
      <c r="X152" s="784"/>
      <c r="Y152" s="975"/>
      <c r="Z152" s="975"/>
      <c r="AA152" s="967">
        <v>4</v>
      </c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</row>
    <row r="153" spans="1:79" ht="15.6" customHeight="1">
      <c r="A153" s="25"/>
      <c r="B153" s="25"/>
      <c r="C153" s="25"/>
      <c r="D153" s="295"/>
      <c r="E153" s="295"/>
      <c r="F153" s="295"/>
      <c r="G153" s="295"/>
      <c r="H153" s="295"/>
      <c r="I153" s="25"/>
      <c r="J153" s="25"/>
      <c r="K153" s="25"/>
      <c r="L153" s="777">
        <v>5</v>
      </c>
      <c r="M153" s="778"/>
      <c r="N153" s="976">
        <v>106</v>
      </c>
      <c r="O153" s="1020">
        <v>96</v>
      </c>
      <c r="P153" s="847">
        <f>VLOOKUP(N153,etat!$A$9:$N$1004,2,FALSE)</f>
        <v>0</v>
      </c>
      <c r="Q153" s="797" t="str">
        <f>VLOOKUP(N153,etat!$A$9:$N$963,7,FALSE)</f>
        <v>3ع ت2</v>
      </c>
      <c r="R153" s="797" t="str">
        <f>VLOOKUP(N153,etat!$A$9:$N$1003,9,FALSE)</f>
        <v>خ</v>
      </c>
      <c r="S153" s="866" t="str">
        <f>VLOOKUP(N153,etat!$A$9:$P$905,16,FALSE)</f>
        <v>ان/د3</v>
      </c>
      <c r="T153" s="755">
        <v>45762</v>
      </c>
      <c r="U153" s="791">
        <v>22</v>
      </c>
      <c r="V153" s="784" t="s">
        <v>2268</v>
      </c>
      <c r="W153" s="784" t="s">
        <v>2278</v>
      </c>
      <c r="X153" s="784" t="s">
        <v>2283</v>
      </c>
      <c r="Y153" s="975"/>
      <c r="Z153" s="975" t="str">
        <f>VLOOKUP(L153,[2]اس!$S$3:$X$31,3,FALSE)</f>
        <v>.</v>
      </c>
      <c r="AA153" s="967">
        <v>4</v>
      </c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</row>
    <row r="154" spans="1:79" ht="15.6" customHeight="1">
      <c r="A154" s="25"/>
      <c r="B154" s="25"/>
      <c r="C154" s="25"/>
      <c r="D154" s="295"/>
      <c r="E154" s="295"/>
      <c r="F154" s="295"/>
      <c r="G154" s="295"/>
      <c r="H154" s="295"/>
      <c r="I154" s="25"/>
      <c r="J154" s="25"/>
      <c r="K154" s="25"/>
      <c r="L154" s="777">
        <v>5</v>
      </c>
      <c r="M154" s="778"/>
      <c r="N154" s="976">
        <v>107</v>
      </c>
      <c r="O154" s="1020">
        <v>97</v>
      </c>
      <c r="P154" s="847">
        <f>VLOOKUP(N154,etat!$A$9:$N$1004,2,FALSE)</f>
        <v>0</v>
      </c>
      <c r="Q154" s="797" t="str">
        <f>VLOOKUP(N154,etat!$A$9:$N$963,7,FALSE)</f>
        <v>3ع ت2</v>
      </c>
      <c r="R154" s="797" t="str">
        <f>VLOOKUP(N154,etat!$A$9:$N$1003,9,FALSE)</f>
        <v>خ</v>
      </c>
      <c r="S154" s="866" t="str">
        <f>VLOOKUP(N154,etat!$A$9:$P$905,16,FALSE)</f>
        <v>ان/د3</v>
      </c>
      <c r="T154" s="755">
        <v>45781</v>
      </c>
      <c r="U154" s="791">
        <v>3</v>
      </c>
      <c r="V154" s="784" t="s">
        <v>2285</v>
      </c>
      <c r="W154" s="784"/>
      <c r="X154" s="784"/>
      <c r="Y154" s="975"/>
      <c r="Z154" s="975"/>
      <c r="AA154" s="967">
        <v>4</v>
      </c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</row>
    <row r="155" spans="1:79" ht="15.6" customHeight="1">
      <c r="A155" s="25"/>
      <c r="B155" s="25"/>
      <c r="C155" s="25"/>
      <c r="D155" s="295"/>
      <c r="E155" s="295"/>
      <c r="F155" s="295"/>
      <c r="G155" s="295"/>
      <c r="H155" s="295"/>
      <c r="I155" s="25"/>
      <c r="J155" s="25"/>
      <c r="K155" s="25"/>
      <c r="L155" s="777">
        <v>5</v>
      </c>
      <c r="M155" s="778"/>
      <c r="N155" s="976">
        <v>108</v>
      </c>
      <c r="O155" s="1020">
        <v>98</v>
      </c>
      <c r="P155" s="847">
        <f>VLOOKUP(N155,etat!$A$9:$N$1004,2,FALSE)</f>
        <v>0</v>
      </c>
      <c r="Q155" s="797" t="str">
        <f>VLOOKUP(N155,etat!$A$9:$N$963,7,FALSE)</f>
        <v>3ع ت2</v>
      </c>
      <c r="R155" s="797" t="str">
        <f>VLOOKUP(N155,etat!$A$9:$N$1003,9,FALSE)</f>
        <v>خ</v>
      </c>
      <c r="S155" s="866" t="str">
        <f>VLOOKUP(N155,etat!$A$9:$P$905,16,FALSE)</f>
        <v>ان/د3</v>
      </c>
      <c r="T155" s="755">
        <v>45781</v>
      </c>
      <c r="U155" s="791">
        <v>3</v>
      </c>
      <c r="V155" s="784" t="s">
        <v>2285</v>
      </c>
      <c r="W155" s="784"/>
      <c r="X155" s="784"/>
      <c r="Y155" s="975"/>
      <c r="Z155" s="975"/>
      <c r="AA155" s="967">
        <v>4</v>
      </c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</row>
    <row r="156" spans="1:79" ht="15.6" customHeight="1">
      <c r="A156" s="25"/>
      <c r="B156" s="25"/>
      <c r="C156" s="25"/>
      <c r="D156" s="295"/>
      <c r="E156" s="295"/>
      <c r="F156" s="295"/>
      <c r="G156" s="295"/>
      <c r="H156" s="295"/>
      <c r="I156" s="25"/>
      <c r="J156" s="25"/>
      <c r="K156" s="25"/>
      <c r="L156" s="777">
        <v>5</v>
      </c>
      <c r="M156" s="778"/>
      <c r="N156" s="976">
        <v>109</v>
      </c>
      <c r="O156" s="1020">
        <v>99</v>
      </c>
      <c r="P156" s="847">
        <f>VLOOKUP(N156,etat!$A$9:$N$1004,2,FALSE)</f>
        <v>0</v>
      </c>
      <c r="Q156" s="797" t="str">
        <f>VLOOKUP(N156,etat!$A$9:$N$963,7,FALSE)</f>
        <v>3ع ت2</v>
      </c>
      <c r="R156" s="797" t="str">
        <f>VLOOKUP(N156,etat!$A$9:$N$1003,9,FALSE)</f>
        <v>خ</v>
      </c>
      <c r="S156" s="866" t="str">
        <f>VLOOKUP(N156,etat!$A$9:$P$905,16,FALSE)</f>
        <v>اخ3</v>
      </c>
      <c r="T156" s="755">
        <v>45782</v>
      </c>
      <c r="U156" s="791">
        <v>1</v>
      </c>
      <c r="V156" s="784"/>
      <c r="W156" s="784"/>
      <c r="X156" s="784"/>
      <c r="Y156" s="1117"/>
      <c r="Z156" s="975"/>
      <c r="AA156" s="967">
        <v>4</v>
      </c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</row>
    <row r="157" spans="1:79" ht="15.6" customHeight="1">
      <c r="A157" s="25"/>
      <c r="B157" s="25"/>
      <c r="C157" s="25"/>
      <c r="D157" s="295"/>
      <c r="E157" s="295"/>
      <c r="F157" s="295"/>
      <c r="G157" s="295"/>
      <c r="H157" s="295"/>
      <c r="I157" s="25"/>
      <c r="J157" s="25"/>
      <c r="K157" s="25"/>
      <c r="L157" s="777">
        <v>5</v>
      </c>
      <c r="M157" s="778"/>
      <c r="N157" s="976">
        <v>110</v>
      </c>
      <c r="O157" s="1020">
        <v>100</v>
      </c>
      <c r="P157" s="847">
        <f>VLOOKUP(N157,etat!$A$9:$N$1004,2,FALSE)</f>
        <v>0</v>
      </c>
      <c r="Q157" s="797" t="str">
        <f>VLOOKUP(N157,etat!$A$9:$N$963,7,FALSE)</f>
        <v>3ع ت2</v>
      </c>
      <c r="R157" s="797" t="str">
        <f>VLOOKUP(N157,etat!$A$9:$N$1003,9,FALSE)</f>
        <v>خ</v>
      </c>
      <c r="S157" s="866" t="str">
        <f>VLOOKUP(N157,etat!$A$9:$P$905,16,FALSE)</f>
        <v>ذخ3</v>
      </c>
      <c r="T157" s="755">
        <v>45781</v>
      </c>
      <c r="U157" s="791">
        <v>3</v>
      </c>
      <c r="V157" s="784" t="s">
        <v>2285</v>
      </c>
      <c r="W157" s="784"/>
      <c r="X157" s="784"/>
      <c r="Y157" s="975"/>
      <c r="Z157" s="975"/>
      <c r="AA157" s="967">
        <v>4</v>
      </c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</row>
    <row r="158" spans="1:79" ht="15.6" customHeight="1">
      <c r="A158" s="25"/>
      <c r="B158" s="25"/>
      <c r="C158" s="25"/>
      <c r="D158" s="295"/>
      <c r="E158" s="295"/>
      <c r="F158" s="295"/>
      <c r="G158" s="295"/>
      <c r="H158" s="295"/>
      <c r="I158" s="25"/>
      <c r="J158" s="25"/>
      <c r="K158" s="25"/>
      <c r="L158" s="777">
        <v>5</v>
      </c>
      <c r="M158" s="778"/>
      <c r="N158" s="976">
        <v>111</v>
      </c>
      <c r="O158" s="1020">
        <v>101</v>
      </c>
      <c r="P158" s="847">
        <f>VLOOKUP(N158,etat!$A$9:$N$1004,2,FALSE)</f>
        <v>0</v>
      </c>
      <c r="Q158" s="797" t="str">
        <f>VLOOKUP(N158,etat!$A$9:$N$963,7,FALSE)</f>
        <v>3ع ت2</v>
      </c>
      <c r="R158" s="797" t="str">
        <f>VLOOKUP(N158,etat!$A$9:$N$1003,9,FALSE)</f>
        <v>خ</v>
      </c>
      <c r="S158" s="866" t="str">
        <f>VLOOKUP(N158,etat!$A$9:$P$905,16,FALSE)</f>
        <v>اخ3</v>
      </c>
      <c r="T158" s="755">
        <v>45781</v>
      </c>
      <c r="U158" s="791">
        <v>3</v>
      </c>
      <c r="V158" s="784" t="s">
        <v>2285</v>
      </c>
      <c r="W158" s="784"/>
      <c r="X158" s="784"/>
      <c r="Y158" s="975"/>
      <c r="Z158" s="975"/>
      <c r="AA158" s="967">
        <v>4</v>
      </c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</row>
    <row r="159" spans="1:79" ht="15.6" customHeight="1">
      <c r="A159" s="25"/>
      <c r="B159" s="25"/>
      <c r="C159" s="25"/>
      <c r="D159" s="295"/>
      <c r="E159" s="295"/>
      <c r="F159" s="295"/>
      <c r="G159" s="295"/>
      <c r="H159" s="295"/>
      <c r="I159" s="25"/>
      <c r="J159" s="25"/>
      <c r="K159" s="25"/>
      <c r="L159" s="777">
        <v>5</v>
      </c>
      <c r="M159" s="778"/>
      <c r="N159" s="976">
        <v>799</v>
      </c>
      <c r="O159" s="1020">
        <v>102</v>
      </c>
      <c r="P159" s="847">
        <f>VLOOKUP(N159,etat!$A$9:$N$1004,2,FALSE)</f>
        <v>0</v>
      </c>
      <c r="Q159" s="797">
        <f>VLOOKUP(N159,etat!$A$9:$N$963,7,FALSE)</f>
        <v>0</v>
      </c>
      <c r="R159" s="797">
        <f>VLOOKUP(N159,etat!$A$9:$N$1003,9,FALSE)</f>
        <v>0</v>
      </c>
      <c r="S159" s="866">
        <f>VLOOKUP(N159,etat!$A$9:$P$905,16,FALSE)</f>
        <v>0</v>
      </c>
      <c r="T159" s="755">
        <v>45776</v>
      </c>
      <c r="U159" s="791">
        <v>8</v>
      </c>
      <c r="V159" s="784" t="s">
        <v>2283</v>
      </c>
      <c r="W159" s="784"/>
      <c r="X159" s="784"/>
      <c r="Y159" s="1117"/>
      <c r="Z159" s="975" t="str">
        <f>VLOOKUP(L159,[2]اس!$S$3:$X$31,3,FALSE)</f>
        <v>.</v>
      </c>
      <c r="AA159" s="967">
        <v>4</v>
      </c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</row>
    <row r="160" spans="1:79" s="913" customFormat="1" ht="15.6" customHeight="1">
      <c r="A160" s="25"/>
      <c r="B160" s="25"/>
      <c r="C160" s="25"/>
      <c r="D160" s="295"/>
      <c r="E160" s="295"/>
      <c r="F160" s="295"/>
      <c r="G160" s="295"/>
      <c r="H160" s="295"/>
      <c r="I160" s="25"/>
      <c r="J160" s="25"/>
      <c r="K160" s="25"/>
      <c r="L160" s="777">
        <v>5</v>
      </c>
      <c r="M160" s="778"/>
      <c r="N160" s="976">
        <v>117</v>
      </c>
      <c r="O160" s="1020">
        <v>103</v>
      </c>
      <c r="P160" s="847">
        <f>VLOOKUP(N160,etat!$A$9:$N$1004,2,FALSE)</f>
        <v>0</v>
      </c>
      <c r="Q160" s="797" t="str">
        <f>VLOOKUP(N160,etat!$A$9:$N$963,7,FALSE)</f>
        <v>3ع ت2</v>
      </c>
      <c r="R160" s="797" t="str">
        <f>VLOOKUP(N160,etat!$A$9:$N$1003,9,FALSE)</f>
        <v>خ</v>
      </c>
      <c r="S160" s="866" t="str">
        <f>VLOOKUP(N160,etat!$A$9:$P$905,16,FALSE)</f>
        <v>ذخ3</v>
      </c>
      <c r="T160" s="755">
        <v>45771</v>
      </c>
      <c r="U160" s="791">
        <v>13</v>
      </c>
      <c r="V160" s="784" t="s">
        <v>2280</v>
      </c>
      <c r="W160" s="784" t="s">
        <v>2283</v>
      </c>
      <c r="X160" s="784"/>
      <c r="Y160" s="975"/>
      <c r="Z160" s="975"/>
      <c r="AA160" s="967">
        <v>4</v>
      </c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</row>
    <row r="161" spans="1:79" s="1096" customFormat="1" ht="15.6" customHeight="1">
      <c r="A161" s="25"/>
      <c r="B161" s="25"/>
      <c r="C161" s="25"/>
      <c r="D161" s="295"/>
      <c r="E161" s="295"/>
      <c r="F161" s="295"/>
      <c r="G161" s="295"/>
      <c r="H161" s="295"/>
      <c r="I161" s="25"/>
      <c r="J161" s="25"/>
      <c r="K161" s="25"/>
      <c r="L161" s="777">
        <v>5</v>
      </c>
      <c r="M161" s="778"/>
      <c r="N161" s="976">
        <v>118</v>
      </c>
      <c r="O161" s="1020">
        <v>104</v>
      </c>
      <c r="P161" s="847">
        <f>VLOOKUP(N161,etat!$A$9:$N$1004,2,FALSE)</f>
        <v>0</v>
      </c>
      <c r="Q161" s="797" t="str">
        <f>VLOOKUP(N161,etat!$A$9:$N$963,7,FALSE)</f>
        <v>3ع ت2</v>
      </c>
      <c r="R161" s="797" t="str">
        <f>VLOOKUP(N161,etat!$A$9:$N$1003,9,FALSE)</f>
        <v>خ</v>
      </c>
      <c r="S161" s="866" t="str">
        <f>VLOOKUP(N161,etat!$A$9:$P$905,16,FALSE)</f>
        <v>اخ3</v>
      </c>
      <c r="T161" s="755">
        <v>45771</v>
      </c>
      <c r="U161" s="791">
        <v>13</v>
      </c>
      <c r="V161" s="784" t="s">
        <v>2280</v>
      </c>
      <c r="W161" s="784" t="s">
        <v>2283</v>
      </c>
      <c r="X161" s="784"/>
      <c r="Y161" s="975"/>
      <c r="Z161" s="975"/>
      <c r="AA161" s="967">
        <v>4</v>
      </c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</row>
    <row r="162" spans="1:79" s="1096" customFormat="1" ht="15.6" customHeight="1">
      <c r="A162" s="25"/>
      <c r="B162" s="25"/>
      <c r="C162" s="25"/>
      <c r="D162" s="295"/>
      <c r="E162" s="295"/>
      <c r="F162" s="295"/>
      <c r="G162" s="295"/>
      <c r="H162" s="295"/>
      <c r="I162" s="25"/>
      <c r="J162" s="25"/>
      <c r="K162" s="25"/>
      <c r="L162" s="777">
        <v>5</v>
      </c>
      <c r="M162" s="778"/>
      <c r="N162" s="976">
        <v>126</v>
      </c>
      <c r="O162" s="1020">
        <v>105</v>
      </c>
      <c r="P162" s="847">
        <f>VLOOKUP(N162,etat!$A$9:$N$1004,2,FALSE)</f>
        <v>0</v>
      </c>
      <c r="Q162" s="797" t="str">
        <f>VLOOKUP(N162,etat!$A$9:$N$963,7,FALSE)</f>
        <v>3أ ف1</v>
      </c>
      <c r="R162" s="797" t="str">
        <f>VLOOKUP(N162,etat!$A$9:$N$1003,9,FALSE)</f>
        <v>ن/د</v>
      </c>
      <c r="S162" s="866" t="str">
        <f>VLOOKUP(N162,etat!$A$9:$P$905,16,FALSE)</f>
        <v>اخ3</v>
      </c>
      <c r="T162" s="755">
        <v>45774</v>
      </c>
      <c r="U162" s="791">
        <v>10</v>
      </c>
      <c r="V162" s="784" t="s">
        <v>2281</v>
      </c>
      <c r="W162" s="784" t="s">
        <v>2285</v>
      </c>
      <c r="X162" s="784"/>
      <c r="Y162" s="1117"/>
      <c r="Z162" s="967"/>
      <c r="AA162" s="967">
        <v>4</v>
      </c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</row>
    <row r="163" spans="1:79" s="1096" customFormat="1" ht="15.6" customHeight="1">
      <c r="A163" s="25"/>
      <c r="B163" s="25"/>
      <c r="C163" s="25"/>
      <c r="D163" s="295"/>
      <c r="E163" s="295"/>
      <c r="F163" s="295"/>
      <c r="G163" s="295"/>
      <c r="H163" s="295"/>
      <c r="I163" s="25"/>
      <c r="J163" s="25"/>
      <c r="K163" s="25"/>
      <c r="L163" s="777">
        <v>5</v>
      </c>
      <c r="M163" s="778"/>
      <c r="N163" s="976">
        <v>129</v>
      </c>
      <c r="O163" s="1020">
        <v>106</v>
      </c>
      <c r="P163" s="847">
        <f>VLOOKUP(N163,etat!$A$9:$N$1004,2,FALSE)</f>
        <v>0</v>
      </c>
      <c r="Q163" s="797" t="str">
        <f>VLOOKUP(N163,etat!$A$9:$N$963,7,FALSE)</f>
        <v>3أ ف1</v>
      </c>
      <c r="R163" s="797" t="str">
        <f>VLOOKUP(N163,etat!$A$9:$N$1003,9,FALSE)</f>
        <v>خ</v>
      </c>
      <c r="S163" s="866" t="str">
        <f>VLOOKUP(N163,etat!$A$9:$P$905,16,FALSE)</f>
        <v>اخ3</v>
      </c>
      <c r="T163" s="755">
        <v>45771</v>
      </c>
      <c r="U163" s="791">
        <v>13</v>
      </c>
      <c r="V163" s="784" t="s">
        <v>2280</v>
      </c>
      <c r="W163" s="784" t="s">
        <v>2283</v>
      </c>
      <c r="X163" s="784"/>
      <c r="Y163" s="975"/>
      <c r="Z163" s="975"/>
      <c r="AA163" s="967">
        <v>4</v>
      </c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</row>
    <row r="164" spans="1:79" s="1096" customFormat="1" ht="15.6" customHeight="1">
      <c r="A164" s="25"/>
      <c r="B164" s="25"/>
      <c r="C164" s="25"/>
      <c r="D164" s="295"/>
      <c r="E164" s="295"/>
      <c r="F164" s="295"/>
      <c r="G164" s="295"/>
      <c r="H164" s="295"/>
      <c r="I164" s="25"/>
      <c r="J164" s="25"/>
      <c r="K164" s="25"/>
      <c r="L164" s="777">
        <v>5</v>
      </c>
      <c r="M164" s="778"/>
      <c r="N164" s="976">
        <v>131</v>
      </c>
      <c r="O164" s="1020">
        <v>107</v>
      </c>
      <c r="P164" s="847">
        <f>VLOOKUP(N164,etat!$A$9:$N$1004,2,FALSE)</f>
        <v>0</v>
      </c>
      <c r="Q164" s="797" t="str">
        <f>VLOOKUP(N164,etat!$A$9:$N$963,7,FALSE)</f>
        <v>3أ ف1</v>
      </c>
      <c r="R164" s="797" t="str">
        <f>VLOOKUP(N164,etat!$A$9:$N$1003,9,FALSE)</f>
        <v>خ</v>
      </c>
      <c r="S164" s="866" t="str">
        <f>VLOOKUP(N164,etat!$A$9:$P$905,16,FALSE)</f>
        <v>ذخ3</v>
      </c>
      <c r="T164" s="755">
        <v>45764</v>
      </c>
      <c r="U164" s="791">
        <v>20</v>
      </c>
      <c r="V164" s="784" t="s">
        <v>2269</v>
      </c>
      <c r="W164" s="784" t="s">
        <v>2280</v>
      </c>
      <c r="X164" s="784" t="s">
        <v>2283</v>
      </c>
      <c r="Y164" s="975"/>
      <c r="Z164" s="975" t="str">
        <f>VLOOKUP(L164,[2]اس!$S$3:$X$31,3,FALSE)</f>
        <v>.</v>
      </c>
      <c r="AA164" s="967">
        <v>4</v>
      </c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</row>
    <row r="165" spans="1:79" s="1096" customFormat="1" ht="15.6" customHeight="1">
      <c r="A165" s="25"/>
      <c r="B165" s="25"/>
      <c r="C165" s="25"/>
      <c r="D165" s="295"/>
      <c r="E165" s="295"/>
      <c r="F165" s="295"/>
      <c r="G165" s="295"/>
      <c r="H165" s="295"/>
      <c r="I165" s="25"/>
      <c r="J165" s="25"/>
      <c r="K165" s="25"/>
      <c r="L165" s="777">
        <v>5</v>
      </c>
      <c r="M165" s="778"/>
      <c r="N165" s="976">
        <v>134</v>
      </c>
      <c r="O165" s="1020">
        <v>108</v>
      </c>
      <c r="P165" s="847">
        <f>VLOOKUP(N165,etat!$A$9:$N$1004,2,FALSE)</f>
        <v>0</v>
      </c>
      <c r="Q165" s="797" t="str">
        <f>VLOOKUP(N165,etat!$A$9:$N$963,7,FALSE)</f>
        <v>3أ ف1</v>
      </c>
      <c r="R165" s="797" t="str">
        <f>VLOOKUP(N165,etat!$A$9:$N$1003,9,FALSE)</f>
        <v>خ</v>
      </c>
      <c r="S165" s="866" t="str">
        <f>VLOOKUP(N165,etat!$A$9:$P$905,16,FALSE)</f>
        <v>اخ3</v>
      </c>
      <c r="T165" s="755">
        <v>45771</v>
      </c>
      <c r="U165" s="791">
        <v>13</v>
      </c>
      <c r="V165" s="784" t="s">
        <v>2280</v>
      </c>
      <c r="W165" s="784" t="s">
        <v>2283</v>
      </c>
      <c r="X165" s="784"/>
      <c r="Y165" s="975"/>
      <c r="Z165" s="975"/>
      <c r="AA165" s="967">
        <v>4</v>
      </c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</row>
    <row r="166" spans="1:79" s="1096" customFormat="1" ht="15.6" customHeight="1">
      <c r="A166" s="25"/>
      <c r="B166" s="25"/>
      <c r="C166" s="25"/>
      <c r="D166" s="295"/>
      <c r="E166" s="295"/>
      <c r="F166" s="295"/>
      <c r="G166" s="295"/>
      <c r="H166" s="295"/>
      <c r="I166" s="25"/>
      <c r="J166" s="25"/>
      <c r="K166" s="25"/>
      <c r="L166" s="777">
        <v>5</v>
      </c>
      <c r="M166" s="778"/>
      <c r="N166" s="976">
        <v>137</v>
      </c>
      <c r="O166" s="1020">
        <v>109</v>
      </c>
      <c r="P166" s="847">
        <f>VLOOKUP(N166,etat!$A$9:$N$1004,2,FALSE)</f>
        <v>0</v>
      </c>
      <c r="Q166" s="797" t="str">
        <f>VLOOKUP(N166,etat!$A$9:$N$963,7,FALSE)</f>
        <v>3أ ف1</v>
      </c>
      <c r="R166" s="797" t="str">
        <f>VLOOKUP(N166,etat!$A$9:$N$1003,9,FALSE)</f>
        <v>خ</v>
      </c>
      <c r="S166" s="866" t="str">
        <f>VLOOKUP(N166,etat!$A$9:$P$905,16,FALSE)</f>
        <v>ان/د3</v>
      </c>
      <c r="T166" s="755">
        <v>45771</v>
      </c>
      <c r="U166" s="791">
        <v>13</v>
      </c>
      <c r="V166" s="784" t="s">
        <v>2280</v>
      </c>
      <c r="W166" s="784" t="s">
        <v>2283</v>
      </c>
      <c r="X166" s="784"/>
      <c r="Y166" s="975"/>
      <c r="Z166" s="975"/>
      <c r="AA166" s="967">
        <v>4</v>
      </c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</row>
    <row r="167" spans="1:79" s="1096" customFormat="1" ht="15.6" customHeight="1">
      <c r="A167" s="25"/>
      <c r="B167" s="25"/>
      <c r="C167" s="25"/>
      <c r="D167" s="295"/>
      <c r="E167" s="295"/>
      <c r="F167" s="295"/>
      <c r="G167" s="295"/>
      <c r="H167" s="295"/>
      <c r="I167" s="25"/>
      <c r="J167" s="25"/>
      <c r="K167" s="25"/>
      <c r="L167" s="777">
        <v>5</v>
      </c>
      <c r="M167" s="778"/>
      <c r="N167" s="976">
        <v>138</v>
      </c>
      <c r="O167" s="1020">
        <v>110</v>
      </c>
      <c r="P167" s="847">
        <f>VLOOKUP(N167,etat!$A$9:$N$1004,2,FALSE)</f>
        <v>0</v>
      </c>
      <c r="Q167" s="797" t="str">
        <f>VLOOKUP(N167,etat!$A$9:$N$963,7,FALSE)</f>
        <v>3أ ف1</v>
      </c>
      <c r="R167" s="866" t="str">
        <f>VLOOKUP(N167,etat!$A$9:$N$1003,9,FALSE)</f>
        <v>خ</v>
      </c>
      <c r="S167" s="866" t="str">
        <f>VLOOKUP(N167,etat!$A$9:$P$905,16,FALSE)</f>
        <v>ان/د3</v>
      </c>
      <c r="T167" s="755">
        <v>45775</v>
      </c>
      <c r="U167" s="791">
        <v>9</v>
      </c>
      <c r="V167" s="784" t="s">
        <v>2282</v>
      </c>
      <c r="W167" s="869"/>
      <c r="X167" s="869"/>
      <c r="Y167" s="975"/>
      <c r="Z167" s="975"/>
      <c r="AA167" s="967">
        <v>4</v>
      </c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</row>
    <row r="168" spans="1:79" s="913" customFormat="1" ht="15.6" customHeight="1">
      <c r="A168" s="25"/>
      <c r="B168" s="25"/>
      <c r="C168" s="25"/>
      <c r="D168" s="295"/>
      <c r="E168" s="295"/>
      <c r="F168" s="295"/>
      <c r="G168" s="295"/>
      <c r="H168" s="295"/>
      <c r="I168" s="25"/>
      <c r="J168" s="25"/>
      <c r="K168" s="25"/>
      <c r="L168" s="777">
        <v>5</v>
      </c>
      <c r="M168" s="778"/>
      <c r="N168" s="976">
        <v>139</v>
      </c>
      <c r="O168" s="1020">
        <v>111</v>
      </c>
      <c r="P168" s="847">
        <f>VLOOKUP(N168,etat!$A$9:$N$1004,2,FALSE)</f>
        <v>0</v>
      </c>
      <c r="Q168" s="797" t="str">
        <f>VLOOKUP(N168,etat!$A$9:$N$963,7,FALSE)</f>
        <v>3أ ف1</v>
      </c>
      <c r="R168" s="797" t="str">
        <f>VLOOKUP(N168,etat!$A$9:$N$1003,9,FALSE)</f>
        <v>خ</v>
      </c>
      <c r="S168" s="866" t="str">
        <f>VLOOKUP(N168,etat!$A$9:$P$905,16,FALSE)</f>
        <v>ذن/د3</v>
      </c>
      <c r="T168" s="755">
        <v>45771</v>
      </c>
      <c r="U168" s="791">
        <v>13</v>
      </c>
      <c r="V168" s="784" t="s">
        <v>2280</v>
      </c>
      <c r="W168" s="784" t="s">
        <v>2283</v>
      </c>
      <c r="X168" s="784"/>
      <c r="Y168" s="1116"/>
      <c r="Z168" s="975"/>
      <c r="AA168" s="967">
        <v>4</v>
      </c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</row>
    <row r="169" spans="1:79" ht="15.6" customHeight="1">
      <c r="A169" s="25"/>
      <c r="B169" s="25"/>
      <c r="C169" s="25"/>
      <c r="D169" s="295"/>
      <c r="E169" s="295"/>
      <c r="F169" s="295"/>
      <c r="G169" s="295"/>
      <c r="H169" s="295"/>
      <c r="I169" s="25"/>
      <c r="J169" s="25"/>
      <c r="K169" s="25"/>
      <c r="L169" s="777">
        <v>5</v>
      </c>
      <c r="M169" s="778"/>
      <c r="N169" s="976">
        <v>140</v>
      </c>
      <c r="O169" s="1020">
        <v>112</v>
      </c>
      <c r="P169" s="847">
        <f>VLOOKUP(N169,etat!$A$9:$N$1004,2,FALSE)</f>
        <v>0</v>
      </c>
      <c r="Q169" s="797" t="str">
        <f>VLOOKUP(N169,etat!$A$9:$N$963,7,FALSE)</f>
        <v>3أ ف1</v>
      </c>
      <c r="R169" s="797" t="str">
        <f>VLOOKUP(N169,etat!$A$9:$N$1003,9,FALSE)</f>
        <v>خ</v>
      </c>
      <c r="S169" s="866" t="str">
        <f>VLOOKUP(N169,etat!$A$9:$P$905,16,FALSE)</f>
        <v>ان/د3</v>
      </c>
      <c r="T169" s="755">
        <v>45781</v>
      </c>
      <c r="U169" s="791">
        <v>3</v>
      </c>
      <c r="V169" s="784" t="s">
        <v>2285</v>
      </c>
      <c r="W169" s="784"/>
      <c r="X169" s="784"/>
      <c r="Y169" s="975"/>
      <c r="Z169" s="975"/>
      <c r="AA169" s="967">
        <v>4</v>
      </c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</row>
    <row r="170" spans="1:79" ht="15.6" customHeight="1">
      <c r="A170" s="25"/>
      <c r="B170" s="25"/>
      <c r="C170" s="25"/>
      <c r="D170" s="295"/>
      <c r="E170" s="295"/>
      <c r="F170" s="295"/>
      <c r="G170" s="295"/>
      <c r="H170" s="295"/>
      <c r="I170" s="25"/>
      <c r="J170" s="25"/>
      <c r="K170" s="25"/>
      <c r="L170" s="777">
        <v>5</v>
      </c>
      <c r="M170" s="778"/>
      <c r="N170" s="976">
        <v>142</v>
      </c>
      <c r="O170" s="1020">
        <v>113</v>
      </c>
      <c r="P170" s="847">
        <f>VLOOKUP(N170,etat!$A$9:$N$1004,2,FALSE)</f>
        <v>0</v>
      </c>
      <c r="Q170" s="797" t="str">
        <f>VLOOKUP(N170,etat!$A$9:$N$963,7,FALSE)</f>
        <v>3أ ف1</v>
      </c>
      <c r="R170" s="866" t="str">
        <f>VLOOKUP(N170,etat!$A$9:$N$1003,9,FALSE)</f>
        <v>خ</v>
      </c>
      <c r="S170" s="866" t="str">
        <f>VLOOKUP(N170,etat!$A$9:$P$905,16,FALSE)</f>
        <v>اخ3</v>
      </c>
      <c r="T170" s="755">
        <v>45775</v>
      </c>
      <c r="U170" s="791">
        <v>9</v>
      </c>
      <c r="V170" s="784" t="s">
        <v>2282</v>
      </c>
      <c r="W170" s="869"/>
      <c r="X170" s="869"/>
      <c r="Y170" s="975"/>
      <c r="Z170" s="975"/>
      <c r="AA170" s="967">
        <v>4</v>
      </c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</row>
    <row r="171" spans="1:79" ht="15.6" customHeight="1">
      <c r="A171" s="25"/>
      <c r="B171" s="25"/>
      <c r="C171" s="25"/>
      <c r="D171" s="295"/>
      <c r="E171" s="295"/>
      <c r="F171" s="295"/>
      <c r="G171" s="295"/>
      <c r="H171" s="295"/>
      <c r="I171" s="25"/>
      <c r="J171" s="25"/>
      <c r="K171" s="25"/>
      <c r="L171" s="777">
        <v>5</v>
      </c>
      <c r="M171" s="778"/>
      <c r="N171" s="976">
        <v>143</v>
      </c>
      <c r="O171" s="1020">
        <v>114</v>
      </c>
      <c r="P171" s="847">
        <f>VLOOKUP(N171,etat!$A$9:$N$1004,2,FALSE)</f>
        <v>0</v>
      </c>
      <c r="Q171" s="797" t="str">
        <f>VLOOKUP(N171,etat!$A$9:$N$963,7,FALSE)</f>
        <v>3أ ف1</v>
      </c>
      <c r="R171" s="797" t="str">
        <f>VLOOKUP(N171,etat!$A$9:$N$1003,9,FALSE)</f>
        <v>خ</v>
      </c>
      <c r="S171" s="866" t="str">
        <f>VLOOKUP(N171,etat!$A$9:$P$905,16,FALSE)</f>
        <v>اخ3</v>
      </c>
      <c r="T171" s="755">
        <v>45771</v>
      </c>
      <c r="U171" s="791">
        <v>13</v>
      </c>
      <c r="V171" s="784" t="s">
        <v>2280</v>
      </c>
      <c r="W171" s="784" t="s">
        <v>2283</v>
      </c>
      <c r="X171" s="784"/>
      <c r="Y171" s="975"/>
      <c r="Z171" s="975"/>
      <c r="AA171" s="967">
        <v>4</v>
      </c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</row>
    <row r="172" spans="1:79" ht="15.6" customHeight="1">
      <c r="A172" s="25"/>
      <c r="B172" s="25"/>
      <c r="C172" s="25"/>
      <c r="D172" s="295"/>
      <c r="E172" s="295"/>
      <c r="F172" s="295"/>
      <c r="G172" s="295"/>
      <c r="H172" s="295"/>
      <c r="I172" s="25"/>
      <c r="J172" s="25"/>
      <c r="K172" s="25"/>
      <c r="L172" s="777">
        <v>5</v>
      </c>
      <c r="M172" s="778"/>
      <c r="N172" s="976">
        <v>144</v>
      </c>
      <c r="O172" s="1020">
        <v>115</v>
      </c>
      <c r="P172" s="847">
        <f>VLOOKUP(N172,etat!$A$9:$N$1004,2,FALSE)</f>
        <v>0</v>
      </c>
      <c r="Q172" s="797" t="str">
        <f>VLOOKUP(N172,etat!$A$9:$N$963,7,FALSE)</f>
        <v>3أ ف1</v>
      </c>
      <c r="R172" s="797" t="str">
        <f>VLOOKUP(N172,etat!$A$9:$N$1003,9,FALSE)</f>
        <v>خ</v>
      </c>
      <c r="S172" s="866" t="str">
        <f>VLOOKUP(N172,etat!$A$9:$P$905,16,FALSE)</f>
        <v>ذخ3</v>
      </c>
      <c r="T172" s="755">
        <v>45771</v>
      </c>
      <c r="U172" s="791">
        <v>13</v>
      </c>
      <c r="V172" s="784" t="s">
        <v>2280</v>
      </c>
      <c r="W172" s="784" t="s">
        <v>2283</v>
      </c>
      <c r="X172" s="784"/>
      <c r="Y172" s="975"/>
      <c r="Z172" s="975"/>
      <c r="AA172" s="967">
        <v>4</v>
      </c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</row>
    <row r="173" spans="1:79" s="914" customFormat="1" ht="15.6" customHeight="1">
      <c r="A173" s="25"/>
      <c r="B173" s="25"/>
      <c r="C173" s="25"/>
      <c r="D173" s="295"/>
      <c r="E173" s="295"/>
      <c r="F173" s="295"/>
      <c r="G173" s="295"/>
      <c r="H173" s="295"/>
      <c r="I173" s="25"/>
      <c r="J173" s="25"/>
      <c r="K173" s="25"/>
      <c r="L173" s="777">
        <v>5</v>
      </c>
      <c r="M173" s="778"/>
      <c r="N173" s="976">
        <v>146</v>
      </c>
      <c r="O173" s="1020">
        <v>116</v>
      </c>
      <c r="P173" s="847">
        <f>VLOOKUP(N173,etat!$A$9:$N$1004,2,FALSE)</f>
        <v>0</v>
      </c>
      <c r="Q173" s="797" t="str">
        <f>VLOOKUP(N173,etat!$A$9:$N$963,7,FALSE)</f>
        <v>3أ ف1</v>
      </c>
      <c r="R173" s="797" t="str">
        <f>VLOOKUP(N173,etat!$A$9:$N$1003,9,FALSE)</f>
        <v>خ</v>
      </c>
      <c r="S173" s="866" t="str">
        <f>VLOOKUP(N173,etat!$A$9:$P$905,16,FALSE)</f>
        <v>ذخ3</v>
      </c>
      <c r="T173" s="755">
        <v>45777</v>
      </c>
      <c r="U173" s="1129" t="s">
        <v>389</v>
      </c>
      <c r="V173" s="784" t="s">
        <v>2283</v>
      </c>
      <c r="W173" s="784"/>
      <c r="X173" s="784"/>
      <c r="Y173" s="975"/>
      <c r="Z173" s="975" t="str">
        <f>VLOOKUP(L173,[2]اس!$S$3:$X$31,3,FALSE)</f>
        <v>.</v>
      </c>
      <c r="AA173" s="967">
        <v>4</v>
      </c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</row>
    <row r="174" spans="1:79" s="914" customFormat="1" ht="15.6" customHeight="1">
      <c r="A174" s="25"/>
      <c r="B174" s="25"/>
      <c r="C174" s="25"/>
      <c r="D174" s="295"/>
      <c r="E174" s="295"/>
      <c r="F174" s="295"/>
      <c r="G174" s="295"/>
      <c r="H174" s="295"/>
      <c r="I174" s="25"/>
      <c r="J174" s="25"/>
      <c r="K174" s="25"/>
      <c r="L174" s="777">
        <v>5</v>
      </c>
      <c r="M174" s="778"/>
      <c r="N174" s="976">
        <v>133</v>
      </c>
      <c r="O174" s="1020">
        <v>117</v>
      </c>
      <c r="P174" s="847">
        <f>VLOOKUP(N174,etat!$A$9:$N$1004,2,FALSE)</f>
        <v>0</v>
      </c>
      <c r="Q174" s="797" t="str">
        <f>VLOOKUP(N174,etat!$A$9:$N$963,7,FALSE)</f>
        <v>3أ ف1</v>
      </c>
      <c r="R174" s="797" t="str">
        <f>VLOOKUP(N174,etat!$A$9:$N$1003,9,FALSE)</f>
        <v>خ</v>
      </c>
      <c r="S174" s="866" t="str">
        <f>VLOOKUP(N174,etat!$A$9:$P$905,16,FALSE)</f>
        <v>ذخ3</v>
      </c>
      <c r="T174" s="755">
        <v>45782</v>
      </c>
      <c r="U174" s="791">
        <v>1</v>
      </c>
      <c r="V174" s="784"/>
      <c r="W174" s="784"/>
      <c r="X174" s="784"/>
      <c r="Y174" s="975"/>
      <c r="Z174" s="975"/>
      <c r="AA174" s="967">
        <v>4</v>
      </c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</row>
    <row r="175" spans="1:79" ht="15.6" customHeight="1">
      <c r="A175" s="25"/>
      <c r="B175" s="25"/>
      <c r="C175" s="25"/>
      <c r="D175" s="295"/>
      <c r="E175" s="295"/>
      <c r="F175" s="295"/>
      <c r="G175" s="295"/>
      <c r="H175" s="295"/>
      <c r="I175" s="25"/>
      <c r="J175" s="25"/>
      <c r="K175" s="25"/>
      <c r="L175" s="777">
        <v>5</v>
      </c>
      <c r="M175" s="778"/>
      <c r="N175" s="976">
        <v>130</v>
      </c>
      <c r="O175" s="1020">
        <v>118</v>
      </c>
      <c r="P175" s="847">
        <f>VLOOKUP(N175,etat!$A$9:$N$1004,2,FALSE)</f>
        <v>0</v>
      </c>
      <c r="Q175" s="797" t="str">
        <f>VLOOKUP(N175,etat!$A$9:$N$963,7,FALSE)</f>
        <v>3أ ف1</v>
      </c>
      <c r="R175" s="797" t="str">
        <f>VLOOKUP(N175,etat!$A$9:$N$1003,9,FALSE)</f>
        <v>خ</v>
      </c>
      <c r="S175" s="866" t="str">
        <f>VLOOKUP(N175,etat!$A$9:$P$905,16,FALSE)</f>
        <v>اخ3</v>
      </c>
      <c r="T175" s="755">
        <v>45782</v>
      </c>
      <c r="U175" s="791">
        <v>1</v>
      </c>
      <c r="V175" s="784"/>
      <c r="W175" s="784"/>
      <c r="X175" s="784"/>
      <c r="Y175" s="975"/>
      <c r="Z175" s="975"/>
      <c r="AA175" s="967">
        <v>4</v>
      </c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</row>
    <row r="176" spans="1:79" ht="15.6" customHeight="1">
      <c r="A176" s="25"/>
      <c r="B176" s="25"/>
      <c r="C176" s="25"/>
      <c r="D176" s="295"/>
      <c r="E176" s="295"/>
      <c r="F176" s="295"/>
      <c r="G176" s="295"/>
      <c r="H176" s="295"/>
      <c r="I176" s="25"/>
      <c r="J176" s="25"/>
      <c r="K176" s="25"/>
      <c r="L176" s="777">
        <v>5</v>
      </c>
      <c r="M176" s="778"/>
      <c r="N176" s="976">
        <v>119</v>
      </c>
      <c r="O176" s="1020">
        <v>119</v>
      </c>
      <c r="P176" s="847">
        <f>VLOOKUP(N176,etat!$A$9:$N$1004,2,FALSE)</f>
        <v>0</v>
      </c>
      <c r="Q176" s="797" t="str">
        <f>VLOOKUP(N176,etat!$A$9:$N$963,7,FALSE)</f>
        <v>3ع ت2</v>
      </c>
      <c r="R176" s="797" t="str">
        <f>VLOOKUP(N176,etat!$A$9:$N$1003,9,FALSE)</f>
        <v>خ</v>
      </c>
      <c r="S176" s="866" t="str">
        <f>VLOOKUP(N176,etat!$A$9:$P$905,16,FALSE)</f>
        <v>اخ3</v>
      </c>
      <c r="T176" s="755">
        <v>45782</v>
      </c>
      <c r="U176" s="791">
        <v>1</v>
      </c>
      <c r="V176" s="784"/>
      <c r="W176" s="784"/>
      <c r="X176" s="784"/>
      <c r="Y176" s="975"/>
      <c r="Z176" s="975"/>
      <c r="AA176" s="967">
        <v>4</v>
      </c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</row>
    <row r="177" spans="1:79" s="1096" customFormat="1" ht="15.6" customHeight="1">
      <c r="A177" s="25"/>
      <c r="B177" s="25"/>
      <c r="C177" s="25"/>
      <c r="D177" s="295"/>
      <c r="E177" s="295"/>
      <c r="F177" s="295"/>
      <c r="G177" s="295"/>
      <c r="H177" s="295"/>
      <c r="I177" s="25"/>
      <c r="J177" s="25"/>
      <c r="K177" s="25"/>
      <c r="L177" s="777">
        <v>5</v>
      </c>
      <c r="M177" s="778"/>
      <c r="N177" s="976">
        <v>120</v>
      </c>
      <c r="O177" s="1020">
        <v>120</v>
      </c>
      <c r="P177" s="847">
        <f>VLOOKUP(N177,etat!$A$9:$N$1004,2,FALSE)</f>
        <v>0</v>
      </c>
      <c r="Q177" s="797" t="str">
        <f>VLOOKUP(N177,etat!$A$9:$N$963,7,FALSE)</f>
        <v>3ع ت2</v>
      </c>
      <c r="R177" s="797" t="str">
        <f>VLOOKUP(N177,etat!$A$9:$N$1003,9,FALSE)</f>
        <v>خ</v>
      </c>
      <c r="S177" s="866" t="str">
        <f>VLOOKUP(N177,etat!$A$9:$P$905,16,FALSE)</f>
        <v>اخ3</v>
      </c>
      <c r="T177" s="755">
        <v>45782</v>
      </c>
      <c r="U177" s="791">
        <v>1</v>
      </c>
      <c r="V177" s="784"/>
      <c r="W177" s="784"/>
      <c r="X177" s="784"/>
      <c r="Y177" s="1117"/>
      <c r="Z177" s="967"/>
      <c r="AA177" s="967">
        <v>4</v>
      </c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</row>
    <row r="178" spans="1:79" s="1096" customFormat="1" ht="15.6" customHeight="1">
      <c r="A178" s="25"/>
      <c r="B178" s="25"/>
      <c r="C178" s="25"/>
      <c r="D178" s="295"/>
      <c r="E178" s="295"/>
      <c r="F178" s="295"/>
      <c r="G178" s="295"/>
      <c r="H178" s="295"/>
      <c r="I178" s="25"/>
      <c r="J178" s="25"/>
      <c r="K178" s="25"/>
      <c r="L178" s="777">
        <v>5</v>
      </c>
      <c r="M178" s="778"/>
      <c r="N178" s="976">
        <v>128</v>
      </c>
      <c r="O178" s="1020">
        <v>121</v>
      </c>
      <c r="P178" s="847">
        <f>VLOOKUP(N178,etat!$A$9:$N$1004,2,FALSE)</f>
        <v>0</v>
      </c>
      <c r="Q178" s="797" t="str">
        <f>VLOOKUP(N178,etat!$A$9:$N$963,7,FALSE)</f>
        <v>3أ ف1</v>
      </c>
      <c r="R178" s="797" t="str">
        <f>VLOOKUP(N178,etat!$A$9:$N$1003,9,FALSE)</f>
        <v>خ</v>
      </c>
      <c r="S178" s="866" t="str">
        <f>VLOOKUP(N178,etat!$A$9:$P$905,16,FALSE)</f>
        <v>اخ3</v>
      </c>
      <c r="T178" s="755">
        <v>45782</v>
      </c>
      <c r="U178" s="791">
        <v>1</v>
      </c>
      <c r="V178" s="784"/>
      <c r="W178" s="784"/>
      <c r="X178" s="784"/>
      <c r="Y178" s="975"/>
      <c r="Z178" s="975"/>
      <c r="AA178" s="967">
        <v>4</v>
      </c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</row>
    <row r="179" spans="1:79" s="1096" customFormat="1" ht="15.6" customHeight="1">
      <c r="A179" s="25"/>
      <c r="B179" s="25"/>
      <c r="C179" s="25"/>
      <c r="D179" s="295"/>
      <c r="E179" s="295"/>
      <c r="F179" s="295"/>
      <c r="G179" s="295"/>
      <c r="H179" s="295"/>
      <c r="I179" s="25"/>
      <c r="J179" s="25"/>
      <c r="K179" s="25"/>
      <c r="L179" s="777">
        <v>5</v>
      </c>
      <c r="M179" s="778"/>
      <c r="N179" s="976">
        <v>147</v>
      </c>
      <c r="O179" s="1020">
        <v>122</v>
      </c>
      <c r="P179" s="847">
        <f>VLOOKUP(N179,etat!$A$9:$N$1004,2,FALSE)</f>
        <v>0</v>
      </c>
      <c r="Q179" s="797" t="str">
        <f>VLOOKUP(N179,etat!$A$9:$N$963,7,FALSE)</f>
        <v>3أ ف1</v>
      </c>
      <c r="R179" s="797" t="str">
        <f>VLOOKUP(N179,etat!$A$9:$N$1003,9,FALSE)</f>
        <v>خ</v>
      </c>
      <c r="S179" s="866" t="str">
        <f>VLOOKUP(N179,etat!$A$9:$P$905,16,FALSE)</f>
        <v>اخ3</v>
      </c>
      <c r="T179" s="755">
        <v>45777</v>
      </c>
      <c r="U179" s="1129" t="s">
        <v>389</v>
      </c>
      <c r="V179" s="784" t="s">
        <v>2283</v>
      </c>
      <c r="W179" s="784"/>
      <c r="X179" s="784"/>
      <c r="Y179" s="975"/>
      <c r="Z179" s="975" t="str">
        <f>VLOOKUP(L179,[2]اس!$S$3:$X$31,3,FALSE)</f>
        <v>.</v>
      </c>
      <c r="AA179" s="967">
        <v>4</v>
      </c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</row>
    <row r="180" spans="1:79" s="1096" customFormat="1" ht="15.6" customHeight="1">
      <c r="A180" s="25"/>
      <c r="B180" s="25"/>
      <c r="C180" s="25"/>
      <c r="D180" s="295"/>
      <c r="E180" s="295"/>
      <c r="F180" s="295"/>
      <c r="G180" s="295"/>
      <c r="H180" s="295"/>
      <c r="I180" s="25"/>
      <c r="J180" s="25"/>
      <c r="K180" s="25"/>
      <c r="L180" s="777">
        <v>5</v>
      </c>
      <c r="M180" s="778"/>
      <c r="N180" s="976">
        <v>149</v>
      </c>
      <c r="O180" s="1020">
        <v>123</v>
      </c>
      <c r="P180" s="847">
        <f>VLOOKUP(N180,etat!$A$9:$N$1004,2,FALSE)</f>
        <v>0</v>
      </c>
      <c r="Q180" s="797" t="str">
        <f>VLOOKUP(N180,etat!$A$9:$N$963,7,FALSE)</f>
        <v>3أ ف1</v>
      </c>
      <c r="R180" s="797" t="str">
        <f>VLOOKUP(N180,etat!$A$9:$N$1003,9,FALSE)</f>
        <v>خ</v>
      </c>
      <c r="S180" s="866" t="str">
        <f>VLOOKUP(N180,etat!$A$9:$P$905,16,FALSE)</f>
        <v>اخ3</v>
      </c>
      <c r="T180" s="755">
        <v>45769</v>
      </c>
      <c r="U180" s="791">
        <v>15</v>
      </c>
      <c r="V180" s="784" t="s">
        <v>2278</v>
      </c>
      <c r="W180" s="784" t="s">
        <v>2283</v>
      </c>
      <c r="X180" s="784"/>
      <c r="Y180" s="975"/>
      <c r="Z180" s="967"/>
      <c r="AA180" s="967">
        <v>4</v>
      </c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</row>
    <row r="181" spans="1:79" s="1096" customFormat="1" ht="15.6" customHeight="1">
      <c r="A181" s="25"/>
      <c r="B181" s="25"/>
      <c r="C181" s="25"/>
      <c r="D181" s="295"/>
      <c r="E181" s="295"/>
      <c r="F181" s="295"/>
      <c r="G181" s="295"/>
      <c r="H181" s="295"/>
      <c r="I181" s="25"/>
      <c r="J181" s="25"/>
      <c r="K181" s="25"/>
      <c r="L181" s="777">
        <v>5</v>
      </c>
      <c r="M181" s="778"/>
      <c r="N181" s="976">
        <v>150</v>
      </c>
      <c r="O181" s="1020">
        <v>124</v>
      </c>
      <c r="P181" s="847">
        <f>VLOOKUP(N181,etat!$A$9:$N$1004,2,FALSE)</f>
        <v>0</v>
      </c>
      <c r="Q181" s="797" t="str">
        <f>VLOOKUP(N181,etat!$A$9:$N$963,7,FALSE)</f>
        <v>3أ ف1</v>
      </c>
      <c r="R181" s="866" t="str">
        <f>VLOOKUP(N181,etat!$A$9:$N$1003,9,FALSE)</f>
        <v>خ</v>
      </c>
      <c r="S181" s="866" t="str">
        <f>VLOOKUP(N181,etat!$A$9:$P$905,16,FALSE)</f>
        <v>ذخ3</v>
      </c>
      <c r="T181" s="755">
        <v>45776</v>
      </c>
      <c r="U181" s="791">
        <v>8</v>
      </c>
      <c r="V181" s="784" t="s">
        <v>2283</v>
      </c>
      <c r="W181" s="784"/>
      <c r="X181" s="784"/>
      <c r="Y181" s="975"/>
      <c r="Z181" s="975"/>
      <c r="AA181" s="967">
        <v>4</v>
      </c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</row>
    <row r="182" spans="1:79" s="1096" customFormat="1" ht="15.6" customHeight="1">
      <c r="A182" s="25"/>
      <c r="B182" s="25"/>
      <c r="C182" s="25"/>
      <c r="D182" s="295"/>
      <c r="E182" s="295"/>
      <c r="F182" s="295"/>
      <c r="G182" s="295"/>
      <c r="H182" s="295"/>
      <c r="I182" s="25"/>
      <c r="J182" s="25"/>
      <c r="K182" s="25"/>
      <c r="L182" s="777">
        <v>5</v>
      </c>
      <c r="M182" s="778"/>
      <c r="N182" s="976">
        <v>154</v>
      </c>
      <c r="O182" s="1020">
        <v>125</v>
      </c>
      <c r="P182" s="847">
        <f>VLOOKUP(N182,etat!$A$9:$N$1004,2,FALSE)</f>
        <v>0</v>
      </c>
      <c r="Q182" s="797" t="str">
        <f>VLOOKUP(N182,etat!$A$9:$N$963,7,FALSE)</f>
        <v>3أ ف2</v>
      </c>
      <c r="R182" s="797" t="str">
        <f>VLOOKUP(N182,etat!$A$9:$N$1003,9,FALSE)</f>
        <v>ن/د</v>
      </c>
      <c r="S182" s="866" t="str">
        <f>VLOOKUP(N182,etat!$A$9:$P$905,16,FALSE)</f>
        <v>ذخ3</v>
      </c>
      <c r="T182" s="755">
        <v>45776</v>
      </c>
      <c r="U182" s="791">
        <v>8</v>
      </c>
      <c r="V182" s="784" t="s">
        <v>2283</v>
      </c>
      <c r="W182" s="784"/>
      <c r="X182" s="784"/>
      <c r="Y182" s="1118"/>
      <c r="Z182" s="975" t="str">
        <f>VLOOKUP(L183,[2]اس!$S$3:$X$31,3,FALSE)</f>
        <v>.</v>
      </c>
      <c r="AA182" s="967">
        <v>4</v>
      </c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</row>
    <row r="183" spans="1:79" s="1096" customFormat="1" ht="15.6" customHeight="1">
      <c r="A183" s="25"/>
      <c r="B183" s="25"/>
      <c r="C183" s="25"/>
      <c r="D183" s="295"/>
      <c r="E183" s="295"/>
      <c r="F183" s="295"/>
      <c r="G183" s="295"/>
      <c r="H183" s="295"/>
      <c r="I183" s="25"/>
      <c r="J183" s="25"/>
      <c r="K183" s="25"/>
      <c r="L183" s="777">
        <v>5</v>
      </c>
      <c r="M183" s="778"/>
      <c r="N183" s="976">
        <v>155</v>
      </c>
      <c r="O183" s="1020">
        <v>126</v>
      </c>
      <c r="P183" s="847">
        <f>VLOOKUP(N183,etat!$A$9:$N$1004,2,FALSE)</f>
        <v>0</v>
      </c>
      <c r="Q183" s="797" t="str">
        <f>VLOOKUP(N183,etat!$A$9:$N$963,7,FALSE)</f>
        <v>3أ ف2</v>
      </c>
      <c r="R183" s="797" t="str">
        <f>VLOOKUP(N183,etat!$A$9:$N$1003,9,FALSE)</f>
        <v>ن/د</v>
      </c>
      <c r="S183" s="866" t="str">
        <f>VLOOKUP(N183,etat!$A$9:$P$905,16,FALSE)</f>
        <v>اخ3</v>
      </c>
      <c r="T183" s="755">
        <v>45776</v>
      </c>
      <c r="U183" s="791">
        <v>8</v>
      </c>
      <c r="V183" s="784" t="s">
        <v>2283</v>
      </c>
      <c r="W183" s="784"/>
      <c r="X183" s="784"/>
      <c r="Y183" s="975"/>
      <c r="Z183" s="967"/>
      <c r="AA183" s="967">
        <v>4</v>
      </c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</row>
    <row r="184" spans="1:79" ht="15.6" customHeight="1">
      <c r="A184" s="25"/>
      <c r="B184" s="25"/>
      <c r="C184" s="25"/>
      <c r="D184" s="295"/>
      <c r="E184" s="295"/>
      <c r="F184" s="295"/>
      <c r="G184" s="295"/>
      <c r="H184" s="295"/>
      <c r="I184" s="25"/>
      <c r="J184" s="25"/>
      <c r="K184" s="25"/>
      <c r="L184" s="777">
        <v>5</v>
      </c>
      <c r="M184" s="864"/>
      <c r="N184" s="976">
        <v>156</v>
      </c>
      <c r="O184" s="1020">
        <v>127</v>
      </c>
      <c r="P184" s="847">
        <f>VLOOKUP(N184,etat!$A$9:$N$1004,2,FALSE)</f>
        <v>0</v>
      </c>
      <c r="Q184" s="797" t="str">
        <f>VLOOKUP(N184,etat!$A$9:$N$963,7,FALSE)</f>
        <v>3أ ف2</v>
      </c>
      <c r="R184" s="797" t="str">
        <f>VLOOKUP(N184,etat!$A$9:$N$1003,9,FALSE)</f>
        <v>ن/د</v>
      </c>
      <c r="S184" s="866" t="str">
        <f>VLOOKUP(N184,etat!$A$9:$P$905,16,FALSE)</f>
        <v>ذخ3</v>
      </c>
      <c r="T184" s="755">
        <v>45782</v>
      </c>
      <c r="U184" s="791">
        <v>1</v>
      </c>
      <c r="V184" s="784"/>
      <c r="W184" s="784"/>
      <c r="X184" s="784"/>
      <c r="Y184" s="1118"/>
      <c r="Z184" s="967"/>
      <c r="AA184" s="967">
        <v>4</v>
      </c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</row>
    <row r="185" spans="1:79" ht="15.6" customHeight="1">
      <c r="A185" s="25"/>
      <c r="B185" s="25"/>
      <c r="C185" s="25"/>
      <c r="D185" s="295"/>
      <c r="E185" s="295"/>
      <c r="F185" s="295"/>
      <c r="G185" s="295"/>
      <c r="H185" s="295"/>
      <c r="I185" s="25"/>
      <c r="J185" s="25"/>
      <c r="K185" s="25"/>
      <c r="L185" s="777">
        <v>5</v>
      </c>
      <c r="M185" s="864"/>
      <c r="N185" s="976">
        <v>157</v>
      </c>
      <c r="O185" s="1020">
        <v>128</v>
      </c>
      <c r="P185" s="847">
        <f>VLOOKUP(N185,etat!$A$9:$N$1004,2,FALSE)</f>
        <v>0</v>
      </c>
      <c r="Q185" s="797" t="str">
        <f>VLOOKUP(N185,etat!$A$9:$N$963,7,FALSE)</f>
        <v>3أ ف2</v>
      </c>
      <c r="R185" s="797" t="str">
        <f>VLOOKUP(N185,etat!$A$9:$N$1003,9,FALSE)</f>
        <v>ن/د</v>
      </c>
      <c r="S185" s="866" t="str">
        <f>VLOOKUP(N185,etat!$A$9:$P$905,16,FALSE)</f>
        <v>اخ3</v>
      </c>
      <c r="T185" s="755">
        <v>45782</v>
      </c>
      <c r="U185" s="791">
        <v>1</v>
      </c>
      <c r="V185" s="784"/>
      <c r="W185" s="784"/>
      <c r="X185" s="784"/>
      <c r="Y185" s="1134"/>
      <c r="Z185" s="967"/>
      <c r="AA185" s="967">
        <v>4</v>
      </c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</row>
    <row r="186" spans="1:79" s="1096" customFormat="1" ht="15.6" customHeight="1">
      <c r="A186" s="25"/>
      <c r="B186" s="25"/>
      <c r="C186" s="25"/>
      <c r="D186" s="295"/>
      <c r="E186" s="295"/>
      <c r="F186" s="295"/>
      <c r="G186" s="295"/>
      <c r="H186" s="295"/>
      <c r="I186" s="25"/>
      <c r="J186" s="25"/>
      <c r="K186" s="25"/>
      <c r="L186" s="777">
        <v>5</v>
      </c>
      <c r="M186" s="864"/>
      <c r="N186" s="976">
        <v>159</v>
      </c>
      <c r="O186" s="1020">
        <v>129</v>
      </c>
      <c r="P186" s="847">
        <f>VLOOKUP(N186,etat!$A$9:$N$1004,2,FALSE)</f>
        <v>0</v>
      </c>
      <c r="Q186" s="797" t="str">
        <f>VLOOKUP(N186,etat!$A$9:$N$963,7,FALSE)</f>
        <v>3أ ف2</v>
      </c>
      <c r="R186" s="797" t="str">
        <f>VLOOKUP(N186,etat!$A$9:$N$1003,9,FALSE)</f>
        <v>خ</v>
      </c>
      <c r="S186" s="866" t="str">
        <f>VLOOKUP(N186,etat!$A$9:$P$905,16,FALSE)</f>
        <v>ذخ3</v>
      </c>
      <c r="T186" s="755">
        <v>45770</v>
      </c>
      <c r="U186" s="791">
        <v>14</v>
      </c>
      <c r="V186" s="784" t="s">
        <v>2280</v>
      </c>
      <c r="W186" s="784" t="s">
        <v>2283</v>
      </c>
      <c r="X186" s="784"/>
      <c r="Y186" s="975"/>
      <c r="Z186" s="975" t="str">
        <f>VLOOKUP(L187,[2]اس!$S$3:$X$31,3,FALSE)</f>
        <v>.</v>
      </c>
      <c r="AA186" s="967">
        <v>4</v>
      </c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</row>
    <row r="187" spans="1:79" s="1096" customFormat="1" ht="15.6" customHeight="1">
      <c r="A187" s="25"/>
      <c r="B187" s="25"/>
      <c r="C187" s="25"/>
      <c r="D187" s="295"/>
      <c r="E187" s="295"/>
      <c r="F187" s="295"/>
      <c r="G187" s="295"/>
      <c r="H187" s="295"/>
      <c r="I187" s="25"/>
      <c r="J187" s="25"/>
      <c r="K187" s="25"/>
      <c r="L187" s="777">
        <v>5</v>
      </c>
      <c r="M187" s="778"/>
      <c r="N187" s="976">
        <v>160</v>
      </c>
      <c r="O187" s="1020">
        <v>130</v>
      </c>
      <c r="P187" s="847">
        <f>VLOOKUP(N187,etat!$A$9:$N$1004,2,FALSE)</f>
        <v>0</v>
      </c>
      <c r="Q187" s="797" t="str">
        <f>VLOOKUP(N187,etat!$A$9:$N$963,7,FALSE)</f>
        <v>3أ ف2</v>
      </c>
      <c r="R187" s="797" t="str">
        <f>VLOOKUP(N187,etat!$A$9:$N$1003,9,FALSE)</f>
        <v>خ</v>
      </c>
      <c r="S187" s="866" t="str">
        <f>VLOOKUP(N187,etat!$A$9:$P$905,16,FALSE)</f>
        <v>ذخ3</v>
      </c>
      <c r="T187" s="755">
        <v>45757</v>
      </c>
      <c r="U187" s="791">
        <v>27</v>
      </c>
      <c r="V187" s="784" t="s">
        <v>2265</v>
      </c>
      <c r="W187" s="784" t="s">
        <v>2269</v>
      </c>
      <c r="X187" s="784" t="s">
        <v>2280</v>
      </c>
      <c r="Y187" s="975"/>
      <c r="Z187" s="975" t="str">
        <f>VLOOKUP(L188,[2]اس!$S$3:$X$31,3,FALSE)</f>
        <v>.</v>
      </c>
      <c r="AA187" s="967">
        <v>4</v>
      </c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</row>
    <row r="188" spans="1:79" s="1096" customFormat="1" ht="15.6" customHeight="1">
      <c r="A188" s="25"/>
      <c r="B188" s="25"/>
      <c r="C188" s="25"/>
      <c r="D188" s="295"/>
      <c r="E188" s="295"/>
      <c r="F188" s="295"/>
      <c r="G188" s="295"/>
      <c r="H188" s="295"/>
      <c r="I188" s="25"/>
      <c r="J188" s="25"/>
      <c r="K188" s="25"/>
      <c r="L188" s="777">
        <v>5</v>
      </c>
      <c r="M188" s="778"/>
      <c r="N188" s="976">
        <v>161</v>
      </c>
      <c r="O188" s="1020">
        <v>131</v>
      </c>
      <c r="P188" s="847">
        <f>VLOOKUP(N188,etat!$A$9:$N$1004,2,FALSE)</f>
        <v>0</v>
      </c>
      <c r="Q188" s="797" t="str">
        <f>VLOOKUP(N188,etat!$A$9:$N$963,7,FALSE)</f>
        <v>3أ ف2</v>
      </c>
      <c r="R188" s="797" t="str">
        <f>VLOOKUP(N188,etat!$A$9:$N$1003,9,FALSE)</f>
        <v>خ</v>
      </c>
      <c r="S188" s="866" t="str">
        <f>VLOOKUP(N188,etat!$A$9:$P$905,16,FALSE)</f>
        <v>اخ3</v>
      </c>
      <c r="T188" s="755">
        <v>45774</v>
      </c>
      <c r="U188" s="791">
        <v>10</v>
      </c>
      <c r="V188" s="784" t="s">
        <v>2281</v>
      </c>
      <c r="W188" s="784" t="s">
        <v>2285</v>
      </c>
      <c r="X188" s="784"/>
      <c r="Y188" s="1117"/>
      <c r="Z188" s="967"/>
      <c r="AA188" s="967">
        <v>4</v>
      </c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</row>
    <row r="189" spans="1:79" ht="15.6" customHeight="1">
      <c r="A189" s="25"/>
      <c r="B189" s="25"/>
      <c r="C189" s="25"/>
      <c r="D189" s="295"/>
      <c r="E189" s="295"/>
      <c r="F189" s="295"/>
      <c r="G189" s="295"/>
      <c r="H189" s="295"/>
      <c r="I189" s="25"/>
      <c r="J189" s="25"/>
      <c r="K189" s="25"/>
      <c r="L189" s="777">
        <v>5</v>
      </c>
      <c r="M189" s="778"/>
      <c r="N189" s="976">
        <v>162</v>
      </c>
      <c r="O189" s="1020">
        <v>132</v>
      </c>
      <c r="P189" s="847">
        <f>VLOOKUP(N189,etat!$A$9:$N$1004,2,FALSE)</f>
        <v>0</v>
      </c>
      <c r="Q189" s="797" t="str">
        <f>VLOOKUP(N189,etat!$A$9:$N$963,7,FALSE)</f>
        <v>3أ ف2</v>
      </c>
      <c r="R189" s="797" t="str">
        <f>VLOOKUP(N189,etat!$A$9:$N$1003,9,FALSE)</f>
        <v>خ</v>
      </c>
      <c r="S189" s="866" t="str">
        <f>VLOOKUP(N189,etat!$A$9:$P$905,16,FALSE)</f>
        <v>اخ3</v>
      </c>
      <c r="T189" s="755">
        <v>45768</v>
      </c>
      <c r="U189" s="791">
        <v>16</v>
      </c>
      <c r="V189" s="784" t="s">
        <v>2273</v>
      </c>
      <c r="W189" s="784" t="s">
        <v>2282</v>
      </c>
      <c r="X189" s="784"/>
      <c r="Y189" s="975"/>
      <c r="Z189" s="967"/>
      <c r="AA189" s="967">
        <v>4</v>
      </c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</row>
    <row r="190" spans="1:79" s="936" customFormat="1" ht="15.6" customHeight="1">
      <c r="A190" s="25"/>
      <c r="B190" s="25"/>
      <c r="C190" s="25"/>
      <c r="D190" s="295"/>
      <c r="E190" s="295"/>
      <c r="F190" s="295"/>
      <c r="G190" s="295"/>
      <c r="H190" s="295"/>
      <c r="I190" s="25"/>
      <c r="J190" s="25"/>
      <c r="K190" s="25"/>
      <c r="L190" s="777">
        <v>5</v>
      </c>
      <c r="M190" s="778"/>
      <c r="N190" s="976">
        <v>163</v>
      </c>
      <c r="O190" s="1020">
        <v>133</v>
      </c>
      <c r="P190" s="847">
        <f>VLOOKUP(N190,etat!$A$9:$N$1004,2,FALSE)</f>
        <v>0</v>
      </c>
      <c r="Q190" s="797" t="str">
        <f>VLOOKUP(N190,etat!$A$9:$N$963,7,FALSE)</f>
        <v>3أ ف2</v>
      </c>
      <c r="R190" s="797" t="str">
        <f>VLOOKUP(N190,etat!$A$9:$N$1003,9,FALSE)</f>
        <v>خ</v>
      </c>
      <c r="S190" s="866" t="str">
        <f>VLOOKUP(N190,etat!$A$9:$P$905,16,FALSE)</f>
        <v>اخ3</v>
      </c>
      <c r="T190" s="755">
        <v>45770</v>
      </c>
      <c r="U190" s="791">
        <v>14</v>
      </c>
      <c r="V190" s="784" t="s">
        <v>2280</v>
      </c>
      <c r="W190" s="784" t="s">
        <v>2283</v>
      </c>
      <c r="X190" s="784"/>
      <c r="Y190" s="1116"/>
      <c r="Z190" s="975" t="str">
        <f>VLOOKUP(L191,[2]اس!$S$3:$X$31,3,FALSE)</f>
        <v>.</v>
      </c>
      <c r="AA190" s="967">
        <v>4</v>
      </c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</row>
    <row r="191" spans="1:79" s="936" customFormat="1" ht="15.6" customHeight="1">
      <c r="A191" s="25"/>
      <c r="B191" s="25"/>
      <c r="C191" s="25"/>
      <c r="D191" s="295"/>
      <c r="E191" s="295"/>
      <c r="F191" s="295"/>
      <c r="G191" s="295"/>
      <c r="H191" s="295"/>
      <c r="I191" s="25"/>
      <c r="J191" s="25"/>
      <c r="K191" s="25"/>
      <c r="L191" s="777">
        <v>5</v>
      </c>
      <c r="M191" s="778"/>
      <c r="N191" s="976">
        <v>164</v>
      </c>
      <c r="O191" s="1020">
        <v>134</v>
      </c>
      <c r="P191" s="847">
        <f>VLOOKUP(N191,etat!$A$9:$N$1004,2,FALSE)</f>
        <v>0</v>
      </c>
      <c r="Q191" s="797" t="str">
        <f>VLOOKUP(N191,etat!$A$9:$N$963,7,FALSE)</f>
        <v>3أ ف2</v>
      </c>
      <c r="R191" s="797" t="str">
        <f>VLOOKUP(N191,etat!$A$9:$N$1003,9,FALSE)</f>
        <v>خ</v>
      </c>
      <c r="S191" s="866" t="str">
        <f>VLOOKUP(N191,etat!$A$9:$P$905,16,FALSE)</f>
        <v>ذخ3</v>
      </c>
      <c r="T191" s="755">
        <v>45768</v>
      </c>
      <c r="U191" s="791">
        <v>16</v>
      </c>
      <c r="V191" s="784" t="s">
        <v>2273</v>
      </c>
      <c r="W191" s="784" t="s">
        <v>2282</v>
      </c>
      <c r="X191" s="784"/>
      <c r="Y191" s="1118"/>
      <c r="Z191" s="967"/>
      <c r="AA191" s="967">
        <v>4</v>
      </c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</row>
    <row r="192" spans="1:79" s="936" customFormat="1" ht="15.6" customHeight="1">
      <c r="A192" s="25"/>
      <c r="B192" s="25"/>
      <c r="C192" s="25"/>
      <c r="D192" s="295"/>
      <c r="E192" s="295"/>
      <c r="F192" s="295"/>
      <c r="G192" s="295"/>
      <c r="H192" s="295"/>
      <c r="I192" s="25"/>
      <c r="J192" s="25"/>
      <c r="K192" s="25"/>
      <c r="L192" s="777">
        <v>5</v>
      </c>
      <c r="M192" s="778"/>
      <c r="N192" s="976">
        <v>165</v>
      </c>
      <c r="O192" s="1020">
        <v>135</v>
      </c>
      <c r="P192" s="847">
        <f>VLOOKUP(N192,etat!$A$9:$N$1004,2,FALSE)</f>
        <v>0</v>
      </c>
      <c r="Q192" s="797" t="str">
        <f>VLOOKUP(N192,etat!$A$9:$N$963,7,FALSE)</f>
        <v>3أ ف2</v>
      </c>
      <c r="R192" s="797" t="str">
        <f>VLOOKUP(N192,etat!$A$9:$N$1003,9,FALSE)</f>
        <v>خ</v>
      </c>
      <c r="S192" s="866" t="str">
        <f>VLOOKUP(N192,etat!$A$9:$P$905,16,FALSE)</f>
        <v>ذخ3</v>
      </c>
      <c r="T192" s="755">
        <v>45776</v>
      </c>
      <c r="U192" s="791">
        <v>8</v>
      </c>
      <c r="V192" s="784" t="s">
        <v>2283</v>
      </c>
      <c r="W192" s="784"/>
      <c r="X192" s="784"/>
      <c r="Y192" s="1116"/>
      <c r="Z192" s="975"/>
      <c r="AA192" s="967">
        <v>4</v>
      </c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</row>
    <row r="193" spans="1:79" s="936" customFormat="1" ht="15.6" customHeight="1">
      <c r="A193" s="25"/>
      <c r="B193" s="25"/>
      <c r="C193" s="25"/>
      <c r="D193" s="295"/>
      <c r="E193" s="295"/>
      <c r="F193" s="295"/>
      <c r="G193" s="295"/>
      <c r="H193" s="295"/>
      <c r="I193" s="25"/>
      <c r="J193" s="25"/>
      <c r="K193" s="25"/>
      <c r="L193" s="777">
        <v>5</v>
      </c>
      <c r="M193" s="778"/>
      <c r="N193" s="976">
        <v>166</v>
      </c>
      <c r="O193" s="1020">
        <v>136</v>
      </c>
      <c r="P193" s="847">
        <f>VLOOKUP(N193,etat!$A$9:$N$1004,2,FALSE)</f>
        <v>0</v>
      </c>
      <c r="Q193" s="797" t="str">
        <f>VLOOKUP(N193,etat!$A$9:$N$963,7,FALSE)</f>
        <v>3أ ف2</v>
      </c>
      <c r="R193" s="797" t="str">
        <f>VLOOKUP(N193,etat!$A$9:$N$1003,9,FALSE)</f>
        <v>خ</v>
      </c>
      <c r="S193" s="866" t="str">
        <f>VLOOKUP(N193,etat!$A$9:$P$905,16,FALSE)</f>
        <v>ذن/د3</v>
      </c>
      <c r="T193" s="755">
        <v>45770</v>
      </c>
      <c r="U193" s="791">
        <v>14</v>
      </c>
      <c r="V193" s="784" t="s">
        <v>2280</v>
      </c>
      <c r="W193" s="784" t="s">
        <v>2283</v>
      </c>
      <c r="X193" s="784"/>
      <c r="Y193" s="1116"/>
      <c r="Z193" s="967"/>
      <c r="AA193" s="967">
        <v>4</v>
      </c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</row>
    <row r="194" spans="1:79" s="936" customFormat="1" ht="15.6" customHeight="1">
      <c r="A194" s="25"/>
      <c r="B194" s="25"/>
      <c r="C194" s="25"/>
      <c r="D194" s="295"/>
      <c r="E194" s="295"/>
      <c r="F194" s="295"/>
      <c r="G194" s="295"/>
      <c r="H194" s="295"/>
      <c r="I194" s="25"/>
      <c r="J194" s="25"/>
      <c r="K194" s="25"/>
      <c r="L194" s="777">
        <v>5</v>
      </c>
      <c r="M194" s="778"/>
      <c r="N194" s="976">
        <v>167</v>
      </c>
      <c r="O194" s="1020">
        <v>137</v>
      </c>
      <c r="P194" s="847">
        <f>VLOOKUP(N194,etat!$A$9:$N$1004,2,FALSE)</f>
        <v>0</v>
      </c>
      <c r="Q194" s="797" t="str">
        <f>VLOOKUP(N194,etat!$A$9:$N$963,7,FALSE)</f>
        <v>3أ ف2</v>
      </c>
      <c r="R194" s="797" t="str">
        <f>VLOOKUP(N194,etat!$A$9:$N$1003,9,FALSE)</f>
        <v>خ</v>
      </c>
      <c r="S194" s="866" t="str">
        <f>VLOOKUP(N194,etat!$A$9:$P$905,16,FALSE)</f>
        <v>ان/د3</v>
      </c>
      <c r="T194" s="755">
        <v>45762</v>
      </c>
      <c r="U194" s="791">
        <v>22</v>
      </c>
      <c r="V194" s="784" t="s">
        <v>2268</v>
      </c>
      <c r="W194" s="784" t="s">
        <v>2278</v>
      </c>
      <c r="X194" s="784" t="s">
        <v>2283</v>
      </c>
      <c r="Y194" s="1116"/>
      <c r="Z194" s="975" t="str">
        <f>VLOOKUP(L198,[2]اس!$S$3:$X$31,3,FALSE)</f>
        <v>.</v>
      </c>
      <c r="AA194" s="967">
        <v>4</v>
      </c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</row>
    <row r="195" spans="1:79" s="929" customFormat="1" ht="15.6" customHeight="1">
      <c r="A195" s="25"/>
      <c r="B195" s="25"/>
      <c r="C195" s="25"/>
      <c r="D195" s="295"/>
      <c r="E195" s="295"/>
      <c r="F195" s="295"/>
      <c r="G195" s="295"/>
      <c r="H195" s="295"/>
      <c r="I195" s="25"/>
      <c r="J195" s="25"/>
      <c r="K195" s="25"/>
      <c r="L195" s="777">
        <v>5</v>
      </c>
      <c r="M195" s="778"/>
      <c r="N195" s="976">
        <v>169</v>
      </c>
      <c r="O195" s="1020">
        <v>138</v>
      </c>
      <c r="P195" s="847">
        <f>VLOOKUP(N195,etat!$A$9:$N$1004,2,FALSE)</f>
        <v>0</v>
      </c>
      <c r="Q195" s="797" t="str">
        <f>VLOOKUP(N195,etat!$A$9:$N$963,7,FALSE)</f>
        <v>3أ ف2</v>
      </c>
      <c r="R195" s="797" t="str">
        <f>VLOOKUP(N195,etat!$A$9:$N$1003,9,FALSE)</f>
        <v>خ</v>
      </c>
      <c r="S195" s="866" t="str">
        <f>VLOOKUP(N195,etat!$A$9:$P$905,16,FALSE)</f>
        <v>ان/د3</v>
      </c>
      <c r="T195" s="755">
        <v>45757</v>
      </c>
      <c r="U195" s="791">
        <v>27</v>
      </c>
      <c r="V195" s="784" t="s">
        <v>2265</v>
      </c>
      <c r="W195" s="784" t="s">
        <v>2269</v>
      </c>
      <c r="X195" s="784" t="s">
        <v>2280</v>
      </c>
      <c r="Y195" s="975"/>
      <c r="Z195" s="967"/>
      <c r="AA195" s="967">
        <v>4</v>
      </c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302"/>
      <c r="AY195" s="302"/>
      <c r="AZ195" s="302"/>
      <c r="BA195" s="302"/>
      <c r="BB195" s="302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</row>
    <row r="196" spans="1:79" s="1110" customFormat="1" ht="15.6" customHeight="1">
      <c r="A196" s="25"/>
      <c r="B196" s="25"/>
      <c r="C196" s="25"/>
      <c r="D196" s="295"/>
      <c r="E196" s="295"/>
      <c r="F196" s="295"/>
      <c r="G196" s="295"/>
      <c r="H196" s="295"/>
      <c r="I196" s="25"/>
      <c r="J196" s="25"/>
      <c r="K196" s="25"/>
      <c r="L196" s="777">
        <v>5</v>
      </c>
      <c r="M196" s="778"/>
      <c r="N196" s="976">
        <v>170</v>
      </c>
      <c r="O196" s="1020">
        <v>139</v>
      </c>
      <c r="P196" s="847">
        <f>VLOOKUP(N196,etat!$A$9:$N$1004,2,FALSE)</f>
        <v>0</v>
      </c>
      <c r="Q196" s="797" t="str">
        <f>VLOOKUP(N196,etat!$A$9:$N$963,7,FALSE)</f>
        <v>3أ ف2</v>
      </c>
      <c r="R196" s="866" t="str">
        <f>VLOOKUP(N196,etat!$A$9:$N$1003,9,FALSE)</f>
        <v>خ</v>
      </c>
      <c r="S196" s="866" t="str">
        <f>VLOOKUP(N196,etat!$A$9:$P$905,16,FALSE)</f>
        <v>ان/د3</v>
      </c>
      <c r="T196" s="755">
        <v>45775</v>
      </c>
      <c r="U196" s="791">
        <v>9</v>
      </c>
      <c r="V196" s="784" t="s">
        <v>2282</v>
      </c>
      <c r="W196" s="869"/>
      <c r="X196" s="869"/>
      <c r="Y196" s="1118"/>
      <c r="Z196" s="975"/>
      <c r="AA196" s="967">
        <v>4</v>
      </c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302"/>
      <c r="AY196" s="302"/>
      <c r="AZ196" s="302"/>
      <c r="BA196" s="302"/>
      <c r="BB196" s="302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</row>
    <row r="197" spans="1:79" s="929" customFormat="1" ht="15.6" customHeight="1">
      <c r="A197" s="25"/>
      <c r="B197" s="25"/>
      <c r="C197" s="25"/>
      <c r="D197" s="295"/>
      <c r="E197" s="295"/>
      <c r="F197" s="295"/>
      <c r="G197" s="295"/>
      <c r="H197" s="295"/>
      <c r="I197" s="25"/>
      <c r="J197" s="25"/>
      <c r="K197" s="25"/>
      <c r="L197" s="777">
        <v>5</v>
      </c>
      <c r="M197" s="778"/>
      <c r="N197" s="976">
        <v>171</v>
      </c>
      <c r="O197" s="1020">
        <v>140</v>
      </c>
      <c r="P197" s="847">
        <f>VLOOKUP(N197,etat!$A$9:$N$1004,2,FALSE)</f>
        <v>0</v>
      </c>
      <c r="Q197" s="797" t="str">
        <f>VLOOKUP(N197,etat!$A$9:$N$963,7,FALSE)</f>
        <v>3أ ف2</v>
      </c>
      <c r="R197" s="797" t="str">
        <f>VLOOKUP(N197,etat!$A$9:$N$1003,9,FALSE)</f>
        <v>خ</v>
      </c>
      <c r="S197" s="866" t="str">
        <f>VLOOKUP(N197,etat!$A$9:$P$905,16,FALSE)</f>
        <v>ذن/د3</v>
      </c>
      <c r="T197" s="755">
        <v>45776</v>
      </c>
      <c r="U197" s="791">
        <v>8</v>
      </c>
      <c r="V197" s="784" t="s">
        <v>2283</v>
      </c>
      <c r="W197" s="784"/>
      <c r="X197" s="784"/>
      <c r="Y197" s="975"/>
      <c r="Z197" s="975"/>
      <c r="AA197" s="967">
        <v>4</v>
      </c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302"/>
      <c r="AY197" s="302"/>
      <c r="AZ197" s="302"/>
      <c r="BA197" s="302"/>
      <c r="BB197" s="302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</row>
    <row r="198" spans="1:79" s="929" customFormat="1" ht="15.6" customHeight="1">
      <c r="A198" s="25"/>
      <c r="B198" s="25"/>
      <c r="C198" s="25"/>
      <c r="D198" s="295"/>
      <c r="E198" s="295"/>
      <c r="F198" s="295"/>
      <c r="G198" s="295"/>
      <c r="H198" s="295"/>
      <c r="I198" s="25"/>
      <c r="J198" s="25"/>
      <c r="K198" s="25"/>
      <c r="L198" s="777">
        <v>5</v>
      </c>
      <c r="M198" s="778"/>
      <c r="N198" s="976">
        <v>172</v>
      </c>
      <c r="O198" s="1020">
        <v>141</v>
      </c>
      <c r="P198" s="847">
        <f>VLOOKUP(N198,etat!$A$9:$N$1004,2,FALSE)</f>
        <v>0</v>
      </c>
      <c r="Q198" s="797" t="str">
        <f>VLOOKUP(N198,etat!$A$9:$N$963,7,FALSE)</f>
        <v>3أ ف2</v>
      </c>
      <c r="R198" s="797" t="str">
        <f>VLOOKUP(N198,etat!$A$9:$N$1003,9,FALSE)</f>
        <v>خ</v>
      </c>
      <c r="S198" s="866" t="str">
        <f>VLOOKUP(N198,etat!$A$9:$P$905,16,FALSE)</f>
        <v>ان/د3</v>
      </c>
      <c r="T198" s="755">
        <v>45777</v>
      </c>
      <c r="U198" s="1129" t="s">
        <v>389</v>
      </c>
      <c r="V198" s="784" t="s">
        <v>2283</v>
      </c>
      <c r="W198" s="784"/>
      <c r="X198" s="784"/>
      <c r="Y198" s="975"/>
      <c r="Z198" s="975"/>
      <c r="AA198" s="967">
        <v>4</v>
      </c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302"/>
      <c r="AY198" s="302"/>
      <c r="AZ198" s="302"/>
      <c r="BA198" s="302"/>
      <c r="BB198" s="302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</row>
    <row r="199" spans="1:79" ht="15.6" customHeight="1">
      <c r="A199" s="25"/>
      <c r="B199" s="25"/>
      <c r="C199" s="25"/>
      <c r="D199" s="295"/>
      <c r="E199" s="295"/>
      <c r="F199" s="295"/>
      <c r="G199" s="295"/>
      <c r="H199" s="295"/>
      <c r="I199" s="25"/>
      <c r="J199" s="25"/>
      <c r="K199" s="25"/>
      <c r="L199" s="777">
        <v>5</v>
      </c>
      <c r="M199" s="778"/>
      <c r="N199" s="976">
        <v>174</v>
      </c>
      <c r="O199" s="1020">
        <v>142</v>
      </c>
      <c r="P199" s="847">
        <f>VLOOKUP(N199,etat!$A$9:$N$1004,2,FALSE)</f>
        <v>0</v>
      </c>
      <c r="Q199" s="797" t="str">
        <f>VLOOKUP(N199,etat!$A$9:$N$963,7,FALSE)</f>
        <v>3أ ف2</v>
      </c>
      <c r="R199" s="866" t="str">
        <f>VLOOKUP(N199,etat!$A$9:$N$1003,9,FALSE)</f>
        <v>خ</v>
      </c>
      <c r="S199" s="866" t="str">
        <f>VLOOKUP(N199,etat!$A$9:$P$905,16,FALSE)</f>
        <v>ذخ3</v>
      </c>
      <c r="T199" s="755">
        <v>45782</v>
      </c>
      <c r="U199" s="791">
        <v>1</v>
      </c>
      <c r="V199" s="784"/>
      <c r="W199" s="784"/>
      <c r="X199" s="869"/>
      <c r="Y199" s="975"/>
      <c r="Z199" s="975"/>
      <c r="AA199" s="967">
        <v>4</v>
      </c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302"/>
      <c r="AY199" s="302"/>
      <c r="AZ199" s="302"/>
      <c r="BA199" s="302"/>
      <c r="BB199" s="302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</row>
    <row r="200" spans="1:79" ht="15.6" customHeight="1">
      <c r="A200" s="25"/>
      <c r="B200" s="25"/>
      <c r="C200" s="25"/>
      <c r="D200" s="295"/>
      <c r="E200" s="295"/>
      <c r="F200" s="295"/>
      <c r="G200" s="295"/>
      <c r="H200" s="295"/>
      <c r="I200" s="25"/>
      <c r="J200" s="25"/>
      <c r="K200" s="25"/>
      <c r="L200" s="777">
        <v>5</v>
      </c>
      <c r="M200" s="778"/>
      <c r="N200" s="976">
        <v>175</v>
      </c>
      <c r="O200" s="1020">
        <v>143</v>
      </c>
      <c r="P200" s="847">
        <f>VLOOKUP(N200,etat!$A$9:$N$1004,2,FALSE)</f>
        <v>0</v>
      </c>
      <c r="Q200" s="797" t="str">
        <f>VLOOKUP(N200,etat!$A$9:$N$963,7,FALSE)</f>
        <v>3أ ف2</v>
      </c>
      <c r="R200" s="797" t="str">
        <f>VLOOKUP(N200,etat!$A$9:$N$1003,9,FALSE)</f>
        <v>خ</v>
      </c>
      <c r="S200" s="866" t="str">
        <f>VLOOKUP(N200,etat!$A$9:$P$905,16,FALSE)</f>
        <v>اخ3</v>
      </c>
      <c r="T200" s="755">
        <v>45777</v>
      </c>
      <c r="U200" s="1129" t="s">
        <v>389</v>
      </c>
      <c r="V200" s="784" t="s">
        <v>2283</v>
      </c>
      <c r="W200" s="784"/>
      <c r="X200" s="784"/>
      <c r="Y200" s="975"/>
      <c r="Z200" s="967"/>
      <c r="AA200" s="967">
        <v>4</v>
      </c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302"/>
      <c r="AY200" s="302"/>
      <c r="AZ200" s="302"/>
      <c r="BA200" s="302"/>
      <c r="BB200" s="302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</row>
    <row r="201" spans="1:79" s="935" customFormat="1" ht="15.6" customHeight="1">
      <c r="A201" s="25"/>
      <c r="B201" s="25"/>
      <c r="C201" s="25"/>
      <c r="D201" s="295"/>
      <c r="E201" s="295"/>
      <c r="F201" s="295"/>
      <c r="G201" s="295"/>
      <c r="H201" s="295"/>
      <c r="I201" s="25"/>
      <c r="J201" s="25"/>
      <c r="K201" s="25"/>
      <c r="L201" s="777">
        <v>5</v>
      </c>
      <c r="M201" s="778"/>
      <c r="N201" s="976">
        <v>176</v>
      </c>
      <c r="O201" s="1020">
        <v>144</v>
      </c>
      <c r="P201" s="847">
        <f>VLOOKUP(N201,etat!$A$9:$N$1004,2,FALSE)</f>
        <v>0</v>
      </c>
      <c r="Q201" s="797" t="str">
        <f>VLOOKUP(N201,etat!$A$9:$N$963,7,FALSE)</f>
        <v>3أ ف2</v>
      </c>
      <c r="R201" s="797" t="str">
        <f>VLOOKUP(N201,etat!$A$9:$N$1003,9,FALSE)</f>
        <v>خ</v>
      </c>
      <c r="S201" s="866" t="str">
        <f>VLOOKUP(N201,etat!$A$9:$P$905,16,FALSE)</f>
        <v>اخ3</v>
      </c>
      <c r="T201" s="755">
        <v>45782</v>
      </c>
      <c r="U201" s="784" t="s">
        <v>357</v>
      </c>
      <c r="V201" s="784"/>
      <c r="W201" s="869"/>
      <c r="X201" s="869"/>
      <c r="Y201" s="975"/>
      <c r="Z201" s="967"/>
      <c r="AA201" s="967">
        <v>4</v>
      </c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302"/>
      <c r="AY201" s="302"/>
      <c r="AZ201" s="302"/>
      <c r="BA201" s="302"/>
      <c r="BB201" s="302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</row>
    <row r="202" spans="1:79" s="935" customFormat="1" ht="15.6" customHeight="1">
      <c r="A202" s="25"/>
      <c r="B202" s="25"/>
      <c r="C202" s="25"/>
      <c r="D202" s="295"/>
      <c r="E202" s="295"/>
      <c r="F202" s="295"/>
      <c r="G202" s="295"/>
      <c r="H202" s="295"/>
      <c r="I202" s="25"/>
      <c r="J202" s="25"/>
      <c r="K202" s="25"/>
      <c r="L202" s="777">
        <v>5</v>
      </c>
      <c r="M202" s="778"/>
      <c r="N202" s="976">
        <v>177</v>
      </c>
      <c r="O202" s="1020">
        <v>145</v>
      </c>
      <c r="P202" s="847">
        <f>VLOOKUP(N202,etat!$A$9:$N$1004,2,FALSE)</f>
        <v>0</v>
      </c>
      <c r="Q202" s="797" t="str">
        <f>VLOOKUP(N202,etat!$A$9:$N$963,7,FALSE)</f>
        <v>3أ ف2</v>
      </c>
      <c r="R202" s="797" t="str">
        <f>VLOOKUP(N202,etat!$A$9:$N$1003,9,FALSE)</f>
        <v>خ</v>
      </c>
      <c r="S202" s="866" t="str">
        <f>VLOOKUP(N202,etat!$A$9:$P$905,16,FALSE)</f>
        <v>اخ3</v>
      </c>
      <c r="T202" s="755">
        <v>45771</v>
      </c>
      <c r="U202" s="791">
        <v>13</v>
      </c>
      <c r="V202" s="784" t="s">
        <v>2280</v>
      </c>
      <c r="W202" s="784" t="s">
        <v>2283</v>
      </c>
      <c r="X202" s="784"/>
      <c r="Y202" s="975"/>
      <c r="Z202" s="975" t="str">
        <f>VLOOKUP(L202,[2]اس!$S$3:$X$31,3,FALSE)</f>
        <v>.</v>
      </c>
      <c r="AA202" s="967">
        <v>4</v>
      </c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302"/>
      <c r="AY202" s="302"/>
      <c r="AZ202" s="302"/>
      <c r="BA202" s="302"/>
      <c r="BB202" s="302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</row>
    <row r="203" spans="1:79" s="935" customFormat="1" ht="15.6" customHeight="1">
      <c r="A203" s="25"/>
      <c r="B203" s="25"/>
      <c r="C203" s="25"/>
      <c r="D203" s="295"/>
      <c r="E203" s="295"/>
      <c r="F203" s="295"/>
      <c r="G203" s="295"/>
      <c r="H203" s="295"/>
      <c r="I203" s="25"/>
      <c r="J203" s="25"/>
      <c r="K203" s="25"/>
      <c r="L203" s="777">
        <v>5</v>
      </c>
      <c r="M203" s="778"/>
      <c r="N203" s="976">
        <v>179</v>
      </c>
      <c r="O203" s="1020">
        <v>146</v>
      </c>
      <c r="P203" s="847">
        <f>VLOOKUP(N203,etat!$A$9:$N$1004,2,FALSE)</f>
        <v>0</v>
      </c>
      <c r="Q203" s="797" t="str">
        <f>VLOOKUP(N203,etat!$A$9:$N$963,7,FALSE)</f>
        <v>3ل أ</v>
      </c>
      <c r="R203" s="866" t="str">
        <f>VLOOKUP(N203,etat!$A$9:$N$1003,9,FALSE)</f>
        <v>ن/د</v>
      </c>
      <c r="S203" s="866" t="str">
        <f>VLOOKUP(N203,etat!$A$9:$P$905,16,FALSE)</f>
        <v>ذخ3</v>
      </c>
      <c r="T203" s="755">
        <v>45777</v>
      </c>
      <c r="U203" s="1129" t="s">
        <v>389</v>
      </c>
      <c r="V203" s="784" t="s">
        <v>2283</v>
      </c>
      <c r="W203" s="784"/>
      <c r="X203" s="784"/>
      <c r="Y203" s="975"/>
      <c r="Z203" s="975"/>
      <c r="AA203" s="967">
        <v>4</v>
      </c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302"/>
      <c r="AY203" s="302"/>
      <c r="AZ203" s="302"/>
      <c r="BA203" s="302"/>
      <c r="BB203" s="302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</row>
    <row r="204" spans="1:79" s="935" customFormat="1" ht="15.6" customHeight="1">
      <c r="A204" s="25"/>
      <c r="B204" s="25"/>
      <c r="C204" s="25"/>
      <c r="D204" s="295"/>
      <c r="E204" s="295"/>
      <c r="F204" s="295"/>
      <c r="G204" s="295"/>
      <c r="H204" s="295"/>
      <c r="I204" s="25"/>
      <c r="J204" s="25"/>
      <c r="K204" s="25"/>
      <c r="L204" s="777">
        <v>5</v>
      </c>
      <c r="M204" s="778"/>
      <c r="N204" s="976">
        <v>180</v>
      </c>
      <c r="O204" s="1020">
        <v>147</v>
      </c>
      <c r="P204" s="847">
        <f>VLOOKUP(N204,etat!$A$9:$N$1004,2,FALSE)</f>
        <v>0</v>
      </c>
      <c r="Q204" s="797" t="str">
        <f>VLOOKUP(N204,etat!$A$9:$N$963,7,FALSE)</f>
        <v>3ل أ</v>
      </c>
      <c r="R204" s="797" t="str">
        <f>VLOOKUP(N204,etat!$A$9:$N$1003,9,FALSE)</f>
        <v>ن/د</v>
      </c>
      <c r="S204" s="866" t="str">
        <f>VLOOKUP(N204,etat!$A$9:$P$905,16,FALSE)</f>
        <v>اخ3</v>
      </c>
      <c r="T204" s="755">
        <v>45777</v>
      </c>
      <c r="U204" s="1129" t="s">
        <v>389</v>
      </c>
      <c r="V204" s="784" t="s">
        <v>2283</v>
      </c>
      <c r="W204" s="784"/>
      <c r="X204" s="784"/>
      <c r="Y204" s="975"/>
      <c r="Z204" s="975"/>
      <c r="AA204" s="967">
        <v>4</v>
      </c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302"/>
      <c r="AY204" s="302"/>
      <c r="AZ204" s="302"/>
      <c r="BA204" s="302"/>
      <c r="BB204" s="302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</row>
    <row r="205" spans="1:79" ht="15.6" customHeight="1">
      <c r="A205" s="25"/>
      <c r="B205" s="25"/>
      <c r="C205" s="25"/>
      <c r="D205" s="295"/>
      <c r="E205" s="295"/>
      <c r="F205" s="295"/>
      <c r="G205" s="295"/>
      <c r="H205" s="295"/>
      <c r="I205" s="25"/>
      <c r="J205" s="25"/>
      <c r="K205" s="25"/>
      <c r="L205" s="777">
        <v>5</v>
      </c>
      <c r="M205" s="778"/>
      <c r="N205" s="976">
        <v>181</v>
      </c>
      <c r="O205" s="1020">
        <v>148</v>
      </c>
      <c r="P205" s="847">
        <f>VLOOKUP(N205,etat!$A$9:$N$1004,2,FALSE)</f>
        <v>0</v>
      </c>
      <c r="Q205" s="797" t="str">
        <f>VLOOKUP(N205,etat!$A$9:$N$963,7,FALSE)</f>
        <v>3ل أ</v>
      </c>
      <c r="R205" s="797" t="str">
        <f>VLOOKUP(N205,etat!$A$9:$N$1003,9,FALSE)</f>
        <v>ن/د</v>
      </c>
      <c r="S205" s="866" t="str">
        <f>VLOOKUP(N205,etat!$A$9:$P$905,16,FALSE)</f>
        <v>اخ3</v>
      </c>
      <c r="T205" s="755">
        <v>45770</v>
      </c>
      <c r="U205" s="791">
        <v>14</v>
      </c>
      <c r="V205" s="784" t="s">
        <v>2280</v>
      </c>
      <c r="W205" s="784" t="s">
        <v>2283</v>
      </c>
      <c r="X205" s="784"/>
      <c r="Y205" s="975"/>
      <c r="Z205" s="975" t="str">
        <f>VLOOKUP(L205,[2]اس!$S$3:$X$31,3,FALSE)</f>
        <v>.</v>
      </c>
      <c r="AA205" s="967">
        <v>4</v>
      </c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302"/>
      <c r="AY205" s="302"/>
      <c r="AZ205" s="302"/>
      <c r="BA205" s="302"/>
      <c r="BB205" s="302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</row>
    <row r="206" spans="1:79" ht="15.6" customHeight="1">
      <c r="A206" s="25"/>
      <c r="B206" s="25"/>
      <c r="C206" s="25"/>
      <c r="D206" s="295"/>
      <c r="E206" s="295"/>
      <c r="F206" s="295"/>
      <c r="G206" s="295"/>
      <c r="H206" s="295"/>
      <c r="I206" s="25"/>
      <c r="J206" s="25"/>
      <c r="K206" s="25"/>
      <c r="L206" s="777">
        <v>5</v>
      </c>
      <c r="M206" s="778"/>
      <c r="N206" s="976">
        <v>182</v>
      </c>
      <c r="O206" s="1020">
        <v>149</v>
      </c>
      <c r="P206" s="847">
        <f>VLOOKUP(N206,etat!$A$9:$N$1004,2,FALSE)</f>
        <v>0</v>
      </c>
      <c r="Q206" s="797" t="str">
        <f>VLOOKUP(N206,etat!$A$9:$N$963,7,FALSE)</f>
        <v>3ل أ</v>
      </c>
      <c r="R206" s="797" t="str">
        <f>VLOOKUP(N206,etat!$A$9:$N$1003,9,FALSE)</f>
        <v>خ</v>
      </c>
      <c r="S206" s="866" t="str">
        <f>VLOOKUP(N206,etat!$A$9:$P$905,16,FALSE)</f>
        <v>اخ3</v>
      </c>
      <c r="T206" s="755">
        <v>45769</v>
      </c>
      <c r="U206" s="791">
        <v>15</v>
      </c>
      <c r="V206" s="784" t="s">
        <v>2278</v>
      </c>
      <c r="W206" s="784" t="s">
        <v>2283</v>
      </c>
      <c r="X206" s="784"/>
      <c r="Y206" s="975"/>
      <c r="Z206" s="975" t="str">
        <f>VLOOKUP(L206,[2]اس!$S$3:$X$31,3,FALSE)</f>
        <v>.</v>
      </c>
      <c r="AA206" s="967">
        <v>4</v>
      </c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302"/>
      <c r="AY206" s="302"/>
      <c r="AZ206" s="302"/>
      <c r="BA206" s="302"/>
      <c r="BB206" s="302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302"/>
      <c r="BW206" s="302"/>
      <c r="BX206" s="302"/>
      <c r="BY206" s="302"/>
      <c r="BZ206" s="302"/>
      <c r="CA206" s="302"/>
    </row>
    <row r="207" spans="1:79" ht="15.6" customHeight="1">
      <c r="A207" s="25"/>
      <c r="B207" s="25"/>
      <c r="C207" s="25"/>
      <c r="D207" s="295"/>
      <c r="E207" s="295"/>
      <c r="F207" s="295"/>
      <c r="G207" s="295"/>
      <c r="H207" s="295"/>
      <c r="I207" s="25"/>
      <c r="J207" s="25"/>
      <c r="K207" s="25"/>
      <c r="L207" s="777">
        <v>5</v>
      </c>
      <c r="M207" s="778"/>
      <c r="N207" s="976">
        <v>183</v>
      </c>
      <c r="O207" s="1020">
        <v>150</v>
      </c>
      <c r="P207" s="847">
        <f>VLOOKUP(N207,etat!$A$9:$N$1004,2,FALSE)</f>
        <v>0</v>
      </c>
      <c r="Q207" s="797" t="str">
        <f>VLOOKUP(N207,etat!$A$9:$N$963,7,FALSE)</f>
        <v>3ل أ</v>
      </c>
      <c r="R207" s="797" t="str">
        <f>VLOOKUP(N207,etat!$A$9:$N$1003,9,FALSE)</f>
        <v>خ</v>
      </c>
      <c r="S207" s="866" t="str">
        <f>VLOOKUP(N207,etat!$A$9:$P$905,16,FALSE)</f>
        <v>اخ3</v>
      </c>
      <c r="T207" s="755">
        <v>45756</v>
      </c>
      <c r="U207" s="791">
        <v>28</v>
      </c>
      <c r="V207" s="784" t="s">
        <v>2265</v>
      </c>
      <c r="W207" s="784" t="s">
        <v>2269</v>
      </c>
      <c r="X207" s="784" t="s">
        <v>2280</v>
      </c>
      <c r="Y207" s="975"/>
      <c r="Z207" s="975" t="str">
        <f>VLOOKUP(L207,[2]اس!$S$3:$X$31,3,FALSE)</f>
        <v>.</v>
      </c>
      <c r="AA207" s="967">
        <v>4</v>
      </c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302"/>
      <c r="AY207" s="302"/>
      <c r="AZ207" s="302"/>
      <c r="BA207" s="302"/>
      <c r="BB207" s="302"/>
      <c r="BC207" s="302"/>
      <c r="BD207" s="302"/>
      <c r="BE207" s="302"/>
      <c r="BF207" s="302"/>
      <c r="BG207" s="302"/>
      <c r="BH207" s="302"/>
      <c r="BI207" s="302"/>
      <c r="BJ207" s="302"/>
      <c r="BK207" s="302"/>
      <c r="BL207" s="302"/>
      <c r="BM207" s="302"/>
      <c r="BN207" s="302"/>
      <c r="BO207" s="302"/>
      <c r="BP207" s="302"/>
      <c r="BQ207" s="302"/>
      <c r="BR207" s="302"/>
      <c r="BS207" s="302"/>
      <c r="BT207" s="302"/>
      <c r="BU207" s="302"/>
      <c r="BV207" s="302"/>
      <c r="BW207" s="302"/>
      <c r="BX207" s="302"/>
      <c r="BY207" s="302"/>
      <c r="BZ207" s="302"/>
      <c r="CA207" s="302"/>
    </row>
    <row r="208" spans="1:79" s="913" customFormat="1" ht="15.6" customHeight="1">
      <c r="A208" s="25"/>
      <c r="B208" s="25"/>
      <c r="C208" s="25"/>
      <c r="D208" s="295"/>
      <c r="E208" s="295"/>
      <c r="F208" s="295"/>
      <c r="G208" s="295"/>
      <c r="H208" s="295"/>
      <c r="I208" s="25"/>
      <c r="J208" s="25"/>
      <c r="K208" s="25"/>
      <c r="L208" s="777">
        <v>5</v>
      </c>
      <c r="M208" s="778"/>
      <c r="N208" s="976">
        <v>185</v>
      </c>
      <c r="O208" s="1020">
        <v>151</v>
      </c>
      <c r="P208" s="847">
        <f>VLOOKUP(N208,etat!$A$9:$N$1004,2,FALSE)</f>
        <v>0</v>
      </c>
      <c r="Q208" s="797" t="str">
        <f>VLOOKUP(N208,etat!$A$9:$N$963,7,FALSE)</f>
        <v>3ل أ</v>
      </c>
      <c r="R208" s="866" t="str">
        <f>VLOOKUP(N208,etat!$A$9:$N$1003,9,FALSE)</f>
        <v>خ</v>
      </c>
      <c r="S208" s="866" t="str">
        <f>VLOOKUP(N208,etat!$A$9:$P$905,16,FALSE)</f>
        <v>اخ3</v>
      </c>
      <c r="T208" s="755">
        <v>45775</v>
      </c>
      <c r="U208" s="791">
        <v>9</v>
      </c>
      <c r="V208" s="784" t="s">
        <v>2282</v>
      </c>
      <c r="W208" s="869"/>
      <c r="X208" s="869"/>
      <c r="Y208" s="975"/>
      <c r="Z208" s="975"/>
      <c r="AA208" s="967">
        <v>4</v>
      </c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302"/>
      <c r="AY208" s="302"/>
      <c r="AZ208" s="302"/>
      <c r="BA208" s="302"/>
      <c r="BB208" s="302"/>
      <c r="BC208" s="302"/>
      <c r="BD208" s="302"/>
      <c r="BE208" s="302"/>
      <c r="BF208" s="302"/>
      <c r="BG208" s="302"/>
      <c r="BH208" s="302"/>
      <c r="BI208" s="302"/>
      <c r="BJ208" s="302"/>
      <c r="BK208" s="302"/>
      <c r="BL208" s="302"/>
      <c r="BM208" s="302"/>
      <c r="BN208" s="302"/>
      <c r="BO208" s="302"/>
      <c r="BP208" s="302"/>
      <c r="BQ208" s="302"/>
      <c r="BR208" s="302"/>
      <c r="BS208" s="302"/>
      <c r="BT208" s="302"/>
      <c r="BU208" s="302"/>
      <c r="BV208" s="302"/>
      <c r="BW208" s="302"/>
      <c r="BX208" s="302"/>
      <c r="BY208" s="302"/>
      <c r="BZ208" s="302"/>
      <c r="CA208" s="302"/>
    </row>
    <row r="209" spans="1:79" s="913" customFormat="1" ht="15.6" customHeight="1">
      <c r="A209" s="25"/>
      <c r="B209" s="25"/>
      <c r="C209" s="25"/>
      <c r="D209" s="295"/>
      <c r="E209" s="295"/>
      <c r="F209" s="295"/>
      <c r="G209" s="295"/>
      <c r="H209" s="295"/>
      <c r="I209" s="25"/>
      <c r="J209" s="25"/>
      <c r="K209" s="25"/>
      <c r="L209" s="777">
        <v>5</v>
      </c>
      <c r="M209" s="778"/>
      <c r="N209" s="976">
        <v>187</v>
      </c>
      <c r="O209" s="1020">
        <v>152</v>
      </c>
      <c r="P209" s="847">
        <f>VLOOKUP(N209,etat!$A$9:$N$1004,2,FALSE)</f>
        <v>0</v>
      </c>
      <c r="Q209" s="797" t="str">
        <f>VLOOKUP(N209,etat!$A$9:$N$963,7,FALSE)</f>
        <v>3ل أ</v>
      </c>
      <c r="R209" s="866" t="str">
        <f>VLOOKUP(N209,etat!$A$9:$N$1003,9,FALSE)</f>
        <v>خ</v>
      </c>
      <c r="S209" s="866" t="str">
        <f>VLOOKUP(N209,etat!$A$9:$P$905,16,FALSE)</f>
        <v>ذخ3</v>
      </c>
      <c r="T209" s="755">
        <v>45775</v>
      </c>
      <c r="U209" s="791">
        <v>10</v>
      </c>
      <c r="V209" s="784" t="s">
        <v>2282</v>
      </c>
      <c r="W209" s="784" t="s">
        <v>2285</v>
      </c>
      <c r="X209" s="869"/>
      <c r="Y209" s="975"/>
      <c r="Z209" s="975"/>
      <c r="AA209" s="967">
        <v>4</v>
      </c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302"/>
      <c r="AY209" s="302"/>
      <c r="AZ209" s="302"/>
      <c r="BA209" s="302"/>
      <c r="BB209" s="302"/>
      <c r="BC209" s="302"/>
      <c r="BD209" s="302"/>
      <c r="BE209" s="302"/>
      <c r="BF209" s="302"/>
      <c r="BG209" s="302"/>
      <c r="BH209" s="302"/>
      <c r="BI209" s="302"/>
      <c r="BJ209" s="302"/>
      <c r="BK209" s="302"/>
      <c r="BL209" s="302"/>
      <c r="BM209" s="302"/>
      <c r="BN209" s="302"/>
      <c r="BO209" s="302"/>
      <c r="BP209" s="302"/>
      <c r="BQ209" s="302"/>
      <c r="BR209" s="302"/>
      <c r="BS209" s="302"/>
      <c r="BT209" s="302"/>
      <c r="BU209" s="302"/>
      <c r="BV209" s="302"/>
      <c r="BW209" s="302"/>
      <c r="BX209" s="302"/>
      <c r="BY209" s="302"/>
      <c r="BZ209" s="302"/>
      <c r="CA209" s="302"/>
    </row>
    <row r="210" spans="1:79" s="913" customFormat="1" ht="15.6" customHeight="1">
      <c r="A210" s="25"/>
      <c r="B210" s="25"/>
      <c r="C210" s="25"/>
      <c r="D210" s="295"/>
      <c r="E210" s="295"/>
      <c r="F210" s="295"/>
      <c r="G210" s="295"/>
      <c r="H210" s="295"/>
      <c r="I210" s="25"/>
      <c r="J210" s="25"/>
      <c r="K210" s="25"/>
      <c r="L210" s="777">
        <v>5</v>
      </c>
      <c r="M210" s="778"/>
      <c r="N210" s="976">
        <v>191</v>
      </c>
      <c r="O210" s="1020">
        <v>153</v>
      </c>
      <c r="P210" s="847">
        <f>VLOOKUP(N210,etat!$A$9:$N$1004,2,FALSE)</f>
        <v>0</v>
      </c>
      <c r="Q210" s="797" t="str">
        <f>VLOOKUP(N210,etat!$A$9:$N$963,7,FALSE)</f>
        <v>3ل أ</v>
      </c>
      <c r="R210" s="797" t="str">
        <f>VLOOKUP(N210,etat!$A$9:$N$1003,9,FALSE)</f>
        <v>خ</v>
      </c>
      <c r="S210" s="866" t="str">
        <f>VLOOKUP(N210,etat!$A$9:$P$905,16,FALSE)</f>
        <v>ان/د3</v>
      </c>
      <c r="T210" s="755">
        <v>45763</v>
      </c>
      <c r="U210" s="791">
        <v>21</v>
      </c>
      <c r="V210" s="784" t="s">
        <v>2269</v>
      </c>
      <c r="W210" s="784" t="s">
        <v>2280</v>
      </c>
      <c r="X210" s="784" t="s">
        <v>2283</v>
      </c>
      <c r="Y210" s="975"/>
      <c r="Z210" s="967"/>
      <c r="AA210" s="967">
        <v>4</v>
      </c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302"/>
      <c r="AY210" s="302"/>
      <c r="AZ210" s="302"/>
      <c r="BA210" s="302"/>
      <c r="BB210" s="302"/>
      <c r="BC210" s="302"/>
      <c r="BD210" s="302"/>
      <c r="BE210" s="302"/>
      <c r="BF210" s="302"/>
      <c r="BG210" s="302"/>
      <c r="BH210" s="302"/>
      <c r="BI210" s="302"/>
      <c r="BJ210" s="302"/>
      <c r="BK210" s="302"/>
      <c r="BL210" s="302"/>
      <c r="BM210" s="302"/>
      <c r="BN210" s="302"/>
      <c r="BO210" s="302"/>
      <c r="BP210" s="302"/>
      <c r="BQ210" s="302"/>
      <c r="BR210" s="302"/>
      <c r="BS210" s="302"/>
      <c r="BT210" s="302"/>
      <c r="BU210" s="302"/>
      <c r="BV210" s="302"/>
      <c r="BW210" s="302"/>
      <c r="BX210" s="302"/>
      <c r="BY210" s="302"/>
      <c r="BZ210" s="302"/>
      <c r="CA210" s="302"/>
    </row>
    <row r="211" spans="1:79" ht="15.6" customHeight="1">
      <c r="A211" s="25"/>
      <c r="B211" s="25"/>
      <c r="C211" s="25"/>
      <c r="D211" s="295"/>
      <c r="E211" s="295"/>
      <c r="F211" s="295"/>
      <c r="G211" s="295"/>
      <c r="H211" s="295"/>
      <c r="I211" s="25"/>
      <c r="J211" s="25"/>
      <c r="K211" s="25"/>
      <c r="L211" s="777">
        <v>5</v>
      </c>
      <c r="M211" s="778"/>
      <c r="N211" s="976">
        <v>192</v>
      </c>
      <c r="O211" s="1020">
        <v>154</v>
      </c>
      <c r="P211" s="847">
        <f>VLOOKUP(N211,etat!$A$9:$N$1004,2,FALSE)</f>
        <v>0</v>
      </c>
      <c r="Q211" s="797" t="str">
        <f>VLOOKUP(N211,etat!$A$9:$N$963,7,FALSE)</f>
        <v>3ل أ</v>
      </c>
      <c r="R211" s="797" t="str">
        <f>VLOOKUP(N211,etat!$A$9:$N$1003,9,FALSE)</f>
        <v>خ</v>
      </c>
      <c r="S211" s="866" t="str">
        <f>VLOOKUP(N211,etat!$A$9:$P$905,16,FALSE)</f>
        <v>ان/د3</v>
      </c>
      <c r="T211" s="755">
        <v>45762</v>
      </c>
      <c r="U211" s="791">
        <v>22</v>
      </c>
      <c r="V211" s="784" t="s">
        <v>2268</v>
      </c>
      <c r="W211" s="784" t="s">
        <v>2278</v>
      </c>
      <c r="X211" s="784" t="s">
        <v>2283</v>
      </c>
      <c r="Y211" s="975"/>
      <c r="Z211" s="975" t="str">
        <f>VLOOKUP(L211,[2]اس!$S$3:$X$31,3,FALSE)</f>
        <v>.</v>
      </c>
      <c r="AA211" s="967">
        <v>4</v>
      </c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302"/>
      <c r="AY211" s="302"/>
      <c r="AZ211" s="302"/>
      <c r="BA211" s="302"/>
      <c r="BB211" s="302"/>
      <c r="BC211" s="302"/>
      <c r="BD211" s="302"/>
      <c r="BE211" s="302"/>
      <c r="BF211" s="302"/>
      <c r="BG211" s="302"/>
      <c r="BH211" s="302"/>
      <c r="BI211" s="302"/>
      <c r="BJ211" s="302"/>
      <c r="BK211" s="302"/>
      <c r="BL211" s="302"/>
      <c r="BM211" s="302"/>
      <c r="BN211" s="302"/>
      <c r="BO211" s="302"/>
      <c r="BP211" s="302"/>
      <c r="BQ211" s="302"/>
      <c r="BR211" s="302"/>
      <c r="BS211" s="302"/>
      <c r="BT211" s="302"/>
      <c r="BU211" s="302"/>
      <c r="BV211" s="302"/>
      <c r="BW211" s="302"/>
      <c r="BX211" s="302"/>
      <c r="BY211" s="302"/>
      <c r="BZ211" s="302"/>
      <c r="CA211" s="302"/>
    </row>
    <row r="212" spans="1:79" ht="15.6" customHeight="1">
      <c r="A212" s="25"/>
      <c r="B212" s="25"/>
      <c r="C212" s="25"/>
      <c r="D212" s="295"/>
      <c r="E212" s="295"/>
      <c r="F212" s="295"/>
      <c r="G212" s="295"/>
      <c r="H212" s="295"/>
      <c r="I212" s="25"/>
      <c r="J212" s="25"/>
      <c r="K212" s="25"/>
      <c r="L212" s="777">
        <v>5</v>
      </c>
      <c r="M212" s="778"/>
      <c r="N212" s="976">
        <v>194</v>
      </c>
      <c r="O212" s="1020">
        <v>155</v>
      </c>
      <c r="P212" s="847">
        <f>VLOOKUP(N212,etat!$A$9:$N$1004,2,FALSE)</f>
        <v>0</v>
      </c>
      <c r="Q212" s="797" t="str">
        <f>VLOOKUP(N212,etat!$A$9:$N$963,7,FALSE)</f>
        <v>3ل أ</v>
      </c>
      <c r="R212" s="797" t="str">
        <f>VLOOKUP(N212,etat!$A$9:$N$1003,9,FALSE)</f>
        <v>خ</v>
      </c>
      <c r="S212" s="866" t="str">
        <f>VLOOKUP(N212,etat!$A$9:$P$905,16,FALSE)</f>
        <v>ذن/د3</v>
      </c>
      <c r="T212" s="755">
        <v>45774</v>
      </c>
      <c r="U212" s="791">
        <v>10</v>
      </c>
      <c r="V212" s="784" t="s">
        <v>2281</v>
      </c>
      <c r="W212" s="784" t="s">
        <v>2285</v>
      </c>
      <c r="X212" s="784"/>
      <c r="Y212" s="848"/>
      <c r="Z212" s="967"/>
      <c r="AA212" s="967">
        <v>4</v>
      </c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302"/>
      <c r="AY212" s="302"/>
      <c r="AZ212" s="302"/>
      <c r="BA212" s="302"/>
      <c r="BB212" s="302"/>
      <c r="BC212" s="302"/>
      <c r="BD212" s="302"/>
      <c r="BE212" s="302"/>
      <c r="BF212" s="302"/>
      <c r="BG212" s="302"/>
      <c r="BH212" s="302"/>
      <c r="BI212" s="302"/>
      <c r="BJ212" s="302"/>
      <c r="BK212" s="302"/>
      <c r="BL212" s="302"/>
      <c r="BM212" s="302"/>
      <c r="BN212" s="302"/>
      <c r="BO212" s="302"/>
      <c r="BP212" s="302"/>
      <c r="BQ212" s="302"/>
      <c r="BR212" s="302"/>
      <c r="BS212" s="302"/>
      <c r="BT212" s="302"/>
      <c r="BU212" s="302"/>
      <c r="BV212" s="302"/>
      <c r="BW212" s="302"/>
      <c r="BX212" s="302"/>
      <c r="BY212" s="302"/>
      <c r="BZ212" s="302"/>
      <c r="CA212" s="302"/>
    </row>
    <row r="213" spans="1:79" ht="15.6" customHeight="1">
      <c r="A213" s="25"/>
      <c r="B213" s="25"/>
      <c r="C213" s="25"/>
      <c r="D213" s="295"/>
      <c r="E213" s="295"/>
      <c r="F213" s="295"/>
      <c r="G213" s="295"/>
      <c r="H213" s="295"/>
      <c r="I213" s="25"/>
      <c r="J213" s="25"/>
      <c r="K213" s="25"/>
      <c r="L213" s="777">
        <v>5</v>
      </c>
      <c r="M213" s="864"/>
      <c r="N213" s="976">
        <v>197</v>
      </c>
      <c r="O213" s="1020">
        <v>156</v>
      </c>
      <c r="P213" s="847">
        <f>VLOOKUP(N213,etat!$A$9:$N$1004,2,FALSE)</f>
        <v>0</v>
      </c>
      <c r="Q213" s="797" t="str">
        <f>VLOOKUP(N213,etat!$A$9:$N$963,7,FALSE)</f>
        <v>2ت ر كه</v>
      </c>
      <c r="R213" s="797" t="str">
        <f>VLOOKUP(N213,etat!$A$9:$N$1003,9,FALSE)</f>
        <v>ن/د</v>
      </c>
      <c r="S213" s="866" t="str">
        <f>VLOOKUP(N213,etat!$A$9:$P$905,16,FALSE)</f>
        <v>ان/د3</v>
      </c>
      <c r="T213" s="755">
        <v>45775</v>
      </c>
      <c r="U213" s="791">
        <v>9</v>
      </c>
      <c r="V213" s="784" t="s">
        <v>2282</v>
      </c>
      <c r="W213" s="784"/>
      <c r="X213" s="784"/>
      <c r="Y213" s="975"/>
      <c r="Z213" s="975"/>
      <c r="AA213" s="967">
        <v>4</v>
      </c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302"/>
      <c r="AY213" s="302"/>
      <c r="AZ213" s="302"/>
      <c r="BA213" s="302"/>
      <c r="BB213" s="302"/>
      <c r="BC213" s="302"/>
      <c r="BD213" s="302"/>
      <c r="BE213" s="302"/>
      <c r="BF213" s="302"/>
      <c r="BG213" s="302"/>
      <c r="BH213" s="302"/>
      <c r="BI213" s="302"/>
      <c r="BJ213" s="302"/>
      <c r="BK213" s="302"/>
      <c r="BL213" s="302"/>
      <c r="BM213" s="302"/>
      <c r="BN213" s="302"/>
      <c r="BO213" s="302"/>
      <c r="BP213" s="302"/>
      <c r="BQ213" s="302"/>
      <c r="BR213" s="302"/>
      <c r="BS213" s="302"/>
      <c r="BT213" s="302"/>
      <c r="BU213" s="302"/>
      <c r="BV213" s="302"/>
      <c r="BW213" s="302"/>
      <c r="BX213" s="302"/>
      <c r="BY213" s="302"/>
      <c r="BZ213" s="302"/>
      <c r="CA213" s="302"/>
    </row>
    <row r="214" spans="1:79" ht="15.6" customHeight="1">
      <c r="A214" s="25"/>
      <c r="B214" s="25"/>
      <c r="C214" s="25"/>
      <c r="D214" s="295"/>
      <c r="E214" s="295"/>
      <c r="F214" s="295"/>
      <c r="G214" s="295"/>
      <c r="H214" s="295"/>
      <c r="I214" s="25"/>
      <c r="J214" s="25"/>
      <c r="K214" s="25"/>
      <c r="L214" s="777">
        <v>5</v>
      </c>
      <c r="M214" s="864"/>
      <c r="N214" s="976">
        <v>198</v>
      </c>
      <c r="O214" s="1020">
        <v>157</v>
      </c>
      <c r="P214" s="268">
        <f>VLOOKUP(N214,etat!$A$9:$N$1004,2,FALSE)</f>
        <v>0</v>
      </c>
      <c r="Q214" s="797" t="str">
        <f>VLOOKUP(N214,etat!$A$9:$N$963,7,FALSE)</f>
        <v>2ت ر كه</v>
      </c>
      <c r="R214" s="928" t="str">
        <f>VLOOKUP(N214,etat!$A$9:$N$1003,9,FALSE)</f>
        <v>خ</v>
      </c>
      <c r="S214" s="866" t="str">
        <f>VLOOKUP(N214,etat!$A$9:$P$905,16,FALSE)</f>
        <v>ذخ3</v>
      </c>
      <c r="T214" s="755">
        <v>45777</v>
      </c>
      <c r="U214" s="1129" t="s">
        <v>389</v>
      </c>
      <c r="V214" s="784" t="s">
        <v>2283</v>
      </c>
      <c r="W214" s="784"/>
      <c r="X214" s="784"/>
      <c r="Y214" s="975"/>
      <c r="Z214" s="975" t="str">
        <f>VLOOKUP(L214,[2]اس!$S$3:$X$31,3,FALSE)</f>
        <v>.</v>
      </c>
      <c r="AA214" s="967">
        <v>4</v>
      </c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302"/>
      <c r="AY214" s="302"/>
      <c r="AZ214" s="302"/>
      <c r="BA214" s="302"/>
      <c r="BB214" s="302"/>
      <c r="BC214" s="302"/>
      <c r="BD214" s="302"/>
      <c r="BE214" s="302"/>
      <c r="BF214" s="302"/>
      <c r="BG214" s="302"/>
      <c r="BH214" s="302"/>
      <c r="BI214" s="302"/>
      <c r="BJ214" s="302"/>
      <c r="BK214" s="302"/>
      <c r="BL214" s="302"/>
      <c r="BM214" s="302"/>
      <c r="BN214" s="302"/>
      <c r="BO214" s="302"/>
      <c r="BP214" s="302"/>
      <c r="BQ214" s="302"/>
      <c r="BR214" s="302"/>
      <c r="BS214" s="302"/>
      <c r="BT214" s="302"/>
      <c r="BU214" s="302"/>
      <c r="BV214" s="302"/>
      <c r="BW214" s="302"/>
      <c r="BX214" s="302"/>
      <c r="BY214" s="302"/>
      <c r="BZ214" s="302"/>
      <c r="CA214" s="302"/>
    </row>
    <row r="215" spans="1:79" ht="15.6" customHeight="1">
      <c r="A215" s="25"/>
      <c r="B215" s="25"/>
      <c r="C215" s="25"/>
      <c r="D215" s="295"/>
      <c r="E215" s="295"/>
      <c r="F215" s="295"/>
      <c r="G215" s="295"/>
      <c r="H215" s="295"/>
      <c r="I215" s="25"/>
      <c r="J215" s="25"/>
      <c r="K215" s="25"/>
      <c r="L215" s="777">
        <v>5</v>
      </c>
      <c r="M215" s="778"/>
      <c r="N215" s="976">
        <v>199</v>
      </c>
      <c r="O215" s="1020">
        <v>158</v>
      </c>
      <c r="P215" s="847">
        <f>VLOOKUP(N215,etat!$A$9:$N$1004,2,FALSE)</f>
        <v>0</v>
      </c>
      <c r="Q215" s="797" t="str">
        <f>VLOOKUP(N215,etat!$A$9:$N$963,7,FALSE)</f>
        <v>2ت ر كه</v>
      </c>
      <c r="R215" s="797" t="str">
        <f>VLOOKUP(N215,etat!$A$9:$N$1003,9,FALSE)</f>
        <v>خ</v>
      </c>
      <c r="S215" s="866" t="str">
        <f>VLOOKUP(N215,etat!$A$9:$P$905,16,FALSE)</f>
        <v>ذخ3</v>
      </c>
      <c r="T215" s="755">
        <v>45776</v>
      </c>
      <c r="U215" s="791">
        <v>8</v>
      </c>
      <c r="V215" s="784" t="s">
        <v>2283</v>
      </c>
      <c r="W215" s="784"/>
      <c r="X215" s="784"/>
      <c r="Y215" s="975"/>
      <c r="Z215" s="975"/>
      <c r="AA215" s="967">
        <v>4</v>
      </c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302"/>
      <c r="AY215" s="302"/>
      <c r="AZ215" s="302"/>
      <c r="BA215" s="302"/>
      <c r="BB215" s="302"/>
      <c r="BC215" s="302"/>
      <c r="BD215" s="302"/>
      <c r="BE215" s="302"/>
      <c r="BF215" s="302"/>
      <c r="BG215" s="302"/>
      <c r="BH215" s="302"/>
      <c r="BI215" s="302"/>
      <c r="BJ215" s="302"/>
      <c r="BK215" s="302"/>
      <c r="BL215" s="302"/>
      <c r="BM215" s="302"/>
      <c r="BN215" s="302"/>
      <c r="BO215" s="302"/>
      <c r="BP215" s="302"/>
      <c r="BQ215" s="302"/>
      <c r="BR215" s="302"/>
      <c r="BS215" s="302"/>
      <c r="BT215" s="302"/>
      <c r="BU215" s="302"/>
      <c r="BV215" s="302"/>
      <c r="BW215" s="302"/>
      <c r="BX215" s="302"/>
      <c r="BY215" s="302"/>
      <c r="BZ215" s="302"/>
      <c r="CA215" s="302"/>
    </row>
    <row r="216" spans="1:79" ht="15.6" customHeight="1">
      <c r="A216" s="25"/>
      <c r="B216" s="25"/>
      <c r="C216" s="25"/>
      <c r="D216" s="295"/>
      <c r="E216" s="295"/>
      <c r="F216" s="295"/>
      <c r="G216" s="295"/>
      <c r="H216" s="295"/>
      <c r="I216" s="25"/>
      <c r="J216" s="25"/>
      <c r="K216" s="25"/>
      <c r="L216" s="777">
        <v>5</v>
      </c>
      <c r="M216" s="778"/>
      <c r="N216" s="976">
        <v>201</v>
      </c>
      <c r="O216" s="1020">
        <v>159</v>
      </c>
      <c r="P216" s="847">
        <f>VLOOKUP(N216,etat!$A$9:$N$1004,2,FALSE)</f>
        <v>0</v>
      </c>
      <c r="Q216" s="797" t="str">
        <f>VLOOKUP(N216,etat!$A$9:$N$963,7,FALSE)</f>
        <v>2ت ر كه</v>
      </c>
      <c r="R216" s="797" t="str">
        <f>VLOOKUP(N216,etat!$A$9:$N$1003,9,FALSE)</f>
        <v>خ</v>
      </c>
      <c r="S216" s="866" t="str">
        <f>VLOOKUP(N216,etat!$A$9:$P$905,16,FALSE)</f>
        <v>اخ3</v>
      </c>
      <c r="T216" s="755">
        <v>45769</v>
      </c>
      <c r="U216" s="791">
        <v>15</v>
      </c>
      <c r="V216" s="784" t="s">
        <v>2278</v>
      </c>
      <c r="W216" s="784" t="s">
        <v>2283</v>
      </c>
      <c r="X216" s="784"/>
      <c r="Y216" s="975"/>
      <c r="Z216" s="975" t="str">
        <f>VLOOKUP(L216,[2]اس!$S$3:$X$31,3,FALSE)</f>
        <v>.</v>
      </c>
      <c r="AA216" s="967">
        <v>4</v>
      </c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302"/>
      <c r="AY216" s="302"/>
      <c r="AZ216" s="302"/>
      <c r="BA216" s="302"/>
      <c r="BB216" s="302"/>
      <c r="BC216" s="302"/>
      <c r="BD216" s="302"/>
      <c r="BE216" s="302"/>
      <c r="BF216" s="302"/>
      <c r="BG216" s="302"/>
      <c r="BH216" s="302"/>
      <c r="BI216" s="302"/>
      <c r="BJ216" s="302"/>
      <c r="BK216" s="302"/>
      <c r="BL216" s="302"/>
      <c r="BM216" s="302"/>
      <c r="BN216" s="302"/>
      <c r="BO216" s="302"/>
      <c r="BP216" s="302"/>
      <c r="BQ216" s="302"/>
      <c r="BR216" s="302"/>
      <c r="BS216" s="302"/>
      <c r="BT216" s="302"/>
      <c r="BU216" s="302"/>
      <c r="BV216" s="302"/>
      <c r="BW216" s="302"/>
      <c r="BX216" s="302"/>
      <c r="BY216" s="302"/>
      <c r="BZ216" s="302"/>
      <c r="CA216" s="302"/>
    </row>
    <row r="217" spans="1:79" ht="15.6" customHeight="1">
      <c r="A217" s="25"/>
      <c r="B217" s="25"/>
      <c r="C217" s="25"/>
      <c r="D217" s="295"/>
      <c r="E217" s="295"/>
      <c r="F217" s="295"/>
      <c r="G217" s="295"/>
      <c r="H217" s="295"/>
      <c r="I217" s="25"/>
      <c r="J217" s="25"/>
      <c r="K217" s="25"/>
      <c r="L217" s="777">
        <v>5</v>
      </c>
      <c r="M217" s="778"/>
      <c r="N217" s="976">
        <v>202</v>
      </c>
      <c r="O217" s="1020">
        <v>160</v>
      </c>
      <c r="P217" s="847">
        <f>VLOOKUP(N217,etat!$A$9:$N$1004,2,FALSE)</f>
        <v>0</v>
      </c>
      <c r="Q217" s="797" t="str">
        <f>VLOOKUP(N217,etat!$A$9:$N$963,7,FALSE)</f>
        <v>2ت ر كه</v>
      </c>
      <c r="R217" s="797" t="str">
        <f>VLOOKUP(N217,etat!$A$9:$N$1003,9,FALSE)</f>
        <v>خ</v>
      </c>
      <c r="S217" s="866" t="str">
        <f>VLOOKUP(N217,etat!$A$9:$P$905,16,FALSE)</f>
        <v>اخ3</v>
      </c>
      <c r="T217" s="755">
        <v>45764</v>
      </c>
      <c r="U217" s="791">
        <v>20</v>
      </c>
      <c r="V217" s="784" t="s">
        <v>2269</v>
      </c>
      <c r="W217" s="784" t="s">
        <v>2280</v>
      </c>
      <c r="X217" s="784"/>
      <c r="Y217" s="1116"/>
      <c r="Z217" s="975" t="str">
        <f>VLOOKUP(L217,[2]اس!$S$3:$X$31,3,FALSE)</f>
        <v>.</v>
      </c>
      <c r="AA217" s="967">
        <v>4</v>
      </c>
      <c r="AB217" s="302"/>
      <c r="AC217" s="302"/>
      <c r="AD217" s="302"/>
      <c r="AE217" s="302"/>
      <c r="AF217" s="302"/>
      <c r="AG217" s="302"/>
      <c r="AH217" s="302"/>
      <c r="AI217" s="302"/>
      <c r="AJ217" s="302"/>
      <c r="AK217" s="302"/>
      <c r="AL217" s="302"/>
      <c r="AM217" s="302"/>
      <c r="AN217" s="302"/>
      <c r="AO217" s="302"/>
      <c r="AP217" s="302"/>
      <c r="AQ217" s="302"/>
      <c r="AR217" s="302"/>
      <c r="AS217" s="302"/>
      <c r="AT217" s="302"/>
      <c r="AU217" s="302"/>
      <c r="AV217" s="302"/>
      <c r="AW217" s="302"/>
      <c r="AX217" s="302"/>
      <c r="AY217" s="302"/>
      <c r="AZ217" s="302"/>
      <c r="BA217" s="302"/>
      <c r="BB217" s="302"/>
      <c r="BC217" s="302"/>
      <c r="BD217" s="302"/>
      <c r="BE217" s="302"/>
      <c r="BF217" s="302"/>
      <c r="BG217" s="302"/>
      <c r="BH217" s="302"/>
      <c r="BI217" s="302"/>
      <c r="BJ217" s="302"/>
      <c r="BK217" s="302"/>
      <c r="BL217" s="302"/>
      <c r="BM217" s="302"/>
      <c r="BN217" s="302"/>
      <c r="BO217" s="302"/>
      <c r="BP217" s="302"/>
      <c r="BQ217" s="302"/>
      <c r="BR217" s="302"/>
      <c r="BS217" s="302"/>
      <c r="BT217" s="302"/>
      <c r="BU217" s="302"/>
      <c r="BV217" s="302"/>
      <c r="BW217" s="302"/>
      <c r="BX217" s="302"/>
      <c r="BY217" s="302"/>
      <c r="BZ217" s="302"/>
      <c r="CA217" s="302"/>
    </row>
    <row r="218" spans="1:79" s="1110" customFormat="1" ht="15.6" customHeight="1">
      <c r="A218" s="25"/>
      <c r="B218" s="25"/>
      <c r="C218" s="25"/>
      <c r="D218" s="295"/>
      <c r="E218" s="295"/>
      <c r="F218" s="295"/>
      <c r="G218" s="295"/>
      <c r="H218" s="295"/>
      <c r="I218" s="25"/>
      <c r="J218" s="25"/>
      <c r="K218" s="25"/>
      <c r="L218" s="777">
        <v>5</v>
      </c>
      <c r="M218" s="778"/>
      <c r="N218" s="976">
        <v>786</v>
      </c>
      <c r="O218" s="1020">
        <v>161</v>
      </c>
      <c r="P218" s="847">
        <f>VLOOKUP(N218,etat!$A$9:$N$1004,2,FALSE)</f>
        <v>0</v>
      </c>
      <c r="Q218" s="797">
        <f>VLOOKUP(N218,etat!$A$9:$N$963,7,FALSE)</f>
        <v>0</v>
      </c>
      <c r="R218" s="866">
        <f>VLOOKUP(N218,etat!$A$9:$N$1003,9,FALSE)</f>
        <v>0</v>
      </c>
      <c r="S218" s="866">
        <f>VLOOKUP(N218,etat!$A$9:$P$905,16,FALSE)</f>
        <v>0</v>
      </c>
      <c r="T218" s="755">
        <v>45775</v>
      </c>
      <c r="U218" s="791">
        <v>9</v>
      </c>
      <c r="V218" s="784" t="s">
        <v>2282</v>
      </c>
      <c r="W218" s="784"/>
      <c r="X218" s="869"/>
      <c r="Y218" s="975"/>
      <c r="Z218" s="975"/>
      <c r="AA218" s="967">
        <v>4</v>
      </c>
      <c r="AB218" s="302"/>
      <c r="AC218" s="302"/>
      <c r="AD218" s="302"/>
      <c r="AE218" s="302"/>
      <c r="AF218" s="302"/>
      <c r="AG218" s="302"/>
      <c r="AH218" s="302"/>
      <c r="AI218" s="302"/>
      <c r="AJ218" s="302"/>
      <c r="AK218" s="302"/>
      <c r="AL218" s="302"/>
      <c r="AM218" s="302"/>
      <c r="AN218" s="302"/>
      <c r="AO218" s="302"/>
      <c r="AP218" s="302"/>
      <c r="AQ218" s="302"/>
      <c r="AR218" s="302"/>
      <c r="AS218" s="302"/>
      <c r="AT218" s="302"/>
      <c r="AU218" s="302"/>
      <c r="AV218" s="302"/>
      <c r="AW218" s="302"/>
      <c r="AX218" s="302"/>
      <c r="AY218" s="302"/>
      <c r="AZ218" s="302"/>
      <c r="BA218" s="302"/>
      <c r="BB218" s="302"/>
      <c r="BC218" s="302"/>
      <c r="BD218" s="302"/>
      <c r="BE218" s="302"/>
      <c r="BF218" s="302"/>
      <c r="BG218" s="302"/>
      <c r="BH218" s="302"/>
      <c r="BI218" s="302"/>
      <c r="BJ218" s="302"/>
      <c r="BK218" s="302"/>
      <c r="BL218" s="302"/>
      <c r="BM218" s="302"/>
      <c r="BN218" s="302"/>
      <c r="BO218" s="302"/>
      <c r="BP218" s="302"/>
      <c r="BQ218" s="302"/>
      <c r="BR218" s="302"/>
      <c r="BS218" s="302"/>
      <c r="BT218" s="302"/>
      <c r="BU218" s="302"/>
      <c r="BV218" s="302"/>
      <c r="BW218" s="302"/>
      <c r="BX218" s="302"/>
      <c r="BY218" s="302"/>
      <c r="BZ218" s="302"/>
      <c r="CA218" s="302"/>
    </row>
    <row r="219" spans="1:79" s="1110" customFormat="1" ht="15.6" customHeight="1">
      <c r="A219" s="25"/>
      <c r="B219" s="25"/>
      <c r="C219" s="25"/>
      <c r="D219" s="295"/>
      <c r="E219" s="295"/>
      <c r="F219" s="295"/>
      <c r="G219" s="295"/>
      <c r="H219" s="295"/>
      <c r="I219" s="25"/>
      <c r="J219" s="25"/>
      <c r="K219" s="25"/>
      <c r="L219" s="777">
        <v>5</v>
      </c>
      <c r="M219" s="778"/>
      <c r="N219" s="976">
        <v>203</v>
      </c>
      <c r="O219" s="1020">
        <v>162</v>
      </c>
      <c r="P219" s="268">
        <f>VLOOKUP(N219,etat!$A$9:$N$1004,2,FALSE)</f>
        <v>0</v>
      </c>
      <c r="Q219" s="797" t="str">
        <f>VLOOKUP(N219,etat!$A$9:$N$963,7,FALSE)</f>
        <v>2ت ر مك</v>
      </c>
      <c r="R219" s="928" t="str">
        <f>VLOOKUP(N219,etat!$A$9:$N$1003,9,FALSE)</f>
        <v>خ</v>
      </c>
      <c r="S219" s="866" t="str">
        <f>VLOOKUP(N219,etat!$A$9:$P$905,16,FALSE)</f>
        <v>ذخ3</v>
      </c>
      <c r="T219" s="755">
        <v>45771</v>
      </c>
      <c r="U219" s="791">
        <v>13</v>
      </c>
      <c r="V219" s="784" t="s">
        <v>2280</v>
      </c>
      <c r="W219" s="784" t="s">
        <v>2283</v>
      </c>
      <c r="X219" s="784"/>
      <c r="Y219" s="975"/>
      <c r="Z219" s="975" t="str">
        <f>VLOOKUP(L219,[2]اس!$S$3:$X$31,3,FALSE)</f>
        <v>.</v>
      </c>
      <c r="AA219" s="967">
        <v>4</v>
      </c>
      <c r="AB219" s="302"/>
      <c r="AC219" s="302"/>
      <c r="AD219" s="302"/>
      <c r="AE219" s="302"/>
      <c r="AF219" s="302"/>
      <c r="AG219" s="302"/>
      <c r="AH219" s="302"/>
      <c r="AI219" s="302"/>
      <c r="AJ219" s="302"/>
      <c r="AK219" s="302"/>
      <c r="AL219" s="302"/>
      <c r="AM219" s="302"/>
      <c r="AN219" s="302"/>
      <c r="AO219" s="302"/>
      <c r="AP219" s="302"/>
      <c r="AQ219" s="302"/>
      <c r="AR219" s="302"/>
      <c r="AS219" s="302"/>
      <c r="AT219" s="302"/>
      <c r="AU219" s="302"/>
      <c r="AV219" s="302"/>
      <c r="AW219" s="302"/>
      <c r="AX219" s="302"/>
      <c r="AY219" s="302"/>
      <c r="AZ219" s="302"/>
      <c r="BA219" s="302"/>
      <c r="BB219" s="302"/>
      <c r="BC219" s="302"/>
      <c r="BD219" s="302"/>
      <c r="BE219" s="302"/>
      <c r="BF219" s="302"/>
      <c r="BG219" s="302"/>
      <c r="BH219" s="302"/>
      <c r="BI219" s="302"/>
      <c r="BJ219" s="302"/>
      <c r="BK219" s="302"/>
      <c r="BL219" s="302"/>
      <c r="BM219" s="302"/>
      <c r="BN219" s="302"/>
      <c r="BO219" s="302"/>
      <c r="BP219" s="302"/>
      <c r="BQ219" s="302"/>
      <c r="BR219" s="302"/>
      <c r="BS219" s="302"/>
      <c r="BT219" s="302"/>
      <c r="BU219" s="302"/>
      <c r="BV219" s="302"/>
      <c r="BW219" s="302"/>
      <c r="BX219" s="302"/>
      <c r="BY219" s="302"/>
      <c r="BZ219" s="302"/>
      <c r="CA219" s="302"/>
    </row>
    <row r="220" spans="1:79" s="1122" customFormat="1" ht="15.6" customHeight="1">
      <c r="A220" s="25"/>
      <c r="B220" s="25"/>
      <c r="C220" s="25"/>
      <c r="D220" s="295"/>
      <c r="E220" s="295"/>
      <c r="F220" s="295"/>
      <c r="G220" s="295"/>
      <c r="H220" s="295"/>
      <c r="I220" s="25"/>
      <c r="J220" s="25"/>
      <c r="K220" s="25"/>
      <c r="L220" s="777">
        <v>5</v>
      </c>
      <c r="M220" s="778"/>
      <c r="N220" s="976">
        <v>204</v>
      </c>
      <c r="O220" s="1020">
        <v>163</v>
      </c>
      <c r="P220" s="268">
        <f>VLOOKUP(N220,etat!$A$9:$N$1004,2,FALSE)</f>
        <v>0</v>
      </c>
      <c r="Q220" s="797" t="str">
        <f>VLOOKUP(N220,etat!$A$9:$N$963,7,FALSE)</f>
        <v>2ت ر مك</v>
      </c>
      <c r="R220" s="928" t="str">
        <f>VLOOKUP(N220,etat!$A$9:$N$1003,9,FALSE)</f>
        <v>خ</v>
      </c>
      <c r="S220" s="866" t="str">
        <f>VLOOKUP(N220,etat!$A$9:$P$905,16,FALSE)</f>
        <v>ذخ3</v>
      </c>
      <c r="T220" s="755">
        <v>45771</v>
      </c>
      <c r="U220" s="791">
        <v>13</v>
      </c>
      <c r="V220" s="784" t="s">
        <v>2280</v>
      </c>
      <c r="W220" s="784" t="s">
        <v>2283</v>
      </c>
      <c r="X220" s="784"/>
      <c r="Y220" s="975"/>
      <c r="Z220" s="967"/>
      <c r="AA220" s="967">
        <v>4</v>
      </c>
      <c r="AB220" s="302"/>
      <c r="AC220" s="302"/>
      <c r="AD220" s="302"/>
      <c r="AE220" s="302"/>
      <c r="AF220" s="302"/>
      <c r="AG220" s="302"/>
      <c r="AH220" s="302"/>
      <c r="AI220" s="302"/>
      <c r="AJ220" s="302"/>
      <c r="AK220" s="302"/>
      <c r="AL220" s="302"/>
      <c r="AM220" s="302"/>
      <c r="AN220" s="302"/>
      <c r="AO220" s="302"/>
      <c r="AP220" s="302"/>
      <c r="AQ220" s="302"/>
      <c r="AR220" s="302"/>
      <c r="AS220" s="302"/>
      <c r="AT220" s="302"/>
      <c r="AU220" s="302"/>
      <c r="AV220" s="302"/>
      <c r="AW220" s="302"/>
      <c r="AX220" s="302"/>
      <c r="AY220" s="302"/>
      <c r="AZ220" s="302"/>
      <c r="BA220" s="302"/>
      <c r="BB220" s="302"/>
      <c r="BC220" s="302"/>
      <c r="BD220" s="302"/>
      <c r="BE220" s="302"/>
      <c r="BF220" s="302"/>
      <c r="BG220" s="302"/>
      <c r="BH220" s="302"/>
      <c r="BI220" s="302"/>
      <c r="BJ220" s="302"/>
      <c r="BK220" s="302"/>
      <c r="BL220" s="302"/>
      <c r="BM220" s="302"/>
      <c r="BN220" s="302"/>
      <c r="BO220" s="302"/>
      <c r="BP220" s="302"/>
      <c r="BQ220" s="302"/>
      <c r="BR220" s="302"/>
      <c r="BS220" s="302"/>
      <c r="BT220" s="302"/>
      <c r="BU220" s="302"/>
      <c r="BV220" s="302"/>
      <c r="BW220" s="302"/>
      <c r="BX220" s="302"/>
      <c r="BY220" s="302"/>
      <c r="BZ220" s="302"/>
      <c r="CA220" s="302"/>
    </row>
    <row r="221" spans="1:79" s="1122" customFormat="1" ht="15.6" customHeight="1">
      <c r="A221" s="25"/>
      <c r="B221" s="25"/>
      <c r="C221" s="25"/>
      <c r="D221" s="295"/>
      <c r="E221" s="295"/>
      <c r="F221" s="295"/>
      <c r="G221" s="295"/>
      <c r="H221" s="295"/>
      <c r="I221" s="25"/>
      <c r="J221" s="25"/>
      <c r="K221" s="25"/>
      <c r="L221" s="777">
        <v>5</v>
      </c>
      <c r="M221" s="778"/>
      <c r="N221" s="976">
        <v>205</v>
      </c>
      <c r="O221" s="1020">
        <v>164</v>
      </c>
      <c r="P221" s="847">
        <f>VLOOKUP(N221,etat!$A$9:$N$1004,2,FALSE)</f>
        <v>0</v>
      </c>
      <c r="Q221" s="797" t="str">
        <f>VLOOKUP(N221,etat!$A$9:$N$963,7,FALSE)</f>
        <v>2ت ر مك</v>
      </c>
      <c r="R221" s="797" t="str">
        <f>VLOOKUP(N221,etat!$A$9:$N$1003,9,FALSE)</f>
        <v>خ</v>
      </c>
      <c r="S221" s="866" t="str">
        <f>VLOOKUP(N221,etat!$A$9:$P$905,16,FALSE)</f>
        <v>اخ3</v>
      </c>
      <c r="T221" s="755">
        <v>45781</v>
      </c>
      <c r="U221" s="791">
        <v>3</v>
      </c>
      <c r="V221" s="784" t="s">
        <v>2285</v>
      </c>
      <c r="W221" s="784"/>
      <c r="X221" s="784"/>
      <c r="Y221" s="975"/>
      <c r="Z221" s="975"/>
      <c r="AA221" s="967">
        <v>4</v>
      </c>
      <c r="AB221" s="302"/>
      <c r="AC221" s="302"/>
      <c r="AD221" s="302"/>
      <c r="AE221" s="302"/>
      <c r="AF221" s="302"/>
      <c r="AG221" s="302"/>
      <c r="AH221" s="302"/>
      <c r="AI221" s="302"/>
      <c r="AJ221" s="302"/>
      <c r="AK221" s="302"/>
      <c r="AL221" s="302"/>
      <c r="AM221" s="302"/>
      <c r="AN221" s="302"/>
      <c r="AO221" s="302"/>
      <c r="AP221" s="302"/>
      <c r="AQ221" s="302"/>
      <c r="AR221" s="302"/>
      <c r="AS221" s="302"/>
      <c r="AT221" s="302"/>
      <c r="AU221" s="302"/>
      <c r="AV221" s="302"/>
      <c r="AW221" s="302"/>
      <c r="AX221" s="302"/>
      <c r="AY221" s="302"/>
      <c r="AZ221" s="302"/>
      <c r="BA221" s="302"/>
      <c r="BB221" s="302"/>
      <c r="BC221" s="302"/>
      <c r="BD221" s="302"/>
      <c r="BE221" s="302"/>
      <c r="BF221" s="302"/>
      <c r="BG221" s="302"/>
      <c r="BH221" s="302"/>
      <c r="BI221" s="302"/>
      <c r="BJ221" s="302"/>
      <c r="BK221" s="302"/>
      <c r="BL221" s="302"/>
      <c r="BM221" s="302"/>
      <c r="BN221" s="302"/>
      <c r="BO221" s="302"/>
      <c r="BP221" s="302"/>
      <c r="BQ221" s="302"/>
      <c r="BR221" s="302"/>
      <c r="BS221" s="302"/>
      <c r="BT221" s="302"/>
      <c r="BU221" s="302"/>
      <c r="BV221" s="302"/>
      <c r="BW221" s="302"/>
      <c r="BX221" s="302"/>
      <c r="BY221" s="302"/>
      <c r="BZ221" s="302"/>
      <c r="CA221" s="302"/>
    </row>
    <row r="222" spans="1:79" s="1122" customFormat="1" ht="15.6" customHeight="1">
      <c r="A222" s="25"/>
      <c r="B222" s="25"/>
      <c r="C222" s="25"/>
      <c r="D222" s="295"/>
      <c r="E222" s="295"/>
      <c r="F222" s="295"/>
      <c r="G222" s="295"/>
      <c r="H222" s="295"/>
      <c r="I222" s="25"/>
      <c r="J222" s="25"/>
      <c r="K222" s="25"/>
      <c r="L222" s="777">
        <v>5</v>
      </c>
      <c r="M222" s="778"/>
      <c r="N222" s="976">
        <v>208</v>
      </c>
      <c r="O222" s="1020">
        <v>165</v>
      </c>
      <c r="P222" s="847">
        <f>VLOOKUP(N222,etat!$A$9:$N$1004,2,FALSE)</f>
        <v>0</v>
      </c>
      <c r="Q222" s="797" t="str">
        <f>VLOOKUP(N222,etat!$A$9:$N$963,7,FALSE)</f>
        <v>2ت ر طرا</v>
      </c>
      <c r="R222" s="797" t="str">
        <f>VLOOKUP(N222,etat!$A$9:$N$1003,9,FALSE)</f>
        <v>خ</v>
      </c>
      <c r="S222" s="866" t="str">
        <f>VLOOKUP(N222,etat!$A$9:$P$905,16,FALSE)</f>
        <v>ذخ3</v>
      </c>
      <c r="T222" s="755">
        <v>45782</v>
      </c>
      <c r="U222" s="791">
        <v>1</v>
      </c>
      <c r="V222" s="784"/>
      <c r="W222" s="784"/>
      <c r="X222" s="784"/>
      <c r="Y222" s="975"/>
      <c r="Z222" s="975"/>
      <c r="AA222" s="967">
        <v>4</v>
      </c>
      <c r="AB222" s="302"/>
      <c r="AC222" s="302"/>
      <c r="AD222" s="302"/>
      <c r="AE222" s="302"/>
      <c r="AF222" s="302"/>
      <c r="AG222" s="302"/>
      <c r="AH222" s="302"/>
      <c r="AI222" s="302"/>
      <c r="AJ222" s="302"/>
      <c r="AK222" s="302"/>
      <c r="AL222" s="302"/>
      <c r="AM222" s="302"/>
      <c r="AN222" s="302"/>
      <c r="AO222" s="302"/>
      <c r="AP222" s="302"/>
      <c r="AQ222" s="302"/>
      <c r="AR222" s="302"/>
      <c r="AS222" s="302"/>
      <c r="AT222" s="302"/>
      <c r="AU222" s="302"/>
      <c r="AV222" s="302"/>
      <c r="AW222" s="302"/>
      <c r="AX222" s="302"/>
      <c r="AY222" s="302"/>
      <c r="AZ222" s="302"/>
      <c r="BA222" s="302"/>
      <c r="BB222" s="302"/>
      <c r="BC222" s="302"/>
      <c r="BD222" s="302"/>
      <c r="BE222" s="302"/>
      <c r="BF222" s="302"/>
      <c r="BG222" s="302"/>
      <c r="BH222" s="302"/>
      <c r="BI222" s="302"/>
      <c r="BJ222" s="302"/>
      <c r="BK222" s="302"/>
      <c r="BL222" s="302"/>
      <c r="BM222" s="302"/>
      <c r="BN222" s="302"/>
      <c r="BO222" s="302"/>
      <c r="BP222" s="302"/>
      <c r="BQ222" s="302"/>
      <c r="BR222" s="302"/>
      <c r="BS222" s="302"/>
      <c r="BT222" s="302"/>
      <c r="BU222" s="302"/>
      <c r="BV222" s="302"/>
      <c r="BW222" s="302"/>
      <c r="BX222" s="302"/>
      <c r="BY222" s="302"/>
      <c r="BZ222" s="302"/>
      <c r="CA222" s="302"/>
    </row>
    <row r="223" spans="1:79" s="1110" customFormat="1" ht="15.6" customHeight="1">
      <c r="A223" s="25"/>
      <c r="B223" s="25"/>
      <c r="C223" s="25"/>
      <c r="D223" s="295"/>
      <c r="E223" s="295"/>
      <c r="F223" s="295"/>
      <c r="G223" s="295"/>
      <c r="H223" s="295"/>
      <c r="I223" s="25"/>
      <c r="J223" s="25"/>
      <c r="K223" s="25"/>
      <c r="L223" s="777">
        <v>5</v>
      </c>
      <c r="M223" s="778"/>
      <c r="N223" s="976">
        <v>209</v>
      </c>
      <c r="O223" s="1020">
        <v>166</v>
      </c>
      <c r="P223" s="847">
        <f>VLOOKUP(N223,etat!$A$9:$N$1004,2,FALSE)</f>
        <v>0</v>
      </c>
      <c r="Q223" s="797" t="str">
        <f>VLOOKUP(N223,etat!$A$9:$N$963,7,FALSE)</f>
        <v>2ت ر طرا</v>
      </c>
      <c r="R223" s="866" t="str">
        <f>VLOOKUP(N223,etat!$A$9:$N$1003,9,FALSE)</f>
        <v>خ</v>
      </c>
      <c r="S223" s="866" t="str">
        <f>VLOOKUP(N223,etat!$A$9:$P$905,16,FALSE)</f>
        <v>ذخ3</v>
      </c>
      <c r="T223" s="755">
        <v>45781</v>
      </c>
      <c r="U223" s="791">
        <v>3</v>
      </c>
      <c r="V223" s="784" t="s">
        <v>2285</v>
      </c>
      <c r="W223" s="784"/>
      <c r="X223" s="784"/>
      <c r="Y223" s="975"/>
      <c r="Z223" s="975"/>
      <c r="AA223" s="967">
        <v>4</v>
      </c>
      <c r="AB223" s="302"/>
      <c r="AC223" s="302"/>
      <c r="AD223" s="302"/>
      <c r="AE223" s="302"/>
      <c r="AF223" s="302"/>
      <c r="AG223" s="302"/>
      <c r="AH223" s="302"/>
      <c r="AI223" s="302"/>
      <c r="AJ223" s="302"/>
      <c r="AK223" s="302"/>
      <c r="AL223" s="302"/>
      <c r="AM223" s="302"/>
      <c r="AN223" s="302"/>
      <c r="AO223" s="302"/>
      <c r="AP223" s="302"/>
      <c r="AQ223" s="302"/>
      <c r="AR223" s="302"/>
      <c r="AS223" s="302"/>
      <c r="AT223" s="302"/>
      <c r="AU223" s="302"/>
      <c r="AV223" s="302"/>
      <c r="AW223" s="302"/>
      <c r="AX223" s="302"/>
      <c r="AY223" s="302"/>
      <c r="AZ223" s="302"/>
      <c r="BA223" s="302"/>
      <c r="BB223" s="302"/>
      <c r="BC223" s="302"/>
      <c r="BD223" s="302"/>
      <c r="BE223" s="302"/>
      <c r="BF223" s="302"/>
      <c r="BG223" s="302"/>
      <c r="BH223" s="302"/>
      <c r="BI223" s="302"/>
      <c r="BJ223" s="302"/>
      <c r="BK223" s="302"/>
      <c r="BL223" s="302"/>
      <c r="BM223" s="302"/>
      <c r="BN223" s="302"/>
      <c r="BO223" s="302"/>
      <c r="BP223" s="302"/>
      <c r="BQ223" s="302"/>
      <c r="BR223" s="302"/>
      <c r="BS223" s="302"/>
      <c r="BT223" s="302"/>
      <c r="BU223" s="302"/>
      <c r="BV223" s="302"/>
      <c r="BW223" s="302"/>
      <c r="BX223" s="302"/>
      <c r="BY223" s="302"/>
      <c r="BZ223" s="302"/>
      <c r="CA223" s="302"/>
    </row>
    <row r="224" spans="1:79" ht="15.6" customHeight="1">
      <c r="A224" s="25"/>
      <c r="B224" s="25"/>
      <c r="C224" s="25"/>
      <c r="D224" s="295"/>
      <c r="E224" s="295"/>
      <c r="F224" s="295"/>
      <c r="G224" s="295"/>
      <c r="H224" s="295"/>
      <c r="I224" s="25"/>
      <c r="J224" s="25"/>
      <c r="K224" s="25"/>
      <c r="L224" s="777">
        <v>5</v>
      </c>
      <c r="M224" s="778"/>
      <c r="N224" s="976">
        <v>210</v>
      </c>
      <c r="O224" s="1020">
        <v>167</v>
      </c>
      <c r="P224" s="847">
        <f>VLOOKUP(N224,etat!$A$9:$N$1004,2,FALSE)</f>
        <v>0</v>
      </c>
      <c r="Q224" s="797" t="str">
        <f>VLOOKUP(N224,etat!$A$9:$N$963,7,FALSE)</f>
        <v>2ت ر طرا</v>
      </c>
      <c r="R224" s="866" t="str">
        <f>VLOOKUP(N224,etat!$A$9:$N$1003,9,FALSE)</f>
        <v>خ</v>
      </c>
      <c r="S224" s="866" t="str">
        <f>VLOOKUP(N224,etat!$A$9:$P$905,16,FALSE)</f>
        <v>اخ3</v>
      </c>
      <c r="T224" s="755">
        <v>45782</v>
      </c>
      <c r="U224" s="791">
        <v>1</v>
      </c>
      <c r="V224" s="784"/>
      <c r="W224" s="784"/>
      <c r="X224" s="784"/>
      <c r="Y224" s="975"/>
      <c r="Z224" s="975"/>
      <c r="AA224" s="967">
        <v>4</v>
      </c>
      <c r="AB224" s="302"/>
      <c r="AC224" s="302"/>
      <c r="AD224" s="302"/>
      <c r="AE224" s="302"/>
      <c r="AF224" s="302"/>
      <c r="AG224" s="302"/>
      <c r="AH224" s="302"/>
      <c r="AI224" s="302"/>
      <c r="AJ224" s="302"/>
      <c r="AK224" s="302"/>
      <c r="AL224" s="302"/>
      <c r="AM224" s="302"/>
      <c r="AN224" s="302"/>
      <c r="AO224" s="302"/>
      <c r="AP224" s="302"/>
      <c r="AQ224" s="302"/>
      <c r="AR224" s="302"/>
      <c r="AS224" s="302"/>
      <c r="AT224" s="302"/>
      <c r="AU224" s="302"/>
      <c r="AV224" s="302"/>
      <c r="AW224" s="302"/>
      <c r="AX224" s="302"/>
      <c r="AY224" s="302"/>
      <c r="AZ224" s="302"/>
      <c r="BA224" s="302"/>
      <c r="BB224" s="302"/>
      <c r="BC224" s="302"/>
      <c r="BD224" s="302"/>
      <c r="BE224" s="302"/>
      <c r="BF224" s="302"/>
      <c r="BG224" s="302"/>
      <c r="BH224" s="302"/>
      <c r="BI224" s="302"/>
      <c r="BJ224" s="302"/>
      <c r="BK224" s="302"/>
      <c r="BL224" s="302"/>
      <c r="BM224" s="302"/>
      <c r="BN224" s="302"/>
      <c r="BO224" s="302"/>
      <c r="BP224" s="302"/>
      <c r="BQ224" s="302"/>
      <c r="BR224" s="302"/>
      <c r="BS224" s="302"/>
      <c r="BT224" s="302"/>
      <c r="BU224" s="302"/>
      <c r="BV224" s="302"/>
      <c r="BW224" s="302"/>
      <c r="BX224" s="302"/>
      <c r="BY224" s="302"/>
      <c r="BZ224" s="302"/>
      <c r="CA224" s="302"/>
    </row>
    <row r="225" spans="1:79" s="913" customFormat="1" ht="15.6" customHeight="1">
      <c r="A225" s="25"/>
      <c r="B225" s="25"/>
      <c r="C225" s="25"/>
      <c r="D225" s="295"/>
      <c r="E225" s="295"/>
      <c r="F225" s="295"/>
      <c r="G225" s="295"/>
      <c r="H225" s="295"/>
      <c r="I225" s="25"/>
      <c r="J225" s="25"/>
      <c r="K225" s="25"/>
      <c r="L225" s="777">
        <v>5</v>
      </c>
      <c r="M225" s="778"/>
      <c r="N225" s="976">
        <v>211</v>
      </c>
      <c r="O225" s="1020">
        <v>168</v>
      </c>
      <c r="P225" s="1121">
        <f>VLOOKUP(N225,etat!$A$9:$N$1004,2,FALSE)</f>
        <v>0</v>
      </c>
      <c r="Q225" s="797" t="str">
        <f>VLOOKUP(N225,etat!$A$9:$N$963,7,FALSE)</f>
        <v>2ت ر طرا</v>
      </c>
      <c r="R225" s="866" t="str">
        <f>VLOOKUP(N225,etat!$A$9:$N$1003,9,FALSE)</f>
        <v>خ</v>
      </c>
      <c r="S225" s="866" t="str">
        <f>VLOOKUP(N225,etat!$A$9:$P$905,16,FALSE)</f>
        <v>اخ3</v>
      </c>
      <c r="T225" s="755">
        <v>45782</v>
      </c>
      <c r="U225" s="791">
        <v>1</v>
      </c>
      <c r="V225" s="784"/>
      <c r="W225" s="784"/>
      <c r="X225" s="784"/>
      <c r="Y225" s="975"/>
      <c r="Z225" s="975"/>
      <c r="AA225" s="967">
        <v>4</v>
      </c>
      <c r="AB225" s="302"/>
      <c r="AC225" s="302"/>
      <c r="AD225" s="302"/>
      <c r="AE225" s="302"/>
      <c r="AF225" s="302"/>
      <c r="AG225" s="302"/>
      <c r="AH225" s="302"/>
      <c r="AI225" s="302"/>
      <c r="AJ225" s="302"/>
      <c r="AK225" s="302"/>
      <c r="AL225" s="302"/>
      <c r="AM225" s="302"/>
      <c r="AN225" s="302"/>
      <c r="AO225" s="302"/>
      <c r="AP225" s="302"/>
      <c r="AQ225" s="302"/>
      <c r="AR225" s="302"/>
      <c r="AS225" s="302"/>
      <c r="AT225" s="302"/>
      <c r="AU225" s="302"/>
      <c r="AV225" s="302"/>
      <c r="AW225" s="302"/>
      <c r="AX225" s="302"/>
      <c r="AY225" s="302"/>
      <c r="AZ225" s="302"/>
      <c r="BA225" s="302"/>
      <c r="BB225" s="302"/>
      <c r="BC225" s="302"/>
      <c r="BD225" s="302"/>
      <c r="BE225" s="302"/>
      <c r="BF225" s="302"/>
      <c r="BG225" s="302"/>
      <c r="BH225" s="302"/>
      <c r="BI225" s="302"/>
      <c r="BJ225" s="302"/>
      <c r="BK225" s="302"/>
      <c r="BL225" s="302"/>
      <c r="BM225" s="302"/>
      <c r="BN225" s="302"/>
      <c r="BO225" s="302"/>
      <c r="BP225" s="302"/>
      <c r="BQ225" s="302"/>
      <c r="BR225" s="302"/>
      <c r="BS225" s="302"/>
      <c r="BT225" s="302"/>
      <c r="BU225" s="302"/>
      <c r="BV225" s="302"/>
      <c r="BW225" s="302"/>
      <c r="BX225" s="302"/>
      <c r="BY225" s="302"/>
      <c r="BZ225" s="302"/>
      <c r="CA225" s="302"/>
    </row>
    <row r="226" spans="1:79" s="1110" customFormat="1" ht="15.6" customHeight="1">
      <c r="A226" s="25"/>
      <c r="B226" s="25"/>
      <c r="C226" s="25"/>
      <c r="D226" s="295"/>
      <c r="E226" s="295"/>
      <c r="F226" s="295"/>
      <c r="G226" s="295"/>
      <c r="H226" s="295"/>
      <c r="I226" s="25"/>
      <c r="J226" s="25"/>
      <c r="K226" s="25"/>
      <c r="L226" s="777">
        <v>5</v>
      </c>
      <c r="M226" s="778"/>
      <c r="N226" s="976">
        <v>213</v>
      </c>
      <c r="O226" s="1020">
        <v>169</v>
      </c>
      <c r="P226" s="1121">
        <f>VLOOKUP(N226,etat!$A$9:$N$1004,2,FALSE)</f>
        <v>0</v>
      </c>
      <c r="Q226" s="797" t="str">
        <f>VLOOKUP(N226,etat!$A$9:$N$963,7,FALSE)</f>
        <v>2ت ر طرا</v>
      </c>
      <c r="R226" s="866" t="str">
        <f>VLOOKUP(N226,etat!$A$9:$N$1003,9,FALSE)</f>
        <v>خ</v>
      </c>
      <c r="S226" s="866" t="str">
        <f>VLOOKUP(N226,etat!$A$9:$P$905,16,FALSE)</f>
        <v>اخ3</v>
      </c>
      <c r="T226" s="755">
        <v>45782</v>
      </c>
      <c r="U226" s="791">
        <v>1</v>
      </c>
      <c r="V226" s="784"/>
      <c r="W226" s="784"/>
      <c r="X226" s="784"/>
      <c r="Y226" s="975"/>
      <c r="Z226" s="967"/>
      <c r="AA226" s="967">
        <v>4</v>
      </c>
      <c r="AB226" s="302"/>
      <c r="AC226" s="302"/>
      <c r="AD226" s="302"/>
      <c r="AE226" s="302"/>
      <c r="AF226" s="302"/>
      <c r="AG226" s="302"/>
      <c r="AH226" s="302"/>
      <c r="AI226" s="302"/>
      <c r="AJ226" s="302"/>
      <c r="AK226" s="302"/>
      <c r="AL226" s="302"/>
      <c r="AM226" s="302"/>
      <c r="AN226" s="302"/>
      <c r="AO226" s="302"/>
      <c r="AP226" s="302"/>
      <c r="AQ226" s="302"/>
      <c r="AR226" s="302"/>
      <c r="AS226" s="302"/>
      <c r="AT226" s="302"/>
      <c r="AU226" s="302"/>
      <c r="AV226" s="302"/>
      <c r="AW226" s="302"/>
      <c r="AX226" s="302"/>
      <c r="AY226" s="302"/>
      <c r="AZ226" s="302"/>
      <c r="BA226" s="302"/>
      <c r="BB226" s="302"/>
      <c r="BC226" s="302"/>
      <c r="BD226" s="302"/>
      <c r="BE226" s="302"/>
      <c r="BF226" s="302"/>
      <c r="BG226" s="302"/>
      <c r="BH226" s="302"/>
      <c r="BI226" s="302"/>
      <c r="BJ226" s="302"/>
      <c r="BK226" s="302"/>
      <c r="BL226" s="302"/>
      <c r="BM226" s="302"/>
      <c r="BN226" s="302"/>
      <c r="BO226" s="302"/>
      <c r="BP226" s="302"/>
      <c r="BQ226" s="302"/>
      <c r="BR226" s="302"/>
      <c r="BS226" s="302"/>
      <c r="BT226" s="302"/>
      <c r="BU226" s="302"/>
      <c r="BV226" s="302"/>
      <c r="BW226" s="302"/>
      <c r="BX226" s="302"/>
      <c r="BY226" s="302"/>
      <c r="BZ226" s="302"/>
      <c r="CA226" s="302"/>
    </row>
    <row r="227" spans="1:79" s="1110" customFormat="1" ht="15.6" customHeight="1">
      <c r="A227" s="25"/>
      <c r="B227" s="25"/>
      <c r="C227" s="25"/>
      <c r="D227" s="295"/>
      <c r="E227" s="295"/>
      <c r="F227" s="295"/>
      <c r="G227" s="295"/>
      <c r="H227" s="295"/>
      <c r="I227" s="25"/>
      <c r="J227" s="25"/>
      <c r="K227" s="25"/>
      <c r="L227" s="777">
        <v>5</v>
      </c>
      <c r="M227" s="778"/>
      <c r="N227" s="976">
        <v>215</v>
      </c>
      <c r="O227" s="1020">
        <v>170</v>
      </c>
      <c r="P227" s="858">
        <f>VLOOKUP(N227,etat!$A$9:$N$1004,2,FALSE)</f>
        <v>0</v>
      </c>
      <c r="Q227" s="797" t="str">
        <f>VLOOKUP(N227,etat!$A$9:$N$963,7,FALSE)</f>
        <v>2ت ر طرا</v>
      </c>
      <c r="R227" s="928" t="str">
        <f>VLOOKUP(N227,etat!$A$9:$N$1003,9,FALSE)</f>
        <v>خ</v>
      </c>
      <c r="S227" s="866" t="str">
        <f>VLOOKUP(N227,etat!$A$9:$P$905,16,FALSE)</f>
        <v>اخ3</v>
      </c>
      <c r="T227" s="755">
        <v>45771</v>
      </c>
      <c r="U227" s="791">
        <v>13</v>
      </c>
      <c r="V227" s="784" t="s">
        <v>2280</v>
      </c>
      <c r="W227" s="784" t="s">
        <v>2283</v>
      </c>
      <c r="X227" s="784"/>
      <c r="Y227" s="975"/>
      <c r="Z227" s="975"/>
      <c r="AA227" s="967">
        <v>4</v>
      </c>
      <c r="AB227" s="302"/>
      <c r="AC227" s="302"/>
      <c r="AD227" s="302"/>
      <c r="AE227" s="302"/>
      <c r="AF227" s="302"/>
      <c r="AG227" s="302"/>
      <c r="AH227" s="302"/>
      <c r="AI227" s="302"/>
      <c r="AJ227" s="302"/>
      <c r="AK227" s="302"/>
      <c r="AL227" s="302"/>
      <c r="AM227" s="302"/>
      <c r="AN227" s="302"/>
      <c r="AO227" s="302"/>
      <c r="AP227" s="302"/>
      <c r="AQ227" s="302"/>
      <c r="AR227" s="302"/>
      <c r="AS227" s="302"/>
      <c r="AT227" s="302"/>
      <c r="AU227" s="302"/>
      <c r="AV227" s="302"/>
      <c r="AW227" s="302"/>
      <c r="AX227" s="302"/>
      <c r="AY227" s="302"/>
      <c r="AZ227" s="302"/>
      <c r="BA227" s="302"/>
      <c r="BB227" s="302"/>
      <c r="BC227" s="302"/>
      <c r="BD227" s="302"/>
      <c r="BE227" s="302"/>
      <c r="BF227" s="302"/>
      <c r="BG227" s="302"/>
      <c r="BH227" s="302"/>
      <c r="BI227" s="302"/>
      <c r="BJ227" s="302"/>
      <c r="BK227" s="302"/>
      <c r="BL227" s="302"/>
      <c r="BM227" s="302"/>
      <c r="BN227" s="302"/>
      <c r="BO227" s="302"/>
      <c r="BP227" s="302"/>
      <c r="BQ227" s="302"/>
      <c r="BR227" s="302"/>
      <c r="BS227" s="302"/>
      <c r="BT227" s="302"/>
      <c r="BU227" s="302"/>
      <c r="BV227" s="302"/>
      <c r="BW227" s="302"/>
      <c r="BX227" s="302"/>
      <c r="BY227" s="302"/>
      <c r="BZ227" s="302"/>
      <c r="CA227" s="302"/>
    </row>
    <row r="228" spans="1:79" ht="15.6" customHeight="1">
      <c r="A228" s="25"/>
      <c r="B228" s="25"/>
      <c r="C228" s="25"/>
      <c r="D228" s="295"/>
      <c r="E228" s="295"/>
      <c r="F228" s="295"/>
      <c r="G228" s="295"/>
      <c r="H228" s="295"/>
      <c r="I228" s="25"/>
      <c r="J228" s="25"/>
      <c r="K228" s="25"/>
      <c r="L228" s="777">
        <v>5</v>
      </c>
      <c r="M228" s="778"/>
      <c r="N228" s="976">
        <v>217</v>
      </c>
      <c r="O228" s="1020">
        <v>171</v>
      </c>
      <c r="P228" s="847">
        <f>VLOOKUP(N228,etat!$A$9:$N$1004,2,FALSE)</f>
        <v>0</v>
      </c>
      <c r="Q228" s="797" t="str">
        <f>VLOOKUP(N228,etat!$A$9:$N$963,7,FALSE)</f>
        <v>2ت ر طرا</v>
      </c>
      <c r="R228" s="797" t="str">
        <f>VLOOKUP(N228,etat!$A$9:$N$1003,9,FALSE)</f>
        <v>خ</v>
      </c>
      <c r="S228" s="866" t="str">
        <f>VLOOKUP(N228,etat!$A$9:$P$905,16,FALSE)</f>
        <v>ان/د3</v>
      </c>
      <c r="T228" s="755">
        <v>45782</v>
      </c>
      <c r="U228" s="791">
        <v>1</v>
      </c>
      <c r="V228" s="784"/>
      <c r="W228" s="784"/>
      <c r="X228" s="784"/>
      <c r="Y228" s="975"/>
      <c r="Z228" s="967"/>
      <c r="AA228" s="967">
        <v>4</v>
      </c>
      <c r="AB228" s="302"/>
      <c r="AC228" s="302"/>
      <c r="AD228" s="302"/>
      <c r="AE228" s="302"/>
      <c r="AF228" s="302"/>
      <c r="AG228" s="302"/>
      <c r="AH228" s="302"/>
      <c r="AI228" s="302"/>
      <c r="AJ228" s="302"/>
      <c r="AK228" s="302"/>
      <c r="AL228" s="302"/>
      <c r="AM228" s="302"/>
      <c r="AN228" s="302"/>
      <c r="AO228" s="302"/>
      <c r="AP228" s="302"/>
      <c r="AQ228" s="302"/>
      <c r="AR228" s="302"/>
      <c r="AS228" s="302"/>
      <c r="AT228" s="302"/>
      <c r="AU228" s="302"/>
      <c r="AV228" s="302"/>
      <c r="AW228" s="302"/>
      <c r="BC228" s="302"/>
      <c r="BD228" s="302"/>
      <c r="BE228" s="302"/>
      <c r="BF228" s="302"/>
      <c r="BG228" s="302"/>
      <c r="BH228" s="302"/>
      <c r="BI228" s="302"/>
      <c r="BJ228" s="302"/>
      <c r="BK228" s="302"/>
      <c r="BL228" s="302"/>
      <c r="BM228" s="302"/>
      <c r="BN228" s="302"/>
      <c r="BO228" s="302"/>
      <c r="BP228" s="302"/>
      <c r="BQ228" s="302"/>
      <c r="BR228" s="302"/>
      <c r="BS228" s="302"/>
      <c r="BT228" s="302"/>
      <c r="BU228" s="302"/>
      <c r="BV228" s="302"/>
      <c r="BW228" s="302"/>
      <c r="BX228" s="302"/>
      <c r="BY228" s="302"/>
      <c r="BZ228" s="302"/>
      <c r="CA228" s="302"/>
    </row>
    <row r="229" spans="1:79" s="913" customFormat="1" ht="15.6" customHeight="1">
      <c r="A229" s="25"/>
      <c r="B229" s="25"/>
      <c r="C229" s="25"/>
      <c r="D229" s="295"/>
      <c r="E229" s="295"/>
      <c r="F229" s="295"/>
      <c r="G229" s="295"/>
      <c r="H229" s="295"/>
      <c r="I229" s="25"/>
      <c r="J229" s="25"/>
      <c r="K229" s="25"/>
      <c r="L229" s="777">
        <v>5</v>
      </c>
      <c r="M229" s="778"/>
      <c r="N229" s="976">
        <v>218</v>
      </c>
      <c r="O229" s="1020">
        <v>172</v>
      </c>
      <c r="P229" s="847">
        <f>VLOOKUP(N229,etat!$A$9:$N$1004,2,FALSE)</f>
        <v>0</v>
      </c>
      <c r="Q229" s="797" t="str">
        <f>VLOOKUP(N229,etat!$A$9:$N$963,7,FALSE)</f>
        <v>2ت ا ق1</v>
      </c>
      <c r="R229" s="797" t="str">
        <f>VLOOKUP(N229,etat!$A$9:$N$1003,9,FALSE)</f>
        <v>ن/د</v>
      </c>
      <c r="S229" s="866" t="str">
        <f>VLOOKUP(N229,etat!$A$9:$P$905,16,FALSE)</f>
        <v>ان/د3</v>
      </c>
      <c r="T229" s="755">
        <v>45782</v>
      </c>
      <c r="U229" s="791">
        <v>1</v>
      </c>
      <c r="V229" s="784"/>
      <c r="W229" s="784"/>
      <c r="X229" s="784"/>
      <c r="Y229" s="975"/>
      <c r="Z229" s="975" t="str">
        <f>VLOOKUP(L229,[2]اس!$S$3:$X$31,3,FALSE)</f>
        <v>.</v>
      </c>
      <c r="AA229" s="967">
        <v>4</v>
      </c>
      <c r="AB229" s="302"/>
      <c r="AC229" s="302"/>
      <c r="AD229" s="302"/>
      <c r="AE229" s="302"/>
      <c r="AF229" s="302"/>
      <c r="AG229" s="302"/>
      <c r="AH229" s="302"/>
      <c r="AI229" s="302"/>
      <c r="AJ229" s="302"/>
      <c r="AK229" s="302"/>
      <c r="AL229" s="302"/>
      <c r="AM229" s="302"/>
      <c r="AN229" s="302"/>
      <c r="AO229" s="302"/>
      <c r="AP229" s="302"/>
      <c r="AQ229" s="302"/>
      <c r="AR229" s="302"/>
      <c r="AS229" s="302"/>
      <c r="AT229" s="302"/>
      <c r="AU229" s="302"/>
      <c r="AV229" s="302"/>
      <c r="AW229" s="302"/>
      <c r="BC229" s="302"/>
      <c r="BD229" s="302"/>
      <c r="BE229" s="302"/>
      <c r="BF229" s="302"/>
      <c r="BG229" s="302"/>
      <c r="BH229" s="302"/>
      <c r="BI229" s="302"/>
      <c r="BJ229" s="302"/>
      <c r="BK229" s="302"/>
      <c r="BL229" s="302"/>
      <c r="BM229" s="302"/>
      <c r="BN229" s="302"/>
      <c r="BO229" s="302"/>
      <c r="BP229" s="302"/>
      <c r="BQ229" s="302"/>
      <c r="BR229" s="302"/>
      <c r="BS229" s="302"/>
      <c r="BT229" s="302"/>
      <c r="BU229" s="302"/>
      <c r="BV229" s="302"/>
      <c r="BW229" s="302"/>
      <c r="BX229" s="302"/>
      <c r="BY229" s="302"/>
      <c r="BZ229" s="302"/>
      <c r="CA229" s="302"/>
    </row>
    <row r="230" spans="1:79" ht="15.6" customHeight="1">
      <c r="A230" s="25"/>
      <c r="B230" s="25"/>
      <c r="C230" s="25"/>
      <c r="D230" s="295"/>
      <c r="E230" s="295"/>
      <c r="F230" s="295"/>
      <c r="G230" s="295"/>
      <c r="H230" s="295"/>
      <c r="I230" s="25"/>
      <c r="J230" s="25"/>
      <c r="K230" s="25"/>
      <c r="L230" s="777">
        <v>5</v>
      </c>
      <c r="M230" s="778"/>
      <c r="N230" s="976">
        <v>219</v>
      </c>
      <c r="O230" s="1020">
        <v>173</v>
      </c>
      <c r="P230" s="268">
        <f>VLOOKUP(N230,etat!$A$9:$N$1004,2,FALSE)</f>
        <v>0</v>
      </c>
      <c r="Q230" s="797" t="str">
        <f>VLOOKUP(N230,etat!$A$9:$N$963,7,FALSE)</f>
        <v>2ت ا ق1</v>
      </c>
      <c r="R230" s="928" t="str">
        <f>VLOOKUP(N230,etat!$A$9:$N$1003,9,FALSE)</f>
        <v>ن/د</v>
      </c>
      <c r="S230" s="866" t="str">
        <f>VLOOKUP(N230,etat!$A$9:$P$905,16,FALSE)</f>
        <v>ان/د3</v>
      </c>
      <c r="T230" s="755">
        <v>45781</v>
      </c>
      <c r="U230" s="791">
        <v>3</v>
      </c>
      <c r="V230" s="784" t="s">
        <v>2285</v>
      </c>
      <c r="W230" s="784"/>
      <c r="X230" s="784"/>
      <c r="Y230" s="975"/>
      <c r="Z230" s="975"/>
      <c r="AA230" s="967">
        <v>4</v>
      </c>
      <c r="AB230" s="302"/>
      <c r="AC230" s="302"/>
      <c r="AD230" s="302"/>
      <c r="AE230" s="302"/>
      <c r="AF230" s="302"/>
      <c r="AG230" s="302"/>
      <c r="AH230" s="302"/>
      <c r="AI230" s="302"/>
      <c r="AJ230" s="302"/>
      <c r="AK230" s="302"/>
      <c r="AL230" s="302"/>
      <c r="AM230" s="302"/>
      <c r="AN230" s="302"/>
      <c r="AO230" s="302"/>
      <c r="AP230" s="302"/>
      <c r="AQ230" s="302"/>
      <c r="AR230" s="302"/>
      <c r="AS230" s="302"/>
      <c r="AT230" s="302"/>
      <c r="AU230" s="302"/>
      <c r="AV230" s="302"/>
      <c r="AW230" s="302"/>
      <c r="BC230" s="302"/>
      <c r="BD230" s="302"/>
      <c r="BE230" s="302"/>
      <c r="BF230" s="302"/>
      <c r="BG230" s="302"/>
      <c r="BH230" s="302"/>
      <c r="BI230" s="302"/>
      <c r="BJ230" s="302"/>
      <c r="BK230" s="302"/>
      <c r="BL230" s="302"/>
      <c r="BM230" s="302"/>
      <c r="BN230" s="302"/>
      <c r="BO230" s="302"/>
      <c r="BP230" s="302"/>
      <c r="BQ230" s="302"/>
      <c r="BR230" s="302"/>
      <c r="BS230" s="302"/>
      <c r="BT230" s="302"/>
      <c r="BU230" s="302"/>
      <c r="BV230" s="302"/>
      <c r="BW230" s="302"/>
      <c r="BX230" s="302"/>
      <c r="BY230" s="302"/>
      <c r="BZ230" s="302"/>
      <c r="CA230" s="302"/>
    </row>
    <row r="231" spans="1:79" s="1096" customFormat="1" ht="15.6" customHeight="1">
      <c r="A231" s="25"/>
      <c r="B231" s="25"/>
      <c r="C231" s="25"/>
      <c r="D231" s="295"/>
      <c r="E231" s="295"/>
      <c r="F231" s="295"/>
      <c r="G231" s="295"/>
      <c r="H231" s="295"/>
      <c r="I231" s="25"/>
      <c r="J231" s="25"/>
      <c r="K231" s="25"/>
      <c r="L231" s="777">
        <v>5</v>
      </c>
      <c r="M231" s="778"/>
      <c r="N231" s="976">
        <v>220</v>
      </c>
      <c r="O231" s="1020">
        <v>174</v>
      </c>
      <c r="P231" s="847">
        <f>VLOOKUP(N231,etat!$A$9:$N$1004,2,FALSE)</f>
        <v>0</v>
      </c>
      <c r="Q231" s="797" t="str">
        <f>VLOOKUP(N231,etat!$A$9:$N$963,7,FALSE)</f>
        <v>2ت ا ق1</v>
      </c>
      <c r="R231" s="866" t="str">
        <f>VLOOKUP(N231,etat!$A$9:$N$1003,9,FALSE)</f>
        <v>ن/د</v>
      </c>
      <c r="S231" s="866" t="str">
        <f>VLOOKUP(N231,etat!$A$9:$P$905,16,FALSE)</f>
        <v>اخ3</v>
      </c>
      <c r="T231" s="755">
        <v>45782</v>
      </c>
      <c r="U231" s="791">
        <v>1</v>
      </c>
      <c r="V231" s="784"/>
      <c r="W231" s="784"/>
      <c r="X231" s="784"/>
      <c r="Y231" s="975"/>
      <c r="Z231" s="967"/>
      <c r="AA231" s="967">
        <v>4</v>
      </c>
      <c r="AB231" s="302"/>
      <c r="AC231" s="302"/>
      <c r="AD231" s="302"/>
      <c r="AE231" s="302"/>
      <c r="AF231" s="302"/>
      <c r="AG231" s="302"/>
      <c r="AH231" s="302"/>
      <c r="AI231" s="302"/>
      <c r="AJ231" s="302"/>
      <c r="AK231" s="302"/>
      <c r="AL231" s="302"/>
      <c r="AM231" s="302"/>
      <c r="AN231" s="302"/>
      <c r="AO231" s="302"/>
      <c r="AP231" s="302"/>
      <c r="AQ231" s="302"/>
      <c r="AR231" s="302"/>
      <c r="AS231" s="302"/>
      <c r="AT231" s="302"/>
      <c r="AU231" s="302"/>
      <c r="AV231" s="302"/>
      <c r="AW231" s="302"/>
      <c r="BC231" s="302"/>
      <c r="BD231" s="302"/>
      <c r="BE231" s="302"/>
      <c r="BF231" s="302"/>
      <c r="BG231" s="302"/>
      <c r="BH231" s="302"/>
      <c r="BI231" s="302"/>
      <c r="BJ231" s="302"/>
      <c r="BK231" s="302"/>
      <c r="BL231" s="302"/>
      <c r="BM231" s="302"/>
      <c r="BN231" s="302"/>
      <c r="BO231" s="302"/>
      <c r="BP231" s="302"/>
      <c r="BQ231" s="302"/>
      <c r="BR231" s="302"/>
      <c r="BS231" s="302"/>
      <c r="BT231" s="302"/>
      <c r="BU231" s="302"/>
      <c r="BV231" s="302"/>
      <c r="BW231" s="302"/>
      <c r="BX231" s="302"/>
      <c r="BY231" s="302"/>
      <c r="BZ231" s="302"/>
      <c r="CA231" s="302"/>
    </row>
    <row r="232" spans="1:79" s="1096" customFormat="1" ht="15.6" customHeight="1">
      <c r="A232" s="25"/>
      <c r="B232" s="25"/>
      <c r="C232" s="25"/>
      <c r="D232" s="295"/>
      <c r="E232" s="295"/>
      <c r="F232" s="295"/>
      <c r="G232" s="295"/>
      <c r="H232" s="295"/>
      <c r="I232" s="25"/>
      <c r="J232" s="25"/>
      <c r="K232" s="25"/>
      <c r="L232" s="777">
        <v>5</v>
      </c>
      <c r="M232" s="778"/>
      <c r="N232" s="976">
        <v>222</v>
      </c>
      <c r="O232" s="1020">
        <v>175</v>
      </c>
      <c r="P232" s="847">
        <f>VLOOKUP(N232,etat!$A$9:$N$1004,2,FALSE)</f>
        <v>0</v>
      </c>
      <c r="Q232" s="797" t="str">
        <f>VLOOKUP(N232,etat!$A$9:$N$963,7,FALSE)</f>
        <v>2ت ا ق1</v>
      </c>
      <c r="R232" s="866" t="str">
        <f>VLOOKUP(N232,etat!$A$9:$N$1003,9,FALSE)</f>
        <v>ن/د</v>
      </c>
      <c r="S232" s="866" t="str">
        <f>VLOOKUP(N232,etat!$A$9:$P$905,16,FALSE)</f>
        <v>اخ3</v>
      </c>
      <c r="T232" s="755">
        <v>45775</v>
      </c>
      <c r="U232" s="791">
        <v>9</v>
      </c>
      <c r="V232" s="784" t="s">
        <v>2282</v>
      </c>
      <c r="W232" s="869"/>
      <c r="X232" s="869"/>
      <c r="Y232" s="975"/>
      <c r="Z232" s="975"/>
      <c r="AA232" s="967">
        <v>4</v>
      </c>
      <c r="AB232" s="302"/>
      <c r="AC232" s="302"/>
      <c r="AD232" s="302"/>
      <c r="AE232" s="302"/>
      <c r="AF232" s="302"/>
      <c r="AG232" s="302"/>
      <c r="AH232" s="302"/>
      <c r="AI232" s="302"/>
      <c r="AJ232" s="302"/>
      <c r="AK232" s="302"/>
      <c r="AL232" s="302"/>
      <c r="AM232" s="302"/>
      <c r="AN232" s="302"/>
      <c r="AO232" s="302"/>
      <c r="AP232" s="302"/>
      <c r="AQ232" s="302"/>
      <c r="AR232" s="302"/>
      <c r="AS232" s="302"/>
      <c r="AT232" s="302"/>
      <c r="AU232" s="302"/>
      <c r="AV232" s="302"/>
      <c r="AW232" s="302"/>
      <c r="BC232" s="302"/>
      <c r="BD232" s="302"/>
      <c r="BE232" s="302"/>
      <c r="BF232" s="302"/>
      <c r="BG232" s="302"/>
      <c r="BH232" s="302"/>
      <c r="BI232" s="302"/>
      <c r="BJ232" s="302"/>
      <c r="BK232" s="302"/>
      <c r="BL232" s="302"/>
      <c r="BM232" s="302"/>
      <c r="BN232" s="302"/>
      <c r="BO232" s="302"/>
      <c r="BP232" s="302"/>
      <c r="BQ232" s="302"/>
      <c r="BR232" s="302"/>
      <c r="BS232" s="302"/>
      <c r="BT232" s="302"/>
      <c r="BU232" s="302"/>
      <c r="BV232" s="302"/>
      <c r="BW232" s="302"/>
      <c r="BX232" s="302"/>
      <c r="BY232" s="302"/>
      <c r="BZ232" s="302"/>
      <c r="CA232" s="302"/>
    </row>
    <row r="233" spans="1:79" s="1122" customFormat="1" ht="15.6" customHeight="1">
      <c r="A233" s="25"/>
      <c r="B233" s="25"/>
      <c r="C233" s="25"/>
      <c r="D233" s="295"/>
      <c r="E233" s="295"/>
      <c r="F233" s="295"/>
      <c r="G233" s="295"/>
      <c r="H233" s="295"/>
      <c r="I233" s="25"/>
      <c r="J233" s="25"/>
      <c r="K233" s="25"/>
      <c r="L233" s="777">
        <v>5</v>
      </c>
      <c r="M233" s="778"/>
      <c r="N233" s="976">
        <v>223</v>
      </c>
      <c r="O233" s="1020">
        <v>176</v>
      </c>
      <c r="P233" s="268">
        <f>VLOOKUP(N233,etat!$A$9:$N$1004,2,FALSE)</f>
        <v>0</v>
      </c>
      <c r="Q233" s="797" t="str">
        <f>VLOOKUP(N233,etat!$A$9:$N$963,7,FALSE)</f>
        <v>2ت ا ق1</v>
      </c>
      <c r="R233" s="928" t="str">
        <f>VLOOKUP(N233,etat!$A$9:$N$1003,9,FALSE)</f>
        <v>ن/د</v>
      </c>
      <c r="S233" s="866" t="str">
        <f>VLOOKUP(N233,etat!$A$9:$P$905,16,FALSE)</f>
        <v>ذخ3</v>
      </c>
      <c r="T233" s="755">
        <v>45770</v>
      </c>
      <c r="U233" s="791">
        <v>14</v>
      </c>
      <c r="V233" s="784" t="s">
        <v>2280</v>
      </c>
      <c r="W233" s="784" t="s">
        <v>2283</v>
      </c>
      <c r="X233" s="784"/>
      <c r="Y233" s="1119"/>
      <c r="Z233" s="975"/>
      <c r="AA233" s="967">
        <v>4</v>
      </c>
      <c r="AB233" s="302"/>
      <c r="AC233" s="302"/>
      <c r="AD233" s="302"/>
      <c r="AE233" s="302"/>
      <c r="AF233" s="302"/>
      <c r="AG233" s="302"/>
      <c r="AH233" s="302"/>
      <c r="AI233" s="302"/>
      <c r="AJ233" s="302"/>
      <c r="AK233" s="302"/>
      <c r="AL233" s="302"/>
      <c r="AM233" s="302"/>
      <c r="AN233" s="302"/>
      <c r="AO233" s="302"/>
      <c r="AP233" s="302"/>
      <c r="AQ233" s="302"/>
      <c r="AR233" s="302"/>
      <c r="AS233" s="302"/>
      <c r="AT233" s="302"/>
      <c r="AU233" s="302"/>
      <c r="AV233" s="302"/>
      <c r="AW233" s="302"/>
      <c r="BC233" s="302"/>
      <c r="BD233" s="302"/>
      <c r="BE233" s="302"/>
      <c r="BF233" s="302"/>
      <c r="BG233" s="302"/>
      <c r="BH233" s="302"/>
      <c r="BI233" s="302"/>
      <c r="BJ233" s="302"/>
      <c r="BK233" s="302"/>
      <c r="BL233" s="302"/>
      <c r="BM233" s="302"/>
      <c r="BN233" s="302"/>
      <c r="BO233" s="302"/>
      <c r="BP233" s="302"/>
      <c r="BQ233" s="302"/>
      <c r="BR233" s="302"/>
      <c r="BS233" s="302"/>
      <c r="BT233" s="302"/>
      <c r="BU233" s="302"/>
      <c r="BV233" s="302"/>
      <c r="BW233" s="302"/>
      <c r="BX233" s="302"/>
      <c r="BY233" s="302"/>
      <c r="BZ233" s="302"/>
      <c r="CA233" s="302"/>
    </row>
    <row r="234" spans="1:79" s="1096" customFormat="1" ht="15.6" customHeight="1">
      <c r="A234" s="25"/>
      <c r="B234" s="25"/>
      <c r="C234" s="25"/>
      <c r="D234" s="295"/>
      <c r="E234" s="295"/>
      <c r="F234" s="295"/>
      <c r="G234" s="295"/>
      <c r="H234" s="295"/>
      <c r="I234" s="25"/>
      <c r="J234" s="25"/>
      <c r="K234" s="25"/>
      <c r="L234" s="777">
        <v>5</v>
      </c>
      <c r="M234" s="778"/>
      <c r="N234" s="976">
        <v>224</v>
      </c>
      <c r="O234" s="1020">
        <v>177</v>
      </c>
      <c r="P234" s="847">
        <f>VLOOKUP(N234,etat!$A$9:$N$1004,2,FALSE)</f>
        <v>0</v>
      </c>
      <c r="Q234" s="797" t="str">
        <f>VLOOKUP(N234,etat!$A$9:$N$963,7,FALSE)</f>
        <v>2ت ا ق1</v>
      </c>
      <c r="R234" s="797" t="str">
        <f>VLOOKUP(N234,etat!$A$9:$N$1003,9,FALSE)</f>
        <v>خ</v>
      </c>
      <c r="S234" s="866" t="str">
        <f>VLOOKUP(N234,etat!$A$9:$P$905,16,FALSE)</f>
        <v>اخ3</v>
      </c>
      <c r="T234" s="755">
        <v>45782</v>
      </c>
      <c r="U234" s="791">
        <v>1</v>
      </c>
      <c r="V234" s="784"/>
      <c r="W234" s="784"/>
      <c r="X234" s="784"/>
      <c r="Y234" s="975"/>
      <c r="Z234" s="975"/>
      <c r="AA234" s="967">
        <v>4</v>
      </c>
      <c r="AB234" s="302"/>
      <c r="AC234" s="302"/>
      <c r="AD234" s="302"/>
      <c r="AE234" s="302"/>
      <c r="AF234" s="302"/>
      <c r="AG234" s="302"/>
      <c r="AH234" s="302"/>
      <c r="AI234" s="302"/>
      <c r="AJ234" s="302"/>
      <c r="AK234" s="302"/>
      <c r="AL234" s="302"/>
      <c r="AM234" s="302"/>
      <c r="AN234" s="302"/>
      <c r="AO234" s="302"/>
      <c r="AP234" s="302"/>
      <c r="AQ234" s="302"/>
      <c r="AR234" s="302"/>
      <c r="AS234" s="302"/>
      <c r="AT234" s="302"/>
      <c r="AU234" s="302"/>
      <c r="AV234" s="302"/>
      <c r="AW234" s="302"/>
      <c r="BC234" s="302"/>
      <c r="BD234" s="302"/>
      <c r="BE234" s="302"/>
      <c r="BF234" s="302"/>
      <c r="BG234" s="302"/>
      <c r="BH234" s="302"/>
      <c r="BI234" s="302"/>
      <c r="BJ234" s="302"/>
      <c r="BK234" s="302"/>
      <c r="BL234" s="302"/>
      <c r="BM234" s="302"/>
      <c r="BN234" s="302"/>
      <c r="BO234" s="302"/>
      <c r="BP234" s="302"/>
      <c r="BQ234" s="302"/>
      <c r="BR234" s="302"/>
      <c r="BS234" s="302"/>
      <c r="BT234" s="302"/>
      <c r="BU234" s="302"/>
      <c r="BV234" s="302"/>
      <c r="BW234" s="302"/>
      <c r="BX234" s="302"/>
      <c r="BY234" s="302"/>
      <c r="BZ234" s="302"/>
      <c r="CA234" s="302"/>
    </row>
    <row r="235" spans="1:79" ht="15.6" customHeight="1">
      <c r="A235" s="25"/>
      <c r="B235" s="25"/>
      <c r="C235" s="25"/>
      <c r="D235" s="295"/>
      <c r="E235" s="295"/>
      <c r="F235" s="295"/>
      <c r="G235" s="295"/>
      <c r="H235" s="295"/>
      <c r="I235" s="25"/>
      <c r="J235" s="25"/>
      <c r="K235" s="25"/>
      <c r="L235" s="777">
        <v>5</v>
      </c>
      <c r="M235" s="778"/>
      <c r="N235" s="976">
        <v>226</v>
      </c>
      <c r="O235" s="1020">
        <v>178</v>
      </c>
      <c r="P235" s="847">
        <f>VLOOKUP(N235,etat!$A$9:$N$1004,2,FALSE)</f>
        <v>0</v>
      </c>
      <c r="Q235" s="797" t="str">
        <f>VLOOKUP(N235,etat!$A$9:$N$963,7,FALSE)</f>
        <v>2ت ا ق1</v>
      </c>
      <c r="R235" s="866" t="str">
        <f>VLOOKUP(N235,etat!$A$9:$N$1003,9,FALSE)</f>
        <v>خ</v>
      </c>
      <c r="S235" s="866" t="str">
        <f>VLOOKUP(N235,etat!$A$9:$P$905,16,FALSE)</f>
        <v>اخ3</v>
      </c>
      <c r="T235" s="755">
        <v>45781</v>
      </c>
      <c r="U235" s="791">
        <v>3</v>
      </c>
      <c r="V235" s="784" t="s">
        <v>2285</v>
      </c>
      <c r="W235" s="784"/>
      <c r="X235" s="784"/>
      <c r="Y235" s="975"/>
      <c r="Z235" s="967"/>
      <c r="AA235" s="967">
        <v>4</v>
      </c>
      <c r="AB235" s="302"/>
      <c r="AC235" s="302"/>
      <c r="AD235" s="302"/>
      <c r="AE235" s="302"/>
      <c r="AF235" s="302"/>
      <c r="AG235" s="302"/>
      <c r="AH235" s="302"/>
      <c r="AI235" s="302"/>
      <c r="AJ235" s="302"/>
      <c r="AK235" s="302"/>
      <c r="AL235" s="302"/>
      <c r="AM235" s="302"/>
      <c r="AN235" s="302"/>
      <c r="AO235" s="302"/>
      <c r="AP235" s="302"/>
      <c r="AQ235" s="302"/>
      <c r="AR235" s="302"/>
      <c r="AS235" s="302"/>
      <c r="AT235" s="302"/>
      <c r="AU235" s="302"/>
      <c r="AV235" s="302"/>
      <c r="AW235" s="302"/>
    </row>
    <row r="236" spans="1:79" ht="15.6" customHeight="1">
      <c r="A236" s="25"/>
      <c r="B236" s="25"/>
      <c r="C236" s="25"/>
      <c r="D236" s="295"/>
      <c r="E236" s="295"/>
      <c r="F236" s="295"/>
      <c r="G236" s="295"/>
      <c r="H236" s="295"/>
      <c r="I236" s="25"/>
      <c r="J236" s="25"/>
      <c r="K236" s="25"/>
      <c r="L236" s="777">
        <v>5</v>
      </c>
      <c r="M236" s="778"/>
      <c r="N236" s="976">
        <v>229</v>
      </c>
      <c r="O236" s="1020">
        <v>179</v>
      </c>
      <c r="P236" s="847">
        <f>VLOOKUP(N236,etat!$A$9:$N$1004,2,FALSE)</f>
        <v>0</v>
      </c>
      <c r="Q236" s="797" t="str">
        <f>VLOOKUP(N236,etat!$A$9:$N$963,7,FALSE)</f>
        <v>2ت ا ق1</v>
      </c>
      <c r="R236" s="797" t="str">
        <f>VLOOKUP(N236,etat!$A$9:$N$1003,9,FALSE)</f>
        <v>خ</v>
      </c>
      <c r="S236" s="866" t="str">
        <f>VLOOKUP(N236,etat!$A$9:$P$905,16,FALSE)</f>
        <v>ذخ3</v>
      </c>
      <c r="T236" s="755">
        <v>45763</v>
      </c>
      <c r="U236" s="791">
        <v>21</v>
      </c>
      <c r="V236" s="784" t="s">
        <v>2269</v>
      </c>
      <c r="W236" s="784" t="s">
        <v>2280</v>
      </c>
      <c r="X236" s="784" t="s">
        <v>2283</v>
      </c>
      <c r="Y236" s="975"/>
      <c r="Z236" s="975"/>
      <c r="AA236" s="967">
        <v>4</v>
      </c>
      <c r="AB236" s="302"/>
      <c r="AC236" s="302"/>
      <c r="AD236" s="302"/>
      <c r="AE236" s="302"/>
      <c r="AF236" s="302"/>
      <c r="AG236" s="302"/>
      <c r="AH236" s="302"/>
      <c r="AI236" s="302"/>
      <c r="AJ236" s="302"/>
      <c r="AK236" s="302"/>
      <c r="AL236" s="302"/>
      <c r="AM236" s="302"/>
      <c r="AN236" s="302"/>
      <c r="AO236" s="302"/>
      <c r="AP236" s="302"/>
      <c r="AQ236" s="302"/>
      <c r="AR236" s="302"/>
      <c r="AS236" s="302"/>
      <c r="AT236" s="302"/>
      <c r="AU236" s="302"/>
      <c r="AV236" s="302"/>
      <c r="AW236" s="302"/>
    </row>
    <row r="237" spans="1:79" ht="15.6" customHeight="1">
      <c r="A237" s="25"/>
      <c r="B237" s="25"/>
      <c r="C237" s="25"/>
      <c r="D237" s="295"/>
      <c r="E237" s="295"/>
      <c r="F237" s="295"/>
      <c r="G237" s="295"/>
      <c r="H237" s="295"/>
      <c r="I237" s="25"/>
      <c r="J237" s="25"/>
      <c r="K237" s="25"/>
      <c r="L237" s="777">
        <v>5</v>
      </c>
      <c r="M237" s="778"/>
      <c r="N237" s="976">
        <v>230</v>
      </c>
      <c r="O237" s="1020">
        <v>180</v>
      </c>
      <c r="P237" s="847">
        <f>VLOOKUP(N237,etat!$A$9:$N$1004,2,FALSE)</f>
        <v>0</v>
      </c>
      <c r="Q237" s="797" t="str">
        <f>VLOOKUP(N237,etat!$A$9:$N$963,7,FALSE)</f>
        <v>2ت ا ق1</v>
      </c>
      <c r="R237" s="797" t="str">
        <f>VLOOKUP(N237,etat!$A$9:$N$1003,9,FALSE)</f>
        <v>خ</v>
      </c>
      <c r="S237" s="866" t="str">
        <f>VLOOKUP(N237,etat!$A$9:$P$905,16,FALSE)</f>
        <v>اخ3</v>
      </c>
      <c r="T237" s="755">
        <v>45763</v>
      </c>
      <c r="U237" s="791">
        <v>21</v>
      </c>
      <c r="V237" s="784" t="s">
        <v>2269</v>
      </c>
      <c r="W237" s="784" t="s">
        <v>2280</v>
      </c>
      <c r="X237" s="784" t="s">
        <v>2283</v>
      </c>
      <c r="Y237" s="975"/>
      <c r="Z237" s="975"/>
      <c r="AA237" s="967">
        <v>4</v>
      </c>
      <c r="AB237" s="302"/>
      <c r="AC237" s="302"/>
      <c r="AD237" s="302"/>
      <c r="AE237" s="302"/>
      <c r="AF237" s="302"/>
      <c r="AG237" s="302"/>
      <c r="AH237" s="302"/>
      <c r="AI237" s="302"/>
      <c r="AJ237" s="302"/>
      <c r="AK237" s="302"/>
      <c r="AL237" s="302"/>
      <c r="AM237" s="302"/>
      <c r="AN237" s="302"/>
      <c r="AO237" s="302"/>
      <c r="AP237" s="302"/>
      <c r="AQ237" s="302"/>
      <c r="AR237" s="302"/>
      <c r="AS237" s="302"/>
      <c r="AT237" s="302"/>
      <c r="AU237" s="302"/>
      <c r="AV237" s="302"/>
      <c r="AW237" s="302"/>
    </row>
    <row r="238" spans="1:79" ht="15.6" customHeight="1">
      <c r="A238" s="25"/>
      <c r="B238" s="25"/>
      <c r="C238" s="25"/>
      <c r="D238" s="295"/>
      <c r="E238" s="295"/>
      <c r="F238" s="295"/>
      <c r="G238" s="295"/>
      <c r="H238" s="295"/>
      <c r="I238" s="25"/>
      <c r="J238" s="25"/>
      <c r="K238" s="25"/>
      <c r="L238" s="777">
        <v>5</v>
      </c>
      <c r="M238" s="778"/>
      <c r="N238" s="976">
        <v>795</v>
      </c>
      <c r="O238" s="1020">
        <v>181</v>
      </c>
      <c r="P238" s="268">
        <f>VLOOKUP(N238,etat!$A$9:$N$1004,2,FALSE)</f>
        <v>0</v>
      </c>
      <c r="Q238" s="797">
        <f>VLOOKUP(N238,etat!$A$9:$N$963,7,FALSE)</f>
        <v>0</v>
      </c>
      <c r="R238" s="928">
        <f>VLOOKUP(N238,etat!$A$9:$N$1003,9,FALSE)</f>
        <v>0</v>
      </c>
      <c r="S238" s="866">
        <f>VLOOKUP(N238,etat!$A$9:$P$905,16,FALSE)</f>
        <v>0</v>
      </c>
      <c r="T238" s="755">
        <v>45781</v>
      </c>
      <c r="U238" s="791">
        <v>3</v>
      </c>
      <c r="V238" s="784" t="s">
        <v>2285</v>
      </c>
      <c r="W238" s="784"/>
      <c r="X238" s="784"/>
      <c r="Y238" s="975"/>
      <c r="Z238" s="975" t="str">
        <f>VLOOKUP(L238,[2]اس!$S$3:$X$31,3,FALSE)</f>
        <v>.</v>
      </c>
      <c r="AA238" s="967">
        <v>4</v>
      </c>
      <c r="AB238" s="302"/>
      <c r="AC238" s="302"/>
      <c r="AD238" s="302"/>
      <c r="AE238" s="302"/>
      <c r="AF238" s="302"/>
      <c r="AG238" s="302"/>
      <c r="AH238" s="302"/>
      <c r="AI238" s="302"/>
      <c r="AJ238" s="302"/>
      <c r="AK238" s="302"/>
      <c r="AL238" s="302"/>
      <c r="AM238" s="302"/>
      <c r="AN238" s="302"/>
      <c r="AO238" s="302"/>
      <c r="AP238" s="302"/>
      <c r="AQ238" s="302"/>
      <c r="AR238" s="302"/>
      <c r="AS238" s="302"/>
      <c r="AT238" s="302"/>
      <c r="AU238" s="302"/>
      <c r="AV238" s="302"/>
      <c r="AW238" s="302"/>
    </row>
    <row r="239" spans="1:79" ht="15.6" customHeight="1">
      <c r="A239" s="25"/>
      <c r="B239" s="25"/>
      <c r="C239" s="25"/>
      <c r="D239" s="295"/>
      <c r="E239" s="295"/>
      <c r="F239" s="295"/>
      <c r="G239" s="295"/>
      <c r="H239" s="295"/>
      <c r="I239" s="25"/>
      <c r="J239" s="25"/>
      <c r="K239" s="25"/>
      <c r="L239" s="777">
        <v>5</v>
      </c>
      <c r="M239" s="778"/>
      <c r="N239" s="976">
        <v>231</v>
      </c>
      <c r="O239" s="1020">
        <v>182</v>
      </c>
      <c r="P239" s="847">
        <f>VLOOKUP(N239,etat!$A$9:$N$1004,2,FALSE)</f>
        <v>0</v>
      </c>
      <c r="Q239" s="797" t="str">
        <f>VLOOKUP(N239,etat!$A$9:$N$963,7,FALSE)</f>
        <v>2ت ا ق1</v>
      </c>
      <c r="R239" s="797" t="str">
        <f>VLOOKUP(N239,etat!$A$9:$N$1003,9,FALSE)</f>
        <v>خ</v>
      </c>
      <c r="S239" s="866" t="str">
        <f>VLOOKUP(N239,etat!$A$9:$P$905,16,FALSE)</f>
        <v>ذخ3</v>
      </c>
      <c r="T239" s="755">
        <v>45769</v>
      </c>
      <c r="U239" s="791">
        <v>15</v>
      </c>
      <c r="V239" s="784" t="s">
        <v>2278</v>
      </c>
      <c r="W239" s="784" t="s">
        <v>2283</v>
      </c>
      <c r="X239" s="784"/>
      <c r="Y239" s="975"/>
      <c r="Z239" s="975" t="str">
        <f>VLOOKUP(L239,[2]اس!$S$3:$X$31,3,FALSE)</f>
        <v>.</v>
      </c>
      <c r="AA239" s="967">
        <v>4</v>
      </c>
      <c r="AB239" s="302"/>
      <c r="AC239" s="302"/>
      <c r="AD239" s="302"/>
      <c r="AE239" s="302"/>
      <c r="AF239" s="302"/>
      <c r="AG239" s="302"/>
      <c r="AH239" s="302"/>
      <c r="AI239" s="302"/>
      <c r="AJ239" s="302"/>
      <c r="AK239" s="302"/>
      <c r="AL239" s="302"/>
      <c r="AM239" s="302"/>
      <c r="AN239" s="302"/>
      <c r="AO239" s="302"/>
      <c r="AP239" s="302"/>
      <c r="AQ239" s="302"/>
      <c r="AR239" s="302"/>
      <c r="AS239" s="302"/>
      <c r="AT239" s="302"/>
      <c r="AU239" s="302"/>
      <c r="AV239" s="302"/>
      <c r="AW239" s="302"/>
    </row>
    <row r="240" spans="1:79" s="926" customFormat="1" ht="15.6" customHeight="1">
      <c r="A240" s="25"/>
      <c r="B240" s="25"/>
      <c r="C240" s="25"/>
      <c r="D240" s="295"/>
      <c r="E240" s="295"/>
      <c r="F240" s="295"/>
      <c r="G240" s="295"/>
      <c r="H240" s="295"/>
      <c r="I240" s="25"/>
      <c r="J240" s="25"/>
      <c r="K240" s="25"/>
      <c r="L240" s="777">
        <v>5</v>
      </c>
      <c r="M240" s="778"/>
      <c r="N240" s="976">
        <v>233</v>
      </c>
      <c r="O240" s="1020">
        <v>183</v>
      </c>
      <c r="P240" s="847">
        <f>VLOOKUP(N240,etat!$A$9:$N$1004,2,FALSE)</f>
        <v>0</v>
      </c>
      <c r="Q240" s="797" t="str">
        <f>VLOOKUP(N240,etat!$A$9:$N$963,7,FALSE)</f>
        <v>2ت ا ق1</v>
      </c>
      <c r="R240" s="866" t="str">
        <f>VLOOKUP(N240,etat!$A$9:$N$1003,9,FALSE)</f>
        <v>خ</v>
      </c>
      <c r="S240" s="866" t="str">
        <f>VLOOKUP(N240,etat!$A$9:$P$905,16,FALSE)</f>
        <v>ذخ3</v>
      </c>
      <c r="T240" s="755">
        <v>45775</v>
      </c>
      <c r="U240" s="791">
        <v>9</v>
      </c>
      <c r="V240" s="784" t="s">
        <v>2282</v>
      </c>
      <c r="W240" s="869"/>
      <c r="X240" s="869"/>
      <c r="Y240" s="975"/>
      <c r="Z240" s="975"/>
      <c r="AA240" s="967">
        <v>4</v>
      </c>
      <c r="AB240" s="302"/>
      <c r="AC240" s="302"/>
      <c r="AD240" s="302"/>
      <c r="AE240" s="302"/>
      <c r="AF240" s="302"/>
      <c r="AG240" s="302"/>
      <c r="AH240" s="302"/>
      <c r="AI240" s="302"/>
      <c r="AJ240" s="302"/>
      <c r="AK240" s="302"/>
      <c r="AL240" s="302"/>
      <c r="AM240" s="302"/>
      <c r="AN240" s="302"/>
      <c r="AO240" s="302"/>
      <c r="AP240" s="302"/>
      <c r="AQ240" s="302"/>
      <c r="AR240" s="302"/>
      <c r="AS240" s="302"/>
      <c r="AT240" s="302"/>
      <c r="AU240" s="302"/>
      <c r="AV240" s="302"/>
      <c r="AW240" s="302"/>
    </row>
    <row r="241" spans="1:49" ht="15.6" customHeight="1">
      <c r="A241" s="25"/>
      <c r="B241" s="25"/>
      <c r="C241" s="25"/>
      <c r="D241" s="295"/>
      <c r="E241" s="295"/>
      <c r="F241" s="295"/>
      <c r="G241" s="295"/>
      <c r="H241" s="295"/>
      <c r="I241" s="25"/>
      <c r="J241" s="25"/>
      <c r="K241" s="25"/>
      <c r="L241" s="777">
        <v>5</v>
      </c>
      <c r="M241" s="778"/>
      <c r="N241" s="976">
        <v>234</v>
      </c>
      <c r="O241" s="1020">
        <v>184</v>
      </c>
      <c r="P241" s="847">
        <f>VLOOKUP(N241,etat!$A$9:$N$1004,2,FALSE)</f>
        <v>0</v>
      </c>
      <c r="Q241" s="797" t="str">
        <f>VLOOKUP(N241,etat!$A$9:$N$963,7,FALSE)</f>
        <v>2ت ا ق1</v>
      </c>
      <c r="R241" s="866" t="str">
        <f>VLOOKUP(N241,etat!$A$9:$N$1003,9,FALSE)</f>
        <v>خ</v>
      </c>
      <c r="S241" s="866" t="str">
        <f>VLOOKUP(N241,etat!$A$9:$P$905,16,FALSE)</f>
        <v>اخ3</v>
      </c>
      <c r="T241" s="755">
        <v>45775</v>
      </c>
      <c r="U241" s="791">
        <v>9</v>
      </c>
      <c r="V241" s="784" t="s">
        <v>2282</v>
      </c>
      <c r="W241" s="869"/>
      <c r="X241" s="869"/>
      <c r="Y241" s="975"/>
      <c r="Z241" s="975"/>
      <c r="AA241" s="967">
        <v>4</v>
      </c>
      <c r="AB241" s="302"/>
      <c r="AC241" s="302"/>
      <c r="AD241" s="302"/>
      <c r="AE241" s="302"/>
      <c r="AF241" s="302"/>
      <c r="AG241" s="302"/>
      <c r="AH241" s="302"/>
      <c r="AI241" s="302"/>
      <c r="AJ241" s="302"/>
      <c r="AK241" s="302"/>
      <c r="AL241" s="302"/>
      <c r="AM241" s="302"/>
      <c r="AN241" s="302"/>
      <c r="AO241" s="302"/>
      <c r="AP241" s="302"/>
      <c r="AQ241" s="302"/>
      <c r="AR241" s="302"/>
      <c r="AS241" s="302"/>
      <c r="AT241" s="302"/>
      <c r="AU241" s="302"/>
      <c r="AV241" s="302"/>
      <c r="AW241" s="302"/>
    </row>
    <row r="242" spans="1:49" ht="15.6" customHeight="1">
      <c r="A242" s="302"/>
      <c r="B242" s="302"/>
      <c r="C242" s="302"/>
      <c r="D242" s="303"/>
      <c r="E242" s="303"/>
      <c r="F242" s="303"/>
      <c r="G242" s="303"/>
      <c r="H242" s="303"/>
      <c r="I242" s="302"/>
      <c r="J242" s="302"/>
      <c r="K242" s="302"/>
      <c r="L242" s="777">
        <v>5</v>
      </c>
      <c r="M242" s="778"/>
      <c r="N242" s="976">
        <v>235</v>
      </c>
      <c r="O242" s="1020">
        <v>185</v>
      </c>
      <c r="P242" s="847">
        <f>VLOOKUP(N242,etat!$A$9:$N$1004,2,FALSE)</f>
        <v>0</v>
      </c>
      <c r="Q242" s="797" t="str">
        <f>VLOOKUP(N242,etat!$A$9:$N$963,7,FALSE)</f>
        <v>2ت ا ق1</v>
      </c>
      <c r="R242" s="866" t="str">
        <f>VLOOKUP(N242,etat!$A$9:$N$1003,9,FALSE)</f>
        <v>خ</v>
      </c>
      <c r="S242" s="866" t="str">
        <f>VLOOKUP(N242,etat!$A$9:$P$905,16,FALSE)</f>
        <v>اخ3</v>
      </c>
      <c r="T242" s="755">
        <v>45775</v>
      </c>
      <c r="U242" s="791">
        <v>9</v>
      </c>
      <c r="V242" s="784" t="s">
        <v>2282</v>
      </c>
      <c r="W242" s="869"/>
      <c r="X242" s="869"/>
      <c r="Y242" s="975"/>
      <c r="Z242" s="975"/>
      <c r="AA242" s="967">
        <v>4</v>
      </c>
      <c r="AB242" s="302"/>
      <c r="AC242" s="302"/>
      <c r="AD242" s="302"/>
      <c r="AE242" s="302"/>
      <c r="AF242" s="302"/>
      <c r="AG242" s="302"/>
      <c r="AH242" s="302"/>
      <c r="AI242" s="302"/>
      <c r="AJ242" s="302"/>
      <c r="AK242" s="302"/>
      <c r="AL242" s="302"/>
      <c r="AM242" s="302"/>
      <c r="AN242" s="302"/>
      <c r="AO242" s="302"/>
      <c r="AP242" s="302"/>
      <c r="AQ242" s="302"/>
      <c r="AR242" s="302"/>
      <c r="AS242" s="302"/>
      <c r="AT242" s="302"/>
      <c r="AU242" s="302"/>
      <c r="AV242" s="302"/>
      <c r="AW242" s="302"/>
    </row>
    <row r="243" spans="1:49" s="1111" customFormat="1" ht="15.6" customHeight="1">
      <c r="A243" s="302"/>
      <c r="B243" s="302"/>
      <c r="C243" s="302"/>
      <c r="D243" s="303"/>
      <c r="E243" s="303"/>
      <c r="F243" s="303"/>
      <c r="G243" s="303"/>
      <c r="H243" s="303"/>
      <c r="I243" s="302"/>
      <c r="J243" s="302"/>
      <c r="K243" s="302"/>
      <c r="L243" s="777">
        <v>5</v>
      </c>
      <c r="M243" s="778"/>
      <c r="N243" s="976">
        <v>237</v>
      </c>
      <c r="O243" s="1020">
        <v>186</v>
      </c>
      <c r="P243" s="847">
        <f>VLOOKUP(N243,etat!$A$9:$N$1004,2,FALSE)</f>
        <v>0</v>
      </c>
      <c r="Q243" s="797" t="str">
        <f>VLOOKUP(N243,etat!$A$9:$N$963,7,FALSE)</f>
        <v>2ت ا ق1</v>
      </c>
      <c r="R243" s="797" t="str">
        <f>VLOOKUP(N243,etat!$A$9:$N$1003,9,FALSE)</f>
        <v>خ</v>
      </c>
      <c r="S243" s="866" t="str">
        <f>VLOOKUP(N243,etat!$A$9:$P$905,16,FALSE)</f>
        <v>اخ3</v>
      </c>
      <c r="T243" s="755">
        <v>45763</v>
      </c>
      <c r="U243" s="791">
        <v>21</v>
      </c>
      <c r="V243" s="784" t="s">
        <v>2269</v>
      </c>
      <c r="W243" s="784" t="s">
        <v>2280</v>
      </c>
      <c r="X243" s="784" t="s">
        <v>2283</v>
      </c>
      <c r="Y243" s="975"/>
      <c r="Z243" s="975" t="str">
        <f>VLOOKUP(L243,[2]اس!$S$3:$X$31,3,FALSE)</f>
        <v>.</v>
      </c>
      <c r="AA243" s="967">
        <v>4</v>
      </c>
      <c r="AB243" s="302"/>
      <c r="AC243" s="302"/>
      <c r="AD243" s="302"/>
      <c r="AE243" s="302"/>
      <c r="AF243" s="302"/>
      <c r="AG243" s="302"/>
      <c r="AH243" s="302"/>
      <c r="AI243" s="302"/>
      <c r="AJ243" s="302"/>
      <c r="AK243" s="302"/>
      <c r="AL243" s="302"/>
      <c r="AM243" s="302"/>
      <c r="AN243" s="302"/>
      <c r="AO243" s="302"/>
      <c r="AP243" s="302"/>
      <c r="AQ243" s="302"/>
      <c r="AR243" s="302"/>
      <c r="AS243" s="302"/>
      <c r="AT243" s="302"/>
      <c r="AU243" s="302"/>
      <c r="AV243" s="302"/>
      <c r="AW243" s="302"/>
    </row>
    <row r="244" spans="1:49" s="935" customFormat="1" ht="15.6" customHeight="1">
      <c r="A244" s="302"/>
      <c r="B244" s="302"/>
      <c r="C244" s="302"/>
      <c r="D244" s="303"/>
      <c r="E244" s="303"/>
      <c r="F244" s="303"/>
      <c r="G244" s="303"/>
      <c r="H244" s="303"/>
      <c r="I244" s="302"/>
      <c r="J244" s="302"/>
      <c r="K244" s="302"/>
      <c r="L244" s="777">
        <v>5</v>
      </c>
      <c r="M244" s="778"/>
      <c r="N244" s="976">
        <v>238</v>
      </c>
      <c r="O244" s="1020">
        <v>187</v>
      </c>
      <c r="P244" s="847">
        <f>VLOOKUP(N244,etat!$A$9:$N$1004,2,FALSE)</f>
        <v>0</v>
      </c>
      <c r="Q244" s="797" t="str">
        <f>VLOOKUP(N244,etat!$A$9:$N$963,7,FALSE)</f>
        <v>2ت ا ق1</v>
      </c>
      <c r="R244" s="797" t="str">
        <f>VLOOKUP(N244,etat!$A$9:$N$1003,9,FALSE)</f>
        <v>خ</v>
      </c>
      <c r="S244" s="866" t="str">
        <f>VLOOKUP(N244,etat!$A$9:$P$905,16,FALSE)</f>
        <v>اخ3</v>
      </c>
      <c r="T244" s="755">
        <v>45770</v>
      </c>
      <c r="U244" s="791">
        <v>14</v>
      </c>
      <c r="V244" s="784" t="s">
        <v>2280</v>
      </c>
      <c r="W244" s="784" t="s">
        <v>2283</v>
      </c>
      <c r="X244" s="784"/>
      <c r="Y244" s="975"/>
      <c r="Z244" s="967"/>
      <c r="AA244" s="967">
        <v>4</v>
      </c>
      <c r="AB244" s="302"/>
      <c r="AC244" s="302"/>
      <c r="AD244" s="302"/>
      <c r="AE244" s="302"/>
      <c r="AF244" s="302"/>
      <c r="AG244" s="302"/>
      <c r="AH244" s="302"/>
      <c r="AI244" s="302"/>
      <c r="AJ244" s="302"/>
      <c r="AK244" s="302"/>
      <c r="AL244" s="302"/>
      <c r="AM244" s="302"/>
      <c r="AN244" s="302"/>
      <c r="AO244" s="302"/>
      <c r="AP244" s="302"/>
      <c r="AQ244" s="302"/>
      <c r="AR244" s="302"/>
      <c r="AS244" s="302"/>
      <c r="AT244" s="302"/>
      <c r="AU244" s="302"/>
      <c r="AV244" s="302"/>
      <c r="AW244" s="302"/>
    </row>
    <row r="245" spans="1:49" ht="15.6" customHeight="1">
      <c r="A245" s="302"/>
      <c r="B245" s="302"/>
      <c r="C245" s="302"/>
      <c r="D245" s="303"/>
      <c r="E245" s="303"/>
      <c r="F245" s="303"/>
      <c r="G245" s="303"/>
      <c r="H245" s="303"/>
      <c r="I245" s="302"/>
      <c r="J245" s="302"/>
      <c r="K245" s="302"/>
      <c r="L245" s="777">
        <v>5</v>
      </c>
      <c r="M245" s="778"/>
      <c r="N245" s="976">
        <v>242</v>
      </c>
      <c r="O245" s="1020">
        <v>188</v>
      </c>
      <c r="P245" s="847">
        <f>VLOOKUP(N245,etat!$A$9:$N$1004,2,FALSE)</f>
        <v>0</v>
      </c>
      <c r="Q245" s="797" t="str">
        <f>VLOOKUP(N245,etat!$A$9:$N$963,7,FALSE)</f>
        <v>2ت ا ق1</v>
      </c>
      <c r="R245" s="866" t="str">
        <f>VLOOKUP(N245,etat!$A$9:$N$1003,9,FALSE)</f>
        <v>خ</v>
      </c>
      <c r="S245" s="866" t="str">
        <f>VLOOKUP(N245,etat!$A$9:$P$905,16,FALSE)</f>
        <v>اخ3</v>
      </c>
      <c r="T245" s="755">
        <v>45775</v>
      </c>
      <c r="U245" s="791">
        <v>9</v>
      </c>
      <c r="V245" s="784" t="s">
        <v>2282</v>
      </c>
      <c r="W245" s="869"/>
      <c r="X245" s="869"/>
      <c r="Y245" s="975"/>
      <c r="Z245" s="975"/>
      <c r="AA245" s="967">
        <v>4</v>
      </c>
      <c r="AB245" s="302"/>
      <c r="AC245" s="302"/>
      <c r="AD245" s="302"/>
      <c r="AE245" s="302"/>
      <c r="AF245" s="302"/>
      <c r="AG245" s="302"/>
      <c r="AH245" s="302"/>
      <c r="AI245" s="302"/>
      <c r="AJ245" s="302"/>
      <c r="AK245" s="302"/>
      <c r="AL245" s="302"/>
      <c r="AM245" s="302"/>
      <c r="AN245" s="302"/>
      <c r="AO245" s="302"/>
      <c r="AP245" s="302"/>
      <c r="AQ245" s="302"/>
      <c r="AR245" s="302"/>
      <c r="AS245" s="302"/>
      <c r="AT245" s="302"/>
      <c r="AU245" s="302"/>
      <c r="AV245" s="302"/>
      <c r="AW245" s="302"/>
    </row>
    <row r="246" spans="1:49" ht="15.6" customHeight="1">
      <c r="A246" s="302"/>
      <c r="B246" s="302"/>
      <c r="C246" s="302"/>
      <c r="D246" s="303"/>
      <c r="E246" s="303"/>
      <c r="F246" s="303"/>
      <c r="G246" s="303"/>
      <c r="H246" s="303"/>
      <c r="I246" s="302"/>
      <c r="J246" s="302"/>
      <c r="K246" s="302"/>
      <c r="L246" s="777">
        <v>5</v>
      </c>
      <c r="M246" s="778"/>
      <c r="N246" s="976">
        <v>243</v>
      </c>
      <c r="O246" s="1020">
        <v>189</v>
      </c>
      <c r="P246" s="847">
        <f>VLOOKUP(N246,etat!$A$9:$N$1004,2,FALSE)</f>
        <v>0</v>
      </c>
      <c r="Q246" s="797" t="str">
        <f>VLOOKUP(N246,etat!$A$9:$N$963,7,FALSE)</f>
        <v>2ت ا ق1</v>
      </c>
      <c r="R246" s="797" t="str">
        <f>VLOOKUP(N246,etat!$A$9:$N$1003,9,FALSE)</f>
        <v>خ</v>
      </c>
      <c r="S246" s="866" t="str">
        <f>VLOOKUP(N246,etat!$A$9:$P$905,16,FALSE)</f>
        <v>اخ3</v>
      </c>
      <c r="T246" s="755">
        <v>45774</v>
      </c>
      <c r="U246" s="791">
        <v>10</v>
      </c>
      <c r="V246" s="784" t="s">
        <v>2281</v>
      </c>
      <c r="W246" s="784" t="s">
        <v>2285</v>
      </c>
      <c r="X246" s="784"/>
      <c r="Y246" s="1117"/>
      <c r="Z246" s="967"/>
      <c r="AA246" s="967">
        <v>4</v>
      </c>
      <c r="AB246" s="302"/>
      <c r="AC246" s="302"/>
      <c r="AD246" s="302"/>
      <c r="AE246" s="302"/>
      <c r="AF246" s="302"/>
      <c r="AG246" s="302"/>
      <c r="AH246" s="302"/>
      <c r="AI246" s="302"/>
      <c r="AJ246" s="302"/>
      <c r="AK246" s="302"/>
      <c r="AL246" s="302"/>
      <c r="AM246" s="302"/>
      <c r="AN246" s="302"/>
      <c r="AO246" s="302"/>
      <c r="AP246" s="302"/>
      <c r="AQ246" s="302"/>
      <c r="AR246" s="302"/>
      <c r="AS246" s="302"/>
      <c r="AT246" s="302"/>
      <c r="AU246" s="302"/>
      <c r="AV246" s="302"/>
      <c r="AW246" s="302"/>
    </row>
    <row r="247" spans="1:49" ht="15.6" customHeight="1">
      <c r="A247" s="302"/>
      <c r="B247" s="302"/>
      <c r="C247" s="302"/>
      <c r="D247" s="303"/>
      <c r="E247" s="303"/>
      <c r="F247" s="303"/>
      <c r="G247" s="303"/>
      <c r="H247" s="303"/>
      <c r="I247" s="302"/>
      <c r="J247" s="302"/>
      <c r="K247" s="302"/>
      <c r="L247" s="777">
        <v>5</v>
      </c>
      <c r="M247" s="778"/>
      <c r="N247" s="976">
        <v>244</v>
      </c>
      <c r="O247" s="1020">
        <v>190</v>
      </c>
      <c r="P247" s="847">
        <f>VLOOKUP(N247,etat!$A$9:$N$1004,2,FALSE)</f>
        <v>0</v>
      </c>
      <c r="Q247" s="797" t="str">
        <f>VLOOKUP(N247,etat!$A$9:$N$963,7,FALSE)</f>
        <v>2ت ا ق1</v>
      </c>
      <c r="R247" s="797" t="str">
        <f>VLOOKUP(N247,etat!$A$9:$N$1003,9,FALSE)</f>
        <v>خ</v>
      </c>
      <c r="S247" s="866" t="str">
        <f>VLOOKUP(N247,etat!$A$9:$P$905,16,FALSE)</f>
        <v>اخ3</v>
      </c>
      <c r="T247" s="755">
        <v>45760</v>
      </c>
      <c r="U247" s="791">
        <v>24</v>
      </c>
      <c r="V247" s="784" t="s">
        <v>2266</v>
      </c>
      <c r="W247" s="784" t="s">
        <v>2273</v>
      </c>
      <c r="X247" s="784" t="s">
        <v>2281</v>
      </c>
      <c r="Y247" s="975"/>
      <c r="Z247" s="975" t="str">
        <f>VLOOKUP(L247,[2]اس!$S$3:$X$31,3,FALSE)</f>
        <v>.</v>
      </c>
      <c r="AA247" s="967">
        <v>4</v>
      </c>
      <c r="AB247" s="302"/>
      <c r="AC247" s="302"/>
      <c r="AD247" s="302"/>
      <c r="AE247" s="302"/>
      <c r="AF247" s="302"/>
      <c r="AG247" s="302"/>
      <c r="AH247" s="302"/>
      <c r="AI247" s="302"/>
      <c r="AJ247" s="302"/>
      <c r="AK247" s="302"/>
      <c r="AL247" s="302"/>
      <c r="AM247" s="302"/>
      <c r="AN247" s="302"/>
      <c r="AO247" s="302"/>
      <c r="AP247" s="302"/>
      <c r="AQ247" s="302"/>
      <c r="AR247" s="302"/>
      <c r="AS247" s="302"/>
      <c r="AT247" s="302"/>
      <c r="AU247" s="302"/>
      <c r="AV247" s="302"/>
      <c r="AW247" s="302"/>
    </row>
    <row r="248" spans="1:49" s="935" customFormat="1" ht="15.6" customHeight="1">
      <c r="A248" s="302"/>
      <c r="B248" s="302"/>
      <c r="C248" s="302"/>
      <c r="D248" s="303"/>
      <c r="E248" s="303"/>
      <c r="F248" s="303"/>
      <c r="G248" s="303"/>
      <c r="H248" s="303"/>
      <c r="I248" s="302"/>
      <c r="J248" s="302"/>
      <c r="K248" s="302"/>
      <c r="L248" s="777">
        <v>5</v>
      </c>
      <c r="M248" s="778"/>
      <c r="N248" s="976">
        <v>246</v>
      </c>
      <c r="O248" s="1020">
        <v>191</v>
      </c>
      <c r="P248" s="847">
        <f>VLOOKUP(N248,etat!$A$9:$N$1004,2,FALSE)</f>
        <v>0</v>
      </c>
      <c r="Q248" s="797" t="str">
        <f>VLOOKUP(N248,etat!$A$9:$N$963,7,FALSE)</f>
        <v>2ت ا ق1</v>
      </c>
      <c r="R248" s="866" t="str">
        <f>VLOOKUP(N248,etat!$A$9:$N$1003,9,FALSE)</f>
        <v>خ</v>
      </c>
      <c r="S248" s="866" t="str">
        <f>VLOOKUP(N248,etat!$A$9:$P$905,16,FALSE)</f>
        <v>ان/د2</v>
      </c>
      <c r="T248" s="755">
        <v>45775</v>
      </c>
      <c r="U248" s="791">
        <v>9</v>
      </c>
      <c r="V248" s="784" t="s">
        <v>2282</v>
      </c>
      <c r="W248" s="869"/>
      <c r="X248" s="869"/>
      <c r="Y248" s="975"/>
      <c r="Z248" s="975"/>
      <c r="AA248" s="967">
        <v>4</v>
      </c>
      <c r="AB248" s="302"/>
      <c r="AC248" s="302"/>
      <c r="AD248" s="302"/>
      <c r="AE248" s="302"/>
      <c r="AF248" s="302"/>
      <c r="AG248" s="302"/>
      <c r="AH248" s="302"/>
      <c r="AI248" s="302"/>
      <c r="AJ248" s="302"/>
      <c r="AK248" s="302"/>
      <c r="AL248" s="302"/>
      <c r="AM248" s="302"/>
      <c r="AN248" s="302"/>
      <c r="AO248" s="302"/>
      <c r="AP248" s="302"/>
      <c r="AQ248" s="302"/>
      <c r="AR248" s="302"/>
      <c r="AS248" s="302"/>
      <c r="AT248" s="302"/>
      <c r="AU248" s="302"/>
      <c r="AV248" s="302"/>
      <c r="AW248" s="302"/>
    </row>
    <row r="249" spans="1:49" ht="15.6" customHeight="1">
      <c r="A249" s="302"/>
      <c r="B249" s="302"/>
      <c r="C249" s="302"/>
      <c r="D249" s="303"/>
      <c r="E249" s="303"/>
      <c r="F249" s="303"/>
      <c r="G249" s="303"/>
      <c r="H249" s="303"/>
      <c r="I249" s="302"/>
      <c r="J249" s="302"/>
      <c r="K249" s="302"/>
      <c r="L249" s="777">
        <v>5</v>
      </c>
      <c r="M249" s="778"/>
      <c r="N249" s="976">
        <v>247</v>
      </c>
      <c r="O249" s="1020">
        <v>192</v>
      </c>
      <c r="P249" s="847">
        <f>VLOOKUP(N249,etat!$A$9:$N$1004,2,FALSE)</f>
        <v>0</v>
      </c>
      <c r="Q249" s="797" t="str">
        <f>VLOOKUP(N249,etat!$A$9:$N$963,7,FALSE)</f>
        <v>2ت ا ق1</v>
      </c>
      <c r="R249" s="797" t="str">
        <f>VLOOKUP(N249,etat!$A$9:$N$1003,9,FALSE)</f>
        <v>خ</v>
      </c>
      <c r="S249" s="866" t="str">
        <f>VLOOKUP(N249,etat!$A$9:$P$905,16,FALSE)</f>
        <v>ذن/د2</v>
      </c>
      <c r="T249" s="755">
        <v>45767</v>
      </c>
      <c r="U249" s="791">
        <v>17</v>
      </c>
      <c r="V249" s="784" t="s">
        <v>2273</v>
      </c>
      <c r="W249" s="784" t="s">
        <v>2281</v>
      </c>
      <c r="X249" s="784"/>
      <c r="Y249" s="975"/>
      <c r="Z249" s="967"/>
      <c r="AA249" s="967">
        <v>4</v>
      </c>
      <c r="AB249" s="302"/>
      <c r="AC249" s="302"/>
      <c r="AD249" s="302"/>
      <c r="AE249" s="302"/>
      <c r="AF249" s="302"/>
      <c r="AG249" s="302"/>
      <c r="AH249" s="302"/>
      <c r="AI249" s="302"/>
      <c r="AJ249" s="302"/>
      <c r="AK249" s="302"/>
      <c r="AL249" s="302"/>
      <c r="AM249" s="302"/>
      <c r="AN249" s="302"/>
      <c r="AO249" s="302"/>
      <c r="AP249" s="302"/>
      <c r="AQ249" s="302"/>
      <c r="AR249" s="302"/>
      <c r="AS249" s="302"/>
      <c r="AT249" s="302"/>
      <c r="AU249" s="302"/>
      <c r="AV249" s="302"/>
      <c r="AW249" s="302"/>
    </row>
    <row r="250" spans="1:49" ht="15.6" customHeight="1">
      <c r="A250" s="302"/>
      <c r="B250" s="302"/>
      <c r="C250" s="302"/>
      <c r="D250" s="303"/>
      <c r="E250" s="303"/>
      <c r="F250" s="303"/>
      <c r="G250" s="303"/>
      <c r="H250" s="303"/>
      <c r="I250" s="302"/>
      <c r="J250" s="302"/>
      <c r="K250" s="302"/>
      <c r="L250" s="777">
        <v>5</v>
      </c>
      <c r="M250" s="778"/>
      <c r="N250" s="976">
        <v>250</v>
      </c>
      <c r="O250" s="1020">
        <v>193</v>
      </c>
      <c r="P250" s="847">
        <f>VLOOKUP(N250,etat!$A$9:$N$1004,2,FALSE)</f>
        <v>0</v>
      </c>
      <c r="Q250" s="797" t="str">
        <f>VLOOKUP(N250,etat!$A$9:$N$963,7,FALSE)</f>
        <v>2ت ا ق1</v>
      </c>
      <c r="R250" s="866" t="str">
        <f>VLOOKUP(N250,etat!$A$9:$N$1003,9,FALSE)</f>
        <v>خ</v>
      </c>
      <c r="S250" s="866" t="str">
        <f>VLOOKUP(N250,etat!$A$9:$P$905,16,FALSE)</f>
        <v>ذخ2</v>
      </c>
      <c r="T250" s="755">
        <v>45775</v>
      </c>
      <c r="U250" s="791">
        <v>9</v>
      </c>
      <c r="V250" s="784" t="s">
        <v>2282</v>
      </c>
      <c r="W250" s="869"/>
      <c r="X250" s="869"/>
      <c r="Y250" s="975"/>
      <c r="Z250" s="975"/>
      <c r="AA250" s="967">
        <v>4</v>
      </c>
      <c r="AB250" s="302"/>
      <c r="AC250" s="302"/>
      <c r="AD250" s="302"/>
      <c r="AE250" s="302"/>
      <c r="AF250" s="302"/>
      <c r="AG250" s="302"/>
      <c r="AH250" s="302"/>
      <c r="AI250" s="302"/>
      <c r="AJ250" s="302"/>
      <c r="AK250" s="302"/>
      <c r="AL250" s="302"/>
      <c r="AM250" s="302"/>
      <c r="AN250" s="302"/>
      <c r="AO250" s="302"/>
      <c r="AP250" s="302"/>
      <c r="AQ250" s="302"/>
      <c r="AR250" s="302"/>
      <c r="AS250" s="302"/>
      <c r="AT250" s="302"/>
      <c r="AU250" s="302"/>
      <c r="AV250" s="302"/>
      <c r="AW250" s="302"/>
    </row>
    <row r="251" spans="1:49" ht="15.6" customHeight="1">
      <c r="A251" s="302"/>
      <c r="B251" s="302"/>
      <c r="C251" s="302"/>
      <c r="D251" s="303"/>
      <c r="E251" s="303"/>
      <c r="F251" s="303"/>
      <c r="G251" s="303"/>
      <c r="H251" s="303"/>
      <c r="I251" s="302"/>
      <c r="J251" s="302"/>
      <c r="K251" s="302"/>
      <c r="L251" s="777">
        <v>5</v>
      </c>
      <c r="M251" s="778"/>
      <c r="N251" s="976">
        <v>252</v>
      </c>
      <c r="O251" s="1020">
        <v>194</v>
      </c>
      <c r="P251" s="847">
        <f>VLOOKUP(N251,etat!$A$9:$N$1004,2,FALSE)</f>
        <v>0</v>
      </c>
      <c r="Q251" s="797" t="str">
        <f>VLOOKUP(N251,etat!$A$9:$N$963,7,FALSE)</f>
        <v>2ت ا ق1</v>
      </c>
      <c r="R251" s="797" t="str">
        <f>VLOOKUP(N251,etat!$A$9:$N$1003,9,FALSE)</f>
        <v>خ</v>
      </c>
      <c r="S251" s="866" t="str">
        <f>VLOOKUP(N251,etat!$A$9:$P$905,16,FALSE)</f>
        <v>اخ2</v>
      </c>
      <c r="T251" s="755">
        <v>45774</v>
      </c>
      <c r="U251" s="791">
        <v>10</v>
      </c>
      <c r="V251" s="784" t="s">
        <v>2281</v>
      </c>
      <c r="W251" s="784" t="s">
        <v>2285</v>
      </c>
      <c r="X251" s="784"/>
      <c r="Y251" s="1117"/>
      <c r="Z251" s="967"/>
      <c r="AA251" s="967">
        <v>4</v>
      </c>
      <c r="AB251" s="1005"/>
      <c r="AC251" s="1005"/>
      <c r="AD251" s="1005"/>
      <c r="AE251" s="1005"/>
      <c r="AF251" s="1005"/>
      <c r="AG251" s="1004"/>
      <c r="AH251" s="1004"/>
      <c r="AI251" s="1004"/>
      <c r="AJ251" s="1004"/>
      <c r="AK251" s="1004"/>
      <c r="AL251" s="1004"/>
      <c r="AM251" s="1004"/>
      <c r="AN251" s="1004"/>
      <c r="AO251" s="1004"/>
      <c r="AP251" s="1004"/>
      <c r="AQ251" s="1004"/>
      <c r="AR251" s="1004"/>
      <c r="AS251" s="1004"/>
      <c r="AT251" s="1004"/>
      <c r="AU251" s="1004"/>
      <c r="AV251" s="1004"/>
      <c r="AW251" s="1004"/>
    </row>
    <row r="252" spans="1:49" ht="15.6" customHeight="1">
      <c r="A252" s="302"/>
      <c r="B252" s="302"/>
      <c r="C252" s="302"/>
      <c r="D252" s="303"/>
      <c r="E252" s="303"/>
      <c r="F252" s="303"/>
      <c r="G252" s="303"/>
      <c r="H252" s="303"/>
      <c r="I252" s="302"/>
      <c r="J252" s="302"/>
      <c r="K252" s="302"/>
      <c r="L252" s="777">
        <v>5</v>
      </c>
      <c r="M252" s="778"/>
      <c r="N252" s="976">
        <v>253</v>
      </c>
      <c r="O252" s="1020">
        <v>195</v>
      </c>
      <c r="P252" s="847">
        <f>VLOOKUP(N252,etat!$A$9:$N$1004,2,FALSE)</f>
        <v>0</v>
      </c>
      <c r="Q252" s="797" t="str">
        <f>VLOOKUP(N252,etat!$A$9:$N$963,7,FALSE)</f>
        <v>2ت ا ق1</v>
      </c>
      <c r="R252" s="797" t="str">
        <f>VLOOKUP(N252,etat!$A$9:$N$1003,9,FALSE)</f>
        <v>خ</v>
      </c>
      <c r="S252" s="866" t="str">
        <f>VLOOKUP(N252,etat!$A$9:$P$905,16,FALSE)</f>
        <v>اخ2</v>
      </c>
      <c r="T252" s="755">
        <v>45776</v>
      </c>
      <c r="U252" s="791">
        <v>8</v>
      </c>
      <c r="V252" s="784" t="s">
        <v>2283</v>
      </c>
      <c r="W252" s="784"/>
      <c r="X252" s="784"/>
      <c r="Y252" s="975"/>
      <c r="Z252" s="975"/>
      <c r="AA252" s="967">
        <v>4</v>
      </c>
      <c r="AB252" s="1005"/>
      <c r="AC252" s="1005"/>
      <c r="AD252" s="1005"/>
      <c r="AE252" s="1005"/>
      <c r="AF252" s="1005"/>
      <c r="AG252" s="1004"/>
      <c r="AH252" s="1004"/>
      <c r="AI252" s="1004"/>
      <c r="AJ252" s="1004"/>
      <c r="AK252" s="1004"/>
      <c r="AL252" s="1004"/>
      <c r="AM252" s="1004"/>
      <c r="AN252" s="1004"/>
      <c r="AO252" s="1004"/>
      <c r="AP252" s="1004"/>
      <c r="AQ252" s="1004"/>
      <c r="AR252" s="1004"/>
      <c r="AS252" s="1004"/>
      <c r="AT252" s="1004"/>
      <c r="AU252" s="1004"/>
      <c r="AV252" s="1004"/>
      <c r="AW252" s="1004"/>
    </row>
    <row r="253" spans="1:49" ht="15.6" customHeight="1">
      <c r="A253" s="302"/>
      <c r="B253" s="302"/>
      <c r="C253" s="302"/>
      <c r="D253" s="303"/>
      <c r="E253" s="303"/>
      <c r="F253" s="303"/>
      <c r="G253" s="303"/>
      <c r="H253" s="303"/>
      <c r="I253" s="302"/>
      <c r="J253" s="302"/>
      <c r="K253" s="302"/>
      <c r="L253" s="777">
        <v>5</v>
      </c>
      <c r="M253" s="778"/>
      <c r="N253" s="976">
        <v>254</v>
      </c>
      <c r="O253" s="1020">
        <v>196</v>
      </c>
      <c r="P253" s="847">
        <f>VLOOKUP(N253,etat!$A$9:$N$1004,2,FALSE)</f>
        <v>0</v>
      </c>
      <c r="Q253" s="797" t="str">
        <f>VLOOKUP(N253,etat!$A$9:$N$963,7,FALSE)</f>
        <v>2ت ا ق1</v>
      </c>
      <c r="R253" s="797" t="str">
        <f>VLOOKUP(N253,etat!$A$9:$N$1003,9,FALSE)</f>
        <v>خ</v>
      </c>
      <c r="S253" s="866" t="str">
        <f>VLOOKUP(N253,etat!$A$9:$P$905,16,FALSE)</f>
        <v>اخ2</v>
      </c>
      <c r="T253" s="755">
        <v>45770</v>
      </c>
      <c r="U253" s="791">
        <v>14</v>
      </c>
      <c r="V253" s="784" t="s">
        <v>2280</v>
      </c>
      <c r="W253" s="784" t="s">
        <v>2283</v>
      </c>
      <c r="X253" s="784"/>
      <c r="Y253" s="975"/>
      <c r="Z253" s="967"/>
      <c r="AA253" s="967">
        <v>4</v>
      </c>
      <c r="AB253" s="1005"/>
      <c r="AC253" s="1005"/>
      <c r="AD253" s="1005"/>
      <c r="AE253" s="1005"/>
      <c r="AF253" s="1005"/>
      <c r="AG253" s="1004"/>
      <c r="AH253" s="1004"/>
      <c r="AI253" s="1004"/>
      <c r="AJ253" s="1004"/>
      <c r="AK253" s="1004"/>
      <c r="AL253" s="1004"/>
      <c r="AM253" s="1004"/>
      <c r="AN253" s="1004"/>
      <c r="AO253" s="1004"/>
      <c r="AP253" s="1004"/>
      <c r="AQ253" s="1004"/>
      <c r="AR253" s="1004"/>
      <c r="AS253" s="1004"/>
      <c r="AT253" s="1004"/>
      <c r="AU253" s="1004"/>
      <c r="AV253" s="1004"/>
      <c r="AW253" s="1004"/>
    </row>
    <row r="254" spans="1:49" ht="15.6" customHeight="1">
      <c r="A254" s="302"/>
      <c r="B254" s="302"/>
      <c r="C254" s="302"/>
      <c r="D254" s="303"/>
      <c r="E254" s="303"/>
      <c r="F254" s="303"/>
      <c r="G254" s="303"/>
      <c r="H254" s="303"/>
      <c r="I254" s="302"/>
      <c r="J254" s="302"/>
      <c r="K254" s="302"/>
      <c r="L254" s="777">
        <v>5</v>
      </c>
      <c r="M254" s="778"/>
      <c r="N254" s="976">
        <v>255</v>
      </c>
      <c r="O254" s="1020">
        <v>197</v>
      </c>
      <c r="P254" s="847">
        <f>VLOOKUP(N254,etat!$A$9:$N$1004,2,FALSE)</f>
        <v>0</v>
      </c>
      <c r="Q254" s="797" t="str">
        <f>VLOOKUP(N254,etat!$A$9:$N$963,7,FALSE)</f>
        <v>2ت ا ق1</v>
      </c>
      <c r="R254" s="866" t="str">
        <f>VLOOKUP(N254,etat!$A$9:$N$1003,9,FALSE)</f>
        <v>خ</v>
      </c>
      <c r="S254" s="866" t="str">
        <f>VLOOKUP(N254,etat!$A$9:$P$905,16,FALSE)</f>
        <v>اخ2</v>
      </c>
      <c r="T254" s="755">
        <v>45775</v>
      </c>
      <c r="U254" s="791">
        <v>9</v>
      </c>
      <c r="V254" s="784" t="s">
        <v>2282</v>
      </c>
      <c r="W254" s="869"/>
      <c r="X254" s="869"/>
      <c r="Y254" s="975"/>
      <c r="Z254" s="975"/>
      <c r="AA254" s="967">
        <v>4</v>
      </c>
      <c r="AB254" s="1005"/>
      <c r="AC254" s="1005"/>
      <c r="AD254" s="1005"/>
      <c r="AE254" s="1005"/>
      <c r="AF254" s="1005"/>
      <c r="AG254" s="1004"/>
      <c r="AH254" s="1004"/>
      <c r="AI254" s="1004"/>
      <c r="AJ254" s="1004"/>
      <c r="AK254" s="1004"/>
      <c r="AL254" s="1004"/>
      <c r="AM254" s="1004"/>
      <c r="AN254" s="1004"/>
      <c r="AO254" s="1004"/>
      <c r="AP254" s="1004"/>
      <c r="AQ254" s="1004"/>
      <c r="AR254" s="1004"/>
      <c r="AS254" s="1004"/>
      <c r="AT254" s="1004"/>
      <c r="AU254" s="1004"/>
      <c r="AV254" s="1004"/>
      <c r="AW254" s="1004"/>
    </row>
    <row r="255" spans="1:49" s="930" customFormat="1" ht="15.6" customHeight="1">
      <c r="A255" s="302"/>
      <c r="B255" s="302"/>
      <c r="C255" s="302"/>
      <c r="D255" s="303"/>
      <c r="E255" s="303"/>
      <c r="F255" s="303"/>
      <c r="G255" s="303"/>
      <c r="H255" s="303"/>
      <c r="I255" s="302"/>
      <c r="J255" s="302"/>
      <c r="K255" s="302"/>
      <c r="L255" s="777">
        <v>5</v>
      </c>
      <c r="M255" s="778"/>
      <c r="N255" s="976">
        <v>257</v>
      </c>
      <c r="O255" s="1020">
        <v>198</v>
      </c>
      <c r="P255" s="847">
        <f>VLOOKUP(N255,etat!$A$9:$N$1004,2,FALSE)</f>
        <v>0</v>
      </c>
      <c r="Q255" s="797" t="str">
        <f>VLOOKUP(N255,etat!$A$9:$N$963,7,FALSE)</f>
        <v>2ت ا ق1</v>
      </c>
      <c r="R255" s="866" t="str">
        <f>VLOOKUP(N255,etat!$A$9:$N$1003,9,FALSE)</f>
        <v>خ</v>
      </c>
      <c r="S255" s="866" t="str">
        <f>VLOOKUP(N255,etat!$A$9:$P$905,16,FALSE)</f>
        <v>ذخ2</v>
      </c>
      <c r="T255" s="755">
        <v>45775</v>
      </c>
      <c r="U255" s="791">
        <v>9</v>
      </c>
      <c r="V255" s="784" t="s">
        <v>2282</v>
      </c>
      <c r="W255" s="869"/>
      <c r="X255" s="869"/>
      <c r="Y255" s="975"/>
      <c r="Z255" s="975"/>
      <c r="AA255" s="967">
        <v>4</v>
      </c>
      <c r="AB255" s="1005"/>
      <c r="AC255" s="1005"/>
      <c r="AD255" s="1005"/>
      <c r="AE255" s="1005"/>
      <c r="AF255" s="1005"/>
      <c r="AG255" s="1004"/>
      <c r="AH255" s="1004"/>
      <c r="AI255" s="1004"/>
      <c r="AJ255" s="1004"/>
      <c r="AK255" s="1004"/>
      <c r="AL255" s="1004"/>
      <c r="AM255" s="1004"/>
      <c r="AN255" s="1004"/>
      <c r="AO255" s="1004"/>
      <c r="AP255" s="1004"/>
      <c r="AQ255" s="1004"/>
      <c r="AR255" s="1004"/>
      <c r="AS255" s="1004"/>
      <c r="AT255" s="1004"/>
      <c r="AU255" s="1004"/>
      <c r="AV255" s="1004"/>
      <c r="AW255" s="1004"/>
    </row>
    <row r="256" spans="1:49" s="930" customFormat="1" ht="15.6" customHeight="1">
      <c r="A256" s="302"/>
      <c r="B256" s="302"/>
      <c r="C256" s="302"/>
      <c r="D256" s="303"/>
      <c r="E256" s="303"/>
      <c r="F256" s="303"/>
      <c r="G256" s="303"/>
      <c r="H256" s="303"/>
      <c r="I256" s="302"/>
      <c r="J256" s="302"/>
      <c r="K256" s="302"/>
      <c r="L256" s="777">
        <v>5</v>
      </c>
      <c r="M256" s="778"/>
      <c r="N256" s="976">
        <v>258</v>
      </c>
      <c r="O256" s="1020">
        <v>199</v>
      </c>
      <c r="P256" s="847">
        <f>VLOOKUP(N256,etat!$A$9:$N$1004,2,FALSE)</f>
        <v>0</v>
      </c>
      <c r="Q256" s="797" t="str">
        <f>VLOOKUP(N256,etat!$A$9:$N$963,7,FALSE)</f>
        <v>2ت ا ق1</v>
      </c>
      <c r="R256" s="866" t="str">
        <f>VLOOKUP(N256,etat!$A$9:$N$1003,9,FALSE)</f>
        <v>خ</v>
      </c>
      <c r="S256" s="866" t="str">
        <f>VLOOKUP(N256,etat!$A$9:$P$905,16,FALSE)</f>
        <v>اخ2</v>
      </c>
      <c r="T256" s="755">
        <v>45775</v>
      </c>
      <c r="U256" s="791">
        <v>9</v>
      </c>
      <c r="V256" s="784" t="s">
        <v>2282</v>
      </c>
      <c r="W256" s="869"/>
      <c r="X256" s="869"/>
      <c r="Y256" s="975"/>
      <c r="Z256" s="975"/>
      <c r="AA256" s="967">
        <v>4</v>
      </c>
      <c r="AB256" s="1005"/>
      <c r="AC256" s="1005"/>
      <c r="AD256" s="1005"/>
      <c r="AE256" s="1005"/>
      <c r="AF256" s="1005"/>
      <c r="AG256" s="1004"/>
      <c r="AH256" s="1004"/>
      <c r="AI256" s="1004"/>
      <c r="AJ256" s="1004"/>
      <c r="AK256" s="1004"/>
      <c r="AL256" s="1004"/>
      <c r="AM256" s="1004"/>
      <c r="AN256" s="1004"/>
      <c r="AO256" s="1004"/>
      <c r="AP256" s="1004"/>
      <c r="AQ256" s="1004"/>
      <c r="AR256" s="1004"/>
      <c r="AS256" s="1004"/>
      <c r="AT256" s="1004"/>
      <c r="AU256" s="1004"/>
      <c r="AV256" s="1004"/>
      <c r="AW256" s="1004"/>
    </row>
    <row r="257" spans="1:49" s="930" customFormat="1" ht="15.6" customHeight="1">
      <c r="A257" s="302"/>
      <c r="B257" s="302"/>
      <c r="C257" s="302"/>
      <c r="D257" s="303"/>
      <c r="E257" s="303"/>
      <c r="F257" s="303"/>
      <c r="G257" s="303"/>
      <c r="H257" s="303"/>
      <c r="I257" s="302"/>
      <c r="J257" s="302"/>
      <c r="K257" s="302"/>
      <c r="L257" s="777">
        <v>5</v>
      </c>
      <c r="M257" s="778"/>
      <c r="N257" s="976">
        <v>259</v>
      </c>
      <c r="O257" s="1020">
        <v>200</v>
      </c>
      <c r="P257" s="847">
        <f>VLOOKUP(N257,etat!$A$9:$N$1004,2,FALSE)</f>
        <v>0</v>
      </c>
      <c r="Q257" s="797" t="str">
        <f>VLOOKUP(N257,etat!$A$9:$N$963,7,FALSE)</f>
        <v>2ت ا ق1</v>
      </c>
      <c r="R257" s="797" t="str">
        <f>VLOOKUP(N257,etat!$A$9:$N$1003,9,FALSE)</f>
        <v>خ</v>
      </c>
      <c r="S257" s="866" t="str">
        <f>VLOOKUP(N257,etat!$A$9:$P$905,16,FALSE)</f>
        <v>ذخ2</v>
      </c>
      <c r="T257" s="755">
        <v>45776</v>
      </c>
      <c r="U257" s="791">
        <v>8</v>
      </c>
      <c r="V257" s="784" t="s">
        <v>2283</v>
      </c>
      <c r="W257" s="784"/>
      <c r="X257" s="784"/>
      <c r="Y257" s="975"/>
      <c r="Z257" s="975"/>
      <c r="AA257" s="967">
        <v>4</v>
      </c>
      <c r="AB257" s="1005"/>
      <c r="AC257" s="1005"/>
      <c r="AD257" s="1005"/>
      <c r="AE257" s="1005"/>
      <c r="AF257" s="1005"/>
      <c r="AG257" s="1004"/>
      <c r="AH257" s="1004"/>
      <c r="AI257" s="1004"/>
      <c r="AJ257" s="1004"/>
      <c r="AK257" s="1004"/>
      <c r="AL257" s="1004"/>
      <c r="AM257" s="1004"/>
      <c r="AN257" s="1004"/>
      <c r="AO257" s="1004"/>
      <c r="AP257" s="1004"/>
      <c r="AQ257" s="1004"/>
      <c r="AR257" s="1004"/>
      <c r="AS257" s="1004"/>
      <c r="AT257" s="1004"/>
      <c r="AU257" s="1004"/>
      <c r="AV257" s="1004"/>
      <c r="AW257" s="1004"/>
    </row>
    <row r="258" spans="1:49" ht="15.6" customHeight="1">
      <c r="A258" s="302"/>
      <c r="B258" s="302"/>
      <c r="C258" s="302"/>
      <c r="D258" s="303"/>
      <c r="E258" s="303"/>
      <c r="F258" s="303"/>
      <c r="G258" s="303"/>
      <c r="H258" s="303"/>
      <c r="I258" s="302"/>
      <c r="J258" s="302"/>
      <c r="K258" s="302"/>
      <c r="L258" s="777">
        <v>5</v>
      </c>
      <c r="M258" s="778"/>
      <c r="N258" s="976">
        <v>261</v>
      </c>
      <c r="O258" s="1020">
        <v>201</v>
      </c>
      <c r="P258" s="847">
        <f>VLOOKUP(N258,etat!$A$9:$N$1004,2,FALSE)</f>
        <v>0</v>
      </c>
      <c r="Q258" s="797" t="str">
        <f>VLOOKUP(N258,etat!$A$9:$N$963,7,FALSE)</f>
        <v>2ت ا ق1</v>
      </c>
      <c r="R258" s="866" t="str">
        <f>VLOOKUP(N258,etat!$A$9:$N$1003,9,FALSE)</f>
        <v>خ</v>
      </c>
      <c r="S258" s="866" t="str">
        <f>VLOOKUP(N258,etat!$A$9:$P$905,16,FALSE)</f>
        <v>ذخ2</v>
      </c>
      <c r="T258" s="755">
        <v>45775</v>
      </c>
      <c r="U258" s="791">
        <v>9</v>
      </c>
      <c r="V258" s="784" t="s">
        <v>2282</v>
      </c>
      <c r="W258" s="869"/>
      <c r="X258" s="869"/>
      <c r="Y258" s="975"/>
      <c r="Z258" s="975"/>
      <c r="AA258" s="967">
        <v>4</v>
      </c>
      <c r="AB258" s="1005"/>
      <c r="AC258" s="1005"/>
      <c r="AD258" s="1005"/>
      <c r="AE258" s="1005"/>
      <c r="AF258" s="1005"/>
      <c r="AG258" s="1004"/>
      <c r="AH258" s="1004"/>
      <c r="AI258" s="1004"/>
      <c r="AJ258" s="1004"/>
      <c r="AK258" s="1004"/>
      <c r="AL258" s="1004"/>
      <c r="AM258" s="1004"/>
      <c r="AN258" s="1004"/>
      <c r="AO258" s="1004"/>
      <c r="AP258" s="1004"/>
      <c r="AQ258" s="1004"/>
      <c r="AR258" s="1004"/>
      <c r="AS258" s="1004"/>
      <c r="AT258" s="1004"/>
      <c r="AU258" s="1004"/>
      <c r="AV258" s="1004"/>
      <c r="AW258" s="1004"/>
    </row>
    <row r="259" spans="1:49" ht="15.6" customHeight="1">
      <c r="A259" s="302"/>
      <c r="B259" s="302"/>
      <c r="C259" s="302"/>
      <c r="D259" s="303"/>
      <c r="E259" s="303"/>
      <c r="F259" s="303"/>
      <c r="G259" s="303"/>
      <c r="H259" s="303"/>
      <c r="I259" s="302"/>
      <c r="J259" s="302"/>
      <c r="K259" s="302"/>
      <c r="L259" s="777">
        <v>5</v>
      </c>
      <c r="M259" s="778"/>
      <c r="N259" s="976">
        <v>262</v>
      </c>
      <c r="O259" s="1020">
        <v>202</v>
      </c>
      <c r="P259" s="847">
        <f>VLOOKUP(N259,etat!$A$9:$N$1004,2,FALSE)</f>
        <v>0</v>
      </c>
      <c r="Q259" s="797" t="str">
        <f>VLOOKUP(N259,etat!$A$9:$N$963,7,FALSE)</f>
        <v>2ت ا ق1</v>
      </c>
      <c r="R259" s="866" t="str">
        <f>VLOOKUP(N259,etat!$A$9:$N$1003,9,FALSE)</f>
        <v>خ</v>
      </c>
      <c r="S259" s="866" t="str">
        <f>VLOOKUP(N259,etat!$A$9:$P$905,16,FALSE)</f>
        <v>اخ2</v>
      </c>
      <c r="T259" s="755">
        <v>45775</v>
      </c>
      <c r="U259" s="791">
        <v>9</v>
      </c>
      <c r="V259" s="784" t="s">
        <v>2282</v>
      </c>
      <c r="W259" s="869"/>
      <c r="X259" s="869"/>
      <c r="Y259" s="975"/>
      <c r="Z259" s="975"/>
      <c r="AA259" s="967">
        <v>4</v>
      </c>
      <c r="AB259" s="1005"/>
      <c r="AC259" s="1005"/>
      <c r="AD259" s="1005"/>
      <c r="AE259" s="1005"/>
      <c r="AF259" s="1005"/>
      <c r="AG259" s="1004"/>
      <c r="AH259" s="1004"/>
      <c r="AI259" s="1004"/>
      <c r="AJ259" s="1004"/>
      <c r="AK259" s="1004"/>
      <c r="AL259" s="1004"/>
      <c r="AM259" s="1004"/>
      <c r="AN259" s="1004"/>
      <c r="AO259" s="1004"/>
      <c r="AP259" s="1004"/>
      <c r="AQ259" s="1004"/>
      <c r="AR259" s="1004"/>
      <c r="AS259" s="1004"/>
      <c r="AT259" s="1004"/>
      <c r="AU259" s="1004"/>
      <c r="AV259" s="1004"/>
      <c r="AW259" s="1004"/>
    </row>
    <row r="260" spans="1:49" ht="15.6" customHeight="1">
      <c r="A260" s="302"/>
      <c r="B260" s="302"/>
      <c r="C260" s="302"/>
      <c r="D260" s="303"/>
      <c r="E260" s="303"/>
      <c r="F260" s="303"/>
      <c r="G260" s="303"/>
      <c r="H260" s="303"/>
      <c r="I260" s="302"/>
      <c r="J260" s="302"/>
      <c r="K260" s="302"/>
      <c r="L260" s="777">
        <v>5</v>
      </c>
      <c r="M260" s="778"/>
      <c r="N260" s="976">
        <v>263</v>
      </c>
      <c r="O260" s="1020">
        <v>203</v>
      </c>
      <c r="P260" s="847">
        <f>VLOOKUP(N260,etat!$A$9:$N$1004,2,FALSE)</f>
        <v>0</v>
      </c>
      <c r="Q260" s="797" t="str">
        <f>VLOOKUP(N260,etat!$A$9:$N$963,7,FALSE)</f>
        <v>2ع ت1</v>
      </c>
      <c r="R260" s="866" t="str">
        <f>VLOOKUP(N260,etat!$A$9:$N$1003,9,FALSE)</f>
        <v>ن/د</v>
      </c>
      <c r="S260" s="866" t="str">
        <f>VLOOKUP(N260,etat!$A$9:$P$905,16,FALSE)</f>
        <v>ذخ2</v>
      </c>
      <c r="T260" s="755">
        <v>45777</v>
      </c>
      <c r="U260" s="1129" t="s">
        <v>389</v>
      </c>
      <c r="V260" s="784" t="s">
        <v>2283</v>
      </c>
      <c r="W260" s="784"/>
      <c r="X260" s="784"/>
      <c r="Y260" s="975"/>
      <c r="Z260" s="975"/>
      <c r="AA260" s="967">
        <v>4</v>
      </c>
      <c r="AB260" s="1005"/>
      <c r="AC260" s="1005"/>
      <c r="AD260" s="1005"/>
      <c r="AE260" s="1005"/>
      <c r="AF260" s="1005"/>
      <c r="AG260" s="1004"/>
      <c r="AH260" s="1004"/>
      <c r="AI260" s="1004"/>
      <c r="AJ260" s="1004"/>
      <c r="AK260" s="1004"/>
      <c r="AL260" s="1004"/>
      <c r="AM260" s="1004"/>
      <c r="AN260" s="1004"/>
      <c r="AO260" s="1004"/>
      <c r="AP260" s="1004"/>
      <c r="AQ260" s="1004"/>
      <c r="AR260" s="1004"/>
      <c r="AS260" s="1004"/>
      <c r="AT260" s="1004"/>
      <c r="AU260" s="1004"/>
      <c r="AV260" s="1004"/>
      <c r="AW260" s="1004"/>
    </row>
    <row r="261" spans="1:49" ht="15.6" customHeight="1">
      <c r="A261" s="302"/>
      <c r="B261" s="302"/>
      <c r="C261" s="302"/>
      <c r="D261" s="303"/>
      <c r="E261" s="303"/>
      <c r="F261" s="303"/>
      <c r="G261" s="303"/>
      <c r="H261" s="303"/>
      <c r="I261" s="302"/>
      <c r="J261" s="302"/>
      <c r="K261" s="302"/>
      <c r="L261" s="777">
        <v>5</v>
      </c>
      <c r="M261" s="778"/>
      <c r="N261" s="976">
        <v>264</v>
      </c>
      <c r="O261" s="1020">
        <v>204</v>
      </c>
      <c r="P261" s="847">
        <f>VLOOKUP(N261,etat!$A$9:$N$1004,2,FALSE)</f>
        <v>0</v>
      </c>
      <c r="Q261" s="797" t="str">
        <f>VLOOKUP(N261,etat!$A$9:$N$963,7,FALSE)</f>
        <v>2ع ت1</v>
      </c>
      <c r="R261" s="797" t="str">
        <f>VLOOKUP(N261,etat!$A$9:$N$1003,9,FALSE)</f>
        <v>ن/د</v>
      </c>
      <c r="S261" s="866" t="str">
        <f>VLOOKUP(N261,etat!$A$9:$P$905,16,FALSE)</f>
        <v>اخ2</v>
      </c>
      <c r="T261" s="755">
        <v>45775</v>
      </c>
      <c r="U261" s="791">
        <v>9</v>
      </c>
      <c r="V261" s="784" t="s">
        <v>2282</v>
      </c>
      <c r="W261" s="869"/>
      <c r="X261" s="869"/>
      <c r="Y261" s="975"/>
      <c r="Z261" s="975"/>
      <c r="AA261" s="967">
        <v>4</v>
      </c>
      <c r="AB261" s="1005"/>
      <c r="AC261" s="1005"/>
      <c r="AD261" s="1005"/>
      <c r="AE261" s="1005"/>
      <c r="AF261" s="1005"/>
      <c r="AG261" s="1004"/>
      <c r="AH261" s="1004"/>
      <c r="AI261" s="1004"/>
      <c r="AJ261" s="1004"/>
      <c r="AK261" s="1004"/>
      <c r="AL261" s="1004"/>
      <c r="AM261" s="1004"/>
      <c r="AN261" s="1004"/>
      <c r="AO261" s="1004"/>
      <c r="AP261" s="1004"/>
      <c r="AQ261" s="1004"/>
      <c r="AR261" s="1004"/>
      <c r="AS261" s="1004"/>
      <c r="AT261" s="1004"/>
      <c r="AU261" s="1004"/>
      <c r="AV261" s="1004"/>
      <c r="AW261" s="1004"/>
    </row>
    <row r="262" spans="1:49" ht="15.6" customHeight="1">
      <c r="A262" s="302"/>
      <c r="B262" s="302"/>
      <c r="C262" s="302"/>
      <c r="D262" s="303"/>
      <c r="E262" s="303"/>
      <c r="F262" s="303"/>
      <c r="G262" s="303"/>
      <c r="H262" s="303"/>
      <c r="I262" s="302"/>
      <c r="J262" s="302"/>
      <c r="K262" s="302"/>
      <c r="L262" s="777">
        <v>5</v>
      </c>
      <c r="M262" s="778"/>
      <c r="N262" s="976">
        <v>265</v>
      </c>
      <c r="O262" s="1020">
        <v>205</v>
      </c>
      <c r="P262" s="847">
        <f>VLOOKUP(N262,etat!$A$9:$N$1004,2,FALSE)</f>
        <v>0</v>
      </c>
      <c r="Q262" s="797" t="str">
        <f>VLOOKUP(N262,etat!$A$9:$N$963,7,FALSE)</f>
        <v>2ع ت1</v>
      </c>
      <c r="R262" s="866" t="str">
        <f>VLOOKUP(N262,etat!$A$9:$N$1003,9,FALSE)</f>
        <v>ن/د</v>
      </c>
      <c r="S262" s="866" t="str">
        <f>VLOOKUP(N262,etat!$A$9:$P$905,16,FALSE)</f>
        <v>ذخ2</v>
      </c>
      <c r="T262" s="755">
        <v>45775</v>
      </c>
      <c r="U262" s="791">
        <v>9</v>
      </c>
      <c r="V262" s="784" t="s">
        <v>2282</v>
      </c>
      <c r="W262" s="869"/>
      <c r="X262" s="869"/>
      <c r="Y262" s="975"/>
      <c r="Z262" s="975"/>
      <c r="AA262" s="967">
        <v>4</v>
      </c>
      <c r="AB262" s="1005"/>
      <c r="AC262" s="1005"/>
      <c r="AD262" s="1005"/>
      <c r="AE262" s="1005"/>
      <c r="AF262" s="1005"/>
      <c r="AG262" s="1004"/>
      <c r="AH262" s="1004"/>
      <c r="AI262" s="1004"/>
      <c r="AJ262" s="1004"/>
      <c r="AK262" s="1004"/>
      <c r="AL262" s="1004"/>
      <c r="AM262" s="1004"/>
      <c r="AN262" s="1004"/>
      <c r="AO262" s="1004"/>
      <c r="AP262" s="1004"/>
      <c r="AQ262" s="1004"/>
      <c r="AR262" s="1004"/>
      <c r="AS262" s="1004"/>
      <c r="AT262" s="1004"/>
      <c r="AU262" s="1004"/>
      <c r="AV262" s="1004"/>
      <c r="AW262" s="1004"/>
    </row>
    <row r="263" spans="1:49" s="930" customFormat="1" ht="15.6" customHeight="1">
      <c r="A263" s="302"/>
      <c r="B263" s="302"/>
      <c r="C263" s="302"/>
      <c r="D263" s="303"/>
      <c r="E263" s="303"/>
      <c r="F263" s="303"/>
      <c r="G263" s="303"/>
      <c r="H263" s="303"/>
      <c r="I263" s="302"/>
      <c r="J263" s="302"/>
      <c r="K263" s="302"/>
      <c r="L263" s="777">
        <v>5</v>
      </c>
      <c r="M263" s="778"/>
      <c r="N263" s="976">
        <v>266</v>
      </c>
      <c r="O263" s="1020">
        <v>206</v>
      </c>
      <c r="P263" s="847">
        <f>VLOOKUP(N263,etat!$A$9:$N$1004,2,FALSE)</f>
        <v>0</v>
      </c>
      <c r="Q263" s="797" t="str">
        <f>VLOOKUP(N263,etat!$A$9:$N$963,7,FALSE)</f>
        <v>2ع ت1</v>
      </c>
      <c r="R263" s="797" t="str">
        <f>VLOOKUP(N263,etat!$A$9:$N$1003,9,FALSE)</f>
        <v>خ</v>
      </c>
      <c r="S263" s="866" t="str">
        <f>VLOOKUP(N263,etat!$A$9:$P$905,16,FALSE)</f>
        <v>اخ2</v>
      </c>
      <c r="T263" s="755">
        <v>45769</v>
      </c>
      <c r="U263" s="791">
        <v>15</v>
      </c>
      <c r="V263" s="784" t="s">
        <v>2278</v>
      </c>
      <c r="W263" s="784" t="s">
        <v>2283</v>
      </c>
      <c r="X263" s="784"/>
      <c r="Y263" s="975"/>
      <c r="Z263" s="975" t="str">
        <f>VLOOKUP(L263,[2]اس!$S$3:$X$31,3,FALSE)</f>
        <v>.</v>
      </c>
      <c r="AA263" s="967">
        <v>4</v>
      </c>
      <c r="AB263" s="1005"/>
      <c r="AC263" s="1005"/>
      <c r="AD263" s="1005"/>
      <c r="AE263" s="1005"/>
      <c r="AF263" s="1005"/>
      <c r="AG263" s="1004"/>
      <c r="AH263" s="1004"/>
      <c r="AI263" s="1004"/>
      <c r="AJ263" s="1004"/>
      <c r="AK263" s="1004"/>
      <c r="AL263" s="1004"/>
      <c r="AM263" s="1004"/>
      <c r="AN263" s="1004"/>
      <c r="AO263" s="1004"/>
      <c r="AP263" s="1004"/>
      <c r="AQ263" s="1004"/>
      <c r="AR263" s="1004"/>
      <c r="AS263" s="1004"/>
      <c r="AT263" s="1004"/>
      <c r="AU263" s="1004"/>
      <c r="AV263" s="1004"/>
      <c r="AW263" s="1004"/>
    </row>
    <row r="264" spans="1:49" s="930" customFormat="1" ht="15.6" customHeight="1">
      <c r="A264" s="302"/>
      <c r="B264" s="302"/>
      <c r="C264" s="302"/>
      <c r="D264" s="303"/>
      <c r="E264" s="303"/>
      <c r="F264" s="303"/>
      <c r="G264" s="303"/>
      <c r="H264" s="303"/>
      <c r="I264" s="302"/>
      <c r="J264" s="302"/>
      <c r="K264" s="302"/>
      <c r="L264" s="777">
        <v>5</v>
      </c>
      <c r="M264" s="778"/>
      <c r="N264" s="976">
        <v>267</v>
      </c>
      <c r="O264" s="1020">
        <v>207</v>
      </c>
      <c r="P264" s="847">
        <f>VLOOKUP(N264,etat!$A$9:$N$1004,2,FALSE)</f>
        <v>0</v>
      </c>
      <c r="Q264" s="797" t="str">
        <f>VLOOKUP(N264,etat!$A$9:$N$963,7,FALSE)</f>
        <v>2ع ت1</v>
      </c>
      <c r="R264" s="866" t="str">
        <f>VLOOKUP(N264,etat!$A$9:$N$1003,9,FALSE)</f>
        <v>خ</v>
      </c>
      <c r="S264" s="866" t="str">
        <f>VLOOKUP(N264,etat!$A$9:$P$905,16,FALSE)</f>
        <v>ان/د2</v>
      </c>
      <c r="T264" s="755">
        <v>45775</v>
      </c>
      <c r="U264" s="791">
        <v>9</v>
      </c>
      <c r="V264" s="784" t="s">
        <v>2282</v>
      </c>
      <c r="W264" s="869"/>
      <c r="X264" s="869"/>
      <c r="Y264" s="975"/>
      <c r="Z264" s="975"/>
      <c r="AA264" s="967">
        <v>4</v>
      </c>
      <c r="AB264" s="1005"/>
      <c r="AC264" s="1005"/>
      <c r="AD264" s="1005"/>
      <c r="AE264" s="1005"/>
      <c r="AF264" s="1005"/>
      <c r="AG264" s="1004"/>
      <c r="AH264" s="1004"/>
      <c r="AI264" s="1004"/>
      <c r="AJ264" s="1004"/>
      <c r="AK264" s="1004"/>
      <c r="AL264" s="1004"/>
      <c r="AM264" s="1004"/>
      <c r="AN264" s="1004"/>
      <c r="AO264" s="1004"/>
      <c r="AP264" s="1004"/>
      <c r="AQ264" s="1004"/>
      <c r="AR264" s="1004"/>
      <c r="AS264" s="1004"/>
      <c r="AT264" s="1004"/>
      <c r="AU264" s="1004"/>
      <c r="AV264" s="1004"/>
      <c r="AW264" s="1004"/>
    </row>
    <row r="265" spans="1:49" s="930" customFormat="1" ht="15.6" customHeight="1">
      <c r="A265" s="302"/>
      <c r="B265" s="302"/>
      <c r="C265" s="302"/>
      <c r="D265" s="303"/>
      <c r="E265" s="303"/>
      <c r="F265" s="303"/>
      <c r="G265" s="303"/>
      <c r="H265" s="303"/>
      <c r="I265" s="302"/>
      <c r="J265" s="302"/>
      <c r="K265" s="302"/>
      <c r="L265" s="777">
        <v>5</v>
      </c>
      <c r="M265" s="778"/>
      <c r="N265" s="976">
        <v>787</v>
      </c>
      <c r="O265" s="1020">
        <v>208</v>
      </c>
      <c r="P265" s="1121">
        <f>VLOOKUP(N265,etat!$A$9:$N$1004,2,FALSE)</f>
        <v>0</v>
      </c>
      <c r="Q265" s="797">
        <f>VLOOKUP(N265,etat!$A$9:$N$963,7,FALSE)</f>
        <v>0</v>
      </c>
      <c r="R265" s="866">
        <f>VLOOKUP(N265,etat!$A$9:$N$1003,9,FALSE)</f>
        <v>0</v>
      </c>
      <c r="S265" s="866">
        <f>VLOOKUP(N265,etat!$A$9:$P$905,16,FALSE)</f>
        <v>0</v>
      </c>
      <c r="T265" s="755">
        <v>45781</v>
      </c>
      <c r="U265" s="791">
        <v>3</v>
      </c>
      <c r="V265" s="784" t="s">
        <v>2285</v>
      </c>
      <c r="W265" s="784"/>
      <c r="X265" s="784"/>
      <c r="Y265" s="975"/>
      <c r="Z265" s="975"/>
      <c r="AA265" s="967">
        <v>4</v>
      </c>
      <c r="AB265" s="1005"/>
      <c r="AC265" s="1005"/>
      <c r="AD265" s="1005"/>
      <c r="AE265" s="1005"/>
      <c r="AF265" s="1005"/>
      <c r="AG265" s="1004"/>
      <c r="AH265" s="1004"/>
      <c r="AI265" s="1004"/>
      <c r="AJ265" s="1004"/>
      <c r="AK265" s="1004"/>
      <c r="AL265" s="1004"/>
      <c r="AM265" s="1004"/>
      <c r="AN265" s="1004"/>
      <c r="AO265" s="1004"/>
      <c r="AP265" s="1004"/>
      <c r="AQ265" s="1004"/>
      <c r="AR265" s="1004"/>
      <c r="AS265" s="1004"/>
      <c r="AT265" s="1004"/>
      <c r="AU265" s="1004"/>
      <c r="AV265" s="1004"/>
      <c r="AW265" s="1004"/>
    </row>
    <row r="266" spans="1:49" s="930" customFormat="1" ht="15.6" customHeight="1">
      <c r="A266" s="302"/>
      <c r="B266" s="302"/>
      <c r="C266" s="302"/>
      <c r="D266" s="303"/>
      <c r="E266" s="303"/>
      <c r="F266" s="303"/>
      <c r="G266" s="303"/>
      <c r="H266" s="303"/>
      <c r="I266" s="302"/>
      <c r="J266" s="302"/>
      <c r="K266" s="302"/>
      <c r="L266" s="777">
        <v>5</v>
      </c>
      <c r="M266" s="778"/>
      <c r="N266" s="976">
        <v>791</v>
      </c>
      <c r="O266" s="1020">
        <v>209</v>
      </c>
      <c r="P266" s="847">
        <f>VLOOKUP(N266,etat!$A$9:$N$1004,2,FALSE)</f>
        <v>0</v>
      </c>
      <c r="Q266" s="797">
        <f>VLOOKUP(N266,etat!$A$9:$N$963,7,FALSE)</f>
        <v>0</v>
      </c>
      <c r="R266" s="797">
        <f>VLOOKUP(N266,etat!$A$9:$N$1003,9,FALSE)</f>
        <v>0</v>
      </c>
      <c r="S266" s="866">
        <f>VLOOKUP(N266,etat!$A$9:$P$905,16,FALSE)</f>
        <v>0</v>
      </c>
      <c r="T266" s="755">
        <v>45761</v>
      </c>
      <c r="U266" s="791">
        <v>23</v>
      </c>
      <c r="V266" s="784" t="s">
        <v>2267</v>
      </c>
      <c r="W266" s="784" t="s">
        <v>2275</v>
      </c>
      <c r="X266" s="784" t="s">
        <v>2282</v>
      </c>
      <c r="Y266" s="975"/>
      <c r="Z266" s="975" t="str">
        <f>VLOOKUP(L266,[2]اس!$S$3:$X$31,3,FALSE)</f>
        <v>.</v>
      </c>
      <c r="AA266" s="967">
        <v>4</v>
      </c>
      <c r="AB266" s="1005"/>
      <c r="AC266" s="1005"/>
      <c r="AD266" s="1005"/>
      <c r="AE266" s="1005"/>
      <c r="AF266" s="1005"/>
      <c r="AG266" s="1004"/>
      <c r="AH266" s="1004"/>
      <c r="AI266" s="1004"/>
      <c r="AJ266" s="1004"/>
      <c r="AK266" s="1004"/>
      <c r="AL266" s="1004"/>
      <c r="AM266" s="1004"/>
      <c r="AN266" s="1004"/>
      <c r="AO266" s="1004"/>
      <c r="AP266" s="1004"/>
      <c r="AQ266" s="1004"/>
      <c r="AR266" s="1004"/>
      <c r="AS266" s="1004"/>
      <c r="AT266" s="1004"/>
      <c r="AU266" s="1004"/>
      <c r="AV266" s="1004"/>
      <c r="AW266" s="1004"/>
    </row>
    <row r="267" spans="1:49" s="930" customFormat="1" ht="15.6" customHeight="1">
      <c r="A267" s="302"/>
      <c r="B267" s="302"/>
      <c r="C267" s="302"/>
      <c r="D267" s="303"/>
      <c r="E267" s="303"/>
      <c r="F267" s="303"/>
      <c r="G267" s="303"/>
      <c r="H267" s="303"/>
      <c r="I267" s="302"/>
      <c r="J267" s="302"/>
      <c r="K267" s="302"/>
      <c r="L267" s="777">
        <v>5</v>
      </c>
      <c r="M267" s="778"/>
      <c r="N267" s="976">
        <v>269</v>
      </c>
      <c r="O267" s="1020">
        <v>210</v>
      </c>
      <c r="P267" s="847">
        <f>VLOOKUP(N267,etat!$A$9:$N$1004,2,FALSE)</f>
        <v>0</v>
      </c>
      <c r="Q267" s="797" t="str">
        <f>VLOOKUP(N267,etat!$A$9:$N$963,7,FALSE)</f>
        <v>2ع ت1</v>
      </c>
      <c r="R267" s="797" t="str">
        <f>VLOOKUP(N267,etat!$A$9:$N$1003,9,FALSE)</f>
        <v>خ</v>
      </c>
      <c r="S267" s="866" t="str">
        <f>VLOOKUP(N267,etat!$A$9:$P$905,16,FALSE)</f>
        <v>ان/د2</v>
      </c>
      <c r="T267" s="755">
        <v>45777</v>
      </c>
      <c r="U267" s="1129" t="s">
        <v>389</v>
      </c>
      <c r="V267" s="784" t="s">
        <v>2283</v>
      </c>
      <c r="W267" s="784"/>
      <c r="X267" s="784"/>
      <c r="Y267" s="1116"/>
      <c r="Z267" s="967"/>
      <c r="AA267" s="967">
        <v>4</v>
      </c>
      <c r="AB267" s="1005"/>
      <c r="AC267" s="1005"/>
      <c r="AD267" s="1005"/>
      <c r="AE267" s="1005"/>
      <c r="AF267" s="1005"/>
      <c r="AG267" s="1004"/>
      <c r="AH267" s="1004"/>
      <c r="AI267" s="1004"/>
      <c r="AJ267" s="1004"/>
      <c r="AK267" s="1004"/>
      <c r="AL267" s="1004"/>
      <c r="AM267" s="1004"/>
      <c r="AN267" s="1004"/>
      <c r="AO267" s="1004"/>
      <c r="AP267" s="1004"/>
      <c r="AQ267" s="1004"/>
      <c r="AR267" s="1004"/>
      <c r="AS267" s="1004"/>
      <c r="AT267" s="1004"/>
      <c r="AU267" s="1004"/>
      <c r="AV267" s="1004"/>
      <c r="AW267" s="1004"/>
    </row>
    <row r="268" spans="1:49" s="930" customFormat="1" ht="15.6" customHeight="1">
      <c r="A268" s="302"/>
      <c r="B268" s="302"/>
      <c r="C268" s="302"/>
      <c r="D268" s="303"/>
      <c r="E268" s="303"/>
      <c r="F268" s="303"/>
      <c r="G268" s="303"/>
      <c r="H268" s="303"/>
      <c r="I268" s="302"/>
      <c r="J268" s="302"/>
      <c r="K268" s="302"/>
      <c r="L268" s="777">
        <v>5</v>
      </c>
      <c r="M268" s="778"/>
      <c r="N268" s="976">
        <v>273</v>
      </c>
      <c r="O268" s="1020">
        <v>211</v>
      </c>
      <c r="P268" s="847">
        <f>VLOOKUP(N268,etat!$A$9:$N$1004,2,FALSE)</f>
        <v>0</v>
      </c>
      <c r="Q268" s="797" t="str">
        <f>VLOOKUP(N268,etat!$A$9:$N$963,7,FALSE)</f>
        <v>2ع ت1</v>
      </c>
      <c r="R268" s="797" t="str">
        <f>VLOOKUP(N268,etat!$A$9:$N$1003,9,FALSE)</f>
        <v>خ</v>
      </c>
      <c r="S268" s="866" t="str">
        <f>VLOOKUP(N268,etat!$A$9:$P$905,16,FALSE)</f>
        <v>اخ2</v>
      </c>
      <c r="T268" s="755">
        <v>45782</v>
      </c>
      <c r="U268" s="791">
        <v>1</v>
      </c>
      <c r="V268" s="784"/>
      <c r="W268" s="784"/>
      <c r="X268" s="784"/>
      <c r="Y268" s="975"/>
      <c r="Z268" s="975"/>
      <c r="AA268" s="967">
        <v>4</v>
      </c>
      <c r="AB268" s="1005"/>
      <c r="AC268" s="1005"/>
      <c r="AD268" s="1005"/>
      <c r="AE268" s="1005"/>
      <c r="AF268" s="1005"/>
      <c r="AG268" s="1004"/>
      <c r="AH268" s="1004"/>
      <c r="AI268" s="1004"/>
      <c r="AJ268" s="1004"/>
      <c r="AK268" s="1004"/>
      <c r="AL268" s="1004"/>
      <c r="AM268" s="1004"/>
      <c r="AN268" s="1004"/>
      <c r="AO268" s="1004"/>
      <c r="AP268" s="1004"/>
      <c r="AQ268" s="1004"/>
      <c r="AR268" s="1004"/>
      <c r="AS268" s="1004"/>
      <c r="AT268" s="1004"/>
      <c r="AU268" s="1004"/>
      <c r="AV268" s="1004"/>
      <c r="AW268" s="1004"/>
    </row>
    <row r="269" spans="1:49" s="930" customFormat="1" ht="15.6" customHeight="1">
      <c r="A269" s="302"/>
      <c r="B269" s="302"/>
      <c r="C269" s="302"/>
      <c r="D269" s="303"/>
      <c r="E269" s="303"/>
      <c r="F269" s="303"/>
      <c r="G269" s="303"/>
      <c r="H269" s="303"/>
      <c r="I269" s="302"/>
      <c r="J269" s="302"/>
      <c r="K269" s="302"/>
      <c r="L269" s="777">
        <v>5</v>
      </c>
      <c r="M269" s="778"/>
      <c r="N269" s="976">
        <v>334</v>
      </c>
      <c r="O269" s="1020">
        <v>212</v>
      </c>
      <c r="P269" s="847">
        <f>VLOOKUP(N269,etat!$A$9:$N$1004,2,FALSE)</f>
        <v>0</v>
      </c>
      <c r="Q269" s="797" t="str">
        <f>VLOOKUP(N269,etat!$A$9:$N$963,7,FALSE)</f>
        <v>2أف1</v>
      </c>
      <c r="R269" s="954" t="str">
        <f>VLOOKUP(N269,etat!$A$9:$N$1003,9,FALSE)</f>
        <v>خ</v>
      </c>
      <c r="S269" s="866" t="str">
        <f>VLOOKUP(N269,etat!$A$9:$P$905,16,FALSE)</f>
        <v>ذن/د2</v>
      </c>
      <c r="T269" s="755">
        <v>45782</v>
      </c>
      <c r="U269" s="784" t="s">
        <v>357</v>
      </c>
      <c r="V269" s="784"/>
      <c r="W269" s="784"/>
      <c r="X269" s="784"/>
      <c r="Y269" s="975"/>
      <c r="Z269" s="975"/>
      <c r="AA269" s="967">
        <v>4</v>
      </c>
      <c r="AB269" s="1005"/>
      <c r="AC269" s="1005"/>
      <c r="AD269" s="1005"/>
      <c r="AE269" s="1005"/>
      <c r="AF269" s="1005"/>
      <c r="AG269" s="1004"/>
      <c r="AH269" s="1004"/>
      <c r="AI269" s="1004"/>
      <c r="AJ269" s="1004"/>
      <c r="AK269" s="1004"/>
      <c r="AL269" s="1004"/>
      <c r="AM269" s="1004"/>
      <c r="AN269" s="1004"/>
      <c r="AO269" s="1004"/>
      <c r="AP269" s="1004"/>
      <c r="AQ269" s="1004"/>
      <c r="AR269" s="1004"/>
      <c r="AS269" s="1004"/>
      <c r="AT269" s="1004"/>
      <c r="AU269" s="1004"/>
      <c r="AV269" s="1004"/>
      <c r="AW269" s="1004"/>
    </row>
    <row r="270" spans="1:49" s="930" customFormat="1" ht="15.6" customHeight="1">
      <c r="A270" s="1004"/>
      <c r="B270" s="1004"/>
      <c r="C270" s="1004"/>
      <c r="D270" s="166"/>
      <c r="E270" s="166"/>
      <c r="F270" s="166"/>
      <c r="G270" s="166"/>
      <c r="H270" s="166"/>
      <c r="I270" s="1004"/>
      <c r="J270" s="1004"/>
      <c r="K270" s="1004"/>
      <c r="L270" s="777">
        <v>5</v>
      </c>
      <c r="M270" s="778"/>
      <c r="N270" s="976">
        <v>332</v>
      </c>
      <c r="O270" s="1020">
        <v>213</v>
      </c>
      <c r="P270" s="847">
        <f>VLOOKUP(N270,etat!$A$9:$N$1004,2,FALSE)</f>
        <v>0</v>
      </c>
      <c r="Q270" s="797" t="str">
        <f>VLOOKUP(N270,etat!$A$9:$N$963,7,FALSE)</f>
        <v>2أف1</v>
      </c>
      <c r="R270" s="866" t="str">
        <f>VLOOKUP(N270,etat!$A$9:$N$1003,9,FALSE)</f>
        <v>خ</v>
      </c>
      <c r="S270" s="866" t="str">
        <f>VLOOKUP(N270,etat!$A$9:$P$905,16,FALSE)</f>
        <v>اخ2</v>
      </c>
      <c r="T270" s="755">
        <v>45782</v>
      </c>
      <c r="U270" s="784" t="s">
        <v>357</v>
      </c>
      <c r="V270" s="784"/>
      <c r="W270" s="784"/>
      <c r="X270" s="869"/>
      <c r="Y270" s="975"/>
      <c r="Z270" s="975"/>
      <c r="AA270" s="967">
        <v>4</v>
      </c>
      <c r="AB270" s="1005"/>
      <c r="AC270" s="1005"/>
      <c r="AD270" s="1005"/>
      <c r="AE270" s="1005"/>
      <c r="AF270" s="1005"/>
      <c r="AG270" s="1004"/>
      <c r="AH270" s="1004"/>
      <c r="AI270" s="1004"/>
      <c r="AJ270" s="1004"/>
      <c r="AK270" s="1004"/>
      <c r="AL270" s="1004"/>
      <c r="AM270" s="1004"/>
      <c r="AN270" s="1004"/>
      <c r="AO270" s="1004"/>
      <c r="AP270" s="1004"/>
      <c r="AQ270" s="1004"/>
      <c r="AR270" s="1004"/>
      <c r="AS270" s="1004"/>
      <c r="AT270" s="1004"/>
      <c r="AU270" s="1004"/>
      <c r="AV270" s="1004"/>
      <c r="AW270" s="1004"/>
    </row>
    <row r="271" spans="1:49" s="930" customFormat="1" ht="15.6" customHeight="1">
      <c r="A271" s="1004"/>
      <c r="B271" s="1004"/>
      <c r="C271" s="1004"/>
      <c r="D271" s="166"/>
      <c r="E271" s="166"/>
      <c r="F271" s="166"/>
      <c r="G271" s="166"/>
      <c r="H271" s="166"/>
      <c r="I271" s="1004"/>
      <c r="J271" s="1004"/>
      <c r="K271" s="1004"/>
      <c r="L271" s="777">
        <v>5</v>
      </c>
      <c r="M271" s="778"/>
      <c r="N271" s="976">
        <v>342</v>
      </c>
      <c r="O271" s="1020">
        <v>214</v>
      </c>
      <c r="P271" s="847">
        <f>VLOOKUP(N271,etat!$A$9:$N$1004,2,FALSE)</f>
        <v>0</v>
      </c>
      <c r="Q271" s="797" t="str">
        <f>VLOOKUP(N271,etat!$A$9:$N$963,7,FALSE)</f>
        <v>2ل أ</v>
      </c>
      <c r="R271" s="866" t="str">
        <f>VLOOKUP(N271,etat!$A$9:$N$1003,9,FALSE)</f>
        <v>ن/د</v>
      </c>
      <c r="S271" s="866" t="str">
        <f>VLOOKUP(N271,etat!$A$9:$P$905,16,FALSE)</f>
        <v>اخ2</v>
      </c>
      <c r="T271" s="755">
        <v>45782</v>
      </c>
      <c r="U271" s="784" t="s">
        <v>357</v>
      </c>
      <c r="V271" s="784"/>
      <c r="W271" s="784"/>
      <c r="X271" s="869"/>
      <c r="Y271" s="975"/>
      <c r="Z271" s="975"/>
      <c r="AA271" s="967">
        <v>4</v>
      </c>
      <c r="AB271" s="1005"/>
      <c r="AC271" s="1005"/>
      <c r="AD271" s="1005"/>
      <c r="AE271" s="1005"/>
      <c r="AF271" s="1005"/>
      <c r="AG271" s="1004"/>
      <c r="AH271" s="1004"/>
      <c r="AI271" s="1004"/>
      <c r="AJ271" s="1004"/>
      <c r="AK271" s="1004"/>
      <c r="AL271" s="1004"/>
      <c r="AM271" s="1004"/>
      <c r="AN271" s="1004"/>
      <c r="AO271" s="1004"/>
      <c r="AP271" s="1004"/>
      <c r="AQ271" s="1004"/>
      <c r="AR271" s="1004"/>
      <c r="AS271" s="1004"/>
      <c r="AT271" s="1004"/>
      <c r="AU271" s="1004"/>
      <c r="AV271" s="1004"/>
      <c r="AW271" s="1004"/>
    </row>
    <row r="272" spans="1:49" s="926" customFormat="1" ht="15.6" customHeight="1">
      <c r="A272" s="1004"/>
      <c r="B272" s="1004"/>
      <c r="C272" s="1004"/>
      <c r="D272" s="166"/>
      <c r="E272" s="166"/>
      <c r="F272" s="166"/>
      <c r="G272" s="166"/>
      <c r="H272" s="166"/>
      <c r="I272" s="1004"/>
      <c r="J272" s="1004"/>
      <c r="K272" s="1004"/>
      <c r="L272" s="777">
        <v>5</v>
      </c>
      <c r="M272" s="778"/>
      <c r="N272" s="976">
        <v>363</v>
      </c>
      <c r="O272" s="1020">
        <v>215</v>
      </c>
      <c r="P272" s="847">
        <f>VLOOKUP(N272,etat!$A$9:$N$1004,2,FALSE)</f>
        <v>0</v>
      </c>
      <c r="Q272" s="797" t="str">
        <f>VLOOKUP(N272,etat!$A$9:$N$963,7,FALSE)</f>
        <v>1ج م ع1</v>
      </c>
      <c r="R272" s="866" t="str">
        <f>VLOOKUP(N272,etat!$A$9:$N$1003,9,FALSE)</f>
        <v>خ</v>
      </c>
      <c r="S272" s="866" t="str">
        <f>VLOOKUP(N272,etat!$A$9:$P$905,16,FALSE)</f>
        <v>اخ2</v>
      </c>
      <c r="T272" s="755">
        <v>45782</v>
      </c>
      <c r="U272" s="784" t="s">
        <v>357</v>
      </c>
      <c r="V272" s="784"/>
      <c r="W272" s="784"/>
      <c r="X272" s="869"/>
      <c r="Y272" s="975"/>
      <c r="Z272" s="975"/>
      <c r="AA272" s="967">
        <v>4</v>
      </c>
      <c r="AB272" s="1005"/>
      <c r="AC272" s="1005"/>
      <c r="AD272" s="1005"/>
      <c r="AE272" s="1005"/>
      <c r="AF272" s="1005"/>
      <c r="AG272" s="1004"/>
      <c r="AH272" s="1004"/>
      <c r="AI272" s="1004"/>
      <c r="AJ272" s="1004"/>
      <c r="AK272" s="1004"/>
      <c r="AL272" s="1004"/>
      <c r="AM272" s="1004"/>
      <c r="AN272" s="1004"/>
      <c r="AO272" s="1004"/>
      <c r="AP272" s="1004"/>
      <c r="AQ272" s="1004"/>
      <c r="AR272" s="1004"/>
      <c r="AS272" s="1004"/>
      <c r="AT272" s="1004"/>
      <c r="AU272" s="1004"/>
      <c r="AV272" s="1004"/>
      <c r="AW272" s="1004"/>
    </row>
    <row r="273" spans="1:49" s="926" customFormat="1" ht="15.6" customHeight="1">
      <c r="A273" s="1004"/>
      <c r="B273" s="1004"/>
      <c r="C273" s="1004"/>
      <c r="D273" s="166"/>
      <c r="E273" s="166"/>
      <c r="F273" s="166"/>
      <c r="G273" s="166"/>
      <c r="H273" s="166"/>
      <c r="I273" s="1004"/>
      <c r="J273" s="1004"/>
      <c r="K273" s="1004"/>
      <c r="L273" s="777">
        <v>5</v>
      </c>
      <c r="M273" s="778"/>
      <c r="N273" s="976">
        <v>346</v>
      </c>
      <c r="O273" s="1020">
        <v>216</v>
      </c>
      <c r="P273" s="847">
        <f>VLOOKUP(N273,etat!$A$9:$N$1004,2,FALSE)</f>
        <v>0</v>
      </c>
      <c r="Q273" s="797" t="str">
        <f>VLOOKUP(N273,etat!$A$9:$N$963,7,FALSE)</f>
        <v>2ل أ</v>
      </c>
      <c r="R273" s="797" t="str">
        <f>VLOOKUP(N273,etat!$A$9:$N$1003,9,FALSE)</f>
        <v>خ</v>
      </c>
      <c r="S273" s="866" t="str">
        <f>VLOOKUP(N273,etat!$A$9:$P$905,16,FALSE)</f>
        <v>اخ2</v>
      </c>
      <c r="T273" s="755">
        <v>45782</v>
      </c>
      <c r="U273" s="784" t="s">
        <v>357</v>
      </c>
      <c r="V273" s="784"/>
      <c r="W273" s="784"/>
      <c r="X273" s="784"/>
      <c r="Y273" s="975"/>
      <c r="Z273" s="975"/>
      <c r="AA273" s="967">
        <v>4</v>
      </c>
      <c r="AB273" s="1005"/>
      <c r="AC273" s="1005"/>
      <c r="AD273" s="1005"/>
      <c r="AE273" s="1005"/>
      <c r="AF273" s="1005"/>
      <c r="AG273" s="1004"/>
      <c r="AH273" s="1004"/>
      <c r="AI273" s="1004"/>
      <c r="AJ273" s="1004"/>
      <c r="AK273" s="1004"/>
      <c r="AL273" s="1004"/>
      <c r="AM273" s="1004"/>
      <c r="AN273" s="1004"/>
      <c r="AO273" s="1004"/>
      <c r="AP273" s="1004"/>
      <c r="AQ273" s="1004"/>
      <c r="AR273" s="1004"/>
      <c r="AS273" s="1004"/>
      <c r="AT273" s="1004"/>
      <c r="AU273" s="1004"/>
      <c r="AV273" s="1004"/>
      <c r="AW273" s="1004"/>
    </row>
    <row r="274" spans="1:49" ht="15.6" customHeight="1">
      <c r="A274" s="1004"/>
      <c r="B274" s="1004"/>
      <c r="C274" s="1004"/>
      <c r="I274" s="1004"/>
      <c r="J274" s="1004"/>
      <c r="K274" s="1004"/>
      <c r="L274" s="777">
        <v>5</v>
      </c>
      <c r="M274" s="778"/>
      <c r="N274" s="976">
        <v>365</v>
      </c>
      <c r="O274" s="1020">
        <v>217</v>
      </c>
      <c r="P274" s="847">
        <f>VLOOKUP(N274,etat!$A$9:$N$1004,2,FALSE)</f>
        <v>0</v>
      </c>
      <c r="Q274" s="797" t="str">
        <f>VLOOKUP(N274,etat!$A$9:$N$963,7,FALSE)</f>
        <v>1ج م ع1</v>
      </c>
      <c r="R274" s="797" t="str">
        <f>VLOOKUP(N274,etat!$A$9:$N$1003,9,FALSE)</f>
        <v>خ</v>
      </c>
      <c r="S274" s="866" t="str">
        <f>VLOOKUP(N274,etat!$A$9:$P$905,16,FALSE)</f>
        <v>اخ2</v>
      </c>
      <c r="T274" s="755">
        <v>45782</v>
      </c>
      <c r="U274" s="784" t="s">
        <v>357</v>
      </c>
      <c r="V274" s="784"/>
      <c r="W274" s="784"/>
      <c r="X274" s="784"/>
      <c r="Y274" s="975"/>
      <c r="Z274" s="975"/>
      <c r="AA274" s="967">
        <v>4</v>
      </c>
      <c r="AB274" s="1005"/>
      <c r="AC274" s="1005"/>
      <c r="AD274" s="1005"/>
      <c r="AE274" s="1005"/>
      <c r="AF274" s="1005"/>
      <c r="AG274" s="1004"/>
      <c r="AH274" s="1004"/>
      <c r="AI274" s="1004"/>
      <c r="AJ274" s="1004"/>
      <c r="AK274" s="1004"/>
      <c r="AL274" s="1004"/>
      <c r="AM274" s="1004"/>
      <c r="AN274" s="1004"/>
      <c r="AO274" s="1004"/>
      <c r="AP274" s="1004"/>
      <c r="AQ274" s="1004"/>
      <c r="AR274" s="1004"/>
      <c r="AS274" s="1004"/>
      <c r="AT274" s="1004"/>
      <c r="AU274" s="1004"/>
      <c r="AV274" s="1004"/>
      <c r="AW274" s="1004"/>
    </row>
    <row r="275" spans="1:49" ht="15.6" customHeight="1">
      <c r="A275" s="1004"/>
      <c r="B275" s="1004"/>
      <c r="C275" s="1004"/>
      <c r="I275" s="1004"/>
      <c r="J275" s="1004"/>
      <c r="K275" s="1004"/>
      <c r="L275" s="777">
        <v>5</v>
      </c>
      <c r="M275" s="778"/>
      <c r="N275" s="976">
        <v>406</v>
      </c>
      <c r="O275" s="1020">
        <v>218</v>
      </c>
      <c r="P275" s="847">
        <f>VLOOKUP(N275,etat!$A$9:$N$1004,2,FALSE)</f>
        <v>0</v>
      </c>
      <c r="Q275" s="797" t="str">
        <f>VLOOKUP(N275,etat!$A$9:$N$963,7,FALSE)</f>
        <v>1ج م ع2</v>
      </c>
      <c r="R275" s="866" t="str">
        <f>VLOOKUP(N275,etat!$A$9:$N$1003,9,FALSE)</f>
        <v>خ</v>
      </c>
      <c r="S275" s="866" t="str">
        <f>VLOOKUP(N275,etat!$A$9:$P$905,16,FALSE)</f>
        <v>ان/د2</v>
      </c>
      <c r="T275" s="755">
        <v>45782</v>
      </c>
      <c r="U275" s="784" t="s">
        <v>357</v>
      </c>
      <c r="V275" s="784"/>
      <c r="W275" s="784"/>
      <c r="X275" s="869"/>
      <c r="Y275" s="975"/>
      <c r="Z275" s="975"/>
      <c r="AA275" s="967">
        <v>4</v>
      </c>
      <c r="AB275" s="1005"/>
      <c r="AC275" s="1005"/>
      <c r="AD275" s="1005"/>
      <c r="AE275" s="1005"/>
      <c r="AF275" s="1005"/>
      <c r="AG275" s="1004"/>
      <c r="AH275" s="1004"/>
      <c r="AI275" s="1004"/>
      <c r="AJ275" s="1004"/>
      <c r="AK275" s="1004"/>
      <c r="AL275" s="1004"/>
      <c r="AM275" s="1004"/>
      <c r="AN275" s="1004"/>
      <c r="AO275" s="1004"/>
      <c r="AP275" s="1004"/>
      <c r="AQ275" s="1004"/>
      <c r="AR275" s="1004"/>
      <c r="AS275" s="1004"/>
      <c r="AT275" s="1004"/>
      <c r="AU275" s="1004"/>
      <c r="AV275" s="1004"/>
      <c r="AW275" s="1004"/>
    </row>
    <row r="276" spans="1:49" s="1097" customFormat="1" ht="15.6" customHeight="1">
      <c r="D276" s="166"/>
      <c r="E276" s="166"/>
      <c r="F276" s="166"/>
      <c r="G276" s="166"/>
      <c r="H276" s="166"/>
      <c r="L276" s="777">
        <v>5</v>
      </c>
      <c r="M276" s="778"/>
      <c r="N276" s="976">
        <v>405</v>
      </c>
      <c r="O276" s="1020">
        <v>219</v>
      </c>
      <c r="P276" s="847">
        <f>VLOOKUP(N276,etat!$A$9:$N$1004,2,FALSE)</f>
        <v>0</v>
      </c>
      <c r="Q276" s="797" t="str">
        <f>VLOOKUP(N276,etat!$A$9:$N$963,7,FALSE)</f>
        <v>1ج م ع2</v>
      </c>
      <c r="R276" s="866" t="str">
        <f>VLOOKUP(N276,etat!$A$9:$N$1003,9,FALSE)</f>
        <v>خ</v>
      </c>
      <c r="S276" s="866" t="str">
        <f>VLOOKUP(N276,etat!$A$9:$P$905,16,FALSE)</f>
        <v>ان/د2</v>
      </c>
      <c r="T276" s="755">
        <v>45782</v>
      </c>
      <c r="U276" s="784" t="s">
        <v>357</v>
      </c>
      <c r="V276" s="784"/>
      <c r="W276" s="784"/>
      <c r="X276" s="869"/>
      <c r="Y276" s="975"/>
      <c r="Z276" s="975"/>
      <c r="AA276" s="967">
        <v>4</v>
      </c>
      <c r="AB276" s="1098"/>
      <c r="AC276" s="1098"/>
      <c r="AD276" s="1098"/>
      <c r="AE276" s="1098"/>
      <c r="AF276" s="1098"/>
    </row>
    <row r="277" spans="1:49" s="1097" customFormat="1" ht="15.6" customHeight="1">
      <c r="D277" s="166"/>
      <c r="E277" s="166"/>
      <c r="F277" s="166"/>
      <c r="G277" s="166"/>
      <c r="H277" s="166"/>
      <c r="L277" s="777">
        <v>5</v>
      </c>
      <c r="M277" s="778"/>
      <c r="N277" s="976">
        <v>387</v>
      </c>
      <c r="O277" s="1020">
        <v>220</v>
      </c>
      <c r="P277" s="847">
        <f>VLOOKUP(N277,etat!$A$9:$N$1004,2,FALSE)</f>
        <v>0</v>
      </c>
      <c r="Q277" s="797" t="str">
        <f>VLOOKUP(N277,etat!$A$9:$N$963,7,FALSE)</f>
        <v>1ج م ع1</v>
      </c>
      <c r="R277" s="866" t="str">
        <f>VLOOKUP(N277,etat!$A$9:$N$1003,9,FALSE)</f>
        <v>خ</v>
      </c>
      <c r="S277" s="866" t="str">
        <f>VLOOKUP(N277,etat!$A$9:$P$905,16,FALSE)</f>
        <v>ذخ2</v>
      </c>
      <c r="T277" s="755">
        <v>45782</v>
      </c>
      <c r="U277" s="784" t="s">
        <v>357</v>
      </c>
      <c r="V277" s="784"/>
      <c r="W277" s="784"/>
      <c r="X277" s="784"/>
      <c r="Y277" s="975"/>
      <c r="Z277" s="975"/>
      <c r="AA277" s="967">
        <v>4</v>
      </c>
      <c r="AB277" s="1098"/>
      <c r="AC277" s="1098"/>
      <c r="AD277" s="1098"/>
      <c r="AE277" s="1098"/>
      <c r="AF277" s="1098"/>
    </row>
    <row r="278" spans="1:49" ht="15.6" customHeight="1">
      <c r="A278" s="1004"/>
      <c r="B278" s="1004"/>
      <c r="C278" s="1004"/>
      <c r="I278" s="1004"/>
      <c r="J278" s="1004"/>
      <c r="K278" s="1004"/>
      <c r="L278" s="777">
        <v>5</v>
      </c>
      <c r="M278" s="778"/>
      <c r="N278" s="976">
        <v>415</v>
      </c>
      <c r="O278" s="1020">
        <v>221</v>
      </c>
      <c r="P278" s="1121">
        <f>VLOOKUP(N278,etat!$A$9:$N$1004,2,FALSE)</f>
        <v>0</v>
      </c>
      <c r="Q278" s="797" t="str">
        <f>VLOOKUP(N278,etat!$A$9:$N$963,7,FALSE)</f>
        <v>1ج م ع2</v>
      </c>
      <c r="R278" s="954" t="str">
        <f>VLOOKUP(N278,etat!$A$9:$N$1003,9,FALSE)</f>
        <v>خ</v>
      </c>
      <c r="S278" s="866" t="str">
        <f>VLOOKUP(N278,etat!$A$9:$P$905,16,FALSE)</f>
        <v>اخ2</v>
      </c>
      <c r="T278" s="755">
        <v>45782</v>
      </c>
      <c r="U278" s="784" t="s">
        <v>357</v>
      </c>
      <c r="V278" s="784"/>
      <c r="W278" s="784"/>
      <c r="X278" s="784"/>
      <c r="Y278" s="975"/>
      <c r="Z278" s="975"/>
      <c r="AA278" s="967">
        <v>4</v>
      </c>
      <c r="AB278" s="1005"/>
      <c r="AC278" s="1005"/>
      <c r="AD278" s="1005"/>
      <c r="AE278" s="1005"/>
      <c r="AF278" s="1005"/>
      <c r="AG278" s="1004"/>
      <c r="AH278" s="1004"/>
      <c r="AI278" s="1004"/>
      <c r="AJ278" s="1004"/>
      <c r="AK278" s="1004"/>
      <c r="AL278" s="1004"/>
      <c r="AM278" s="1004"/>
      <c r="AN278" s="1004"/>
      <c r="AO278" s="1004"/>
      <c r="AP278" s="1004"/>
      <c r="AQ278" s="1004"/>
      <c r="AR278" s="1004"/>
      <c r="AS278" s="1004"/>
      <c r="AT278" s="1004"/>
      <c r="AU278" s="1004"/>
      <c r="AV278" s="1004"/>
      <c r="AW278" s="1004"/>
    </row>
    <row r="279" spans="1:49" ht="15.6" customHeight="1">
      <c r="A279" s="1004"/>
      <c r="B279" s="1004"/>
      <c r="C279" s="1004"/>
      <c r="I279" s="1004"/>
      <c r="J279" s="1004"/>
      <c r="K279" s="1004"/>
      <c r="L279" s="777">
        <v>5</v>
      </c>
      <c r="M279" s="778"/>
      <c r="N279" s="976">
        <v>420</v>
      </c>
      <c r="O279" s="1020">
        <v>222</v>
      </c>
      <c r="P279" s="847">
        <f>VLOOKUP(N279,etat!$A$9:$N$1004,2,FALSE)</f>
        <v>0</v>
      </c>
      <c r="Q279" s="797" t="str">
        <f>VLOOKUP(N279,etat!$A$9:$N$963,7,FALSE)</f>
        <v>1ج م ع3</v>
      </c>
      <c r="R279" s="866" t="str">
        <f>VLOOKUP(N279,etat!$A$9:$N$1003,9,FALSE)</f>
        <v>خ</v>
      </c>
      <c r="S279" s="866" t="str">
        <f>VLOOKUP(N279,etat!$A$9:$P$905,16,FALSE)</f>
        <v>اخ2</v>
      </c>
      <c r="T279" s="755">
        <v>45782</v>
      </c>
      <c r="U279" s="784" t="s">
        <v>357</v>
      </c>
      <c r="V279" s="784"/>
      <c r="W279" s="784"/>
      <c r="X279" s="784"/>
      <c r="Y279" s="975"/>
      <c r="Z279" s="975"/>
      <c r="AA279" s="967">
        <v>2</v>
      </c>
      <c r="AB279" s="1005"/>
      <c r="AC279" s="1005"/>
      <c r="AD279" s="1005"/>
      <c r="AE279" s="1005"/>
      <c r="AF279" s="1005"/>
      <c r="AG279" s="1004"/>
      <c r="AH279" s="1004"/>
      <c r="AI279" s="1004"/>
      <c r="AJ279" s="1004"/>
      <c r="AK279" s="1004"/>
      <c r="AL279" s="1004"/>
      <c r="AM279" s="1004"/>
      <c r="AN279" s="1004"/>
      <c r="AO279" s="1004"/>
      <c r="AP279" s="1004"/>
      <c r="AQ279" s="1004"/>
      <c r="AR279" s="1004"/>
      <c r="AS279" s="1004"/>
      <c r="AT279" s="1004"/>
      <c r="AU279" s="1004"/>
      <c r="AV279" s="1004"/>
      <c r="AW279" s="1004"/>
    </row>
    <row r="280" spans="1:49" ht="15.6" customHeight="1">
      <c r="A280" s="1004"/>
      <c r="B280" s="1004"/>
      <c r="C280" s="1004"/>
      <c r="I280" s="1004"/>
      <c r="J280" s="1004"/>
      <c r="K280" s="1004"/>
      <c r="L280" s="777">
        <v>5</v>
      </c>
      <c r="M280" s="778"/>
      <c r="N280" s="976">
        <v>421</v>
      </c>
      <c r="O280" s="1020">
        <v>223</v>
      </c>
      <c r="P280" s="847">
        <f>VLOOKUP(N280,etat!$A$9:$N$1004,2,FALSE)</f>
        <v>0</v>
      </c>
      <c r="Q280" s="797" t="str">
        <f>VLOOKUP(N280,etat!$A$9:$N$963,7,FALSE)</f>
        <v>1ج م ع3</v>
      </c>
      <c r="R280" s="797" t="str">
        <f>VLOOKUP(N280,etat!$A$9:$N$1003,9,FALSE)</f>
        <v>خ</v>
      </c>
      <c r="S280" s="866" t="str">
        <f>VLOOKUP(N280,etat!$A$9:$P$905,16,FALSE)</f>
        <v>ذخ2</v>
      </c>
      <c r="T280" s="755">
        <v>45782</v>
      </c>
      <c r="U280" s="784" t="s">
        <v>357</v>
      </c>
      <c r="V280" s="784"/>
      <c r="W280" s="784"/>
      <c r="X280" s="784"/>
      <c r="Y280" s="1116"/>
      <c r="Z280" s="975" t="str">
        <f>VLOOKUP(L280,[2]اس!$S$3:$X$31,3,FALSE)</f>
        <v>.</v>
      </c>
      <c r="AA280" s="967">
        <v>2</v>
      </c>
      <c r="AB280" s="1005"/>
      <c r="AC280" s="1005"/>
      <c r="AD280" s="1005"/>
      <c r="AE280" s="1005"/>
      <c r="AF280" s="1005"/>
      <c r="AG280" s="1004"/>
      <c r="AH280" s="1004"/>
      <c r="AI280" s="1004"/>
      <c r="AJ280" s="1004"/>
      <c r="AK280" s="1004"/>
      <c r="AL280" s="1004"/>
      <c r="AM280" s="1004"/>
      <c r="AN280" s="1004"/>
      <c r="AO280" s="1004"/>
      <c r="AP280" s="1004"/>
      <c r="AQ280" s="1004"/>
      <c r="AR280" s="1004"/>
      <c r="AS280" s="1004"/>
      <c r="AT280" s="1004"/>
      <c r="AU280" s="1004"/>
      <c r="AV280" s="1004"/>
      <c r="AW280" s="1004"/>
    </row>
    <row r="281" spans="1:49" ht="15.6" customHeight="1">
      <c r="A281" s="1004"/>
      <c r="B281" s="1004"/>
      <c r="C281" s="1004"/>
      <c r="I281" s="1004"/>
      <c r="J281" s="1004"/>
      <c r="K281" s="1004"/>
      <c r="L281" s="777">
        <v>5</v>
      </c>
      <c r="M281" s="778"/>
      <c r="N281" s="976">
        <v>429</v>
      </c>
      <c r="O281" s="1020">
        <v>224</v>
      </c>
      <c r="P281" s="847">
        <f>VLOOKUP(N281,etat!$A$9:$N$1004,2,FALSE)</f>
        <v>0</v>
      </c>
      <c r="Q281" s="797" t="str">
        <f>VLOOKUP(N281,etat!$A$9:$N$963,7,FALSE)</f>
        <v>1ج م ع3</v>
      </c>
      <c r="R281" s="954" t="str">
        <f>VLOOKUP(N281,etat!$A$9:$N$1003,9,FALSE)</f>
        <v>خ</v>
      </c>
      <c r="S281" s="866" t="str">
        <f>VLOOKUP(N281,etat!$A$9:$P$905,16,FALSE)</f>
        <v>ذخ2</v>
      </c>
      <c r="T281" s="755">
        <v>45782</v>
      </c>
      <c r="U281" s="784" t="s">
        <v>357</v>
      </c>
      <c r="V281" s="784"/>
      <c r="W281" s="784"/>
      <c r="X281" s="784"/>
      <c r="Y281" s="975"/>
      <c r="Z281" s="975"/>
      <c r="AA281" s="967">
        <v>2</v>
      </c>
      <c r="AB281" s="1005"/>
      <c r="AC281" s="1005"/>
      <c r="AD281" s="1005"/>
      <c r="AE281" s="1005"/>
      <c r="AF281" s="1005"/>
      <c r="AG281" s="1004"/>
      <c r="AH281" s="1004"/>
      <c r="AI281" s="1004"/>
      <c r="AJ281" s="1004"/>
      <c r="AK281" s="1004"/>
      <c r="AL281" s="1004"/>
      <c r="AM281" s="1004"/>
      <c r="AN281" s="1004"/>
      <c r="AO281" s="1004"/>
      <c r="AP281" s="1004"/>
      <c r="AQ281" s="1004"/>
      <c r="AR281" s="1004"/>
      <c r="AS281" s="1004"/>
      <c r="AT281" s="1004"/>
      <c r="AU281" s="1004"/>
      <c r="AV281" s="1004"/>
      <c r="AW281" s="1004"/>
    </row>
    <row r="282" spans="1:49" ht="15.6" customHeight="1">
      <c r="A282" s="1004"/>
      <c r="B282" s="1004"/>
      <c r="C282" s="1004"/>
      <c r="I282" s="1004"/>
      <c r="J282" s="1004"/>
      <c r="K282" s="1004"/>
      <c r="L282" s="777">
        <v>5</v>
      </c>
      <c r="M282" s="778"/>
      <c r="N282" s="976">
        <v>430</v>
      </c>
      <c r="O282" s="1020">
        <v>225</v>
      </c>
      <c r="P282" s="847">
        <f>VLOOKUP(N282,etat!$A$9:$N$1004,2,FALSE)</f>
        <v>0</v>
      </c>
      <c r="Q282" s="797" t="str">
        <f>VLOOKUP(N282,etat!$A$9:$N$963,7,FALSE)</f>
        <v>1ج م ع3</v>
      </c>
      <c r="R282" s="954" t="str">
        <f>VLOOKUP(N282,etat!$A$9:$N$1003,9,FALSE)</f>
        <v>خ</v>
      </c>
      <c r="S282" s="866" t="str">
        <f>VLOOKUP(N282,etat!$A$9:$P$905,16,FALSE)</f>
        <v>ذخ2</v>
      </c>
      <c r="T282" s="755">
        <v>45782</v>
      </c>
      <c r="U282" s="784" t="s">
        <v>357</v>
      </c>
      <c r="V282" s="784"/>
      <c r="W282" s="784"/>
      <c r="X282" s="784"/>
      <c r="Y282" s="975"/>
      <c r="Z282" s="975"/>
      <c r="AA282" s="967">
        <v>2</v>
      </c>
      <c r="AB282" s="1005"/>
      <c r="AC282" s="1005"/>
      <c r="AD282" s="1005"/>
      <c r="AE282" s="1005"/>
      <c r="AF282" s="1005"/>
      <c r="AG282" s="1004"/>
      <c r="AH282" s="1004"/>
      <c r="AI282" s="1004"/>
      <c r="AJ282" s="1004"/>
      <c r="AK282" s="1004"/>
      <c r="AL282" s="1004"/>
      <c r="AM282" s="1004"/>
      <c r="AN282" s="1004"/>
      <c r="AO282" s="1004"/>
      <c r="AP282" s="1004"/>
      <c r="AQ282" s="1004"/>
      <c r="AR282" s="1004"/>
      <c r="AS282" s="1004"/>
      <c r="AT282" s="1004"/>
      <c r="AU282" s="1004"/>
      <c r="AV282" s="1004"/>
      <c r="AW282" s="1004"/>
    </row>
    <row r="283" spans="1:49" ht="15.6" customHeight="1">
      <c r="A283" s="1004"/>
      <c r="B283" s="1004"/>
      <c r="C283" s="1004"/>
      <c r="I283" s="1004"/>
      <c r="J283" s="1004"/>
      <c r="K283" s="1004"/>
      <c r="L283" s="777">
        <v>5</v>
      </c>
      <c r="M283" s="864"/>
      <c r="N283" s="976">
        <v>437</v>
      </c>
      <c r="O283" s="1020">
        <v>226</v>
      </c>
      <c r="P283" s="847">
        <f>VLOOKUP(N283,etat!$A$9:$N$1004,2,FALSE)</f>
        <v>0</v>
      </c>
      <c r="Q283" s="797" t="str">
        <f>VLOOKUP(N283,etat!$A$9:$N$963,7,FALSE)</f>
        <v>1ج م ع3</v>
      </c>
      <c r="R283" s="797" t="str">
        <f>VLOOKUP(N283,etat!$A$9:$N$1003,9,FALSE)</f>
        <v>خ</v>
      </c>
      <c r="S283" s="866" t="str">
        <f>VLOOKUP(N283,etat!$A$9:$P$905,16,FALSE)</f>
        <v>ان/د2</v>
      </c>
      <c r="T283" s="755">
        <v>45781</v>
      </c>
      <c r="U283" s="1125">
        <v>3</v>
      </c>
      <c r="V283" s="784" t="s">
        <v>2285</v>
      </c>
      <c r="W283" s="784"/>
      <c r="X283" s="784"/>
      <c r="Y283" s="1117"/>
      <c r="Z283" s="967"/>
      <c r="AA283" s="967">
        <v>4</v>
      </c>
      <c r="AB283" s="1005"/>
      <c r="AC283" s="1005"/>
      <c r="AD283" s="1005"/>
      <c r="AE283" s="1005"/>
      <c r="AF283" s="1005"/>
      <c r="AG283" s="1004"/>
      <c r="AH283" s="1004"/>
      <c r="AI283" s="1004"/>
      <c r="AJ283" s="1004"/>
      <c r="AK283" s="1004"/>
      <c r="AL283" s="1004"/>
      <c r="AM283" s="1004"/>
      <c r="AN283" s="1004"/>
      <c r="AO283" s="1004"/>
      <c r="AP283" s="1004"/>
      <c r="AQ283" s="1004"/>
      <c r="AR283" s="1004"/>
      <c r="AS283" s="1004"/>
      <c r="AT283" s="1004"/>
      <c r="AU283" s="1004"/>
      <c r="AV283" s="1004"/>
      <c r="AW283" s="1004"/>
    </row>
    <row r="284" spans="1:49" ht="15.6" customHeight="1">
      <c r="A284" s="1004"/>
      <c r="B284" s="1004"/>
      <c r="C284" s="1004"/>
      <c r="I284" s="1004"/>
      <c r="J284" s="1004"/>
      <c r="K284" s="1004"/>
      <c r="L284" s="777">
        <v>5</v>
      </c>
      <c r="M284" s="864"/>
      <c r="N284" s="976">
        <v>446</v>
      </c>
      <c r="O284" s="1020">
        <v>227</v>
      </c>
      <c r="P284" s="847">
        <f>VLOOKUP(N284,etat!$A$9:$N$1004,2,FALSE)</f>
        <v>0</v>
      </c>
      <c r="Q284" s="797" t="str">
        <f>VLOOKUP(N284,etat!$A$9:$N$963,7,FALSE)</f>
        <v>1ج م ع3</v>
      </c>
      <c r="R284" s="797" t="str">
        <f>VLOOKUP(N284,etat!$A$9:$N$1003,9,FALSE)</f>
        <v>خ</v>
      </c>
      <c r="S284" s="866" t="str">
        <f>VLOOKUP(N284,etat!$A$9:$P$905,16,FALSE)</f>
        <v>ان/د2</v>
      </c>
      <c r="T284" s="755">
        <v>45781</v>
      </c>
      <c r="U284" s="791">
        <v>3</v>
      </c>
      <c r="V284" s="784" t="s">
        <v>2285</v>
      </c>
      <c r="W284" s="784"/>
      <c r="X284" s="784"/>
      <c r="Y284" s="848"/>
      <c r="Z284" s="967"/>
      <c r="AA284" s="967">
        <v>4</v>
      </c>
      <c r="AB284" s="1005"/>
      <c r="AC284" s="1005"/>
      <c r="AD284" s="1005"/>
      <c r="AE284" s="1005"/>
      <c r="AF284" s="1005"/>
      <c r="AG284" s="1004"/>
      <c r="AH284" s="1004"/>
      <c r="AI284" s="1004"/>
      <c r="AJ284" s="1004"/>
      <c r="AK284" s="1004"/>
      <c r="AL284" s="1004"/>
      <c r="AM284" s="1004"/>
      <c r="AN284" s="1004"/>
      <c r="AO284" s="1004"/>
      <c r="AP284" s="1004"/>
      <c r="AQ284" s="1004"/>
      <c r="AR284" s="1004"/>
      <c r="AS284" s="1004"/>
      <c r="AT284" s="1004"/>
      <c r="AU284" s="1004"/>
      <c r="AV284" s="1004"/>
      <c r="AW284" s="1004"/>
    </row>
    <row r="285" spans="1:49" ht="15.6" customHeight="1">
      <c r="A285" s="1004"/>
      <c r="B285" s="1004"/>
      <c r="C285" s="1004"/>
      <c r="I285" s="1004"/>
      <c r="J285" s="1004"/>
      <c r="K285" s="1004"/>
      <c r="L285" s="777">
        <v>5</v>
      </c>
      <c r="M285" s="864"/>
      <c r="N285" s="976">
        <v>790</v>
      </c>
      <c r="O285" s="1020">
        <v>228</v>
      </c>
      <c r="P285" s="847">
        <f>VLOOKUP(N285,etat!$A$9:$N$1004,2,FALSE)</f>
        <v>0</v>
      </c>
      <c r="Q285" s="797">
        <f>VLOOKUP(N285,etat!$A$9:$N$963,7,FALSE)</f>
        <v>0</v>
      </c>
      <c r="R285" s="797">
        <f>VLOOKUP(N285,etat!$A$9:$N$1003,9,FALSE)</f>
        <v>0</v>
      </c>
      <c r="S285" s="866">
        <f>VLOOKUP(N285,etat!$A$9:$P$905,16,FALSE)</f>
        <v>0</v>
      </c>
      <c r="T285" s="755">
        <v>45782</v>
      </c>
      <c r="U285" s="784" t="s">
        <v>357</v>
      </c>
      <c r="V285" s="784"/>
      <c r="W285" s="784"/>
      <c r="X285" s="784"/>
      <c r="Y285" s="1116"/>
      <c r="Z285" s="967"/>
      <c r="AA285" s="967">
        <v>2</v>
      </c>
      <c r="AB285" s="1005"/>
      <c r="AC285" s="1005"/>
      <c r="AD285" s="1005"/>
      <c r="AE285" s="1005"/>
      <c r="AF285" s="1005"/>
      <c r="AG285" s="1004"/>
      <c r="AH285" s="1004"/>
      <c r="AI285" s="1004"/>
      <c r="AJ285" s="1004"/>
      <c r="AK285" s="1004"/>
      <c r="AL285" s="1004"/>
      <c r="AM285" s="1004"/>
      <c r="AN285" s="1004"/>
      <c r="AO285" s="1004"/>
      <c r="AP285" s="1004"/>
      <c r="AQ285" s="1004"/>
      <c r="AR285" s="1004"/>
      <c r="AS285" s="1004"/>
      <c r="AT285" s="1004"/>
      <c r="AU285" s="1004"/>
      <c r="AV285" s="1004"/>
      <c r="AW285" s="1004"/>
    </row>
    <row r="286" spans="1:49" ht="15.6" customHeight="1">
      <c r="A286" s="1004"/>
      <c r="B286" s="1004"/>
      <c r="C286" s="1004"/>
      <c r="I286" s="1004"/>
      <c r="J286" s="1004"/>
      <c r="K286" s="1004"/>
      <c r="L286" s="777">
        <v>5</v>
      </c>
      <c r="M286" s="778"/>
      <c r="N286" s="976">
        <v>440</v>
      </c>
      <c r="O286" s="1020">
        <v>229</v>
      </c>
      <c r="P286" s="847">
        <f>VLOOKUP(N286,etat!$A$9:$N$1004,2,FALSE)</f>
        <v>0</v>
      </c>
      <c r="Q286" s="797" t="str">
        <f>VLOOKUP(N286,etat!$A$9:$N$963,7,FALSE)</f>
        <v>1ج م ع3</v>
      </c>
      <c r="R286" s="866" t="str">
        <f>VLOOKUP(N286,etat!$A$9:$N$1003,9,FALSE)</f>
        <v>خ</v>
      </c>
      <c r="S286" s="866" t="str">
        <f>VLOOKUP(N286,etat!$A$9:$P$905,16,FALSE)</f>
        <v>ان/د2</v>
      </c>
      <c r="T286" s="755">
        <v>45781</v>
      </c>
      <c r="U286" s="791">
        <v>3</v>
      </c>
      <c r="V286" s="784" t="s">
        <v>2285</v>
      </c>
      <c r="W286" s="784"/>
      <c r="X286" s="784"/>
      <c r="Y286" s="848"/>
      <c r="Z286" s="967"/>
      <c r="AA286" s="967">
        <v>4</v>
      </c>
      <c r="AB286" s="1005"/>
      <c r="AC286" s="1005"/>
      <c r="AD286" s="1005"/>
      <c r="AE286" s="1005"/>
      <c r="AF286" s="1005"/>
      <c r="AG286" s="1004"/>
      <c r="AH286" s="1004"/>
      <c r="AI286" s="1004"/>
      <c r="AJ286" s="1004"/>
      <c r="AK286" s="1004"/>
      <c r="AL286" s="1004"/>
      <c r="AM286" s="1004"/>
      <c r="AN286" s="1004"/>
      <c r="AO286" s="1004"/>
      <c r="AP286" s="1004"/>
      <c r="AQ286" s="1004"/>
      <c r="AR286" s="1004"/>
      <c r="AS286" s="1004"/>
      <c r="AT286" s="1004"/>
      <c r="AU286" s="1004"/>
      <c r="AV286" s="1004"/>
      <c r="AW286" s="1004"/>
    </row>
    <row r="287" spans="1:49" ht="15.6" customHeight="1">
      <c r="A287" s="1004"/>
      <c r="B287" s="1004"/>
      <c r="C287" s="1004"/>
      <c r="I287" s="1004"/>
      <c r="J287" s="1004"/>
      <c r="K287" s="1004"/>
      <c r="L287" s="777">
        <v>5</v>
      </c>
      <c r="M287" s="778"/>
      <c r="N287" s="976">
        <v>451</v>
      </c>
      <c r="O287" s="1020">
        <v>230</v>
      </c>
      <c r="P287" s="847">
        <f>VLOOKUP(N287,etat!$A$9:$N$1004,2,FALSE)</f>
        <v>0</v>
      </c>
      <c r="Q287" s="797" t="str">
        <f>VLOOKUP(N287,etat!$A$9:$N$963,7,FALSE)</f>
        <v>1ج م ع4</v>
      </c>
      <c r="R287" s="797" t="str">
        <f>VLOOKUP(N287,etat!$A$9:$N$1003,9,FALSE)</f>
        <v>خ</v>
      </c>
      <c r="S287" s="866" t="str">
        <f>VLOOKUP(N287,etat!$A$9:$P$905,16,FALSE)</f>
        <v>ذخ2</v>
      </c>
      <c r="T287" s="755">
        <v>45782</v>
      </c>
      <c r="U287" s="784" t="s">
        <v>357</v>
      </c>
      <c r="V287" s="784"/>
      <c r="W287" s="784"/>
      <c r="X287" s="784"/>
      <c r="Y287" s="848"/>
      <c r="Z287" s="967"/>
      <c r="AA287" s="967">
        <v>4</v>
      </c>
      <c r="AB287" s="1005"/>
      <c r="AC287" s="1005"/>
      <c r="AD287" s="1005"/>
      <c r="AE287" s="1005"/>
      <c r="AF287" s="1005"/>
      <c r="AG287" s="1004"/>
      <c r="AH287" s="1004"/>
      <c r="AI287" s="1004"/>
      <c r="AJ287" s="1004"/>
      <c r="AK287" s="1004"/>
      <c r="AL287" s="1004"/>
      <c r="AM287" s="1004"/>
      <c r="AN287" s="1004"/>
      <c r="AO287" s="1004"/>
      <c r="AP287" s="1004"/>
      <c r="AQ287" s="1004"/>
      <c r="AR287" s="1004"/>
      <c r="AS287" s="1004"/>
      <c r="AT287" s="1004"/>
      <c r="AU287" s="1004"/>
      <c r="AV287" s="1004"/>
      <c r="AW287" s="1004"/>
    </row>
    <row r="288" spans="1:49" ht="15.6" customHeight="1">
      <c r="A288" s="1004"/>
      <c r="B288" s="1004"/>
      <c r="C288" s="1004"/>
      <c r="I288" s="1004"/>
      <c r="J288" s="1004"/>
      <c r="K288" s="1004"/>
      <c r="L288" s="777">
        <v>5</v>
      </c>
      <c r="M288" s="778"/>
      <c r="N288" s="976">
        <v>509</v>
      </c>
      <c r="O288" s="1020">
        <v>231</v>
      </c>
      <c r="P288" s="847">
        <f>VLOOKUP(N288,etat!$A$9:$N$1004,2,FALSE)</f>
        <v>0</v>
      </c>
      <c r="Q288" s="797" t="str">
        <f>VLOOKUP(N288,etat!$A$9:$N$963,7,FALSE)</f>
        <v>1ج م أ1</v>
      </c>
      <c r="R288" s="954" t="str">
        <f>VLOOKUP(N288,etat!$A$9:$N$1003,9,FALSE)</f>
        <v>خ</v>
      </c>
      <c r="S288" s="866" t="str">
        <f>VLOOKUP(N288,etat!$A$9:$P$905,16,FALSE)</f>
        <v>اخ1</v>
      </c>
      <c r="T288" s="755">
        <v>45782</v>
      </c>
      <c r="U288" s="784" t="s">
        <v>357</v>
      </c>
      <c r="V288" s="784"/>
      <c r="W288" s="784"/>
      <c r="X288" s="784"/>
      <c r="Y288" s="975"/>
      <c r="Z288" s="975"/>
      <c r="AA288" s="967">
        <v>4</v>
      </c>
      <c r="AB288" s="1005"/>
      <c r="AC288" s="1005"/>
      <c r="AD288" s="1005"/>
      <c r="AE288" s="1005"/>
      <c r="AF288" s="1005"/>
      <c r="AG288" s="1004"/>
      <c r="AH288" s="1004"/>
      <c r="AI288" s="1004"/>
      <c r="AJ288" s="1004"/>
      <c r="AK288" s="1004"/>
      <c r="AL288" s="1004"/>
      <c r="AM288" s="1004"/>
      <c r="AN288" s="1004"/>
      <c r="AO288" s="1004"/>
      <c r="AP288" s="1004"/>
      <c r="AQ288" s="1004"/>
      <c r="AR288" s="1004"/>
      <c r="AS288" s="1004"/>
      <c r="AT288" s="1004"/>
      <c r="AU288" s="1004"/>
      <c r="AV288" s="1004"/>
      <c r="AW288" s="1004"/>
    </row>
    <row r="289" spans="1:49" ht="15.6" customHeight="1">
      <c r="A289" s="1004"/>
      <c r="B289" s="1004"/>
      <c r="C289" s="1004"/>
      <c r="I289" s="1004"/>
      <c r="J289" s="1004"/>
      <c r="K289" s="1004"/>
      <c r="L289" s="777">
        <v>5</v>
      </c>
      <c r="M289" s="778"/>
      <c r="N289" s="976">
        <v>510</v>
      </c>
      <c r="O289" s="1020">
        <v>232</v>
      </c>
      <c r="P289" s="847">
        <f>VLOOKUP(N289,etat!$A$9:$N$1004,2,FALSE)</f>
        <v>0</v>
      </c>
      <c r="Q289" s="797" t="str">
        <f>VLOOKUP(N289,etat!$A$9:$N$963,7,FALSE)</f>
        <v>1ج م أ1</v>
      </c>
      <c r="R289" s="797" t="str">
        <f>VLOOKUP(N289,etat!$A$9:$N$1003,9,FALSE)</f>
        <v>خ</v>
      </c>
      <c r="S289" s="866" t="str">
        <f>VLOOKUP(N289,etat!$A$9:$P$905,16,FALSE)</f>
        <v>ذخ1</v>
      </c>
      <c r="T289" s="755">
        <v>45781</v>
      </c>
      <c r="U289" s="791">
        <v>3</v>
      </c>
      <c r="V289" s="784" t="s">
        <v>2285</v>
      </c>
      <c r="W289" s="784"/>
      <c r="X289" s="784"/>
      <c r="Y289" s="975"/>
      <c r="Z289" s="975" t="str">
        <f>VLOOKUP(L311,[2]اس!$S$3:$X$31,3,FALSE)</f>
        <v>.</v>
      </c>
      <c r="AA289" s="967">
        <v>4</v>
      </c>
      <c r="AB289" s="1005"/>
      <c r="AC289" s="1005"/>
      <c r="AD289" s="1005"/>
      <c r="AE289" s="1005"/>
      <c r="AF289" s="1005"/>
      <c r="AG289" s="1004"/>
      <c r="AH289" s="1004"/>
      <c r="AI289" s="1004"/>
      <c r="AJ289" s="1004"/>
      <c r="AK289" s="1004"/>
      <c r="AL289" s="1004"/>
      <c r="AM289" s="1004"/>
      <c r="AN289" s="1004"/>
      <c r="AO289" s="1004"/>
      <c r="AP289" s="1004"/>
      <c r="AQ289" s="1004"/>
      <c r="AR289" s="1004"/>
      <c r="AS289" s="1004"/>
      <c r="AT289" s="1004"/>
      <c r="AU289" s="1004"/>
      <c r="AV289" s="1004"/>
      <c r="AW289" s="1004"/>
    </row>
    <row r="290" spans="1:49" s="945" customFormat="1" ht="15.6" customHeight="1">
      <c r="A290" s="1004"/>
      <c r="B290" s="1004"/>
      <c r="C290" s="1004"/>
      <c r="D290" s="166"/>
      <c r="E290" s="166"/>
      <c r="F290" s="166"/>
      <c r="G290" s="166"/>
      <c r="H290" s="166"/>
      <c r="I290" s="1004"/>
      <c r="J290" s="1004"/>
      <c r="K290" s="1004"/>
      <c r="L290" s="777">
        <v>5</v>
      </c>
      <c r="M290" s="778"/>
      <c r="N290" s="976">
        <v>506</v>
      </c>
      <c r="O290" s="1020">
        <v>233</v>
      </c>
      <c r="P290" s="847">
        <f>VLOOKUP(N290,etat!$A$9:$N$1004,2,FALSE)</f>
        <v>0</v>
      </c>
      <c r="Q290" s="797" t="str">
        <f>VLOOKUP(N290,etat!$A$9:$N$963,7,FALSE)</f>
        <v>1ج م أ1</v>
      </c>
      <c r="R290" s="797" t="str">
        <f>VLOOKUP(N290,etat!$A$9:$N$1003,9,FALSE)</f>
        <v>خ</v>
      </c>
      <c r="S290" s="866" t="str">
        <f>VLOOKUP(N290,etat!$A$9:$P$905,16,FALSE)</f>
        <v>ذخ1</v>
      </c>
      <c r="T290" s="755">
        <v>45782</v>
      </c>
      <c r="U290" s="784" t="s">
        <v>357</v>
      </c>
      <c r="V290" s="784"/>
      <c r="W290" s="784"/>
      <c r="X290" s="784"/>
      <c r="Y290" s="975"/>
      <c r="Z290" s="975"/>
      <c r="AA290" s="967">
        <v>4</v>
      </c>
      <c r="AB290" s="1005"/>
      <c r="AC290" s="1005"/>
      <c r="AD290" s="1005"/>
      <c r="AE290" s="1005"/>
      <c r="AF290" s="1005"/>
      <c r="AG290" s="1004"/>
      <c r="AH290" s="1004"/>
      <c r="AI290" s="1004"/>
      <c r="AJ290" s="1004"/>
      <c r="AK290" s="1004"/>
      <c r="AL290" s="1004"/>
      <c r="AM290" s="1004"/>
      <c r="AN290" s="1004"/>
      <c r="AO290" s="1004"/>
      <c r="AP290" s="1004"/>
      <c r="AQ290" s="1004"/>
      <c r="AR290" s="1004"/>
      <c r="AS290" s="1004"/>
      <c r="AT290" s="1004"/>
      <c r="AU290" s="1004"/>
      <c r="AV290" s="1004"/>
      <c r="AW290" s="1004"/>
    </row>
    <row r="291" spans="1:49" s="945" customFormat="1" ht="15.6" customHeight="1">
      <c r="A291" s="1004"/>
      <c r="B291" s="1004"/>
      <c r="C291" s="1004"/>
      <c r="D291" s="166"/>
      <c r="E291" s="166"/>
      <c r="F291" s="166"/>
      <c r="G291" s="166"/>
      <c r="H291" s="166"/>
      <c r="I291" s="1004"/>
      <c r="J291" s="1004"/>
      <c r="K291" s="1004"/>
      <c r="L291" s="777">
        <v>5</v>
      </c>
      <c r="M291" s="778"/>
      <c r="N291" s="976">
        <v>515</v>
      </c>
      <c r="O291" s="1020">
        <v>234</v>
      </c>
      <c r="P291" s="847">
        <f>VLOOKUP(N291,etat!$A$9:$N$1004,2,FALSE)</f>
        <v>0</v>
      </c>
      <c r="Q291" s="797" t="str">
        <f>VLOOKUP(N291,etat!$A$9:$N$963,7,FALSE)</f>
        <v>1ج م أ1</v>
      </c>
      <c r="R291" s="866" t="str">
        <f>VLOOKUP(N291,etat!$A$9:$N$1003,9,FALSE)</f>
        <v>خ</v>
      </c>
      <c r="S291" s="866" t="str">
        <f>VLOOKUP(N291,etat!$A$9:$P$905,16,FALSE)</f>
        <v>اخ1</v>
      </c>
      <c r="T291" s="755">
        <v>45782</v>
      </c>
      <c r="U291" s="784" t="s">
        <v>357</v>
      </c>
      <c r="V291" s="784"/>
      <c r="W291" s="784"/>
      <c r="X291" s="784"/>
      <c r="Y291" s="848"/>
      <c r="Z291" s="967"/>
      <c r="AA291" s="967">
        <v>2</v>
      </c>
      <c r="AB291" s="1005"/>
      <c r="AC291" s="1005"/>
      <c r="AD291" s="1005"/>
      <c r="AE291" s="1005"/>
      <c r="AF291" s="1005"/>
      <c r="AG291" s="1004"/>
      <c r="AH291" s="1004"/>
      <c r="AI291" s="1004"/>
      <c r="AJ291" s="1004"/>
      <c r="AK291" s="1004"/>
      <c r="AL291" s="1004"/>
      <c r="AM291" s="1004"/>
      <c r="AN291" s="1004"/>
      <c r="AO291" s="1004"/>
      <c r="AP291" s="1004"/>
      <c r="AQ291" s="1004"/>
      <c r="AR291" s="1004"/>
      <c r="AS291" s="1004"/>
      <c r="AT291" s="1004"/>
      <c r="AU291" s="1004"/>
      <c r="AV291" s="1004"/>
      <c r="AW291" s="1004"/>
    </row>
    <row r="292" spans="1:49" s="1097" customFormat="1" ht="15.6" customHeight="1">
      <c r="D292" s="166"/>
      <c r="E292" s="166"/>
      <c r="F292" s="166"/>
      <c r="G292" s="166"/>
      <c r="H292" s="166"/>
      <c r="L292" s="777">
        <v>5</v>
      </c>
      <c r="M292" s="864"/>
      <c r="N292" s="976">
        <v>551</v>
      </c>
      <c r="O292" s="1020">
        <v>235</v>
      </c>
      <c r="P292" s="847">
        <f>VLOOKUP(N292,etat!$A$9:$N$1004,2,FALSE)</f>
        <v>0</v>
      </c>
      <c r="Q292" s="797" t="str">
        <f>VLOOKUP(N292,etat!$A$9:$N$963,7,FALSE)</f>
        <v>1ج م أ2</v>
      </c>
      <c r="R292" s="797" t="str">
        <f>VLOOKUP(N292,etat!$A$9:$N$1003,9,FALSE)</f>
        <v>خ</v>
      </c>
      <c r="S292" s="866" t="str">
        <f>VLOOKUP(N292,etat!$A$9:$P$905,16,FALSE)</f>
        <v>اخ1</v>
      </c>
      <c r="T292" s="755">
        <v>45777</v>
      </c>
      <c r="U292" s="1129" t="s">
        <v>389</v>
      </c>
      <c r="V292" s="784" t="s">
        <v>2283</v>
      </c>
      <c r="W292" s="784"/>
      <c r="X292" s="784"/>
      <c r="Y292" s="975"/>
      <c r="Z292" s="975" t="str">
        <f>VLOOKUP(L294,[2]اس!$S$3:$X$31,3,FALSE)</f>
        <v>.</v>
      </c>
      <c r="AA292" s="967">
        <v>4</v>
      </c>
      <c r="AB292" s="1098"/>
      <c r="AC292" s="1098"/>
      <c r="AD292" s="1098"/>
      <c r="AE292" s="1098"/>
      <c r="AF292" s="1098"/>
    </row>
    <row r="293" spans="1:49" ht="15.6" customHeight="1">
      <c r="A293" s="1004"/>
      <c r="B293" s="1004"/>
      <c r="C293" s="1004"/>
      <c r="I293" s="1004"/>
      <c r="J293" s="1004"/>
      <c r="K293" s="1004"/>
      <c r="L293" s="777">
        <v>5</v>
      </c>
      <c r="M293" s="864"/>
      <c r="N293" s="976">
        <v>569</v>
      </c>
      <c r="O293" s="1020">
        <v>236</v>
      </c>
      <c r="P293" s="847">
        <f>VLOOKUP(N293,etat!$A$9:$N$1004,2,FALSE)</f>
        <v>0</v>
      </c>
      <c r="Q293" s="797">
        <f>VLOOKUP(N293,etat!$A$9:$N$963,7,FALSE)</f>
        <v>0</v>
      </c>
      <c r="R293" s="797">
        <f>VLOOKUP(N293,etat!$A$9:$N$1003,9,FALSE)</f>
        <v>0</v>
      </c>
      <c r="S293" s="866">
        <f>VLOOKUP(N293,etat!$A$9:$P$905,16,FALSE)</f>
        <v>0</v>
      </c>
      <c r="T293" s="755">
        <v>45781</v>
      </c>
      <c r="U293" s="791">
        <v>3</v>
      </c>
      <c r="V293" s="784" t="s">
        <v>2285</v>
      </c>
      <c r="W293" s="784"/>
      <c r="X293" s="784"/>
      <c r="Y293" s="975"/>
      <c r="Z293" s="975" t="str">
        <f>VLOOKUP(L296,[2]اس!$S$3:$X$31,3,FALSE)</f>
        <v>.</v>
      </c>
      <c r="AA293" s="967">
        <v>4</v>
      </c>
      <c r="AB293" s="1005"/>
      <c r="AC293" s="1005"/>
      <c r="AD293" s="1005"/>
      <c r="AE293" s="1005"/>
      <c r="AF293" s="1005"/>
      <c r="AG293" s="1004"/>
      <c r="AH293" s="1004"/>
      <c r="AI293" s="1004"/>
      <c r="AJ293" s="1004"/>
      <c r="AK293" s="1004"/>
      <c r="AL293" s="1004"/>
      <c r="AM293" s="1004"/>
      <c r="AN293" s="1004"/>
      <c r="AO293" s="1004"/>
      <c r="AP293" s="1004"/>
      <c r="AQ293" s="1004"/>
      <c r="AR293" s="1004"/>
      <c r="AS293" s="1004"/>
      <c r="AT293" s="1004"/>
      <c r="AU293" s="1004"/>
      <c r="AV293" s="1004"/>
      <c r="AW293" s="1004"/>
    </row>
    <row r="294" spans="1:49" s="945" customFormat="1" ht="15.6" customHeight="1">
      <c r="A294" s="1004"/>
      <c r="B294" s="1004"/>
      <c r="C294" s="1004"/>
      <c r="D294" s="166"/>
      <c r="E294" s="166"/>
      <c r="F294" s="166"/>
      <c r="G294" s="166"/>
      <c r="H294" s="166"/>
      <c r="I294" s="1004"/>
      <c r="J294" s="1004"/>
      <c r="K294" s="1004"/>
      <c r="L294" s="777">
        <v>5</v>
      </c>
      <c r="M294" s="778"/>
      <c r="N294" s="976">
        <v>616</v>
      </c>
      <c r="O294" s="1020">
        <v>237</v>
      </c>
      <c r="P294" s="847">
        <f>VLOOKUP(N294,etat!$A$9:$N$1004,2,FALSE)</f>
        <v>0</v>
      </c>
      <c r="Q294" s="797">
        <f>VLOOKUP(N294,etat!$A$9:$N$963,7,FALSE)</f>
        <v>0</v>
      </c>
      <c r="R294" s="866">
        <f>VLOOKUP(N294,etat!$A$9:$N$1003,9,FALSE)</f>
        <v>0</v>
      </c>
      <c r="S294" s="866">
        <f>VLOOKUP(N294,etat!$A$9:$P$905,16,FALSE)</f>
        <v>0</v>
      </c>
      <c r="T294" s="755">
        <v>45782</v>
      </c>
      <c r="U294" s="784" t="s">
        <v>357</v>
      </c>
      <c r="V294" s="784"/>
      <c r="W294" s="869"/>
      <c r="X294" s="869"/>
      <c r="Y294" s="975"/>
      <c r="Z294" s="975"/>
      <c r="AA294" s="967">
        <v>4</v>
      </c>
      <c r="AB294" s="1005"/>
      <c r="AC294" s="1005"/>
      <c r="AD294" s="1005"/>
      <c r="AE294" s="1005"/>
      <c r="AF294" s="1005"/>
      <c r="AG294" s="1004"/>
      <c r="AH294" s="1004"/>
      <c r="AI294" s="1004"/>
      <c r="AJ294" s="1004"/>
      <c r="AK294" s="1004"/>
      <c r="AL294" s="1004"/>
      <c r="AM294" s="1004"/>
      <c r="AN294" s="1004"/>
      <c r="AO294" s="1004"/>
      <c r="AP294" s="1004"/>
      <c r="AQ294" s="1004"/>
      <c r="AR294" s="1004"/>
      <c r="AS294" s="1004"/>
      <c r="AT294" s="1004"/>
      <c r="AU294" s="1004"/>
      <c r="AV294" s="1004"/>
      <c r="AW294" s="1004"/>
    </row>
    <row r="295" spans="1:49" ht="15.6" customHeight="1">
      <c r="A295" s="1004"/>
      <c r="B295" s="1004"/>
      <c r="C295" s="1004"/>
      <c r="I295" s="1004"/>
      <c r="J295" s="1004"/>
      <c r="K295" s="1004"/>
      <c r="L295" s="777">
        <v>5</v>
      </c>
      <c r="M295" s="778"/>
      <c r="N295" s="976">
        <v>597</v>
      </c>
      <c r="O295" s="1020">
        <v>238</v>
      </c>
      <c r="P295" s="847">
        <f>VLOOKUP(N295,etat!$A$9:$N$1004,2,FALSE)</f>
        <v>0</v>
      </c>
      <c r="Q295" s="797">
        <f>VLOOKUP(N295,etat!$A$9:$N$963,7,FALSE)</f>
        <v>0</v>
      </c>
      <c r="R295" s="866">
        <f>VLOOKUP(N295,etat!$A$9:$N$1003,9,FALSE)</f>
        <v>0</v>
      </c>
      <c r="S295" s="866">
        <f>VLOOKUP(N295,etat!$A$9:$P$905,16,FALSE)</f>
        <v>0</v>
      </c>
      <c r="T295" s="755">
        <v>45782</v>
      </c>
      <c r="U295" s="784" t="s">
        <v>357</v>
      </c>
      <c r="V295" s="784"/>
      <c r="W295" s="869"/>
      <c r="X295" s="869"/>
      <c r="Y295" s="975"/>
      <c r="Z295" s="975"/>
      <c r="AA295" s="967">
        <v>4</v>
      </c>
      <c r="AB295" s="1005"/>
      <c r="AC295" s="1005"/>
      <c r="AD295" s="1005"/>
      <c r="AE295" s="1005"/>
      <c r="AF295" s="1005"/>
      <c r="AG295" s="1004"/>
      <c r="AH295" s="1004"/>
      <c r="AI295" s="1004"/>
      <c r="AJ295" s="1004"/>
      <c r="AK295" s="1004"/>
      <c r="AL295" s="1004"/>
      <c r="AM295" s="1004"/>
      <c r="AN295" s="1004"/>
      <c r="AO295" s="1004"/>
      <c r="AP295" s="1004"/>
      <c r="AQ295" s="1004"/>
      <c r="AR295" s="1004"/>
      <c r="AS295" s="1004"/>
      <c r="AT295" s="1004"/>
      <c r="AU295" s="1004"/>
      <c r="AV295" s="1004"/>
      <c r="AW295" s="1004"/>
    </row>
    <row r="296" spans="1:49" ht="15.6" customHeight="1">
      <c r="A296" s="1004"/>
      <c r="B296" s="1004"/>
      <c r="C296" s="1004"/>
      <c r="I296" s="1004"/>
      <c r="J296" s="1004"/>
      <c r="K296" s="1004"/>
      <c r="L296" s="777">
        <v>5</v>
      </c>
      <c r="M296" s="864"/>
      <c r="N296" s="976">
        <v>598</v>
      </c>
      <c r="O296" s="1020">
        <v>239</v>
      </c>
      <c r="P296" s="847">
        <f>VLOOKUP(N296,etat!$A$9:$N$1004,2,FALSE)</f>
        <v>0</v>
      </c>
      <c r="Q296" s="797">
        <f>VLOOKUP(N296,etat!$A$9:$N$963,7,FALSE)</f>
        <v>0</v>
      </c>
      <c r="R296" s="797">
        <f>VLOOKUP(N296,etat!$A$9:$N$1003,9,FALSE)</f>
        <v>0</v>
      </c>
      <c r="S296" s="866">
        <f>VLOOKUP(N296,etat!$A$9:$P$905,16,FALSE)</f>
        <v>0</v>
      </c>
      <c r="T296" s="755">
        <v>45771</v>
      </c>
      <c r="U296" s="791">
        <v>13</v>
      </c>
      <c r="V296" s="784" t="s">
        <v>2280</v>
      </c>
      <c r="W296" s="784" t="s">
        <v>2283</v>
      </c>
      <c r="X296" s="784"/>
      <c r="Y296" s="975"/>
      <c r="Z296" s="975" t="str">
        <f>VLOOKUP(L319,[2]اس!$S$3:$X$31,3,FALSE)</f>
        <v>.</v>
      </c>
      <c r="AA296" s="967">
        <v>4</v>
      </c>
      <c r="AB296" s="1005"/>
      <c r="AC296" s="1005"/>
      <c r="AD296" s="1005"/>
      <c r="AE296" s="1005"/>
      <c r="AF296" s="1005"/>
      <c r="AG296" s="1004"/>
      <c r="AH296" s="1004"/>
      <c r="AI296" s="1004"/>
      <c r="AJ296" s="1004"/>
      <c r="AK296" s="1004"/>
      <c r="AL296" s="1004"/>
      <c r="AM296" s="1004"/>
      <c r="AN296" s="1004"/>
      <c r="AO296" s="1004"/>
      <c r="AP296" s="1004"/>
      <c r="AQ296" s="1004"/>
      <c r="AR296" s="1004"/>
      <c r="AS296" s="1004"/>
      <c r="AT296" s="1004"/>
      <c r="AU296" s="1004"/>
      <c r="AV296" s="1004"/>
      <c r="AW296" s="1004"/>
    </row>
    <row r="297" spans="1:49" s="930" customFormat="1" ht="15.6" customHeight="1">
      <c r="A297" s="1004"/>
      <c r="B297" s="1004"/>
      <c r="C297" s="1004"/>
      <c r="D297" s="166"/>
      <c r="E297" s="166"/>
      <c r="F297" s="166"/>
      <c r="G297" s="166"/>
      <c r="H297" s="166"/>
      <c r="I297" s="1004"/>
      <c r="J297" s="1004"/>
      <c r="K297" s="1004"/>
      <c r="L297" s="777">
        <v>5</v>
      </c>
      <c r="M297" s="778"/>
      <c r="N297" s="976">
        <v>602</v>
      </c>
      <c r="O297" s="1020">
        <v>240</v>
      </c>
      <c r="P297" s="847">
        <f>VLOOKUP(N297,etat!$A$9:$N$1004,2,FALSE)</f>
        <v>0</v>
      </c>
      <c r="Q297" s="797">
        <f>VLOOKUP(N297,etat!$A$9:$N$963,7,FALSE)</f>
        <v>0</v>
      </c>
      <c r="R297" s="797">
        <f>VLOOKUP(N297,etat!$A$9:$N$1003,9,FALSE)</f>
        <v>0</v>
      </c>
      <c r="S297" s="866">
        <f>VLOOKUP(N297,etat!$A$9:$P$905,16,FALSE)</f>
        <v>0</v>
      </c>
      <c r="T297" s="755">
        <v>45777</v>
      </c>
      <c r="U297" s="1129" t="s">
        <v>389</v>
      </c>
      <c r="V297" s="784" t="s">
        <v>2283</v>
      </c>
      <c r="W297" s="784"/>
      <c r="X297" s="784"/>
      <c r="Y297" s="975"/>
      <c r="Z297" s="967"/>
      <c r="AA297" s="967">
        <v>4</v>
      </c>
      <c r="AB297" s="1005"/>
      <c r="AC297" s="1005"/>
      <c r="AD297" s="1005"/>
      <c r="AE297" s="1005"/>
      <c r="AF297" s="1005"/>
      <c r="AG297" s="1004"/>
      <c r="AH297" s="1004"/>
      <c r="AI297" s="1004"/>
      <c r="AJ297" s="1004"/>
      <c r="AK297" s="1004"/>
      <c r="AL297" s="1004"/>
      <c r="AM297" s="1004"/>
      <c r="AN297" s="1004"/>
      <c r="AO297" s="1004"/>
      <c r="AP297" s="1004"/>
      <c r="AQ297" s="1004"/>
      <c r="AR297" s="1004"/>
      <c r="AS297" s="1004"/>
      <c r="AT297" s="1004"/>
      <c r="AU297" s="1004"/>
      <c r="AV297" s="1004"/>
      <c r="AW297" s="1004"/>
    </row>
    <row r="298" spans="1:49" ht="15.6" customHeight="1">
      <c r="A298" s="1004"/>
      <c r="B298" s="1004"/>
      <c r="C298" s="1004"/>
      <c r="I298" s="1004"/>
      <c r="J298" s="1004"/>
      <c r="K298" s="1004"/>
      <c r="L298" s="777">
        <v>5</v>
      </c>
      <c r="M298" s="778"/>
      <c r="N298" s="976">
        <v>624</v>
      </c>
      <c r="O298" s="1020">
        <v>241</v>
      </c>
      <c r="P298" s="847">
        <f>VLOOKUP(N298,etat!$A$9:$N$1004,2,FALSE)</f>
        <v>0</v>
      </c>
      <c r="Q298" s="797">
        <f>VLOOKUP(N298,etat!$A$9:$N$963,7,FALSE)</f>
        <v>0</v>
      </c>
      <c r="R298" s="797">
        <f>VLOOKUP(N298,etat!$A$9:$N$1003,9,FALSE)</f>
        <v>0</v>
      </c>
      <c r="S298" s="866">
        <f>VLOOKUP(N298,etat!$A$9:$P$905,16,FALSE)</f>
        <v>0</v>
      </c>
      <c r="T298" s="755">
        <v>45774</v>
      </c>
      <c r="U298" s="791">
        <v>10</v>
      </c>
      <c r="V298" s="784" t="s">
        <v>2281</v>
      </c>
      <c r="W298" s="784" t="s">
        <v>2285</v>
      </c>
      <c r="X298" s="784"/>
      <c r="Y298" s="975"/>
      <c r="Z298" s="975" t="str">
        <f>VLOOKUP(L301,[2]اس!$S$3:$X$31,3,FALSE)</f>
        <v>.</v>
      </c>
      <c r="AA298" s="967">
        <v>4</v>
      </c>
      <c r="AB298" s="1005"/>
      <c r="AC298" s="1005"/>
      <c r="AD298" s="1005"/>
      <c r="AE298" s="1005"/>
      <c r="AF298" s="1005"/>
      <c r="AG298" s="1004"/>
      <c r="AH298" s="1004"/>
      <c r="AI298" s="1004"/>
      <c r="AJ298" s="1004"/>
      <c r="AK298" s="1004"/>
      <c r="AL298" s="1004"/>
      <c r="AM298" s="1004"/>
      <c r="AN298" s="1004"/>
      <c r="AO298" s="1004"/>
      <c r="AP298" s="1004"/>
      <c r="AQ298" s="1004"/>
      <c r="AR298" s="1004"/>
      <c r="AS298" s="1004"/>
      <c r="AT298" s="1004"/>
      <c r="AU298" s="1004"/>
      <c r="AV298" s="1004"/>
      <c r="AW298" s="1004"/>
    </row>
    <row r="299" spans="1:49" ht="15.6" customHeight="1">
      <c r="A299" s="1004"/>
      <c r="B299" s="1004"/>
      <c r="C299" s="1004"/>
      <c r="I299" s="1004"/>
      <c r="J299" s="1004"/>
      <c r="K299" s="1004"/>
      <c r="L299" s="777">
        <v>5</v>
      </c>
      <c r="M299" s="778"/>
      <c r="N299" s="976">
        <v>631</v>
      </c>
      <c r="O299" s="1020">
        <v>242</v>
      </c>
      <c r="P299" s="847">
        <f>VLOOKUP(N299,etat!$A$9:$N$1004,2,FALSE)</f>
        <v>0</v>
      </c>
      <c r="Q299" s="797">
        <f>VLOOKUP(N299,etat!$A$9:$N$963,7,FALSE)</f>
        <v>0</v>
      </c>
      <c r="R299" s="797">
        <f>VLOOKUP(N299,etat!$A$9:$N$1003,9,FALSE)</f>
        <v>0</v>
      </c>
      <c r="S299" s="866">
        <f>VLOOKUP(N299,etat!$A$9:$P$905,16,FALSE)</f>
        <v>0</v>
      </c>
      <c r="T299" s="755">
        <v>45770</v>
      </c>
      <c r="U299" s="791">
        <v>14</v>
      </c>
      <c r="V299" s="784" t="s">
        <v>2280</v>
      </c>
      <c r="W299" s="784" t="s">
        <v>2283</v>
      </c>
      <c r="X299" s="784"/>
      <c r="Y299" s="975"/>
      <c r="Z299" s="967"/>
      <c r="AA299" s="967">
        <v>4</v>
      </c>
      <c r="AB299" s="1005"/>
      <c r="AC299" s="1005"/>
      <c r="AD299" s="1005"/>
      <c r="AE299" s="1005"/>
      <c r="AF299" s="1005"/>
      <c r="AG299" s="1004"/>
      <c r="AH299" s="1004"/>
      <c r="AI299" s="1004"/>
      <c r="AJ299" s="1004"/>
      <c r="AK299" s="1004"/>
      <c r="AL299" s="1004"/>
      <c r="AM299" s="1004"/>
      <c r="AN299" s="1004"/>
      <c r="AO299" s="1004"/>
      <c r="AP299" s="1004"/>
      <c r="AQ299" s="1004"/>
      <c r="AR299" s="1004"/>
      <c r="AS299" s="1004"/>
      <c r="AT299" s="1004"/>
      <c r="AU299" s="1004"/>
      <c r="AV299" s="1004"/>
      <c r="AW299" s="1004"/>
    </row>
    <row r="300" spans="1:49" ht="15.6" customHeight="1">
      <c r="A300" s="1004"/>
      <c r="B300" s="1004"/>
      <c r="C300" s="1004"/>
      <c r="I300" s="1004"/>
      <c r="J300" s="1004"/>
      <c r="K300" s="1004"/>
      <c r="L300" s="777">
        <v>5</v>
      </c>
      <c r="M300" s="778"/>
      <c r="N300" s="976">
        <v>648</v>
      </c>
      <c r="O300" s="1020">
        <v>243</v>
      </c>
      <c r="P300" s="847">
        <f>VLOOKUP(N300,etat!$A$9:$N$1004,2,FALSE)</f>
        <v>0</v>
      </c>
      <c r="Q300" s="797">
        <f>VLOOKUP(N300,etat!$A$9:$N$963,7,FALSE)</f>
        <v>0</v>
      </c>
      <c r="R300" s="866">
        <f>VLOOKUP(N300,etat!$A$9:$N$1003,9,FALSE)</f>
        <v>0</v>
      </c>
      <c r="S300" s="866">
        <f>VLOOKUP(N300,etat!$A$9:$P$905,16,FALSE)</f>
        <v>0</v>
      </c>
      <c r="T300" s="755">
        <v>45781</v>
      </c>
      <c r="U300" s="791">
        <v>3</v>
      </c>
      <c r="V300" s="784" t="s">
        <v>2285</v>
      </c>
      <c r="W300" s="784"/>
      <c r="X300" s="784"/>
      <c r="Y300" s="975"/>
      <c r="Z300" s="975"/>
      <c r="AA300" s="967">
        <v>4</v>
      </c>
      <c r="AB300" s="1005"/>
      <c r="AC300" s="1005"/>
      <c r="AD300" s="1005"/>
      <c r="AE300" s="1005"/>
      <c r="AF300" s="1005"/>
      <c r="AG300" s="1004"/>
      <c r="AH300" s="1004"/>
      <c r="AI300" s="1004"/>
      <c r="AJ300" s="1004"/>
      <c r="AK300" s="1004"/>
      <c r="AL300" s="1004"/>
      <c r="AM300" s="1004"/>
      <c r="AN300" s="1004"/>
      <c r="AO300" s="1004"/>
      <c r="AP300" s="1004"/>
      <c r="AQ300" s="1004"/>
      <c r="AR300" s="1004"/>
      <c r="AS300" s="1004"/>
      <c r="AT300" s="1004"/>
      <c r="AU300" s="1004"/>
      <c r="AV300" s="1004"/>
      <c r="AW300" s="1004"/>
    </row>
    <row r="301" spans="1:49" s="926" customFormat="1" ht="15.6" customHeight="1">
      <c r="A301" s="1004"/>
      <c r="B301" s="1004"/>
      <c r="C301" s="1004"/>
      <c r="D301" s="166"/>
      <c r="E301" s="166"/>
      <c r="F301" s="166"/>
      <c r="G301" s="166"/>
      <c r="H301" s="166"/>
      <c r="I301" s="1004"/>
      <c r="J301" s="1004"/>
      <c r="K301" s="1004"/>
      <c r="L301" s="777">
        <v>5</v>
      </c>
      <c r="M301" s="778"/>
      <c r="N301" s="976">
        <v>649</v>
      </c>
      <c r="O301" s="1020">
        <v>244</v>
      </c>
      <c r="P301" s="847">
        <f>VLOOKUP(N301,etat!$A$9:$N$1004,2,FALSE)</f>
        <v>0</v>
      </c>
      <c r="Q301" s="797">
        <f>VLOOKUP(N301,etat!$A$9:$N$963,7,FALSE)</f>
        <v>0</v>
      </c>
      <c r="R301" s="866">
        <f>VLOOKUP(N301,etat!$A$9:$N$1003,9,FALSE)</f>
        <v>0</v>
      </c>
      <c r="S301" s="866">
        <f>VLOOKUP(N301,etat!$A$9:$P$905,16,FALSE)</f>
        <v>0</v>
      </c>
      <c r="T301" s="755">
        <v>45782</v>
      </c>
      <c r="U301" s="784" t="s">
        <v>357</v>
      </c>
      <c r="V301" s="784"/>
      <c r="W301" s="869"/>
      <c r="X301" s="869"/>
      <c r="Y301" s="975"/>
      <c r="Z301" s="975"/>
      <c r="AA301" s="967">
        <v>4</v>
      </c>
      <c r="AB301" s="1005"/>
      <c r="AC301" s="1005"/>
      <c r="AD301" s="1005"/>
      <c r="AE301" s="1005"/>
      <c r="AF301" s="1005"/>
      <c r="AG301" s="1004"/>
      <c r="AH301" s="1004"/>
      <c r="AI301" s="1004"/>
      <c r="AJ301" s="1004"/>
      <c r="AK301" s="1004"/>
      <c r="AL301" s="1004"/>
      <c r="AM301" s="1004"/>
      <c r="AN301" s="1004"/>
      <c r="AO301" s="1004"/>
      <c r="AP301" s="1004"/>
      <c r="AQ301" s="1004"/>
      <c r="AR301" s="1004"/>
      <c r="AS301" s="1004"/>
      <c r="AT301" s="1004"/>
      <c r="AU301" s="1004"/>
      <c r="AV301" s="1004"/>
      <c r="AW301" s="1004"/>
    </row>
    <row r="302" spans="1:49" s="930" customFormat="1" ht="15.6" customHeight="1">
      <c r="A302" s="1004"/>
      <c r="B302" s="1004"/>
      <c r="C302" s="1004"/>
      <c r="D302" s="166"/>
      <c r="E302" s="166"/>
      <c r="F302" s="166"/>
      <c r="G302" s="166"/>
      <c r="H302" s="166"/>
      <c r="I302" s="1004"/>
      <c r="J302" s="1004"/>
      <c r="K302" s="1004"/>
      <c r="L302" s="777">
        <v>5</v>
      </c>
      <c r="M302" s="778"/>
      <c r="N302" s="976">
        <v>633</v>
      </c>
      <c r="O302" s="1020">
        <v>245</v>
      </c>
      <c r="P302" s="847">
        <f>VLOOKUP(N302,etat!$A$9:$N$1004,2,FALSE)</f>
        <v>0</v>
      </c>
      <c r="Q302" s="797">
        <f>VLOOKUP(N302,etat!$A$9:$N$963,7,FALSE)</f>
        <v>0</v>
      </c>
      <c r="R302" s="797">
        <f>VLOOKUP(N302,etat!$A$9:$N$1003,9,FALSE)</f>
        <v>0</v>
      </c>
      <c r="S302" s="866">
        <f>VLOOKUP(N302,etat!$A$9:$P$905,16,FALSE)</f>
        <v>0</v>
      </c>
      <c r="T302" s="755">
        <v>45781</v>
      </c>
      <c r="U302" s="791">
        <v>3</v>
      </c>
      <c r="V302" s="784" t="s">
        <v>2285</v>
      </c>
      <c r="W302" s="784"/>
      <c r="X302" s="784"/>
      <c r="Y302" s="975"/>
      <c r="Z302" s="975" t="str">
        <f>VLOOKUP(L329,[2]اس!$S$3:$X$31,3,FALSE)</f>
        <v>.</v>
      </c>
      <c r="AA302" s="967">
        <v>4</v>
      </c>
      <c r="AB302" s="1005"/>
      <c r="AC302" s="1005"/>
      <c r="AD302" s="1005"/>
      <c r="AE302" s="1005"/>
      <c r="AF302" s="1005"/>
      <c r="AG302" s="1004"/>
      <c r="AH302" s="1004"/>
      <c r="AI302" s="1004"/>
      <c r="AJ302" s="1004"/>
      <c r="AK302" s="1004"/>
      <c r="AL302" s="1004"/>
      <c r="AM302" s="1004"/>
      <c r="AN302" s="1004"/>
      <c r="AO302" s="1004"/>
      <c r="AP302" s="1004"/>
      <c r="AQ302" s="1004"/>
      <c r="AR302" s="1004"/>
      <c r="AS302" s="1004"/>
      <c r="AT302" s="1004"/>
      <c r="AU302" s="1004"/>
      <c r="AV302" s="1004"/>
      <c r="AW302" s="1004"/>
    </row>
    <row r="303" spans="1:49" s="930" customFormat="1" ht="15.6" customHeight="1">
      <c r="A303" s="1004"/>
      <c r="B303" s="1004"/>
      <c r="C303" s="1004"/>
      <c r="D303" s="166"/>
      <c r="E303" s="166"/>
      <c r="F303" s="166"/>
      <c r="G303" s="166"/>
      <c r="H303" s="166"/>
      <c r="I303" s="1004"/>
      <c r="J303" s="1004"/>
      <c r="K303" s="1004"/>
      <c r="L303" s="777">
        <v>5</v>
      </c>
      <c r="M303" s="778"/>
      <c r="N303" s="976">
        <v>686</v>
      </c>
      <c r="O303" s="1020">
        <v>246</v>
      </c>
      <c r="P303" s="847">
        <f>VLOOKUP(N303,etat!$A$9:$N$1004,2,FALSE)</f>
        <v>0</v>
      </c>
      <c r="Q303" s="797">
        <f>VLOOKUP(N303,etat!$A$9:$N$963,7,FALSE)</f>
        <v>0</v>
      </c>
      <c r="R303" s="866">
        <f>VLOOKUP(N303,etat!$A$9:$N$1003,9,FALSE)</f>
        <v>0</v>
      </c>
      <c r="S303" s="866">
        <f>VLOOKUP(N303,etat!$A$9:$P$905,16,FALSE)</f>
        <v>0</v>
      </c>
      <c r="T303" s="755">
        <v>45782</v>
      </c>
      <c r="U303" s="784" t="s">
        <v>357</v>
      </c>
      <c r="V303" s="784"/>
      <c r="W303" s="869"/>
      <c r="X303" s="869"/>
      <c r="Y303" s="975"/>
      <c r="Z303" s="975"/>
      <c r="AA303" s="967">
        <v>4</v>
      </c>
      <c r="AB303" s="1005"/>
      <c r="AC303" s="1005"/>
      <c r="AD303" s="1005"/>
      <c r="AE303" s="1005"/>
      <c r="AF303" s="1005"/>
      <c r="AG303" s="1004"/>
      <c r="AH303" s="1004"/>
      <c r="AI303" s="1004"/>
      <c r="AJ303" s="1004"/>
      <c r="AK303" s="1004"/>
      <c r="AL303" s="1004"/>
      <c r="AM303" s="1004"/>
      <c r="AN303" s="1004"/>
      <c r="AO303" s="1004"/>
      <c r="AP303" s="1004"/>
      <c r="AQ303" s="1004"/>
      <c r="AR303" s="1004"/>
      <c r="AS303" s="1004"/>
      <c r="AT303" s="1004"/>
      <c r="AU303" s="1004"/>
      <c r="AV303" s="1004"/>
      <c r="AW303" s="1004"/>
    </row>
    <row r="304" spans="1:49" s="926" customFormat="1" ht="15.6" customHeight="1">
      <c r="A304" s="1004"/>
      <c r="B304" s="1004"/>
      <c r="C304" s="1004"/>
      <c r="D304" s="166"/>
      <c r="E304" s="166"/>
      <c r="F304" s="166"/>
      <c r="G304" s="166"/>
      <c r="H304" s="166"/>
      <c r="I304" s="1004"/>
      <c r="J304" s="1004"/>
      <c r="K304" s="1004"/>
      <c r="L304" s="777">
        <v>5</v>
      </c>
      <c r="M304" s="778"/>
      <c r="N304" s="976">
        <v>679</v>
      </c>
      <c r="O304" s="1020">
        <v>247</v>
      </c>
      <c r="P304" s="847">
        <f>VLOOKUP(N304,etat!$A$9:$N$1004,2,FALSE)</f>
        <v>0</v>
      </c>
      <c r="Q304" s="797">
        <f>VLOOKUP(N304,etat!$A$9:$N$963,7,FALSE)</f>
        <v>0</v>
      </c>
      <c r="R304" s="866">
        <f>VLOOKUP(N304,etat!$A$9:$N$1003,9,FALSE)</f>
        <v>0</v>
      </c>
      <c r="S304" s="866">
        <f>VLOOKUP(N304,etat!$A$9:$P$905,16,FALSE)</f>
        <v>0</v>
      </c>
      <c r="T304" s="755">
        <v>45776</v>
      </c>
      <c r="U304" s="791">
        <v>8</v>
      </c>
      <c r="V304" s="784" t="s">
        <v>2283</v>
      </c>
      <c r="W304" s="784"/>
      <c r="X304" s="784"/>
      <c r="Y304" s="975"/>
      <c r="Z304" s="975"/>
      <c r="AA304" s="967">
        <v>4</v>
      </c>
      <c r="AB304" s="1005"/>
      <c r="AC304" s="1005"/>
      <c r="AD304" s="1005"/>
      <c r="AE304" s="1005"/>
      <c r="AF304" s="1005"/>
      <c r="AG304" s="1004"/>
      <c r="AH304" s="1004"/>
      <c r="AI304" s="1004"/>
      <c r="AJ304" s="1004"/>
      <c r="AK304" s="1004"/>
      <c r="AL304" s="1004"/>
      <c r="AM304" s="1004"/>
      <c r="AN304" s="1004"/>
      <c r="AO304" s="1004"/>
      <c r="AP304" s="1004"/>
      <c r="AQ304" s="1004"/>
      <c r="AR304" s="1004"/>
      <c r="AS304" s="1004"/>
      <c r="AT304" s="1004"/>
      <c r="AU304" s="1004"/>
      <c r="AV304" s="1004"/>
      <c r="AW304" s="1004"/>
    </row>
    <row r="305" spans="1:49" ht="15.6" customHeight="1">
      <c r="A305" s="1004"/>
      <c r="B305" s="1004"/>
      <c r="C305" s="1004"/>
      <c r="I305" s="1004"/>
      <c r="J305" s="1004"/>
      <c r="K305" s="1004"/>
      <c r="L305" s="777">
        <v>5</v>
      </c>
      <c r="M305" s="778"/>
      <c r="N305" s="976">
        <v>689</v>
      </c>
      <c r="O305" s="1020">
        <v>248</v>
      </c>
      <c r="P305" s="847">
        <f>VLOOKUP(N305,etat!$A$9:$N$1004,2,FALSE)</f>
        <v>0</v>
      </c>
      <c r="Q305" s="797">
        <f>VLOOKUP(N305,etat!$A$9:$N$963,7,FALSE)</f>
        <v>0</v>
      </c>
      <c r="R305" s="797">
        <f>VLOOKUP(N305,etat!$A$9:$N$1003,9,FALSE)</f>
        <v>0</v>
      </c>
      <c r="S305" s="866">
        <f>VLOOKUP(N305,etat!$A$9:$P$905,16,FALSE)</f>
        <v>0</v>
      </c>
      <c r="T305" s="755">
        <v>45777</v>
      </c>
      <c r="U305" s="1129" t="s">
        <v>389</v>
      </c>
      <c r="V305" s="784" t="s">
        <v>2283</v>
      </c>
      <c r="W305" s="784"/>
      <c r="X305" s="784"/>
      <c r="Y305" s="975"/>
      <c r="Z305" s="967"/>
      <c r="AA305" s="967">
        <v>4</v>
      </c>
      <c r="AB305" s="1005"/>
      <c r="AC305" s="1005"/>
      <c r="AD305" s="1005"/>
      <c r="AE305" s="1005"/>
      <c r="AF305" s="1005"/>
      <c r="AG305" s="1004"/>
      <c r="AH305" s="1004"/>
      <c r="AI305" s="1004"/>
      <c r="AJ305" s="1004"/>
      <c r="AK305" s="1004"/>
      <c r="AL305" s="1004"/>
      <c r="AM305" s="1004"/>
      <c r="AN305" s="1004"/>
      <c r="AO305" s="1004"/>
      <c r="AP305" s="1004"/>
      <c r="AQ305" s="1004"/>
      <c r="AR305" s="1004"/>
      <c r="AS305" s="1004"/>
      <c r="AT305" s="1004"/>
      <c r="AU305" s="1004"/>
      <c r="AV305" s="1004"/>
      <c r="AW305" s="1004"/>
    </row>
    <row r="306" spans="1:49" ht="15.6" customHeight="1">
      <c r="A306" s="1004"/>
      <c r="B306" s="1004"/>
      <c r="C306" s="1004"/>
      <c r="I306" s="1004"/>
      <c r="J306" s="1004"/>
      <c r="K306" s="1004"/>
      <c r="L306" s="777">
        <v>5</v>
      </c>
      <c r="M306" s="778"/>
      <c r="N306" s="976">
        <v>739</v>
      </c>
      <c r="O306" s="1020">
        <v>249</v>
      </c>
      <c r="P306" s="847">
        <f>VLOOKUP(N306,etat!$A$9:$N$1004,2,FALSE)</f>
        <v>0</v>
      </c>
      <c r="Q306" s="797">
        <f>VLOOKUP(N306,etat!$A$9:$N$963,7,FALSE)</f>
        <v>0</v>
      </c>
      <c r="R306" s="797">
        <f>VLOOKUP(N306,etat!$A$9:$N$1003,9,FALSE)</f>
        <v>0</v>
      </c>
      <c r="S306" s="866">
        <f>VLOOKUP(N306,etat!$A$9:$P$905,16,FALSE)</f>
        <v>0</v>
      </c>
      <c r="T306" s="755">
        <v>45782</v>
      </c>
      <c r="U306" s="784" t="s">
        <v>357</v>
      </c>
      <c r="V306" s="784"/>
      <c r="W306" s="869"/>
      <c r="X306" s="869"/>
      <c r="Y306" s="975"/>
      <c r="Z306" s="967"/>
      <c r="AA306" s="967">
        <v>4</v>
      </c>
      <c r="AB306" s="1005"/>
      <c r="AC306" s="1005"/>
      <c r="AD306" s="1005"/>
      <c r="AE306" s="1005"/>
      <c r="AF306" s="1005"/>
      <c r="AG306" s="1004"/>
      <c r="AH306" s="1004"/>
      <c r="AI306" s="1004"/>
      <c r="AJ306" s="1004"/>
      <c r="AK306" s="1004"/>
      <c r="AL306" s="1004"/>
      <c r="AM306" s="1004"/>
      <c r="AN306" s="1004"/>
      <c r="AO306" s="1004"/>
      <c r="AP306" s="1004"/>
      <c r="AQ306" s="1004"/>
      <c r="AR306" s="1004"/>
      <c r="AS306" s="1004"/>
      <c r="AT306" s="1004"/>
      <c r="AU306" s="1004"/>
      <c r="AV306" s="1004"/>
      <c r="AW306" s="1004"/>
    </row>
    <row r="307" spans="1:49" ht="15.6" customHeight="1">
      <c r="A307" s="1004"/>
      <c r="B307" s="1004"/>
      <c r="C307" s="1004"/>
      <c r="I307" s="1004"/>
      <c r="J307" s="1004"/>
      <c r="K307" s="1004"/>
      <c r="L307" s="777">
        <v>5</v>
      </c>
      <c r="M307" s="778"/>
      <c r="N307" s="976">
        <v>726</v>
      </c>
      <c r="O307" s="1020">
        <v>250</v>
      </c>
      <c r="P307" s="847">
        <f>VLOOKUP(N307,etat!$A$9:$N$1004,2,FALSE)</f>
        <v>0</v>
      </c>
      <c r="Q307" s="797">
        <f>VLOOKUP(N307,etat!$A$9:$N$963,7,FALSE)</f>
        <v>0</v>
      </c>
      <c r="R307" s="797">
        <f>VLOOKUP(N307,etat!$A$9:$N$1003,9,FALSE)</f>
        <v>0</v>
      </c>
      <c r="S307" s="866">
        <f>VLOOKUP(N307,etat!$A$9:$P$905,16,FALSE)</f>
        <v>0</v>
      </c>
      <c r="T307" s="755">
        <v>45781</v>
      </c>
      <c r="U307" s="791">
        <v>3</v>
      </c>
      <c r="V307" s="784" t="s">
        <v>2285</v>
      </c>
      <c r="W307" s="784"/>
      <c r="X307" s="784"/>
      <c r="Y307" s="975"/>
      <c r="Z307" s="967"/>
      <c r="AA307" s="967">
        <v>4</v>
      </c>
      <c r="AB307" s="1005"/>
      <c r="AC307" s="1005"/>
      <c r="AD307" s="1005"/>
      <c r="AE307" s="1005"/>
      <c r="AF307" s="1005"/>
      <c r="AG307" s="1004"/>
      <c r="AH307" s="1004"/>
      <c r="AI307" s="1004"/>
      <c r="AJ307" s="1004"/>
      <c r="AK307" s="1004"/>
      <c r="AL307" s="1004"/>
      <c r="AM307" s="1004"/>
      <c r="AN307" s="1004"/>
      <c r="AO307" s="1004"/>
      <c r="AP307" s="1004"/>
      <c r="AQ307" s="1004"/>
      <c r="AR307" s="1004"/>
      <c r="AS307" s="1004"/>
      <c r="AT307" s="1004"/>
      <c r="AU307" s="1004"/>
      <c r="AV307" s="1004"/>
      <c r="AW307" s="1004"/>
    </row>
    <row r="308" spans="1:49" ht="15.6" customHeight="1">
      <c r="A308" s="1004"/>
      <c r="B308" s="1004"/>
      <c r="C308" s="1004"/>
      <c r="I308" s="1004"/>
      <c r="J308" s="1004"/>
      <c r="K308" s="1004"/>
      <c r="L308" s="777">
        <v>5</v>
      </c>
      <c r="M308" s="778"/>
      <c r="N308" s="976">
        <v>728</v>
      </c>
      <c r="O308" s="1020">
        <v>251</v>
      </c>
      <c r="P308" s="847">
        <f>VLOOKUP(N308,etat!$A$9:$N$1004,2,FALSE)</f>
        <v>0</v>
      </c>
      <c r="Q308" s="797">
        <f>VLOOKUP(N308,etat!$A$9:$N$963,7,FALSE)</f>
        <v>0</v>
      </c>
      <c r="R308" s="797">
        <f>VLOOKUP(N308,etat!$A$9:$N$1003,9,FALSE)</f>
        <v>0</v>
      </c>
      <c r="S308" s="866">
        <f>VLOOKUP(N308,etat!$A$9:$P$905,16,FALSE)</f>
        <v>0</v>
      </c>
      <c r="T308" s="755">
        <v>45781</v>
      </c>
      <c r="U308" s="791">
        <v>3</v>
      </c>
      <c r="V308" s="784" t="s">
        <v>2285</v>
      </c>
      <c r="W308" s="784"/>
      <c r="X308" s="784"/>
      <c r="Y308" s="975"/>
      <c r="Z308" s="975" t="str">
        <f>VLOOKUP(L312,[2]اس!$S$3:$X$31,3,FALSE)</f>
        <v>.</v>
      </c>
      <c r="AA308" s="967">
        <v>4</v>
      </c>
      <c r="AB308" s="1005"/>
      <c r="AC308" s="1005"/>
      <c r="AD308" s="1005"/>
      <c r="AE308" s="1005"/>
      <c r="AF308" s="1005"/>
      <c r="AG308" s="1004"/>
      <c r="AH308" s="1004"/>
      <c r="AI308" s="1004"/>
      <c r="AJ308" s="1004"/>
      <c r="AK308" s="1004"/>
      <c r="AL308" s="1004"/>
      <c r="AM308" s="1004"/>
      <c r="AN308" s="1004"/>
      <c r="AO308" s="1004"/>
      <c r="AP308" s="1004"/>
      <c r="AQ308" s="1004"/>
      <c r="AR308" s="1004"/>
      <c r="AS308" s="1004"/>
      <c r="AT308" s="1004"/>
      <c r="AU308" s="1004"/>
      <c r="AV308" s="1004"/>
      <c r="AW308" s="1004"/>
    </row>
    <row r="309" spans="1:49" ht="15.6" customHeight="1">
      <c r="A309" s="1004"/>
      <c r="B309" s="1004"/>
      <c r="C309" s="1004"/>
      <c r="I309" s="1004"/>
      <c r="J309" s="1004"/>
      <c r="K309" s="1004"/>
      <c r="L309" s="777">
        <v>5</v>
      </c>
      <c r="M309" s="778"/>
      <c r="N309" s="976">
        <v>724</v>
      </c>
      <c r="O309" s="1020">
        <v>252</v>
      </c>
      <c r="P309" s="847">
        <f>VLOOKUP(N309,etat!$A$9:$N$1004,2,FALSE)</f>
        <v>0</v>
      </c>
      <c r="Q309" s="797">
        <f>VLOOKUP(N309,etat!$A$9:$N$963,7,FALSE)</f>
        <v>0</v>
      </c>
      <c r="R309" s="954">
        <f>VLOOKUP(N309,etat!$A$9:$N$1003,9,FALSE)</f>
        <v>0</v>
      </c>
      <c r="S309" s="866">
        <f>VLOOKUP(N309,etat!$A$9:$P$905,16,FALSE)</f>
        <v>0</v>
      </c>
      <c r="T309" s="755">
        <v>45782</v>
      </c>
      <c r="U309" s="784" t="s">
        <v>357</v>
      </c>
      <c r="V309" s="784"/>
      <c r="W309" s="869"/>
      <c r="X309" s="869"/>
      <c r="Y309" s="975"/>
      <c r="Z309" s="975" t="e">
        <f>VLOOKUP(#REF!,[2]اس!$S$3:$X$31,3,FALSE)</f>
        <v>#REF!</v>
      </c>
      <c r="AA309" s="967">
        <v>4</v>
      </c>
      <c r="AB309" s="1005"/>
      <c r="AC309" s="1005"/>
      <c r="AD309" s="1005"/>
      <c r="AE309" s="1005"/>
      <c r="AF309" s="1005"/>
      <c r="AG309" s="1004"/>
      <c r="AH309" s="1004"/>
      <c r="AI309" s="1004"/>
      <c r="AJ309" s="1004"/>
      <c r="AK309" s="1004"/>
      <c r="AL309" s="1004"/>
      <c r="AM309" s="1004"/>
      <c r="AN309" s="1004"/>
      <c r="AO309" s="1004"/>
      <c r="AP309" s="1004"/>
      <c r="AQ309" s="1004"/>
      <c r="AR309" s="1004"/>
      <c r="AS309" s="1004"/>
      <c r="AT309" s="1004"/>
      <c r="AU309" s="1004"/>
      <c r="AV309" s="1004"/>
      <c r="AW309" s="1004"/>
    </row>
    <row r="310" spans="1:49" ht="15.6" customHeight="1">
      <c r="A310" s="1004"/>
      <c r="B310" s="1004"/>
      <c r="C310" s="1004"/>
      <c r="I310" s="1004"/>
      <c r="J310" s="1004"/>
      <c r="K310" s="1004"/>
      <c r="L310" s="777">
        <v>5</v>
      </c>
      <c r="M310" s="778"/>
      <c r="N310" s="976">
        <v>742</v>
      </c>
      <c r="O310" s="1020">
        <v>253</v>
      </c>
      <c r="P310" s="847">
        <f>VLOOKUP(N310,etat!$A$9:$N$1004,2,FALSE)</f>
        <v>0</v>
      </c>
      <c r="Q310" s="797">
        <f>VLOOKUP(N310,etat!$A$9:$N$963,7,FALSE)</f>
        <v>0</v>
      </c>
      <c r="R310" s="954">
        <f>VLOOKUP(N310,etat!$A$9:$N$1003,9,FALSE)</f>
        <v>0</v>
      </c>
      <c r="S310" s="866">
        <f>VLOOKUP(N310,etat!$A$9:$P$905,16,FALSE)</f>
        <v>0</v>
      </c>
      <c r="T310" s="755">
        <v>45782</v>
      </c>
      <c r="U310" s="784" t="s">
        <v>357</v>
      </c>
      <c r="V310" s="784"/>
      <c r="W310" s="869"/>
      <c r="X310" s="869"/>
      <c r="Y310" s="975"/>
      <c r="Z310" s="975" t="e">
        <f>VLOOKUP(#REF!,[2]اس!$S$3:$X$31,3,FALSE)</f>
        <v>#REF!</v>
      </c>
      <c r="AA310" s="967">
        <v>4</v>
      </c>
      <c r="AB310" s="1005"/>
      <c r="AC310" s="1005"/>
      <c r="AD310" s="1005"/>
      <c r="AE310" s="1005"/>
      <c r="AF310" s="1005"/>
      <c r="AG310" s="1004"/>
      <c r="AH310" s="1004"/>
      <c r="AI310" s="1004"/>
      <c r="AJ310" s="1004"/>
      <c r="AK310" s="1004"/>
      <c r="AL310" s="1004"/>
      <c r="AM310" s="1004"/>
      <c r="AN310" s="1004"/>
      <c r="AO310" s="1004"/>
      <c r="AP310" s="1004"/>
      <c r="AQ310" s="1004"/>
      <c r="AR310" s="1004"/>
      <c r="AS310" s="1004"/>
      <c r="AT310" s="1004"/>
      <c r="AU310" s="1004"/>
      <c r="AV310" s="1004"/>
      <c r="AW310" s="1004"/>
    </row>
    <row r="311" spans="1:49" ht="15.6" customHeight="1">
      <c r="A311" s="1004"/>
      <c r="B311" s="1004"/>
      <c r="C311" s="1004"/>
      <c r="I311" s="1004"/>
      <c r="J311" s="1004"/>
      <c r="K311" s="1004"/>
      <c r="L311" s="777">
        <v>5</v>
      </c>
      <c r="M311" s="778"/>
      <c r="N311" s="976">
        <v>748</v>
      </c>
      <c r="O311" s="1020">
        <v>254</v>
      </c>
      <c r="P311" s="847">
        <f>VLOOKUP(N311,etat!$A$9:$N$1004,2,FALSE)</f>
        <v>0</v>
      </c>
      <c r="Q311" s="797">
        <f>VLOOKUP(N311,etat!$A$9:$N$963,7,FALSE)</f>
        <v>0</v>
      </c>
      <c r="R311" s="954">
        <f>VLOOKUP(N311,etat!$A$9:$N$1003,9,FALSE)</f>
        <v>0</v>
      </c>
      <c r="S311" s="866">
        <f>VLOOKUP(N311,etat!$A$9:$P$905,16,FALSE)</f>
        <v>0</v>
      </c>
      <c r="T311" s="755">
        <v>45781</v>
      </c>
      <c r="U311" s="791">
        <v>3</v>
      </c>
      <c r="V311" s="784" t="s">
        <v>2285</v>
      </c>
      <c r="W311" s="784"/>
      <c r="X311" s="784"/>
      <c r="Y311" s="975"/>
      <c r="Z311" s="975" t="e">
        <f>VLOOKUP(#REF!,[2]اس!$S$3:$X$31,3,FALSE)</f>
        <v>#REF!</v>
      </c>
      <c r="AA311" s="967">
        <v>4</v>
      </c>
      <c r="AB311" s="1005"/>
      <c r="AC311" s="1005"/>
      <c r="AD311" s="1005"/>
      <c r="AE311" s="1005"/>
      <c r="AF311" s="1005"/>
      <c r="AG311" s="1004"/>
      <c r="AH311" s="1004"/>
      <c r="AI311" s="1004"/>
      <c r="AJ311" s="1004"/>
      <c r="AK311" s="1004"/>
      <c r="AL311" s="1004"/>
      <c r="AM311" s="1004"/>
      <c r="AN311" s="1004"/>
      <c r="AO311" s="1004"/>
      <c r="AP311" s="1004"/>
      <c r="AQ311" s="1004"/>
      <c r="AR311" s="1004"/>
      <c r="AS311" s="1004"/>
      <c r="AT311" s="1004"/>
      <c r="AU311" s="1004"/>
      <c r="AV311" s="1004"/>
      <c r="AW311" s="1004"/>
    </row>
    <row r="312" spans="1:49" ht="15.6" customHeight="1">
      <c r="A312" s="1004"/>
      <c r="B312" s="1004"/>
      <c r="C312" s="1004"/>
      <c r="I312" s="1004"/>
      <c r="J312" s="1004"/>
      <c r="K312" s="1004"/>
      <c r="L312" s="777">
        <v>5</v>
      </c>
      <c r="M312" s="778"/>
      <c r="N312" s="976">
        <v>750</v>
      </c>
      <c r="O312" s="1020">
        <v>255</v>
      </c>
      <c r="P312" s="847">
        <f>VLOOKUP(N312,etat!$A$9:$N$1004,2,FALSE)</f>
        <v>0</v>
      </c>
      <c r="Q312" s="797">
        <f>VLOOKUP(N312,etat!$A$9:$N$963,7,FALSE)</f>
        <v>0</v>
      </c>
      <c r="R312" s="954">
        <f>VLOOKUP(N312,etat!$A$9:$N$1003,9,FALSE)</f>
        <v>0</v>
      </c>
      <c r="S312" s="866">
        <f>VLOOKUP(N312,etat!$A$9:$P$905,16,FALSE)</f>
        <v>0</v>
      </c>
      <c r="T312" s="755">
        <v>45782</v>
      </c>
      <c r="U312" s="784" t="s">
        <v>357</v>
      </c>
      <c r="V312" s="784"/>
      <c r="W312" s="869"/>
      <c r="X312" s="869"/>
      <c r="Y312" s="975"/>
      <c r="Z312" s="975" t="str">
        <f>VLOOKUP(L315,[2]اس!$S$3:$X$31,3,FALSE)</f>
        <v>.</v>
      </c>
      <c r="AA312" s="967">
        <v>4</v>
      </c>
      <c r="AB312" s="1005"/>
      <c r="AC312" s="1005"/>
      <c r="AD312" s="1005"/>
      <c r="AE312" s="1005"/>
      <c r="AF312" s="1005"/>
      <c r="AG312" s="1004"/>
      <c r="AH312" s="1004"/>
      <c r="AI312" s="1004"/>
      <c r="AJ312" s="1004"/>
      <c r="AK312" s="1004"/>
      <c r="AL312" s="1004"/>
      <c r="AM312" s="1004"/>
      <c r="AN312" s="1004"/>
      <c r="AO312" s="1004"/>
      <c r="AP312" s="1004"/>
      <c r="AQ312" s="1004"/>
      <c r="AR312" s="1004"/>
      <c r="AS312" s="1004"/>
      <c r="AT312" s="1004"/>
      <c r="AU312" s="1004"/>
      <c r="AV312" s="1004"/>
      <c r="AW312" s="1004"/>
    </row>
    <row r="313" spans="1:49" ht="15.6" customHeight="1">
      <c r="A313" s="1004"/>
      <c r="B313" s="1004"/>
      <c r="C313" s="1004"/>
      <c r="I313" s="1004"/>
      <c r="J313" s="1004"/>
      <c r="K313" s="1004"/>
      <c r="L313" s="777">
        <v>5</v>
      </c>
      <c r="M313" s="778"/>
      <c r="N313" s="976">
        <v>761</v>
      </c>
      <c r="O313" s="1020">
        <v>256</v>
      </c>
      <c r="P313" s="847">
        <f>VLOOKUP(N313,etat!$A$9:$N$1004,2,FALSE)</f>
        <v>0</v>
      </c>
      <c r="Q313" s="797">
        <f>VLOOKUP(N313,etat!$A$9:$N$963,7,FALSE)</f>
        <v>0</v>
      </c>
      <c r="R313" s="954">
        <f>VLOOKUP(N313,etat!$A$9:$N$1003,9,FALSE)</f>
        <v>0</v>
      </c>
      <c r="S313" s="866">
        <f>VLOOKUP(N313,etat!$A$9:$P$905,16,FALSE)</f>
        <v>0</v>
      </c>
      <c r="T313" s="755">
        <v>45781</v>
      </c>
      <c r="U313" s="791">
        <v>3</v>
      </c>
      <c r="V313" s="784" t="s">
        <v>2285</v>
      </c>
      <c r="W313" s="784"/>
      <c r="X313" s="784"/>
      <c r="Y313" s="975"/>
      <c r="Z313" s="975" t="str">
        <f>VLOOKUP(L342,[2]اس!$S$3:$X$31,3,FALSE)</f>
        <v>.</v>
      </c>
      <c r="AA313" s="967">
        <v>4</v>
      </c>
      <c r="AB313" s="1005"/>
      <c r="AC313" s="1005"/>
      <c r="AD313" s="1005"/>
      <c r="AE313" s="1005"/>
      <c r="AF313" s="1005"/>
      <c r="AG313" s="1004"/>
      <c r="AH313" s="1004"/>
      <c r="AI313" s="1004"/>
      <c r="AJ313" s="1004"/>
      <c r="AK313" s="1004"/>
      <c r="AL313" s="1004"/>
      <c r="AM313" s="1004"/>
      <c r="AN313" s="1004"/>
      <c r="AO313" s="1004"/>
      <c r="AP313" s="1004"/>
      <c r="AQ313" s="1004"/>
      <c r="AR313" s="1004"/>
      <c r="AS313" s="1004"/>
      <c r="AT313" s="1004"/>
      <c r="AU313" s="1004"/>
      <c r="AV313" s="1004"/>
      <c r="AW313" s="1004"/>
    </row>
    <row r="314" spans="1:49" ht="15.6" customHeight="1">
      <c r="A314" s="1004"/>
      <c r="B314" s="1004"/>
      <c r="C314" s="1004"/>
      <c r="I314" s="1004"/>
      <c r="J314" s="1004"/>
      <c r="K314" s="1004"/>
      <c r="L314" s="777">
        <v>5</v>
      </c>
      <c r="M314" s="778"/>
      <c r="N314" s="976">
        <v>767</v>
      </c>
      <c r="O314" s="1020">
        <v>257</v>
      </c>
      <c r="P314" s="847">
        <f>VLOOKUP(N314,etat!$A$9:$N$1004,2,FALSE)</f>
        <v>0</v>
      </c>
      <c r="Q314" s="797">
        <f>VLOOKUP(N314,etat!$A$9:$N$963,7,FALSE)</f>
        <v>0</v>
      </c>
      <c r="R314" s="954">
        <f>VLOOKUP(N314,etat!$A$9:$N$1003,9,FALSE)</f>
        <v>0</v>
      </c>
      <c r="S314" s="866">
        <f>VLOOKUP(N314,etat!$A$9:$P$905,16,FALSE)</f>
        <v>0</v>
      </c>
      <c r="T314" s="755">
        <v>45781</v>
      </c>
      <c r="U314" s="791">
        <v>3</v>
      </c>
      <c r="V314" s="784" t="s">
        <v>2285</v>
      </c>
      <c r="W314" s="784"/>
      <c r="X314" s="784"/>
      <c r="Y314" s="975"/>
      <c r="Z314" s="975" t="str">
        <f>VLOOKUP(L343,[2]اس!$S$3:$X$31,3,FALSE)</f>
        <v>.</v>
      </c>
      <c r="AA314" s="967">
        <v>4</v>
      </c>
      <c r="AB314" s="1005"/>
      <c r="AC314" s="1005"/>
      <c r="AD314" s="1005"/>
      <c r="AE314" s="1005"/>
      <c r="AF314" s="1005"/>
      <c r="AG314" s="1004"/>
      <c r="AH314" s="1004"/>
      <c r="AI314" s="1004"/>
      <c r="AJ314" s="1004"/>
      <c r="AK314" s="1004"/>
      <c r="AL314" s="1004"/>
      <c r="AM314" s="1004"/>
      <c r="AN314" s="1004"/>
      <c r="AO314" s="1004"/>
      <c r="AP314" s="1004"/>
      <c r="AQ314" s="1004"/>
      <c r="AR314" s="1004"/>
      <c r="AS314" s="1004"/>
      <c r="AT314" s="1004"/>
      <c r="AU314" s="1004"/>
      <c r="AV314" s="1004"/>
      <c r="AW314" s="1004"/>
    </row>
    <row r="315" spans="1:49" ht="15.6" customHeight="1">
      <c r="A315" s="1004"/>
      <c r="B315" s="1004"/>
      <c r="C315" s="1004"/>
      <c r="I315" s="1004"/>
      <c r="J315" s="1004"/>
      <c r="K315" s="1004"/>
      <c r="L315" s="777">
        <v>5</v>
      </c>
      <c r="M315" s="778"/>
      <c r="N315" s="976">
        <v>760</v>
      </c>
      <c r="O315" s="1020">
        <v>258</v>
      </c>
      <c r="P315" s="847">
        <f>VLOOKUP(N315,etat!$A$9:$N$1004,2,FALSE)</f>
        <v>0</v>
      </c>
      <c r="Q315" s="797">
        <f>VLOOKUP(N315,etat!$A$9:$N$963,7,FALSE)</f>
        <v>0</v>
      </c>
      <c r="R315" s="866">
        <f>VLOOKUP(N315,etat!$A$9:$N$1003,9,FALSE)</f>
        <v>0</v>
      </c>
      <c r="S315" s="866">
        <f>VLOOKUP(N315,etat!$A$9:$P$905,16,FALSE)</f>
        <v>0</v>
      </c>
      <c r="T315" s="755">
        <v>45782</v>
      </c>
      <c r="U315" s="784" t="s">
        <v>357</v>
      </c>
      <c r="V315" s="784"/>
      <c r="W315" s="869"/>
      <c r="X315" s="869"/>
      <c r="Y315" s="975"/>
      <c r="Z315" s="975"/>
      <c r="AA315" s="967">
        <v>4</v>
      </c>
      <c r="AB315" s="1005"/>
      <c r="AC315" s="1005"/>
      <c r="AD315" s="1005"/>
      <c r="AE315" s="1005"/>
      <c r="AF315" s="1005"/>
      <c r="AG315" s="1004"/>
      <c r="AH315" s="1004"/>
      <c r="AI315" s="1004"/>
      <c r="AJ315" s="1004"/>
      <c r="AK315" s="1004"/>
      <c r="AL315" s="1004"/>
      <c r="AM315" s="1004"/>
      <c r="AN315" s="1004"/>
      <c r="AO315" s="1004"/>
      <c r="AP315" s="1004"/>
      <c r="AQ315" s="1004"/>
      <c r="AR315" s="1004"/>
      <c r="AS315" s="1004"/>
      <c r="AT315" s="1004"/>
      <c r="AU315" s="1004"/>
      <c r="AV315" s="1004"/>
      <c r="AW315" s="1004"/>
    </row>
    <row r="316" spans="1:49" ht="15.6" customHeight="1">
      <c r="A316" s="1004"/>
      <c r="B316" s="1004"/>
      <c r="C316" s="1004"/>
      <c r="I316" s="1004"/>
      <c r="J316" s="1004"/>
      <c r="K316" s="1004"/>
      <c r="L316" s="777">
        <v>5</v>
      </c>
      <c r="M316" s="778"/>
      <c r="N316" s="976">
        <v>0</v>
      </c>
      <c r="O316" s="1020">
        <v>259</v>
      </c>
      <c r="P316" s="847" t="e">
        <f>VLOOKUP(N316,etat!$A$9:$N$1004,2,FALSE)</f>
        <v>#N/A</v>
      </c>
      <c r="Q316" s="797" t="e">
        <f>VLOOKUP(N316,etat!$A$9:$N$963,7,FALSE)</f>
        <v>#N/A</v>
      </c>
      <c r="R316" s="797" t="e">
        <f>VLOOKUP(N316,etat!$A$9:$N$1003,9,FALSE)</f>
        <v>#N/A</v>
      </c>
      <c r="S316" s="866" t="e">
        <f>VLOOKUP(N316,etat!$A$9:$P$905,16,FALSE)</f>
        <v>#N/A</v>
      </c>
      <c r="T316" s="755"/>
      <c r="U316" s="784"/>
      <c r="V316" s="784"/>
      <c r="W316" s="784"/>
      <c r="X316" s="784"/>
      <c r="Y316" s="975"/>
      <c r="Z316" s="932"/>
      <c r="AA316" s="967"/>
      <c r="AB316" s="1005"/>
      <c r="AC316" s="1005"/>
      <c r="AD316" s="1005"/>
      <c r="AE316" s="1005"/>
      <c r="AF316" s="1005"/>
      <c r="AG316" s="1004"/>
      <c r="AH316" s="1004"/>
      <c r="AI316" s="1004"/>
      <c r="AJ316" s="1004"/>
      <c r="AK316" s="1004"/>
      <c r="AL316" s="1004"/>
      <c r="AM316" s="1004"/>
      <c r="AN316" s="1004"/>
      <c r="AO316" s="1004"/>
      <c r="AP316" s="1004"/>
      <c r="AQ316" s="1004"/>
      <c r="AR316" s="1004"/>
      <c r="AS316" s="1004"/>
      <c r="AT316" s="1004"/>
      <c r="AU316" s="1004"/>
      <c r="AV316" s="1004"/>
      <c r="AW316" s="1004"/>
    </row>
    <row r="317" spans="1:49" ht="15.6" customHeight="1">
      <c r="A317" s="1004"/>
      <c r="B317" s="1004"/>
      <c r="C317" s="1004"/>
      <c r="I317" s="1004"/>
      <c r="J317" s="1004"/>
      <c r="K317" s="1004"/>
      <c r="L317" s="777">
        <v>5</v>
      </c>
      <c r="M317" s="778"/>
      <c r="N317" s="976">
        <v>0</v>
      </c>
      <c r="O317" s="1020">
        <v>260</v>
      </c>
      <c r="P317" s="847" t="e">
        <f>VLOOKUP(N317,etat!$A$9:$N$1004,2,FALSE)</f>
        <v>#N/A</v>
      </c>
      <c r="Q317" s="797" t="e">
        <f>VLOOKUP(N317,etat!$A$9:$N$963,7,FALSE)</f>
        <v>#N/A</v>
      </c>
      <c r="R317" s="797" t="e">
        <f>VLOOKUP(N317,etat!$A$9:$N$1003,9,FALSE)</f>
        <v>#N/A</v>
      </c>
      <c r="S317" s="866" t="e">
        <f>VLOOKUP(N317,etat!$A$9:$P$905,16,FALSE)</f>
        <v>#N/A</v>
      </c>
      <c r="T317" s="755"/>
      <c r="U317" s="784"/>
      <c r="V317" s="784"/>
      <c r="W317" s="784"/>
      <c r="X317" s="784"/>
      <c r="Y317" s="975"/>
      <c r="Z317" s="932"/>
      <c r="AA317" s="967"/>
      <c r="AB317" s="1005"/>
      <c r="AC317" s="1005"/>
      <c r="AD317" s="1005"/>
      <c r="AE317" s="1005"/>
      <c r="AF317" s="1005"/>
      <c r="AG317" s="1004"/>
      <c r="AH317" s="1004"/>
      <c r="AI317" s="1004"/>
      <c r="AJ317" s="1004"/>
      <c r="AK317" s="1004"/>
      <c r="AL317" s="1004"/>
      <c r="AM317" s="1004"/>
      <c r="AN317" s="1004"/>
      <c r="AO317" s="1004"/>
      <c r="AP317" s="1004"/>
      <c r="AQ317" s="1004"/>
      <c r="AR317" s="1004"/>
      <c r="AS317" s="1004"/>
      <c r="AT317" s="1004"/>
      <c r="AU317" s="1004"/>
      <c r="AV317" s="1004"/>
      <c r="AW317" s="1004"/>
    </row>
    <row r="318" spans="1:49" s="930" customFormat="1" ht="15.6" customHeight="1">
      <c r="A318" s="1004"/>
      <c r="B318" s="1004"/>
      <c r="C318" s="1004"/>
      <c r="D318" s="166"/>
      <c r="E318" s="166"/>
      <c r="F318" s="166"/>
      <c r="G318" s="166"/>
      <c r="H318" s="166"/>
      <c r="I318" s="1004"/>
      <c r="J318" s="1004"/>
      <c r="K318" s="1004"/>
      <c r="L318" s="777">
        <v>5</v>
      </c>
      <c r="M318" s="778"/>
      <c r="N318" s="976">
        <v>0</v>
      </c>
      <c r="O318" s="1020">
        <v>261</v>
      </c>
      <c r="P318" s="847" t="e">
        <f>VLOOKUP(N318,etat!$A$9:$N$1004,2,FALSE)</f>
        <v>#N/A</v>
      </c>
      <c r="Q318" s="797" t="e">
        <f>VLOOKUP(N318,etat!$A$9:$N$963,7,FALSE)</f>
        <v>#N/A</v>
      </c>
      <c r="R318" s="797" t="e">
        <f>VLOOKUP(N318,etat!$A$9:$N$1003,9,FALSE)</f>
        <v>#N/A</v>
      </c>
      <c r="S318" s="866" t="e">
        <f>VLOOKUP(N318,etat!$A$9:$P$905,16,FALSE)</f>
        <v>#N/A</v>
      </c>
      <c r="T318" s="755"/>
      <c r="U318" s="784"/>
      <c r="V318" s="784"/>
      <c r="W318" s="784"/>
      <c r="X318" s="784"/>
      <c r="Y318" s="975"/>
      <c r="Z318" s="932"/>
      <c r="AA318" s="967"/>
      <c r="AB318" s="1005"/>
      <c r="AC318" s="1005"/>
      <c r="AD318" s="1005"/>
      <c r="AE318" s="1005"/>
      <c r="AF318" s="1005"/>
      <c r="AG318" s="1004"/>
      <c r="AH318" s="1004"/>
      <c r="AI318" s="1004"/>
      <c r="AJ318" s="1004"/>
      <c r="AK318" s="1004"/>
      <c r="AL318" s="1004"/>
      <c r="AM318" s="1004"/>
      <c r="AN318" s="1004"/>
      <c r="AO318" s="1004"/>
      <c r="AP318" s="1004"/>
      <c r="AQ318" s="1004"/>
      <c r="AR318" s="1004"/>
      <c r="AS318" s="1004"/>
      <c r="AT318" s="1004"/>
      <c r="AU318" s="1004"/>
      <c r="AV318" s="1004"/>
      <c r="AW318" s="1004"/>
    </row>
    <row r="319" spans="1:49" s="930" customFormat="1" ht="15.6" customHeight="1">
      <c r="A319" s="1004"/>
      <c r="B319" s="1004"/>
      <c r="C319" s="1004"/>
      <c r="D319" s="166"/>
      <c r="E319" s="166"/>
      <c r="F319" s="166"/>
      <c r="G319" s="166"/>
      <c r="H319" s="166"/>
      <c r="I319" s="1004"/>
      <c r="J319" s="1004"/>
      <c r="K319" s="1004"/>
      <c r="L319" s="777">
        <v>5</v>
      </c>
      <c r="M319" s="778"/>
      <c r="N319" s="976">
        <v>0</v>
      </c>
      <c r="O319" s="1020">
        <v>262</v>
      </c>
      <c r="P319" s="847" t="e">
        <f>VLOOKUP(N319,etat!$A$9:$N$1004,2,FALSE)</f>
        <v>#N/A</v>
      </c>
      <c r="Q319" s="797" t="e">
        <f>VLOOKUP(N319,etat!$A$9:$N$963,7,FALSE)</f>
        <v>#N/A</v>
      </c>
      <c r="R319" s="797" t="e">
        <f>VLOOKUP(N319,etat!$A$9:$N$1003,9,FALSE)</f>
        <v>#N/A</v>
      </c>
      <c r="S319" s="866" t="e">
        <f>VLOOKUP(N319,etat!$A$9:$P$905,16,FALSE)</f>
        <v>#N/A</v>
      </c>
      <c r="T319" s="755"/>
      <c r="U319" s="784"/>
      <c r="V319" s="784"/>
      <c r="W319" s="784"/>
      <c r="X319" s="784"/>
      <c r="Y319" s="975"/>
      <c r="Z319" s="932"/>
      <c r="AA319" s="967"/>
      <c r="AB319" s="1005"/>
      <c r="AC319" s="1005"/>
      <c r="AD319" s="1005"/>
      <c r="AE319" s="1005"/>
      <c r="AF319" s="1005"/>
      <c r="AG319" s="1004"/>
      <c r="AH319" s="1004"/>
      <c r="AI319" s="1004"/>
      <c r="AJ319" s="1004"/>
      <c r="AK319" s="1004"/>
      <c r="AL319" s="1004"/>
      <c r="AM319" s="1004"/>
      <c r="AN319" s="1004"/>
      <c r="AO319" s="1004"/>
      <c r="AP319" s="1004"/>
      <c r="AQ319" s="1004"/>
      <c r="AR319" s="1004"/>
      <c r="AS319" s="1004"/>
      <c r="AT319" s="1004"/>
      <c r="AU319" s="1004"/>
      <c r="AV319" s="1004"/>
      <c r="AW319" s="1004"/>
    </row>
    <row r="320" spans="1:49" s="930" customFormat="1" ht="15.6" customHeight="1">
      <c r="A320" s="1004"/>
      <c r="B320" s="1004"/>
      <c r="C320" s="1004"/>
      <c r="D320" s="166"/>
      <c r="E320" s="166"/>
      <c r="F320" s="166"/>
      <c r="G320" s="166"/>
      <c r="H320" s="166"/>
      <c r="I320" s="1004"/>
      <c r="J320" s="1004"/>
      <c r="K320" s="1004"/>
      <c r="L320" s="777">
        <v>5</v>
      </c>
      <c r="M320" s="778"/>
      <c r="N320" s="976">
        <v>0</v>
      </c>
      <c r="O320" s="1020">
        <v>263</v>
      </c>
      <c r="P320" s="847" t="e">
        <f>VLOOKUP(N320,etat!$A$9:$N$1004,2,FALSE)</f>
        <v>#N/A</v>
      </c>
      <c r="Q320" s="797" t="e">
        <f>VLOOKUP(N320,etat!$A$9:$N$963,7,FALSE)</f>
        <v>#N/A</v>
      </c>
      <c r="R320" s="797" t="e">
        <f>VLOOKUP(N320,etat!$A$9:$N$1003,9,FALSE)</f>
        <v>#N/A</v>
      </c>
      <c r="S320" s="866" t="e">
        <f>VLOOKUP(N320,etat!$A$9:$P$905,16,FALSE)</f>
        <v>#N/A</v>
      </c>
      <c r="T320" s="755"/>
      <c r="U320" s="784"/>
      <c r="V320" s="784"/>
      <c r="W320" s="784"/>
      <c r="X320" s="784"/>
      <c r="Y320" s="975"/>
      <c r="Z320" s="932" t="str">
        <f>VLOOKUP(L320,[2]اس!$S$3:$X$31,3,FALSE)</f>
        <v>.</v>
      </c>
      <c r="AA320" s="967"/>
      <c r="AB320" s="1005"/>
      <c r="AC320" s="1005"/>
      <c r="AD320" s="1005"/>
      <c r="AE320" s="1005"/>
      <c r="AF320" s="1005"/>
      <c r="AG320" s="1004"/>
      <c r="AH320" s="1004"/>
      <c r="AI320" s="1004"/>
      <c r="AJ320" s="1004"/>
      <c r="AK320" s="1004"/>
      <c r="AL320" s="1004"/>
      <c r="AM320" s="1004"/>
      <c r="AN320" s="1004"/>
      <c r="AO320" s="1004"/>
      <c r="AP320" s="1004"/>
      <c r="AQ320" s="1004"/>
      <c r="AR320" s="1004"/>
      <c r="AS320" s="1004"/>
      <c r="AT320" s="1004"/>
      <c r="AU320" s="1004"/>
      <c r="AV320" s="1004"/>
      <c r="AW320" s="1004"/>
    </row>
    <row r="321" spans="1:49" ht="15.6" customHeight="1">
      <c r="A321" s="1004"/>
      <c r="B321" s="1004"/>
      <c r="C321" s="1004"/>
      <c r="I321" s="1004"/>
      <c r="J321" s="1004"/>
      <c r="K321" s="1004"/>
      <c r="L321" s="777">
        <v>5</v>
      </c>
      <c r="M321" s="778"/>
      <c r="N321" s="976">
        <v>0</v>
      </c>
      <c r="O321" s="1020">
        <v>264</v>
      </c>
      <c r="P321" s="847" t="e">
        <f>VLOOKUP(N321,etat!$A$9:$N$1004,2,FALSE)</f>
        <v>#N/A</v>
      </c>
      <c r="Q321" s="797" t="e">
        <f>VLOOKUP(N321,etat!$A$9:$N$963,7,FALSE)</f>
        <v>#N/A</v>
      </c>
      <c r="R321" s="797" t="e">
        <f>VLOOKUP(N321,etat!$A$9:$N$1003,9,FALSE)</f>
        <v>#N/A</v>
      </c>
      <c r="S321" s="866" t="e">
        <f>VLOOKUP(N321,etat!$A$9:$P$905,16,FALSE)</f>
        <v>#N/A</v>
      </c>
      <c r="T321" s="755"/>
      <c r="U321" s="784"/>
      <c r="V321" s="784"/>
      <c r="W321" s="784"/>
      <c r="X321" s="784"/>
      <c r="Y321" s="975"/>
      <c r="Z321" s="932" t="str">
        <f>VLOOKUP(L321,[2]اس!$S$3:$X$31,3,FALSE)</f>
        <v>.</v>
      </c>
      <c r="AA321" s="967"/>
      <c r="AB321" s="1005"/>
      <c r="AC321" s="1005"/>
      <c r="AD321" s="1005"/>
      <c r="AE321" s="1005"/>
      <c r="AF321" s="1005"/>
      <c r="AG321" s="1004"/>
      <c r="AH321" s="1004"/>
      <c r="AI321" s="1004"/>
      <c r="AJ321" s="1004"/>
      <c r="AK321" s="1004"/>
      <c r="AL321" s="1004"/>
      <c r="AM321" s="1004"/>
      <c r="AN321" s="1004"/>
      <c r="AO321" s="1004"/>
      <c r="AP321" s="1004"/>
      <c r="AQ321" s="1004"/>
      <c r="AR321" s="1004"/>
      <c r="AS321" s="1004"/>
      <c r="AT321" s="1004"/>
      <c r="AU321" s="1004"/>
      <c r="AV321" s="1004"/>
      <c r="AW321" s="1004"/>
    </row>
    <row r="322" spans="1:49" ht="15.6" customHeight="1">
      <c r="A322" s="1004"/>
      <c r="B322" s="1004"/>
      <c r="C322" s="1004"/>
      <c r="I322" s="1004"/>
      <c r="J322" s="1004"/>
      <c r="K322" s="1004"/>
      <c r="L322" s="777">
        <v>5</v>
      </c>
      <c r="M322" s="778"/>
      <c r="N322" s="976">
        <v>0</v>
      </c>
      <c r="O322" s="1020">
        <v>265</v>
      </c>
      <c r="P322" s="847" t="e">
        <f>VLOOKUP(N322,etat!$A$9:$N$1004,2,FALSE)</f>
        <v>#N/A</v>
      </c>
      <c r="Q322" s="797" t="e">
        <f>VLOOKUP(N322,etat!$A$9:$N$963,7,FALSE)</f>
        <v>#N/A</v>
      </c>
      <c r="R322" s="797" t="e">
        <f>VLOOKUP(N322,etat!$A$9:$N$1003,9,FALSE)</f>
        <v>#N/A</v>
      </c>
      <c r="S322" s="866" t="e">
        <f>VLOOKUP(N322,etat!$A$9:$P$905,16,FALSE)</f>
        <v>#N/A</v>
      </c>
      <c r="T322" s="755"/>
      <c r="U322" s="784"/>
      <c r="V322" s="784"/>
      <c r="W322" s="784"/>
      <c r="X322" s="784"/>
      <c r="Y322" s="975"/>
      <c r="Z322" s="932" t="str">
        <f>VLOOKUP(L322,[2]اس!$S$3:$X$31,3,FALSE)</f>
        <v>.</v>
      </c>
      <c r="AA322" s="967"/>
      <c r="AB322" s="1005"/>
      <c r="AC322" s="1005"/>
      <c r="AD322" s="1005"/>
      <c r="AE322" s="1005"/>
      <c r="AF322" s="1005"/>
      <c r="AG322" s="1004"/>
      <c r="AH322" s="1004"/>
      <c r="AI322" s="1004"/>
      <c r="AJ322" s="1004"/>
      <c r="AK322" s="1004"/>
      <c r="AL322" s="1004"/>
      <c r="AM322" s="1004"/>
      <c r="AN322" s="1004"/>
      <c r="AO322" s="1004"/>
      <c r="AP322" s="1004"/>
      <c r="AQ322" s="1004"/>
      <c r="AR322" s="1004"/>
      <c r="AS322" s="1004"/>
      <c r="AT322" s="1004"/>
      <c r="AU322" s="1004"/>
      <c r="AV322" s="1004"/>
      <c r="AW322" s="1004"/>
    </row>
    <row r="323" spans="1:49" ht="15.6" customHeight="1">
      <c r="A323" s="1004"/>
      <c r="B323" s="1004"/>
      <c r="C323" s="1004"/>
      <c r="I323" s="1004"/>
      <c r="J323" s="1004"/>
      <c r="K323" s="1004"/>
      <c r="L323" s="777">
        <v>5</v>
      </c>
      <c r="M323" s="778"/>
      <c r="N323" s="976">
        <v>0</v>
      </c>
      <c r="O323" s="1020">
        <v>266</v>
      </c>
      <c r="P323" s="847" t="e">
        <f>VLOOKUP(N323,etat!$A$9:$N$1004,2,FALSE)</f>
        <v>#N/A</v>
      </c>
      <c r="Q323" s="797" t="e">
        <f>VLOOKUP(N323,etat!$A$9:$N$963,7,FALSE)</f>
        <v>#N/A</v>
      </c>
      <c r="R323" s="797" t="e">
        <f>VLOOKUP(N323,etat!$A$9:$N$1003,9,FALSE)</f>
        <v>#N/A</v>
      </c>
      <c r="S323" s="866" t="e">
        <f>VLOOKUP(N323,etat!$A$9:$P$905,16,FALSE)</f>
        <v>#N/A</v>
      </c>
      <c r="T323" s="755"/>
      <c r="U323" s="784"/>
      <c r="V323" s="784"/>
      <c r="W323" s="784"/>
      <c r="X323" s="784"/>
      <c r="Y323" s="975"/>
      <c r="Z323" s="932" t="str">
        <f>VLOOKUP(L323,[2]اس!$S$3:$X$31,3,FALSE)</f>
        <v>.</v>
      </c>
      <c r="AA323" s="967"/>
      <c r="AB323" s="1005"/>
      <c r="AC323" s="1005"/>
      <c r="AD323" s="1005"/>
      <c r="AE323" s="1005"/>
      <c r="AF323" s="1005"/>
      <c r="AG323" s="1004"/>
      <c r="AH323" s="1004"/>
      <c r="AI323" s="1004"/>
      <c r="AJ323" s="1004"/>
      <c r="AK323" s="1004"/>
      <c r="AL323" s="1004"/>
      <c r="AM323" s="1004"/>
      <c r="AN323" s="1004"/>
      <c r="AO323" s="1004"/>
      <c r="AP323" s="1004"/>
      <c r="AQ323" s="1004"/>
      <c r="AR323" s="1004"/>
      <c r="AS323" s="1004"/>
      <c r="AT323" s="1004"/>
      <c r="AU323" s="1004"/>
      <c r="AV323" s="1004"/>
      <c r="AW323" s="1004"/>
    </row>
    <row r="324" spans="1:49" ht="15.6" customHeight="1">
      <c r="A324" s="1004"/>
      <c r="B324" s="1004"/>
      <c r="C324" s="1004"/>
      <c r="I324" s="1004"/>
      <c r="J324" s="1004"/>
      <c r="K324" s="1004"/>
      <c r="L324" s="777">
        <v>5</v>
      </c>
      <c r="M324" s="778"/>
      <c r="N324" s="976">
        <v>0</v>
      </c>
      <c r="O324" s="1020">
        <v>267</v>
      </c>
      <c r="P324" s="847" t="e">
        <f>VLOOKUP(N324,etat!$A$9:$N$1004,2,FALSE)</f>
        <v>#N/A</v>
      </c>
      <c r="Q324" s="797" t="e">
        <f>VLOOKUP(N324,etat!$A$9:$N$963,7,FALSE)</f>
        <v>#N/A</v>
      </c>
      <c r="R324" s="797" t="e">
        <f>VLOOKUP(N324,etat!$A$9:$N$1003,9,FALSE)</f>
        <v>#N/A</v>
      </c>
      <c r="S324" s="866" t="e">
        <f>VLOOKUP(N324,etat!$A$9:$P$905,16,FALSE)</f>
        <v>#N/A</v>
      </c>
      <c r="T324" s="755"/>
      <c r="U324" s="784"/>
      <c r="V324" s="784"/>
      <c r="W324" s="784"/>
      <c r="X324" s="784"/>
      <c r="Y324" s="975"/>
      <c r="Z324" s="932" t="str">
        <f>VLOOKUP(L324,[2]اس!$S$3:$X$31,3,FALSE)</f>
        <v>.</v>
      </c>
      <c r="AA324" s="967"/>
      <c r="AB324" s="1005"/>
      <c r="AC324" s="1005"/>
      <c r="AD324" s="1005"/>
      <c r="AE324" s="1005"/>
      <c r="AF324" s="1005"/>
      <c r="AG324" s="1004"/>
      <c r="AH324" s="1004"/>
      <c r="AI324" s="1004"/>
      <c r="AJ324" s="1004"/>
      <c r="AK324" s="1004"/>
      <c r="AL324" s="1004"/>
      <c r="AM324" s="1004"/>
      <c r="AN324" s="1004"/>
      <c r="AO324" s="1004"/>
      <c r="AP324" s="1004"/>
      <c r="AQ324" s="1004"/>
      <c r="AR324" s="1004"/>
      <c r="AS324" s="1004"/>
      <c r="AT324" s="1004"/>
      <c r="AU324" s="1004"/>
      <c r="AV324" s="1004"/>
      <c r="AW324" s="1004"/>
    </row>
    <row r="325" spans="1:49" ht="15.6" customHeight="1">
      <c r="A325" s="1004"/>
      <c r="B325" s="1004"/>
      <c r="C325" s="1004"/>
      <c r="I325" s="1004"/>
      <c r="J325" s="1004"/>
      <c r="K325" s="1004"/>
      <c r="L325" s="777">
        <v>5</v>
      </c>
      <c r="M325" s="778"/>
      <c r="N325" s="976">
        <v>0</v>
      </c>
      <c r="O325" s="1020">
        <v>268</v>
      </c>
      <c r="P325" s="847" t="e">
        <f>VLOOKUP(N325,etat!$A$9:$N$1004,2,FALSE)</f>
        <v>#N/A</v>
      </c>
      <c r="Q325" s="797" t="e">
        <f>VLOOKUP(N325,etat!$A$9:$N$963,7,FALSE)</f>
        <v>#N/A</v>
      </c>
      <c r="R325" s="797" t="e">
        <f>VLOOKUP(N325,etat!$A$9:$N$1003,9,FALSE)</f>
        <v>#N/A</v>
      </c>
      <c r="S325" s="866" t="e">
        <f>VLOOKUP(N325,etat!$A$9:$P$905,16,FALSE)</f>
        <v>#N/A</v>
      </c>
      <c r="T325" s="755"/>
      <c r="U325" s="784"/>
      <c r="V325" s="784"/>
      <c r="W325" s="784"/>
      <c r="X325" s="784"/>
      <c r="Y325" s="975"/>
      <c r="Z325" s="932" t="str">
        <f>VLOOKUP(L325,[2]اس!$S$3:$X$31,3,FALSE)</f>
        <v>.</v>
      </c>
      <c r="AA325" s="967"/>
      <c r="AB325" s="1005"/>
      <c r="AC325" s="1005"/>
      <c r="AD325" s="1005"/>
      <c r="AE325" s="1005"/>
      <c r="AF325" s="1005"/>
      <c r="AG325" s="1004"/>
      <c r="AH325" s="1004"/>
      <c r="AI325" s="1004"/>
      <c r="AJ325" s="1004"/>
      <c r="AK325" s="1004"/>
      <c r="AL325" s="1004"/>
      <c r="AM325" s="1004"/>
      <c r="AN325" s="1004"/>
      <c r="AO325" s="1004"/>
      <c r="AP325" s="1004"/>
      <c r="AQ325" s="1004"/>
      <c r="AR325" s="1004"/>
      <c r="AS325" s="1004"/>
      <c r="AT325" s="1004"/>
      <c r="AU325" s="1004"/>
      <c r="AV325" s="1004"/>
      <c r="AW325" s="1004"/>
    </row>
    <row r="326" spans="1:49" ht="15.6" customHeight="1">
      <c r="A326" s="1004"/>
      <c r="B326" s="1004"/>
      <c r="C326" s="1004"/>
      <c r="I326" s="1004"/>
      <c r="J326" s="1004"/>
      <c r="K326" s="1004"/>
      <c r="L326" s="777">
        <v>5</v>
      </c>
      <c r="M326" s="778"/>
      <c r="N326" s="976">
        <v>0</v>
      </c>
      <c r="O326" s="1020">
        <v>269</v>
      </c>
      <c r="P326" s="847" t="e">
        <f>VLOOKUP(N326,etat!$A$9:$N$1004,2,FALSE)</f>
        <v>#N/A</v>
      </c>
      <c r="Q326" s="797" t="e">
        <f>VLOOKUP(N326,etat!$A$9:$N$963,7,FALSE)</f>
        <v>#N/A</v>
      </c>
      <c r="R326" s="797" t="e">
        <f>VLOOKUP(N326,etat!$A$9:$N$1003,9,FALSE)</f>
        <v>#N/A</v>
      </c>
      <c r="S326" s="866" t="e">
        <f>VLOOKUP(N326,etat!$A$9:$P$905,16,FALSE)</f>
        <v>#N/A</v>
      </c>
      <c r="T326" s="755"/>
      <c r="U326" s="784"/>
      <c r="V326" s="784"/>
      <c r="W326" s="784"/>
      <c r="X326" s="784"/>
      <c r="Y326" s="975"/>
      <c r="Z326" s="932" t="str">
        <f>VLOOKUP(L326,[2]اس!$S$3:$X$31,3,FALSE)</f>
        <v>.</v>
      </c>
      <c r="AA326" s="967"/>
      <c r="AB326" s="1005"/>
      <c r="AC326" s="1005"/>
      <c r="AD326" s="1005"/>
      <c r="AE326" s="1005"/>
      <c r="AF326" s="1005"/>
      <c r="AG326" s="1004"/>
      <c r="AH326" s="1004"/>
      <c r="AI326" s="1004"/>
      <c r="AJ326" s="1004"/>
      <c r="AK326" s="1004"/>
      <c r="AL326" s="1004"/>
      <c r="AM326" s="1004"/>
      <c r="AN326" s="1004"/>
      <c r="AO326" s="1004"/>
      <c r="AP326" s="1004"/>
      <c r="AQ326" s="1004"/>
      <c r="AR326" s="1004"/>
      <c r="AS326" s="1004"/>
      <c r="AT326" s="1004"/>
      <c r="AU326" s="1004"/>
      <c r="AV326" s="1004"/>
      <c r="AW326" s="1004"/>
    </row>
    <row r="327" spans="1:49" ht="15.6" customHeight="1">
      <c r="A327" s="1004"/>
      <c r="B327" s="1004"/>
      <c r="C327" s="1004"/>
      <c r="I327" s="1004"/>
      <c r="J327" s="1004"/>
      <c r="K327" s="1004"/>
      <c r="L327" s="777">
        <v>5</v>
      </c>
      <c r="M327" s="778"/>
      <c r="N327" s="976">
        <v>0</v>
      </c>
      <c r="O327" s="1020">
        <v>270</v>
      </c>
      <c r="P327" s="847" t="e">
        <f>VLOOKUP(N327,etat!$A$9:$N$1004,2,FALSE)</f>
        <v>#N/A</v>
      </c>
      <c r="Q327" s="797" t="e">
        <f>VLOOKUP(N327,etat!$A$9:$N$963,7,FALSE)</f>
        <v>#N/A</v>
      </c>
      <c r="R327" s="797" t="e">
        <f>VLOOKUP(N327,etat!$A$9:$N$1003,9,FALSE)</f>
        <v>#N/A</v>
      </c>
      <c r="S327" s="866" t="e">
        <f>VLOOKUP(N327,etat!$A$9:$P$905,16,FALSE)</f>
        <v>#N/A</v>
      </c>
      <c r="T327" s="755"/>
      <c r="U327" s="784"/>
      <c r="V327" s="784"/>
      <c r="W327" s="784"/>
      <c r="X327" s="784"/>
      <c r="Y327" s="975"/>
      <c r="Z327" s="932" t="str">
        <f>VLOOKUP(L327,[2]اس!$S$3:$X$31,3,FALSE)</f>
        <v>.</v>
      </c>
      <c r="AA327" s="967"/>
      <c r="AB327" s="1005"/>
      <c r="AC327" s="1005"/>
      <c r="AD327" s="1005"/>
      <c r="AE327" s="1005"/>
      <c r="AF327" s="1005"/>
      <c r="AG327" s="1004"/>
      <c r="AH327" s="1004"/>
      <c r="AI327" s="1004"/>
      <c r="AJ327" s="1004"/>
      <c r="AK327" s="1004"/>
      <c r="AL327" s="1004"/>
      <c r="AM327" s="1004"/>
      <c r="AN327" s="1004"/>
      <c r="AO327" s="1004"/>
      <c r="AP327" s="1004"/>
      <c r="AQ327" s="1004"/>
      <c r="AR327" s="1004"/>
      <c r="AS327" s="1004"/>
      <c r="AT327" s="1004"/>
      <c r="AU327" s="1004"/>
      <c r="AV327" s="1004"/>
      <c r="AW327" s="1004"/>
    </row>
    <row r="328" spans="1:49" ht="15.6" customHeight="1">
      <c r="A328" s="1004"/>
      <c r="B328" s="1004"/>
      <c r="C328" s="1004"/>
      <c r="I328" s="1004"/>
      <c r="J328" s="1004"/>
      <c r="K328" s="1004"/>
      <c r="L328" s="777">
        <v>5</v>
      </c>
      <c r="M328" s="778"/>
      <c r="N328" s="976">
        <v>0</v>
      </c>
      <c r="O328" s="1020">
        <v>271</v>
      </c>
      <c r="P328" s="847" t="e">
        <f>VLOOKUP(N328,etat!$A$9:$N$1004,2,FALSE)</f>
        <v>#N/A</v>
      </c>
      <c r="Q328" s="797" t="e">
        <f>VLOOKUP(N328,etat!$A$9:$N$963,7,FALSE)</f>
        <v>#N/A</v>
      </c>
      <c r="R328" s="797" t="e">
        <f>VLOOKUP(N328,etat!$A$9:$N$1003,9,FALSE)</f>
        <v>#N/A</v>
      </c>
      <c r="S328" s="866" t="e">
        <f>VLOOKUP(N328,etat!$A$9:$P$905,16,FALSE)</f>
        <v>#N/A</v>
      </c>
      <c r="T328" s="755"/>
      <c r="U328" s="784"/>
      <c r="V328" s="784"/>
      <c r="W328" s="784"/>
      <c r="X328" s="784"/>
      <c r="Y328" s="975"/>
      <c r="Z328" s="932" t="str">
        <f>VLOOKUP(L328,[2]اس!$S$3:$X$31,3,FALSE)</f>
        <v>.</v>
      </c>
      <c r="AA328" s="967"/>
      <c r="AB328" s="1005"/>
      <c r="AC328" s="1005"/>
      <c r="AD328" s="1005"/>
      <c r="AE328" s="1005"/>
      <c r="AF328" s="1005"/>
      <c r="AG328" s="1004"/>
      <c r="AH328" s="1004"/>
      <c r="AI328" s="1004"/>
      <c r="AJ328" s="1004"/>
      <c r="AK328" s="1004"/>
      <c r="AL328" s="1004"/>
      <c r="AM328" s="1004"/>
      <c r="AN328" s="1004"/>
      <c r="AO328" s="1004"/>
      <c r="AP328" s="1004"/>
      <c r="AQ328" s="1004"/>
      <c r="AR328" s="1004"/>
      <c r="AS328" s="1004"/>
      <c r="AT328" s="1004"/>
      <c r="AU328" s="1004"/>
      <c r="AV328" s="1004"/>
      <c r="AW328" s="1004"/>
    </row>
    <row r="329" spans="1:49" ht="15.6" customHeight="1">
      <c r="A329" s="1004"/>
      <c r="B329" s="1004"/>
      <c r="C329" s="1004"/>
      <c r="I329" s="1004"/>
      <c r="J329" s="1004"/>
      <c r="K329" s="1004"/>
      <c r="L329" s="777">
        <v>5</v>
      </c>
      <c r="M329" s="778"/>
      <c r="N329" s="976">
        <v>0</v>
      </c>
      <c r="O329" s="1020">
        <v>272</v>
      </c>
      <c r="P329" s="847" t="e">
        <f>VLOOKUP(N329,etat!$A$9:$N$1004,2,FALSE)</f>
        <v>#N/A</v>
      </c>
      <c r="Q329" s="797" t="e">
        <f>VLOOKUP(N329,etat!$A$9:$N$963,7,FALSE)</f>
        <v>#N/A</v>
      </c>
      <c r="R329" s="797" t="e">
        <f>VLOOKUP(N329,etat!$A$9:$N$1003,9,FALSE)</f>
        <v>#N/A</v>
      </c>
      <c r="S329" s="866" t="e">
        <f>VLOOKUP(N329,etat!$A$9:$P$905,16,FALSE)</f>
        <v>#N/A</v>
      </c>
      <c r="T329" s="755"/>
      <c r="U329" s="784"/>
      <c r="V329" s="784"/>
      <c r="W329" s="784"/>
      <c r="X329" s="784"/>
      <c r="Y329" s="975"/>
      <c r="Z329" s="932" t="str">
        <f>VLOOKUP(L329,[2]اس!$S$3:$X$31,3,FALSE)</f>
        <v>.</v>
      </c>
      <c r="AA329" s="967"/>
      <c r="AB329" s="1005"/>
      <c r="AC329" s="1005"/>
      <c r="AD329" s="1005"/>
      <c r="AE329" s="1005"/>
      <c r="AF329" s="1005"/>
      <c r="AG329" s="1004"/>
      <c r="AH329" s="1004"/>
      <c r="AI329" s="1004"/>
      <c r="AJ329" s="1004"/>
      <c r="AK329" s="1004"/>
      <c r="AL329" s="1004"/>
      <c r="AM329" s="1004"/>
      <c r="AN329" s="1004"/>
      <c r="AO329" s="1004"/>
      <c r="AP329" s="1004"/>
      <c r="AQ329" s="1004"/>
      <c r="AR329" s="1004"/>
      <c r="AS329" s="1004"/>
      <c r="AT329" s="1004"/>
      <c r="AU329" s="1004"/>
      <c r="AV329" s="1004"/>
      <c r="AW329" s="1004"/>
    </row>
    <row r="330" spans="1:49" s="930" customFormat="1" ht="15.6" customHeight="1">
      <c r="A330" s="1004"/>
      <c r="B330" s="1004"/>
      <c r="C330" s="1004"/>
      <c r="D330" s="166"/>
      <c r="E330" s="166"/>
      <c r="F330" s="166"/>
      <c r="G330" s="166"/>
      <c r="H330" s="166"/>
      <c r="I330" s="1004"/>
      <c r="J330" s="1004"/>
      <c r="K330" s="1004"/>
      <c r="L330" s="777">
        <v>5</v>
      </c>
      <c r="M330" s="778"/>
      <c r="N330" s="976">
        <v>0</v>
      </c>
      <c r="O330" s="1020">
        <v>273</v>
      </c>
      <c r="P330" s="847" t="e">
        <f>VLOOKUP(N330,etat!$A$9:$N$1004,2,FALSE)</f>
        <v>#N/A</v>
      </c>
      <c r="Q330" s="797" t="e">
        <f>VLOOKUP(N330,etat!$A$9:$N$963,7,FALSE)</f>
        <v>#N/A</v>
      </c>
      <c r="R330" s="797" t="e">
        <f>VLOOKUP(N330,etat!$A$9:$N$1003,9,FALSE)</f>
        <v>#N/A</v>
      </c>
      <c r="S330" s="866" t="e">
        <f>VLOOKUP(N330,etat!$A$9:$P$905,16,FALSE)</f>
        <v>#N/A</v>
      </c>
      <c r="T330" s="755"/>
      <c r="U330" s="784"/>
      <c r="V330" s="784"/>
      <c r="W330" s="784"/>
      <c r="X330" s="784"/>
      <c r="Y330" s="975"/>
      <c r="Z330" s="932" t="str">
        <f>VLOOKUP(L330,[2]اس!$S$3:$X$31,3,FALSE)</f>
        <v>.</v>
      </c>
      <c r="AA330" s="967"/>
      <c r="AB330" s="1005"/>
      <c r="AC330" s="1005"/>
      <c r="AD330" s="1005"/>
      <c r="AE330" s="1005"/>
      <c r="AF330" s="1005"/>
      <c r="AG330" s="1004"/>
      <c r="AH330" s="1004"/>
      <c r="AI330" s="1004"/>
      <c r="AJ330" s="1004"/>
      <c r="AK330" s="1004"/>
      <c r="AL330" s="1004"/>
      <c r="AM330" s="1004"/>
      <c r="AN330" s="1004"/>
      <c r="AO330" s="1004"/>
      <c r="AP330" s="1004"/>
      <c r="AQ330" s="1004"/>
      <c r="AR330" s="1004"/>
      <c r="AS330" s="1004"/>
      <c r="AT330" s="1004"/>
      <c r="AU330" s="1004"/>
      <c r="AV330" s="1004"/>
      <c r="AW330" s="1004"/>
    </row>
    <row r="331" spans="1:49" s="930" customFormat="1" ht="15.6" customHeight="1">
      <c r="A331" s="1004"/>
      <c r="B331" s="1004"/>
      <c r="C331" s="1004"/>
      <c r="D331" s="166"/>
      <c r="E331" s="166"/>
      <c r="F331" s="166"/>
      <c r="G331" s="166"/>
      <c r="H331" s="166"/>
      <c r="I331" s="1004"/>
      <c r="J331" s="1004"/>
      <c r="K331" s="1004"/>
      <c r="L331" s="777">
        <v>5</v>
      </c>
      <c r="M331" s="778"/>
      <c r="N331" s="976">
        <v>0</v>
      </c>
      <c r="O331" s="1020">
        <v>274</v>
      </c>
      <c r="P331" s="847" t="e">
        <f>VLOOKUP(N331,etat!$A$9:$N$1004,2,FALSE)</f>
        <v>#N/A</v>
      </c>
      <c r="Q331" s="797" t="e">
        <f>VLOOKUP(N331,etat!$A$9:$N$963,7,FALSE)</f>
        <v>#N/A</v>
      </c>
      <c r="R331" s="797" t="e">
        <f>VLOOKUP(N331,etat!$A$9:$N$1003,9,FALSE)</f>
        <v>#N/A</v>
      </c>
      <c r="S331" s="866" t="e">
        <f>VLOOKUP(N331,etat!$A$9:$P$905,16,FALSE)</f>
        <v>#N/A</v>
      </c>
      <c r="T331" s="755"/>
      <c r="U331" s="784"/>
      <c r="V331" s="784"/>
      <c r="W331" s="784"/>
      <c r="X331" s="784"/>
      <c r="Y331" s="975"/>
      <c r="Z331" s="932" t="str">
        <f>VLOOKUP(L331,[2]اس!$S$3:$X$31,3,FALSE)</f>
        <v>.</v>
      </c>
      <c r="AA331" s="967"/>
      <c r="AB331" s="1005"/>
      <c r="AC331" s="1005"/>
      <c r="AD331" s="1005"/>
      <c r="AE331" s="1005"/>
      <c r="AF331" s="1005"/>
      <c r="AG331" s="1004"/>
      <c r="AH331" s="1004"/>
      <c r="AI331" s="1004"/>
      <c r="AJ331" s="1004"/>
      <c r="AK331" s="1004"/>
      <c r="AL331" s="1004"/>
      <c r="AM331" s="1004"/>
      <c r="AN331" s="1004"/>
      <c r="AO331" s="1004"/>
      <c r="AP331" s="1004"/>
      <c r="AQ331" s="1004"/>
      <c r="AR331" s="1004"/>
      <c r="AS331" s="1004"/>
      <c r="AT331" s="1004"/>
      <c r="AU331" s="1004"/>
      <c r="AV331" s="1004"/>
      <c r="AW331" s="1004"/>
    </row>
    <row r="332" spans="1:49" s="930" customFormat="1" ht="15.6" customHeight="1">
      <c r="A332" s="1004"/>
      <c r="B332" s="1004"/>
      <c r="C332" s="1004"/>
      <c r="D332" s="166"/>
      <c r="E332" s="166"/>
      <c r="F332" s="166"/>
      <c r="G332" s="166"/>
      <c r="H332" s="166"/>
      <c r="I332" s="1004"/>
      <c r="J332" s="1004"/>
      <c r="K332" s="1004"/>
      <c r="L332" s="777">
        <v>5</v>
      </c>
      <c r="M332" s="778"/>
      <c r="N332" s="976">
        <v>0</v>
      </c>
      <c r="O332" s="1020">
        <v>275</v>
      </c>
      <c r="P332" s="847" t="e">
        <f>VLOOKUP(N332,etat!$A$9:$N$1004,2,FALSE)</f>
        <v>#N/A</v>
      </c>
      <c r="Q332" s="797" t="e">
        <f>VLOOKUP(N332,etat!$A$9:$N$963,7,FALSE)</f>
        <v>#N/A</v>
      </c>
      <c r="R332" s="797" t="e">
        <f>VLOOKUP(N332,etat!$A$9:$N$1003,9,FALSE)</f>
        <v>#N/A</v>
      </c>
      <c r="S332" s="866" t="e">
        <f>VLOOKUP(N332,etat!$A$9:$P$905,16,FALSE)</f>
        <v>#N/A</v>
      </c>
      <c r="T332" s="755"/>
      <c r="U332" s="784"/>
      <c r="V332" s="784"/>
      <c r="W332" s="784"/>
      <c r="X332" s="784"/>
      <c r="Y332" s="975"/>
      <c r="Z332" s="932" t="str">
        <f>VLOOKUP(L332,[2]اس!$S$3:$X$31,3,FALSE)</f>
        <v>.</v>
      </c>
      <c r="AA332" s="967"/>
      <c r="AB332" s="1005"/>
      <c r="AC332" s="1005"/>
      <c r="AD332" s="1005"/>
      <c r="AE332" s="1005"/>
      <c r="AF332" s="1005"/>
      <c r="AG332" s="1004"/>
      <c r="AH332" s="1004"/>
      <c r="AI332" s="1004"/>
      <c r="AJ332" s="1004"/>
      <c r="AK332" s="1004"/>
      <c r="AL332" s="1004"/>
      <c r="AM332" s="1004"/>
      <c r="AN332" s="1004"/>
      <c r="AO332" s="1004"/>
      <c r="AP332" s="1004"/>
      <c r="AQ332" s="1004"/>
      <c r="AR332" s="1004"/>
      <c r="AS332" s="1004"/>
      <c r="AT332" s="1004"/>
      <c r="AU332" s="1004"/>
      <c r="AV332" s="1004"/>
      <c r="AW332" s="1004"/>
    </row>
    <row r="333" spans="1:49" s="930" customFormat="1" ht="15.6" customHeight="1">
      <c r="A333" s="1004"/>
      <c r="B333" s="1004"/>
      <c r="C333" s="1004"/>
      <c r="D333" s="166"/>
      <c r="E333" s="166"/>
      <c r="F333" s="166"/>
      <c r="G333" s="166"/>
      <c r="H333" s="166"/>
      <c r="I333" s="1004"/>
      <c r="J333" s="1004"/>
      <c r="K333" s="1004"/>
      <c r="L333" s="777">
        <v>5</v>
      </c>
      <c r="M333" s="778"/>
      <c r="N333" s="976">
        <v>0</v>
      </c>
      <c r="O333" s="1020">
        <v>276</v>
      </c>
      <c r="P333" s="847" t="e">
        <f>VLOOKUP(N333,etat!$A$9:$N$1004,2,FALSE)</f>
        <v>#N/A</v>
      </c>
      <c r="Q333" s="797" t="e">
        <f>VLOOKUP(N333,etat!$A$9:$N$963,7,FALSE)</f>
        <v>#N/A</v>
      </c>
      <c r="R333" s="797" t="e">
        <f>VLOOKUP(N333,etat!$A$9:$N$1003,9,FALSE)</f>
        <v>#N/A</v>
      </c>
      <c r="S333" s="866" t="e">
        <f>VLOOKUP(N333,etat!$A$9:$P$905,16,FALSE)</f>
        <v>#N/A</v>
      </c>
      <c r="T333" s="755"/>
      <c r="U333" s="784"/>
      <c r="V333" s="784"/>
      <c r="W333" s="784"/>
      <c r="X333" s="784"/>
      <c r="Y333" s="975"/>
      <c r="Z333" s="932" t="str">
        <f>VLOOKUP(L333,[2]اس!$S$3:$X$31,3,FALSE)</f>
        <v>.</v>
      </c>
      <c r="AA333" s="967"/>
      <c r="AB333" s="1005"/>
      <c r="AC333" s="1005"/>
      <c r="AD333" s="1005"/>
      <c r="AE333" s="1005"/>
      <c r="AF333" s="1005"/>
      <c r="AG333" s="1004"/>
      <c r="AH333" s="1004"/>
      <c r="AI333" s="1004"/>
      <c r="AJ333" s="1004"/>
      <c r="AK333" s="1004"/>
      <c r="AL333" s="1004"/>
      <c r="AM333" s="1004"/>
      <c r="AN333" s="1004"/>
      <c r="AO333" s="1004"/>
      <c r="AP333" s="1004"/>
      <c r="AQ333" s="1004"/>
      <c r="AR333" s="1004"/>
      <c r="AS333" s="1004"/>
      <c r="AT333" s="1004"/>
      <c r="AU333" s="1004"/>
      <c r="AV333" s="1004"/>
      <c r="AW333" s="1004"/>
    </row>
    <row r="334" spans="1:49" s="930" customFormat="1" ht="15.6" customHeight="1">
      <c r="A334" s="1004"/>
      <c r="B334" s="1004"/>
      <c r="C334" s="1004"/>
      <c r="D334" s="166"/>
      <c r="E334" s="166"/>
      <c r="F334" s="166"/>
      <c r="G334" s="166"/>
      <c r="H334" s="166"/>
      <c r="I334" s="1004"/>
      <c r="J334" s="1004"/>
      <c r="K334" s="1004"/>
      <c r="L334" s="777">
        <v>5</v>
      </c>
      <c r="M334" s="778"/>
      <c r="N334" s="976"/>
      <c r="O334" s="1020">
        <v>277</v>
      </c>
      <c r="P334" s="847" t="e">
        <f>VLOOKUP(N334,etat!$A$9:$N$1004,2,FALSE)</f>
        <v>#N/A</v>
      </c>
      <c r="Q334" s="797" t="e">
        <f>VLOOKUP(N334,etat!$A$9:$N$963,7,FALSE)</f>
        <v>#N/A</v>
      </c>
      <c r="R334" s="797" t="e">
        <f>VLOOKUP(N334,etat!$A$9:$N$1003,9,FALSE)</f>
        <v>#N/A</v>
      </c>
      <c r="S334" s="866" t="e">
        <f>VLOOKUP(N334,etat!$A$9:$P$905,16,FALSE)</f>
        <v>#N/A</v>
      </c>
      <c r="T334" s="755"/>
      <c r="U334" s="784"/>
      <c r="V334" s="784"/>
      <c r="W334" s="784"/>
      <c r="X334" s="784"/>
      <c r="Y334" s="975"/>
      <c r="Z334" s="932" t="str">
        <f>VLOOKUP(L334,[2]اس!$S$3:$X$31,3,FALSE)</f>
        <v>.</v>
      </c>
      <c r="AA334" s="967"/>
      <c r="AB334" s="1005"/>
      <c r="AC334" s="1005"/>
      <c r="AD334" s="1005"/>
      <c r="AE334" s="1005"/>
      <c r="AF334" s="1005"/>
      <c r="AG334" s="1004"/>
      <c r="AH334" s="1004"/>
      <c r="AI334" s="1004"/>
      <c r="AJ334" s="1004"/>
      <c r="AK334" s="1004"/>
      <c r="AL334" s="1004"/>
      <c r="AM334" s="1004"/>
      <c r="AN334" s="1004"/>
      <c r="AO334" s="1004"/>
      <c r="AP334" s="1004"/>
      <c r="AQ334" s="1004"/>
      <c r="AR334" s="1004"/>
      <c r="AS334" s="1004"/>
      <c r="AT334" s="1004"/>
      <c r="AU334" s="1004"/>
      <c r="AV334" s="1004"/>
      <c r="AW334" s="1004"/>
    </row>
    <row r="335" spans="1:49" ht="15.6" customHeight="1">
      <c r="A335" s="1004"/>
      <c r="B335" s="1004"/>
      <c r="C335" s="1004"/>
      <c r="I335" s="1004"/>
      <c r="J335" s="1004"/>
      <c r="K335" s="1004"/>
      <c r="L335" s="777">
        <v>5</v>
      </c>
      <c r="M335" s="778"/>
      <c r="N335" s="976"/>
      <c r="O335" s="1020">
        <v>278</v>
      </c>
      <c r="P335" s="847" t="e">
        <f>VLOOKUP(N335,etat!$A$9:$N$1004,2,FALSE)</f>
        <v>#N/A</v>
      </c>
      <c r="Q335" s="797" t="e">
        <f>VLOOKUP(N335,etat!$A$9:$N$963,7,FALSE)</f>
        <v>#N/A</v>
      </c>
      <c r="R335" s="797" t="e">
        <f>VLOOKUP(N335,etat!$A$9:$N$1003,9,FALSE)</f>
        <v>#N/A</v>
      </c>
      <c r="S335" s="866" t="e">
        <f>VLOOKUP(N335,etat!$A$9:$P$905,16,FALSE)</f>
        <v>#N/A</v>
      </c>
      <c r="T335" s="755"/>
      <c r="U335" s="784"/>
      <c r="V335" s="784"/>
      <c r="W335" s="784"/>
      <c r="X335" s="784"/>
      <c r="Y335" s="975"/>
      <c r="Z335" s="932" t="str">
        <f>VLOOKUP(L335,[2]اس!$S$3:$X$31,3,FALSE)</f>
        <v>.</v>
      </c>
      <c r="AA335" s="967"/>
      <c r="AB335" s="1005"/>
      <c r="AC335" s="1005"/>
      <c r="AD335" s="1005"/>
      <c r="AE335" s="1005"/>
      <c r="AF335" s="1005"/>
      <c r="AG335" s="1004"/>
      <c r="AH335" s="1004"/>
      <c r="AI335" s="1004"/>
      <c r="AJ335" s="1004"/>
      <c r="AK335" s="1004"/>
      <c r="AL335" s="1004"/>
      <c r="AM335" s="1004"/>
      <c r="AN335" s="1004"/>
      <c r="AO335" s="1004"/>
      <c r="AP335" s="1004"/>
      <c r="AQ335" s="1004"/>
      <c r="AR335" s="1004"/>
      <c r="AS335" s="1004"/>
      <c r="AT335" s="1004"/>
      <c r="AU335" s="1004"/>
      <c r="AV335" s="1004"/>
      <c r="AW335" s="1004"/>
    </row>
    <row r="336" spans="1:49" ht="15.6" customHeight="1">
      <c r="A336" s="1004"/>
      <c r="B336" s="1004"/>
      <c r="C336" s="1004"/>
      <c r="I336" s="1004"/>
      <c r="J336" s="1004"/>
      <c r="K336" s="1004"/>
      <c r="L336" s="777">
        <v>5</v>
      </c>
      <c r="M336" s="778"/>
      <c r="N336" s="976"/>
      <c r="O336" s="1020">
        <v>279</v>
      </c>
      <c r="P336" s="847" t="e">
        <f>VLOOKUP(N336,etat!$A$9:$N$1004,2,FALSE)</f>
        <v>#N/A</v>
      </c>
      <c r="Q336" s="797" t="e">
        <f>VLOOKUP(N336,etat!$A$9:$N$963,7,FALSE)</f>
        <v>#N/A</v>
      </c>
      <c r="R336" s="797" t="e">
        <f>VLOOKUP(N336,etat!$A$9:$N$1003,9,FALSE)</f>
        <v>#N/A</v>
      </c>
      <c r="S336" s="866" t="e">
        <f>VLOOKUP(N336,etat!$A$9:$P$905,16,FALSE)</f>
        <v>#N/A</v>
      </c>
      <c r="T336" s="755"/>
      <c r="U336" s="784"/>
      <c r="V336" s="784"/>
      <c r="W336" s="784"/>
      <c r="X336" s="784"/>
      <c r="Y336" s="784"/>
      <c r="Z336" s="932" t="str">
        <f>VLOOKUP(L336,[2]اس!$S$3:$X$31,3,FALSE)</f>
        <v>.</v>
      </c>
      <c r="AA336" s="967"/>
      <c r="AB336" s="1005"/>
      <c r="AC336" s="1005"/>
      <c r="AD336" s="1005"/>
      <c r="AE336" s="1005"/>
      <c r="AF336" s="1005"/>
      <c r="AG336" s="1004"/>
      <c r="AH336" s="1004"/>
      <c r="AI336" s="1004"/>
      <c r="AJ336" s="1004"/>
      <c r="AK336" s="1004"/>
      <c r="AL336" s="1004"/>
      <c r="AM336" s="1004"/>
      <c r="AN336" s="1004"/>
      <c r="AO336" s="1004"/>
      <c r="AP336" s="1004"/>
      <c r="AQ336" s="1004"/>
      <c r="AR336" s="1004"/>
      <c r="AS336" s="1004"/>
      <c r="AT336" s="1004"/>
      <c r="AU336" s="1004"/>
      <c r="AV336" s="1004"/>
      <c r="AW336" s="1004"/>
    </row>
    <row r="337" spans="1:49" ht="15.6" customHeight="1">
      <c r="A337" s="1004"/>
      <c r="B337" s="1004"/>
      <c r="C337" s="1004"/>
      <c r="I337" s="1004"/>
      <c r="J337" s="1004"/>
      <c r="K337" s="1004"/>
      <c r="L337" s="777">
        <v>5</v>
      </c>
      <c r="M337" s="778"/>
      <c r="N337" s="976"/>
      <c r="O337" s="1020">
        <v>280</v>
      </c>
      <c r="P337" s="847" t="e">
        <f>VLOOKUP(N337,etat!$A$9:$N$1004,2,FALSE)</f>
        <v>#N/A</v>
      </c>
      <c r="Q337" s="797" t="e">
        <f>VLOOKUP(N337,etat!$A$9:$N$963,7,FALSE)</f>
        <v>#N/A</v>
      </c>
      <c r="R337" s="797" t="e">
        <f>VLOOKUP(N337,etat!$A$9:$N$1003,9,FALSE)</f>
        <v>#N/A</v>
      </c>
      <c r="S337" s="866" t="e">
        <f>VLOOKUP(N337,etat!$A$9:$P$905,16,FALSE)</f>
        <v>#N/A</v>
      </c>
      <c r="T337" s="755"/>
      <c r="U337" s="784"/>
      <c r="V337" s="784"/>
      <c r="W337" s="784"/>
      <c r="X337" s="784"/>
      <c r="Y337" s="784"/>
      <c r="Z337" s="932" t="str">
        <f>VLOOKUP(L337,[2]اس!$S$3:$X$31,3,FALSE)</f>
        <v>.</v>
      </c>
      <c r="AA337" s="967"/>
      <c r="AB337" s="1005"/>
      <c r="AC337" s="1005"/>
      <c r="AD337" s="1005"/>
      <c r="AE337" s="1005"/>
      <c r="AF337" s="1005"/>
      <c r="AG337" s="1004"/>
      <c r="AH337" s="1004"/>
      <c r="AI337" s="1004"/>
      <c r="AJ337" s="1004"/>
      <c r="AK337" s="1004"/>
      <c r="AL337" s="1004"/>
      <c r="AM337" s="1004"/>
      <c r="AN337" s="1004"/>
      <c r="AO337" s="1004"/>
      <c r="AP337" s="1004"/>
      <c r="AQ337" s="1004"/>
      <c r="AR337" s="1004"/>
      <c r="AS337" s="1004"/>
      <c r="AT337" s="1004"/>
      <c r="AU337" s="1004"/>
      <c r="AV337" s="1004"/>
      <c r="AW337" s="1004"/>
    </row>
    <row r="338" spans="1:49" ht="15.6" customHeight="1">
      <c r="A338" s="1004"/>
      <c r="B338" s="1004"/>
      <c r="C338" s="1004"/>
      <c r="I338" s="1004"/>
      <c r="J338" s="1004"/>
      <c r="K338" s="1004"/>
      <c r="L338" s="777">
        <v>5</v>
      </c>
      <c r="M338" s="778"/>
      <c r="N338" s="976"/>
      <c r="O338" s="1020">
        <v>281</v>
      </c>
      <c r="P338" s="847" t="e">
        <f>VLOOKUP(N338,etat!$A$9:$N$1004,2,FALSE)</f>
        <v>#N/A</v>
      </c>
      <c r="Q338" s="797" t="e">
        <f>VLOOKUP(N338,etat!$A$9:$N$963,7,FALSE)</f>
        <v>#N/A</v>
      </c>
      <c r="R338" s="797" t="e">
        <f>VLOOKUP(N338,etat!$A$9:$N$1003,9,FALSE)</f>
        <v>#N/A</v>
      </c>
      <c r="S338" s="866" t="e">
        <f>VLOOKUP(N338,etat!$A$9:$P$905,16,FALSE)</f>
        <v>#N/A</v>
      </c>
      <c r="T338" s="755"/>
      <c r="U338" s="784"/>
      <c r="V338" s="784"/>
      <c r="W338" s="784"/>
      <c r="X338" s="784"/>
      <c r="Y338" s="784"/>
      <c r="Z338" s="932" t="str">
        <f>VLOOKUP(L338,[2]اس!$S$3:$X$31,3,FALSE)</f>
        <v>.</v>
      </c>
      <c r="AA338" s="967"/>
      <c r="AB338" s="1005"/>
      <c r="AC338" s="1005"/>
      <c r="AD338" s="1005"/>
      <c r="AE338" s="1005"/>
      <c r="AF338" s="1005"/>
      <c r="AG338" s="1004"/>
      <c r="AH338" s="1004"/>
      <c r="AI338" s="1004"/>
      <c r="AJ338" s="1004"/>
      <c r="AK338" s="1004"/>
      <c r="AL338" s="1004"/>
      <c r="AM338" s="1004"/>
      <c r="AN338" s="1004"/>
      <c r="AO338" s="1004"/>
      <c r="AP338" s="1004"/>
      <c r="AQ338" s="1004"/>
      <c r="AR338" s="1004"/>
      <c r="AS338" s="1004"/>
      <c r="AT338" s="1004"/>
      <c r="AU338" s="1004"/>
      <c r="AV338" s="1004"/>
      <c r="AW338" s="1004"/>
    </row>
    <row r="339" spans="1:49" ht="15.6" customHeight="1">
      <c r="A339" s="1004"/>
      <c r="B339" s="1004"/>
      <c r="C339" s="1004"/>
      <c r="I339" s="1004"/>
      <c r="J339" s="1004"/>
      <c r="K339" s="1004"/>
      <c r="L339" s="777">
        <v>5</v>
      </c>
      <c r="M339" s="778"/>
      <c r="N339" s="976"/>
      <c r="O339" s="1020">
        <v>282</v>
      </c>
      <c r="P339" s="847" t="e">
        <f>VLOOKUP(N339,etat!$A$9:$N$1004,2,FALSE)</f>
        <v>#N/A</v>
      </c>
      <c r="Q339" s="797" t="e">
        <f>VLOOKUP(N339,etat!$A$9:$N$963,7,FALSE)</f>
        <v>#N/A</v>
      </c>
      <c r="R339" s="797" t="e">
        <f>VLOOKUP(N339,etat!$A$9:$N$1003,9,FALSE)</f>
        <v>#N/A</v>
      </c>
      <c r="S339" s="866" t="e">
        <f>VLOOKUP(N339,etat!$A$9:$P$905,16,FALSE)</f>
        <v>#N/A</v>
      </c>
      <c r="T339" s="755"/>
      <c r="U339" s="784"/>
      <c r="V339" s="784"/>
      <c r="W339" s="784"/>
      <c r="X339" s="784"/>
      <c r="Y339" s="784"/>
      <c r="Z339" s="932" t="str">
        <f>VLOOKUP(L339,[2]اس!$S$3:$X$31,3,FALSE)</f>
        <v>.</v>
      </c>
      <c r="AA339" s="967"/>
      <c r="AB339" s="1005"/>
      <c r="AC339" s="1005"/>
      <c r="AD339" s="1005"/>
      <c r="AE339" s="1005"/>
      <c r="AF339" s="1005"/>
      <c r="AG339" s="1004"/>
      <c r="AH339" s="1004"/>
      <c r="AI339" s="1004"/>
      <c r="AJ339" s="1004"/>
      <c r="AK339" s="1004"/>
      <c r="AL339" s="1004"/>
      <c r="AM339" s="1004"/>
      <c r="AN339" s="1004"/>
      <c r="AO339" s="1004"/>
      <c r="AP339" s="1004"/>
      <c r="AQ339" s="1004"/>
      <c r="AR339" s="1004"/>
      <c r="AS339" s="1004"/>
      <c r="AT339" s="1004"/>
      <c r="AU339" s="1004"/>
      <c r="AV339" s="1004"/>
      <c r="AW339" s="1004"/>
    </row>
    <row r="340" spans="1:49" ht="15.6" customHeight="1">
      <c r="A340" s="1004"/>
      <c r="B340" s="1004"/>
      <c r="C340" s="1004"/>
      <c r="I340" s="1004"/>
      <c r="J340" s="1004"/>
      <c r="K340" s="1004"/>
      <c r="L340" s="777">
        <v>5</v>
      </c>
      <c r="M340" s="778"/>
      <c r="N340" s="976"/>
      <c r="O340" s="1020">
        <v>283</v>
      </c>
      <c r="P340" s="847" t="e">
        <f>VLOOKUP(N340,etat!$A$9:$N$1004,2,FALSE)</f>
        <v>#N/A</v>
      </c>
      <c r="Q340" s="797" t="e">
        <f>VLOOKUP(N340,etat!$A$9:$N$963,7,FALSE)</f>
        <v>#N/A</v>
      </c>
      <c r="R340" s="797" t="e">
        <f>VLOOKUP(N340,etat!$A$9:$N$1003,9,FALSE)</f>
        <v>#N/A</v>
      </c>
      <c r="S340" s="866" t="e">
        <f>VLOOKUP(N340,etat!$A$9:$P$905,16,FALSE)</f>
        <v>#N/A</v>
      </c>
      <c r="T340" s="755"/>
      <c r="U340" s="784"/>
      <c r="V340" s="784"/>
      <c r="W340" s="784"/>
      <c r="X340" s="784"/>
      <c r="Y340" s="784"/>
      <c r="Z340" s="932" t="str">
        <f>VLOOKUP(L340,[2]اس!$S$3:$X$31,3,FALSE)</f>
        <v>.</v>
      </c>
      <c r="AA340" s="967"/>
      <c r="AB340" s="1005"/>
      <c r="AC340" s="1005"/>
      <c r="AD340" s="1005"/>
      <c r="AE340" s="1005"/>
      <c r="AF340" s="1005"/>
      <c r="AG340" s="1004"/>
      <c r="AH340" s="1004"/>
      <c r="AI340" s="1004"/>
      <c r="AJ340" s="1004"/>
      <c r="AK340" s="1004"/>
      <c r="AL340" s="1004"/>
      <c r="AM340" s="1004"/>
      <c r="AN340" s="1004"/>
      <c r="AO340" s="1004"/>
      <c r="AP340" s="1004"/>
      <c r="AQ340" s="1004"/>
      <c r="AR340" s="1004"/>
      <c r="AS340" s="1004"/>
      <c r="AT340" s="1004"/>
      <c r="AU340" s="1004"/>
      <c r="AV340" s="1004"/>
      <c r="AW340" s="1004"/>
    </row>
    <row r="341" spans="1:49" ht="15.6" customHeight="1">
      <c r="A341" s="1004"/>
      <c r="B341" s="1004"/>
      <c r="C341" s="1004"/>
      <c r="I341" s="1004"/>
      <c r="J341" s="1004"/>
      <c r="K341" s="1004"/>
      <c r="L341" s="777">
        <v>5</v>
      </c>
      <c r="M341" s="778"/>
      <c r="N341" s="976"/>
      <c r="O341" s="1020">
        <v>284</v>
      </c>
      <c r="P341" s="847" t="e">
        <f>VLOOKUP(N341,etat!$A$9:$N$1004,2,FALSE)</f>
        <v>#N/A</v>
      </c>
      <c r="Q341" s="797" t="e">
        <f>VLOOKUP(N341,etat!$A$9:$N$963,7,FALSE)</f>
        <v>#N/A</v>
      </c>
      <c r="R341" s="797" t="e">
        <f>VLOOKUP(N341,etat!$A$9:$N$1003,9,FALSE)</f>
        <v>#N/A</v>
      </c>
      <c r="S341" s="866" t="e">
        <f>VLOOKUP(N341,etat!$A$9:$P$905,16,FALSE)</f>
        <v>#N/A</v>
      </c>
      <c r="T341" s="755"/>
      <c r="U341" s="784"/>
      <c r="V341" s="784"/>
      <c r="W341" s="755"/>
      <c r="X341" s="784"/>
      <c r="Y341" s="975"/>
      <c r="Z341" s="932" t="str">
        <f>VLOOKUP(L341,[2]اس!$S$3:$X$31,3,FALSE)</f>
        <v>.</v>
      </c>
      <c r="AA341" s="967"/>
      <c r="AB341" s="1005"/>
      <c r="AC341" s="1005"/>
      <c r="AD341" s="1005"/>
      <c r="AE341" s="1005"/>
      <c r="AF341" s="1005"/>
      <c r="AG341" s="1004"/>
      <c r="AH341" s="1004"/>
      <c r="AI341" s="1004"/>
      <c r="AJ341" s="1004"/>
      <c r="AK341" s="1004"/>
      <c r="AL341" s="1004"/>
      <c r="AM341" s="1004"/>
      <c r="AN341" s="1004"/>
      <c r="AO341" s="1004"/>
      <c r="AP341" s="1004"/>
      <c r="AQ341" s="1004"/>
      <c r="AR341" s="1004"/>
      <c r="AS341" s="1004"/>
      <c r="AT341" s="1004"/>
      <c r="AU341" s="1004"/>
      <c r="AV341" s="1004"/>
      <c r="AW341" s="1004"/>
    </row>
    <row r="342" spans="1:49" ht="15.6" customHeight="1">
      <c r="A342" s="1004"/>
      <c r="B342" s="1004"/>
      <c r="C342" s="1004"/>
      <c r="I342" s="1004"/>
      <c r="J342" s="1004"/>
      <c r="K342" s="1004"/>
      <c r="L342" s="777">
        <v>5</v>
      </c>
      <c r="M342" s="778"/>
      <c r="N342" s="976"/>
      <c r="O342" s="1020">
        <v>285</v>
      </c>
      <c r="P342" s="847" t="e">
        <f>VLOOKUP(N342,etat!$A$9:$N$1004,2,FALSE)</f>
        <v>#N/A</v>
      </c>
      <c r="Q342" s="797" t="e">
        <f>VLOOKUP(N342,etat!$A$9:$N$963,7,FALSE)</f>
        <v>#N/A</v>
      </c>
      <c r="R342" s="797" t="e">
        <f>VLOOKUP(N342,etat!$A$9:$N$1003,9,FALSE)</f>
        <v>#N/A</v>
      </c>
      <c r="S342" s="866" t="e">
        <f>VLOOKUP(N342,etat!$A$9:$P$905,16,FALSE)</f>
        <v>#N/A</v>
      </c>
      <c r="T342" s="755"/>
      <c r="U342" s="784"/>
      <c r="V342" s="784"/>
      <c r="W342" s="755"/>
      <c r="X342" s="784"/>
      <c r="Y342" s="975"/>
      <c r="Z342" s="932" t="str">
        <f>VLOOKUP(L342,[2]اس!$S$3:$X$31,3,FALSE)</f>
        <v>.</v>
      </c>
      <c r="AA342" s="967"/>
      <c r="AB342" s="1005"/>
      <c r="AC342" s="1005"/>
      <c r="AD342" s="1005"/>
      <c r="AE342" s="1005"/>
      <c r="AF342" s="1005"/>
      <c r="AG342" s="1004"/>
      <c r="AH342" s="1004"/>
      <c r="AI342" s="1004"/>
      <c r="AJ342" s="1004"/>
      <c r="AK342" s="1004"/>
      <c r="AL342" s="1004"/>
      <c r="AM342" s="1004"/>
      <c r="AN342" s="1004"/>
      <c r="AO342" s="1004"/>
      <c r="AP342" s="1004"/>
      <c r="AQ342" s="1004"/>
      <c r="AR342" s="1004"/>
      <c r="AS342" s="1004"/>
      <c r="AT342" s="1004"/>
      <c r="AU342" s="1004"/>
      <c r="AV342" s="1004"/>
      <c r="AW342" s="1004"/>
    </row>
    <row r="343" spans="1:49" ht="15.6" customHeight="1">
      <c r="A343" s="1004"/>
      <c r="B343" s="1004"/>
      <c r="C343" s="1004"/>
      <c r="I343" s="1004"/>
      <c r="J343" s="1004"/>
      <c r="K343" s="1004"/>
      <c r="L343" s="777">
        <v>5</v>
      </c>
      <c r="M343" s="778"/>
      <c r="N343" s="976"/>
      <c r="O343" s="1020">
        <v>286</v>
      </c>
      <c r="P343" s="847" t="e">
        <f>VLOOKUP(N343,etat!$A$9:$N$1004,2,FALSE)</f>
        <v>#N/A</v>
      </c>
      <c r="Q343" s="797" t="e">
        <f>VLOOKUP(N343,etat!$A$9:$N$963,7,FALSE)</f>
        <v>#N/A</v>
      </c>
      <c r="R343" s="797" t="e">
        <f>VLOOKUP(N343,etat!$A$9:$N$1003,9,FALSE)</f>
        <v>#N/A</v>
      </c>
      <c r="S343" s="866" t="e">
        <f>VLOOKUP(N343,etat!$A$9:$P$905,16,FALSE)</f>
        <v>#N/A</v>
      </c>
      <c r="T343" s="755"/>
      <c r="U343" s="784"/>
      <c r="V343" s="784"/>
      <c r="W343" s="755"/>
      <c r="X343" s="784"/>
      <c r="Y343" s="975"/>
      <c r="Z343" s="932" t="str">
        <f>VLOOKUP(L343,[2]اس!$S$3:$X$31,3,FALSE)</f>
        <v>.</v>
      </c>
      <c r="AA343" s="967"/>
      <c r="AB343" s="1005"/>
      <c r="AC343" s="1005"/>
      <c r="AD343" s="1005"/>
      <c r="AE343" s="1005"/>
      <c r="AF343" s="1005"/>
      <c r="AG343" s="1004"/>
      <c r="AH343" s="1004"/>
      <c r="AI343" s="1004"/>
      <c r="AJ343" s="1004"/>
      <c r="AK343" s="1004"/>
      <c r="AL343" s="1004"/>
      <c r="AM343" s="1004"/>
      <c r="AN343" s="1004"/>
      <c r="AO343" s="1004"/>
      <c r="AP343" s="1004"/>
      <c r="AQ343" s="1004"/>
      <c r="AR343" s="1004"/>
      <c r="AS343" s="1004"/>
      <c r="AT343" s="1004"/>
      <c r="AU343" s="1004"/>
      <c r="AV343" s="1004"/>
      <c r="AW343" s="1004"/>
    </row>
    <row r="344" spans="1:49" s="930" customFormat="1" ht="15.6" customHeight="1">
      <c r="A344" s="1004"/>
      <c r="B344" s="1004"/>
      <c r="C344" s="1004"/>
      <c r="D344" s="166"/>
      <c r="E344" s="166"/>
      <c r="F344" s="166"/>
      <c r="G344" s="166"/>
      <c r="H344" s="166"/>
      <c r="I344" s="1004"/>
      <c r="J344" s="1004"/>
      <c r="K344" s="1004"/>
      <c r="L344" s="777">
        <v>5</v>
      </c>
      <c r="M344" s="778"/>
      <c r="N344" s="976"/>
      <c r="O344" s="1020">
        <v>287</v>
      </c>
      <c r="P344" s="847" t="e">
        <f>VLOOKUP(N344,etat!$A$9:$N$1004,2,FALSE)</f>
        <v>#N/A</v>
      </c>
      <c r="Q344" s="797" t="e">
        <f>VLOOKUP(N344,etat!$A$9:$N$963,7,FALSE)</f>
        <v>#N/A</v>
      </c>
      <c r="R344" s="797" t="e">
        <f>VLOOKUP(N344,etat!$A$9:$N$1003,9,FALSE)</f>
        <v>#N/A</v>
      </c>
      <c r="S344" s="866" t="e">
        <f>VLOOKUP(N344,etat!$A$9:$P$905,16,FALSE)</f>
        <v>#N/A</v>
      </c>
      <c r="T344" s="755"/>
      <c r="U344" s="784"/>
      <c r="V344" s="784"/>
      <c r="W344" s="784"/>
      <c r="X344" s="784"/>
      <c r="Y344" s="784"/>
      <c r="Z344" s="932" t="str">
        <f>VLOOKUP(L344,[2]اس!$S$3:$X$31,3,FALSE)</f>
        <v>.</v>
      </c>
      <c r="AA344" s="967"/>
      <c r="AB344" s="1005"/>
      <c r="AC344" s="1005"/>
      <c r="AD344" s="1005"/>
      <c r="AE344" s="1005"/>
      <c r="AF344" s="1005"/>
      <c r="AG344" s="1004"/>
      <c r="AH344" s="1004"/>
      <c r="AI344" s="1004"/>
      <c r="AJ344" s="1004"/>
      <c r="AK344" s="1004"/>
      <c r="AL344" s="1004"/>
      <c r="AM344" s="1004"/>
      <c r="AN344" s="1004"/>
      <c r="AO344" s="1004"/>
      <c r="AP344" s="1004"/>
      <c r="AQ344" s="1004"/>
      <c r="AR344" s="1004"/>
      <c r="AS344" s="1004"/>
      <c r="AT344" s="1004"/>
      <c r="AU344" s="1004"/>
      <c r="AV344" s="1004"/>
      <c r="AW344" s="1004"/>
    </row>
    <row r="345" spans="1:49" s="930" customFormat="1" ht="15.6" customHeight="1">
      <c r="A345" s="1004"/>
      <c r="B345" s="1004"/>
      <c r="C345" s="1004"/>
      <c r="D345" s="166"/>
      <c r="E345" s="166"/>
      <c r="F345" s="166"/>
      <c r="G345" s="166"/>
      <c r="H345" s="166"/>
      <c r="I345" s="1004"/>
      <c r="J345" s="1004"/>
      <c r="K345" s="1004"/>
      <c r="L345" s="777">
        <v>5</v>
      </c>
      <c r="M345" s="778"/>
      <c r="N345" s="976"/>
      <c r="O345" s="1020">
        <v>288</v>
      </c>
      <c r="P345" s="847" t="e">
        <f>VLOOKUP(N345,etat!$A$9:$N$1004,2,FALSE)</f>
        <v>#N/A</v>
      </c>
      <c r="Q345" s="797" t="e">
        <f>VLOOKUP(N345,etat!$A$9:$N$963,7,FALSE)</f>
        <v>#N/A</v>
      </c>
      <c r="R345" s="954" t="e">
        <f>VLOOKUP(N345,etat!$A$9:$N$1003,9,FALSE)</f>
        <v>#N/A</v>
      </c>
      <c r="S345" s="866" t="e">
        <f>VLOOKUP(N345,etat!$A$9:$P$905,16,FALSE)</f>
        <v>#N/A</v>
      </c>
      <c r="T345" s="755"/>
      <c r="U345" s="784"/>
      <c r="V345" s="784"/>
      <c r="W345" s="955"/>
      <c r="X345" s="955"/>
      <c r="Y345" s="956"/>
      <c r="Z345" s="932" t="str">
        <f>VLOOKUP(L345,[2]اس!$S$3:$X$31,3,FALSE)</f>
        <v>.</v>
      </c>
      <c r="AA345" s="967"/>
      <c r="AB345" s="1005"/>
      <c r="AC345" s="1005"/>
      <c r="AD345" s="1005"/>
      <c r="AE345" s="1005"/>
      <c r="AF345" s="1005"/>
      <c r="AG345" s="1004"/>
      <c r="AH345" s="1004"/>
      <c r="AI345" s="1004"/>
      <c r="AJ345" s="1004"/>
      <c r="AK345" s="1004"/>
      <c r="AL345" s="1004"/>
      <c r="AM345" s="1004"/>
      <c r="AN345" s="1004"/>
      <c r="AO345" s="1004"/>
      <c r="AP345" s="1004"/>
      <c r="AQ345" s="1004"/>
      <c r="AR345" s="1004"/>
      <c r="AS345" s="1004"/>
      <c r="AT345" s="1004"/>
      <c r="AU345" s="1004"/>
      <c r="AV345" s="1004"/>
      <c r="AW345" s="1004"/>
    </row>
    <row r="346" spans="1:49" ht="15.6" customHeight="1">
      <c r="A346" s="1004"/>
      <c r="B346" s="1004"/>
      <c r="C346" s="1004"/>
      <c r="I346" s="1004"/>
      <c r="J346" s="1004"/>
      <c r="K346" s="1004"/>
      <c r="L346" s="777">
        <v>5</v>
      </c>
      <c r="M346" s="778"/>
      <c r="N346" s="1076"/>
      <c r="O346" s="1020">
        <v>289</v>
      </c>
      <c r="P346" s="847" t="e">
        <f>VLOOKUP(N346,etat!$A$9:$N$1004,2,FALSE)</f>
        <v>#N/A</v>
      </c>
      <c r="Q346" s="797" t="e">
        <f>VLOOKUP(N346,etat!$A$9:$N$963,7,FALSE)</f>
        <v>#N/A</v>
      </c>
      <c r="R346" s="954" t="e">
        <f>VLOOKUP(N346,etat!$A$9:$N$1003,9,FALSE)</f>
        <v>#N/A</v>
      </c>
      <c r="S346" s="866" t="e">
        <f>VLOOKUP(N346,etat!$A$9:$P$905,16,FALSE)</f>
        <v>#N/A</v>
      </c>
      <c r="T346" s="755"/>
      <c r="U346" s="784"/>
      <c r="V346" s="784"/>
      <c r="W346" s="955"/>
      <c r="X346" s="955"/>
      <c r="Y346" s="956"/>
      <c r="Z346" s="932" t="str">
        <f>VLOOKUP(L346,[2]اس!$S$3:$X$31,3,FALSE)</f>
        <v>.</v>
      </c>
      <c r="AA346" s="967"/>
      <c r="AB346" s="1005"/>
      <c r="AC346" s="1005"/>
      <c r="AD346" s="1005"/>
      <c r="AE346" s="1005"/>
      <c r="AF346" s="1005"/>
      <c r="AG346" s="1004"/>
      <c r="AH346" s="1004"/>
      <c r="AI346" s="1004"/>
      <c r="AJ346" s="1004"/>
      <c r="AK346" s="1004"/>
      <c r="AL346" s="1004"/>
      <c r="AM346" s="1004"/>
      <c r="AN346" s="1004"/>
      <c r="AO346" s="1004"/>
      <c r="AP346" s="1004"/>
      <c r="AQ346" s="1004"/>
      <c r="AR346" s="1004"/>
      <c r="AS346" s="1004"/>
      <c r="AT346" s="1004"/>
      <c r="AU346" s="1004"/>
      <c r="AV346" s="1004"/>
      <c r="AW346" s="1004"/>
    </row>
    <row r="347" spans="1:49" ht="15.6" customHeight="1">
      <c r="A347" s="1004"/>
      <c r="B347" s="1004"/>
      <c r="C347" s="1004"/>
      <c r="I347" s="1004"/>
      <c r="J347" s="1004"/>
      <c r="K347" s="1004"/>
      <c r="L347" s="777">
        <v>5</v>
      </c>
      <c r="M347" s="778"/>
      <c r="N347" s="976"/>
      <c r="O347" s="1020">
        <v>290</v>
      </c>
      <c r="P347" s="847" t="e">
        <f>VLOOKUP(N347,etat!$A$9:$N$1004,2,FALSE)</f>
        <v>#N/A</v>
      </c>
      <c r="Q347" s="797" t="e">
        <f>VLOOKUP(N347,etat!$A$9:$N$963,7,FALSE)</f>
        <v>#N/A</v>
      </c>
      <c r="R347" s="797" t="e">
        <f>VLOOKUP(N347,etat!$A$9:$N$1003,9,FALSE)</f>
        <v>#N/A</v>
      </c>
      <c r="S347" s="866" t="e">
        <f>VLOOKUP(N347,etat!$A$9:$P$905,16,FALSE)</f>
        <v>#N/A</v>
      </c>
      <c r="T347" s="755"/>
      <c r="U347" s="784"/>
      <c r="V347" s="784"/>
      <c r="W347" s="755"/>
      <c r="X347" s="784"/>
      <c r="Y347" s="975"/>
      <c r="Z347" s="932" t="str">
        <f>VLOOKUP(L347,[2]اس!$S$3:$X$31,3,FALSE)</f>
        <v>.</v>
      </c>
      <c r="AA347" s="967"/>
      <c r="AB347" s="1005"/>
      <c r="AC347" s="1005"/>
      <c r="AD347" s="1005"/>
      <c r="AE347" s="1005"/>
      <c r="AF347" s="1005"/>
      <c r="AG347" s="1004"/>
      <c r="AH347" s="1004"/>
      <c r="AI347" s="1004"/>
      <c r="AJ347" s="1004"/>
      <c r="AK347" s="1004"/>
      <c r="AL347" s="1004"/>
      <c r="AM347" s="1004"/>
      <c r="AN347" s="1004"/>
      <c r="AO347" s="1004"/>
      <c r="AP347" s="1004"/>
      <c r="AQ347" s="1004"/>
      <c r="AR347" s="1004"/>
      <c r="AS347" s="1004"/>
      <c r="AT347" s="1004"/>
      <c r="AU347" s="1004"/>
      <c r="AV347" s="1004"/>
      <c r="AW347" s="1004"/>
    </row>
    <row r="348" spans="1:49" ht="15.6" customHeight="1">
      <c r="A348" s="1004"/>
      <c r="B348" s="1004"/>
      <c r="C348" s="1004"/>
      <c r="I348" s="1004"/>
      <c r="J348" s="1004"/>
      <c r="K348" s="1004"/>
      <c r="L348" s="777">
        <v>5</v>
      </c>
      <c r="M348" s="778"/>
      <c r="N348" s="976"/>
      <c r="O348" s="1020">
        <v>291</v>
      </c>
      <c r="P348" s="847" t="e">
        <f>VLOOKUP(N348,etat!$A$9:$N$1004,2,FALSE)</f>
        <v>#N/A</v>
      </c>
      <c r="Q348" s="797" t="e">
        <f>VLOOKUP(N348,etat!$A$9:$N$963,7,FALSE)</f>
        <v>#N/A</v>
      </c>
      <c r="R348" s="797" t="e">
        <f>VLOOKUP(N348,etat!$A$9:$N$1003,9,FALSE)</f>
        <v>#N/A</v>
      </c>
      <c r="S348" s="866" t="e">
        <f>VLOOKUP(N348,etat!$A$9:$P$905,16,FALSE)</f>
        <v>#N/A</v>
      </c>
      <c r="T348" s="755"/>
      <c r="U348" s="784"/>
      <c r="V348" s="784"/>
      <c r="W348" s="784"/>
      <c r="X348" s="784"/>
      <c r="Y348" s="784"/>
      <c r="Z348" s="932" t="str">
        <f>VLOOKUP(L348,[2]اس!$S$3:$X$31,3,FALSE)</f>
        <v>.</v>
      </c>
      <c r="AA348" s="967"/>
      <c r="AB348" s="1005"/>
      <c r="AC348" s="1005"/>
      <c r="AD348" s="1005"/>
      <c r="AE348" s="1005"/>
      <c r="AF348" s="1005"/>
      <c r="AG348" s="1004"/>
      <c r="AH348" s="1004"/>
      <c r="AI348" s="1004"/>
      <c r="AJ348" s="1004"/>
      <c r="AK348" s="1004"/>
      <c r="AL348" s="1004"/>
      <c r="AM348" s="1004"/>
      <c r="AN348" s="1004"/>
      <c r="AO348" s="1004"/>
      <c r="AP348" s="1004"/>
      <c r="AQ348" s="1004"/>
      <c r="AR348" s="1004"/>
      <c r="AS348" s="1004"/>
      <c r="AT348" s="1004"/>
      <c r="AU348" s="1004"/>
      <c r="AV348" s="1004"/>
      <c r="AW348" s="1004"/>
    </row>
    <row r="349" spans="1:49" ht="15.6" customHeight="1">
      <c r="A349" s="1004"/>
      <c r="B349" s="1004"/>
      <c r="C349" s="1004"/>
      <c r="I349" s="1004"/>
      <c r="J349" s="1004"/>
      <c r="K349" s="1004"/>
      <c r="L349" s="777">
        <v>5</v>
      </c>
      <c r="M349" s="778"/>
      <c r="N349" s="976"/>
      <c r="O349" s="1020">
        <v>292</v>
      </c>
      <c r="P349" s="847" t="e">
        <f>VLOOKUP(N349,etat!$A$9:$N$1004,2,FALSE)</f>
        <v>#N/A</v>
      </c>
      <c r="Q349" s="797" t="e">
        <f>VLOOKUP(N349,etat!$A$9:$N$963,7,FALSE)</f>
        <v>#N/A</v>
      </c>
      <c r="R349" s="954" t="e">
        <f>VLOOKUP(N349,etat!$A$9:$N$1003,9,FALSE)</f>
        <v>#N/A</v>
      </c>
      <c r="S349" s="866" t="e">
        <f>VLOOKUP(N349,etat!$A$9:$P$905,16,FALSE)</f>
        <v>#N/A</v>
      </c>
      <c r="T349" s="755"/>
      <c r="U349" s="784"/>
      <c r="V349" s="784"/>
      <c r="W349" s="955"/>
      <c r="X349" s="955"/>
      <c r="Y349" s="956"/>
      <c r="Z349" s="932" t="str">
        <f>VLOOKUP(L349,[2]اس!$S$3:$X$31,3,FALSE)</f>
        <v>.</v>
      </c>
      <c r="AA349" s="967"/>
      <c r="AB349" s="1005"/>
      <c r="AC349" s="1005"/>
      <c r="AD349" s="1005"/>
      <c r="AE349" s="1005"/>
      <c r="AF349" s="1005"/>
      <c r="AG349" s="1004"/>
      <c r="AH349" s="1004"/>
      <c r="AI349" s="1004"/>
      <c r="AJ349" s="1004"/>
      <c r="AK349" s="1004"/>
      <c r="AL349" s="1004"/>
      <c r="AM349" s="1004"/>
      <c r="AN349" s="1004"/>
      <c r="AO349" s="1004"/>
      <c r="AP349" s="1004"/>
      <c r="AQ349" s="1004"/>
      <c r="AR349" s="1004"/>
      <c r="AS349" s="1004"/>
      <c r="AT349" s="1004"/>
      <c r="AU349" s="1004"/>
      <c r="AV349" s="1004"/>
      <c r="AW349" s="1004"/>
    </row>
    <row r="350" spans="1:49" ht="15.6" customHeight="1">
      <c r="A350" s="1004"/>
      <c r="B350" s="1004"/>
      <c r="C350" s="1004"/>
      <c r="I350" s="1004"/>
      <c r="J350" s="1004"/>
      <c r="K350" s="1004"/>
      <c r="L350" s="777">
        <v>5</v>
      </c>
      <c r="M350" s="778"/>
      <c r="N350" s="1076"/>
      <c r="O350" s="1020">
        <v>293</v>
      </c>
      <c r="P350" s="847" t="e">
        <f>VLOOKUP(N350,etat!$A$9:$N$1004,2,FALSE)</f>
        <v>#N/A</v>
      </c>
      <c r="Q350" s="797" t="e">
        <f>VLOOKUP(N350,etat!$A$9:$N$963,7,FALSE)</f>
        <v>#N/A</v>
      </c>
      <c r="R350" s="954" t="e">
        <f>VLOOKUP(N350,etat!$A$9:$N$1003,9,FALSE)</f>
        <v>#N/A</v>
      </c>
      <c r="S350" s="866" t="e">
        <f>VLOOKUP(N350,etat!$A$9:$P$905,16,FALSE)</f>
        <v>#N/A</v>
      </c>
      <c r="T350" s="755"/>
      <c r="U350" s="784"/>
      <c r="V350" s="784"/>
      <c r="W350" s="955"/>
      <c r="X350" s="955"/>
      <c r="Y350" s="956"/>
      <c r="Z350" s="932" t="str">
        <f>VLOOKUP(L350,[2]اس!$S$3:$X$31,3,FALSE)</f>
        <v>.</v>
      </c>
      <c r="AA350" s="967"/>
      <c r="AB350" s="1005"/>
      <c r="AC350" s="1005"/>
      <c r="AD350" s="1005"/>
      <c r="AE350" s="1005"/>
      <c r="AF350" s="1005"/>
      <c r="AG350" s="1004"/>
      <c r="AH350" s="1004"/>
      <c r="AI350" s="1004"/>
      <c r="AJ350" s="1004"/>
      <c r="AK350" s="1004"/>
      <c r="AL350" s="1004"/>
      <c r="AM350" s="1004"/>
      <c r="AN350" s="1004"/>
      <c r="AO350" s="1004"/>
      <c r="AP350" s="1004"/>
      <c r="AQ350" s="1004"/>
      <c r="AR350" s="1004"/>
      <c r="AS350" s="1004"/>
      <c r="AT350" s="1004"/>
      <c r="AU350" s="1004"/>
      <c r="AV350" s="1004"/>
      <c r="AW350" s="1004"/>
    </row>
    <row r="351" spans="1:49" ht="15.6" customHeight="1">
      <c r="A351" s="1004"/>
      <c r="B351" s="1004"/>
      <c r="C351" s="1004"/>
      <c r="I351" s="1004"/>
      <c r="J351" s="1004"/>
      <c r="K351" s="1004"/>
      <c r="L351" s="777">
        <v>5</v>
      </c>
      <c r="M351" s="778"/>
      <c r="N351" s="976"/>
      <c r="O351" s="1020">
        <v>294</v>
      </c>
      <c r="P351" s="847" t="e">
        <f>VLOOKUP(N351,etat!$A$9:$N$1004,2,FALSE)</f>
        <v>#N/A</v>
      </c>
      <c r="Q351" s="797" t="e">
        <f>VLOOKUP(N351,etat!$A$9:$N$963,7,FALSE)</f>
        <v>#N/A</v>
      </c>
      <c r="R351" s="954" t="e">
        <f>VLOOKUP(N351,etat!$A$9:$N$1003,9,FALSE)</f>
        <v>#N/A</v>
      </c>
      <c r="S351" s="866" t="e">
        <f>VLOOKUP(N351,etat!$A$9:$P$905,16,FALSE)</f>
        <v>#N/A</v>
      </c>
      <c r="T351" s="755"/>
      <c r="U351" s="784"/>
      <c r="V351" s="784"/>
      <c r="W351" s="784"/>
      <c r="X351" s="784"/>
      <c r="Y351" s="975"/>
      <c r="Z351" s="932" t="str">
        <f>VLOOKUP(L351,[2]اس!$S$3:$X$31,3,FALSE)</f>
        <v>.</v>
      </c>
      <c r="AA351" s="967"/>
      <c r="AB351" s="1005"/>
      <c r="AC351" s="1005"/>
      <c r="AD351" s="1005"/>
      <c r="AE351" s="1005"/>
      <c r="AF351" s="1005"/>
      <c r="AG351" s="1004"/>
      <c r="AH351" s="1004"/>
      <c r="AI351" s="1004"/>
      <c r="AJ351" s="1004"/>
      <c r="AK351" s="1004"/>
      <c r="AL351" s="1004"/>
      <c r="AM351" s="1004"/>
      <c r="AN351" s="1004"/>
      <c r="AO351" s="1004"/>
      <c r="AP351" s="1004"/>
      <c r="AQ351" s="1004"/>
      <c r="AR351" s="1004"/>
      <c r="AS351" s="1004"/>
      <c r="AT351" s="1004"/>
      <c r="AU351" s="1004"/>
      <c r="AV351" s="1004"/>
      <c r="AW351" s="1004"/>
    </row>
    <row r="352" spans="1:49" ht="15.6" customHeight="1">
      <c r="A352" s="1004"/>
      <c r="B352" s="1004"/>
      <c r="C352" s="1004"/>
      <c r="I352" s="1004"/>
      <c r="J352" s="1004"/>
      <c r="K352" s="1004"/>
      <c r="L352" s="777">
        <v>5</v>
      </c>
      <c r="M352" s="778"/>
      <c r="N352" s="976"/>
      <c r="O352" s="1020">
        <v>295</v>
      </c>
      <c r="P352" s="847" t="e">
        <f>VLOOKUP(N352,etat!$A$9:$N$1004,2,FALSE)</f>
        <v>#N/A</v>
      </c>
      <c r="Q352" s="797" t="e">
        <f>VLOOKUP(N352,etat!$A$9:$N$963,7,FALSE)</f>
        <v>#N/A</v>
      </c>
      <c r="R352" s="954" t="e">
        <f>VLOOKUP(N352,etat!$A$9:$N$1003,9,FALSE)</f>
        <v>#N/A</v>
      </c>
      <c r="S352" s="866" t="e">
        <f>VLOOKUP(N352,etat!$A$9:$P$905,16,FALSE)</f>
        <v>#N/A</v>
      </c>
      <c r="T352" s="755"/>
      <c r="U352" s="784"/>
      <c r="V352" s="784"/>
      <c r="W352" s="955"/>
      <c r="X352" s="955"/>
      <c r="Y352" s="956"/>
      <c r="Z352" s="932" t="str">
        <f>VLOOKUP(L352,[2]اس!$S$3:$X$31,3,FALSE)</f>
        <v>.</v>
      </c>
      <c r="AA352" s="967"/>
      <c r="AB352" s="1005"/>
      <c r="AC352" s="1005"/>
      <c r="AD352" s="1005"/>
      <c r="AE352" s="1005"/>
      <c r="AF352" s="1005"/>
      <c r="AG352" s="1004"/>
      <c r="AH352" s="1004"/>
      <c r="AI352" s="1004"/>
      <c r="AJ352" s="1004"/>
      <c r="AK352" s="1004"/>
      <c r="AL352" s="1004"/>
      <c r="AM352" s="1004"/>
      <c r="AN352" s="1004"/>
      <c r="AO352" s="1004"/>
      <c r="AP352" s="1004"/>
      <c r="AQ352" s="1004"/>
      <c r="AR352" s="1004"/>
      <c r="AS352" s="1004"/>
      <c r="AT352" s="1004"/>
      <c r="AU352" s="1004"/>
      <c r="AV352" s="1004"/>
      <c r="AW352" s="1004"/>
    </row>
    <row r="353" spans="1:49" ht="15.6" customHeight="1">
      <c r="A353" s="1004"/>
      <c r="B353" s="1004"/>
      <c r="C353" s="1004"/>
      <c r="I353" s="1004"/>
      <c r="J353" s="1004"/>
      <c r="K353" s="1004"/>
      <c r="L353" s="777">
        <v>5</v>
      </c>
      <c r="M353" s="778"/>
      <c r="N353" s="976"/>
      <c r="O353" s="1020">
        <v>296</v>
      </c>
      <c r="P353" s="847" t="e">
        <f>VLOOKUP(N353,etat!$A$9:$N$1004,2,FALSE)</f>
        <v>#N/A</v>
      </c>
      <c r="Q353" s="797" t="e">
        <f>VLOOKUP(N353,etat!$A$9:$N$963,7,FALSE)</f>
        <v>#N/A</v>
      </c>
      <c r="R353" s="797" t="e">
        <f>VLOOKUP(N353,etat!$A$9:$N$1003,9,FALSE)</f>
        <v>#N/A</v>
      </c>
      <c r="S353" s="866" t="e">
        <f>VLOOKUP(N353,etat!$A$9:$P$905,16,FALSE)</f>
        <v>#N/A</v>
      </c>
      <c r="T353" s="755"/>
      <c r="U353" s="784"/>
      <c r="V353" s="784"/>
      <c r="W353" s="784"/>
      <c r="X353" s="784"/>
      <c r="Y353" s="784"/>
      <c r="Z353" s="932" t="str">
        <f>VLOOKUP(L353,[2]اس!$S$3:$X$31,3,FALSE)</f>
        <v>.</v>
      </c>
      <c r="AA353" s="967"/>
      <c r="AB353" s="1005"/>
      <c r="AC353" s="1005"/>
      <c r="AD353" s="1005"/>
      <c r="AE353" s="1005"/>
      <c r="AF353" s="1005"/>
      <c r="AG353" s="1004"/>
      <c r="AH353" s="1004"/>
      <c r="AI353" s="1004"/>
      <c r="AJ353" s="1004"/>
      <c r="AK353" s="1004"/>
      <c r="AL353" s="1004"/>
      <c r="AM353" s="1004"/>
      <c r="AN353" s="1004"/>
      <c r="AO353" s="1004"/>
      <c r="AP353" s="1004"/>
      <c r="AQ353" s="1004"/>
      <c r="AR353" s="1004"/>
      <c r="AS353" s="1004"/>
      <c r="AT353" s="1004"/>
      <c r="AU353" s="1004"/>
      <c r="AV353" s="1004"/>
      <c r="AW353" s="1004"/>
    </row>
    <row r="354" spans="1:49" ht="15.6" customHeight="1">
      <c r="A354" s="1004"/>
      <c r="B354" s="1004"/>
      <c r="C354" s="1004"/>
      <c r="I354" s="1004"/>
      <c r="J354" s="1004"/>
      <c r="K354" s="1004"/>
      <c r="L354" s="777">
        <v>5</v>
      </c>
      <c r="M354" s="778"/>
      <c r="N354" s="976"/>
      <c r="O354" s="1020">
        <v>297</v>
      </c>
      <c r="P354" s="847" t="e">
        <f>VLOOKUP(N354,etat!$A$9:$N$1004,2,FALSE)</f>
        <v>#N/A</v>
      </c>
      <c r="Q354" s="797" t="e">
        <f>VLOOKUP(N354,etat!$A$9:$N$963,7,FALSE)</f>
        <v>#N/A</v>
      </c>
      <c r="R354" s="797" t="e">
        <f>VLOOKUP(N354,etat!$A$9:$N$1003,9,FALSE)</f>
        <v>#N/A</v>
      </c>
      <c r="S354" s="866" t="e">
        <f>VLOOKUP(N354,etat!$A$9:$P$905,16,FALSE)</f>
        <v>#N/A</v>
      </c>
      <c r="T354" s="755"/>
      <c r="U354" s="784"/>
      <c r="V354" s="784"/>
      <c r="W354" s="784"/>
      <c r="X354" s="784"/>
      <c r="Y354" s="784"/>
      <c r="Z354" s="932" t="str">
        <f>VLOOKUP(L354,[2]اس!$S$3:$X$31,3,FALSE)</f>
        <v>.</v>
      </c>
      <c r="AA354" s="967"/>
      <c r="AB354" s="1005"/>
      <c r="AC354" s="1005"/>
      <c r="AD354" s="1005"/>
      <c r="AE354" s="1005"/>
      <c r="AF354" s="1005"/>
      <c r="AG354" s="1004"/>
      <c r="AH354" s="1004"/>
      <c r="AI354" s="1004"/>
      <c r="AJ354" s="1004"/>
      <c r="AK354" s="1004"/>
      <c r="AL354" s="1004"/>
      <c r="AM354" s="1004"/>
      <c r="AN354" s="1004"/>
      <c r="AO354" s="1004"/>
      <c r="AP354" s="1004"/>
      <c r="AQ354" s="1004"/>
      <c r="AR354" s="1004"/>
      <c r="AS354" s="1004"/>
      <c r="AT354" s="1004"/>
      <c r="AU354" s="1004"/>
      <c r="AV354" s="1004"/>
      <c r="AW354" s="1004"/>
    </row>
    <row r="355" spans="1:49" ht="15.6" customHeight="1">
      <c r="A355" s="1004"/>
      <c r="B355" s="1004"/>
      <c r="C355" s="1004"/>
      <c r="I355" s="1004"/>
      <c r="J355" s="1004"/>
      <c r="K355" s="1004"/>
      <c r="L355" s="777">
        <v>5</v>
      </c>
      <c r="M355" s="778"/>
      <c r="N355" s="976"/>
      <c r="O355" s="1020">
        <v>298</v>
      </c>
      <c r="P355" s="847" t="e">
        <f>VLOOKUP(N355,etat!$A$9:$N$1004,2,FALSE)</f>
        <v>#N/A</v>
      </c>
      <c r="Q355" s="797" t="e">
        <f>VLOOKUP(N355,etat!$A$9:$N$963,7,FALSE)</f>
        <v>#N/A</v>
      </c>
      <c r="R355" s="797" t="e">
        <f>VLOOKUP(N355,etat!$A$9:$N$1003,9,FALSE)</f>
        <v>#N/A</v>
      </c>
      <c r="S355" s="866" t="e">
        <f>VLOOKUP(N355,etat!$A$9:$P$905,16,FALSE)</f>
        <v>#N/A</v>
      </c>
      <c r="T355" s="755"/>
      <c r="U355" s="784"/>
      <c r="V355" s="784"/>
      <c r="W355" s="784"/>
      <c r="X355" s="784"/>
      <c r="Y355" s="784"/>
      <c r="Z355" s="932" t="str">
        <f>VLOOKUP(L355,[2]اس!$S$3:$X$31,3,FALSE)</f>
        <v>.</v>
      </c>
      <c r="AA355" s="967"/>
      <c r="AB355" s="1005"/>
      <c r="AC355" s="1005"/>
      <c r="AD355" s="1005"/>
      <c r="AE355" s="1005"/>
      <c r="AF355" s="1005"/>
      <c r="AG355" s="1004"/>
      <c r="AH355" s="1004"/>
      <c r="AI355" s="1004"/>
      <c r="AJ355" s="1004"/>
      <c r="AK355" s="1004"/>
      <c r="AL355" s="1004"/>
      <c r="AM355" s="1004"/>
      <c r="AN355" s="1004"/>
      <c r="AO355" s="1004"/>
      <c r="AP355" s="1004"/>
      <c r="AQ355" s="1004"/>
      <c r="AR355" s="1004"/>
      <c r="AS355" s="1004"/>
      <c r="AT355" s="1004"/>
      <c r="AU355" s="1004"/>
      <c r="AV355" s="1004"/>
      <c r="AW355" s="1004"/>
    </row>
    <row r="356" spans="1:49" ht="15.6" customHeight="1">
      <c r="A356" s="1004"/>
      <c r="B356" s="1004"/>
      <c r="C356" s="1004"/>
      <c r="I356" s="1004"/>
      <c r="J356" s="1004"/>
      <c r="K356" s="1004"/>
      <c r="L356" s="777">
        <v>5</v>
      </c>
      <c r="M356" s="778"/>
      <c r="N356" s="976"/>
      <c r="O356" s="1020">
        <v>299</v>
      </c>
      <c r="P356" s="847" t="e">
        <f>VLOOKUP(N356,etat!$A$9:$N$1004,2,FALSE)</f>
        <v>#N/A</v>
      </c>
      <c r="Q356" s="797" t="e">
        <f>VLOOKUP(N356,etat!$A$9:$N$963,7,FALSE)</f>
        <v>#N/A</v>
      </c>
      <c r="R356" s="797" t="e">
        <f>VLOOKUP(N356,etat!$A$9:$N$1003,9,FALSE)</f>
        <v>#N/A</v>
      </c>
      <c r="S356" s="866" t="e">
        <f>VLOOKUP(N356,etat!$A$9:$P$905,16,FALSE)</f>
        <v>#N/A</v>
      </c>
      <c r="T356" s="755"/>
      <c r="U356" s="784"/>
      <c r="V356" s="784"/>
      <c r="W356" s="784"/>
      <c r="X356" s="784"/>
      <c r="Y356" s="784"/>
      <c r="Z356" s="932" t="str">
        <f>VLOOKUP(L356,[2]اس!$S$3:$X$31,3,FALSE)</f>
        <v>.</v>
      </c>
      <c r="AA356" s="967"/>
      <c r="AB356" s="1005"/>
      <c r="AC356" s="1005"/>
      <c r="AD356" s="1005"/>
      <c r="AE356" s="1005"/>
      <c r="AF356" s="1005"/>
      <c r="AG356" s="1004"/>
      <c r="AH356" s="1004"/>
      <c r="AI356" s="1004"/>
      <c r="AJ356" s="1004"/>
      <c r="AK356" s="1004"/>
      <c r="AL356" s="1004"/>
      <c r="AM356" s="1004"/>
      <c r="AN356" s="1004"/>
      <c r="AO356" s="1004"/>
      <c r="AP356" s="1004"/>
      <c r="AQ356" s="1004"/>
      <c r="AR356" s="1004"/>
      <c r="AS356" s="1004"/>
      <c r="AT356" s="1004"/>
      <c r="AU356" s="1004"/>
      <c r="AV356" s="1004"/>
      <c r="AW356" s="1004"/>
    </row>
    <row r="357" spans="1:49" ht="15.6" customHeight="1">
      <c r="A357" s="1004"/>
      <c r="B357" s="1004"/>
      <c r="C357" s="1004"/>
      <c r="I357" s="1004"/>
      <c r="J357" s="1004"/>
      <c r="K357" s="1004"/>
      <c r="L357" s="777">
        <v>5</v>
      </c>
      <c r="M357" s="778"/>
      <c r="N357" s="976"/>
      <c r="O357" s="1020">
        <v>300</v>
      </c>
      <c r="P357" s="847" t="e">
        <f>VLOOKUP(N357,etat!$A$9:$N$1004,2,FALSE)</f>
        <v>#N/A</v>
      </c>
      <c r="Q357" s="797" t="e">
        <f>VLOOKUP(N357,etat!$A$9:$N$963,7,FALSE)</f>
        <v>#N/A</v>
      </c>
      <c r="R357" s="797" t="e">
        <f>VLOOKUP(N357,etat!$A$9:$N$1003,9,FALSE)</f>
        <v>#N/A</v>
      </c>
      <c r="S357" s="866" t="e">
        <f>VLOOKUP(N357,etat!$A$9:$P$905,16,FALSE)</f>
        <v>#N/A</v>
      </c>
      <c r="T357" s="755"/>
      <c r="U357" s="784"/>
      <c r="V357" s="784"/>
      <c r="W357" s="784"/>
      <c r="X357" s="784"/>
      <c r="Y357" s="784"/>
      <c r="Z357" s="932" t="str">
        <f>VLOOKUP(L357,[2]اس!$S$3:$X$31,3,FALSE)</f>
        <v>.</v>
      </c>
      <c r="AA357" s="967"/>
      <c r="AB357" s="1005"/>
      <c r="AC357" s="1005"/>
      <c r="AD357" s="1005"/>
      <c r="AE357" s="1005"/>
      <c r="AF357" s="1005"/>
      <c r="AG357" s="1004"/>
      <c r="AH357" s="1004"/>
      <c r="AI357" s="1004"/>
      <c r="AJ357" s="1004"/>
      <c r="AK357" s="1004"/>
      <c r="AL357" s="1004"/>
      <c r="AM357" s="1004"/>
      <c r="AN357" s="1004"/>
      <c r="AO357" s="1004"/>
      <c r="AP357" s="1004"/>
      <c r="AQ357" s="1004"/>
      <c r="AR357" s="1004"/>
      <c r="AS357" s="1004"/>
      <c r="AT357" s="1004"/>
      <c r="AU357" s="1004"/>
      <c r="AV357" s="1004"/>
      <c r="AW357" s="1004"/>
    </row>
    <row r="358" spans="1:49" ht="15.6" customHeight="1">
      <c r="A358" s="1004"/>
      <c r="B358" s="1004"/>
      <c r="C358" s="1004"/>
      <c r="I358" s="1004"/>
      <c r="J358" s="1004"/>
      <c r="K358" s="1004"/>
      <c r="L358" s="777">
        <v>5</v>
      </c>
      <c r="M358" s="778"/>
      <c r="N358" s="976"/>
      <c r="O358" s="1020">
        <v>301</v>
      </c>
      <c r="P358" s="847" t="e">
        <f>VLOOKUP(N358,etat!$A$9:$N$1004,2,FALSE)</f>
        <v>#N/A</v>
      </c>
      <c r="Q358" s="797" t="e">
        <f>VLOOKUP(N358,etat!$A$9:$N$963,7,FALSE)</f>
        <v>#N/A</v>
      </c>
      <c r="R358" s="797" t="e">
        <f>VLOOKUP(N358,etat!$A$9:$N$1003,9,FALSE)</f>
        <v>#N/A</v>
      </c>
      <c r="S358" s="866" t="e">
        <f>VLOOKUP(N358,etat!$A$9:$P$905,16,FALSE)</f>
        <v>#N/A</v>
      </c>
      <c r="T358" s="755"/>
      <c r="U358" s="784"/>
      <c r="V358" s="784"/>
      <c r="W358" s="784"/>
      <c r="X358" s="784"/>
      <c r="Y358" s="784"/>
      <c r="Z358" s="932" t="str">
        <f>VLOOKUP(L358,[2]اس!$S$3:$X$31,3,FALSE)</f>
        <v>.</v>
      </c>
      <c r="AA358" s="967"/>
      <c r="AB358" s="1005"/>
      <c r="AC358" s="1005"/>
      <c r="AD358" s="1005"/>
      <c r="AE358" s="1005"/>
      <c r="AF358" s="1005"/>
      <c r="AG358" s="1004"/>
      <c r="AH358" s="1004"/>
      <c r="AI358" s="1004"/>
      <c r="AJ358" s="1004"/>
      <c r="AK358" s="1004"/>
      <c r="AL358" s="1004"/>
      <c r="AM358" s="1004"/>
      <c r="AN358" s="1004"/>
      <c r="AO358" s="1004"/>
      <c r="AP358" s="1004"/>
      <c r="AQ358" s="1004"/>
      <c r="AR358" s="1004"/>
      <c r="AS358" s="1004"/>
      <c r="AT358" s="1004"/>
      <c r="AU358" s="1004"/>
      <c r="AV358" s="1004"/>
      <c r="AW358" s="1004"/>
    </row>
    <row r="359" spans="1:49" ht="15.6" customHeight="1">
      <c r="A359" s="1004"/>
      <c r="B359" s="1004"/>
      <c r="C359" s="1004"/>
      <c r="I359" s="1004"/>
      <c r="J359" s="1004"/>
      <c r="K359" s="1004"/>
      <c r="L359" s="777">
        <v>5</v>
      </c>
      <c r="M359" s="778"/>
      <c r="N359" s="976"/>
      <c r="O359" s="1020">
        <v>302</v>
      </c>
      <c r="P359" s="847" t="e">
        <f>VLOOKUP(N359,etat!$A$9:$N$1004,2,FALSE)</f>
        <v>#N/A</v>
      </c>
      <c r="Q359" s="797" t="e">
        <f>VLOOKUP(N359,etat!$A$9:$N$963,7,FALSE)</f>
        <v>#N/A</v>
      </c>
      <c r="R359" s="954" t="e">
        <f>VLOOKUP(N359,etat!$A$9:$N$1003,9,FALSE)</f>
        <v>#N/A</v>
      </c>
      <c r="S359" s="866" t="e">
        <f>VLOOKUP(N359,etat!$A$9:$P$905,16,FALSE)</f>
        <v>#N/A</v>
      </c>
      <c r="T359" s="755"/>
      <c r="U359" s="784"/>
      <c r="V359" s="784"/>
      <c r="W359" s="784"/>
      <c r="X359" s="784"/>
      <c r="Y359" s="975"/>
      <c r="Z359" s="932" t="str">
        <f>VLOOKUP(L359,[2]اس!$S$3:$X$31,3,FALSE)</f>
        <v>.</v>
      </c>
      <c r="AA359" s="967"/>
      <c r="AB359" s="1005"/>
      <c r="AC359" s="1005"/>
      <c r="AD359" s="1005"/>
      <c r="AE359" s="1005"/>
      <c r="AF359" s="1005"/>
      <c r="AG359" s="1004"/>
      <c r="AH359" s="1004"/>
      <c r="AI359" s="1004"/>
      <c r="AJ359" s="1004"/>
      <c r="AK359" s="1004"/>
      <c r="AL359" s="1004"/>
      <c r="AM359" s="1004"/>
      <c r="AN359" s="1004"/>
      <c r="AO359" s="1004"/>
      <c r="AP359" s="1004"/>
      <c r="AQ359" s="1004"/>
      <c r="AR359" s="1004"/>
      <c r="AS359" s="1004"/>
      <c r="AT359" s="1004"/>
      <c r="AU359" s="1004"/>
      <c r="AV359" s="1004"/>
      <c r="AW359" s="1004"/>
    </row>
    <row r="360" spans="1:49" ht="15.6" customHeight="1">
      <c r="A360" s="1004"/>
      <c r="B360" s="1004"/>
      <c r="C360" s="1004"/>
      <c r="I360" s="1004"/>
      <c r="J360" s="1004"/>
      <c r="K360" s="1004"/>
      <c r="L360" s="777">
        <v>5</v>
      </c>
      <c r="M360" s="778"/>
      <c r="N360" s="976"/>
      <c r="O360" s="1020">
        <v>303</v>
      </c>
      <c r="P360" s="847" t="e">
        <f>VLOOKUP(N360,etat!$A$9:$N$1004,2,FALSE)</f>
        <v>#N/A</v>
      </c>
      <c r="Q360" s="797" t="e">
        <f>VLOOKUP(N360,etat!$A$9:$N$963,7,FALSE)</f>
        <v>#N/A</v>
      </c>
      <c r="R360" s="954" t="e">
        <f>VLOOKUP(N360,etat!$A$9:$N$1003,9,FALSE)</f>
        <v>#N/A</v>
      </c>
      <c r="S360" s="866" t="e">
        <f>VLOOKUP(N360,etat!$A$9:$P$905,16,FALSE)</f>
        <v>#N/A</v>
      </c>
      <c r="T360" s="755"/>
      <c r="U360" s="784"/>
      <c r="V360" s="784"/>
      <c r="W360" s="784"/>
      <c r="X360" s="784"/>
      <c r="Y360" s="975"/>
      <c r="Z360" s="932" t="str">
        <f>VLOOKUP(L360,[2]اس!$S$3:$X$31,3,FALSE)</f>
        <v>.</v>
      </c>
      <c r="AA360" s="967"/>
      <c r="AB360" s="1005"/>
      <c r="AC360" s="1005"/>
      <c r="AD360" s="1005"/>
      <c r="AE360" s="1005"/>
      <c r="AF360" s="1005"/>
      <c r="AG360" s="1004"/>
      <c r="AH360" s="1004"/>
      <c r="AI360" s="1004"/>
      <c r="AJ360" s="1004"/>
      <c r="AK360" s="1004"/>
      <c r="AL360" s="1004"/>
      <c r="AM360" s="1004"/>
      <c r="AN360" s="1004"/>
      <c r="AO360" s="1004"/>
      <c r="AP360" s="1004"/>
      <c r="AQ360" s="1004"/>
      <c r="AR360" s="1004"/>
      <c r="AS360" s="1004"/>
      <c r="AT360" s="1004"/>
      <c r="AU360" s="1004"/>
      <c r="AV360" s="1004"/>
      <c r="AW360" s="1004"/>
    </row>
    <row r="361" spans="1:49" ht="15.6" customHeight="1">
      <c r="A361" s="1004"/>
      <c r="B361" s="1004"/>
      <c r="C361" s="1004"/>
      <c r="I361" s="1004"/>
      <c r="J361" s="1004"/>
      <c r="K361" s="1004"/>
      <c r="L361" s="777">
        <v>5</v>
      </c>
      <c r="M361" s="778"/>
      <c r="N361" s="976"/>
      <c r="O361" s="1020">
        <v>304</v>
      </c>
      <c r="P361" s="847" t="e">
        <f>VLOOKUP(N361,etat!$A$9:$N$1004,2,FALSE)</f>
        <v>#N/A</v>
      </c>
      <c r="Q361" s="797" t="e">
        <f>VLOOKUP(N361,etat!$A$9:$N$963,7,FALSE)</f>
        <v>#N/A</v>
      </c>
      <c r="R361" s="954" t="e">
        <f>VLOOKUP(N361,etat!$A$9:$N$1003,9,FALSE)</f>
        <v>#N/A</v>
      </c>
      <c r="S361" s="866" t="e">
        <f>VLOOKUP(N361,etat!$A$9:$P$905,16,FALSE)</f>
        <v>#N/A</v>
      </c>
      <c r="T361" s="755"/>
      <c r="U361" s="784"/>
      <c r="V361" s="784"/>
      <c r="W361" s="784"/>
      <c r="X361" s="784"/>
      <c r="Y361" s="975"/>
      <c r="Z361" s="932" t="str">
        <f>VLOOKUP(L361,[2]اس!$S$3:$X$31,3,FALSE)</f>
        <v>.</v>
      </c>
      <c r="AA361" s="967"/>
      <c r="AB361" s="1005"/>
      <c r="AC361" s="1005"/>
      <c r="AD361" s="1005"/>
      <c r="AE361" s="1005"/>
      <c r="AF361" s="1005"/>
      <c r="AG361" s="1004"/>
      <c r="AH361" s="1004"/>
      <c r="AI361" s="1004"/>
      <c r="AJ361" s="1004"/>
      <c r="AK361" s="1004"/>
      <c r="AL361" s="1004"/>
      <c r="AM361" s="1004"/>
      <c r="AN361" s="1004"/>
      <c r="AO361" s="1004"/>
      <c r="AP361" s="1004"/>
      <c r="AQ361" s="1004"/>
      <c r="AR361" s="1004"/>
      <c r="AS361" s="1004"/>
      <c r="AT361" s="1004"/>
      <c r="AU361" s="1004"/>
      <c r="AV361" s="1004"/>
      <c r="AW361" s="1004"/>
    </row>
    <row r="362" spans="1:49" ht="15.6" customHeight="1">
      <c r="A362" s="1004"/>
      <c r="B362" s="1004"/>
      <c r="C362" s="1004"/>
      <c r="I362" s="1004"/>
      <c r="J362" s="1004"/>
      <c r="K362" s="1004"/>
      <c r="L362" s="777">
        <v>5</v>
      </c>
      <c r="M362" s="778"/>
      <c r="N362" s="976"/>
      <c r="O362" s="1020">
        <v>305</v>
      </c>
      <c r="P362" s="847" t="e">
        <f>VLOOKUP(N362,etat!$A$9:$N$1004,2,FALSE)</f>
        <v>#N/A</v>
      </c>
      <c r="Q362" s="797" t="e">
        <f>VLOOKUP(N362,etat!$A$9:$N$963,7,FALSE)</f>
        <v>#N/A</v>
      </c>
      <c r="R362" s="954" t="e">
        <f>VLOOKUP(N362,etat!$A$9:$N$1003,9,FALSE)</f>
        <v>#N/A</v>
      </c>
      <c r="S362" s="866" t="e">
        <f>VLOOKUP(N362,etat!$A$9:$P$905,16,FALSE)</f>
        <v>#N/A</v>
      </c>
      <c r="T362" s="755"/>
      <c r="U362" s="784"/>
      <c r="V362" s="784"/>
      <c r="W362" s="784"/>
      <c r="X362" s="784"/>
      <c r="Y362" s="975"/>
      <c r="Z362" s="932" t="str">
        <f>VLOOKUP(L362,[2]اس!$S$3:$X$31,3,FALSE)</f>
        <v>.</v>
      </c>
      <c r="AA362" s="967"/>
      <c r="AB362" s="1005"/>
      <c r="AC362" s="1005"/>
      <c r="AD362" s="1005"/>
      <c r="AE362" s="1005"/>
      <c r="AF362" s="1005"/>
      <c r="AG362" s="1004"/>
      <c r="AH362" s="1004"/>
      <c r="AI362" s="1004"/>
      <c r="AJ362" s="1004"/>
      <c r="AK362" s="1004"/>
      <c r="AL362" s="1004"/>
      <c r="AM362" s="1004"/>
      <c r="AN362" s="1004"/>
      <c r="AO362" s="1004"/>
      <c r="AP362" s="1004"/>
      <c r="AQ362" s="1004"/>
      <c r="AR362" s="1004"/>
      <c r="AS362" s="1004"/>
      <c r="AT362" s="1004"/>
      <c r="AU362" s="1004"/>
      <c r="AV362" s="1004"/>
      <c r="AW362" s="1004"/>
    </row>
    <row r="363" spans="1:49" ht="15.6" customHeight="1">
      <c r="A363" s="1004"/>
      <c r="B363" s="1004"/>
      <c r="C363" s="1004"/>
      <c r="I363" s="1004"/>
      <c r="J363" s="1004"/>
      <c r="K363" s="1004"/>
      <c r="L363" s="777">
        <v>5</v>
      </c>
      <c r="M363" s="778"/>
      <c r="N363" s="976"/>
      <c r="O363" s="1020">
        <v>306</v>
      </c>
      <c r="P363" s="847" t="e">
        <f>VLOOKUP(N363,etat!$A$9:$N$1004,2,FALSE)</f>
        <v>#N/A</v>
      </c>
      <c r="Q363" s="797" t="e">
        <f>VLOOKUP(N363,etat!$A$9:$N$963,7,FALSE)</f>
        <v>#N/A</v>
      </c>
      <c r="R363" s="954" t="e">
        <f>VLOOKUP(N363,etat!$A$9:$N$1003,9,FALSE)</f>
        <v>#N/A</v>
      </c>
      <c r="S363" s="866" t="e">
        <f>VLOOKUP(N363,etat!$A$9:$P$905,16,FALSE)</f>
        <v>#N/A</v>
      </c>
      <c r="T363" s="755"/>
      <c r="U363" s="784"/>
      <c r="V363" s="784"/>
      <c r="W363" s="784"/>
      <c r="X363" s="784"/>
      <c r="Y363" s="975"/>
      <c r="Z363" s="932" t="str">
        <f>VLOOKUP(L363,[2]اس!$S$3:$X$31,3,FALSE)</f>
        <v>.</v>
      </c>
      <c r="AA363" s="967"/>
      <c r="AB363" s="1005"/>
      <c r="AC363" s="1005"/>
      <c r="AD363" s="1005"/>
      <c r="AE363" s="1005"/>
      <c r="AF363" s="1005"/>
      <c r="AG363" s="1004"/>
      <c r="AH363" s="1004"/>
      <c r="AI363" s="1004"/>
      <c r="AJ363" s="1004"/>
      <c r="AK363" s="1004"/>
      <c r="AL363" s="1004"/>
      <c r="AM363" s="1004"/>
      <c r="AN363" s="1004"/>
      <c r="AO363" s="1004"/>
      <c r="AP363" s="1004"/>
      <c r="AQ363" s="1004"/>
      <c r="AR363" s="1004"/>
      <c r="AS363" s="1004"/>
      <c r="AT363" s="1004"/>
      <c r="AU363" s="1004"/>
      <c r="AV363" s="1004"/>
      <c r="AW363" s="1004"/>
    </row>
    <row r="364" spans="1:49" ht="15.6" customHeight="1">
      <c r="A364" s="1004"/>
      <c r="B364" s="1004"/>
      <c r="C364" s="1004"/>
      <c r="I364" s="1004"/>
      <c r="J364" s="1004"/>
      <c r="K364" s="1004"/>
      <c r="L364" s="777">
        <v>5</v>
      </c>
      <c r="M364" s="778"/>
      <c r="N364" s="976"/>
      <c r="O364" s="1020">
        <v>307</v>
      </c>
      <c r="P364" s="847" t="e">
        <f>VLOOKUP(N364,etat!$A$9:$N$1004,2,FALSE)</f>
        <v>#N/A</v>
      </c>
      <c r="Q364" s="797" t="e">
        <f>VLOOKUP(N364,etat!$A$9:$N$963,7,FALSE)</f>
        <v>#N/A</v>
      </c>
      <c r="R364" s="954" t="e">
        <f>VLOOKUP(N364,etat!$A$9:$N$1003,9,FALSE)</f>
        <v>#N/A</v>
      </c>
      <c r="S364" s="866" t="e">
        <f>VLOOKUP(N364,etat!$A$9:$P$905,16,FALSE)</f>
        <v>#N/A</v>
      </c>
      <c r="T364" s="755"/>
      <c r="U364" s="784"/>
      <c r="V364" s="784"/>
      <c r="W364" s="784"/>
      <c r="X364" s="784"/>
      <c r="Y364" s="975"/>
      <c r="Z364" s="932" t="str">
        <f>VLOOKUP(L364,[2]اس!$S$3:$X$31,3,FALSE)</f>
        <v>.</v>
      </c>
      <c r="AA364" s="967"/>
      <c r="AB364" s="1005"/>
      <c r="AC364" s="1005"/>
      <c r="AD364" s="1005"/>
      <c r="AE364" s="1005"/>
      <c r="AF364" s="1005"/>
      <c r="AG364" s="1004"/>
      <c r="AH364" s="1004"/>
      <c r="AI364" s="1004"/>
      <c r="AJ364" s="1004"/>
      <c r="AK364" s="1004"/>
      <c r="AL364" s="1004"/>
      <c r="AM364" s="1004"/>
      <c r="AN364" s="1004"/>
      <c r="AO364" s="1004"/>
      <c r="AP364" s="1004"/>
      <c r="AQ364" s="1004"/>
      <c r="AR364" s="1004"/>
      <c r="AS364" s="1004"/>
      <c r="AT364" s="1004"/>
      <c r="AU364" s="1004"/>
      <c r="AV364" s="1004"/>
      <c r="AW364" s="1004"/>
    </row>
    <row r="365" spans="1:49" ht="15.6" customHeight="1">
      <c r="A365" s="1004"/>
      <c r="B365" s="1004"/>
      <c r="C365" s="1004"/>
      <c r="I365" s="1004"/>
      <c r="J365" s="1004"/>
      <c r="K365" s="1004"/>
      <c r="L365" s="777">
        <v>5</v>
      </c>
      <c r="M365" s="778"/>
      <c r="N365" s="976"/>
      <c r="O365" s="1020">
        <v>308</v>
      </c>
      <c r="P365" s="847" t="e">
        <f>VLOOKUP(N365,etat!$A$9:$N$1004,2,FALSE)</f>
        <v>#N/A</v>
      </c>
      <c r="Q365" s="797" t="e">
        <f>VLOOKUP(N365,etat!$A$9:$N$963,7,FALSE)</f>
        <v>#N/A</v>
      </c>
      <c r="R365" s="954" t="e">
        <f>VLOOKUP(N365,etat!$A$9:$N$1003,9,FALSE)</f>
        <v>#N/A</v>
      </c>
      <c r="S365" s="866" t="e">
        <f>VLOOKUP(N365,etat!$A$9:$P$905,16,FALSE)</f>
        <v>#N/A</v>
      </c>
      <c r="T365" s="755"/>
      <c r="U365" s="784"/>
      <c r="V365" s="784"/>
      <c r="W365" s="784"/>
      <c r="X365" s="784"/>
      <c r="Y365" s="975"/>
      <c r="Z365" s="1022"/>
      <c r="AA365" s="967"/>
      <c r="AB365" s="1005"/>
      <c r="AC365" s="1005"/>
      <c r="AD365" s="1005"/>
      <c r="AE365" s="1005"/>
      <c r="AF365" s="1005"/>
      <c r="AG365" s="1004"/>
      <c r="AH365" s="1004"/>
      <c r="AI365" s="1004"/>
      <c r="AJ365" s="1004"/>
      <c r="AK365" s="1004"/>
      <c r="AL365" s="1004"/>
      <c r="AM365" s="1004"/>
      <c r="AN365" s="1004"/>
      <c r="AO365" s="1004"/>
      <c r="AP365" s="1004"/>
      <c r="AQ365" s="1004"/>
      <c r="AR365" s="1004"/>
      <c r="AS365" s="1004"/>
      <c r="AT365" s="1004"/>
      <c r="AU365" s="1004"/>
      <c r="AV365" s="1004"/>
      <c r="AW365" s="1004"/>
    </row>
    <row r="366" spans="1:49" ht="15.6" customHeight="1">
      <c r="A366" s="1004"/>
      <c r="B366" s="1004"/>
      <c r="C366" s="1004"/>
      <c r="I366" s="1004"/>
      <c r="J366" s="1004"/>
      <c r="K366" s="1004"/>
      <c r="L366" s="777">
        <v>5</v>
      </c>
      <c r="M366" s="778"/>
      <c r="N366" s="976"/>
      <c r="O366" s="1020">
        <v>309</v>
      </c>
      <c r="P366" s="847" t="e">
        <f>VLOOKUP(N366,etat!$A$9:$N$1004,2,FALSE)</f>
        <v>#N/A</v>
      </c>
      <c r="Q366" s="797" t="e">
        <f>VLOOKUP(N366,etat!$A$9:$N$963,7,FALSE)</f>
        <v>#N/A</v>
      </c>
      <c r="R366" s="954" t="e">
        <f>VLOOKUP(N366,etat!$A$9:$N$1003,9,FALSE)</f>
        <v>#N/A</v>
      </c>
      <c r="S366" s="866" t="e">
        <f>VLOOKUP(N366,etat!$A$9:$P$905,16,FALSE)</f>
        <v>#N/A</v>
      </c>
      <c r="T366" s="755"/>
      <c r="U366" s="784"/>
      <c r="V366" s="784"/>
      <c r="W366" s="784"/>
      <c r="X366" s="784"/>
      <c r="Y366" s="975"/>
      <c r="Z366" s="1022"/>
      <c r="AA366" s="967"/>
      <c r="AB366" s="1005"/>
      <c r="AC366" s="1005"/>
      <c r="AD366" s="1005"/>
      <c r="AE366" s="1005"/>
      <c r="AF366" s="1005"/>
      <c r="AG366" s="1004"/>
      <c r="AH366" s="1004"/>
      <c r="AI366" s="1004"/>
      <c r="AJ366" s="1004"/>
      <c r="AK366" s="1004"/>
      <c r="AL366" s="1004"/>
      <c r="AM366" s="1004"/>
      <c r="AN366" s="1004"/>
      <c r="AO366" s="1004"/>
      <c r="AP366" s="1004"/>
      <c r="AQ366" s="1004"/>
      <c r="AR366" s="1004"/>
      <c r="AS366" s="1004"/>
      <c r="AT366" s="1004"/>
      <c r="AU366" s="1004"/>
      <c r="AV366" s="1004"/>
      <c r="AW366" s="1004"/>
    </row>
    <row r="367" spans="1:49" ht="15.6" customHeight="1">
      <c r="A367" s="1004"/>
      <c r="B367" s="1004"/>
      <c r="C367" s="1004"/>
      <c r="I367" s="1004"/>
      <c r="J367" s="1004"/>
      <c r="K367" s="1004"/>
      <c r="L367" s="777">
        <v>5</v>
      </c>
      <c r="M367" s="778"/>
      <c r="N367" s="976"/>
      <c r="O367" s="1020">
        <v>310</v>
      </c>
      <c r="P367" s="847" t="e">
        <f>VLOOKUP(N367,etat!$A$9:$N$1004,2,FALSE)</f>
        <v>#N/A</v>
      </c>
      <c r="Q367" s="797" t="e">
        <f>VLOOKUP(N367,etat!$A$9:$N$963,7,FALSE)</f>
        <v>#N/A</v>
      </c>
      <c r="R367" s="954" t="e">
        <f>VLOOKUP(N367,etat!$A$9:$N$1003,9,FALSE)</f>
        <v>#N/A</v>
      </c>
      <c r="S367" s="866" t="e">
        <f>VLOOKUP(N367,etat!$A$9:$P$905,16,FALSE)</f>
        <v>#N/A</v>
      </c>
      <c r="T367" s="755"/>
      <c r="U367" s="784"/>
      <c r="V367" s="784"/>
      <c r="W367" s="784"/>
      <c r="X367" s="784"/>
      <c r="Y367" s="975"/>
      <c r="Z367" s="1022"/>
      <c r="AA367" s="967"/>
      <c r="AB367" s="1005"/>
      <c r="AC367" s="1005"/>
      <c r="AD367" s="1005"/>
      <c r="AE367" s="1005"/>
      <c r="AF367" s="1005"/>
      <c r="AG367" s="1004"/>
      <c r="AH367" s="1004"/>
      <c r="AI367" s="1004"/>
      <c r="AJ367" s="1004"/>
      <c r="AK367" s="1004"/>
      <c r="AL367" s="1004"/>
      <c r="AM367" s="1004"/>
      <c r="AN367" s="1004"/>
      <c r="AO367" s="1004"/>
      <c r="AP367" s="1004"/>
      <c r="AQ367" s="1004"/>
      <c r="AR367" s="1004"/>
      <c r="AS367" s="1004"/>
      <c r="AT367" s="1004"/>
      <c r="AU367" s="1004"/>
      <c r="AV367" s="1004"/>
      <c r="AW367" s="1004"/>
    </row>
    <row r="368" spans="1:49" ht="15.6" customHeight="1">
      <c r="A368" s="1004"/>
      <c r="B368" s="1004"/>
      <c r="C368" s="1004"/>
      <c r="I368" s="1004"/>
      <c r="J368" s="1004"/>
      <c r="K368" s="1004"/>
      <c r="L368" s="777">
        <v>5</v>
      </c>
      <c r="M368" s="778"/>
      <c r="N368" s="976"/>
      <c r="O368" s="1020">
        <v>311</v>
      </c>
      <c r="P368" s="847" t="e">
        <f>VLOOKUP(N368,etat!$A$9:$N$1004,2,FALSE)</f>
        <v>#N/A</v>
      </c>
      <c r="Q368" s="797" t="e">
        <f>VLOOKUP(N368,etat!$A$9:$N$963,7,FALSE)</f>
        <v>#N/A</v>
      </c>
      <c r="R368" s="954" t="e">
        <f>VLOOKUP(N368,etat!$A$9:$N$1003,9,FALSE)</f>
        <v>#N/A</v>
      </c>
      <c r="S368" s="866" t="e">
        <f>VLOOKUP(N368,etat!$A$9:$P$905,16,FALSE)</f>
        <v>#N/A</v>
      </c>
      <c r="T368" s="755"/>
      <c r="U368" s="784"/>
      <c r="V368" s="784"/>
      <c r="W368" s="784"/>
      <c r="X368" s="784"/>
      <c r="Y368" s="975"/>
      <c r="Z368" s="1022"/>
      <c r="AA368" s="967"/>
      <c r="AB368" s="1005"/>
      <c r="AC368" s="1005"/>
      <c r="AD368" s="1005"/>
      <c r="AE368" s="1005"/>
      <c r="AF368" s="1005"/>
      <c r="AG368" s="1004"/>
      <c r="AH368" s="1004"/>
      <c r="AI368" s="1004"/>
      <c r="AJ368" s="1004"/>
      <c r="AK368" s="1004"/>
      <c r="AL368" s="1004"/>
      <c r="AM368" s="1004"/>
      <c r="AN368" s="1004"/>
      <c r="AO368" s="1004"/>
      <c r="AP368" s="1004"/>
      <c r="AQ368" s="1004"/>
      <c r="AR368" s="1004"/>
      <c r="AS368" s="1004"/>
      <c r="AT368" s="1004"/>
      <c r="AU368" s="1004"/>
      <c r="AV368" s="1004"/>
      <c r="AW368" s="1004"/>
    </row>
    <row r="369" spans="1:49" ht="15.6" customHeight="1">
      <c r="A369" s="1004"/>
      <c r="B369" s="1004"/>
      <c r="C369" s="1004"/>
      <c r="I369" s="1004"/>
      <c r="J369" s="1004"/>
      <c r="K369" s="1004"/>
      <c r="L369" s="777">
        <v>5</v>
      </c>
      <c r="M369" s="778"/>
      <c r="N369" s="976"/>
      <c r="O369" s="1020">
        <v>312</v>
      </c>
      <c r="P369" s="847" t="e">
        <f>VLOOKUP(N369,etat!$A$9:$N$1004,2,FALSE)</f>
        <v>#N/A</v>
      </c>
      <c r="Q369" s="797" t="e">
        <f>VLOOKUP(N369,etat!$A$9:$N$963,7,FALSE)</f>
        <v>#N/A</v>
      </c>
      <c r="R369" s="954" t="e">
        <f>VLOOKUP(N369,etat!$A$9:$N$1003,9,FALSE)</f>
        <v>#N/A</v>
      </c>
      <c r="S369" s="866" t="e">
        <f>VLOOKUP(N369,etat!$A$9:$P$905,16,FALSE)</f>
        <v>#N/A</v>
      </c>
      <c r="T369" s="755"/>
      <c r="U369" s="784"/>
      <c r="V369" s="784"/>
      <c r="W369" s="784"/>
      <c r="X369" s="784"/>
      <c r="Y369" s="975"/>
      <c r="Z369" s="1022"/>
      <c r="AA369" s="967"/>
      <c r="AB369" s="1005"/>
      <c r="AC369" s="1005"/>
      <c r="AD369" s="1005"/>
      <c r="AE369" s="1005"/>
      <c r="AF369" s="1005"/>
      <c r="AG369" s="1004"/>
      <c r="AH369" s="1004"/>
      <c r="AI369" s="1004"/>
      <c r="AJ369" s="1004"/>
      <c r="AK369" s="1004"/>
      <c r="AL369" s="1004"/>
      <c r="AM369" s="1004"/>
      <c r="AN369" s="1004"/>
      <c r="AO369" s="1004"/>
      <c r="AP369" s="1004"/>
      <c r="AQ369" s="1004"/>
      <c r="AR369" s="1004"/>
      <c r="AS369" s="1004"/>
      <c r="AT369" s="1004"/>
      <c r="AU369" s="1004"/>
      <c r="AV369" s="1004"/>
      <c r="AW369" s="1004"/>
    </row>
    <row r="370" spans="1:49" ht="15.6" customHeight="1">
      <c r="A370" s="1004"/>
      <c r="B370" s="1004"/>
      <c r="C370" s="1004"/>
      <c r="I370" s="1004"/>
      <c r="J370" s="1004"/>
      <c r="K370" s="1004"/>
      <c r="L370" s="777">
        <v>5</v>
      </c>
      <c r="M370" s="778"/>
      <c r="N370" s="976"/>
      <c r="O370" s="1020">
        <v>313</v>
      </c>
      <c r="P370" s="847" t="e">
        <f>VLOOKUP(N370,etat!$A$9:$N$1004,2,FALSE)</f>
        <v>#N/A</v>
      </c>
      <c r="Q370" s="797" t="e">
        <f>VLOOKUP(N370,etat!$A$9:$N$963,7,FALSE)</f>
        <v>#N/A</v>
      </c>
      <c r="R370" s="954" t="e">
        <f>VLOOKUP(N370,etat!$A$9:$N$1003,9,FALSE)</f>
        <v>#N/A</v>
      </c>
      <c r="S370" s="866" t="e">
        <f>VLOOKUP(N370,etat!$A$9:$P$905,16,FALSE)</f>
        <v>#N/A</v>
      </c>
      <c r="T370" s="755"/>
      <c r="U370" s="784"/>
      <c r="V370" s="784"/>
      <c r="W370" s="784"/>
      <c r="X370" s="784"/>
      <c r="Y370" s="975"/>
      <c r="Z370" s="1022"/>
      <c r="AA370" s="967"/>
      <c r="AB370" s="1005"/>
      <c r="AC370" s="1005"/>
      <c r="AD370" s="1005"/>
      <c r="AE370" s="1005"/>
      <c r="AF370" s="1005"/>
      <c r="AG370" s="1004"/>
      <c r="AH370" s="1004"/>
      <c r="AI370" s="1004"/>
      <c r="AJ370" s="1004"/>
      <c r="AK370" s="1004"/>
      <c r="AL370" s="1004"/>
      <c r="AM370" s="1004"/>
      <c r="AN370" s="1004"/>
      <c r="AO370" s="1004"/>
      <c r="AP370" s="1004"/>
      <c r="AQ370" s="1004"/>
      <c r="AR370" s="1004"/>
      <c r="AS370" s="1004"/>
      <c r="AT370" s="1004"/>
      <c r="AU370" s="1004"/>
      <c r="AV370" s="1004"/>
      <c r="AW370" s="1004"/>
    </row>
    <row r="371" spans="1:49" ht="15.6" customHeight="1">
      <c r="A371" s="1004"/>
      <c r="B371" s="1004"/>
      <c r="C371" s="1004"/>
      <c r="I371" s="1004"/>
      <c r="J371" s="1004"/>
      <c r="K371" s="1004"/>
      <c r="L371" s="777">
        <v>5</v>
      </c>
      <c r="M371" s="778"/>
      <c r="N371" s="976"/>
      <c r="O371" s="1020">
        <v>314</v>
      </c>
      <c r="P371" s="847" t="e">
        <f>VLOOKUP(N371,etat!$A$9:$N$1004,2,FALSE)</f>
        <v>#N/A</v>
      </c>
      <c r="Q371" s="797" t="e">
        <f>VLOOKUP(N371,etat!$A$9:$N$963,7,FALSE)</f>
        <v>#N/A</v>
      </c>
      <c r="R371" s="954" t="e">
        <f>VLOOKUP(N371,etat!$A$9:$N$1003,9,FALSE)</f>
        <v>#N/A</v>
      </c>
      <c r="S371" s="866" t="e">
        <f>VLOOKUP(N371,etat!$A$9:$P$905,16,FALSE)</f>
        <v>#N/A</v>
      </c>
      <c r="T371" s="755"/>
      <c r="U371" s="784"/>
      <c r="V371" s="784"/>
      <c r="W371" s="784"/>
      <c r="X371" s="784"/>
      <c r="Y371" s="956"/>
      <c r="Z371" s="1022"/>
      <c r="AA371" s="967"/>
      <c r="AB371" s="1005"/>
      <c r="AC371" s="1005"/>
      <c r="AD371" s="1005"/>
      <c r="AE371" s="1005"/>
      <c r="AF371" s="1005"/>
      <c r="AG371" s="1004"/>
      <c r="AH371" s="1004"/>
      <c r="AI371" s="1004"/>
      <c r="AJ371" s="1004"/>
      <c r="AK371" s="1004"/>
      <c r="AL371" s="1004"/>
      <c r="AM371" s="1004"/>
      <c r="AN371" s="1004"/>
      <c r="AO371" s="1004"/>
      <c r="AP371" s="1004"/>
      <c r="AQ371" s="1004"/>
      <c r="AR371" s="1004"/>
      <c r="AS371" s="1004"/>
      <c r="AT371" s="1004"/>
      <c r="AU371" s="1004"/>
      <c r="AV371" s="1004"/>
      <c r="AW371" s="1004"/>
    </row>
    <row r="372" spans="1:49" ht="15.6" customHeight="1">
      <c r="A372" s="1004"/>
      <c r="B372" s="1004"/>
      <c r="C372" s="1004"/>
      <c r="I372" s="1004"/>
      <c r="J372" s="1004"/>
      <c r="K372" s="1004"/>
      <c r="L372" s="777">
        <v>5</v>
      </c>
      <c r="M372" s="778"/>
      <c r="N372" s="976"/>
      <c r="O372" s="1020">
        <v>315</v>
      </c>
      <c r="P372" s="847" t="e">
        <f>VLOOKUP(N372,etat!$A$9:$N$1004,2,FALSE)</f>
        <v>#N/A</v>
      </c>
      <c r="Q372" s="797" t="e">
        <f>VLOOKUP(N372,etat!$A$9:$N$963,7,FALSE)</f>
        <v>#N/A</v>
      </c>
      <c r="R372" s="954" t="e">
        <f>VLOOKUP(N372,etat!$A$9:$N$1003,9,FALSE)</f>
        <v>#N/A</v>
      </c>
      <c r="S372" s="866" t="e">
        <f>VLOOKUP(N372,etat!$A$9:$P$905,16,FALSE)</f>
        <v>#N/A</v>
      </c>
      <c r="T372" s="755"/>
      <c r="U372" s="784"/>
      <c r="V372" s="784"/>
      <c r="W372" s="784"/>
      <c r="X372" s="784"/>
      <c r="Y372" s="956"/>
      <c r="Z372" s="1022"/>
      <c r="AA372" s="967"/>
      <c r="AB372" s="1005"/>
      <c r="AC372" s="1005"/>
      <c r="AD372" s="1005"/>
      <c r="AE372" s="1005"/>
      <c r="AF372" s="1005"/>
      <c r="AG372" s="1004"/>
      <c r="AH372" s="1004"/>
      <c r="AI372" s="1004"/>
      <c r="AJ372" s="1004"/>
      <c r="AK372" s="1004"/>
      <c r="AL372" s="1004"/>
      <c r="AM372" s="1004"/>
      <c r="AN372" s="1004"/>
      <c r="AO372" s="1004"/>
      <c r="AP372" s="1004"/>
      <c r="AQ372" s="1004"/>
      <c r="AR372" s="1004"/>
      <c r="AS372" s="1004"/>
      <c r="AT372" s="1004"/>
      <c r="AU372" s="1004"/>
      <c r="AV372" s="1004"/>
      <c r="AW372" s="1004"/>
    </row>
    <row r="373" spans="1:49" ht="15.6" customHeight="1">
      <c r="A373" s="1004"/>
      <c r="B373" s="1004"/>
      <c r="C373" s="1004"/>
      <c r="I373" s="1004"/>
      <c r="J373" s="1004"/>
      <c r="K373" s="1004"/>
      <c r="L373" s="777">
        <v>5</v>
      </c>
      <c r="M373" s="778"/>
      <c r="N373" s="976"/>
      <c r="O373" s="1020">
        <v>316</v>
      </c>
      <c r="P373" s="847" t="e">
        <f>VLOOKUP(N373,etat!$A$9:$N$1004,2,FALSE)</f>
        <v>#N/A</v>
      </c>
      <c r="Q373" s="797" t="e">
        <f>VLOOKUP(N373,etat!$A$9:$N$963,7,FALSE)</f>
        <v>#N/A</v>
      </c>
      <c r="R373" s="797" t="e">
        <f>VLOOKUP(N373,etat!$A$9:$N$1003,9,FALSE)</f>
        <v>#N/A</v>
      </c>
      <c r="S373" s="866" t="e">
        <f>VLOOKUP(N373,etat!$A$9:$P$905,16,FALSE)</f>
        <v>#N/A</v>
      </c>
      <c r="T373" s="755"/>
      <c r="U373" s="784"/>
      <c r="V373" s="784"/>
      <c r="W373" s="784"/>
      <c r="X373" s="784"/>
      <c r="Y373" s="975"/>
      <c r="Z373" s="1022"/>
      <c r="AA373" s="967"/>
      <c r="AB373" s="1005"/>
      <c r="AC373" s="1005"/>
      <c r="AD373" s="1005"/>
      <c r="AE373" s="1005"/>
      <c r="AF373" s="1005"/>
      <c r="AG373" s="1004"/>
      <c r="AH373" s="1004"/>
      <c r="AI373" s="1004"/>
      <c r="AJ373" s="1004"/>
      <c r="AK373" s="1004"/>
      <c r="AL373" s="1004"/>
      <c r="AM373" s="1004"/>
      <c r="AN373" s="1004"/>
      <c r="AO373" s="1004"/>
      <c r="AP373" s="1004"/>
      <c r="AQ373" s="1004"/>
      <c r="AR373" s="1004"/>
      <c r="AS373" s="1004"/>
      <c r="AT373" s="1004"/>
      <c r="AU373" s="1004"/>
      <c r="AV373" s="1004"/>
      <c r="AW373" s="1004"/>
    </row>
    <row r="374" spans="1:49" ht="15.6" customHeight="1">
      <c r="A374" s="1004"/>
      <c r="B374" s="1004"/>
      <c r="C374" s="1004"/>
      <c r="I374" s="1004"/>
      <c r="J374" s="1004"/>
      <c r="K374" s="1004"/>
      <c r="L374" s="777">
        <v>5</v>
      </c>
      <c r="M374" s="778"/>
      <c r="N374" s="976"/>
      <c r="O374" s="1020">
        <v>317</v>
      </c>
      <c r="P374" s="847" t="e">
        <f>VLOOKUP(N374,etat!$A$9:$N$1004,2,FALSE)</f>
        <v>#N/A</v>
      </c>
      <c r="Q374" s="797" t="e">
        <f>VLOOKUP(N374,etat!$A$9:$N$963,7,FALSE)</f>
        <v>#N/A</v>
      </c>
      <c r="R374" s="797" t="e">
        <f>VLOOKUP(N374,etat!$A$9:$N$1003,9,FALSE)</f>
        <v>#N/A</v>
      </c>
      <c r="S374" s="866" t="e">
        <f>VLOOKUP(N374,etat!$A$9:$P$905,16,FALSE)</f>
        <v>#N/A</v>
      </c>
      <c r="T374" s="755"/>
      <c r="U374" s="784"/>
      <c r="V374" s="784"/>
      <c r="W374" s="755"/>
      <c r="X374" s="784"/>
      <c r="Y374" s="975"/>
      <c r="Z374" s="1022"/>
      <c r="AA374" s="967"/>
      <c r="AB374" s="1005"/>
      <c r="AC374" s="1005"/>
      <c r="AD374" s="1005"/>
      <c r="AE374" s="1005"/>
      <c r="AF374" s="1005"/>
      <c r="AG374" s="1004"/>
      <c r="AH374" s="1004"/>
      <c r="AI374" s="1004"/>
      <c r="AJ374" s="1004"/>
      <c r="AK374" s="1004"/>
      <c r="AL374" s="1004"/>
      <c r="AM374" s="1004"/>
      <c r="AN374" s="1004"/>
      <c r="AO374" s="1004"/>
      <c r="AP374" s="1004"/>
      <c r="AQ374" s="1004"/>
      <c r="AR374" s="1004"/>
      <c r="AS374" s="1004"/>
      <c r="AT374" s="1004"/>
      <c r="AU374" s="1004"/>
      <c r="AV374" s="1004"/>
      <c r="AW374" s="1004"/>
    </row>
    <row r="375" spans="1:49" ht="15.6" customHeight="1">
      <c r="A375" s="1004"/>
      <c r="B375" s="1004"/>
      <c r="C375" s="1004"/>
      <c r="I375" s="1004"/>
      <c r="J375" s="1004"/>
      <c r="K375" s="1004"/>
      <c r="L375" s="777">
        <v>5</v>
      </c>
      <c r="M375" s="778"/>
      <c r="N375" s="976"/>
      <c r="O375" s="1020">
        <v>318</v>
      </c>
      <c r="P375" s="847" t="e">
        <f>VLOOKUP(N375,etat!$A$9:$N$1004,2,FALSE)</f>
        <v>#N/A</v>
      </c>
      <c r="Q375" s="797" t="e">
        <f>VLOOKUP(N375,etat!$A$9:$N$963,7,FALSE)</f>
        <v>#N/A</v>
      </c>
      <c r="R375" s="797" t="e">
        <f>VLOOKUP(N375,etat!$A$9:$N$1003,9,FALSE)</f>
        <v>#N/A</v>
      </c>
      <c r="S375" s="866" t="e">
        <f>VLOOKUP(N375,etat!$A$9:$P$905,16,FALSE)</f>
        <v>#N/A</v>
      </c>
      <c r="T375" s="755"/>
      <c r="U375" s="784"/>
      <c r="V375" s="784"/>
      <c r="W375" s="943"/>
      <c r="X375" s="944"/>
      <c r="Y375" s="975"/>
      <c r="Z375" s="1022"/>
      <c r="AA375" s="967"/>
      <c r="AB375" s="1005"/>
      <c r="AC375" s="1005"/>
      <c r="AD375" s="1005"/>
      <c r="AE375" s="1005"/>
      <c r="AF375" s="1005"/>
      <c r="AG375" s="1004"/>
      <c r="AH375" s="1004"/>
      <c r="AI375" s="1004"/>
      <c r="AJ375" s="1004"/>
      <c r="AK375" s="1004"/>
      <c r="AL375" s="1004"/>
      <c r="AM375" s="1004"/>
      <c r="AN375" s="1004"/>
      <c r="AO375" s="1004"/>
      <c r="AP375" s="1004"/>
      <c r="AQ375" s="1004"/>
      <c r="AR375" s="1004"/>
      <c r="AS375" s="1004"/>
      <c r="AT375" s="1004"/>
      <c r="AU375" s="1004"/>
      <c r="AV375" s="1004"/>
      <c r="AW375" s="1004"/>
    </row>
    <row r="376" spans="1:49" ht="15.6" customHeight="1">
      <c r="A376" s="1004"/>
      <c r="B376" s="1004"/>
      <c r="C376" s="1004"/>
      <c r="I376" s="1004"/>
      <c r="J376" s="1004"/>
      <c r="K376" s="1004"/>
      <c r="L376" s="777">
        <v>5</v>
      </c>
      <c r="M376" s="778"/>
      <c r="N376" s="976"/>
      <c r="O376" s="1020">
        <v>319</v>
      </c>
      <c r="P376" s="847" t="e">
        <f>VLOOKUP(N376,etat!$A$9:$N$1004,2,FALSE)</f>
        <v>#N/A</v>
      </c>
      <c r="Q376" s="797" t="e">
        <f>VLOOKUP(N376,etat!$A$9:$N$963,7,FALSE)</f>
        <v>#N/A</v>
      </c>
      <c r="R376" s="797" t="e">
        <f>VLOOKUP(N376,etat!$A$9:$N$1003,9,FALSE)</f>
        <v>#N/A</v>
      </c>
      <c r="S376" s="866" t="e">
        <f>VLOOKUP(N376,etat!$A$9:$P$905,16,FALSE)</f>
        <v>#N/A</v>
      </c>
      <c r="T376" s="755"/>
      <c r="U376" s="784"/>
      <c r="V376" s="784"/>
      <c r="W376" s="943"/>
      <c r="X376" s="944"/>
      <c r="Y376" s="975"/>
      <c r="Z376" s="1022"/>
      <c r="AA376" s="967"/>
      <c r="AB376" s="1005"/>
      <c r="AC376" s="1005"/>
      <c r="AD376" s="1005"/>
      <c r="AE376" s="1005"/>
      <c r="AF376" s="1005"/>
      <c r="AG376" s="1004"/>
      <c r="AH376" s="1004"/>
      <c r="AI376" s="1004"/>
      <c r="AJ376" s="1004"/>
      <c r="AK376" s="1004"/>
      <c r="AL376" s="1004"/>
      <c r="AM376" s="1004"/>
      <c r="AN376" s="1004"/>
      <c r="AO376" s="1004"/>
      <c r="AP376" s="1004"/>
      <c r="AQ376" s="1004"/>
      <c r="AR376" s="1004"/>
      <c r="AS376" s="1004"/>
      <c r="AT376" s="1004"/>
      <c r="AU376" s="1004"/>
      <c r="AV376" s="1004"/>
      <c r="AW376" s="1004"/>
    </row>
    <row r="377" spans="1:49" ht="15.6" customHeight="1">
      <c r="A377" s="1004"/>
      <c r="B377" s="1004"/>
      <c r="C377" s="1004"/>
      <c r="I377" s="1004"/>
      <c r="J377" s="1004"/>
      <c r="K377" s="1004"/>
      <c r="L377" s="777">
        <v>5</v>
      </c>
      <c r="M377" s="778"/>
      <c r="N377" s="976"/>
      <c r="O377" s="1020">
        <v>320</v>
      </c>
      <c r="P377" s="847" t="e">
        <f>VLOOKUP(N377,etat!$A$9:$N$1004,2,FALSE)</f>
        <v>#N/A</v>
      </c>
      <c r="Q377" s="797" t="e">
        <f>VLOOKUP(N377,etat!$A$9:$N$963,7,FALSE)</f>
        <v>#N/A</v>
      </c>
      <c r="R377" s="797" t="e">
        <f>VLOOKUP(N377,etat!$A$9:$N$1003,9,FALSE)</f>
        <v>#N/A</v>
      </c>
      <c r="S377" s="866" t="e">
        <f>VLOOKUP(N377,etat!$A$9:$P$905,16,FALSE)</f>
        <v>#N/A</v>
      </c>
      <c r="T377" s="755"/>
      <c r="U377" s="784"/>
      <c r="V377" s="784"/>
      <c r="W377" s="784"/>
      <c r="X377" s="784"/>
      <c r="Y377" s="975"/>
      <c r="Z377" s="1022"/>
      <c r="AA377" s="967"/>
      <c r="AB377" s="1005"/>
      <c r="AC377" s="1005"/>
      <c r="AD377" s="1005"/>
      <c r="AE377" s="1005"/>
      <c r="AF377" s="1005"/>
      <c r="AG377" s="1004"/>
      <c r="AH377" s="1004"/>
      <c r="AI377" s="1004"/>
      <c r="AJ377" s="1004"/>
      <c r="AK377" s="1004"/>
      <c r="AL377" s="1004"/>
      <c r="AM377" s="1004"/>
      <c r="AN377" s="1004"/>
      <c r="AO377" s="1004"/>
      <c r="AP377" s="1004"/>
      <c r="AQ377" s="1004"/>
      <c r="AR377" s="1004"/>
      <c r="AS377" s="1004"/>
      <c r="AT377" s="1004"/>
      <c r="AU377" s="1004"/>
      <c r="AV377" s="1004"/>
      <c r="AW377" s="1004"/>
    </row>
    <row r="378" spans="1:49" ht="15.6" customHeight="1">
      <c r="A378" s="1004"/>
      <c r="B378" s="1004"/>
      <c r="C378" s="1004"/>
      <c r="I378" s="1004"/>
      <c r="J378" s="1004"/>
      <c r="K378" s="1004"/>
      <c r="L378" s="777">
        <v>5</v>
      </c>
      <c r="M378" s="778"/>
      <c r="N378" s="976"/>
      <c r="O378" s="1020">
        <v>321</v>
      </c>
      <c r="P378" s="847" t="e">
        <f>VLOOKUP(N378,etat!$A$9:$N$1004,2,FALSE)</f>
        <v>#N/A</v>
      </c>
      <c r="Q378" s="797" t="e">
        <f>VLOOKUP(N378,etat!$A$9:$N$963,7,FALSE)</f>
        <v>#N/A</v>
      </c>
      <c r="R378" s="797" t="e">
        <f>VLOOKUP(N378,etat!$A$9:$N$1003,9,FALSE)</f>
        <v>#N/A</v>
      </c>
      <c r="S378" s="866" t="e">
        <f>VLOOKUP(N378,etat!$A$9:$P$905,16,FALSE)</f>
        <v>#N/A</v>
      </c>
      <c r="T378" s="755"/>
      <c r="U378" s="784"/>
      <c r="V378" s="784"/>
      <c r="W378" s="784"/>
      <c r="X378" s="784"/>
      <c r="Y378" s="784"/>
      <c r="Z378" s="1112"/>
      <c r="AA378" s="967"/>
      <c r="AB378" s="1005"/>
      <c r="AC378" s="1005"/>
      <c r="AD378" s="1005"/>
      <c r="AE378" s="1005"/>
      <c r="AF378" s="1005"/>
      <c r="AG378" s="1004"/>
      <c r="AH378" s="1004"/>
      <c r="AI378" s="1004"/>
      <c r="AJ378" s="1004"/>
      <c r="AK378" s="1004"/>
      <c r="AL378" s="1004"/>
      <c r="AM378" s="1004"/>
      <c r="AN378" s="1004"/>
      <c r="AO378" s="1004"/>
      <c r="AP378" s="1004"/>
      <c r="AQ378" s="1004"/>
      <c r="AR378" s="1004"/>
      <c r="AS378" s="1004"/>
      <c r="AT378" s="1004"/>
      <c r="AU378" s="1004"/>
      <c r="AV378" s="1004"/>
      <c r="AW378" s="1004"/>
    </row>
    <row r="379" spans="1:49" ht="15.6" customHeight="1">
      <c r="A379" s="1004"/>
      <c r="B379" s="1004"/>
      <c r="C379" s="1004"/>
      <c r="I379" s="1004"/>
      <c r="J379" s="1004"/>
      <c r="K379" s="1004"/>
      <c r="L379" s="777">
        <v>5</v>
      </c>
      <c r="M379" s="778"/>
      <c r="N379" s="976"/>
      <c r="O379" s="1020">
        <v>322</v>
      </c>
      <c r="P379" s="847" t="e">
        <f>VLOOKUP(N379,etat!$A$9:$N$1004,2,FALSE)</f>
        <v>#N/A</v>
      </c>
      <c r="Q379" s="797" t="e">
        <f>VLOOKUP(N379,etat!$A$9:$N$963,7,FALSE)</f>
        <v>#N/A</v>
      </c>
      <c r="R379" s="797" t="e">
        <f>VLOOKUP(N379,etat!$A$9:$N$1003,9,FALSE)</f>
        <v>#N/A</v>
      </c>
      <c r="S379" s="866" t="e">
        <f>VLOOKUP(N379,etat!$A$9:$P$905,16,FALSE)</f>
        <v>#N/A</v>
      </c>
      <c r="T379" s="755"/>
      <c r="U379" s="784"/>
      <c r="V379" s="784"/>
      <c r="W379" s="784"/>
      <c r="X379" s="784"/>
      <c r="Y379" s="975"/>
      <c r="Z379" s="1022"/>
      <c r="AA379" s="967"/>
      <c r="AB379" s="1005"/>
      <c r="AC379" s="1005"/>
      <c r="AD379" s="1005"/>
      <c r="AE379" s="1005"/>
      <c r="AF379" s="1005"/>
      <c r="AG379" s="1004"/>
      <c r="AH379" s="1004"/>
      <c r="AI379" s="1004"/>
      <c r="AJ379" s="1004"/>
      <c r="AK379" s="1004"/>
      <c r="AL379" s="1004"/>
      <c r="AM379" s="1004"/>
      <c r="AN379" s="1004"/>
      <c r="AO379" s="1004"/>
      <c r="AP379" s="1004"/>
      <c r="AQ379" s="1004"/>
      <c r="AR379" s="1004"/>
      <c r="AS379" s="1004"/>
      <c r="AT379" s="1004"/>
      <c r="AU379" s="1004"/>
      <c r="AV379" s="1004"/>
      <c r="AW379" s="1004"/>
    </row>
    <row r="380" spans="1:49" ht="15.6" customHeight="1">
      <c r="A380" s="1004"/>
      <c r="B380" s="1004"/>
      <c r="C380" s="1004"/>
      <c r="I380" s="1004"/>
      <c r="J380" s="1004"/>
      <c r="K380" s="1004"/>
      <c r="L380" s="777">
        <v>5</v>
      </c>
      <c r="M380" s="778"/>
      <c r="N380" s="976"/>
      <c r="O380" s="1020">
        <v>323</v>
      </c>
      <c r="P380" s="847" t="e">
        <f>VLOOKUP(N380,etat!$A$9:$N$1004,2,FALSE)</f>
        <v>#N/A</v>
      </c>
      <c r="Q380" s="797" t="e">
        <f>VLOOKUP(N380,etat!$A$9:$N$963,7,FALSE)</f>
        <v>#N/A</v>
      </c>
      <c r="R380" s="797" t="e">
        <f>VLOOKUP(N380,etat!$A$9:$N$1003,9,FALSE)</f>
        <v>#N/A</v>
      </c>
      <c r="S380" s="866" t="e">
        <f>VLOOKUP(N380,etat!$A$9:$P$905,16,FALSE)</f>
        <v>#N/A</v>
      </c>
      <c r="T380" s="755"/>
      <c r="U380" s="784"/>
      <c r="V380" s="784"/>
      <c r="W380" s="784"/>
      <c r="X380" s="784"/>
      <c r="Y380" s="975"/>
      <c r="Z380" s="1022"/>
      <c r="AA380" s="967"/>
      <c r="AB380" s="1005"/>
      <c r="AC380" s="1005"/>
      <c r="AD380" s="1005"/>
      <c r="AE380" s="1005"/>
      <c r="AF380" s="1005"/>
      <c r="AG380" s="1004"/>
      <c r="AH380" s="1004"/>
      <c r="AI380" s="1004"/>
      <c r="AJ380" s="1004"/>
      <c r="AK380" s="1004"/>
      <c r="AL380" s="1004"/>
      <c r="AM380" s="1004"/>
      <c r="AN380" s="1004"/>
      <c r="AO380" s="1004"/>
      <c r="AP380" s="1004"/>
      <c r="AQ380" s="1004"/>
      <c r="AR380" s="1004"/>
      <c r="AS380" s="1004"/>
      <c r="AT380" s="1004"/>
      <c r="AU380" s="1004"/>
      <c r="AV380" s="1004"/>
      <c r="AW380" s="1004"/>
    </row>
    <row r="381" spans="1:49" ht="15.6" customHeight="1">
      <c r="A381" s="1004"/>
      <c r="B381" s="1004"/>
      <c r="C381" s="1004"/>
      <c r="I381" s="1004"/>
      <c r="J381" s="1004"/>
      <c r="K381" s="1004"/>
      <c r="L381" s="777">
        <v>5</v>
      </c>
      <c r="M381" s="778"/>
      <c r="N381" s="976"/>
      <c r="O381" s="1020">
        <v>324</v>
      </c>
      <c r="P381" s="847" t="e">
        <f>VLOOKUP(N381,etat!$A$9:$N$1004,2,FALSE)</f>
        <v>#N/A</v>
      </c>
      <c r="Q381" s="797" t="e">
        <f>VLOOKUP(N381,etat!$A$9:$N$963,7,FALSE)</f>
        <v>#N/A</v>
      </c>
      <c r="R381" s="797" t="e">
        <f>VLOOKUP(N381,etat!$A$9:$N$1003,9,FALSE)</f>
        <v>#N/A</v>
      </c>
      <c r="S381" s="866" t="e">
        <f>VLOOKUP(N381,etat!$A$9:$P$905,16,FALSE)</f>
        <v>#N/A</v>
      </c>
      <c r="T381" s="755"/>
      <c r="U381" s="784"/>
      <c r="V381" s="784"/>
      <c r="W381" s="784"/>
      <c r="X381" s="784"/>
      <c r="Y381" s="784"/>
      <c r="Z381" s="1022"/>
      <c r="AA381" s="967"/>
      <c r="AB381" s="1005"/>
      <c r="AC381" s="1005"/>
      <c r="AD381" s="1005"/>
      <c r="AE381" s="1005"/>
      <c r="AF381" s="1005"/>
      <c r="AG381" s="1004"/>
      <c r="AH381" s="1004"/>
      <c r="AI381" s="1004"/>
      <c r="AJ381" s="1004"/>
      <c r="AK381" s="1004"/>
      <c r="AL381" s="1004"/>
      <c r="AM381" s="1004"/>
      <c r="AN381" s="1004"/>
      <c r="AO381" s="1004"/>
      <c r="AP381" s="1004"/>
      <c r="AQ381" s="1004"/>
      <c r="AR381" s="1004"/>
      <c r="AS381" s="1004"/>
      <c r="AT381" s="1004"/>
      <c r="AU381" s="1004"/>
      <c r="AV381" s="1004"/>
      <c r="AW381" s="1004"/>
    </row>
    <row r="382" spans="1:49" ht="15.6" customHeight="1">
      <c r="A382" s="1004"/>
      <c r="B382" s="1004"/>
      <c r="C382" s="1004"/>
      <c r="I382" s="1004"/>
      <c r="J382" s="1004"/>
      <c r="K382" s="1004"/>
      <c r="L382" s="777">
        <v>5</v>
      </c>
      <c r="M382" s="778"/>
      <c r="N382" s="976"/>
      <c r="O382" s="1020">
        <v>325</v>
      </c>
      <c r="P382" s="847" t="e">
        <f>VLOOKUP(N382,etat!$A$9:$N$1004,2,FALSE)</f>
        <v>#N/A</v>
      </c>
      <c r="Q382" s="797" t="e">
        <f>VLOOKUP(N382,etat!$A$9:$N$963,7,FALSE)</f>
        <v>#N/A</v>
      </c>
      <c r="R382" s="797" t="e">
        <f>VLOOKUP(N382,etat!$A$9:$N$1003,9,FALSE)</f>
        <v>#N/A</v>
      </c>
      <c r="S382" s="866" t="e">
        <f>VLOOKUP(N382,etat!$A$9:$P$905,16,FALSE)</f>
        <v>#N/A</v>
      </c>
      <c r="T382" s="755"/>
      <c r="U382" s="784"/>
      <c r="V382" s="784"/>
      <c r="W382" s="784"/>
      <c r="X382" s="784"/>
      <c r="Y382" s="784"/>
      <c r="Z382" s="1022"/>
      <c r="AA382" s="967"/>
      <c r="AB382" s="1005"/>
      <c r="AC382" s="1005"/>
      <c r="AD382" s="1005"/>
      <c r="AE382" s="1005"/>
      <c r="AF382" s="1005"/>
      <c r="AG382" s="1004"/>
      <c r="AH382" s="1004"/>
      <c r="AI382" s="1004"/>
      <c r="AJ382" s="1004"/>
      <c r="AK382" s="1004"/>
      <c r="AL382" s="1004"/>
      <c r="AM382" s="1004"/>
      <c r="AN382" s="1004"/>
      <c r="AO382" s="1004"/>
      <c r="AP382" s="1004"/>
      <c r="AQ382" s="1004"/>
      <c r="AR382" s="1004"/>
      <c r="AS382" s="1004"/>
      <c r="AT382" s="1004"/>
      <c r="AU382" s="1004"/>
      <c r="AV382" s="1004"/>
      <c r="AW382" s="1004"/>
    </row>
    <row r="383" spans="1:49" ht="15.6" customHeight="1">
      <c r="A383" s="1004"/>
      <c r="B383" s="1004"/>
      <c r="C383" s="1004"/>
      <c r="I383" s="1004"/>
      <c r="J383" s="1004"/>
      <c r="K383" s="1004"/>
      <c r="L383" s="777">
        <v>5</v>
      </c>
      <c r="M383" s="778"/>
      <c r="N383" s="976"/>
      <c r="O383" s="1020">
        <v>326</v>
      </c>
      <c r="P383" s="847" t="e">
        <f>VLOOKUP(N383,etat!$A$9:$N$1004,2,FALSE)</f>
        <v>#N/A</v>
      </c>
      <c r="Q383" s="797" t="e">
        <f>VLOOKUP(N383,etat!$A$9:$N$963,7,FALSE)</f>
        <v>#N/A</v>
      </c>
      <c r="R383" s="797" t="e">
        <f>VLOOKUP(N383,etat!$A$9:$N$1003,9,FALSE)</f>
        <v>#N/A</v>
      </c>
      <c r="S383" s="866" t="e">
        <f>VLOOKUP(N383,etat!$A$9:$P$905,16,FALSE)</f>
        <v>#N/A</v>
      </c>
      <c r="T383" s="755"/>
      <c r="U383" s="784"/>
      <c r="V383" s="784"/>
      <c r="W383" s="943"/>
      <c r="X383" s="944"/>
      <c r="Y383" s="975"/>
      <c r="Z383" s="1022"/>
      <c r="AA383" s="967"/>
      <c r="AB383" s="1005"/>
      <c r="AC383" s="1005"/>
      <c r="AD383" s="1005"/>
      <c r="AE383" s="1005"/>
      <c r="AF383" s="1005"/>
      <c r="AG383" s="1004"/>
      <c r="AH383" s="1004"/>
      <c r="AI383" s="1004"/>
      <c r="AJ383" s="1004"/>
      <c r="AK383" s="1004"/>
      <c r="AL383" s="1004"/>
      <c r="AM383" s="1004"/>
      <c r="AN383" s="1004"/>
      <c r="AO383" s="1004"/>
      <c r="AP383" s="1004"/>
      <c r="AQ383" s="1004"/>
      <c r="AR383" s="1004"/>
      <c r="AS383" s="1004"/>
      <c r="AT383" s="1004"/>
      <c r="AU383" s="1004"/>
      <c r="AV383" s="1004"/>
      <c r="AW383" s="1004"/>
    </row>
    <row r="384" spans="1:49" ht="15.6" customHeight="1">
      <c r="A384" s="1004"/>
      <c r="B384" s="1004"/>
      <c r="C384" s="1004"/>
      <c r="I384" s="1004"/>
      <c r="J384" s="1004"/>
      <c r="K384" s="1004"/>
      <c r="L384" s="777">
        <v>5</v>
      </c>
      <c r="M384" s="778"/>
      <c r="N384" s="976"/>
      <c r="O384" s="1020">
        <v>327</v>
      </c>
      <c r="P384" s="847" t="e">
        <f>VLOOKUP(N384,etat!$A$9:$N$1004,2,FALSE)</f>
        <v>#N/A</v>
      </c>
      <c r="Q384" s="797" t="e">
        <f>VLOOKUP(N384,etat!$A$9:$N$963,7,FALSE)</f>
        <v>#N/A</v>
      </c>
      <c r="R384" s="797" t="e">
        <f>VLOOKUP(N384,etat!$A$9:$N$1003,9,FALSE)</f>
        <v>#N/A</v>
      </c>
      <c r="S384" s="866" t="e">
        <f>VLOOKUP(N384,etat!$A$9:$P$905,16,FALSE)</f>
        <v>#N/A</v>
      </c>
      <c r="T384" s="755"/>
      <c r="U384" s="784"/>
      <c r="V384" s="784"/>
      <c r="W384" s="943"/>
      <c r="X384" s="944"/>
      <c r="Y384" s="975"/>
      <c r="Z384" s="1022"/>
      <c r="AA384" s="967"/>
      <c r="AB384" s="1005"/>
      <c r="AC384" s="1005"/>
      <c r="AD384" s="1005"/>
      <c r="AE384" s="1005"/>
      <c r="AF384" s="1005"/>
      <c r="AG384" s="1004"/>
      <c r="AH384" s="1004"/>
      <c r="AI384" s="1004"/>
      <c r="AJ384" s="1004"/>
      <c r="AK384" s="1004"/>
      <c r="AL384" s="1004"/>
      <c r="AM384" s="1004"/>
      <c r="AN384" s="1004"/>
      <c r="AO384" s="1004"/>
      <c r="AP384" s="1004"/>
      <c r="AQ384" s="1004"/>
      <c r="AR384" s="1004"/>
      <c r="AS384" s="1004"/>
      <c r="AT384" s="1004"/>
      <c r="AU384" s="1004"/>
      <c r="AV384" s="1004"/>
      <c r="AW384" s="1004"/>
    </row>
    <row r="385" spans="1:49" ht="15.6" customHeight="1">
      <c r="A385" s="1004"/>
      <c r="B385" s="1004"/>
      <c r="C385" s="1004"/>
      <c r="I385" s="1004"/>
      <c r="J385" s="1004"/>
      <c r="K385" s="1004"/>
      <c r="L385" s="777">
        <v>5</v>
      </c>
      <c r="M385" s="778"/>
      <c r="N385" s="976"/>
      <c r="O385" s="1020">
        <v>328</v>
      </c>
      <c r="P385" s="847" t="e">
        <f>VLOOKUP(N385,etat!$A$9:$N$1004,2,FALSE)</f>
        <v>#N/A</v>
      </c>
      <c r="Q385" s="797" t="e">
        <f>VLOOKUP(N385,etat!$A$9:$N$963,7,FALSE)</f>
        <v>#N/A</v>
      </c>
      <c r="R385" s="797" t="e">
        <f>VLOOKUP(N385,etat!$A$9:$N$1003,9,FALSE)</f>
        <v>#N/A</v>
      </c>
      <c r="S385" s="866" t="e">
        <f>VLOOKUP(N385,etat!$A$9:$P$905,16,FALSE)</f>
        <v>#N/A</v>
      </c>
      <c r="T385" s="755"/>
      <c r="U385" s="784"/>
      <c r="V385" s="784"/>
      <c r="W385" s="784"/>
      <c r="X385" s="784"/>
      <c r="Y385" s="975"/>
      <c r="Z385" s="1022"/>
      <c r="AA385" s="967"/>
      <c r="AB385" s="1005"/>
      <c r="AC385" s="1005"/>
      <c r="AD385" s="1005"/>
      <c r="AE385" s="1005"/>
      <c r="AF385" s="1005"/>
      <c r="AG385" s="1004"/>
      <c r="AH385" s="1004"/>
      <c r="AI385" s="1004"/>
      <c r="AJ385" s="1004"/>
      <c r="AK385" s="1004"/>
      <c r="AL385" s="1004"/>
      <c r="AM385" s="1004"/>
      <c r="AN385" s="1004"/>
      <c r="AO385" s="1004"/>
      <c r="AP385" s="1004"/>
      <c r="AQ385" s="1004"/>
      <c r="AR385" s="1004"/>
      <c r="AS385" s="1004"/>
      <c r="AT385" s="1004"/>
      <c r="AU385" s="1004"/>
      <c r="AV385" s="1004"/>
      <c r="AW385" s="1004"/>
    </row>
    <row r="386" spans="1:49" ht="15.6" customHeight="1">
      <c r="A386" s="1004"/>
      <c r="B386" s="1004"/>
      <c r="C386" s="1004"/>
      <c r="I386" s="1004"/>
      <c r="J386" s="1004"/>
      <c r="K386" s="1004"/>
      <c r="L386" s="777">
        <v>5</v>
      </c>
      <c r="M386" s="778"/>
      <c r="N386" s="976"/>
      <c r="O386" s="1020">
        <v>329</v>
      </c>
      <c r="P386" s="847" t="e">
        <f>VLOOKUP(N386,etat!$A$9:$N$1004,2,FALSE)</f>
        <v>#N/A</v>
      </c>
      <c r="Q386" s="797" t="e">
        <f>VLOOKUP(N386,etat!$A$9:$N$963,7,FALSE)</f>
        <v>#N/A</v>
      </c>
      <c r="R386" s="797" t="e">
        <f>VLOOKUP(N386,etat!$A$9:$N$1003,9,FALSE)</f>
        <v>#N/A</v>
      </c>
      <c r="S386" s="866" t="e">
        <f>VLOOKUP(N386,etat!$A$9:$P$905,16,FALSE)</f>
        <v>#N/A</v>
      </c>
      <c r="T386" s="755"/>
      <c r="U386" s="784"/>
      <c r="V386" s="784"/>
      <c r="W386" s="784"/>
      <c r="X386" s="784"/>
      <c r="Y386" s="975"/>
      <c r="Z386" s="1022"/>
      <c r="AA386" s="967"/>
      <c r="AB386" s="1005"/>
      <c r="AC386" s="1005"/>
      <c r="AD386" s="1005"/>
      <c r="AE386" s="1005"/>
      <c r="AF386" s="1005"/>
      <c r="AG386" s="1004"/>
      <c r="AH386" s="1004"/>
      <c r="AI386" s="1004"/>
      <c r="AJ386" s="1004"/>
      <c r="AK386" s="1004"/>
      <c r="AL386" s="1004"/>
      <c r="AM386" s="1004"/>
      <c r="AN386" s="1004"/>
      <c r="AO386" s="1004"/>
      <c r="AP386" s="1004"/>
      <c r="AQ386" s="1004"/>
      <c r="AR386" s="1004"/>
      <c r="AS386" s="1004"/>
      <c r="AT386" s="1004"/>
      <c r="AU386" s="1004"/>
      <c r="AV386" s="1004"/>
      <c r="AW386" s="1004"/>
    </row>
    <row r="387" spans="1:49" ht="15.6" customHeight="1">
      <c r="A387" s="1004"/>
      <c r="B387" s="1004"/>
      <c r="C387" s="1004"/>
      <c r="I387" s="1004"/>
      <c r="J387" s="1004"/>
      <c r="K387" s="1004"/>
      <c r="L387" s="777">
        <v>5</v>
      </c>
      <c r="M387" s="778"/>
      <c r="N387" s="976"/>
      <c r="O387" s="1020">
        <v>330</v>
      </c>
      <c r="P387" s="847" t="e">
        <f>VLOOKUP(N387,etat!$A$9:$N$1004,2,FALSE)</f>
        <v>#N/A</v>
      </c>
      <c r="Q387" s="797" t="e">
        <f>VLOOKUP(N387,etat!$A$9:$N$963,7,FALSE)</f>
        <v>#N/A</v>
      </c>
      <c r="R387" s="797" t="e">
        <f>VLOOKUP(N387,etat!$A$9:$N$1003,9,FALSE)</f>
        <v>#N/A</v>
      </c>
      <c r="S387" s="866" t="e">
        <f>VLOOKUP(N387,etat!$A$9:$P$905,16,FALSE)</f>
        <v>#N/A</v>
      </c>
      <c r="T387" s="755"/>
      <c r="U387" s="784"/>
      <c r="V387" s="784"/>
      <c r="W387" s="784"/>
      <c r="X387" s="784"/>
      <c r="Y387" s="975"/>
      <c r="Z387" s="1022"/>
      <c r="AA387" s="967"/>
      <c r="AB387" s="1005"/>
      <c r="AC387" s="1005"/>
      <c r="AD387" s="1005"/>
      <c r="AE387" s="1005"/>
      <c r="AF387" s="1005"/>
      <c r="AG387" s="1004"/>
      <c r="AH387" s="1004"/>
      <c r="AI387" s="1004"/>
      <c r="AJ387" s="1004"/>
      <c r="AK387" s="1004"/>
      <c r="AL387" s="1004"/>
      <c r="AM387" s="1004"/>
      <c r="AN387" s="1004"/>
      <c r="AO387" s="1004"/>
      <c r="AP387" s="1004"/>
      <c r="AQ387" s="1004"/>
      <c r="AR387" s="1004"/>
      <c r="AS387" s="1004"/>
      <c r="AT387" s="1004"/>
      <c r="AU387" s="1004"/>
      <c r="AV387" s="1004"/>
      <c r="AW387" s="1004"/>
    </row>
    <row r="388" spans="1:49" ht="15.6" customHeight="1">
      <c r="A388" s="1004"/>
      <c r="B388" s="1004"/>
      <c r="C388" s="1004"/>
      <c r="I388" s="1004"/>
      <c r="J388" s="1004"/>
      <c r="K388" s="1004"/>
      <c r="L388" s="777">
        <v>5</v>
      </c>
      <c r="M388" s="778"/>
      <c r="N388" s="976"/>
      <c r="O388" s="1020">
        <v>331</v>
      </c>
      <c r="P388" s="847" t="e">
        <f>VLOOKUP(N388,etat!$A$9:$N$1004,2,FALSE)</f>
        <v>#N/A</v>
      </c>
      <c r="Q388" s="797" t="e">
        <f>VLOOKUP(N388,etat!$A$9:$N$963,7,FALSE)</f>
        <v>#N/A</v>
      </c>
      <c r="R388" s="797" t="e">
        <f>VLOOKUP(N388,etat!$A$9:$N$1003,9,FALSE)</f>
        <v>#N/A</v>
      </c>
      <c r="S388" s="866" t="e">
        <f>VLOOKUP(N388,etat!$A$9:$P$905,16,FALSE)</f>
        <v>#N/A</v>
      </c>
      <c r="T388" s="755"/>
      <c r="U388" s="784"/>
      <c r="V388" s="784"/>
      <c r="W388" s="784"/>
      <c r="X388" s="784"/>
      <c r="Y388" s="975"/>
      <c r="Z388" s="1022"/>
      <c r="AA388" s="967"/>
      <c r="AB388" s="1005"/>
      <c r="AC388" s="1005"/>
      <c r="AD388" s="1005"/>
      <c r="AE388" s="1005"/>
      <c r="AF388" s="1005"/>
      <c r="AG388" s="1004"/>
      <c r="AH388" s="1004"/>
      <c r="AI388" s="1004"/>
      <c r="AJ388" s="1004"/>
      <c r="AK388" s="1004"/>
      <c r="AL388" s="1004"/>
      <c r="AM388" s="1004"/>
      <c r="AN388" s="1004"/>
      <c r="AO388" s="1004"/>
      <c r="AP388" s="1004"/>
      <c r="AQ388" s="1004"/>
      <c r="AR388" s="1004"/>
      <c r="AS388" s="1004"/>
      <c r="AT388" s="1004"/>
      <c r="AU388" s="1004"/>
      <c r="AV388" s="1004"/>
      <c r="AW388" s="1004"/>
    </row>
    <row r="389" spans="1:49" ht="15.6" customHeight="1">
      <c r="A389" s="1004"/>
      <c r="B389" s="1004"/>
      <c r="C389" s="1004"/>
      <c r="I389" s="1004"/>
      <c r="J389" s="1004"/>
      <c r="K389" s="1004"/>
      <c r="L389" s="777">
        <v>5</v>
      </c>
      <c r="M389" s="778"/>
      <c r="N389" s="976"/>
      <c r="O389" s="1020">
        <v>332</v>
      </c>
      <c r="P389" s="847" t="e">
        <f>VLOOKUP(N389,etat!$A$9:$N$1004,2,FALSE)</f>
        <v>#N/A</v>
      </c>
      <c r="Q389" s="797" t="e">
        <f>VLOOKUP(N389,etat!$A$9:$N$963,7,FALSE)</f>
        <v>#N/A</v>
      </c>
      <c r="R389" s="797" t="e">
        <f>VLOOKUP(N389,etat!$A$9:$N$1003,9,FALSE)</f>
        <v>#N/A</v>
      </c>
      <c r="S389" s="866" t="e">
        <f>VLOOKUP(N389,etat!$A$9:$P$905,16,FALSE)</f>
        <v>#N/A</v>
      </c>
      <c r="T389" s="755"/>
      <c r="U389" s="791"/>
      <c r="V389" s="784"/>
      <c r="W389" s="784"/>
      <c r="X389" s="784"/>
      <c r="Y389" s="975"/>
      <c r="Z389" s="1022"/>
      <c r="AA389" s="967"/>
      <c r="AB389" s="1005"/>
      <c r="AC389" s="1005"/>
      <c r="AD389" s="1005"/>
      <c r="AE389" s="1005"/>
      <c r="AF389" s="1005"/>
      <c r="AG389" s="1004"/>
      <c r="AH389" s="1004"/>
      <c r="AI389" s="1004"/>
      <c r="AJ389" s="1004"/>
      <c r="AK389" s="1004"/>
      <c r="AL389" s="1004"/>
      <c r="AM389" s="1004"/>
      <c r="AN389" s="1004"/>
      <c r="AO389" s="1004"/>
      <c r="AP389" s="1004"/>
      <c r="AQ389" s="1004"/>
      <c r="AR389" s="1004"/>
      <c r="AS389" s="1004"/>
      <c r="AT389" s="1004"/>
      <c r="AU389" s="1004"/>
      <c r="AV389" s="1004"/>
      <c r="AW389" s="1004"/>
    </row>
    <row r="390" spans="1:49" ht="15.6" customHeight="1">
      <c r="A390" s="1004"/>
      <c r="B390" s="1004"/>
      <c r="C390" s="1004"/>
      <c r="I390" s="1004"/>
      <c r="J390" s="1004"/>
      <c r="K390" s="1004"/>
      <c r="L390" s="777">
        <v>5</v>
      </c>
      <c r="M390" s="778"/>
      <c r="N390" s="976"/>
      <c r="O390" s="1020">
        <v>333</v>
      </c>
      <c r="P390" s="847" t="e">
        <f>VLOOKUP(N390,etat!$A$9:$N$1004,2,FALSE)</f>
        <v>#N/A</v>
      </c>
      <c r="Q390" s="797" t="e">
        <f>VLOOKUP(N390,etat!$A$9:$N$963,7,FALSE)</f>
        <v>#N/A</v>
      </c>
      <c r="R390" s="797" t="e">
        <f>VLOOKUP(N390,etat!$A$9:$N$1003,9,FALSE)</f>
        <v>#N/A</v>
      </c>
      <c r="S390" s="866" t="e">
        <f>VLOOKUP(N390,etat!$A$9:$P$905,16,FALSE)</f>
        <v>#N/A</v>
      </c>
      <c r="T390" s="755"/>
      <c r="U390" s="791"/>
      <c r="V390" s="784"/>
      <c r="W390" s="784"/>
      <c r="X390" s="784"/>
      <c r="Y390" s="784"/>
      <c r="Z390" s="784"/>
      <c r="AA390" s="967"/>
      <c r="AB390" s="1005"/>
      <c r="AC390" s="1005"/>
      <c r="AD390" s="1005"/>
      <c r="AE390" s="1005"/>
      <c r="AF390" s="1005"/>
      <c r="AG390" s="1004"/>
      <c r="AH390" s="1004"/>
      <c r="AI390" s="1004"/>
      <c r="AJ390" s="1004"/>
      <c r="AK390" s="1004"/>
      <c r="AL390" s="1004"/>
      <c r="AM390" s="1004"/>
      <c r="AN390" s="1004"/>
      <c r="AO390" s="1004"/>
      <c r="AP390" s="1004"/>
      <c r="AQ390" s="1004"/>
      <c r="AR390" s="1004"/>
      <c r="AS390" s="1004"/>
      <c r="AT390" s="1004"/>
      <c r="AU390" s="1004"/>
      <c r="AV390" s="1004"/>
      <c r="AW390" s="1004"/>
    </row>
    <row r="391" spans="1:49" ht="15.6" customHeight="1">
      <c r="A391" s="1004"/>
      <c r="B391" s="1004"/>
      <c r="C391" s="1004"/>
      <c r="I391" s="1004"/>
      <c r="J391" s="1004"/>
      <c r="K391" s="1004"/>
      <c r="L391" s="777">
        <v>5</v>
      </c>
      <c r="M391" s="778"/>
      <c r="N391" s="976"/>
      <c r="O391" s="1020">
        <v>334</v>
      </c>
      <c r="P391" s="847" t="e">
        <f>VLOOKUP(N391,etat!$A$9:$N$1004,2,FALSE)</f>
        <v>#N/A</v>
      </c>
      <c r="Q391" s="797" t="e">
        <f>VLOOKUP(N391,etat!$A$9:$N$963,7,FALSE)</f>
        <v>#N/A</v>
      </c>
      <c r="R391" s="797" t="e">
        <f>VLOOKUP(N391,etat!$A$9:$N$1003,9,FALSE)</f>
        <v>#N/A</v>
      </c>
      <c r="S391" s="866" t="e">
        <f>VLOOKUP(N391,etat!$A$9:$P$905,16,FALSE)</f>
        <v>#N/A</v>
      </c>
      <c r="T391" s="755"/>
      <c r="U391" s="791"/>
      <c r="V391" s="784"/>
      <c r="W391" s="784"/>
      <c r="X391" s="784"/>
      <c r="Y391" s="975"/>
      <c r="Z391" s="1022"/>
      <c r="AA391" s="967"/>
      <c r="AB391" s="1005"/>
      <c r="AC391" s="1005"/>
      <c r="AD391" s="1005"/>
      <c r="AE391" s="1005"/>
      <c r="AF391" s="1005"/>
      <c r="AG391" s="1004"/>
      <c r="AH391" s="1004"/>
      <c r="AI391" s="1004"/>
      <c r="AJ391" s="1004"/>
      <c r="AK391" s="1004"/>
      <c r="AL391" s="1004"/>
      <c r="AM391" s="1004"/>
      <c r="AN391" s="1004"/>
      <c r="AO391" s="1004"/>
      <c r="AP391" s="1004"/>
      <c r="AQ391" s="1004"/>
      <c r="AR391" s="1004"/>
      <c r="AS391" s="1004"/>
      <c r="AT391" s="1004"/>
      <c r="AU391" s="1004"/>
      <c r="AV391" s="1004"/>
      <c r="AW391" s="1004"/>
    </row>
    <row r="392" spans="1:49" ht="15.6" customHeight="1">
      <c r="A392" s="1004"/>
      <c r="B392" s="1004"/>
      <c r="C392" s="1004"/>
      <c r="I392" s="1004"/>
      <c r="J392" s="1004"/>
      <c r="K392" s="1004"/>
      <c r="L392" s="777">
        <v>5</v>
      </c>
      <c r="M392" s="778"/>
      <c r="N392" s="976"/>
      <c r="O392" s="1020">
        <v>335</v>
      </c>
      <c r="P392" s="847" t="e">
        <f>VLOOKUP(N392,etat!$A$9:$N$1004,2,FALSE)</f>
        <v>#N/A</v>
      </c>
      <c r="Q392" s="797" t="e">
        <f>VLOOKUP(N392,etat!$A$9:$N$963,7,FALSE)</f>
        <v>#N/A</v>
      </c>
      <c r="R392" s="797" t="e">
        <f>VLOOKUP(N392,etat!$A$9:$N$1003,9,FALSE)</f>
        <v>#N/A</v>
      </c>
      <c r="S392" s="866" t="e">
        <f>VLOOKUP(N392,etat!$A$9:$P$905,16,FALSE)</f>
        <v>#N/A</v>
      </c>
      <c r="T392" s="755"/>
      <c r="U392" s="791"/>
      <c r="V392" s="784"/>
      <c r="W392" s="784"/>
      <c r="X392" s="784"/>
      <c r="Y392" s="975"/>
      <c r="Z392" s="1022"/>
      <c r="AA392" s="967"/>
      <c r="AB392" s="1005"/>
      <c r="AC392" s="1005"/>
      <c r="AD392" s="1005"/>
      <c r="AE392" s="1005"/>
      <c r="AF392" s="1005"/>
      <c r="AG392" s="1004"/>
      <c r="AH392" s="1004"/>
      <c r="AI392" s="1004"/>
      <c r="AJ392" s="1004"/>
      <c r="AK392" s="1004"/>
      <c r="AL392" s="1004"/>
      <c r="AM392" s="1004"/>
      <c r="AN392" s="1004"/>
      <c r="AO392" s="1004"/>
      <c r="AP392" s="1004"/>
      <c r="AQ392" s="1004"/>
      <c r="AR392" s="1004"/>
      <c r="AS392" s="1004"/>
      <c r="AT392" s="1004"/>
      <c r="AU392" s="1004"/>
      <c r="AV392" s="1004"/>
      <c r="AW392" s="1004"/>
    </row>
    <row r="393" spans="1:49" ht="15.6" customHeight="1">
      <c r="A393" s="1004"/>
      <c r="B393" s="1004"/>
      <c r="C393" s="1004"/>
      <c r="I393" s="1004"/>
      <c r="J393" s="1004"/>
      <c r="K393" s="1004"/>
      <c r="L393" s="777">
        <v>5</v>
      </c>
      <c r="M393" s="778"/>
      <c r="N393" s="976"/>
      <c r="O393" s="1020">
        <v>336</v>
      </c>
      <c r="P393" s="847" t="e">
        <f>VLOOKUP(N393,etat!$A$9:$N$1004,2,FALSE)</f>
        <v>#N/A</v>
      </c>
      <c r="Q393" s="797" t="e">
        <f>VLOOKUP(N393,etat!$A$9:$N$963,7,FALSE)</f>
        <v>#N/A</v>
      </c>
      <c r="R393" s="797" t="e">
        <f>VLOOKUP(N393,etat!$A$9:$N$1003,9,FALSE)</f>
        <v>#N/A</v>
      </c>
      <c r="S393" s="866" t="e">
        <f>VLOOKUP(N393,etat!$A$9:$P$905,16,FALSE)</f>
        <v>#N/A</v>
      </c>
      <c r="T393" s="755"/>
      <c r="U393" s="791"/>
      <c r="V393" s="784"/>
      <c r="W393" s="784"/>
      <c r="X393" s="784"/>
      <c r="Y393" s="784"/>
      <c r="Z393" s="784"/>
      <c r="AA393" s="967"/>
      <c r="AB393" s="1005"/>
      <c r="AC393" s="1005"/>
      <c r="AD393" s="1005"/>
      <c r="AE393" s="1005"/>
      <c r="AF393" s="1005"/>
      <c r="AG393" s="1004"/>
      <c r="AH393" s="1004"/>
      <c r="AI393" s="1004"/>
      <c r="AJ393" s="1004"/>
      <c r="AK393" s="1004"/>
      <c r="AL393" s="1004"/>
      <c r="AM393" s="1004"/>
      <c r="AN393" s="1004"/>
      <c r="AO393" s="1004"/>
      <c r="AP393" s="1004"/>
      <c r="AQ393" s="1004"/>
      <c r="AR393" s="1004"/>
      <c r="AS393" s="1004"/>
      <c r="AT393" s="1004"/>
      <c r="AU393" s="1004"/>
      <c r="AV393" s="1004"/>
      <c r="AW393" s="1004"/>
    </row>
    <row r="394" spans="1:49" ht="15.6" customHeight="1">
      <c r="A394" s="1004"/>
      <c r="B394" s="1004"/>
      <c r="C394" s="1004"/>
      <c r="I394" s="1004"/>
      <c r="J394" s="1004"/>
      <c r="K394" s="1004"/>
      <c r="L394" s="777">
        <v>5</v>
      </c>
      <c r="M394" s="778"/>
      <c r="N394" s="976"/>
      <c r="O394" s="1020">
        <v>337</v>
      </c>
      <c r="P394" s="847" t="e">
        <f>VLOOKUP(N394,etat!$A$9:$N$1004,2,FALSE)</f>
        <v>#N/A</v>
      </c>
      <c r="Q394" s="797" t="e">
        <f>VLOOKUP(N394,etat!$A$9:$N$963,7,FALSE)</f>
        <v>#N/A</v>
      </c>
      <c r="R394" s="797" t="e">
        <f>VLOOKUP(N394,etat!$A$9:$N$1003,9,FALSE)</f>
        <v>#N/A</v>
      </c>
      <c r="S394" s="866" t="e">
        <f>VLOOKUP(N394,etat!$A$9:$P$905,16,FALSE)</f>
        <v>#N/A</v>
      </c>
      <c r="T394" s="755"/>
      <c r="U394" s="791"/>
      <c r="V394" s="784"/>
      <c r="W394" s="784"/>
      <c r="X394" s="784"/>
      <c r="Y394" s="975"/>
      <c r="Z394" s="1022"/>
      <c r="AA394" s="967"/>
      <c r="AB394" s="1005"/>
      <c r="AC394" s="1005"/>
      <c r="AD394" s="1005"/>
      <c r="AE394" s="1005"/>
      <c r="AF394" s="1005"/>
      <c r="AG394" s="1004"/>
      <c r="AH394" s="1004"/>
      <c r="AI394" s="1004"/>
      <c r="AJ394" s="1004"/>
      <c r="AK394" s="1004"/>
      <c r="AL394" s="1004"/>
      <c r="AM394" s="1004"/>
      <c r="AN394" s="1004"/>
      <c r="AO394" s="1004"/>
      <c r="AP394" s="1004"/>
      <c r="AQ394" s="1004"/>
      <c r="AR394" s="1004"/>
      <c r="AS394" s="1004"/>
      <c r="AT394" s="1004"/>
      <c r="AU394" s="1004"/>
      <c r="AV394" s="1004"/>
      <c r="AW394" s="1004"/>
    </row>
    <row r="395" spans="1:49" ht="15.6" customHeight="1">
      <c r="A395" s="1004"/>
      <c r="B395" s="1004"/>
      <c r="C395" s="1004"/>
      <c r="I395" s="1004"/>
      <c r="J395" s="1004"/>
      <c r="K395" s="1004"/>
      <c r="L395" s="777">
        <v>5</v>
      </c>
      <c r="M395" s="778"/>
      <c r="N395" s="976"/>
      <c r="O395" s="1020">
        <v>338</v>
      </c>
      <c r="P395" s="847" t="e">
        <f>VLOOKUP(N395,etat!$A$9:$N$1004,2,FALSE)</f>
        <v>#N/A</v>
      </c>
      <c r="Q395" s="797" t="e">
        <f>VLOOKUP(N395,etat!$A$9:$N$963,7,FALSE)</f>
        <v>#N/A</v>
      </c>
      <c r="R395" s="797" t="e">
        <f>VLOOKUP(N395,etat!$A$9:$N$1003,9,FALSE)</f>
        <v>#N/A</v>
      </c>
      <c r="S395" s="866" t="e">
        <f>VLOOKUP(N395,etat!$A$9:$P$905,16,FALSE)</f>
        <v>#N/A</v>
      </c>
      <c r="T395" s="755"/>
      <c r="U395" s="791"/>
      <c r="V395" s="784"/>
      <c r="W395" s="784"/>
      <c r="X395" s="784"/>
      <c r="Y395" s="975"/>
      <c r="Z395" s="784"/>
      <c r="AA395" s="967"/>
      <c r="AB395" s="1005"/>
      <c r="AC395" s="1005"/>
      <c r="AD395" s="1005"/>
      <c r="AE395" s="1005"/>
      <c r="AF395" s="1005"/>
      <c r="AG395" s="1004"/>
      <c r="AH395" s="1004"/>
      <c r="AI395" s="1004"/>
      <c r="AJ395" s="1004"/>
      <c r="AK395" s="1004"/>
      <c r="AL395" s="1004"/>
      <c r="AM395" s="1004"/>
      <c r="AN395" s="1004"/>
      <c r="AO395" s="1004"/>
      <c r="AP395" s="1004"/>
      <c r="AQ395" s="1004"/>
      <c r="AR395" s="1004"/>
      <c r="AS395" s="1004"/>
      <c r="AT395" s="1004"/>
      <c r="AU395" s="1004"/>
      <c r="AV395" s="1004"/>
      <c r="AW395" s="1004"/>
    </row>
    <row r="396" spans="1:49" ht="15.6" customHeight="1">
      <c r="A396" s="1004"/>
      <c r="B396" s="1004"/>
      <c r="C396" s="1004"/>
      <c r="I396" s="1004"/>
      <c r="J396" s="1004"/>
      <c r="K396" s="1004"/>
      <c r="L396" s="777">
        <v>5</v>
      </c>
      <c r="M396" s="778"/>
      <c r="N396" s="976"/>
      <c r="O396" s="1020">
        <v>339</v>
      </c>
      <c r="P396" s="847" t="e">
        <f>VLOOKUP(N396,etat!$A$9:$N$1004,2,FALSE)</f>
        <v>#N/A</v>
      </c>
      <c r="Q396" s="797" t="e">
        <f>VLOOKUP(N396,etat!$A$9:$N$963,7,FALSE)</f>
        <v>#N/A</v>
      </c>
      <c r="R396" s="797" t="e">
        <f>VLOOKUP(N396,etat!$A$9:$N$1003,9,FALSE)</f>
        <v>#N/A</v>
      </c>
      <c r="S396" s="866" t="e">
        <f>VLOOKUP(N396,etat!$A$9:$P$905,16,FALSE)</f>
        <v>#N/A</v>
      </c>
      <c r="T396" s="755"/>
      <c r="U396" s="791"/>
      <c r="V396" s="784"/>
      <c r="W396" s="784"/>
      <c r="X396" s="784"/>
      <c r="Y396" s="784"/>
      <c r="Z396" s="784"/>
      <c r="AA396" s="967"/>
      <c r="AB396" s="1005"/>
      <c r="AC396" s="1005"/>
      <c r="AD396" s="1005"/>
      <c r="AE396" s="1005"/>
      <c r="AF396" s="1005"/>
      <c r="AG396" s="1004"/>
      <c r="AH396" s="1004"/>
      <c r="AI396" s="1004"/>
      <c r="AJ396" s="1004"/>
      <c r="AK396" s="1004"/>
      <c r="AL396" s="1004"/>
      <c r="AM396" s="1004"/>
      <c r="AN396" s="1004"/>
      <c r="AO396" s="1004"/>
      <c r="AP396" s="1004"/>
      <c r="AQ396" s="1004"/>
      <c r="AR396" s="1004"/>
      <c r="AS396" s="1004"/>
      <c r="AT396" s="1004"/>
      <c r="AU396" s="1004"/>
      <c r="AV396" s="1004"/>
      <c r="AW396" s="1004"/>
    </row>
    <row r="397" spans="1:49" ht="15.6" customHeight="1">
      <c r="A397" s="1004"/>
      <c r="B397" s="1004"/>
      <c r="C397" s="1004"/>
      <c r="I397" s="1004"/>
      <c r="J397" s="1004"/>
      <c r="K397" s="1004"/>
      <c r="L397" s="777">
        <v>5</v>
      </c>
      <c r="M397" s="778"/>
      <c r="N397" s="976"/>
      <c r="O397" s="1020">
        <v>340</v>
      </c>
      <c r="P397" s="847" t="e">
        <f>VLOOKUP(N397,etat!$A$9:$N$1004,2,FALSE)</f>
        <v>#N/A</v>
      </c>
      <c r="Q397" s="797" t="e">
        <f>VLOOKUP(N397,etat!$A$9:$N$963,7,FALSE)</f>
        <v>#N/A</v>
      </c>
      <c r="R397" s="797" t="e">
        <f>VLOOKUP(N397,etat!$A$9:$N$1003,9,FALSE)</f>
        <v>#N/A</v>
      </c>
      <c r="S397" s="866" t="e">
        <f>VLOOKUP(N397,etat!$A$9:$P$905,16,FALSE)</f>
        <v>#N/A</v>
      </c>
      <c r="T397" s="755"/>
      <c r="U397" s="791"/>
      <c r="V397" s="784"/>
      <c r="W397" s="784"/>
      <c r="X397" s="784"/>
      <c r="Y397" s="975"/>
      <c r="Z397" s="1022"/>
      <c r="AA397" s="967"/>
      <c r="AB397" s="1005"/>
      <c r="AC397" s="1005"/>
      <c r="AD397" s="1005"/>
      <c r="AE397" s="1005"/>
      <c r="AF397" s="1005"/>
      <c r="AG397" s="1004"/>
      <c r="AH397" s="1004"/>
      <c r="AI397" s="1004"/>
      <c r="AJ397" s="1004"/>
      <c r="AK397" s="1004"/>
      <c r="AL397" s="1004"/>
      <c r="AM397" s="1004"/>
      <c r="AN397" s="1004"/>
      <c r="AO397" s="1004"/>
      <c r="AP397" s="1004"/>
      <c r="AQ397" s="1004"/>
      <c r="AR397" s="1004"/>
      <c r="AS397" s="1004"/>
      <c r="AT397" s="1004"/>
      <c r="AU397" s="1004"/>
      <c r="AV397" s="1004"/>
      <c r="AW397" s="1004"/>
    </row>
    <row r="398" spans="1:49" ht="15.6" customHeight="1">
      <c r="A398" s="1004"/>
      <c r="B398" s="1004"/>
      <c r="C398" s="1004"/>
      <c r="I398" s="1004"/>
      <c r="J398" s="1004"/>
      <c r="K398" s="1004"/>
      <c r="L398" s="777">
        <v>5</v>
      </c>
      <c r="M398" s="778"/>
      <c r="N398" s="976"/>
      <c r="O398" s="1020">
        <v>341</v>
      </c>
      <c r="P398" s="847" t="e">
        <f>VLOOKUP(N398,etat!$A$9:$N$1004,2,FALSE)</f>
        <v>#N/A</v>
      </c>
      <c r="Q398" s="797" t="e">
        <f>VLOOKUP(N398,etat!$A$9:$N$963,7,FALSE)</f>
        <v>#N/A</v>
      </c>
      <c r="R398" s="797" t="e">
        <f>VLOOKUP(N398,etat!$A$9:$N$1003,9,FALSE)</f>
        <v>#N/A</v>
      </c>
      <c r="S398" s="866" t="e">
        <f>VLOOKUP(N398,etat!$A$9:$P$905,16,FALSE)</f>
        <v>#N/A</v>
      </c>
      <c r="T398" s="755"/>
      <c r="U398" s="791"/>
      <c r="V398" s="784"/>
      <c r="W398" s="784"/>
      <c r="X398" s="784"/>
      <c r="Y398" s="975"/>
      <c r="Z398" s="1022"/>
      <c r="AA398" s="967"/>
      <c r="AB398" s="1005"/>
      <c r="AC398" s="1005"/>
      <c r="AD398" s="1005"/>
      <c r="AE398" s="1005"/>
      <c r="AF398" s="1005"/>
      <c r="AG398" s="1004"/>
      <c r="AH398" s="1004"/>
      <c r="AI398" s="1004"/>
      <c r="AJ398" s="1004"/>
      <c r="AK398" s="1004"/>
      <c r="AL398" s="1004"/>
      <c r="AM398" s="1004"/>
      <c r="AN398" s="1004"/>
      <c r="AO398" s="1004"/>
      <c r="AP398" s="1004"/>
      <c r="AQ398" s="1004"/>
      <c r="AR398" s="1004"/>
      <c r="AS398" s="1004"/>
      <c r="AT398" s="1004"/>
      <c r="AU398" s="1004"/>
      <c r="AV398" s="1004"/>
      <c r="AW398" s="1004"/>
    </row>
    <row r="399" spans="1:49" ht="15.6" customHeight="1">
      <c r="A399" s="1004"/>
      <c r="B399" s="1004"/>
      <c r="C399" s="1004"/>
      <c r="I399" s="1004"/>
      <c r="J399" s="1004"/>
      <c r="K399" s="1004"/>
      <c r="L399" s="777">
        <v>5</v>
      </c>
      <c r="M399" s="778"/>
      <c r="N399" s="976"/>
      <c r="O399" s="1020">
        <v>342</v>
      </c>
      <c r="P399" s="847" t="e">
        <f>VLOOKUP(N399,etat!$A$9:$N$1004,2,FALSE)</f>
        <v>#N/A</v>
      </c>
      <c r="Q399" s="797" t="e">
        <f>VLOOKUP(N399,etat!$A$9:$N$963,7,FALSE)</f>
        <v>#N/A</v>
      </c>
      <c r="R399" s="954" t="e">
        <f>VLOOKUP(N399,etat!$A$9:$N$1003,9,FALSE)</f>
        <v>#N/A</v>
      </c>
      <c r="S399" s="866" t="e">
        <f>VLOOKUP(N399,etat!$A$9:$P$905,16,FALSE)</f>
        <v>#N/A</v>
      </c>
      <c r="T399" s="755"/>
      <c r="U399" s="791"/>
      <c r="V399" s="784"/>
      <c r="W399" s="784"/>
      <c r="X399" s="784"/>
      <c r="Y399" s="975"/>
      <c r="Z399" s="932" t="str">
        <f>VLOOKUP(L399,[2]اس!$S$3:$X$31,3,FALSE)</f>
        <v>.</v>
      </c>
      <c r="AA399" s="967"/>
      <c r="AB399" s="1005"/>
      <c r="AC399" s="1005"/>
      <c r="AD399" s="1005"/>
      <c r="AE399" s="1005"/>
      <c r="AF399" s="1005"/>
      <c r="AG399" s="1004"/>
      <c r="AH399" s="1004"/>
      <c r="AI399" s="1004"/>
      <c r="AJ399" s="1004"/>
      <c r="AK399" s="1004"/>
      <c r="AL399" s="1004"/>
      <c r="AM399" s="1004"/>
      <c r="AN399" s="1004"/>
      <c r="AO399" s="1004"/>
      <c r="AP399" s="1004"/>
      <c r="AQ399" s="1004"/>
      <c r="AR399" s="1004"/>
      <c r="AS399" s="1004"/>
      <c r="AT399" s="1004"/>
      <c r="AU399" s="1004"/>
      <c r="AV399" s="1004"/>
      <c r="AW399" s="1004"/>
    </row>
    <row r="400" spans="1:49" ht="15.6" customHeight="1">
      <c r="A400" s="1004"/>
      <c r="B400" s="1004"/>
      <c r="C400" s="1004"/>
      <c r="I400" s="1004"/>
      <c r="J400" s="1004"/>
      <c r="K400" s="1004"/>
      <c r="L400" s="777">
        <v>5</v>
      </c>
      <c r="M400" s="778"/>
      <c r="N400" s="976"/>
      <c r="O400" s="1020">
        <v>343</v>
      </c>
      <c r="P400" s="847" t="e">
        <f>VLOOKUP(N400,etat!$A$9:$N$1004,2,FALSE)</f>
        <v>#N/A</v>
      </c>
      <c r="Q400" s="797" t="e">
        <f>VLOOKUP(N400,etat!$A$9:$N$963,7,FALSE)</f>
        <v>#N/A</v>
      </c>
      <c r="R400" s="954" t="e">
        <f>VLOOKUP(N400,etat!$A$9:$N$1003,9,FALSE)</f>
        <v>#N/A</v>
      </c>
      <c r="S400" s="866" t="e">
        <f>VLOOKUP(N400,etat!$A$9:$P$905,16,FALSE)</f>
        <v>#N/A</v>
      </c>
      <c r="T400" s="755"/>
      <c r="U400" s="791"/>
      <c r="V400" s="784"/>
      <c r="W400" s="955"/>
      <c r="X400" s="955"/>
      <c r="Y400" s="956"/>
      <c r="Z400" s="932" t="str">
        <f>VLOOKUP(L400,[2]اس!$S$3:$X$31,3,FALSE)</f>
        <v>.</v>
      </c>
      <c r="AA400" s="967"/>
      <c r="AB400" s="1005"/>
      <c r="AC400" s="1005"/>
      <c r="AD400" s="1005"/>
      <c r="AE400" s="1005"/>
      <c r="AF400" s="1005"/>
      <c r="AG400" s="1004"/>
      <c r="AH400" s="1004"/>
      <c r="AI400" s="1004"/>
      <c r="AJ400" s="1004"/>
      <c r="AK400" s="1004"/>
      <c r="AL400" s="1004"/>
      <c r="AM400" s="1004"/>
      <c r="AN400" s="1004"/>
      <c r="AO400" s="1004"/>
      <c r="AP400" s="1004"/>
      <c r="AQ400" s="1004"/>
      <c r="AR400" s="1004"/>
      <c r="AS400" s="1004"/>
      <c r="AT400" s="1004"/>
      <c r="AU400" s="1004"/>
      <c r="AV400" s="1004"/>
      <c r="AW400" s="1004"/>
    </row>
    <row r="401" spans="1:49" ht="15.6" customHeight="1">
      <c r="A401" s="1004"/>
      <c r="B401" s="1004"/>
      <c r="C401" s="1004"/>
      <c r="I401" s="1004"/>
      <c r="J401" s="1004"/>
      <c r="K401" s="1004"/>
      <c r="L401" s="777">
        <v>5</v>
      </c>
      <c r="M401" s="778"/>
      <c r="N401" s="976"/>
      <c r="O401" s="1020">
        <v>344</v>
      </c>
      <c r="P401" s="847" t="e">
        <f>VLOOKUP(N401,etat!$A$9:$N$1004,2,FALSE)</f>
        <v>#N/A</v>
      </c>
      <c r="Q401" s="797" t="e">
        <f>VLOOKUP(N401,etat!$A$9:$N$963,7,FALSE)</f>
        <v>#N/A</v>
      </c>
      <c r="R401" s="797" t="e">
        <f>VLOOKUP(N401,etat!$A$9:$N$1003,9,FALSE)</f>
        <v>#N/A</v>
      </c>
      <c r="S401" s="866" t="e">
        <f>VLOOKUP(N401,etat!$A$9:$P$905,16,FALSE)</f>
        <v>#N/A</v>
      </c>
      <c r="T401" s="755"/>
      <c r="U401" s="791"/>
      <c r="V401" s="784"/>
      <c r="W401" s="784"/>
      <c r="X401" s="784"/>
      <c r="Y401" s="784"/>
      <c r="Z401" s="932" t="str">
        <f>VLOOKUP(L401,[2]اس!$S$3:$X$31,3,FALSE)</f>
        <v>.</v>
      </c>
      <c r="AA401" s="967"/>
      <c r="AB401" s="1005"/>
      <c r="AC401" s="1005"/>
      <c r="AD401" s="1005"/>
      <c r="AE401" s="1005"/>
      <c r="AF401" s="1005"/>
      <c r="AG401" s="1004"/>
      <c r="AH401" s="1004"/>
      <c r="AI401" s="1004"/>
      <c r="AJ401" s="1004"/>
      <c r="AK401" s="1004"/>
      <c r="AL401" s="1004"/>
      <c r="AM401" s="1004"/>
      <c r="AN401" s="1004"/>
      <c r="AO401" s="1004"/>
      <c r="AP401" s="1004"/>
      <c r="AQ401" s="1004"/>
      <c r="AR401" s="1004"/>
      <c r="AS401" s="1004"/>
      <c r="AT401" s="1004"/>
      <c r="AU401" s="1004"/>
      <c r="AV401" s="1004"/>
      <c r="AW401" s="1004"/>
    </row>
    <row r="402" spans="1:49" ht="15.6" customHeight="1">
      <c r="A402" s="1004"/>
      <c r="B402" s="1004"/>
      <c r="C402" s="1004"/>
      <c r="I402" s="1004"/>
      <c r="J402" s="1004"/>
      <c r="K402" s="1004"/>
      <c r="L402" s="777">
        <v>5</v>
      </c>
      <c r="M402" s="778"/>
      <c r="N402" s="976"/>
      <c r="O402" s="1020">
        <v>345</v>
      </c>
      <c r="P402" s="847" t="e">
        <f>VLOOKUP(N402,etat!$A$9:$N$1004,2,FALSE)</f>
        <v>#N/A</v>
      </c>
      <c r="Q402" s="797" t="e">
        <f>VLOOKUP(N402,etat!$A$9:$N$963,7,FALSE)</f>
        <v>#N/A</v>
      </c>
      <c r="R402" s="797" t="e">
        <f>VLOOKUP(N402,etat!$A$9:$N$1003,9,FALSE)</f>
        <v>#N/A</v>
      </c>
      <c r="S402" s="866" t="e">
        <f>VLOOKUP(N402,etat!$A$9:$P$905,16,FALSE)</f>
        <v>#N/A</v>
      </c>
      <c r="T402" s="755"/>
      <c r="U402" s="791"/>
      <c r="V402" s="784"/>
      <c r="W402" s="784"/>
      <c r="X402" s="784"/>
      <c r="Y402" s="784"/>
      <c r="Z402" s="932" t="str">
        <f>VLOOKUP(L402,[2]اس!$S$3:$X$31,3,FALSE)</f>
        <v>.</v>
      </c>
      <c r="AA402" s="967"/>
      <c r="AB402" s="1005"/>
      <c r="AC402" s="1005"/>
      <c r="AD402" s="1005"/>
      <c r="AE402" s="1005"/>
      <c r="AF402" s="1005"/>
      <c r="AG402" s="1004"/>
      <c r="AH402" s="1004"/>
      <c r="AI402" s="1004"/>
      <c r="AJ402" s="1004"/>
      <c r="AK402" s="1004"/>
      <c r="AL402" s="1004"/>
      <c r="AM402" s="1004"/>
      <c r="AN402" s="1004"/>
      <c r="AO402" s="1004"/>
      <c r="AP402" s="1004"/>
      <c r="AQ402" s="1004"/>
      <c r="AR402" s="1004"/>
      <c r="AS402" s="1004"/>
      <c r="AT402" s="1004"/>
      <c r="AU402" s="1004"/>
      <c r="AV402" s="1004"/>
      <c r="AW402" s="1004"/>
    </row>
    <row r="403" spans="1:49" ht="15.6" customHeight="1">
      <c r="A403" s="1004"/>
      <c r="B403" s="1004"/>
      <c r="C403" s="1004"/>
      <c r="I403" s="1004"/>
      <c r="J403" s="1004"/>
      <c r="K403" s="1004"/>
      <c r="L403" s="777">
        <v>5</v>
      </c>
      <c r="M403" s="778"/>
      <c r="N403" s="976"/>
      <c r="O403" s="1020">
        <v>346</v>
      </c>
      <c r="P403" s="847" t="e">
        <f>VLOOKUP(N403,etat!$A$9:$N$1004,2,FALSE)</f>
        <v>#N/A</v>
      </c>
      <c r="Q403" s="797" t="e">
        <f>VLOOKUP(N403,etat!$A$9:$N$963,7,FALSE)</f>
        <v>#N/A</v>
      </c>
      <c r="R403" s="797" t="e">
        <f>VLOOKUP(N403,etat!$A$9:$N$1003,9,FALSE)</f>
        <v>#N/A</v>
      </c>
      <c r="S403" s="866" t="e">
        <f>VLOOKUP(N403,etat!$A$9:$P$905,16,FALSE)</f>
        <v>#N/A</v>
      </c>
      <c r="T403" s="755"/>
      <c r="U403" s="791"/>
      <c r="V403" s="784"/>
      <c r="W403" s="784"/>
      <c r="X403" s="784"/>
      <c r="Y403" s="784"/>
      <c r="Z403" s="932" t="str">
        <f>VLOOKUP(L403,[2]اس!$S$3:$X$31,3,FALSE)</f>
        <v>.</v>
      </c>
      <c r="AA403" s="967"/>
      <c r="AB403" s="1005"/>
      <c r="AC403" s="1005"/>
      <c r="AD403" s="1005"/>
      <c r="AE403" s="1005"/>
      <c r="AF403" s="1005"/>
      <c r="AG403" s="1004"/>
      <c r="AH403" s="1004"/>
      <c r="AI403" s="1004"/>
      <c r="AJ403" s="1004"/>
      <c r="AK403" s="1004"/>
      <c r="AL403" s="1004"/>
      <c r="AM403" s="1004"/>
      <c r="AN403" s="1004"/>
      <c r="AO403" s="1004"/>
      <c r="AP403" s="1004"/>
      <c r="AQ403" s="1004"/>
      <c r="AR403" s="1004"/>
      <c r="AS403" s="1004"/>
      <c r="AT403" s="1004"/>
      <c r="AU403" s="1004"/>
      <c r="AV403" s="1004"/>
      <c r="AW403" s="1004"/>
    </row>
    <row r="404" spans="1:49" ht="15.6" customHeight="1">
      <c r="A404" s="1004"/>
      <c r="B404" s="1004"/>
      <c r="C404" s="1004"/>
      <c r="I404" s="1004"/>
      <c r="J404" s="1004"/>
      <c r="K404" s="1004"/>
      <c r="L404" s="777">
        <v>5</v>
      </c>
      <c r="M404" s="778"/>
      <c r="N404" s="976"/>
      <c r="O404" s="1020">
        <v>347</v>
      </c>
      <c r="P404" s="847" t="e">
        <f>VLOOKUP(N404,etat!$A$9:$N$1004,2,FALSE)</f>
        <v>#N/A</v>
      </c>
      <c r="Q404" s="797" t="e">
        <f>VLOOKUP(N404,etat!$A$9:$N$963,7,FALSE)</f>
        <v>#N/A</v>
      </c>
      <c r="R404" s="797" t="e">
        <f>VLOOKUP(N404,etat!$A$9:$N$1003,9,FALSE)</f>
        <v>#N/A</v>
      </c>
      <c r="S404" s="866" t="e">
        <f>VLOOKUP(N404,etat!$A$9:$P$905,16,FALSE)</f>
        <v>#N/A</v>
      </c>
      <c r="T404" s="755"/>
      <c r="U404" s="791"/>
      <c r="V404" s="784"/>
      <c r="W404" s="784"/>
      <c r="X404" s="784"/>
      <c r="Y404" s="784"/>
      <c r="Z404" s="932" t="str">
        <f>VLOOKUP(L404,[2]اس!$S$3:$X$31,3,FALSE)</f>
        <v>.</v>
      </c>
      <c r="AA404" s="967"/>
      <c r="AB404" s="1005"/>
      <c r="AC404" s="1005"/>
      <c r="AD404" s="1005"/>
      <c r="AE404" s="1005"/>
      <c r="AF404" s="1005"/>
      <c r="AG404" s="1004"/>
      <c r="AH404" s="1004"/>
      <c r="AI404" s="1004"/>
      <c r="AJ404" s="1004"/>
      <c r="AK404" s="1004"/>
      <c r="AL404" s="1004"/>
      <c r="AM404" s="1004"/>
      <c r="AN404" s="1004"/>
      <c r="AO404" s="1004"/>
      <c r="AP404" s="1004"/>
      <c r="AQ404" s="1004"/>
      <c r="AR404" s="1004"/>
      <c r="AS404" s="1004"/>
      <c r="AT404" s="1004"/>
      <c r="AU404" s="1004"/>
      <c r="AV404" s="1004"/>
      <c r="AW404" s="1004"/>
    </row>
    <row r="405" spans="1:49" ht="15.6" customHeight="1">
      <c r="A405" s="1004"/>
      <c r="B405" s="1004"/>
      <c r="C405" s="1004"/>
      <c r="I405" s="1004"/>
      <c r="J405" s="1004"/>
      <c r="K405" s="1004"/>
      <c r="L405" s="777">
        <v>5</v>
      </c>
      <c r="M405" s="778"/>
      <c r="N405" s="976"/>
      <c r="O405" s="1020">
        <v>348</v>
      </c>
      <c r="P405" s="847" t="e">
        <f>VLOOKUP(N405,etat!$A$9:$N$1004,2,FALSE)</f>
        <v>#N/A</v>
      </c>
      <c r="Q405" s="797" t="e">
        <f>VLOOKUP(N405,etat!$A$9:$N$963,7,FALSE)</f>
        <v>#N/A</v>
      </c>
      <c r="R405" s="797" t="e">
        <f>VLOOKUP(N405,etat!$A$9:$N$1003,9,FALSE)</f>
        <v>#N/A</v>
      </c>
      <c r="S405" s="866" t="e">
        <f>VLOOKUP(N405,etat!$A$9:$P$905,16,FALSE)</f>
        <v>#N/A</v>
      </c>
      <c r="T405" s="755"/>
      <c r="U405" s="791"/>
      <c r="V405" s="784"/>
      <c r="W405" s="784"/>
      <c r="X405" s="784"/>
      <c r="Y405" s="784"/>
      <c r="Z405" s="932" t="str">
        <f>VLOOKUP(L405,[2]اس!$S$3:$X$31,3,FALSE)</f>
        <v>.</v>
      </c>
      <c r="AA405" s="967"/>
      <c r="AB405" s="1005"/>
      <c r="AC405" s="1005"/>
      <c r="AD405" s="1005"/>
      <c r="AE405" s="1005"/>
      <c r="AF405" s="1005"/>
      <c r="AG405" s="1004"/>
      <c r="AH405" s="1004"/>
      <c r="AI405" s="1004"/>
      <c r="AJ405" s="1004"/>
      <c r="AK405" s="1004"/>
      <c r="AL405" s="1004"/>
      <c r="AM405" s="1004"/>
      <c r="AN405" s="1004"/>
      <c r="AO405" s="1004"/>
      <c r="AP405" s="1004"/>
      <c r="AQ405" s="1004"/>
      <c r="AR405" s="1004"/>
      <c r="AS405" s="1004"/>
      <c r="AT405" s="1004"/>
      <c r="AU405" s="1004"/>
      <c r="AV405" s="1004"/>
      <c r="AW405" s="1004"/>
    </row>
    <row r="406" spans="1:49" ht="15.6" customHeight="1">
      <c r="A406" s="1004"/>
      <c r="B406" s="1004"/>
      <c r="C406" s="1004"/>
      <c r="I406" s="1004"/>
      <c r="J406" s="1004"/>
      <c r="K406" s="1004"/>
      <c r="L406" s="777">
        <v>5</v>
      </c>
      <c r="M406" s="778"/>
      <c r="N406" s="976"/>
      <c r="O406" s="1020">
        <v>349</v>
      </c>
      <c r="P406" s="847" t="e">
        <f>VLOOKUP(N406,etat!$A$9:$N$1004,2,FALSE)</f>
        <v>#N/A</v>
      </c>
      <c r="Q406" s="797" t="e">
        <f>VLOOKUP(N406,etat!$A$9:$N$963,7,FALSE)</f>
        <v>#N/A</v>
      </c>
      <c r="R406" s="797" t="e">
        <f>VLOOKUP(N406,etat!$A$9:$N$1003,9,FALSE)</f>
        <v>#N/A</v>
      </c>
      <c r="S406" s="866" t="e">
        <f>VLOOKUP(N406,etat!$A$9:$P$905,16,FALSE)</f>
        <v>#N/A</v>
      </c>
      <c r="T406" s="755"/>
      <c r="U406" s="791"/>
      <c r="V406" s="784"/>
      <c r="W406" s="784"/>
      <c r="X406" s="784"/>
      <c r="Y406" s="784"/>
      <c r="Z406" s="932" t="str">
        <f>VLOOKUP(L406,[2]اس!$S$3:$X$31,3,FALSE)</f>
        <v>.</v>
      </c>
      <c r="AA406" s="967"/>
      <c r="AB406" s="1005"/>
      <c r="AC406" s="1005"/>
      <c r="AD406" s="1005"/>
      <c r="AE406" s="1005"/>
      <c r="AF406" s="1005"/>
      <c r="AG406" s="1004"/>
      <c r="AH406" s="1004"/>
      <c r="AI406" s="1004"/>
      <c r="AJ406" s="1004"/>
      <c r="AK406" s="1004"/>
      <c r="AL406" s="1004"/>
      <c r="AM406" s="1004"/>
      <c r="AN406" s="1004"/>
      <c r="AO406" s="1004"/>
      <c r="AP406" s="1004"/>
      <c r="AQ406" s="1004"/>
      <c r="AR406" s="1004"/>
      <c r="AS406" s="1004"/>
      <c r="AT406" s="1004"/>
      <c r="AU406" s="1004"/>
      <c r="AV406" s="1004"/>
      <c r="AW406" s="1004"/>
    </row>
    <row r="407" spans="1:49" ht="15.6" customHeight="1">
      <c r="A407" s="1004"/>
      <c r="B407" s="1004"/>
      <c r="C407" s="1004"/>
      <c r="I407" s="1004"/>
      <c r="J407" s="1004"/>
      <c r="K407" s="1004"/>
      <c r="L407" s="777">
        <v>5</v>
      </c>
      <c r="M407" s="778"/>
      <c r="N407" s="976"/>
      <c r="O407" s="1020">
        <v>350</v>
      </c>
      <c r="P407" s="847" t="e">
        <f>VLOOKUP(N407,etat!$A$9:$N$1004,2,FALSE)</f>
        <v>#N/A</v>
      </c>
      <c r="Q407" s="797" t="e">
        <f>VLOOKUP(N407,etat!$A$9:$N$963,7,FALSE)</f>
        <v>#N/A</v>
      </c>
      <c r="R407" s="954" t="e">
        <f>VLOOKUP(N407,etat!$A$9:$N$1003,9,FALSE)</f>
        <v>#N/A</v>
      </c>
      <c r="S407" s="866" t="e">
        <f>VLOOKUP(N407,etat!$A$9:$P$905,16,FALSE)</f>
        <v>#N/A</v>
      </c>
      <c r="T407" s="755"/>
      <c r="U407" s="791"/>
      <c r="V407" s="784"/>
      <c r="W407" s="784"/>
      <c r="X407" s="784"/>
      <c r="Y407" s="975"/>
      <c r="Z407" s="932" t="str">
        <f>VLOOKUP(L407,[2]اس!$S$3:$X$31,3,FALSE)</f>
        <v>.</v>
      </c>
      <c r="AA407" s="967"/>
      <c r="AB407" s="1005"/>
      <c r="AC407" s="1005"/>
      <c r="AD407" s="1005"/>
      <c r="AE407" s="1005"/>
      <c r="AF407" s="1005"/>
      <c r="AG407" s="1004"/>
      <c r="AH407" s="1004"/>
      <c r="AI407" s="1004"/>
      <c r="AJ407" s="1004"/>
      <c r="AK407" s="1004"/>
      <c r="AL407" s="1004"/>
      <c r="AM407" s="1004"/>
      <c r="AN407" s="1004"/>
      <c r="AO407" s="1004"/>
      <c r="AP407" s="1004"/>
      <c r="AQ407" s="1004"/>
      <c r="AR407" s="1004"/>
      <c r="AS407" s="1004"/>
      <c r="AT407" s="1004"/>
      <c r="AU407" s="1004"/>
      <c r="AV407" s="1004"/>
      <c r="AW407" s="1004"/>
    </row>
    <row r="408" spans="1:49" ht="15.6" customHeight="1">
      <c r="A408" s="1004"/>
      <c r="B408" s="1004"/>
      <c r="C408" s="1004"/>
      <c r="I408" s="1004"/>
      <c r="J408" s="1004"/>
      <c r="K408" s="1004"/>
      <c r="L408" s="777">
        <v>5</v>
      </c>
      <c r="M408" s="778"/>
      <c r="N408" s="976"/>
      <c r="O408" s="1020">
        <v>351</v>
      </c>
      <c r="P408" s="847" t="e">
        <f>VLOOKUP(N408,etat!$A$9:$N$1004,2,FALSE)</f>
        <v>#N/A</v>
      </c>
      <c r="Q408" s="797" t="e">
        <f>VLOOKUP(N408,etat!$A$9:$N$963,7,FALSE)</f>
        <v>#N/A</v>
      </c>
      <c r="R408" s="954" t="e">
        <f>VLOOKUP(N408,etat!$A$9:$N$1003,9,FALSE)</f>
        <v>#N/A</v>
      </c>
      <c r="S408" s="866" t="e">
        <f>VLOOKUP(N408,etat!$A$9:$P$905,16,FALSE)</f>
        <v>#N/A</v>
      </c>
      <c r="T408" s="755"/>
      <c r="U408" s="791"/>
      <c r="V408" s="784"/>
      <c r="W408" s="784"/>
      <c r="X408" s="784"/>
      <c r="Y408" s="975"/>
      <c r="Z408" s="932" t="str">
        <f>VLOOKUP(L408,[2]اس!$S$3:$X$31,3,FALSE)</f>
        <v>.</v>
      </c>
      <c r="AA408" s="967"/>
      <c r="AB408" s="1005"/>
      <c r="AC408" s="1005"/>
      <c r="AD408" s="1005"/>
      <c r="AE408" s="1005"/>
      <c r="AF408" s="1005"/>
      <c r="AG408" s="1004"/>
      <c r="AH408" s="1004"/>
      <c r="AI408" s="1004"/>
      <c r="AJ408" s="1004"/>
      <c r="AK408" s="1004"/>
      <c r="AL408" s="1004"/>
      <c r="AM408" s="1004"/>
      <c r="AN408" s="1004"/>
      <c r="AO408" s="1004"/>
      <c r="AP408" s="1004"/>
      <c r="AQ408" s="1004"/>
      <c r="AR408" s="1004"/>
      <c r="AS408" s="1004"/>
      <c r="AT408" s="1004"/>
      <c r="AU408" s="1004"/>
      <c r="AV408" s="1004"/>
      <c r="AW408" s="1004"/>
    </row>
    <row r="409" spans="1:49" ht="15.6" customHeight="1">
      <c r="A409" s="1004"/>
      <c r="B409" s="1004"/>
      <c r="C409" s="1004"/>
      <c r="I409" s="1004"/>
      <c r="J409" s="1004"/>
      <c r="K409" s="1004"/>
      <c r="L409" s="777">
        <v>5</v>
      </c>
      <c r="M409" s="778"/>
      <c r="N409" s="976"/>
      <c r="O409" s="1020">
        <v>352</v>
      </c>
      <c r="P409" s="847" t="e">
        <f>VLOOKUP(N409,etat!$A$9:$N$1004,2,FALSE)</f>
        <v>#N/A</v>
      </c>
      <c r="Q409" s="797" t="e">
        <f>VLOOKUP(N409,etat!$A$9:$N$963,7,FALSE)</f>
        <v>#N/A</v>
      </c>
      <c r="R409" s="954" t="e">
        <f>VLOOKUP(N409,etat!$A$9:$N$1003,9,FALSE)</f>
        <v>#N/A</v>
      </c>
      <c r="S409" s="866" t="e">
        <f>VLOOKUP(N409,etat!$A$9:$P$905,16,FALSE)</f>
        <v>#N/A</v>
      </c>
      <c r="T409" s="755"/>
      <c r="U409" s="791"/>
      <c r="V409" s="784"/>
      <c r="W409" s="784"/>
      <c r="X409" s="784"/>
      <c r="Y409" s="975"/>
      <c r="Z409" s="932" t="str">
        <f>VLOOKUP(L409,[2]اس!$S$3:$X$31,3,FALSE)</f>
        <v>.</v>
      </c>
      <c r="AA409" s="967"/>
      <c r="AB409" s="1005"/>
      <c r="AC409" s="1005"/>
      <c r="AD409" s="1005"/>
      <c r="AE409" s="1005"/>
      <c r="AF409" s="1005"/>
      <c r="AG409" s="1004"/>
      <c r="AH409" s="1004"/>
      <c r="AI409" s="1004"/>
      <c r="AJ409" s="1004"/>
      <c r="AK409" s="1004"/>
      <c r="AL409" s="1004"/>
      <c r="AM409" s="1004"/>
      <c r="AN409" s="1004"/>
      <c r="AO409" s="1004"/>
      <c r="AP409" s="1004"/>
      <c r="AQ409" s="1004"/>
      <c r="AR409" s="1004"/>
      <c r="AS409" s="1004"/>
      <c r="AT409" s="1004"/>
      <c r="AU409" s="1004"/>
      <c r="AV409" s="1004"/>
      <c r="AW409" s="1004"/>
    </row>
    <row r="410" spans="1:49" ht="15.6" customHeight="1">
      <c r="A410" s="1004"/>
      <c r="B410" s="1004"/>
      <c r="C410" s="1004"/>
      <c r="I410" s="1004"/>
      <c r="J410" s="1004"/>
      <c r="K410" s="1004"/>
      <c r="L410" s="777">
        <v>5</v>
      </c>
      <c r="M410" s="778"/>
      <c r="N410" s="976"/>
      <c r="O410" s="1020">
        <v>353</v>
      </c>
      <c r="P410" s="847" t="e">
        <f>VLOOKUP(N410,etat!$A$9:$N$1004,2,FALSE)</f>
        <v>#N/A</v>
      </c>
      <c r="Q410" s="797" t="e">
        <f>VLOOKUP(N410,etat!$A$9:$N$963,7,FALSE)</f>
        <v>#N/A</v>
      </c>
      <c r="R410" s="954" t="e">
        <f>VLOOKUP(N410,etat!$A$9:$N$1003,9,FALSE)</f>
        <v>#N/A</v>
      </c>
      <c r="S410" s="866" t="e">
        <f>VLOOKUP(N410,etat!$A$9:$P$905,16,FALSE)</f>
        <v>#N/A</v>
      </c>
      <c r="T410" s="755"/>
      <c r="U410" s="791"/>
      <c r="V410" s="784"/>
      <c r="W410" s="784"/>
      <c r="X410" s="784"/>
      <c r="Y410" s="975"/>
      <c r="Z410" s="932" t="str">
        <f>VLOOKUP(L410,[2]اس!$S$3:$X$31,3,FALSE)</f>
        <v>.</v>
      </c>
      <c r="AA410" s="967"/>
      <c r="AB410" s="1005"/>
      <c r="AC410" s="1005"/>
      <c r="AD410" s="1005"/>
      <c r="AE410" s="1005"/>
      <c r="AF410" s="1005"/>
      <c r="AG410" s="1004"/>
      <c r="AH410" s="1004"/>
      <c r="AI410" s="1004"/>
      <c r="AJ410" s="1004"/>
      <c r="AK410" s="1004"/>
      <c r="AL410" s="1004"/>
      <c r="AM410" s="1004"/>
      <c r="AN410" s="1004"/>
      <c r="AO410" s="1004"/>
      <c r="AP410" s="1004"/>
      <c r="AQ410" s="1004"/>
      <c r="AR410" s="1004"/>
      <c r="AS410" s="1004"/>
      <c r="AT410" s="1004"/>
      <c r="AU410" s="1004"/>
      <c r="AV410" s="1004"/>
      <c r="AW410" s="1004"/>
    </row>
    <row r="411" spans="1:49" ht="15.6" customHeight="1">
      <c r="A411" s="1004"/>
      <c r="B411" s="1004"/>
      <c r="C411" s="1004"/>
      <c r="I411" s="1004"/>
      <c r="J411" s="1004"/>
      <c r="K411" s="1004"/>
      <c r="L411" s="777">
        <v>5</v>
      </c>
      <c r="M411" s="778"/>
      <c r="N411" s="976"/>
      <c r="O411" s="1020">
        <v>354</v>
      </c>
      <c r="P411" s="847" t="e">
        <f>VLOOKUP(N411,etat!$A$9:$N$1004,2,FALSE)</f>
        <v>#N/A</v>
      </c>
      <c r="Q411" s="797" t="e">
        <f>VLOOKUP(N411,etat!$A$9:$N$963,7,FALSE)</f>
        <v>#N/A</v>
      </c>
      <c r="R411" s="954" t="e">
        <f>VLOOKUP(N411,etat!$A$9:$N$1003,9,FALSE)</f>
        <v>#N/A</v>
      </c>
      <c r="S411" s="866" t="e">
        <f>VLOOKUP(N411,etat!$A$9:$P$905,16,FALSE)</f>
        <v>#N/A</v>
      </c>
      <c r="T411" s="755"/>
      <c r="U411" s="791"/>
      <c r="V411" s="784"/>
      <c r="W411" s="784"/>
      <c r="X411" s="784"/>
      <c r="Y411" s="975"/>
      <c r="Z411" s="932" t="str">
        <f>VLOOKUP(L411,[2]اس!$S$3:$X$31,3,FALSE)</f>
        <v>.</v>
      </c>
      <c r="AA411" s="967"/>
      <c r="AB411" s="1005"/>
      <c r="AC411" s="1005"/>
      <c r="AD411" s="1005"/>
      <c r="AE411" s="1005"/>
      <c r="AF411" s="1005"/>
      <c r="AG411" s="1004"/>
      <c r="AH411" s="1004"/>
      <c r="AI411" s="1004"/>
      <c r="AJ411" s="1004"/>
      <c r="AK411" s="1004"/>
      <c r="AL411" s="1004"/>
      <c r="AM411" s="1004"/>
      <c r="AN411" s="1004"/>
      <c r="AO411" s="1004"/>
      <c r="AP411" s="1004"/>
      <c r="AQ411" s="1004"/>
      <c r="AR411" s="1004"/>
      <c r="AS411" s="1004"/>
      <c r="AT411" s="1004"/>
      <c r="AU411" s="1004"/>
      <c r="AV411" s="1004"/>
      <c r="AW411" s="1004"/>
    </row>
    <row r="412" spans="1:49" ht="15.6" customHeight="1">
      <c r="A412" s="1004"/>
      <c r="B412" s="1004"/>
      <c r="C412" s="1004"/>
      <c r="I412" s="1004"/>
      <c r="J412" s="1004"/>
      <c r="K412" s="1004"/>
      <c r="L412" s="777">
        <v>5</v>
      </c>
      <c r="M412" s="778"/>
      <c r="N412" s="976"/>
      <c r="O412" s="1020">
        <v>355</v>
      </c>
      <c r="P412" s="847" t="e">
        <f>VLOOKUP(N412,etat!$A$9:$N$1004,2,FALSE)</f>
        <v>#N/A</v>
      </c>
      <c r="Q412" s="797" t="e">
        <f>VLOOKUP(N412,etat!$A$9:$N$963,7,FALSE)</f>
        <v>#N/A</v>
      </c>
      <c r="R412" s="954" t="e">
        <f>VLOOKUP(N412,etat!$A$9:$N$1003,9,FALSE)</f>
        <v>#N/A</v>
      </c>
      <c r="S412" s="866" t="e">
        <f>VLOOKUP(N412,etat!$A$9:$P$905,16,FALSE)</f>
        <v>#N/A</v>
      </c>
      <c r="T412" s="755"/>
      <c r="U412" s="791"/>
      <c r="V412" s="784"/>
      <c r="W412" s="784"/>
      <c r="X412" s="784"/>
      <c r="Y412" s="975"/>
      <c r="Z412" s="932" t="str">
        <f>VLOOKUP(L412,[2]اس!$S$3:$X$31,3,FALSE)</f>
        <v>.</v>
      </c>
      <c r="AA412" s="967"/>
      <c r="AB412" s="1005"/>
      <c r="AC412" s="1005"/>
      <c r="AD412" s="1005"/>
      <c r="AE412" s="1005"/>
      <c r="AF412" s="1005"/>
      <c r="AG412" s="1004"/>
      <c r="AH412" s="1004"/>
      <c r="AI412" s="1004"/>
      <c r="AJ412" s="1004"/>
      <c r="AK412" s="1004"/>
      <c r="AL412" s="1004"/>
      <c r="AM412" s="1004"/>
      <c r="AN412" s="1004"/>
      <c r="AO412" s="1004"/>
      <c r="AP412" s="1004"/>
      <c r="AQ412" s="1004"/>
      <c r="AR412" s="1004"/>
      <c r="AS412" s="1004"/>
      <c r="AT412" s="1004"/>
      <c r="AU412" s="1004"/>
      <c r="AV412" s="1004"/>
      <c r="AW412" s="1004"/>
    </row>
    <row r="413" spans="1:49" ht="15.6" customHeight="1">
      <c r="A413" s="1004"/>
      <c r="B413" s="1004"/>
      <c r="C413" s="1004"/>
      <c r="I413" s="1004"/>
      <c r="J413" s="1004"/>
      <c r="K413" s="1004"/>
      <c r="L413" s="777">
        <v>5</v>
      </c>
      <c r="M413" s="778"/>
      <c r="N413" s="976"/>
      <c r="O413" s="1020">
        <v>356</v>
      </c>
      <c r="P413" s="847" t="e">
        <f>VLOOKUP(N413,etat!$A$9:$N$1004,2,FALSE)</f>
        <v>#N/A</v>
      </c>
      <c r="Q413" s="797" t="e">
        <f>VLOOKUP(N413,etat!$A$9:$N$963,7,FALSE)</f>
        <v>#N/A</v>
      </c>
      <c r="R413" s="954" t="e">
        <f>VLOOKUP(N413,etat!$A$9:$N$1003,9,FALSE)</f>
        <v>#N/A</v>
      </c>
      <c r="S413" s="866" t="e">
        <f>VLOOKUP(N413,etat!$A$9:$P$905,16,FALSE)</f>
        <v>#N/A</v>
      </c>
      <c r="T413" s="755"/>
      <c r="U413" s="791"/>
      <c r="V413" s="784"/>
      <c r="W413" s="784"/>
      <c r="X413" s="784"/>
      <c r="Y413" s="975"/>
      <c r="Z413" s="1022"/>
      <c r="AA413" s="967"/>
      <c r="AB413" s="1005"/>
      <c r="AC413" s="1005"/>
      <c r="AD413" s="1005"/>
      <c r="AE413" s="1005"/>
      <c r="AF413" s="1005"/>
      <c r="AG413" s="1004"/>
      <c r="AH413" s="1004"/>
      <c r="AI413" s="1004"/>
      <c r="AJ413" s="1004"/>
      <c r="AK413" s="1004"/>
      <c r="AL413" s="1004"/>
      <c r="AM413" s="1004"/>
      <c r="AN413" s="1004"/>
      <c r="AO413" s="1004"/>
      <c r="AP413" s="1004"/>
      <c r="AQ413" s="1004"/>
      <c r="AR413" s="1004"/>
      <c r="AS413" s="1004"/>
      <c r="AT413" s="1004"/>
      <c r="AU413" s="1004"/>
      <c r="AV413" s="1004"/>
      <c r="AW413" s="1004"/>
    </row>
    <row r="414" spans="1:49" ht="15.6" customHeight="1">
      <c r="A414" s="1004"/>
      <c r="B414" s="1004"/>
      <c r="C414" s="1004"/>
      <c r="I414" s="1004"/>
      <c r="J414" s="1004"/>
      <c r="K414" s="1004"/>
      <c r="L414" s="777">
        <v>5</v>
      </c>
      <c r="M414" s="778"/>
      <c r="N414" s="976"/>
      <c r="O414" s="1020">
        <v>357</v>
      </c>
      <c r="P414" s="847" t="e">
        <f>VLOOKUP(N414,etat!$A$9:$N$1004,2,FALSE)</f>
        <v>#N/A</v>
      </c>
      <c r="Q414" s="797" t="e">
        <f>VLOOKUP(N414,etat!$A$9:$N$963,7,FALSE)</f>
        <v>#N/A</v>
      </c>
      <c r="R414" s="954" t="e">
        <f>VLOOKUP(N414,etat!$A$9:$N$1003,9,FALSE)</f>
        <v>#N/A</v>
      </c>
      <c r="S414" s="866" t="e">
        <f>VLOOKUP(N414,etat!$A$9:$P$905,16,FALSE)</f>
        <v>#N/A</v>
      </c>
      <c r="T414" s="755"/>
      <c r="U414" s="791"/>
      <c r="V414" s="784"/>
      <c r="W414" s="784"/>
      <c r="X414" s="784"/>
      <c r="Y414" s="975"/>
      <c r="Z414" s="1022"/>
      <c r="AA414" s="967"/>
      <c r="AB414" s="1005"/>
      <c r="AC414" s="1005"/>
      <c r="AD414" s="1005"/>
      <c r="AE414" s="1005"/>
      <c r="AF414" s="1005"/>
      <c r="AG414" s="1004"/>
      <c r="AH414" s="1004"/>
      <c r="AI414" s="1004"/>
      <c r="AJ414" s="1004"/>
      <c r="AK414" s="1004"/>
      <c r="AL414" s="1004"/>
      <c r="AM414" s="1004"/>
      <c r="AN414" s="1004"/>
      <c r="AO414" s="1004"/>
      <c r="AP414" s="1004"/>
      <c r="AQ414" s="1004"/>
      <c r="AR414" s="1004"/>
      <c r="AS414" s="1004"/>
      <c r="AT414" s="1004"/>
      <c r="AU414" s="1004"/>
      <c r="AV414" s="1004"/>
      <c r="AW414" s="1004"/>
    </row>
    <row r="415" spans="1:49" ht="15.6" customHeight="1">
      <c r="A415" s="1004"/>
      <c r="B415" s="1004"/>
      <c r="C415" s="1004"/>
      <c r="I415" s="1004"/>
      <c r="J415" s="1004"/>
      <c r="K415" s="1004"/>
      <c r="L415" s="777">
        <v>5</v>
      </c>
      <c r="M415" s="778"/>
      <c r="N415" s="976"/>
      <c r="O415" s="1020">
        <v>358</v>
      </c>
      <c r="P415" s="847" t="e">
        <f>VLOOKUP(N415,etat!$A$9:$N$1004,2,FALSE)</f>
        <v>#N/A</v>
      </c>
      <c r="Q415" s="797" t="e">
        <f>VLOOKUP(N415,etat!$A$9:$N$963,7,FALSE)</f>
        <v>#N/A</v>
      </c>
      <c r="R415" s="954" t="e">
        <f>VLOOKUP(N415,etat!$A$9:$N$1003,9,FALSE)</f>
        <v>#N/A</v>
      </c>
      <c r="S415" s="866" t="e">
        <f>VLOOKUP(N415,etat!$A$9:$P$905,16,FALSE)</f>
        <v>#N/A</v>
      </c>
      <c r="T415" s="755"/>
      <c r="U415" s="791"/>
      <c r="V415" s="784"/>
      <c r="W415" s="784"/>
      <c r="X415" s="784"/>
      <c r="Y415" s="956"/>
      <c r="Z415" s="1022"/>
      <c r="AA415" s="967"/>
      <c r="AB415" s="1005"/>
      <c r="AC415" s="1005"/>
      <c r="AD415" s="1005"/>
      <c r="AE415" s="1005"/>
      <c r="AF415" s="1005"/>
      <c r="AG415" s="1004"/>
      <c r="AH415" s="1004"/>
      <c r="AI415" s="1004"/>
      <c r="AJ415" s="1004"/>
      <c r="AK415" s="1004"/>
      <c r="AL415" s="1004"/>
      <c r="AM415" s="1004"/>
      <c r="AN415" s="1004"/>
      <c r="AO415" s="1004"/>
      <c r="AP415" s="1004"/>
      <c r="AQ415" s="1004"/>
      <c r="AR415" s="1004"/>
      <c r="AS415" s="1004"/>
      <c r="AT415" s="1004"/>
      <c r="AU415" s="1004"/>
      <c r="AV415" s="1004"/>
      <c r="AW415" s="1004"/>
    </row>
    <row r="416" spans="1:49" ht="15.6" customHeight="1">
      <c r="A416" s="1004"/>
      <c r="B416" s="1004"/>
      <c r="C416" s="1004"/>
      <c r="I416" s="1004"/>
      <c r="J416" s="1004"/>
      <c r="K416" s="1004"/>
      <c r="L416" s="777">
        <v>5</v>
      </c>
      <c r="M416" s="778"/>
      <c r="N416" s="976"/>
      <c r="O416" s="1020">
        <v>359</v>
      </c>
      <c r="P416" s="847" t="e">
        <f>VLOOKUP(N416,etat!$A$9:$N$1004,2,FALSE)</f>
        <v>#N/A</v>
      </c>
      <c r="Q416" s="797" t="e">
        <f>VLOOKUP(N416,etat!$A$9:$N$963,7,FALSE)</f>
        <v>#N/A</v>
      </c>
      <c r="R416" s="954" t="e">
        <f>VLOOKUP(N416,etat!$A$9:$N$1003,9,FALSE)</f>
        <v>#N/A</v>
      </c>
      <c r="S416" s="866" t="e">
        <f>VLOOKUP(N416,etat!$A$9:$P$905,16,FALSE)</f>
        <v>#N/A</v>
      </c>
      <c r="T416" s="755"/>
      <c r="U416" s="791"/>
      <c r="V416" s="784"/>
      <c r="W416" s="784"/>
      <c r="X416" s="784"/>
      <c r="Y416" s="956"/>
      <c r="Z416" s="1022"/>
      <c r="AA416" s="967"/>
      <c r="AB416" s="1005"/>
      <c r="AC416" s="1005"/>
      <c r="AD416" s="1005"/>
      <c r="AE416" s="1005"/>
      <c r="AF416" s="1005"/>
      <c r="AG416" s="1004"/>
      <c r="AH416" s="1004"/>
      <c r="AI416" s="1004"/>
      <c r="AJ416" s="1004"/>
      <c r="AK416" s="1004"/>
      <c r="AL416" s="1004"/>
      <c r="AM416" s="1004"/>
      <c r="AN416" s="1004"/>
      <c r="AO416" s="1004"/>
      <c r="AP416" s="1004"/>
      <c r="AQ416" s="1004"/>
      <c r="AR416" s="1004"/>
      <c r="AS416" s="1004"/>
      <c r="AT416" s="1004"/>
      <c r="AU416" s="1004"/>
      <c r="AV416" s="1004"/>
      <c r="AW416" s="1004"/>
    </row>
    <row r="417" spans="1:49" ht="15.6" customHeight="1">
      <c r="A417" s="1004"/>
      <c r="B417" s="1004"/>
      <c r="C417" s="1004"/>
      <c r="I417" s="1004"/>
      <c r="J417" s="1004"/>
      <c r="K417" s="1004"/>
      <c r="L417" s="777">
        <v>5</v>
      </c>
      <c r="M417" s="778"/>
      <c r="N417" s="976"/>
      <c r="O417" s="1020">
        <v>360</v>
      </c>
      <c r="P417" s="847" t="e">
        <f>VLOOKUP(N417,etat!$A$9:$N$1004,2,FALSE)</f>
        <v>#N/A</v>
      </c>
      <c r="Q417" s="797" t="e">
        <f>VLOOKUP(N417,etat!$A$9:$N$963,7,FALSE)</f>
        <v>#N/A</v>
      </c>
      <c r="R417" s="797" t="e">
        <f>VLOOKUP(N417,etat!$A$9:$N$1003,9,FALSE)</f>
        <v>#N/A</v>
      </c>
      <c r="S417" s="866" t="e">
        <f>VLOOKUP(N417,etat!$A$9:$P$905,16,FALSE)</f>
        <v>#N/A</v>
      </c>
      <c r="T417" s="755"/>
      <c r="U417" s="791"/>
      <c r="V417" s="784"/>
      <c r="W417" s="784"/>
      <c r="X417" s="784"/>
      <c r="Y417" s="975"/>
      <c r="Z417" s="1022"/>
      <c r="AA417" s="967"/>
      <c r="AB417" s="1005"/>
      <c r="AC417" s="1005"/>
      <c r="AD417" s="1005"/>
      <c r="AE417" s="1005"/>
      <c r="AF417" s="1005"/>
      <c r="AG417" s="1004"/>
      <c r="AH417" s="1004"/>
      <c r="AI417" s="1004"/>
      <c r="AJ417" s="1004"/>
      <c r="AK417" s="1004"/>
      <c r="AL417" s="1004"/>
      <c r="AM417" s="1004"/>
      <c r="AN417" s="1004"/>
      <c r="AO417" s="1004"/>
      <c r="AP417" s="1004"/>
      <c r="AQ417" s="1004"/>
      <c r="AR417" s="1004"/>
      <c r="AS417" s="1004"/>
      <c r="AT417" s="1004"/>
      <c r="AU417" s="1004"/>
      <c r="AV417" s="1004"/>
      <c r="AW417" s="1004"/>
    </row>
    <row r="418" spans="1:49" ht="15.6" customHeight="1">
      <c r="A418" s="1004"/>
      <c r="B418" s="1004"/>
      <c r="C418" s="1004"/>
      <c r="I418" s="1004"/>
      <c r="J418" s="1004"/>
      <c r="K418" s="1004"/>
      <c r="L418" s="777">
        <v>5</v>
      </c>
      <c r="M418" s="778"/>
      <c r="N418" s="976"/>
      <c r="O418" s="1020">
        <v>361</v>
      </c>
      <c r="P418" s="847" t="e">
        <f>VLOOKUP(N418,etat!$A$9:$N$1004,2,FALSE)</f>
        <v>#N/A</v>
      </c>
      <c r="Q418" s="797" t="e">
        <f>VLOOKUP(N418,etat!$A$9:$N$963,7,FALSE)</f>
        <v>#N/A</v>
      </c>
      <c r="R418" s="797" t="e">
        <f>VLOOKUP(N418,etat!$A$9:$N$1003,9,FALSE)</f>
        <v>#N/A</v>
      </c>
      <c r="S418" s="866" t="e">
        <f>VLOOKUP(N418,etat!$A$9:$P$905,16,FALSE)</f>
        <v>#N/A</v>
      </c>
      <c r="T418" s="755"/>
      <c r="U418" s="791"/>
      <c r="V418" s="784"/>
      <c r="W418" s="755"/>
      <c r="X418" s="784"/>
      <c r="Y418" s="975"/>
      <c r="Z418" s="1022"/>
      <c r="AA418" s="967"/>
      <c r="AB418" s="1005"/>
      <c r="AC418" s="1005"/>
      <c r="AD418" s="1005"/>
      <c r="AE418" s="1005"/>
      <c r="AF418" s="1005"/>
      <c r="AG418" s="1004"/>
      <c r="AH418" s="1004"/>
      <c r="AI418" s="1004"/>
      <c r="AJ418" s="1004"/>
      <c r="AK418" s="1004"/>
      <c r="AL418" s="1004"/>
      <c r="AM418" s="1004"/>
      <c r="AN418" s="1004"/>
      <c r="AO418" s="1004"/>
      <c r="AP418" s="1004"/>
      <c r="AQ418" s="1004"/>
      <c r="AR418" s="1004"/>
      <c r="AS418" s="1004"/>
      <c r="AT418" s="1004"/>
      <c r="AU418" s="1004"/>
      <c r="AV418" s="1004"/>
      <c r="AW418" s="1004"/>
    </row>
    <row r="419" spans="1:49" ht="15.6" customHeight="1">
      <c r="A419" s="1004"/>
      <c r="B419" s="1004"/>
      <c r="C419" s="1004"/>
      <c r="I419" s="1004"/>
      <c r="J419" s="1004"/>
      <c r="K419" s="1004"/>
      <c r="L419" s="777">
        <v>5</v>
      </c>
      <c r="M419" s="778"/>
      <c r="N419" s="976"/>
      <c r="O419" s="1020">
        <v>362</v>
      </c>
      <c r="P419" s="847" t="e">
        <f>VLOOKUP(N419,etat!$A$9:$N$1004,2,FALSE)</f>
        <v>#N/A</v>
      </c>
      <c r="Q419" s="797" t="e">
        <f>VLOOKUP(N419,etat!$A$9:$N$963,7,FALSE)</f>
        <v>#N/A</v>
      </c>
      <c r="R419" s="797" t="e">
        <f>VLOOKUP(N419,etat!$A$9:$N$1003,9,FALSE)</f>
        <v>#N/A</v>
      </c>
      <c r="S419" s="866" t="e">
        <f>VLOOKUP(N419,etat!$A$9:$P$905,16,FALSE)</f>
        <v>#N/A</v>
      </c>
      <c r="T419" s="755"/>
      <c r="U419" s="791"/>
      <c r="V419" s="784"/>
      <c r="W419" s="943"/>
      <c r="X419" s="944"/>
      <c r="Y419" s="975"/>
      <c r="Z419" s="1022"/>
      <c r="AA419" s="967"/>
      <c r="AB419" s="1005"/>
      <c r="AC419" s="1005"/>
      <c r="AD419" s="1005"/>
      <c r="AE419" s="1005"/>
      <c r="AF419" s="1005"/>
      <c r="AG419" s="1004"/>
      <c r="AH419" s="1004"/>
      <c r="AI419" s="1004"/>
      <c r="AJ419" s="1004"/>
      <c r="AK419" s="1004"/>
      <c r="AL419" s="1004"/>
      <c r="AM419" s="1004"/>
      <c r="AN419" s="1004"/>
      <c r="AO419" s="1004"/>
      <c r="AP419" s="1004"/>
      <c r="AQ419" s="1004"/>
      <c r="AR419" s="1004"/>
      <c r="AS419" s="1004"/>
      <c r="AT419" s="1004"/>
      <c r="AU419" s="1004"/>
      <c r="AV419" s="1004"/>
      <c r="AW419" s="1004"/>
    </row>
    <row r="420" spans="1:49" ht="15.6" customHeight="1">
      <c r="A420" s="1004"/>
      <c r="B420" s="1004"/>
      <c r="C420" s="1004"/>
      <c r="I420" s="1004"/>
      <c r="J420" s="1004"/>
      <c r="K420" s="1004"/>
      <c r="L420" s="777">
        <v>5</v>
      </c>
      <c r="M420" s="778"/>
      <c r="N420" s="976"/>
      <c r="O420" s="1020">
        <v>363</v>
      </c>
      <c r="P420" s="847" t="e">
        <f>VLOOKUP(N420,etat!$A$9:$N$1004,2,FALSE)</f>
        <v>#N/A</v>
      </c>
      <c r="Q420" s="797" t="e">
        <f>VLOOKUP(N420,etat!$A$9:$N$963,7,FALSE)</f>
        <v>#N/A</v>
      </c>
      <c r="R420" s="797" t="e">
        <f>VLOOKUP(N420,etat!$A$9:$N$1003,9,FALSE)</f>
        <v>#N/A</v>
      </c>
      <c r="S420" s="866" t="e">
        <f>VLOOKUP(N420,etat!$A$9:$P$905,16,FALSE)</f>
        <v>#N/A</v>
      </c>
      <c r="T420" s="755"/>
      <c r="U420" s="791"/>
      <c r="V420" s="784"/>
      <c r="W420" s="943"/>
      <c r="X420" s="944"/>
      <c r="Y420" s="975"/>
      <c r="Z420" s="1022"/>
      <c r="AA420" s="967"/>
      <c r="AB420" s="1005"/>
      <c r="AC420" s="1005"/>
      <c r="AD420" s="1005"/>
      <c r="AE420" s="1005"/>
      <c r="AF420" s="1005"/>
      <c r="AG420" s="1004"/>
      <c r="AH420" s="1004"/>
      <c r="AI420" s="1004"/>
      <c r="AJ420" s="1004"/>
      <c r="AK420" s="1004"/>
      <c r="AL420" s="1004"/>
      <c r="AM420" s="1004"/>
      <c r="AN420" s="1004"/>
      <c r="AO420" s="1004"/>
      <c r="AP420" s="1004"/>
      <c r="AQ420" s="1004"/>
      <c r="AR420" s="1004"/>
      <c r="AS420" s="1004"/>
      <c r="AT420" s="1004"/>
      <c r="AU420" s="1004"/>
      <c r="AV420" s="1004"/>
      <c r="AW420" s="1004"/>
    </row>
    <row r="421" spans="1:49" ht="15.6" customHeight="1">
      <c r="A421" s="1004"/>
      <c r="B421" s="1004"/>
      <c r="C421" s="1004"/>
      <c r="I421" s="1004"/>
      <c r="J421" s="1004"/>
      <c r="K421" s="1004"/>
      <c r="L421" s="777">
        <v>5</v>
      </c>
      <c r="M421" s="778"/>
      <c r="N421" s="976"/>
      <c r="O421" s="1020">
        <v>364</v>
      </c>
      <c r="P421" s="847" t="e">
        <f>VLOOKUP(N421,etat!$A$9:$N$1004,2,FALSE)</f>
        <v>#N/A</v>
      </c>
      <c r="Q421" s="797" t="e">
        <f>VLOOKUP(N421,etat!$A$9:$N$963,7,FALSE)</f>
        <v>#N/A</v>
      </c>
      <c r="R421" s="797" t="e">
        <f>VLOOKUP(N421,etat!$A$9:$N$1003,9,FALSE)</f>
        <v>#N/A</v>
      </c>
      <c r="S421" s="866" t="e">
        <f>VLOOKUP(N421,etat!$A$9:$P$905,16,FALSE)</f>
        <v>#N/A</v>
      </c>
      <c r="T421" s="755"/>
      <c r="U421" s="791"/>
      <c r="V421" s="784"/>
      <c r="W421" s="784"/>
      <c r="X421" s="784"/>
      <c r="Y421" s="975"/>
      <c r="Z421" s="1022"/>
      <c r="AA421" s="967"/>
      <c r="AB421" s="1005"/>
      <c r="AC421" s="1005"/>
      <c r="AD421" s="1005"/>
      <c r="AE421" s="1005"/>
      <c r="AF421" s="1005"/>
      <c r="AG421" s="1004"/>
      <c r="AH421" s="1004"/>
      <c r="AI421" s="1004"/>
      <c r="AJ421" s="1004"/>
      <c r="AK421" s="1004"/>
      <c r="AL421" s="1004"/>
      <c r="AM421" s="1004"/>
      <c r="AN421" s="1004"/>
      <c r="AO421" s="1004"/>
      <c r="AP421" s="1004"/>
      <c r="AQ421" s="1004"/>
      <c r="AR421" s="1004"/>
      <c r="AS421" s="1004"/>
      <c r="AT421" s="1004"/>
      <c r="AU421" s="1004"/>
      <c r="AV421" s="1004"/>
      <c r="AW421" s="1004"/>
    </row>
    <row r="422" spans="1:49" ht="15.6" customHeight="1">
      <c r="A422" s="1004"/>
      <c r="B422" s="1004"/>
      <c r="C422" s="1004"/>
      <c r="I422" s="1004"/>
      <c r="J422" s="1004"/>
      <c r="K422" s="1004"/>
      <c r="L422" s="777">
        <v>5</v>
      </c>
      <c r="M422" s="778"/>
      <c r="N422" s="976"/>
      <c r="O422" s="1020">
        <v>365</v>
      </c>
      <c r="P422" s="847" t="e">
        <f>VLOOKUP(N422,etat!$A$9:$N$1004,2,FALSE)</f>
        <v>#N/A</v>
      </c>
      <c r="Q422" s="797" t="e">
        <f>VLOOKUP(N422,etat!$A$9:$N$963,7,FALSE)</f>
        <v>#N/A</v>
      </c>
      <c r="R422" s="797" t="e">
        <f>VLOOKUP(N422,etat!$A$9:$N$1003,9,FALSE)</f>
        <v>#N/A</v>
      </c>
      <c r="S422" s="866" t="e">
        <f>VLOOKUP(N422,etat!$A$9:$P$905,16,FALSE)</f>
        <v>#N/A</v>
      </c>
      <c r="T422" s="755"/>
      <c r="U422" s="791"/>
      <c r="V422" s="784"/>
      <c r="W422" s="784"/>
      <c r="X422" s="784"/>
      <c r="Y422" s="784"/>
      <c r="Z422" s="1112"/>
      <c r="AA422" s="967"/>
      <c r="AB422" s="1005"/>
      <c r="AC422" s="1005"/>
      <c r="AD422" s="1005"/>
      <c r="AE422" s="1005"/>
      <c r="AF422" s="1005"/>
      <c r="AG422" s="1004"/>
      <c r="AH422" s="1004"/>
      <c r="AI422" s="1004"/>
      <c r="AJ422" s="1004"/>
      <c r="AK422" s="1004"/>
      <c r="AL422" s="1004"/>
      <c r="AM422" s="1004"/>
      <c r="AN422" s="1004"/>
      <c r="AO422" s="1004"/>
      <c r="AP422" s="1004"/>
      <c r="AQ422" s="1004"/>
      <c r="AR422" s="1004"/>
      <c r="AS422" s="1004"/>
      <c r="AT422" s="1004"/>
      <c r="AU422" s="1004"/>
      <c r="AV422" s="1004"/>
      <c r="AW422" s="1004"/>
    </row>
    <row r="423" spans="1:49" ht="15.6" customHeight="1">
      <c r="A423" s="1004"/>
      <c r="B423" s="1004"/>
      <c r="C423" s="1004"/>
      <c r="I423" s="1004"/>
      <c r="J423" s="1004"/>
      <c r="K423" s="1004"/>
      <c r="L423" s="777">
        <v>5</v>
      </c>
      <c r="M423" s="778"/>
      <c r="N423" s="976"/>
      <c r="O423" s="1020">
        <v>366</v>
      </c>
      <c r="P423" s="847" t="e">
        <f>VLOOKUP(N423,etat!$A$9:$N$1004,2,FALSE)</f>
        <v>#N/A</v>
      </c>
      <c r="Q423" s="797" t="e">
        <f>VLOOKUP(N423,etat!$A$9:$N$963,7,FALSE)</f>
        <v>#N/A</v>
      </c>
      <c r="R423" s="797" t="e">
        <f>VLOOKUP(N423,etat!$A$9:$N$1003,9,FALSE)</f>
        <v>#N/A</v>
      </c>
      <c r="S423" s="866" t="e">
        <f>VLOOKUP(N423,etat!$A$9:$P$905,16,FALSE)</f>
        <v>#N/A</v>
      </c>
      <c r="T423" s="755"/>
      <c r="U423" s="791"/>
      <c r="V423" s="784"/>
      <c r="W423" s="784"/>
      <c r="X423" s="784"/>
      <c r="Y423" s="975"/>
      <c r="Z423" s="1022"/>
      <c r="AA423" s="967"/>
      <c r="AB423" s="1005"/>
      <c r="AC423" s="1005"/>
      <c r="AD423" s="1005"/>
      <c r="AE423" s="1005"/>
      <c r="AF423" s="1005"/>
      <c r="AG423" s="1004"/>
      <c r="AH423" s="1004"/>
      <c r="AI423" s="1004"/>
      <c r="AJ423" s="1004"/>
      <c r="AK423" s="1004"/>
      <c r="AL423" s="1004"/>
      <c r="AM423" s="1004"/>
      <c r="AN423" s="1004"/>
      <c r="AO423" s="1004"/>
      <c r="AP423" s="1004"/>
      <c r="AQ423" s="1004"/>
      <c r="AR423" s="1004"/>
      <c r="AS423" s="1004"/>
      <c r="AT423" s="1004"/>
      <c r="AU423" s="1004"/>
      <c r="AV423" s="1004"/>
      <c r="AW423" s="1004"/>
    </row>
    <row r="424" spans="1:49" ht="15.6" customHeight="1">
      <c r="A424" s="1004"/>
      <c r="B424" s="1004"/>
      <c r="C424" s="1004"/>
      <c r="I424" s="1004"/>
      <c r="J424" s="1004"/>
      <c r="K424" s="1004"/>
      <c r="L424" s="777">
        <v>5</v>
      </c>
      <c r="M424" s="778"/>
      <c r="N424" s="976"/>
      <c r="O424" s="1020">
        <v>367</v>
      </c>
      <c r="P424" s="847" t="e">
        <f>VLOOKUP(N424,etat!$A$9:$N$1004,2,FALSE)</f>
        <v>#N/A</v>
      </c>
      <c r="Q424" s="797" t="e">
        <f>VLOOKUP(N424,etat!$A$9:$N$963,7,FALSE)</f>
        <v>#N/A</v>
      </c>
      <c r="R424" s="797" t="e">
        <f>VLOOKUP(N424,etat!$A$9:$N$1003,9,FALSE)</f>
        <v>#N/A</v>
      </c>
      <c r="S424" s="866" t="e">
        <f>VLOOKUP(N424,etat!$A$9:$P$905,16,FALSE)</f>
        <v>#N/A</v>
      </c>
      <c r="T424" s="755"/>
      <c r="U424" s="791"/>
      <c r="V424" s="784"/>
      <c r="W424" s="784"/>
      <c r="X424" s="784"/>
      <c r="Y424" s="975"/>
      <c r="Z424" s="1022"/>
      <c r="AA424" s="967"/>
      <c r="AB424" s="1005"/>
      <c r="AC424" s="1005"/>
      <c r="AD424" s="1005"/>
      <c r="AE424" s="1005"/>
      <c r="AF424" s="1005"/>
      <c r="AG424" s="1004"/>
      <c r="AH424" s="1004"/>
      <c r="AI424" s="1004"/>
      <c r="AJ424" s="1004"/>
      <c r="AK424" s="1004"/>
      <c r="AL424" s="1004"/>
      <c r="AM424" s="1004"/>
      <c r="AN424" s="1004"/>
      <c r="AO424" s="1004"/>
      <c r="AP424" s="1004"/>
      <c r="AQ424" s="1004"/>
      <c r="AR424" s="1004"/>
      <c r="AS424" s="1004"/>
      <c r="AT424" s="1004"/>
      <c r="AU424" s="1004"/>
      <c r="AV424" s="1004"/>
      <c r="AW424" s="1004"/>
    </row>
    <row r="425" spans="1:49" ht="15.6" customHeight="1">
      <c r="A425" s="1004"/>
      <c r="B425" s="1004"/>
      <c r="C425" s="1004"/>
      <c r="I425" s="1004"/>
      <c r="J425" s="1004"/>
      <c r="K425" s="1004"/>
      <c r="L425" s="777">
        <v>5</v>
      </c>
      <c r="M425" s="778"/>
      <c r="N425" s="976"/>
      <c r="O425" s="1020">
        <v>368</v>
      </c>
      <c r="P425" s="847" t="e">
        <f>VLOOKUP(N425,etat!$A$9:$N$1004,2,FALSE)</f>
        <v>#N/A</v>
      </c>
      <c r="Q425" s="797" t="e">
        <f>VLOOKUP(N425,etat!$A$9:$N$963,7,FALSE)</f>
        <v>#N/A</v>
      </c>
      <c r="R425" s="797" t="e">
        <f>VLOOKUP(N425,etat!$A$9:$N$1003,9,FALSE)</f>
        <v>#N/A</v>
      </c>
      <c r="S425" s="866" t="e">
        <f>VLOOKUP(N425,etat!$A$9:$P$905,16,FALSE)</f>
        <v>#N/A</v>
      </c>
      <c r="T425" s="755"/>
      <c r="U425" s="791"/>
      <c r="V425" s="784"/>
      <c r="W425" s="784"/>
      <c r="X425" s="784"/>
      <c r="Y425" s="784"/>
      <c r="Z425" s="1022"/>
      <c r="AA425" s="967"/>
      <c r="AB425" s="1005"/>
      <c r="AC425" s="1005"/>
      <c r="AD425" s="1005"/>
      <c r="AE425" s="1005"/>
      <c r="AF425" s="1005"/>
      <c r="AG425" s="1004"/>
      <c r="AH425" s="1004"/>
      <c r="AI425" s="1004"/>
      <c r="AJ425" s="1004"/>
      <c r="AK425" s="1004"/>
      <c r="AL425" s="1004"/>
      <c r="AM425" s="1004"/>
      <c r="AN425" s="1004"/>
      <c r="AO425" s="1004"/>
      <c r="AP425" s="1004"/>
      <c r="AQ425" s="1004"/>
      <c r="AR425" s="1004"/>
      <c r="AS425" s="1004"/>
      <c r="AT425" s="1004"/>
      <c r="AU425" s="1004"/>
      <c r="AV425" s="1004"/>
      <c r="AW425" s="1004"/>
    </row>
    <row r="426" spans="1:49" ht="15.6" customHeight="1">
      <c r="A426" s="1004"/>
      <c r="B426" s="1004"/>
      <c r="C426" s="1004"/>
      <c r="I426" s="1004"/>
      <c r="J426" s="1004"/>
      <c r="K426" s="1004"/>
      <c r="L426" s="777">
        <v>5</v>
      </c>
      <c r="M426" s="778"/>
      <c r="N426" s="976"/>
      <c r="O426" s="1020">
        <v>369</v>
      </c>
      <c r="P426" s="847" t="e">
        <f>VLOOKUP(N426,etat!$A$9:$N$1004,2,FALSE)</f>
        <v>#N/A</v>
      </c>
      <c r="Q426" s="797" t="e">
        <f>VLOOKUP(N426,etat!$A$9:$N$963,7,FALSE)</f>
        <v>#N/A</v>
      </c>
      <c r="R426" s="797" t="e">
        <f>VLOOKUP(N426,etat!$A$9:$N$1003,9,FALSE)</f>
        <v>#N/A</v>
      </c>
      <c r="S426" s="866" t="e">
        <f>VLOOKUP(N426,etat!$A$9:$P$905,16,FALSE)</f>
        <v>#N/A</v>
      </c>
      <c r="T426" s="755"/>
      <c r="U426" s="791"/>
      <c r="V426" s="784"/>
      <c r="W426" s="784"/>
      <c r="X426" s="784"/>
      <c r="Y426" s="784"/>
      <c r="Z426" s="1022"/>
      <c r="AA426" s="967"/>
      <c r="AB426" s="1005"/>
      <c r="AC426" s="1005"/>
      <c r="AD426" s="1005"/>
      <c r="AE426" s="1005"/>
      <c r="AF426" s="1005"/>
      <c r="AG426" s="1004"/>
      <c r="AH426" s="1004"/>
      <c r="AI426" s="1004"/>
      <c r="AJ426" s="1004"/>
      <c r="AK426" s="1004"/>
      <c r="AL426" s="1004"/>
      <c r="AM426" s="1004"/>
      <c r="AN426" s="1004"/>
      <c r="AO426" s="1004"/>
      <c r="AP426" s="1004"/>
      <c r="AQ426" s="1004"/>
      <c r="AR426" s="1004"/>
      <c r="AS426" s="1004"/>
      <c r="AT426" s="1004"/>
      <c r="AU426" s="1004"/>
      <c r="AV426" s="1004"/>
      <c r="AW426" s="1004"/>
    </row>
    <row r="427" spans="1:49" ht="15.6" customHeight="1">
      <c r="A427" s="1004"/>
      <c r="B427" s="1004"/>
      <c r="C427" s="1004"/>
      <c r="I427" s="1004"/>
      <c r="J427" s="1004"/>
      <c r="K427" s="1004"/>
      <c r="L427" s="777">
        <v>5</v>
      </c>
      <c r="M427" s="906"/>
      <c r="N427" s="976"/>
      <c r="O427" s="1020">
        <v>370</v>
      </c>
      <c r="P427" s="847" t="e">
        <f>VLOOKUP(N427,etat!$A$9:$N$1004,2,FALSE)</f>
        <v>#N/A</v>
      </c>
      <c r="Q427" s="797" t="e">
        <f>VLOOKUP(N427,etat!$A$9:$N$963,7,FALSE)</f>
        <v>#N/A</v>
      </c>
      <c r="R427" s="797" t="e">
        <f>VLOOKUP(N427,etat!$A$9:$N$1003,9,FALSE)</f>
        <v>#N/A</v>
      </c>
      <c r="S427" s="866" t="e">
        <f>VLOOKUP(N427,etat!$A$9:$P$905,16,FALSE)</f>
        <v>#N/A</v>
      </c>
      <c r="T427" s="755"/>
      <c r="U427" s="791"/>
      <c r="V427" s="784"/>
      <c r="W427" s="943"/>
      <c r="X427" s="944"/>
      <c r="Y427" s="975"/>
      <c r="Z427" s="1022"/>
      <c r="AA427" s="967"/>
      <c r="AB427" s="1005"/>
      <c r="AC427" s="1005"/>
      <c r="AD427" s="1005"/>
      <c r="AE427" s="1005"/>
      <c r="AF427" s="1005"/>
      <c r="AG427" s="1004"/>
      <c r="AH427" s="1004"/>
      <c r="AI427" s="1004"/>
      <c r="AJ427" s="1004"/>
      <c r="AK427" s="1004"/>
      <c r="AL427" s="1004"/>
      <c r="AM427" s="1004"/>
      <c r="AN427" s="1004"/>
      <c r="AO427" s="1004"/>
      <c r="AP427" s="1004"/>
      <c r="AQ427" s="1004"/>
      <c r="AR427" s="1004"/>
      <c r="AS427" s="1004"/>
      <c r="AT427" s="1004"/>
      <c r="AU427" s="1004"/>
      <c r="AV427" s="1004"/>
      <c r="AW427" s="1004"/>
    </row>
    <row r="428" spans="1:49" ht="15.6" customHeight="1">
      <c r="A428" s="1004"/>
      <c r="B428" s="1004"/>
      <c r="C428" s="1004"/>
      <c r="I428" s="1004"/>
      <c r="J428" s="1004"/>
      <c r="K428" s="1004"/>
      <c r="L428" s="777">
        <v>5</v>
      </c>
      <c r="M428" s="778"/>
      <c r="N428" s="976"/>
      <c r="O428" s="1020">
        <v>371</v>
      </c>
      <c r="P428" s="847" t="e">
        <f>VLOOKUP(N428,etat!$A$9:$N$1004,2,FALSE)</f>
        <v>#N/A</v>
      </c>
      <c r="Q428" s="797" t="e">
        <f>VLOOKUP(N428,etat!$A$9:$N$963,7,FALSE)</f>
        <v>#N/A</v>
      </c>
      <c r="R428" s="797" t="e">
        <f>VLOOKUP(N428,etat!$A$9:$N$1003,9,FALSE)</f>
        <v>#N/A</v>
      </c>
      <c r="S428" s="866" t="e">
        <f>VLOOKUP(N428,etat!$A$9:$P$905,16,FALSE)</f>
        <v>#N/A</v>
      </c>
      <c r="T428" s="755"/>
      <c r="U428" s="791"/>
      <c r="V428" s="784"/>
      <c r="W428" s="943"/>
      <c r="X428" s="944"/>
      <c r="Y428" s="975"/>
      <c r="Z428" s="1022"/>
      <c r="AA428" s="967"/>
      <c r="AB428" s="1005"/>
      <c r="AC428" s="1005"/>
      <c r="AD428" s="1005"/>
      <c r="AE428" s="1005"/>
      <c r="AF428" s="1005"/>
      <c r="AG428" s="1004"/>
      <c r="AH428" s="1004"/>
      <c r="AI428" s="1004"/>
      <c r="AJ428" s="1004"/>
      <c r="AK428" s="1004"/>
      <c r="AL428" s="1004"/>
      <c r="AM428" s="1004"/>
      <c r="AN428" s="1004"/>
      <c r="AO428" s="1004"/>
      <c r="AP428" s="1004"/>
      <c r="AQ428" s="1004"/>
      <c r="AR428" s="1004"/>
      <c r="AS428" s="1004"/>
      <c r="AT428" s="1004"/>
      <c r="AU428" s="1004"/>
      <c r="AV428" s="1004"/>
      <c r="AW428" s="1004"/>
    </row>
    <row r="429" spans="1:49" ht="15.6" customHeight="1">
      <c r="A429" s="1004"/>
      <c r="B429" s="1004"/>
      <c r="C429" s="1004"/>
      <c r="I429" s="1004"/>
      <c r="J429" s="1004"/>
      <c r="K429" s="1004"/>
      <c r="L429" s="777">
        <v>5</v>
      </c>
      <c r="M429" s="778"/>
      <c r="N429" s="976"/>
      <c r="O429" s="1020">
        <v>372</v>
      </c>
      <c r="P429" s="847" t="e">
        <f>VLOOKUP(N429,etat!$A$9:$N$1004,2,FALSE)</f>
        <v>#N/A</v>
      </c>
      <c r="Q429" s="797" t="e">
        <f>VLOOKUP(N429,etat!$A$9:$N$963,7,FALSE)</f>
        <v>#N/A</v>
      </c>
      <c r="R429" s="797" t="e">
        <f>VLOOKUP(N429,etat!$A$9:$N$1003,9,FALSE)</f>
        <v>#N/A</v>
      </c>
      <c r="S429" s="866" t="e">
        <f>VLOOKUP(N429,etat!$A$9:$P$905,16,FALSE)</f>
        <v>#N/A</v>
      </c>
      <c r="T429" s="755"/>
      <c r="U429" s="791"/>
      <c r="V429" s="784"/>
      <c r="W429" s="784"/>
      <c r="X429" s="784"/>
      <c r="Y429" s="975"/>
      <c r="Z429" s="1022"/>
      <c r="AA429" s="967"/>
      <c r="AB429" s="1005"/>
      <c r="AC429" s="1005"/>
      <c r="AD429" s="1005"/>
      <c r="AE429" s="1005"/>
      <c r="AF429" s="1005"/>
      <c r="AG429" s="1004"/>
      <c r="AH429" s="1004"/>
      <c r="AI429" s="1004"/>
      <c r="AJ429" s="1004"/>
      <c r="AK429" s="1004"/>
      <c r="AL429" s="1004"/>
      <c r="AM429" s="1004"/>
      <c r="AN429" s="1004"/>
      <c r="AO429" s="1004"/>
      <c r="AP429" s="1004"/>
      <c r="AQ429" s="1004"/>
      <c r="AR429" s="1004"/>
      <c r="AS429" s="1004"/>
      <c r="AT429" s="1004"/>
      <c r="AU429" s="1004"/>
      <c r="AV429" s="1004"/>
      <c r="AW429" s="1004"/>
    </row>
    <row r="430" spans="1:49" ht="15.6" customHeight="1">
      <c r="A430" s="1004"/>
      <c r="B430" s="1004"/>
      <c r="C430" s="1004"/>
      <c r="I430" s="1004"/>
      <c r="J430" s="1004"/>
      <c r="K430" s="1004"/>
      <c r="L430" s="777">
        <v>5</v>
      </c>
      <c r="M430" s="778"/>
      <c r="N430" s="976"/>
      <c r="O430" s="1020">
        <v>373</v>
      </c>
      <c r="P430" s="847" t="e">
        <f>VLOOKUP(N430,etat!$A$9:$N$1004,2,FALSE)</f>
        <v>#N/A</v>
      </c>
      <c r="Q430" s="797" t="e">
        <f>VLOOKUP(N430,etat!$A$9:$N$963,7,FALSE)</f>
        <v>#N/A</v>
      </c>
      <c r="R430" s="797" t="e">
        <f>VLOOKUP(N430,etat!$A$9:$N$1003,9,FALSE)</f>
        <v>#N/A</v>
      </c>
      <c r="S430" s="866" t="e">
        <f>VLOOKUP(N430,etat!$A$9:$P$905,16,FALSE)</f>
        <v>#N/A</v>
      </c>
      <c r="T430" s="755"/>
      <c r="U430" s="791"/>
      <c r="V430" s="784"/>
      <c r="W430" s="784"/>
      <c r="X430" s="784"/>
      <c r="Y430" s="975"/>
      <c r="Z430" s="1022"/>
      <c r="AA430" s="967"/>
      <c r="AB430" s="1005"/>
      <c r="AC430" s="1005"/>
      <c r="AD430" s="1005"/>
      <c r="AE430" s="1005"/>
      <c r="AF430" s="1005"/>
      <c r="AG430" s="1004"/>
      <c r="AH430" s="1004"/>
      <c r="AI430" s="1004"/>
      <c r="AJ430" s="1004"/>
      <c r="AK430" s="1004"/>
      <c r="AL430" s="1004"/>
      <c r="AM430" s="1004"/>
      <c r="AN430" s="1004"/>
      <c r="AO430" s="1004"/>
      <c r="AP430" s="1004"/>
      <c r="AQ430" s="1004"/>
      <c r="AR430" s="1004"/>
      <c r="AS430" s="1004"/>
      <c r="AT430" s="1004"/>
      <c r="AU430" s="1004"/>
      <c r="AV430" s="1004"/>
      <c r="AW430" s="1004"/>
    </row>
    <row r="431" spans="1:49" ht="15.6" customHeight="1">
      <c r="A431" s="1004"/>
      <c r="B431" s="1004"/>
      <c r="C431" s="1004"/>
      <c r="I431" s="1004"/>
      <c r="J431" s="1004"/>
      <c r="K431" s="1004"/>
      <c r="L431" s="777">
        <v>5</v>
      </c>
      <c r="M431" s="906"/>
      <c r="N431" s="976"/>
      <c r="O431" s="1020">
        <v>374</v>
      </c>
      <c r="P431" s="847" t="e">
        <f>VLOOKUP(N431,etat!$A$9:$N$1004,2,FALSE)</f>
        <v>#N/A</v>
      </c>
      <c r="Q431" s="797" t="e">
        <f>VLOOKUP(N431,etat!$A$9:$N$963,7,FALSE)</f>
        <v>#N/A</v>
      </c>
      <c r="R431" s="797" t="e">
        <f>VLOOKUP(N431,etat!$A$9:$N$1003,9,FALSE)</f>
        <v>#N/A</v>
      </c>
      <c r="S431" s="866" t="e">
        <f>VLOOKUP(N431,etat!$A$9:$P$905,16,FALSE)</f>
        <v>#N/A</v>
      </c>
      <c r="T431" s="755"/>
      <c r="U431" s="791"/>
      <c r="V431" s="784"/>
      <c r="W431" s="784"/>
      <c r="X431" s="784"/>
      <c r="Y431" s="975"/>
      <c r="Z431" s="1022"/>
      <c r="AA431" s="967"/>
      <c r="AB431" s="1005"/>
      <c r="AC431" s="1005"/>
      <c r="AD431" s="1005"/>
      <c r="AE431" s="1005"/>
      <c r="AF431" s="1005"/>
      <c r="AG431" s="1004"/>
      <c r="AH431" s="1004"/>
      <c r="AI431" s="1004"/>
      <c r="AJ431" s="1004"/>
      <c r="AK431" s="1004"/>
      <c r="AL431" s="1004"/>
      <c r="AM431" s="1004"/>
      <c r="AN431" s="1004"/>
      <c r="AO431" s="1004"/>
      <c r="AP431" s="1004"/>
      <c r="AQ431" s="1004"/>
      <c r="AR431" s="1004"/>
      <c r="AS431" s="1004"/>
      <c r="AT431" s="1004"/>
      <c r="AU431" s="1004"/>
      <c r="AV431" s="1004"/>
      <c r="AW431" s="1004"/>
    </row>
    <row r="432" spans="1:49" ht="15.6" customHeight="1">
      <c r="A432" s="1004"/>
      <c r="B432" s="1004"/>
      <c r="C432" s="1004"/>
      <c r="I432" s="1004"/>
      <c r="J432" s="1004"/>
      <c r="K432" s="1004"/>
      <c r="L432" s="777">
        <v>5</v>
      </c>
      <c r="M432" s="906"/>
      <c r="N432" s="976"/>
      <c r="O432" s="1020">
        <v>375</v>
      </c>
      <c r="P432" s="847" t="e">
        <f>VLOOKUP(N432,etat!$A$9:$N$1004,2,FALSE)</f>
        <v>#N/A</v>
      </c>
      <c r="Q432" s="797" t="e">
        <f>VLOOKUP(N432,etat!$A$9:$N$963,7,FALSE)</f>
        <v>#N/A</v>
      </c>
      <c r="R432" s="797" t="e">
        <f>VLOOKUP(N432,etat!$A$9:$N$1003,9,FALSE)</f>
        <v>#N/A</v>
      </c>
      <c r="S432" s="866" t="e">
        <f>VLOOKUP(N432,etat!$A$9:$P$905,16,FALSE)</f>
        <v>#N/A</v>
      </c>
      <c r="T432" s="755"/>
      <c r="U432" s="791"/>
      <c r="V432" s="784"/>
      <c r="W432" s="784"/>
      <c r="X432" s="784"/>
      <c r="Y432" s="975"/>
      <c r="Z432" s="1022"/>
      <c r="AA432" s="967"/>
      <c r="AB432" s="1005"/>
      <c r="AC432" s="1005"/>
      <c r="AD432" s="1005"/>
      <c r="AE432" s="1005"/>
      <c r="AF432" s="1005"/>
      <c r="AG432" s="1004"/>
      <c r="AH432" s="1004"/>
      <c r="AI432" s="1004"/>
      <c r="AJ432" s="1004"/>
      <c r="AK432" s="1004"/>
      <c r="AL432" s="1004"/>
      <c r="AM432" s="1004"/>
      <c r="AN432" s="1004"/>
      <c r="AO432" s="1004"/>
      <c r="AP432" s="1004"/>
      <c r="AQ432" s="1004"/>
      <c r="AR432" s="1004"/>
      <c r="AS432" s="1004"/>
      <c r="AT432" s="1004"/>
      <c r="AU432" s="1004"/>
      <c r="AV432" s="1004"/>
      <c r="AW432" s="1004"/>
    </row>
    <row r="433" spans="1:49" ht="15.6" customHeight="1">
      <c r="A433" s="1004"/>
      <c r="B433" s="1004"/>
      <c r="C433" s="1004"/>
      <c r="I433" s="1004"/>
      <c r="J433" s="1004"/>
      <c r="K433" s="1004"/>
      <c r="L433" s="777">
        <v>5</v>
      </c>
      <c r="M433" s="906"/>
      <c r="N433" s="976"/>
      <c r="O433" s="1020">
        <v>376</v>
      </c>
      <c r="P433" s="847" t="e">
        <f>VLOOKUP(N433,etat!$A$9:$N$1004,2,FALSE)</f>
        <v>#N/A</v>
      </c>
      <c r="Q433" s="797" t="e">
        <f>VLOOKUP(N433,etat!$A$9:$N$963,7,FALSE)</f>
        <v>#N/A</v>
      </c>
      <c r="R433" s="797" t="e">
        <f>VLOOKUP(N433,etat!$A$9:$N$1003,9,FALSE)</f>
        <v>#N/A</v>
      </c>
      <c r="S433" s="866" t="e">
        <f>VLOOKUP(N433,etat!$A$9:$P$905,16,FALSE)</f>
        <v>#N/A</v>
      </c>
      <c r="T433" s="755"/>
      <c r="U433" s="791"/>
      <c r="V433" s="784"/>
      <c r="W433" s="784"/>
      <c r="X433" s="784"/>
      <c r="Y433" s="784"/>
      <c r="Z433" s="784"/>
      <c r="AA433" s="967"/>
      <c r="AB433" s="1005"/>
      <c r="AC433" s="1005"/>
      <c r="AD433" s="1005"/>
      <c r="AE433" s="1005"/>
      <c r="AF433" s="1005"/>
      <c r="AG433" s="1004"/>
      <c r="AH433" s="1004"/>
      <c r="AI433" s="1004"/>
      <c r="AJ433" s="1004"/>
      <c r="AK433" s="1004"/>
      <c r="AL433" s="1004"/>
      <c r="AM433" s="1004"/>
      <c r="AN433" s="1004"/>
      <c r="AO433" s="1004"/>
      <c r="AP433" s="1004"/>
      <c r="AQ433" s="1004"/>
      <c r="AR433" s="1004"/>
      <c r="AS433" s="1004"/>
      <c r="AT433" s="1004"/>
      <c r="AU433" s="1004"/>
      <c r="AV433" s="1004"/>
      <c r="AW433" s="1004"/>
    </row>
    <row r="434" spans="1:49" ht="15.6" customHeight="1">
      <c r="A434" s="1004"/>
      <c r="B434" s="1004"/>
      <c r="C434" s="1004"/>
      <c r="I434" s="1004"/>
      <c r="J434" s="1004"/>
      <c r="K434" s="1004"/>
      <c r="L434" s="777">
        <v>5</v>
      </c>
      <c r="M434" s="906"/>
      <c r="N434" s="976"/>
      <c r="O434" s="1020">
        <v>377</v>
      </c>
      <c r="P434" s="847" t="e">
        <f>VLOOKUP(N434,etat!$A$9:$N$1004,2,FALSE)</f>
        <v>#N/A</v>
      </c>
      <c r="Q434" s="797" t="e">
        <f>VLOOKUP(N434,etat!$A$9:$N$963,7,FALSE)</f>
        <v>#N/A</v>
      </c>
      <c r="R434" s="797" t="e">
        <f>VLOOKUP(N434,etat!$A$9:$N$1003,9,FALSE)</f>
        <v>#N/A</v>
      </c>
      <c r="S434" s="866" t="e">
        <f>VLOOKUP(N434,etat!$A$9:$P$905,16,FALSE)</f>
        <v>#N/A</v>
      </c>
      <c r="T434" s="755"/>
      <c r="U434" s="791"/>
      <c r="V434" s="784"/>
      <c r="W434" s="784"/>
      <c r="X434" s="784"/>
      <c r="Y434" s="975"/>
      <c r="Z434" s="1022"/>
      <c r="AA434" s="967"/>
      <c r="AB434" s="1005"/>
      <c r="AC434" s="1005"/>
      <c r="AD434" s="1005"/>
      <c r="AE434" s="1005"/>
      <c r="AF434" s="1005"/>
      <c r="AG434" s="1004"/>
      <c r="AH434" s="1004"/>
      <c r="AI434" s="1004"/>
      <c r="AJ434" s="1004"/>
      <c r="AK434" s="1004"/>
      <c r="AL434" s="1004"/>
      <c r="AM434" s="1004"/>
      <c r="AN434" s="1004"/>
      <c r="AO434" s="1004"/>
      <c r="AP434" s="1004"/>
      <c r="AQ434" s="1004"/>
      <c r="AR434" s="1004"/>
      <c r="AS434" s="1004"/>
      <c r="AT434" s="1004"/>
      <c r="AU434" s="1004"/>
      <c r="AV434" s="1004"/>
      <c r="AW434" s="1004"/>
    </row>
    <row r="435" spans="1:49" ht="15.6" customHeight="1">
      <c r="A435" s="1004"/>
      <c r="B435" s="1004"/>
      <c r="C435" s="1004"/>
      <c r="I435" s="1004"/>
      <c r="J435" s="1004"/>
      <c r="K435" s="1004"/>
      <c r="L435" s="777">
        <v>5</v>
      </c>
      <c r="M435" s="906"/>
      <c r="N435" s="976"/>
      <c r="O435" s="1020">
        <v>378</v>
      </c>
      <c r="P435" s="847" t="e">
        <f>VLOOKUP(N435,etat!$A$9:$N$1004,2,FALSE)</f>
        <v>#N/A</v>
      </c>
      <c r="Q435" s="797" t="e">
        <f>VLOOKUP(N435,etat!$A$9:$N$963,7,FALSE)</f>
        <v>#N/A</v>
      </c>
      <c r="R435" s="797" t="e">
        <f>VLOOKUP(N435,etat!$A$9:$N$1003,9,FALSE)</f>
        <v>#N/A</v>
      </c>
      <c r="S435" s="866" t="e">
        <f>VLOOKUP(N435,etat!$A$9:$P$905,16,FALSE)</f>
        <v>#N/A</v>
      </c>
      <c r="T435" s="755"/>
      <c r="U435" s="791"/>
      <c r="V435" s="784"/>
      <c r="W435" s="784"/>
      <c r="X435" s="784"/>
      <c r="Y435" s="975"/>
      <c r="Z435" s="784"/>
      <c r="AA435" s="967"/>
      <c r="AB435" s="1005"/>
      <c r="AC435" s="1005"/>
      <c r="AD435" s="1005"/>
      <c r="AE435" s="1005"/>
      <c r="AF435" s="1005"/>
      <c r="AG435" s="1004"/>
      <c r="AH435" s="1004"/>
      <c r="AI435" s="1004"/>
      <c r="AJ435" s="1004"/>
      <c r="AK435" s="1004"/>
      <c r="AL435" s="1004"/>
      <c r="AM435" s="1004"/>
      <c r="AN435" s="1004"/>
      <c r="AO435" s="1004"/>
      <c r="AP435" s="1004"/>
      <c r="AQ435" s="1004"/>
      <c r="AR435" s="1004"/>
      <c r="AS435" s="1004"/>
      <c r="AT435" s="1004"/>
      <c r="AU435" s="1004"/>
      <c r="AV435" s="1004"/>
      <c r="AW435" s="1004"/>
    </row>
    <row r="436" spans="1:49" ht="15.6" customHeight="1">
      <c r="A436" s="1004"/>
      <c r="B436" s="1004"/>
      <c r="C436" s="1004"/>
      <c r="I436" s="1004"/>
      <c r="J436" s="1004"/>
      <c r="K436" s="1004"/>
      <c r="L436" s="777">
        <v>5</v>
      </c>
      <c r="M436" s="778"/>
      <c r="N436" s="976"/>
      <c r="O436" s="1020">
        <v>379</v>
      </c>
      <c r="P436" s="847" t="e">
        <f>VLOOKUP(N436,etat!$A$9:$N$1004,2,FALSE)</f>
        <v>#N/A</v>
      </c>
      <c r="Q436" s="797" t="e">
        <f>VLOOKUP(N436,etat!$A$9:$N$963,7,FALSE)</f>
        <v>#N/A</v>
      </c>
      <c r="R436" s="797" t="e">
        <f>VLOOKUP(N436,etat!$A$9:$N$1003,9,FALSE)</f>
        <v>#N/A</v>
      </c>
      <c r="S436" s="866" t="e">
        <f>VLOOKUP(N436,etat!$A$9:$P$905,16,FALSE)</f>
        <v>#N/A</v>
      </c>
      <c r="T436" s="755"/>
      <c r="U436" s="791"/>
      <c r="V436" s="784"/>
      <c r="W436" s="784"/>
      <c r="X436" s="784"/>
      <c r="Y436" s="784"/>
      <c r="Z436" s="784"/>
      <c r="AA436" s="967"/>
      <c r="AB436" s="1005"/>
      <c r="AC436" s="1005"/>
      <c r="AD436" s="1005"/>
      <c r="AE436" s="1005"/>
      <c r="AF436" s="1005"/>
      <c r="AG436" s="1004"/>
      <c r="AH436" s="1004"/>
      <c r="AI436" s="1004"/>
      <c r="AJ436" s="1004"/>
      <c r="AK436" s="1004"/>
      <c r="AL436" s="1004"/>
      <c r="AM436" s="1004"/>
      <c r="AN436" s="1004"/>
      <c r="AO436" s="1004"/>
      <c r="AP436" s="1004"/>
      <c r="AQ436" s="1004"/>
      <c r="AR436" s="1004"/>
      <c r="AS436" s="1004"/>
      <c r="AT436" s="1004"/>
      <c r="AU436" s="1004"/>
      <c r="AV436" s="1004"/>
      <c r="AW436" s="1004"/>
    </row>
    <row r="437" spans="1:49" ht="15.6" customHeight="1">
      <c r="A437" s="1004"/>
      <c r="B437" s="1004"/>
      <c r="C437" s="1004"/>
      <c r="I437" s="1004"/>
      <c r="J437" s="1004"/>
      <c r="K437" s="1004"/>
      <c r="L437" s="777">
        <v>5</v>
      </c>
      <c r="M437" s="778"/>
      <c r="N437" s="976"/>
      <c r="O437" s="1020">
        <v>380</v>
      </c>
      <c r="P437" s="847" t="e">
        <f>VLOOKUP(N437,etat!$A$9:$N$1004,2,FALSE)</f>
        <v>#N/A</v>
      </c>
      <c r="Q437" s="797" t="e">
        <f>VLOOKUP(N437,etat!$A$9:$N$963,7,FALSE)</f>
        <v>#N/A</v>
      </c>
      <c r="R437" s="797" t="e">
        <f>VLOOKUP(N437,etat!$A$9:$N$1003,9,FALSE)</f>
        <v>#N/A</v>
      </c>
      <c r="S437" s="866" t="e">
        <f>VLOOKUP(N437,etat!$A$9:$P$905,16,FALSE)</f>
        <v>#N/A</v>
      </c>
      <c r="T437" s="755"/>
      <c r="U437" s="791"/>
      <c r="V437" s="784"/>
      <c r="W437" s="784"/>
      <c r="X437" s="784"/>
      <c r="Y437" s="975"/>
      <c r="Z437" s="1022"/>
      <c r="AA437" s="967"/>
      <c r="AB437" s="1005"/>
      <c r="AC437" s="1005"/>
      <c r="AD437" s="1005"/>
      <c r="AE437" s="1005"/>
      <c r="AF437" s="1005"/>
      <c r="AG437" s="1004"/>
      <c r="AH437" s="1004"/>
      <c r="AI437" s="1004"/>
      <c r="AJ437" s="1004"/>
      <c r="AK437" s="1004"/>
      <c r="AL437" s="1004"/>
      <c r="AM437" s="1004"/>
      <c r="AN437" s="1004"/>
      <c r="AO437" s="1004"/>
      <c r="AP437" s="1004"/>
      <c r="AQ437" s="1004"/>
      <c r="AR437" s="1004"/>
      <c r="AS437" s="1004"/>
      <c r="AT437" s="1004"/>
      <c r="AU437" s="1004"/>
      <c r="AV437" s="1004"/>
      <c r="AW437" s="1004"/>
    </row>
    <row r="438" spans="1:49" ht="15.6" customHeight="1">
      <c r="A438" s="1004"/>
      <c r="B438" s="1004"/>
      <c r="C438" s="1004"/>
      <c r="I438" s="1004"/>
      <c r="J438" s="1004"/>
      <c r="K438" s="1004"/>
      <c r="L438" s="777">
        <v>5</v>
      </c>
      <c r="M438" s="778"/>
      <c r="N438" s="976"/>
      <c r="O438" s="1020">
        <v>381</v>
      </c>
      <c r="P438" s="847" t="e">
        <f>VLOOKUP(N438,etat!$A$9:$N$1004,2,FALSE)</f>
        <v>#N/A</v>
      </c>
      <c r="Q438" s="797" t="e">
        <f>VLOOKUP(N438,etat!$A$9:$N$963,7,FALSE)</f>
        <v>#N/A</v>
      </c>
      <c r="R438" s="797" t="e">
        <f>VLOOKUP(N438,etat!$A$9:$N$1003,9,FALSE)</f>
        <v>#N/A</v>
      </c>
      <c r="S438" s="866" t="e">
        <f>VLOOKUP(N438,etat!$A$9:$P$905,16,FALSE)</f>
        <v>#N/A</v>
      </c>
      <c r="T438" s="755"/>
      <c r="U438" s="791"/>
      <c r="V438" s="784"/>
      <c r="W438" s="784"/>
      <c r="X438" s="784"/>
      <c r="Y438" s="975"/>
      <c r="Z438" s="1022"/>
      <c r="AA438" s="967"/>
      <c r="AB438" s="1005"/>
      <c r="AC438" s="1005"/>
      <c r="AD438" s="1005"/>
      <c r="AE438" s="1005"/>
      <c r="AF438" s="1005"/>
      <c r="AG438" s="1004"/>
      <c r="AH438" s="1004"/>
      <c r="AI438" s="1004"/>
      <c r="AJ438" s="1004"/>
      <c r="AK438" s="1004"/>
      <c r="AL438" s="1004"/>
      <c r="AM438" s="1004"/>
      <c r="AN438" s="1004"/>
      <c r="AO438" s="1004"/>
      <c r="AP438" s="1004"/>
      <c r="AQ438" s="1004"/>
      <c r="AR438" s="1004"/>
      <c r="AS438" s="1004"/>
      <c r="AT438" s="1004"/>
      <c r="AU438" s="1004"/>
      <c r="AV438" s="1004"/>
      <c r="AW438" s="1004"/>
    </row>
    <row r="439" spans="1:49" ht="15.6" customHeight="1">
      <c r="A439" s="1004"/>
      <c r="B439" s="1004"/>
      <c r="C439" s="1004"/>
      <c r="I439" s="1004"/>
      <c r="J439" s="1004"/>
      <c r="K439" s="1004"/>
      <c r="L439" s="777">
        <v>5</v>
      </c>
      <c r="M439" s="778"/>
      <c r="N439" s="976"/>
      <c r="O439" s="1020">
        <v>382</v>
      </c>
      <c r="P439" s="847" t="e">
        <f>VLOOKUP(N439,etat!$A$9:$N$1004,2,FALSE)</f>
        <v>#N/A</v>
      </c>
      <c r="Q439" s="797" t="e">
        <f>VLOOKUP(N439,etat!$A$9:$N$963,7,FALSE)</f>
        <v>#N/A</v>
      </c>
      <c r="R439" s="797" t="e">
        <f>VLOOKUP(N439,etat!$A$9:$N$1003,9,FALSE)</f>
        <v>#N/A</v>
      </c>
      <c r="S439" s="866" t="e">
        <f>VLOOKUP(N439,etat!$A$9:$P$905,16,FALSE)</f>
        <v>#N/A</v>
      </c>
      <c r="T439" s="755"/>
      <c r="U439" s="791"/>
      <c r="V439" s="784"/>
      <c r="W439" s="784"/>
      <c r="X439" s="784"/>
      <c r="Y439" s="975"/>
      <c r="Z439" s="1022"/>
      <c r="AA439" s="967"/>
      <c r="AB439" s="1005"/>
      <c r="AC439" s="1005"/>
      <c r="AD439" s="1005"/>
      <c r="AE439" s="1005"/>
      <c r="AF439" s="1005"/>
      <c r="AG439" s="1004"/>
      <c r="AH439" s="1004"/>
      <c r="AI439" s="1004"/>
      <c r="AJ439" s="1004"/>
      <c r="AK439" s="1004"/>
      <c r="AL439" s="1004"/>
      <c r="AM439" s="1004"/>
      <c r="AN439" s="1004"/>
      <c r="AO439" s="1004"/>
      <c r="AP439" s="1004"/>
      <c r="AQ439" s="1004"/>
      <c r="AR439" s="1004"/>
      <c r="AS439" s="1004"/>
      <c r="AT439" s="1004"/>
      <c r="AU439" s="1004"/>
      <c r="AV439" s="1004"/>
      <c r="AW439" s="1004"/>
    </row>
    <row r="440" spans="1:49" ht="15.6" customHeight="1">
      <c r="A440" s="1004"/>
      <c r="B440" s="1004"/>
      <c r="C440" s="1004"/>
      <c r="I440" s="1004"/>
      <c r="J440" s="1004"/>
      <c r="K440" s="1004"/>
      <c r="L440" s="777">
        <v>5</v>
      </c>
      <c r="M440" s="778"/>
      <c r="N440" s="976"/>
      <c r="O440" s="1020">
        <v>383</v>
      </c>
      <c r="P440" s="847" t="e">
        <f>VLOOKUP(N440,etat!$A$9:$N$1004,2,FALSE)</f>
        <v>#N/A</v>
      </c>
      <c r="Q440" s="797" t="e">
        <f>VLOOKUP(N440,etat!$A$9:$N$963,7,FALSE)</f>
        <v>#N/A</v>
      </c>
      <c r="R440" s="797" t="e">
        <f>VLOOKUP(N440,etat!$A$9:$N$1003,9,FALSE)</f>
        <v>#N/A</v>
      </c>
      <c r="S440" s="866" t="e">
        <f>VLOOKUP(N440,etat!$A$9:$P$905,16,FALSE)</f>
        <v>#N/A</v>
      </c>
      <c r="T440" s="755"/>
      <c r="U440" s="791"/>
      <c r="V440" s="784"/>
      <c r="W440" s="784"/>
      <c r="X440" s="848"/>
      <c r="Y440" s="975"/>
      <c r="Z440" s="1022"/>
      <c r="AA440" s="967"/>
      <c r="AB440" s="1005"/>
      <c r="AC440" s="1005"/>
      <c r="AD440" s="1005"/>
      <c r="AE440" s="1005"/>
      <c r="AF440" s="1005"/>
      <c r="AG440" s="1004"/>
      <c r="AH440" s="1004"/>
      <c r="AI440" s="1004"/>
      <c r="AJ440" s="1004"/>
      <c r="AK440" s="1004"/>
      <c r="AL440" s="1004"/>
      <c r="AM440" s="1004"/>
      <c r="AN440" s="1004"/>
      <c r="AO440" s="1004"/>
      <c r="AP440" s="1004"/>
      <c r="AQ440" s="1004"/>
      <c r="AR440" s="1004"/>
      <c r="AS440" s="1004"/>
      <c r="AT440" s="1004"/>
      <c r="AU440" s="1004"/>
      <c r="AV440" s="1004"/>
      <c r="AW440" s="1004"/>
    </row>
    <row r="441" spans="1:49" ht="15.6" customHeight="1">
      <c r="A441" s="1004"/>
      <c r="B441" s="1004"/>
      <c r="C441" s="1004"/>
      <c r="I441" s="1004"/>
      <c r="J441" s="1004"/>
      <c r="K441" s="1004"/>
      <c r="L441" s="777">
        <v>5</v>
      </c>
      <c r="M441" s="778"/>
      <c r="N441" s="976"/>
      <c r="O441" s="1020">
        <v>384</v>
      </c>
      <c r="P441" s="847" t="e">
        <f>VLOOKUP(N441,etat!$A$9:$N$1004,2,FALSE)</f>
        <v>#N/A</v>
      </c>
      <c r="Q441" s="797" t="e">
        <f>VLOOKUP(N441,etat!$A$9:$N$963,7,FALSE)</f>
        <v>#N/A</v>
      </c>
      <c r="R441" s="797" t="e">
        <f>VLOOKUP(N441,etat!$A$9:$N$1003,9,FALSE)</f>
        <v>#N/A</v>
      </c>
      <c r="S441" s="866" t="e">
        <f>VLOOKUP(N441,etat!$A$9:$P$905,16,FALSE)</f>
        <v>#N/A</v>
      </c>
      <c r="T441" s="755"/>
      <c r="U441" s="791"/>
      <c r="V441" s="784"/>
      <c r="W441" s="784"/>
      <c r="X441" s="848"/>
      <c r="Y441" s="975"/>
      <c r="Z441" s="1022"/>
      <c r="AA441" s="967"/>
      <c r="AB441" s="1005"/>
      <c r="AC441" s="1005"/>
      <c r="AD441" s="1005"/>
      <c r="AE441" s="1005"/>
      <c r="AF441" s="1005"/>
      <c r="AG441" s="1004"/>
      <c r="AH441" s="1004"/>
      <c r="AI441" s="1004"/>
      <c r="AJ441" s="1004"/>
      <c r="AK441" s="1004"/>
      <c r="AL441" s="1004"/>
      <c r="AM441" s="1004"/>
      <c r="AN441" s="1004"/>
      <c r="AO441" s="1004"/>
      <c r="AP441" s="1004"/>
      <c r="AQ441" s="1004"/>
      <c r="AR441" s="1004"/>
      <c r="AS441" s="1004"/>
      <c r="AT441" s="1004"/>
      <c r="AU441" s="1004"/>
      <c r="AV441" s="1004"/>
      <c r="AW441" s="1004"/>
    </row>
    <row r="442" spans="1:49" ht="15.6" customHeight="1">
      <c r="A442" s="1004"/>
      <c r="B442" s="1004"/>
      <c r="C442" s="1004"/>
      <c r="I442" s="1004"/>
      <c r="J442" s="1004"/>
      <c r="K442" s="1004"/>
      <c r="L442" s="777">
        <v>5</v>
      </c>
      <c r="M442" s="778"/>
      <c r="N442" s="976"/>
      <c r="O442" s="1020">
        <v>385</v>
      </c>
      <c r="P442" s="847" t="e">
        <f>VLOOKUP(N442,etat!$A$9:$N$1004,2,FALSE)</f>
        <v>#N/A</v>
      </c>
      <c r="Q442" s="797" t="e">
        <f>VLOOKUP(N442,etat!$A$9:$N$963,7,FALSE)</f>
        <v>#N/A</v>
      </c>
      <c r="R442" s="797" t="e">
        <f>VLOOKUP(N442,etat!$A$9:$N$1003,9,FALSE)</f>
        <v>#N/A</v>
      </c>
      <c r="S442" s="866" t="e">
        <f>VLOOKUP(N442,etat!$A$9:$P$905,16,FALSE)</f>
        <v>#N/A</v>
      </c>
      <c r="T442" s="755"/>
      <c r="U442" s="791"/>
      <c r="V442" s="784"/>
      <c r="W442" s="784"/>
      <c r="X442" s="848"/>
      <c r="Y442" s="975"/>
      <c r="Z442" s="1022"/>
      <c r="AA442" s="967"/>
      <c r="AB442" s="1005"/>
      <c r="AC442" s="1005"/>
      <c r="AD442" s="1005"/>
      <c r="AE442" s="1005"/>
      <c r="AF442" s="1005"/>
      <c r="AG442" s="1004"/>
      <c r="AH442" s="1004"/>
      <c r="AI442" s="1004"/>
      <c r="AJ442" s="1004"/>
      <c r="AK442" s="1004"/>
      <c r="AL442" s="1004"/>
      <c r="AM442" s="1004"/>
      <c r="AN442" s="1004"/>
      <c r="AO442" s="1004"/>
      <c r="AP442" s="1004"/>
      <c r="AQ442" s="1004"/>
      <c r="AR442" s="1004"/>
      <c r="AS442" s="1004"/>
      <c r="AT442" s="1004"/>
      <c r="AU442" s="1004"/>
      <c r="AV442" s="1004"/>
      <c r="AW442" s="1004"/>
    </row>
    <row r="443" spans="1:49" ht="15.6" customHeight="1">
      <c r="A443" s="1004"/>
      <c r="B443" s="1004"/>
      <c r="C443" s="1004"/>
      <c r="I443" s="1004"/>
      <c r="J443" s="1004"/>
      <c r="K443" s="1004"/>
      <c r="L443" s="777">
        <v>5</v>
      </c>
      <c r="M443" s="778"/>
      <c r="N443" s="976"/>
      <c r="O443" s="1020">
        <v>386</v>
      </c>
      <c r="P443" s="847" t="e">
        <f>VLOOKUP(N443,etat!$A$9:$N$1004,2,FALSE)</f>
        <v>#N/A</v>
      </c>
      <c r="Q443" s="797" t="e">
        <f>VLOOKUP(N443,etat!$A$9:$N$963,7,FALSE)</f>
        <v>#N/A</v>
      </c>
      <c r="R443" s="797" t="e">
        <f>VLOOKUP(N443,etat!$A$9:$N$1003,9,FALSE)</f>
        <v>#N/A</v>
      </c>
      <c r="S443" s="866" t="e">
        <f>VLOOKUP(N443,etat!$A$9:$P$905,16,FALSE)</f>
        <v>#N/A</v>
      </c>
      <c r="T443" s="755"/>
      <c r="U443" s="791"/>
      <c r="V443" s="784"/>
      <c r="W443" s="784"/>
      <c r="X443" s="784"/>
      <c r="Y443" s="975"/>
      <c r="Z443" s="1022"/>
      <c r="AA443" s="967"/>
      <c r="AB443" s="1005"/>
      <c r="AC443" s="1005"/>
      <c r="AD443" s="1005"/>
      <c r="AE443" s="1005"/>
      <c r="AF443" s="1005"/>
      <c r="AG443" s="1004"/>
      <c r="AH443" s="1004"/>
      <c r="AI443" s="1004"/>
      <c r="AJ443" s="1004"/>
      <c r="AK443" s="1004"/>
      <c r="AL443" s="1004"/>
      <c r="AM443" s="1004"/>
      <c r="AN443" s="1004"/>
      <c r="AO443" s="1004"/>
      <c r="AP443" s="1004"/>
      <c r="AQ443" s="1004"/>
      <c r="AR443" s="1004"/>
      <c r="AS443" s="1004"/>
      <c r="AT443" s="1004"/>
      <c r="AU443" s="1004"/>
      <c r="AV443" s="1004"/>
      <c r="AW443" s="1004"/>
    </row>
    <row r="444" spans="1:49" ht="15.6" customHeight="1">
      <c r="A444" s="1004"/>
      <c r="B444" s="1004"/>
      <c r="C444" s="1004"/>
      <c r="I444" s="1004"/>
      <c r="J444" s="1004"/>
      <c r="K444" s="1004"/>
      <c r="L444" s="777">
        <v>5</v>
      </c>
      <c r="M444" s="778"/>
      <c r="N444" s="976"/>
      <c r="O444" s="1020">
        <v>387</v>
      </c>
      <c r="P444" s="847" t="e">
        <f>VLOOKUP(N444,etat!$A$9:$N$1004,2,FALSE)</f>
        <v>#N/A</v>
      </c>
      <c r="Q444" s="797" t="e">
        <f>VLOOKUP(N444,etat!$A$9:$N$963,7,FALSE)</f>
        <v>#N/A</v>
      </c>
      <c r="R444" s="797" t="e">
        <f>VLOOKUP(N444,etat!$A$9:$N$1003,9,FALSE)</f>
        <v>#N/A</v>
      </c>
      <c r="S444" s="866" t="e">
        <f>VLOOKUP(N444,etat!$A$9:$P$905,16,FALSE)</f>
        <v>#N/A</v>
      </c>
      <c r="T444" s="755"/>
      <c r="U444" s="791"/>
      <c r="V444" s="784"/>
      <c r="W444" s="784"/>
      <c r="X444" s="784"/>
      <c r="Y444" s="975"/>
      <c r="Z444" s="1022"/>
      <c r="AA444" s="967"/>
      <c r="AB444" s="1005"/>
      <c r="AC444" s="1005"/>
      <c r="AD444" s="1005"/>
      <c r="AE444" s="1005"/>
      <c r="AF444" s="1005"/>
      <c r="AG444" s="1004"/>
      <c r="AH444" s="1004"/>
      <c r="AI444" s="1004"/>
      <c r="AJ444" s="1004"/>
      <c r="AK444" s="1004"/>
      <c r="AL444" s="1004"/>
      <c r="AM444" s="1004"/>
      <c r="AN444" s="1004"/>
      <c r="AO444" s="1004"/>
      <c r="AP444" s="1004"/>
      <c r="AQ444" s="1004"/>
      <c r="AR444" s="1004"/>
      <c r="AS444" s="1004"/>
      <c r="AT444" s="1004"/>
      <c r="AU444" s="1004"/>
      <c r="AV444" s="1004"/>
      <c r="AW444" s="1004"/>
    </row>
    <row r="445" spans="1:49" ht="15.6" customHeight="1">
      <c r="A445" s="1004"/>
      <c r="B445" s="1004"/>
      <c r="C445" s="1004"/>
      <c r="I445" s="1004"/>
      <c r="J445" s="1004"/>
      <c r="K445" s="1004"/>
      <c r="L445" s="777">
        <v>5</v>
      </c>
      <c r="M445" s="778"/>
      <c r="N445" s="976"/>
      <c r="O445" s="1020">
        <v>388</v>
      </c>
      <c r="P445" s="847" t="e">
        <f>VLOOKUP(N445,etat!$A$9:$N$1004,2,FALSE)</f>
        <v>#N/A</v>
      </c>
      <c r="Q445" s="797" t="e">
        <f>VLOOKUP(N445,etat!$A$9:$N$963,7,FALSE)</f>
        <v>#N/A</v>
      </c>
      <c r="R445" s="797" t="e">
        <f>VLOOKUP(N445,etat!$A$9:$N$1003,9,FALSE)</f>
        <v>#N/A</v>
      </c>
      <c r="S445" s="866" t="e">
        <f>VLOOKUP(N445,etat!$A$9:$P$905,16,FALSE)</f>
        <v>#N/A</v>
      </c>
      <c r="T445" s="755"/>
      <c r="U445" s="791"/>
      <c r="V445" s="784"/>
      <c r="W445" s="784"/>
      <c r="X445" s="784"/>
      <c r="Y445" s="975"/>
      <c r="Z445" s="1022"/>
      <c r="AA445" s="967"/>
      <c r="AB445" s="1005"/>
      <c r="AC445" s="1005"/>
      <c r="AD445" s="1005"/>
      <c r="AE445" s="1005"/>
      <c r="AF445" s="1005"/>
      <c r="AG445" s="1004"/>
      <c r="AH445" s="1004"/>
      <c r="AI445" s="1004"/>
      <c r="AJ445" s="1004"/>
      <c r="AK445" s="1004"/>
      <c r="AL445" s="1004"/>
      <c r="AM445" s="1004"/>
      <c r="AN445" s="1004"/>
      <c r="AO445" s="1004"/>
      <c r="AP445" s="1004"/>
      <c r="AQ445" s="1004"/>
      <c r="AR445" s="1004"/>
      <c r="AS445" s="1004"/>
      <c r="AT445" s="1004"/>
      <c r="AU445" s="1004"/>
      <c r="AV445" s="1004"/>
      <c r="AW445" s="1004"/>
    </row>
    <row r="446" spans="1:49" ht="17.45" customHeight="1">
      <c r="A446" s="1004"/>
      <c r="B446" s="1004"/>
      <c r="C446" s="1004"/>
      <c r="I446" s="1004"/>
      <c r="J446" s="1004"/>
      <c r="K446" s="1004"/>
      <c r="L446" s="777">
        <v>5</v>
      </c>
      <c r="M446" s="778"/>
      <c r="N446" s="976"/>
      <c r="O446" s="1020">
        <v>389</v>
      </c>
      <c r="P446" s="847" t="e">
        <f>VLOOKUP(N446,etat!$A$9:$N$1004,2,FALSE)</f>
        <v>#N/A</v>
      </c>
      <c r="Q446" s="797" t="e">
        <f>VLOOKUP(N446,etat!$A$9:$N$963,7,FALSE)</f>
        <v>#N/A</v>
      </c>
      <c r="R446" s="797" t="e">
        <f>VLOOKUP(N446,etat!$A$9:$N$1003,9,FALSE)</f>
        <v>#N/A</v>
      </c>
      <c r="S446" s="866" t="e">
        <f>VLOOKUP(N446,etat!$A$9:$P$905,16,FALSE)</f>
        <v>#N/A</v>
      </c>
      <c r="T446" s="755"/>
      <c r="U446" s="791"/>
      <c r="V446" s="784"/>
      <c r="W446" s="784"/>
      <c r="X446" s="784"/>
      <c r="Y446" s="975"/>
      <c r="Z446" s="1022"/>
      <c r="AA446" s="967"/>
      <c r="AB446" s="1005"/>
      <c r="AC446" s="1005"/>
      <c r="AD446" s="1005"/>
      <c r="AE446" s="1005"/>
      <c r="AF446" s="1005"/>
      <c r="AG446" s="1004"/>
      <c r="AH446" s="1004"/>
      <c r="AI446" s="1004"/>
      <c r="AJ446" s="1004"/>
      <c r="AK446" s="1004"/>
      <c r="AL446" s="1004"/>
      <c r="AM446" s="1004"/>
      <c r="AN446" s="1004"/>
      <c r="AO446" s="1004"/>
      <c r="AP446" s="1004"/>
      <c r="AQ446" s="1004"/>
      <c r="AR446" s="1004"/>
      <c r="AS446" s="1004"/>
      <c r="AT446" s="1004"/>
      <c r="AU446" s="1004"/>
      <c r="AV446" s="1004"/>
      <c r="AW446" s="1004"/>
    </row>
    <row r="447" spans="1:49" ht="17.45" customHeight="1">
      <c r="A447" s="1004"/>
      <c r="B447" s="1004"/>
      <c r="C447" s="1004"/>
      <c r="I447" s="1004"/>
      <c r="J447" s="1004"/>
      <c r="K447" s="1004"/>
      <c r="L447" s="777">
        <v>5</v>
      </c>
      <c r="M447" s="778"/>
      <c r="N447" s="976"/>
      <c r="O447" s="1020">
        <v>390</v>
      </c>
      <c r="P447" s="847" t="e">
        <f>VLOOKUP(N447,etat!$A$9:$N$1004,2,FALSE)</f>
        <v>#N/A</v>
      </c>
      <c r="Q447" s="797" t="e">
        <f>VLOOKUP(N447,etat!$A$9:$N$963,7,FALSE)</f>
        <v>#N/A</v>
      </c>
      <c r="R447" s="797" t="e">
        <f>VLOOKUP(N447,etat!$A$9:$N$1003,9,FALSE)</f>
        <v>#N/A</v>
      </c>
      <c r="S447" s="866" t="e">
        <f>VLOOKUP(N447,etat!$A$9:$P$905,16,FALSE)</f>
        <v>#N/A</v>
      </c>
      <c r="T447" s="755"/>
      <c r="U447" s="791"/>
      <c r="V447" s="784"/>
      <c r="W447" s="784"/>
      <c r="X447" s="784"/>
      <c r="Y447" s="784"/>
      <c r="Z447" s="784"/>
      <c r="AA447" s="967"/>
      <c r="AB447" s="1005"/>
      <c r="AC447" s="1005"/>
      <c r="AD447" s="1005"/>
      <c r="AE447" s="1005"/>
      <c r="AF447" s="1005"/>
      <c r="AG447" s="1004"/>
      <c r="AH447" s="1004"/>
      <c r="AI447" s="1004"/>
      <c r="AJ447" s="1004"/>
      <c r="AK447" s="1004"/>
      <c r="AL447" s="1004"/>
      <c r="AM447" s="1004"/>
      <c r="AN447" s="1004"/>
      <c r="AO447" s="1004"/>
      <c r="AP447" s="1004"/>
      <c r="AQ447" s="1004"/>
      <c r="AR447" s="1004"/>
      <c r="AS447" s="1004"/>
      <c r="AT447" s="1004"/>
      <c r="AU447" s="1004"/>
      <c r="AV447" s="1004"/>
      <c r="AW447" s="1004"/>
    </row>
    <row r="448" spans="1:49" ht="17.45" customHeight="1">
      <c r="A448" s="1004"/>
      <c r="B448" s="1004"/>
      <c r="C448" s="1004"/>
      <c r="I448" s="1004"/>
      <c r="J448" s="1004"/>
      <c r="K448" s="1004"/>
      <c r="L448" s="777">
        <v>5</v>
      </c>
      <c r="M448" s="906"/>
      <c r="N448" s="976"/>
      <c r="O448" s="1020">
        <v>391</v>
      </c>
      <c r="P448" s="847" t="e">
        <f>VLOOKUP(N448,etat!$A$9:$N$1004,2,FALSE)</f>
        <v>#N/A</v>
      </c>
      <c r="Q448" s="797" t="e">
        <f>VLOOKUP(N448,etat!$A$9:$N$963,7,FALSE)</f>
        <v>#N/A</v>
      </c>
      <c r="R448" s="797" t="e">
        <f>VLOOKUP(N448,etat!$A$9:$N$1003,9,FALSE)</f>
        <v>#N/A</v>
      </c>
      <c r="S448" s="866" t="e">
        <f>VLOOKUP(N448,etat!$A$9:$P$905,16,FALSE)</f>
        <v>#N/A</v>
      </c>
      <c r="T448" s="755"/>
      <c r="U448" s="791"/>
      <c r="V448" s="784"/>
      <c r="W448" s="784"/>
      <c r="X448" s="848"/>
      <c r="Y448" s="975"/>
      <c r="Z448" s="1022"/>
      <c r="AA448" s="967"/>
      <c r="AB448" s="1005"/>
      <c r="AC448" s="1005"/>
      <c r="AD448" s="1005"/>
      <c r="AE448" s="1005"/>
      <c r="AF448" s="1005"/>
      <c r="AG448" s="1004"/>
      <c r="AH448" s="1004"/>
      <c r="AI448" s="1004"/>
      <c r="AJ448" s="1004"/>
      <c r="AK448" s="1004"/>
      <c r="AL448" s="1004"/>
      <c r="AM448" s="1004"/>
      <c r="AN448" s="1004"/>
      <c r="AO448" s="1004"/>
      <c r="AP448" s="1004"/>
      <c r="AQ448" s="1004"/>
      <c r="AR448" s="1004"/>
      <c r="AS448" s="1004"/>
      <c r="AT448" s="1004"/>
      <c r="AU448" s="1004"/>
      <c r="AV448" s="1004"/>
      <c r="AW448" s="1004"/>
    </row>
    <row r="449" spans="1:49" ht="17.45" customHeight="1">
      <c r="A449" s="1004"/>
      <c r="B449" s="1004"/>
      <c r="C449" s="1004"/>
      <c r="I449" s="1004"/>
      <c r="J449" s="1004"/>
      <c r="K449" s="1004"/>
      <c r="L449" s="777">
        <v>5</v>
      </c>
      <c r="M449" s="778"/>
      <c r="N449" s="976"/>
      <c r="O449" s="1020">
        <v>392</v>
      </c>
      <c r="P449" s="847" t="e">
        <f>VLOOKUP(N449,etat!$A$9:$N$1004,2,FALSE)</f>
        <v>#N/A</v>
      </c>
      <c r="Q449" s="797" t="e">
        <f>VLOOKUP(N449,etat!$A$9:$N$963,7,FALSE)</f>
        <v>#N/A</v>
      </c>
      <c r="R449" s="797" t="e">
        <f>VLOOKUP(N449,etat!$A$9:$N$1003,9,FALSE)</f>
        <v>#N/A</v>
      </c>
      <c r="S449" s="866" t="e">
        <f>VLOOKUP(N449,etat!$A$9:$P$905,16,FALSE)</f>
        <v>#N/A</v>
      </c>
      <c r="T449" s="755"/>
      <c r="U449" s="791"/>
      <c r="V449" s="784"/>
      <c r="W449" s="784"/>
      <c r="X449" s="848"/>
      <c r="Y449" s="975"/>
      <c r="Z449" s="1022"/>
      <c r="AA449" s="967"/>
      <c r="AB449" s="1005"/>
      <c r="AC449" s="1005"/>
      <c r="AD449" s="1005"/>
      <c r="AE449" s="1005"/>
      <c r="AF449" s="1005"/>
      <c r="AG449" s="1004"/>
      <c r="AH449" s="1004"/>
      <c r="AI449" s="1004"/>
      <c r="AJ449" s="1004"/>
      <c r="AK449" s="1004"/>
      <c r="AL449" s="1004"/>
      <c r="AM449" s="1004"/>
      <c r="AN449" s="1004"/>
      <c r="AO449" s="1004"/>
      <c r="AP449" s="1004"/>
      <c r="AQ449" s="1004"/>
      <c r="AR449" s="1004"/>
      <c r="AS449" s="1004"/>
      <c r="AT449" s="1004"/>
      <c r="AU449" s="1004"/>
      <c r="AV449" s="1004"/>
      <c r="AW449" s="1004"/>
    </row>
    <row r="450" spans="1:49" ht="17.45" customHeight="1">
      <c r="A450" s="1004"/>
      <c r="B450" s="1004"/>
      <c r="C450" s="1004"/>
      <c r="I450" s="1004"/>
      <c r="J450" s="1004"/>
      <c r="K450" s="1004"/>
      <c r="L450" s="777">
        <v>5</v>
      </c>
      <c r="M450" s="778"/>
      <c r="N450" s="976"/>
      <c r="O450" s="1020">
        <v>393</v>
      </c>
      <c r="P450" s="847" t="e">
        <f>VLOOKUP(N450,etat!$A$9:$N$1004,2,FALSE)</f>
        <v>#N/A</v>
      </c>
      <c r="Q450" s="797" t="e">
        <f>VLOOKUP(N450,etat!$A$9:$N$963,7,FALSE)</f>
        <v>#N/A</v>
      </c>
      <c r="R450" s="797" t="e">
        <f>VLOOKUP(N450,etat!$A$9:$N$1003,9,FALSE)</f>
        <v>#N/A</v>
      </c>
      <c r="S450" s="866" t="e">
        <f>VLOOKUP(N450,etat!$A$9:$P$905,16,FALSE)</f>
        <v>#N/A</v>
      </c>
      <c r="T450" s="755"/>
      <c r="U450" s="791"/>
      <c r="V450" s="784"/>
      <c r="W450" s="755"/>
      <c r="X450" s="784"/>
      <c r="Y450" s="975"/>
      <c r="Z450" s="1022"/>
      <c r="AA450" s="967"/>
      <c r="AB450" s="1005"/>
      <c r="AC450" s="1005"/>
      <c r="AD450" s="1005"/>
      <c r="AE450" s="1005"/>
      <c r="AF450" s="1005"/>
      <c r="AG450" s="1004"/>
      <c r="AH450" s="1004"/>
      <c r="AI450" s="1004"/>
      <c r="AJ450" s="1004"/>
      <c r="AK450" s="1004"/>
      <c r="AL450" s="1004"/>
      <c r="AM450" s="1004"/>
      <c r="AN450" s="1004"/>
      <c r="AO450" s="1004"/>
      <c r="AP450" s="1004"/>
      <c r="AQ450" s="1004"/>
      <c r="AR450" s="1004"/>
      <c r="AS450" s="1004"/>
      <c r="AT450" s="1004"/>
      <c r="AU450" s="1004"/>
      <c r="AV450" s="1004"/>
      <c r="AW450" s="1004"/>
    </row>
    <row r="451" spans="1:49" ht="17.45" customHeight="1">
      <c r="A451" s="1004"/>
      <c r="B451" s="1004"/>
      <c r="C451" s="1004"/>
      <c r="I451" s="1004"/>
      <c r="J451" s="1004"/>
      <c r="K451" s="1004"/>
      <c r="L451" s="777">
        <v>5</v>
      </c>
      <c r="M451" s="778"/>
      <c r="N451" s="976"/>
      <c r="O451" s="1020">
        <v>394</v>
      </c>
      <c r="P451" s="847" t="e">
        <f>VLOOKUP(N451,etat!$A$9:$N$1004,2,FALSE)</f>
        <v>#N/A</v>
      </c>
      <c r="Q451" s="797" t="e">
        <f>VLOOKUP(N451,etat!$A$9:$N$963,7,FALSE)</f>
        <v>#N/A</v>
      </c>
      <c r="R451" s="797" t="e">
        <f>VLOOKUP(N451,etat!$A$9:$N$1003,9,FALSE)</f>
        <v>#N/A</v>
      </c>
      <c r="S451" s="866" t="e">
        <f>VLOOKUP(N451,etat!$A$9:$P$905,16,FALSE)</f>
        <v>#N/A</v>
      </c>
      <c r="T451" s="755"/>
      <c r="U451" s="791"/>
      <c r="V451" s="784"/>
      <c r="W451" s="784"/>
      <c r="X451" s="784"/>
      <c r="Y451" s="784"/>
      <c r="Z451" s="784"/>
      <c r="AA451" s="967"/>
      <c r="AB451" s="1005"/>
      <c r="AC451" s="1005"/>
      <c r="AD451" s="1005"/>
      <c r="AE451" s="1005"/>
      <c r="AF451" s="1005"/>
      <c r="AG451" s="1004"/>
      <c r="AH451" s="1004"/>
      <c r="AI451" s="1004"/>
      <c r="AJ451" s="1004"/>
      <c r="AK451" s="1004"/>
      <c r="AL451" s="1004"/>
      <c r="AM451" s="1004"/>
      <c r="AN451" s="1004"/>
      <c r="AO451" s="1004"/>
      <c r="AP451" s="1004"/>
      <c r="AQ451" s="1004"/>
      <c r="AR451" s="1004"/>
      <c r="AS451" s="1004"/>
      <c r="AT451" s="1004"/>
      <c r="AU451" s="1004"/>
      <c r="AV451" s="1004"/>
      <c r="AW451" s="1004"/>
    </row>
    <row r="452" spans="1:49" ht="17.45" customHeight="1">
      <c r="A452" s="1004"/>
      <c r="B452" s="1004"/>
      <c r="C452" s="1004"/>
      <c r="I452" s="1004"/>
      <c r="J452" s="1004"/>
      <c r="K452" s="1004"/>
      <c r="L452" s="777">
        <v>5</v>
      </c>
      <c r="M452" s="778"/>
      <c r="N452" s="976"/>
      <c r="O452" s="1020">
        <v>395</v>
      </c>
      <c r="P452" s="847" t="e">
        <f>VLOOKUP(N452,etat!$A$9:$N$1004,2,FALSE)</f>
        <v>#N/A</v>
      </c>
      <c r="Q452" s="797" t="e">
        <f>VLOOKUP(N452,etat!$A$9:$N$963,7,FALSE)</f>
        <v>#N/A</v>
      </c>
      <c r="R452" s="954" t="e">
        <f>VLOOKUP(N452,etat!$A$9:$N$1003,9,FALSE)</f>
        <v>#N/A</v>
      </c>
      <c r="S452" s="866" t="e">
        <f>VLOOKUP(N452,etat!$A$9:$P$905,16,FALSE)</f>
        <v>#N/A</v>
      </c>
      <c r="T452" s="755"/>
      <c r="U452" s="791"/>
      <c r="V452" s="784"/>
      <c r="W452" s="784"/>
      <c r="X452" s="784"/>
      <c r="Y452" s="975"/>
      <c r="Z452" s="1022"/>
      <c r="AA452" s="967"/>
      <c r="AB452" s="1005"/>
      <c r="AC452" s="1005"/>
      <c r="AD452" s="1005"/>
      <c r="AE452" s="1005"/>
      <c r="AF452" s="1005"/>
      <c r="AG452" s="1004"/>
      <c r="AH452" s="1004"/>
      <c r="AI452" s="1004"/>
      <c r="AJ452" s="1004"/>
      <c r="AK452" s="1004"/>
      <c r="AL452" s="1004"/>
      <c r="AM452" s="1004"/>
      <c r="AN452" s="1004"/>
      <c r="AO452" s="1004"/>
      <c r="AP452" s="1004"/>
      <c r="AQ452" s="1004"/>
      <c r="AR452" s="1004"/>
      <c r="AS452" s="1004"/>
      <c r="AT452" s="1004"/>
      <c r="AU452" s="1004"/>
      <c r="AV452" s="1004"/>
      <c r="AW452" s="1004"/>
    </row>
    <row r="453" spans="1:49" ht="17.45" customHeight="1">
      <c r="A453" s="1004"/>
      <c r="B453" s="1004"/>
      <c r="C453" s="1004"/>
      <c r="I453" s="1004"/>
      <c r="J453" s="1004"/>
      <c r="K453" s="1004"/>
      <c r="L453" s="777">
        <v>5</v>
      </c>
      <c r="M453" s="778"/>
      <c r="N453" s="976"/>
      <c r="O453" s="1020">
        <v>396</v>
      </c>
      <c r="P453" s="847" t="e">
        <f>VLOOKUP(N453,etat!$A$9:$N$1004,2,FALSE)</f>
        <v>#N/A</v>
      </c>
      <c r="Q453" s="797" t="e">
        <f>VLOOKUP(N453,etat!$A$9:$N$963,7,FALSE)</f>
        <v>#N/A</v>
      </c>
      <c r="R453" s="954" t="e">
        <f>VLOOKUP(N453,etat!$A$9:$N$1003,9,FALSE)</f>
        <v>#N/A</v>
      </c>
      <c r="S453" s="866" t="e">
        <f>VLOOKUP(N453,etat!$A$9:$P$905,16,FALSE)</f>
        <v>#N/A</v>
      </c>
      <c r="T453" s="755"/>
      <c r="U453" s="791"/>
      <c r="V453" s="784"/>
      <c r="W453" s="784"/>
      <c r="X453" s="784"/>
      <c r="Y453" s="975"/>
      <c r="Z453" s="1022"/>
      <c r="AA453" s="967"/>
      <c r="AB453" s="1005"/>
      <c r="AC453" s="1005"/>
      <c r="AD453" s="1005"/>
      <c r="AE453" s="1005"/>
      <c r="AF453" s="1005"/>
      <c r="AG453" s="1004"/>
      <c r="AH453" s="1004"/>
      <c r="AI453" s="1004"/>
      <c r="AJ453" s="1004"/>
      <c r="AK453" s="1004"/>
      <c r="AL453" s="1004"/>
      <c r="AM453" s="1004"/>
      <c r="AN453" s="1004"/>
      <c r="AO453" s="1004"/>
      <c r="AP453" s="1004"/>
      <c r="AQ453" s="1004"/>
      <c r="AR453" s="1004"/>
      <c r="AS453" s="1004"/>
      <c r="AT453" s="1004"/>
      <c r="AU453" s="1004"/>
      <c r="AV453" s="1004"/>
      <c r="AW453" s="1004"/>
    </row>
    <row r="454" spans="1:49" ht="17.45" customHeight="1">
      <c r="A454" s="1004"/>
      <c r="B454" s="1004"/>
      <c r="C454" s="1004"/>
      <c r="I454" s="1004"/>
      <c r="J454" s="1004"/>
      <c r="K454" s="1004"/>
      <c r="L454" s="777">
        <v>5</v>
      </c>
      <c r="M454" s="778"/>
      <c r="N454" s="976"/>
      <c r="O454" s="1020">
        <v>397</v>
      </c>
      <c r="P454" s="847" t="e">
        <f>VLOOKUP(N454,etat!$A$9:$N$1004,2,FALSE)</f>
        <v>#N/A</v>
      </c>
      <c r="Q454" s="797" t="e">
        <f>VLOOKUP(N454,etat!$A$9:$N$963,7,FALSE)</f>
        <v>#N/A</v>
      </c>
      <c r="R454" s="866" t="e">
        <f>VLOOKUP(N454,etat!$A$9:$N$1003,9,FALSE)</f>
        <v>#N/A</v>
      </c>
      <c r="S454" s="866" t="e">
        <f>VLOOKUP(N454,etat!$A$9:$P$905,16,FALSE)</f>
        <v>#N/A</v>
      </c>
      <c r="T454" s="755"/>
      <c r="U454" s="791"/>
      <c r="V454" s="869"/>
      <c r="W454" s="869"/>
      <c r="X454" s="869"/>
      <c r="Y454" s="904"/>
      <c r="Z454" s="967"/>
      <c r="AA454" s="967"/>
      <c r="AB454" s="1005"/>
      <c r="AC454" s="1005"/>
      <c r="AD454" s="1005"/>
      <c r="AE454" s="1005"/>
      <c r="AF454" s="1005"/>
      <c r="AG454" s="1004"/>
      <c r="AH454" s="1004"/>
      <c r="AI454" s="1004"/>
      <c r="AJ454" s="1004"/>
      <c r="AK454" s="1004"/>
      <c r="AL454" s="1004"/>
      <c r="AM454" s="1004"/>
      <c r="AN454" s="1004"/>
      <c r="AO454" s="1004"/>
      <c r="AP454" s="1004"/>
      <c r="AQ454" s="1004"/>
      <c r="AR454" s="1004"/>
      <c r="AS454" s="1004"/>
      <c r="AT454" s="1004"/>
      <c r="AU454" s="1004"/>
      <c r="AV454" s="1004"/>
      <c r="AW454" s="1004"/>
    </row>
    <row r="455" spans="1:49" ht="17.45" customHeight="1">
      <c r="L455" s="777">
        <v>5</v>
      </c>
      <c r="M455" s="778"/>
      <c r="N455" s="976"/>
      <c r="O455" s="1020">
        <v>398</v>
      </c>
      <c r="P455" s="847" t="e">
        <f>VLOOKUP(N455,etat!$A$9:$N$1004,2,FALSE)</f>
        <v>#N/A</v>
      </c>
      <c r="Q455" s="797" t="e">
        <f>VLOOKUP(N455,etat!$A$9:$N$963,7,FALSE)</f>
        <v>#N/A</v>
      </c>
      <c r="R455" s="866" t="e">
        <f>VLOOKUP(N455,etat!$A$9:$N$1003,9,FALSE)</f>
        <v>#N/A</v>
      </c>
      <c r="S455" s="866" t="e">
        <f>VLOOKUP(N455,etat!$A$9:$P$905,16,FALSE)</f>
        <v>#N/A</v>
      </c>
      <c r="T455" s="755"/>
      <c r="U455" s="791"/>
      <c r="V455" s="784"/>
      <c r="W455" s="784"/>
      <c r="X455" s="869"/>
      <c r="Y455" s="904"/>
      <c r="Z455" s="967"/>
      <c r="AA455" s="967"/>
    </row>
    <row r="456" spans="1:49" ht="17.45" customHeight="1">
      <c r="L456" s="777">
        <v>5</v>
      </c>
      <c r="M456" s="778"/>
      <c r="N456" s="976"/>
      <c r="O456" s="1020">
        <v>399</v>
      </c>
      <c r="P456" s="865" t="e">
        <f>VLOOKUP(N456,etat!$A$9:$N$1004,2,FALSE)</f>
        <v>#N/A</v>
      </c>
      <c r="Q456" s="866" t="e">
        <f>VLOOKUP(N456,etat!$A$9:$N$963,7,FALSE)</f>
        <v>#N/A</v>
      </c>
      <c r="R456" s="866" t="e">
        <f>VLOOKUP(N456,etat!$A$9:$N$1003,9,FALSE)</f>
        <v>#N/A</v>
      </c>
      <c r="S456" s="866" t="e">
        <f>VLOOKUP(N456,etat!$A$9:$P$905,16,FALSE)</f>
        <v>#N/A</v>
      </c>
      <c r="T456" s="867"/>
      <c r="U456" s="868"/>
      <c r="V456" s="869"/>
      <c r="W456" s="869"/>
      <c r="X456" s="869"/>
      <c r="Y456" s="904"/>
      <c r="Z456" s="967"/>
      <c r="AA456" s="967"/>
    </row>
    <row r="457" spans="1:49" ht="17.45" customHeight="1">
      <c r="L457" s="777">
        <v>5</v>
      </c>
      <c r="M457" s="778"/>
      <c r="N457" s="976"/>
      <c r="O457" s="1020">
        <v>400</v>
      </c>
      <c r="P457" s="865" t="e">
        <f>VLOOKUP(N457,etat!$A$9:$N$1004,2,FALSE)</f>
        <v>#N/A</v>
      </c>
      <c r="Q457" s="866" t="e">
        <f>VLOOKUP(N457,etat!$A$9:$N$963,7,FALSE)</f>
        <v>#N/A</v>
      </c>
      <c r="R457" s="866" t="e">
        <f>VLOOKUP(N457,etat!$A$9:$N$1003,9,FALSE)</f>
        <v>#N/A</v>
      </c>
      <c r="S457" s="866" t="e">
        <f>VLOOKUP(N457,etat!$A$9:$P$905,16,FALSE)</f>
        <v>#N/A</v>
      </c>
      <c r="T457" s="867"/>
      <c r="U457" s="868"/>
      <c r="V457" s="869"/>
      <c r="W457" s="869"/>
      <c r="X457" s="869"/>
      <c r="Y457" s="904"/>
      <c r="Z457" s="931"/>
      <c r="AA457" s="967"/>
    </row>
    <row r="458" spans="1:49" ht="17.45" customHeight="1">
      <c r="L458" s="777">
        <v>5</v>
      </c>
      <c r="M458" s="778"/>
      <c r="N458" s="976"/>
      <c r="O458" s="1020">
        <v>401</v>
      </c>
      <c r="P458" s="865" t="e">
        <f>VLOOKUP(N458,etat!$A$9:$N$1004,2,FALSE)</f>
        <v>#N/A</v>
      </c>
      <c r="Q458" s="866" t="e">
        <f>VLOOKUP(N458,etat!$A$9:$N$963,7,FALSE)</f>
        <v>#N/A</v>
      </c>
      <c r="R458" s="866" t="e">
        <f>VLOOKUP(N458,etat!$A$9:$N$1003,9,FALSE)</f>
        <v>#N/A</v>
      </c>
      <c r="S458" s="866" t="e">
        <f>VLOOKUP(N458,etat!$A$9:$P$905,16,FALSE)</f>
        <v>#N/A</v>
      </c>
      <c r="T458" s="867"/>
      <c r="U458" s="868"/>
      <c r="V458" s="869"/>
      <c r="W458" s="869"/>
      <c r="X458" s="869"/>
      <c r="Y458" s="904"/>
      <c r="Z458" s="931"/>
      <c r="AA458" s="967"/>
    </row>
    <row r="459" spans="1:49" ht="17.45" customHeight="1">
      <c r="L459" s="777">
        <v>5</v>
      </c>
      <c r="M459" s="778"/>
      <c r="N459" s="976"/>
      <c r="O459" s="1020">
        <v>402</v>
      </c>
      <c r="P459" s="865" t="e">
        <f>VLOOKUP(N459,etat!$A$9:$N$1004,2,FALSE)</f>
        <v>#N/A</v>
      </c>
      <c r="Q459" s="866" t="e">
        <f>VLOOKUP(N459,etat!$A$9:$N$963,7,FALSE)</f>
        <v>#N/A</v>
      </c>
      <c r="R459" s="866" t="e">
        <f>VLOOKUP(N459,etat!$A$9:$N$1003,9,FALSE)</f>
        <v>#N/A</v>
      </c>
      <c r="S459" s="866" t="e">
        <f>VLOOKUP(N459,etat!$A$9:$P$905,16,FALSE)</f>
        <v>#N/A</v>
      </c>
      <c r="T459" s="867"/>
      <c r="U459" s="868"/>
      <c r="V459" s="869"/>
      <c r="W459" s="869"/>
      <c r="X459" s="869"/>
      <c r="Y459" s="904"/>
      <c r="Z459" s="931"/>
      <c r="AA459" s="967"/>
    </row>
    <row r="460" spans="1:49" ht="17.45" customHeight="1">
      <c r="L460" s="777">
        <v>5</v>
      </c>
      <c r="M460" s="778"/>
      <c r="N460" s="976"/>
      <c r="O460" s="1020">
        <v>403</v>
      </c>
      <c r="P460" s="865" t="e">
        <f>VLOOKUP(N460,etat!$A$9:$N$1004,2,FALSE)</f>
        <v>#N/A</v>
      </c>
      <c r="Q460" s="866" t="e">
        <f>VLOOKUP(N460,etat!$A$9:$N$963,7,FALSE)</f>
        <v>#N/A</v>
      </c>
      <c r="R460" s="866" t="e">
        <f>VLOOKUP(N460,etat!$A$9:$N$1003,9,FALSE)</f>
        <v>#N/A</v>
      </c>
      <c r="S460" s="866" t="e">
        <f>VLOOKUP(N460,etat!$A$9:$P$905,16,FALSE)</f>
        <v>#N/A</v>
      </c>
      <c r="T460" s="867"/>
      <c r="U460" s="868"/>
      <c r="V460" s="869"/>
      <c r="W460" s="869"/>
      <c r="X460" s="869"/>
      <c r="Y460" s="904"/>
      <c r="Z460" s="931"/>
      <c r="AA460" s="967"/>
    </row>
    <row r="461" spans="1:49" ht="17.45" customHeight="1">
      <c r="L461" s="777">
        <v>5</v>
      </c>
      <c r="M461" s="778"/>
      <c r="N461" s="976"/>
      <c r="O461" s="1020">
        <v>404</v>
      </c>
      <c r="P461" s="865" t="e">
        <f>VLOOKUP(N461,etat!$A$9:$N$1004,2,FALSE)</f>
        <v>#N/A</v>
      </c>
      <c r="Q461" s="866" t="e">
        <f>VLOOKUP(N461,etat!$A$9:$N$963,7,FALSE)</f>
        <v>#N/A</v>
      </c>
      <c r="R461" s="866" t="e">
        <f>VLOOKUP(N461,etat!$A$9:$N$1003,9,FALSE)</f>
        <v>#N/A</v>
      </c>
      <c r="S461" s="866" t="e">
        <f>VLOOKUP(N461,etat!$A$9:$P$905,16,FALSE)</f>
        <v>#N/A</v>
      </c>
      <c r="T461" s="867"/>
      <c r="U461" s="868"/>
      <c r="V461" s="869"/>
      <c r="W461" s="869"/>
      <c r="X461" s="869"/>
      <c r="Y461" s="904"/>
      <c r="Z461" s="931"/>
      <c r="AA461" s="967"/>
    </row>
    <row r="462" spans="1:49" ht="17.45" customHeight="1">
      <c r="L462" s="777">
        <v>5</v>
      </c>
      <c r="M462" s="778"/>
      <c r="N462" s="976"/>
      <c r="O462" s="1020">
        <v>405</v>
      </c>
      <c r="P462" s="865" t="e">
        <f>VLOOKUP(N462,etat!$A$9:$N$1004,2,FALSE)</f>
        <v>#N/A</v>
      </c>
      <c r="Q462" s="866" t="e">
        <f>VLOOKUP(N462,etat!$A$9:$N$963,7,FALSE)</f>
        <v>#N/A</v>
      </c>
      <c r="R462" s="866" t="e">
        <f>VLOOKUP(N462,etat!$A$9:$N$1003,9,FALSE)</f>
        <v>#N/A</v>
      </c>
      <c r="S462" s="866" t="e">
        <f>VLOOKUP(N462,etat!$A$9:$P$905,16,FALSE)</f>
        <v>#N/A</v>
      </c>
      <c r="T462" s="867"/>
      <c r="U462" s="868"/>
      <c r="V462" s="869"/>
      <c r="W462" s="869"/>
      <c r="X462" s="869"/>
      <c r="Y462" s="904"/>
      <c r="Z462" s="931"/>
      <c r="AA462" s="967"/>
    </row>
    <row r="463" spans="1:49" ht="17.45" customHeight="1">
      <c r="L463" s="777">
        <v>5</v>
      </c>
      <c r="M463" s="778"/>
      <c r="N463" s="976"/>
      <c r="O463" s="1020">
        <v>406</v>
      </c>
      <c r="P463" s="865" t="e">
        <f>VLOOKUP(N463,etat!$A$9:$N$1004,2,FALSE)</f>
        <v>#N/A</v>
      </c>
      <c r="Q463" s="866" t="e">
        <f>VLOOKUP(N463,etat!$A$9:$N$963,7,FALSE)</f>
        <v>#N/A</v>
      </c>
      <c r="R463" s="866" t="e">
        <f>VLOOKUP(N463,etat!$A$9:$N$1003,9,FALSE)</f>
        <v>#N/A</v>
      </c>
      <c r="S463" s="866" t="e">
        <f>VLOOKUP(N463,etat!$A$9:$P$905,16,FALSE)</f>
        <v>#N/A</v>
      </c>
      <c r="T463" s="867"/>
      <c r="U463" s="868"/>
      <c r="V463" s="869"/>
      <c r="W463" s="869"/>
      <c r="X463" s="869"/>
      <c r="Y463" s="904"/>
      <c r="Z463" s="931"/>
      <c r="AA463" s="967"/>
    </row>
    <row r="464" spans="1:49" ht="17.45" customHeight="1">
      <c r="L464" s="777">
        <v>5</v>
      </c>
      <c r="M464" s="778"/>
      <c r="N464" s="976">
        <v>0</v>
      </c>
      <c r="O464" s="1020">
        <v>407</v>
      </c>
      <c r="P464" s="865" t="e">
        <f>VLOOKUP(N464,etat!$A$9:$N$1004,2,FALSE)</f>
        <v>#N/A</v>
      </c>
      <c r="Q464" s="866" t="e">
        <f>VLOOKUP(N464,etat!$A$9:$N$963,7,FALSE)</f>
        <v>#N/A</v>
      </c>
      <c r="R464" s="866" t="e">
        <f>VLOOKUP(N464,etat!$A$9:$N$1003,9,FALSE)</f>
        <v>#N/A</v>
      </c>
      <c r="S464" s="866" t="e">
        <f>VLOOKUP(N464,etat!$A$9:$P$905,16,FALSE)</f>
        <v>#N/A</v>
      </c>
      <c r="T464" s="867"/>
      <c r="U464" s="868"/>
      <c r="V464" s="869"/>
      <c r="W464" s="869"/>
      <c r="X464" s="869"/>
      <c r="Y464" s="904"/>
      <c r="Z464" s="931"/>
      <c r="AA464" s="967"/>
    </row>
    <row r="465" spans="12:27" ht="17.45" customHeight="1">
      <c r="L465" s="777">
        <v>5</v>
      </c>
      <c r="M465" s="778"/>
      <c r="N465" s="976">
        <v>0</v>
      </c>
      <c r="O465" s="1020">
        <v>408</v>
      </c>
      <c r="P465" s="865" t="e">
        <f>VLOOKUP(N465,etat!$A$9:$N$1004,2,FALSE)</f>
        <v>#N/A</v>
      </c>
      <c r="Q465" s="866" t="e">
        <f>VLOOKUP(N465,etat!$A$9:$N$963,7,FALSE)</f>
        <v>#N/A</v>
      </c>
      <c r="R465" s="866" t="e">
        <f>VLOOKUP(N465,etat!$A$9:$N$1003,9,FALSE)</f>
        <v>#N/A</v>
      </c>
      <c r="S465" s="866" t="e">
        <f>VLOOKUP(N465,etat!$A$9:$P$905,16,FALSE)</f>
        <v>#N/A</v>
      </c>
      <c r="T465" s="867"/>
      <c r="U465" s="868"/>
      <c r="V465" s="869"/>
      <c r="W465" s="869"/>
      <c r="X465" s="869"/>
      <c r="Y465" s="904"/>
      <c r="Z465" s="931"/>
      <c r="AA465" s="967"/>
    </row>
    <row r="466" spans="12:27" ht="17.45" customHeight="1">
      <c r="L466" s="777">
        <v>5</v>
      </c>
      <c r="M466" s="906"/>
      <c r="N466" s="976">
        <v>0</v>
      </c>
      <c r="O466" s="1020">
        <v>409</v>
      </c>
      <c r="P466" s="865" t="e">
        <f>VLOOKUP(N466,etat!$A$9:$N$1004,2,FALSE)</f>
        <v>#N/A</v>
      </c>
      <c r="Q466" s="866" t="e">
        <f>VLOOKUP(N466,etat!$A$9:$N$963,7,FALSE)</f>
        <v>#N/A</v>
      </c>
      <c r="R466" s="866" t="e">
        <f>VLOOKUP(N466,etat!$A$9:$N$1003,9,FALSE)</f>
        <v>#N/A</v>
      </c>
      <c r="S466" s="866" t="e">
        <f>VLOOKUP(N466,etat!$A$9:$P$905,16,FALSE)</f>
        <v>#N/A</v>
      </c>
      <c r="T466" s="867"/>
      <c r="U466" s="868"/>
      <c r="V466" s="869"/>
      <c r="W466" s="869"/>
      <c r="X466" s="869"/>
      <c r="Y466" s="904"/>
      <c r="Z466" s="931"/>
      <c r="AA466" s="967"/>
    </row>
    <row r="467" spans="12:27" ht="17.45" customHeight="1">
      <c r="L467" s="777">
        <v>5</v>
      </c>
      <c r="M467" s="778"/>
      <c r="N467" s="976">
        <v>0</v>
      </c>
      <c r="O467" s="1020">
        <v>410</v>
      </c>
      <c r="P467" s="865" t="e">
        <f>VLOOKUP(N467,etat!$A$9:$N$1004,2,FALSE)</f>
        <v>#N/A</v>
      </c>
      <c r="Q467" s="866" t="e">
        <f>VLOOKUP(N467,etat!$A$9:$N$963,7,FALSE)</f>
        <v>#N/A</v>
      </c>
      <c r="R467" s="866" t="e">
        <f>VLOOKUP(N467,etat!$A$9:$N$1003,9,FALSE)</f>
        <v>#N/A</v>
      </c>
      <c r="S467" s="866" t="e">
        <f>VLOOKUP(N467,etat!$A$9:$P$905,16,FALSE)</f>
        <v>#N/A</v>
      </c>
      <c r="T467" s="867"/>
      <c r="U467" s="868"/>
      <c r="V467" s="869"/>
      <c r="W467" s="869"/>
      <c r="X467" s="869"/>
      <c r="Y467" s="904"/>
      <c r="Z467" s="931"/>
      <c r="AA467" s="967"/>
    </row>
    <row r="468" spans="12:27" ht="17.45" customHeight="1">
      <c r="L468" s="777">
        <v>5</v>
      </c>
      <c r="M468" s="778"/>
      <c r="N468" s="976">
        <v>0</v>
      </c>
      <c r="O468" s="1020">
        <v>411</v>
      </c>
      <c r="P468" s="865" t="e">
        <f>VLOOKUP(N468,etat!$A$9:$N$1004,2,FALSE)</f>
        <v>#N/A</v>
      </c>
      <c r="Q468" s="866" t="e">
        <f>VLOOKUP(N468,etat!$A$9:$N$963,7,FALSE)</f>
        <v>#N/A</v>
      </c>
      <c r="R468" s="866" t="e">
        <f>VLOOKUP(N468,etat!$A$9:$N$1003,9,FALSE)</f>
        <v>#N/A</v>
      </c>
      <c r="S468" s="866" t="e">
        <f>VLOOKUP(N468,etat!$A$9:$P$905,16,FALSE)</f>
        <v>#N/A</v>
      </c>
      <c r="T468" s="867"/>
      <c r="U468" s="868"/>
      <c r="V468" s="869"/>
      <c r="W468" s="869"/>
      <c r="X468" s="869"/>
      <c r="Y468" s="904"/>
      <c r="Z468" s="931"/>
      <c r="AA468" s="967"/>
    </row>
    <row r="469" spans="12:27" ht="17.45" customHeight="1">
      <c r="L469" s="777">
        <v>5</v>
      </c>
      <c r="M469" s="778"/>
      <c r="N469" s="976">
        <v>0</v>
      </c>
      <c r="O469" s="1020">
        <v>412</v>
      </c>
      <c r="P469" s="865" t="e">
        <f>VLOOKUP(N469,etat!$A$9:$N$1004,2,FALSE)</f>
        <v>#N/A</v>
      </c>
      <c r="Q469" s="866" t="e">
        <f>VLOOKUP(N469,etat!$A$9:$N$963,7,FALSE)</f>
        <v>#N/A</v>
      </c>
      <c r="R469" s="866" t="e">
        <f>VLOOKUP(N469,etat!$A$9:$N$1003,9,FALSE)</f>
        <v>#N/A</v>
      </c>
      <c r="S469" s="866" t="e">
        <f>VLOOKUP(N469,etat!$A$9:$P$905,16,FALSE)</f>
        <v>#N/A</v>
      </c>
      <c r="T469" s="867"/>
      <c r="U469" s="868"/>
      <c r="V469" s="869"/>
      <c r="W469" s="869"/>
      <c r="X469" s="869"/>
      <c r="Y469" s="904"/>
      <c r="Z469" s="931"/>
      <c r="AA469" s="967"/>
    </row>
    <row r="470" spans="12:27" ht="17.45" customHeight="1">
      <c r="L470" s="777">
        <v>5</v>
      </c>
      <c r="M470" s="906"/>
      <c r="N470" s="976">
        <v>0</v>
      </c>
      <c r="O470" s="1020">
        <v>413</v>
      </c>
      <c r="P470" s="865" t="e">
        <f>VLOOKUP(N470,etat!$A$9:$N$1004,2,FALSE)</f>
        <v>#N/A</v>
      </c>
      <c r="Q470" s="866" t="e">
        <f>VLOOKUP(N470,etat!$A$9:$N$963,7,FALSE)</f>
        <v>#N/A</v>
      </c>
      <c r="R470" s="866" t="e">
        <f>VLOOKUP(N470,etat!$A$9:$N$1003,9,FALSE)</f>
        <v>#N/A</v>
      </c>
      <c r="S470" s="866" t="e">
        <f>VLOOKUP(N470,etat!$A$9:$P$905,16,FALSE)</f>
        <v>#N/A</v>
      </c>
      <c r="T470" s="867"/>
      <c r="U470" s="868"/>
      <c r="V470" s="869"/>
      <c r="W470" s="869"/>
      <c r="X470" s="869"/>
      <c r="Y470" s="904"/>
      <c r="Z470" s="931"/>
      <c r="AA470" s="967"/>
    </row>
    <row r="471" spans="12:27" ht="17.45" customHeight="1">
      <c r="L471" s="777">
        <v>5</v>
      </c>
      <c r="M471" s="778"/>
      <c r="N471" s="976">
        <v>0</v>
      </c>
      <c r="O471" s="1020">
        <v>414</v>
      </c>
      <c r="P471" s="865" t="e">
        <f>VLOOKUP(N471,etat!$A$9:$N$1004,2,FALSE)</f>
        <v>#N/A</v>
      </c>
      <c r="Q471" s="866" t="e">
        <f>VLOOKUP(N471,etat!$A$9:$N$963,7,FALSE)</f>
        <v>#N/A</v>
      </c>
      <c r="R471" s="866" t="e">
        <f>VLOOKUP(N471,etat!$A$9:$N$1003,9,FALSE)</f>
        <v>#N/A</v>
      </c>
      <c r="S471" s="866" t="e">
        <f>VLOOKUP(N471,etat!$A$9:$P$905,16,FALSE)</f>
        <v>#N/A</v>
      </c>
      <c r="T471" s="867"/>
      <c r="U471" s="868"/>
      <c r="V471" s="869"/>
      <c r="W471" s="869"/>
      <c r="X471" s="869"/>
      <c r="Y471" s="904"/>
      <c r="Z471" s="931"/>
      <c r="AA471" s="967"/>
    </row>
    <row r="472" spans="12:27" ht="17.45" customHeight="1">
      <c r="L472" s="777">
        <v>5</v>
      </c>
      <c r="M472" s="778"/>
      <c r="N472" s="976">
        <v>0</v>
      </c>
      <c r="O472" s="1020">
        <v>415</v>
      </c>
      <c r="P472" s="865" t="e">
        <f>VLOOKUP(N472,etat!$A$9:$N$1004,2,FALSE)</f>
        <v>#N/A</v>
      </c>
      <c r="Q472" s="866" t="e">
        <f>VLOOKUP(N472,etat!$A$9:$N$963,7,FALSE)</f>
        <v>#N/A</v>
      </c>
      <c r="R472" s="866" t="e">
        <f>VLOOKUP(N472,etat!$A$9:$N$1003,9,FALSE)</f>
        <v>#N/A</v>
      </c>
      <c r="S472" s="866" t="e">
        <f>VLOOKUP(N472,etat!$A$9:$P$905,16,FALSE)</f>
        <v>#N/A</v>
      </c>
      <c r="T472" s="867"/>
      <c r="U472" s="868"/>
      <c r="V472" s="869"/>
      <c r="W472" s="869"/>
      <c r="X472" s="869"/>
      <c r="Y472" s="904"/>
      <c r="Z472" s="931"/>
      <c r="AA472" s="967"/>
    </row>
    <row r="473" spans="12:27" ht="17.45" customHeight="1">
      <c r="L473" s="777">
        <v>5</v>
      </c>
      <c r="M473" s="778"/>
      <c r="N473" s="976">
        <v>0</v>
      </c>
      <c r="O473" s="1020">
        <v>416</v>
      </c>
      <c r="P473" s="865" t="e">
        <f>VLOOKUP(N473,etat!$A$9:$N$1004,2,FALSE)</f>
        <v>#N/A</v>
      </c>
      <c r="Q473" s="866" t="e">
        <f>VLOOKUP(N473,etat!$A$9:$N$963,7,FALSE)</f>
        <v>#N/A</v>
      </c>
      <c r="R473" s="866" t="e">
        <f>VLOOKUP(N473,etat!$A$9:$N$1003,9,FALSE)</f>
        <v>#N/A</v>
      </c>
      <c r="S473" s="866" t="e">
        <f>VLOOKUP(N473,etat!$A$9:$P$905,16,FALSE)</f>
        <v>#N/A</v>
      </c>
      <c r="T473" s="867"/>
      <c r="U473" s="868"/>
      <c r="V473" s="869"/>
      <c r="W473" s="869"/>
      <c r="X473" s="869"/>
      <c r="Y473" s="904"/>
      <c r="Z473" s="931"/>
      <c r="AA473" s="967"/>
    </row>
    <row r="474" spans="12:27" ht="17.45" customHeight="1">
      <c r="L474" s="777">
        <v>5</v>
      </c>
      <c r="M474" s="778"/>
      <c r="N474" s="976">
        <v>0</v>
      </c>
      <c r="O474" s="1020">
        <v>417</v>
      </c>
      <c r="P474" s="865" t="e">
        <f>VLOOKUP(N474,etat!$A$9:$N$1004,2,FALSE)</f>
        <v>#N/A</v>
      </c>
      <c r="Q474" s="866" t="e">
        <f>VLOOKUP(N474,etat!$A$9:$N$963,7,FALSE)</f>
        <v>#N/A</v>
      </c>
      <c r="R474" s="866" t="e">
        <f>VLOOKUP(N474,etat!$A$9:$N$1003,9,FALSE)</f>
        <v>#N/A</v>
      </c>
      <c r="S474" s="866" t="e">
        <f>VLOOKUP(N474,etat!$A$9:$P$905,16,FALSE)</f>
        <v>#N/A</v>
      </c>
      <c r="T474" s="867"/>
      <c r="U474" s="868"/>
      <c r="V474" s="869"/>
      <c r="W474" s="869"/>
      <c r="X474" s="869"/>
      <c r="Y474" s="904"/>
      <c r="Z474" s="931"/>
      <c r="AA474" s="967"/>
    </row>
    <row r="475" spans="12:27" ht="17.45" customHeight="1">
      <c r="L475" s="777">
        <v>5</v>
      </c>
      <c r="M475" s="778"/>
      <c r="N475" s="976">
        <v>0</v>
      </c>
      <c r="O475" s="1020">
        <v>418</v>
      </c>
      <c r="P475" s="865" t="e">
        <f>VLOOKUP(N475,etat!$A$9:$N$1004,2,FALSE)</f>
        <v>#N/A</v>
      </c>
      <c r="Q475" s="866" t="e">
        <f>VLOOKUP(N475,etat!$A$9:$N$963,7,FALSE)</f>
        <v>#N/A</v>
      </c>
      <c r="R475" s="866" t="e">
        <f>VLOOKUP(N475,etat!$A$9:$N$1003,9,FALSE)</f>
        <v>#N/A</v>
      </c>
      <c r="S475" s="866" t="e">
        <f>VLOOKUP(N475,etat!$A$9:$P$905,16,FALSE)</f>
        <v>#N/A</v>
      </c>
      <c r="T475" s="867"/>
      <c r="U475" s="868"/>
      <c r="V475" s="869"/>
      <c r="W475" s="869"/>
      <c r="X475" s="869"/>
      <c r="Y475" s="904"/>
      <c r="Z475" s="931"/>
      <c r="AA475" s="967"/>
    </row>
    <row r="476" spans="12:27" ht="17.45" customHeight="1">
      <c r="L476" s="777">
        <v>5</v>
      </c>
      <c r="M476" s="906"/>
      <c r="N476" s="976">
        <v>0</v>
      </c>
      <c r="O476" s="1020">
        <v>419</v>
      </c>
      <c r="P476" s="865" t="e">
        <f>VLOOKUP(N476,etat!$A$9:$N$1004,2,FALSE)</f>
        <v>#N/A</v>
      </c>
      <c r="Q476" s="866" t="e">
        <f>VLOOKUP(N476,etat!$A$9:$N$963,7,FALSE)</f>
        <v>#N/A</v>
      </c>
      <c r="R476" s="866" t="e">
        <f>VLOOKUP(N476,etat!$A$9:$N$1003,9,FALSE)</f>
        <v>#N/A</v>
      </c>
      <c r="S476" s="866" t="e">
        <f>VLOOKUP(N476,etat!$A$9:$P$905,16,FALSE)</f>
        <v>#N/A</v>
      </c>
      <c r="T476" s="867"/>
      <c r="U476" s="868"/>
      <c r="V476" s="869"/>
      <c r="W476" s="869"/>
      <c r="X476" s="869"/>
      <c r="Y476" s="904"/>
      <c r="Z476" s="931"/>
      <c r="AA476" s="967"/>
    </row>
    <row r="477" spans="12:27" ht="17.45" customHeight="1">
      <c r="L477" s="777">
        <v>5</v>
      </c>
      <c r="M477" s="906"/>
      <c r="N477" s="976">
        <v>0</v>
      </c>
      <c r="O477" s="1020">
        <v>420</v>
      </c>
      <c r="P477" s="865" t="e">
        <f>VLOOKUP(N477,etat!$A$9:$N$1004,2,FALSE)</f>
        <v>#N/A</v>
      </c>
      <c r="Q477" s="866" t="e">
        <f>VLOOKUP(N477,etat!$A$9:$N$963,7,FALSE)</f>
        <v>#N/A</v>
      </c>
      <c r="R477" s="866" t="e">
        <f>VLOOKUP(N477,etat!$A$9:$N$1003,9,FALSE)</f>
        <v>#N/A</v>
      </c>
      <c r="S477" s="866" t="e">
        <f>VLOOKUP(N477,etat!$A$9:$P$905,16,FALSE)</f>
        <v>#N/A</v>
      </c>
      <c r="T477" s="867"/>
      <c r="U477" s="868"/>
      <c r="V477" s="869"/>
      <c r="W477" s="869"/>
      <c r="X477" s="869"/>
      <c r="Y477" s="904"/>
      <c r="Z477" s="931"/>
      <c r="AA477" s="967"/>
    </row>
    <row r="478" spans="12:27" ht="17.45" customHeight="1">
      <c r="L478" s="777">
        <v>5</v>
      </c>
      <c r="M478" s="778"/>
      <c r="N478" s="976">
        <v>0</v>
      </c>
      <c r="O478" s="1020">
        <v>421</v>
      </c>
      <c r="P478" s="865" t="e">
        <f>VLOOKUP(N478,etat!$A$9:$N$1004,2,FALSE)</f>
        <v>#N/A</v>
      </c>
      <c r="Q478" s="866" t="e">
        <f>VLOOKUP(N478,etat!$A$9:$N$963,7,FALSE)</f>
        <v>#N/A</v>
      </c>
      <c r="R478" s="866" t="e">
        <f>VLOOKUP(N478,etat!$A$9:$N$1003,9,FALSE)</f>
        <v>#N/A</v>
      </c>
      <c r="S478" s="866" t="e">
        <f>VLOOKUP(N478,etat!$A$9:$P$905,16,FALSE)</f>
        <v>#N/A</v>
      </c>
      <c r="T478" s="867"/>
      <c r="U478" s="868"/>
      <c r="V478" s="869"/>
      <c r="W478" s="869"/>
      <c r="X478" s="869"/>
      <c r="Y478" s="904"/>
      <c r="Z478" s="931"/>
      <c r="AA478" s="967"/>
    </row>
    <row r="479" spans="12:27" ht="17.45" customHeight="1">
      <c r="L479" s="777">
        <v>5</v>
      </c>
      <c r="M479" s="778"/>
      <c r="N479" s="976">
        <v>0</v>
      </c>
      <c r="O479" s="1020">
        <v>422</v>
      </c>
      <c r="P479" s="865" t="e">
        <f>VLOOKUP(N479,etat!$A$9:$N$1004,2,FALSE)</f>
        <v>#N/A</v>
      </c>
      <c r="Q479" s="866" t="e">
        <f>VLOOKUP(N479,etat!$A$9:$N$963,7,FALSE)</f>
        <v>#N/A</v>
      </c>
      <c r="R479" s="866" t="e">
        <f>VLOOKUP(N479,etat!$A$9:$N$1003,9,FALSE)</f>
        <v>#N/A</v>
      </c>
      <c r="S479" s="866" t="e">
        <f>VLOOKUP(N479,etat!$A$9:$P$905,16,FALSE)</f>
        <v>#N/A</v>
      </c>
      <c r="T479" s="867"/>
      <c r="U479" s="868"/>
      <c r="V479" s="869"/>
      <c r="W479" s="869"/>
      <c r="X479" s="869"/>
      <c r="Y479" s="904"/>
      <c r="Z479" s="931"/>
      <c r="AA479" s="967"/>
    </row>
    <row r="480" spans="12:27" ht="17.45" customHeight="1">
      <c r="L480" s="777">
        <v>5</v>
      </c>
      <c r="M480" s="778"/>
      <c r="N480" s="976">
        <v>0</v>
      </c>
      <c r="O480" s="1020">
        <v>423</v>
      </c>
      <c r="P480" s="865" t="e">
        <f>VLOOKUP(N480,etat!$A$9:$N$1004,2,FALSE)</f>
        <v>#N/A</v>
      </c>
      <c r="Q480" s="866" t="e">
        <f>VLOOKUP(N480,etat!$A$9:$N$963,7,FALSE)</f>
        <v>#N/A</v>
      </c>
      <c r="R480" s="866" t="e">
        <f>VLOOKUP(N480,etat!$A$9:$N$1003,9,FALSE)</f>
        <v>#N/A</v>
      </c>
      <c r="S480" s="866" t="e">
        <f>VLOOKUP(N480,etat!$A$9:$P$905,16,FALSE)</f>
        <v>#N/A</v>
      </c>
      <c r="T480" s="867"/>
      <c r="U480" s="868"/>
      <c r="V480" s="869"/>
      <c r="W480" s="869"/>
      <c r="X480" s="869"/>
      <c r="Y480" s="904"/>
      <c r="Z480" s="931"/>
      <c r="AA480" s="967"/>
    </row>
    <row r="481" spans="12:27" ht="17.45" customHeight="1">
      <c r="L481" s="777">
        <v>5</v>
      </c>
      <c r="M481" s="906"/>
      <c r="N481" s="976">
        <v>0</v>
      </c>
      <c r="O481" s="1020">
        <v>424</v>
      </c>
      <c r="P481" s="865" t="e">
        <f>VLOOKUP(N481,etat!$A$9:$N$1004,2,FALSE)</f>
        <v>#N/A</v>
      </c>
      <c r="Q481" s="866" t="e">
        <f>VLOOKUP(N481,etat!$A$9:$N$963,7,FALSE)</f>
        <v>#N/A</v>
      </c>
      <c r="R481" s="866" t="e">
        <f>VLOOKUP(N481,etat!$A$9:$N$1003,9,FALSE)</f>
        <v>#N/A</v>
      </c>
      <c r="S481" s="866" t="e">
        <f>VLOOKUP(N481,etat!$A$9:$P$905,16,FALSE)</f>
        <v>#N/A</v>
      </c>
      <c r="T481" s="867"/>
      <c r="U481" s="868"/>
      <c r="V481" s="869"/>
      <c r="W481" s="869"/>
      <c r="X481" s="869"/>
      <c r="Y481" s="904"/>
      <c r="Z481" s="931"/>
      <c r="AA481" s="967"/>
    </row>
    <row r="482" spans="12:27" ht="17.45" customHeight="1">
      <c r="L482" s="777">
        <v>5</v>
      </c>
      <c r="M482" s="906"/>
      <c r="N482" s="976">
        <v>0</v>
      </c>
      <c r="O482" s="1020">
        <v>425</v>
      </c>
      <c r="P482" s="865" t="e">
        <f>VLOOKUP(N482,etat!$A$9:$N$1004,2,FALSE)</f>
        <v>#N/A</v>
      </c>
      <c r="Q482" s="866" t="e">
        <f>VLOOKUP(N482,etat!$A$9:$N$963,7,FALSE)</f>
        <v>#N/A</v>
      </c>
      <c r="R482" s="866" t="e">
        <f>VLOOKUP(N482,etat!$A$9:$N$1003,9,FALSE)</f>
        <v>#N/A</v>
      </c>
      <c r="S482" s="866" t="e">
        <f>VLOOKUP(N482,etat!$A$9:$P$905,16,FALSE)</f>
        <v>#N/A</v>
      </c>
      <c r="T482" s="867"/>
      <c r="U482" s="868"/>
      <c r="V482" s="869"/>
      <c r="W482" s="869"/>
      <c r="X482" s="869"/>
      <c r="Y482" s="904"/>
      <c r="Z482" s="931" t="str">
        <f>VLOOKUP(L504,اس!$S$3:$X$31,3,FALSE)</f>
        <v>.</v>
      </c>
      <c r="AA482" s="967"/>
    </row>
    <row r="483" spans="12:27" ht="17.45" customHeight="1">
      <c r="L483" s="777">
        <v>5</v>
      </c>
      <c r="M483" s="906"/>
      <c r="N483" s="976">
        <v>0</v>
      </c>
      <c r="O483" s="1020">
        <v>426</v>
      </c>
      <c r="P483" s="865" t="e">
        <f>VLOOKUP(N483,etat!$A$9:$N$1004,2,FALSE)</f>
        <v>#N/A</v>
      </c>
      <c r="Q483" s="866" t="e">
        <f>VLOOKUP(N483,etat!$A$9:$N$963,7,FALSE)</f>
        <v>#N/A</v>
      </c>
      <c r="R483" s="866" t="e">
        <f>VLOOKUP(N483,etat!$A$9:$N$1003,9,FALSE)</f>
        <v>#N/A</v>
      </c>
      <c r="S483" s="866" t="e">
        <f>VLOOKUP(N483,etat!$A$9:$P$905,16,FALSE)</f>
        <v>#N/A</v>
      </c>
      <c r="T483" s="867"/>
      <c r="U483" s="868"/>
      <c r="V483" s="869"/>
      <c r="W483" s="869"/>
      <c r="X483" s="869"/>
      <c r="Y483" s="904"/>
      <c r="Z483" s="931" t="str">
        <f>VLOOKUP(L505,اس!$S$3:$X$31,3,FALSE)</f>
        <v>.</v>
      </c>
      <c r="AA483" s="967"/>
    </row>
    <row r="484" spans="12:27" ht="17.45" customHeight="1">
      <c r="L484" s="777">
        <v>5</v>
      </c>
      <c r="M484" s="906"/>
      <c r="N484" s="976">
        <v>0</v>
      </c>
      <c r="O484" s="1020">
        <v>427</v>
      </c>
      <c r="P484" s="865" t="e">
        <f>VLOOKUP(N484,etat!$A$9:$N$1004,2,FALSE)</f>
        <v>#N/A</v>
      </c>
      <c r="Q484" s="866" t="e">
        <f>VLOOKUP(N484,etat!$A$9:$N$963,7,FALSE)</f>
        <v>#N/A</v>
      </c>
      <c r="R484" s="866" t="e">
        <f>VLOOKUP(N484,etat!$A$9:$N$1003,9,FALSE)</f>
        <v>#N/A</v>
      </c>
      <c r="S484" s="866" t="e">
        <f>VLOOKUP(N484,etat!$A$9:$P$905,16,FALSE)</f>
        <v>#N/A</v>
      </c>
      <c r="T484" s="867"/>
      <c r="U484" s="868"/>
      <c r="V484" s="869"/>
      <c r="W484" s="869"/>
      <c r="X484" s="869"/>
      <c r="Y484" s="904"/>
      <c r="Z484" s="931" t="str">
        <f>VLOOKUP(L506,اس!$S$3:$X$31,3,FALSE)</f>
        <v>.</v>
      </c>
      <c r="AA484" s="967"/>
    </row>
    <row r="485" spans="12:27" ht="17.45" customHeight="1">
      <c r="L485" s="777">
        <v>5</v>
      </c>
      <c r="M485" s="864"/>
      <c r="N485" s="976">
        <v>0</v>
      </c>
      <c r="O485" s="1020">
        <v>428</v>
      </c>
      <c r="P485" s="865" t="e">
        <f>VLOOKUP(N485,etat!$A$9:$N$1004,2,FALSE)</f>
        <v>#N/A</v>
      </c>
      <c r="Q485" s="866" t="e">
        <f>VLOOKUP(N485,etat!$A$9:$N$963,7,FALSE)</f>
        <v>#N/A</v>
      </c>
      <c r="R485" s="866" t="e">
        <f>VLOOKUP(N485,etat!$A$9:$N$1003,9,FALSE)</f>
        <v>#N/A</v>
      </c>
      <c r="S485" s="866" t="e">
        <f>VLOOKUP(N485,etat!$A$9:$P$905,16,FALSE)</f>
        <v>#N/A</v>
      </c>
      <c r="T485" s="867"/>
      <c r="U485" s="868"/>
      <c r="V485" s="869"/>
      <c r="W485" s="869"/>
      <c r="X485" s="869"/>
      <c r="Y485" s="904"/>
      <c r="Z485" s="931" t="str">
        <f>VLOOKUP(L507,اس!$S$3:$X$31,3,FALSE)</f>
        <v>.</v>
      </c>
      <c r="AA485" s="967"/>
    </row>
    <row r="486" spans="12:27" ht="17.45" customHeight="1">
      <c r="L486" s="777">
        <v>5</v>
      </c>
      <c r="M486" s="864"/>
      <c r="N486" s="976">
        <v>0</v>
      </c>
      <c r="O486" s="1020">
        <v>429</v>
      </c>
      <c r="P486" s="865" t="e">
        <f>VLOOKUP(N486,etat!$A$9:$N$1004,2,FALSE)</f>
        <v>#N/A</v>
      </c>
      <c r="Q486" s="866" t="e">
        <f>VLOOKUP(N486,etat!$A$9:$N$963,7,FALSE)</f>
        <v>#N/A</v>
      </c>
      <c r="R486" s="866" t="e">
        <f>VLOOKUP(N486,etat!$A$9:$N$1003,9,FALSE)</f>
        <v>#N/A</v>
      </c>
      <c r="S486" s="866" t="e">
        <f>VLOOKUP(N486,etat!$A$9:$P$905,16,FALSE)</f>
        <v>#N/A</v>
      </c>
      <c r="T486" s="867"/>
      <c r="U486" s="868"/>
      <c r="V486" s="869"/>
      <c r="W486" s="869"/>
      <c r="X486" s="869"/>
      <c r="Y486" s="904"/>
      <c r="Z486" s="931" t="str">
        <f>VLOOKUP(L508,اس!$S$3:$X$31,3,FALSE)</f>
        <v>.</v>
      </c>
      <c r="AA486" s="967"/>
    </row>
    <row r="487" spans="12:27" ht="17.45" customHeight="1">
      <c r="L487" s="777">
        <v>5</v>
      </c>
      <c r="M487" s="864"/>
      <c r="N487" s="976">
        <v>0</v>
      </c>
      <c r="O487" s="1020">
        <v>430</v>
      </c>
      <c r="P487" s="865" t="e">
        <f>VLOOKUP(N487,etat!$A$9:$N$1004,2,FALSE)</f>
        <v>#N/A</v>
      </c>
      <c r="Q487" s="866" t="e">
        <f>VLOOKUP(N487,etat!$A$9:$N$963,7,FALSE)</f>
        <v>#N/A</v>
      </c>
      <c r="R487" s="866" t="e">
        <f>VLOOKUP(N487,etat!$A$9:$N$1003,9,FALSE)</f>
        <v>#N/A</v>
      </c>
      <c r="S487" s="866" t="e">
        <f>VLOOKUP(N487,etat!$A$9:$P$905,16,FALSE)</f>
        <v>#N/A</v>
      </c>
      <c r="T487" s="867"/>
      <c r="U487" s="868"/>
      <c r="V487" s="869"/>
      <c r="W487" s="869"/>
      <c r="X487" s="869"/>
      <c r="Y487" s="904"/>
      <c r="Z487" s="931" t="str">
        <f>VLOOKUP(L509,اس!$S$3:$X$31,3,FALSE)</f>
        <v>.</v>
      </c>
      <c r="AA487" s="967"/>
    </row>
    <row r="488" spans="12:27" ht="17.45" customHeight="1">
      <c r="L488" s="777">
        <v>5</v>
      </c>
      <c r="M488" s="864"/>
      <c r="N488" s="976">
        <v>0</v>
      </c>
      <c r="O488" s="1020">
        <v>431</v>
      </c>
      <c r="P488" s="865" t="e">
        <f>VLOOKUP(N488,etat!$A$9:$N$1004,2,FALSE)</f>
        <v>#N/A</v>
      </c>
      <c r="Q488" s="866" t="e">
        <f>VLOOKUP(N488,etat!$A$9:$N$963,7,FALSE)</f>
        <v>#N/A</v>
      </c>
      <c r="R488" s="866" t="e">
        <f>VLOOKUP(N488,etat!$A$9:$N$1003,9,FALSE)</f>
        <v>#N/A</v>
      </c>
      <c r="S488" s="866" t="e">
        <f>VLOOKUP(N488,etat!$A$9:$P$905,16,FALSE)</f>
        <v>#N/A</v>
      </c>
      <c r="T488" s="867"/>
      <c r="U488" s="868"/>
      <c r="V488" s="869"/>
      <c r="W488" s="869"/>
      <c r="X488" s="869"/>
      <c r="Y488" s="904"/>
      <c r="Z488" s="931" t="str">
        <f>VLOOKUP(L510,اس!$S$3:$X$31,3,FALSE)</f>
        <v>.</v>
      </c>
      <c r="AA488" s="967"/>
    </row>
    <row r="489" spans="12:27" ht="17.45" customHeight="1">
      <c r="L489" s="777">
        <v>5</v>
      </c>
      <c r="M489" s="864"/>
      <c r="N489" s="976">
        <v>0</v>
      </c>
      <c r="O489" s="1020">
        <v>432</v>
      </c>
      <c r="P489" s="865" t="e">
        <f>VLOOKUP(N489,etat!$A$9:$N$1004,2,FALSE)</f>
        <v>#N/A</v>
      </c>
      <c r="Q489" s="866" t="e">
        <f>VLOOKUP(N489,etat!$A$9:$N$963,7,FALSE)</f>
        <v>#N/A</v>
      </c>
      <c r="R489" s="866" t="e">
        <f>VLOOKUP(N489,etat!$A$9:$N$1003,9,FALSE)</f>
        <v>#N/A</v>
      </c>
      <c r="S489" s="866" t="e">
        <f>VLOOKUP(N489,etat!$A$9:$P$905,16,FALSE)</f>
        <v>#N/A</v>
      </c>
      <c r="T489" s="867"/>
      <c r="U489" s="868"/>
      <c r="V489" s="869"/>
      <c r="W489" s="869"/>
      <c r="X489" s="869"/>
      <c r="Y489" s="904"/>
      <c r="Z489" s="931" t="str">
        <f>VLOOKUP(L511,اس!$S$3:$X$31,3,FALSE)</f>
        <v>.</v>
      </c>
      <c r="AA489" s="967"/>
    </row>
    <row r="490" spans="12:27" ht="17.45" customHeight="1">
      <c r="L490" s="777">
        <v>5</v>
      </c>
      <c r="M490" s="864"/>
      <c r="N490" s="976">
        <v>0</v>
      </c>
      <c r="O490" s="1020">
        <v>433</v>
      </c>
      <c r="P490" s="865" t="e">
        <f>VLOOKUP(N490,etat!$A$9:$N$1004,2,FALSE)</f>
        <v>#N/A</v>
      </c>
      <c r="Q490" s="866" t="e">
        <f>VLOOKUP(N490,etat!$A$9:$N$963,7,FALSE)</f>
        <v>#N/A</v>
      </c>
      <c r="R490" s="866" t="e">
        <f>VLOOKUP(N490,etat!$A$9:$N$1003,9,FALSE)</f>
        <v>#N/A</v>
      </c>
      <c r="S490" s="866" t="e">
        <f>VLOOKUP(N490,etat!$A$9:$P$905,16,FALSE)</f>
        <v>#N/A</v>
      </c>
      <c r="T490" s="867"/>
      <c r="U490" s="868"/>
      <c r="V490" s="869"/>
      <c r="W490" s="869"/>
      <c r="X490" s="869"/>
      <c r="Y490" s="904"/>
      <c r="Z490" s="931" t="str">
        <f>VLOOKUP(L512,اس!$S$3:$X$31,3,FALSE)</f>
        <v>.</v>
      </c>
      <c r="AA490" s="967"/>
    </row>
    <row r="491" spans="12:27" ht="17.45" customHeight="1">
      <c r="L491" s="777">
        <v>5</v>
      </c>
      <c r="M491" s="864"/>
      <c r="N491" s="976">
        <v>0</v>
      </c>
      <c r="O491" s="1020">
        <v>434</v>
      </c>
      <c r="P491" s="865" t="e">
        <f>VLOOKUP(N491,etat!$A$9:$N$1004,2,FALSE)</f>
        <v>#N/A</v>
      </c>
      <c r="Q491" s="866" t="e">
        <f>VLOOKUP(N491,etat!$A$9:$N$963,7,FALSE)</f>
        <v>#N/A</v>
      </c>
      <c r="R491" s="866" t="e">
        <f>VLOOKUP(N491,etat!$A$9:$N$1003,9,FALSE)</f>
        <v>#N/A</v>
      </c>
      <c r="S491" s="866" t="e">
        <f>VLOOKUP(N491,etat!$A$9:$P$905,16,FALSE)</f>
        <v>#N/A</v>
      </c>
      <c r="T491" s="867"/>
      <c r="U491" s="868"/>
      <c r="V491" s="869"/>
      <c r="W491" s="869"/>
      <c r="X491" s="869"/>
      <c r="Y491" s="904"/>
      <c r="Z491" s="931" t="str">
        <f>VLOOKUP(L513,اس!$S$3:$X$31,3,FALSE)</f>
        <v>.</v>
      </c>
      <c r="AA491" s="967"/>
    </row>
    <row r="492" spans="12:27" ht="17.45" customHeight="1">
      <c r="L492" s="777">
        <v>5</v>
      </c>
      <c r="M492" s="864"/>
      <c r="N492" s="976">
        <v>0</v>
      </c>
      <c r="O492" s="1020">
        <v>435</v>
      </c>
      <c r="P492" s="865" t="e">
        <f>VLOOKUP(N492,etat!$A$9:$N$1004,2,FALSE)</f>
        <v>#N/A</v>
      </c>
      <c r="Q492" s="866" t="e">
        <f>VLOOKUP(N492,etat!$A$9:$N$963,7,FALSE)</f>
        <v>#N/A</v>
      </c>
      <c r="R492" s="866" t="e">
        <f>VLOOKUP(N492,etat!$A$9:$N$1003,9,FALSE)</f>
        <v>#N/A</v>
      </c>
      <c r="S492" s="866" t="e">
        <f>VLOOKUP(N492,etat!$A$9:$P$905,16,FALSE)</f>
        <v>#N/A</v>
      </c>
      <c r="T492" s="867"/>
      <c r="U492" s="868"/>
      <c r="V492" s="869"/>
      <c r="W492" s="869"/>
      <c r="X492" s="869"/>
      <c r="Y492" s="904"/>
      <c r="Z492" s="931" t="str">
        <f>VLOOKUP(L514,اس!$S$3:$X$31,3,FALSE)</f>
        <v>.</v>
      </c>
      <c r="AA492" s="967"/>
    </row>
    <row r="493" spans="12:27" ht="17.45" customHeight="1">
      <c r="L493" s="777">
        <v>5</v>
      </c>
      <c r="M493" s="864"/>
      <c r="N493" s="976">
        <v>0</v>
      </c>
      <c r="O493" s="1020">
        <v>436</v>
      </c>
      <c r="P493" s="865" t="e">
        <f>VLOOKUP(N493,etat!$A$9:$N$1004,2,FALSE)</f>
        <v>#N/A</v>
      </c>
      <c r="Q493" s="866" t="e">
        <f>VLOOKUP(N493,etat!$A$9:$N$963,7,FALSE)</f>
        <v>#N/A</v>
      </c>
      <c r="R493" s="866" t="e">
        <f>VLOOKUP(N493,etat!$A$9:$N$1003,9,FALSE)</f>
        <v>#N/A</v>
      </c>
      <c r="S493" s="866" t="e">
        <f>VLOOKUP(N493,etat!$A$9:$P$905,16,FALSE)</f>
        <v>#N/A</v>
      </c>
      <c r="T493" s="867"/>
      <c r="U493" s="868"/>
      <c r="V493" s="869"/>
      <c r="W493" s="869"/>
      <c r="X493" s="869"/>
      <c r="Y493" s="904"/>
      <c r="Z493" s="931" t="str">
        <f>VLOOKUP(L515,اس!$S$3:$X$31,3,FALSE)</f>
        <v>.</v>
      </c>
      <c r="AA493" s="967"/>
    </row>
    <row r="494" spans="12:27" ht="17.45" customHeight="1">
      <c r="L494" s="777">
        <v>5</v>
      </c>
      <c r="M494" s="864"/>
      <c r="N494" s="976">
        <v>0</v>
      </c>
      <c r="O494" s="1020">
        <v>437</v>
      </c>
      <c r="P494" s="865" t="e">
        <f>VLOOKUP(N494,etat!$A$9:$N$1004,2,FALSE)</f>
        <v>#N/A</v>
      </c>
      <c r="Q494" s="866" t="e">
        <f>VLOOKUP(N494,etat!$A$9:$N$963,7,FALSE)</f>
        <v>#N/A</v>
      </c>
      <c r="R494" s="866" t="e">
        <f>VLOOKUP(N494,etat!$A$9:$N$1003,9,FALSE)</f>
        <v>#N/A</v>
      </c>
      <c r="S494" s="866" t="e">
        <f>VLOOKUP(N494,etat!$A$9:$P$905,16,FALSE)</f>
        <v>#N/A</v>
      </c>
      <c r="T494" s="867"/>
      <c r="U494" s="868"/>
      <c r="V494" s="869"/>
      <c r="W494" s="869"/>
      <c r="X494" s="869"/>
      <c r="Y494" s="904"/>
      <c r="Z494" s="931" t="str">
        <f>VLOOKUP(L516,اس!$S$3:$X$31,3,FALSE)</f>
        <v>.</v>
      </c>
      <c r="AA494" s="967"/>
    </row>
    <row r="495" spans="12:27" ht="17.45" customHeight="1">
      <c r="L495" s="777">
        <v>5</v>
      </c>
      <c r="M495" s="864"/>
      <c r="N495" s="976">
        <v>0</v>
      </c>
      <c r="O495" s="1020">
        <v>438</v>
      </c>
      <c r="P495" s="865" t="e">
        <f>VLOOKUP(N495,etat!$A$9:$N$1004,2,FALSE)</f>
        <v>#N/A</v>
      </c>
      <c r="Q495" s="866" t="e">
        <f>VLOOKUP(N495,etat!$A$9:$N$963,7,FALSE)</f>
        <v>#N/A</v>
      </c>
      <c r="R495" s="866" t="e">
        <f>VLOOKUP(N495,etat!$A$9:$N$1003,9,FALSE)</f>
        <v>#N/A</v>
      </c>
      <c r="S495" s="866" t="e">
        <f>VLOOKUP(N495,etat!$A$9:$P$905,16,FALSE)</f>
        <v>#N/A</v>
      </c>
      <c r="T495" s="867"/>
      <c r="U495" s="868"/>
      <c r="V495" s="869"/>
      <c r="W495" s="869"/>
      <c r="X495" s="869"/>
      <c r="Y495" s="904"/>
      <c r="Z495" s="931" t="str">
        <f>VLOOKUP(L517,اس!$S$3:$X$31,3,FALSE)</f>
        <v>.</v>
      </c>
      <c r="AA495" s="967"/>
    </row>
    <row r="496" spans="12:27" ht="17.45" customHeight="1">
      <c r="L496" s="777">
        <v>5</v>
      </c>
      <c r="M496" s="864"/>
      <c r="N496" s="976">
        <v>0</v>
      </c>
      <c r="O496" s="1020">
        <v>439</v>
      </c>
      <c r="P496" s="865" t="e">
        <f>VLOOKUP(N496,etat!$A$9:$N$1004,2,FALSE)</f>
        <v>#N/A</v>
      </c>
      <c r="Q496" s="866" t="e">
        <f>VLOOKUP(N496,etat!$A$9:$N$963,7,FALSE)</f>
        <v>#N/A</v>
      </c>
      <c r="R496" s="866" t="e">
        <f>VLOOKUP(N496,etat!$A$9:$N$1003,9,FALSE)</f>
        <v>#N/A</v>
      </c>
      <c r="S496" s="797" t="e">
        <f>VLOOKUP(N496,etat!$A$9:$P$905,16,FALSE)</f>
        <v>#N/A</v>
      </c>
      <c r="T496" s="867"/>
      <c r="U496" s="868"/>
      <c r="V496" s="869"/>
      <c r="W496" s="869"/>
      <c r="X496" s="869"/>
      <c r="Y496" s="904"/>
      <c r="Z496" s="931" t="str">
        <f>VLOOKUP(L518,اس!$S$3:$X$31,3,FALSE)</f>
        <v>.</v>
      </c>
      <c r="AA496" s="967"/>
    </row>
    <row r="497" spans="12:27" ht="17.45" customHeight="1">
      <c r="L497" s="777">
        <v>5</v>
      </c>
      <c r="M497" s="864"/>
      <c r="N497" s="976">
        <v>0</v>
      </c>
      <c r="O497" s="1020">
        <v>440</v>
      </c>
      <c r="P497" s="865" t="e">
        <f>VLOOKUP(N497,etat!$A$9:$N$1004,2,FALSE)</f>
        <v>#N/A</v>
      </c>
      <c r="Q497" s="866" t="e">
        <f>VLOOKUP(N497,etat!$A$9:$N$963,7,FALSE)</f>
        <v>#N/A</v>
      </c>
      <c r="R497" s="866" t="e">
        <f>VLOOKUP(N497,etat!$A$9:$N$1003,9,FALSE)</f>
        <v>#N/A</v>
      </c>
      <c r="S497" s="797" t="e">
        <f>VLOOKUP(N497,etat!$A$9:$P$905,16,FALSE)</f>
        <v>#N/A</v>
      </c>
      <c r="T497" s="867"/>
      <c r="U497" s="868"/>
      <c r="V497" s="869"/>
      <c r="W497" s="869"/>
      <c r="X497" s="869"/>
      <c r="Y497" s="904"/>
      <c r="Z497" s="931" t="str">
        <f>VLOOKUP(L519,اس!$S$3:$X$31,3,FALSE)</f>
        <v>.</v>
      </c>
      <c r="AA497" s="967"/>
    </row>
    <row r="498" spans="12:27" ht="17.45" customHeight="1">
      <c r="L498" s="777">
        <v>5</v>
      </c>
      <c r="M498" s="864"/>
      <c r="N498" s="976">
        <v>0</v>
      </c>
      <c r="O498" s="1020">
        <v>441</v>
      </c>
      <c r="P498" s="865" t="e">
        <f>VLOOKUP(N498,etat!$A$9:$N$1004,2,FALSE)</f>
        <v>#N/A</v>
      </c>
      <c r="Q498" s="866" t="e">
        <f>VLOOKUP(N498,etat!$A$9:$N$963,7,FALSE)</f>
        <v>#N/A</v>
      </c>
      <c r="R498" s="866" t="e">
        <f>VLOOKUP(N498,etat!$A$9:$N$1003,9,FALSE)</f>
        <v>#N/A</v>
      </c>
      <c r="S498" s="797" t="e">
        <f>VLOOKUP(N498,etat!$A$9:$P$905,16,FALSE)</f>
        <v>#N/A</v>
      </c>
      <c r="T498" s="867"/>
      <c r="U498" s="868"/>
      <c r="V498" s="869"/>
      <c r="W498" s="869"/>
      <c r="X498" s="869"/>
      <c r="Y498" s="904"/>
      <c r="Z498" s="931" t="str">
        <f>VLOOKUP(L520,اس!$S$3:$X$31,3,FALSE)</f>
        <v>.</v>
      </c>
      <c r="AA498" s="967"/>
    </row>
    <row r="499" spans="12:27" ht="17.45" customHeight="1">
      <c r="L499" s="777">
        <v>5</v>
      </c>
      <c r="M499" s="864"/>
      <c r="N499" s="976">
        <v>0</v>
      </c>
      <c r="O499" s="1020">
        <v>442</v>
      </c>
      <c r="P499" s="865" t="e">
        <f>VLOOKUP(N499,etat!$A$9:$N$1004,2,FALSE)</f>
        <v>#N/A</v>
      </c>
      <c r="Q499" s="866" t="e">
        <f>VLOOKUP(N499,etat!$A$9:$N$963,7,FALSE)</f>
        <v>#N/A</v>
      </c>
      <c r="R499" s="866" t="e">
        <f>VLOOKUP(N499,etat!$A$9:$N$1003,9,FALSE)</f>
        <v>#N/A</v>
      </c>
      <c r="S499" s="797" t="e">
        <f>VLOOKUP(N499,etat!$A$9:$P$905,16,FALSE)</f>
        <v>#N/A</v>
      </c>
      <c r="T499" s="867"/>
      <c r="U499" s="868"/>
      <c r="V499" s="869"/>
      <c r="W499" s="869"/>
      <c r="X499" s="869"/>
      <c r="Y499" s="904"/>
      <c r="Z499" s="931" t="str">
        <f>VLOOKUP(L521,اس!$S$3:$X$31,3,FALSE)</f>
        <v>.</v>
      </c>
      <c r="AA499" s="967"/>
    </row>
    <row r="500" spans="12:27" ht="17.45" customHeight="1">
      <c r="L500" s="777">
        <v>5</v>
      </c>
      <c r="M500" s="864"/>
      <c r="N500" s="976">
        <v>0</v>
      </c>
      <c r="O500" s="1020">
        <v>443</v>
      </c>
      <c r="P500" s="865" t="e">
        <f>VLOOKUP(N500,etat!$A$9:$N$1004,2,FALSE)</f>
        <v>#N/A</v>
      </c>
      <c r="Q500" s="866" t="e">
        <f>VLOOKUP(N500,etat!$A$9:$N$963,7,FALSE)</f>
        <v>#N/A</v>
      </c>
      <c r="R500" s="866" t="e">
        <f>VLOOKUP(N500,etat!$A$9:$N$1003,9,FALSE)</f>
        <v>#N/A</v>
      </c>
      <c r="S500" s="797" t="e">
        <f>VLOOKUP(N500,etat!$A$9:$P$905,16,FALSE)</f>
        <v>#N/A</v>
      </c>
      <c r="T500" s="867"/>
      <c r="U500" s="868"/>
      <c r="V500" s="869"/>
      <c r="W500" s="869"/>
      <c r="X500" s="869"/>
      <c r="Y500" s="904"/>
      <c r="Z500" s="931" t="str">
        <f>VLOOKUP(L500,اس!$S$3:$X$31,3,FALSE)</f>
        <v>.</v>
      </c>
      <c r="AA500" s="967"/>
    </row>
    <row r="501" spans="12:27" ht="17.45" customHeight="1">
      <c r="L501" s="777">
        <v>5</v>
      </c>
      <c r="M501" s="864"/>
      <c r="N501" s="976">
        <v>0</v>
      </c>
      <c r="O501" s="1020">
        <v>444</v>
      </c>
      <c r="P501" s="865" t="e">
        <f>VLOOKUP(N501,etat!$A$9:$N$1004,2,FALSE)</f>
        <v>#N/A</v>
      </c>
      <c r="Q501" s="866" t="e">
        <f>VLOOKUP(N501,etat!$A$9:$N$963,7,FALSE)</f>
        <v>#N/A</v>
      </c>
      <c r="R501" s="866" t="e">
        <f>VLOOKUP(N501,etat!$A$9:$N$1003,9,FALSE)</f>
        <v>#N/A</v>
      </c>
      <c r="S501" s="797" t="e">
        <f>VLOOKUP(N501,etat!$A$9:$P$905,16,FALSE)</f>
        <v>#N/A</v>
      </c>
      <c r="T501" s="867"/>
      <c r="U501" s="868"/>
      <c r="V501" s="869"/>
      <c r="W501" s="869"/>
      <c r="X501" s="869"/>
      <c r="Y501" s="904"/>
      <c r="Z501" s="931" t="str">
        <f>VLOOKUP(L501,اس!$S$3:$X$31,3,FALSE)</f>
        <v>.</v>
      </c>
      <c r="AA501" s="967"/>
    </row>
    <row r="502" spans="12:27" ht="17.45" customHeight="1">
      <c r="L502" s="777">
        <v>5</v>
      </c>
      <c r="M502" s="864"/>
      <c r="N502" s="976">
        <v>0</v>
      </c>
      <c r="O502" s="1020">
        <v>445</v>
      </c>
      <c r="P502" s="865" t="e">
        <f>VLOOKUP(N502,etat!$A$9:$N$1004,2,FALSE)</f>
        <v>#N/A</v>
      </c>
      <c r="Q502" s="866" t="e">
        <f>VLOOKUP(N502,etat!$A$9:$N$963,7,FALSE)</f>
        <v>#N/A</v>
      </c>
      <c r="R502" s="866" t="e">
        <f>VLOOKUP(N502,etat!$A$9:$N$1003,9,FALSE)</f>
        <v>#N/A</v>
      </c>
      <c r="S502" s="797" t="e">
        <f>VLOOKUP(N502,etat!$A$9:$P$905,16,FALSE)</f>
        <v>#N/A</v>
      </c>
      <c r="T502" s="867"/>
      <c r="U502" s="868"/>
      <c r="V502" s="869"/>
      <c r="W502" s="869"/>
      <c r="X502" s="869"/>
      <c r="Y502" s="904"/>
      <c r="Z502" s="931" t="str">
        <f>VLOOKUP(L502,اس!$S$3:$X$31,3,FALSE)</f>
        <v>.</v>
      </c>
      <c r="AA502" s="967"/>
    </row>
    <row r="503" spans="12:27" ht="17.45" customHeight="1">
      <c r="L503" s="777">
        <v>5</v>
      </c>
      <c r="M503" s="864"/>
      <c r="N503" s="976">
        <v>0</v>
      </c>
      <c r="O503" s="1020">
        <v>446</v>
      </c>
      <c r="P503" s="865" t="e">
        <f>VLOOKUP(N503,etat!$A$9:$N$1004,2,FALSE)</f>
        <v>#N/A</v>
      </c>
      <c r="Q503" s="866" t="e">
        <f>VLOOKUP(N503,etat!$A$9:$N$963,7,FALSE)</f>
        <v>#N/A</v>
      </c>
      <c r="R503" s="866" t="e">
        <f>VLOOKUP(N503,etat!$A$9:$N$1003,9,FALSE)</f>
        <v>#N/A</v>
      </c>
      <c r="S503" s="797" t="e">
        <f>VLOOKUP(N503,etat!$A$9:$P$905,16,FALSE)</f>
        <v>#N/A</v>
      </c>
      <c r="T503" s="867"/>
      <c r="U503" s="868"/>
      <c r="V503" s="869"/>
      <c r="W503" s="869"/>
      <c r="X503" s="869"/>
      <c r="Y503" s="904"/>
      <c r="Z503" s="931" t="str">
        <f>VLOOKUP(L503,اس!$S$3:$X$31,3,FALSE)</f>
        <v>.</v>
      </c>
      <c r="AA503" s="967"/>
    </row>
    <row r="504" spans="12:27" ht="17.45" customHeight="1">
      <c r="L504" s="777">
        <v>5</v>
      </c>
      <c r="M504" s="864"/>
      <c r="N504" s="976">
        <v>0</v>
      </c>
      <c r="O504" s="1020">
        <v>447</v>
      </c>
      <c r="P504" s="865" t="e">
        <f>VLOOKUP(N504,etat!$A$9:$N$1004,2,FALSE)</f>
        <v>#N/A</v>
      </c>
      <c r="Q504" s="866" t="e">
        <f>VLOOKUP(N504,etat!$A$9:$N$963,7,FALSE)</f>
        <v>#N/A</v>
      </c>
      <c r="R504" s="866" t="e">
        <f>VLOOKUP(N504,etat!$A$9:$N$1003,9,FALSE)</f>
        <v>#N/A</v>
      </c>
      <c r="S504" s="797" t="e">
        <f>VLOOKUP(N504,etat!$A$9:$P$905,16,FALSE)</f>
        <v>#N/A</v>
      </c>
      <c r="T504" s="867"/>
      <c r="U504" s="868"/>
      <c r="V504" s="869"/>
      <c r="W504" s="869"/>
      <c r="X504" s="869"/>
      <c r="Y504" s="904"/>
      <c r="Z504" s="931" t="str">
        <f>VLOOKUP(L504,اس!$S$3:$X$31,3,FALSE)</f>
        <v>.</v>
      </c>
      <c r="AA504" s="967"/>
    </row>
    <row r="505" spans="12:27" ht="17.45" customHeight="1">
      <c r="L505" s="777">
        <v>5</v>
      </c>
      <c r="M505" s="864"/>
      <c r="N505" s="976">
        <v>0</v>
      </c>
      <c r="O505" s="1020">
        <v>448</v>
      </c>
      <c r="P505" s="865" t="e">
        <f>VLOOKUP(N505,etat!$A$9:$N$1004,2,FALSE)</f>
        <v>#N/A</v>
      </c>
      <c r="Q505" s="866" t="e">
        <f>VLOOKUP(N505,etat!$A$9:$N$963,7,FALSE)</f>
        <v>#N/A</v>
      </c>
      <c r="R505" s="866" t="e">
        <f>VLOOKUP(N505,etat!$A$9:$N$1003,9,FALSE)</f>
        <v>#N/A</v>
      </c>
      <c r="S505" s="797" t="e">
        <f>VLOOKUP(N505,etat!$A$9:$P$905,16,FALSE)</f>
        <v>#N/A</v>
      </c>
      <c r="T505" s="867"/>
      <c r="U505" s="868"/>
      <c r="V505" s="869"/>
      <c r="W505" s="869"/>
      <c r="X505" s="869"/>
      <c r="Y505" s="904"/>
      <c r="Z505" s="931" t="str">
        <f>VLOOKUP(L505,اس!$S$3:$X$31,3,FALSE)</f>
        <v>.</v>
      </c>
      <c r="AA505" s="967"/>
    </row>
    <row r="506" spans="12:27" ht="17.100000000000001" customHeight="1">
      <c r="L506" s="777">
        <v>5</v>
      </c>
      <c r="M506" s="864"/>
      <c r="N506" s="976">
        <v>0</v>
      </c>
      <c r="O506" s="1020">
        <v>449</v>
      </c>
      <c r="P506" s="865" t="e">
        <f>VLOOKUP(N506,etat!$A$9:$N$1004,2,FALSE)</f>
        <v>#N/A</v>
      </c>
      <c r="Q506" s="866" t="e">
        <f>VLOOKUP(N506,etat!$A$9:$N$963,7,FALSE)</f>
        <v>#N/A</v>
      </c>
      <c r="R506" s="866" t="e">
        <f>VLOOKUP(N506,etat!$A$9:$N$1003,9,FALSE)</f>
        <v>#N/A</v>
      </c>
      <c r="S506" s="797" t="e">
        <f>VLOOKUP(N506,etat!$A$9:$P$905,16,FALSE)</f>
        <v>#N/A</v>
      </c>
      <c r="T506" s="867"/>
      <c r="U506" s="868"/>
      <c r="V506" s="869"/>
      <c r="W506" s="869"/>
      <c r="X506" s="869"/>
      <c r="Y506" s="904"/>
      <c r="Z506" s="931" t="str">
        <f>VLOOKUP(L506,اس!$S$3:$X$31,3,FALSE)</f>
        <v>.</v>
      </c>
      <c r="AA506" s="967"/>
    </row>
    <row r="507" spans="12:27" ht="17.100000000000001" customHeight="1">
      <c r="L507" s="777">
        <v>5</v>
      </c>
      <c r="M507" s="864"/>
      <c r="N507" s="976">
        <v>0</v>
      </c>
      <c r="O507" s="1020">
        <v>450</v>
      </c>
      <c r="P507" s="865" t="e">
        <f>VLOOKUP(N507,etat!$A$9:$N$1004,2,FALSE)</f>
        <v>#N/A</v>
      </c>
      <c r="Q507" s="866" t="e">
        <f>VLOOKUP(N507,etat!$A$9:$N$963,7,FALSE)</f>
        <v>#N/A</v>
      </c>
      <c r="R507" s="866" t="e">
        <f>VLOOKUP(N507,etat!$A$9:$N$1003,9,FALSE)</f>
        <v>#N/A</v>
      </c>
      <c r="S507" s="797" t="e">
        <f>VLOOKUP(N507,etat!$A$9:$P$905,16,FALSE)</f>
        <v>#N/A</v>
      </c>
      <c r="T507" s="867"/>
      <c r="U507" s="868"/>
      <c r="V507" s="869"/>
      <c r="W507" s="869"/>
      <c r="X507" s="869"/>
      <c r="Y507" s="904"/>
      <c r="Z507" s="931" t="str">
        <f>VLOOKUP(L507,اس!$S$3:$X$31,3,FALSE)</f>
        <v>.</v>
      </c>
      <c r="AA507" s="967"/>
    </row>
    <row r="508" spans="12:27" ht="17.100000000000001" customHeight="1">
      <c r="L508" s="777">
        <v>5</v>
      </c>
      <c r="M508" s="864"/>
      <c r="N508" s="976">
        <v>0</v>
      </c>
      <c r="O508" s="1020">
        <v>451</v>
      </c>
      <c r="P508" s="865" t="e">
        <f>VLOOKUP(N508,etat!$A$9:$N$1004,2,FALSE)</f>
        <v>#N/A</v>
      </c>
      <c r="Q508" s="866" t="e">
        <f>VLOOKUP(N508,etat!$A$9:$N$963,7,FALSE)</f>
        <v>#N/A</v>
      </c>
      <c r="R508" s="866" t="e">
        <f>VLOOKUP(N508,etat!$A$9:$N$1003,9,FALSE)</f>
        <v>#N/A</v>
      </c>
      <c r="S508" s="797" t="e">
        <f>VLOOKUP(N508,etat!$A$9:$P$905,16,FALSE)</f>
        <v>#N/A</v>
      </c>
      <c r="T508" s="867"/>
      <c r="U508" s="868"/>
      <c r="V508" s="869"/>
      <c r="W508" s="869"/>
      <c r="X508" s="869"/>
      <c r="Y508" s="904"/>
      <c r="Z508" s="931" t="str">
        <f>VLOOKUP(L508,اس!$S$3:$X$31,3,FALSE)</f>
        <v>.</v>
      </c>
      <c r="AA508" s="967"/>
    </row>
    <row r="509" spans="12:27" ht="17.100000000000001" customHeight="1">
      <c r="L509" s="777">
        <v>5</v>
      </c>
      <c r="M509" s="864"/>
      <c r="N509" s="976">
        <v>0</v>
      </c>
      <c r="O509" s="1020">
        <v>452</v>
      </c>
      <c r="P509" s="865" t="e">
        <f>VLOOKUP(N509,etat!$A$9:$N$1004,2,FALSE)</f>
        <v>#N/A</v>
      </c>
      <c r="Q509" s="866" t="e">
        <f>VLOOKUP(N509,etat!$A$9:$N$963,7,FALSE)</f>
        <v>#N/A</v>
      </c>
      <c r="R509" s="866" t="e">
        <f>VLOOKUP(N509,etat!$A$9:$N$1003,9,FALSE)</f>
        <v>#N/A</v>
      </c>
      <c r="S509" s="797" t="e">
        <f>VLOOKUP(N509,etat!$A$9:$P$905,16,FALSE)</f>
        <v>#N/A</v>
      </c>
      <c r="T509" s="867"/>
      <c r="U509" s="868"/>
      <c r="V509" s="869"/>
      <c r="W509" s="869"/>
      <c r="X509" s="869"/>
      <c r="Y509" s="904"/>
      <c r="Z509" s="931" t="str">
        <f>VLOOKUP(L509,اس!$S$3:$X$31,3,FALSE)</f>
        <v>.</v>
      </c>
      <c r="AA509" s="967"/>
    </row>
    <row r="510" spans="12:27" ht="17.100000000000001" customHeight="1">
      <c r="L510" s="777">
        <v>5</v>
      </c>
      <c r="M510" s="864"/>
      <c r="N510" s="976">
        <v>0</v>
      </c>
      <c r="O510" s="1020">
        <v>453</v>
      </c>
      <c r="P510" s="865" t="s">
        <v>2262</v>
      </c>
      <c r="Q510" s="866" t="e">
        <f>VLOOKUP(N510,etat!$A$9:$N$963,7,FALSE)</f>
        <v>#N/A</v>
      </c>
      <c r="R510" s="866" t="e">
        <f>VLOOKUP(N510,etat!$A$9:$N$1003,9,FALSE)</f>
        <v>#N/A</v>
      </c>
      <c r="S510" s="797" t="e">
        <f>VLOOKUP(N510,etat!$A$9:$P$905,16,FALSE)</f>
        <v>#N/A</v>
      </c>
      <c r="T510" s="867"/>
      <c r="U510" s="868"/>
      <c r="V510" s="869"/>
      <c r="W510" s="869"/>
      <c r="X510" s="869"/>
      <c r="Y510" s="904"/>
      <c r="Z510" s="931" t="str">
        <f>VLOOKUP(L510,اس!$S$3:$X$31,3,FALSE)</f>
        <v>.</v>
      </c>
      <c r="AA510" s="967"/>
    </row>
    <row r="511" spans="12:27" ht="17.100000000000001" customHeight="1">
      <c r="L511" s="777">
        <v>5</v>
      </c>
      <c r="M511" s="864"/>
      <c r="N511" s="976">
        <v>0</v>
      </c>
      <c r="O511" s="1020">
        <v>454</v>
      </c>
      <c r="P511" s="865" t="e">
        <f>VLOOKUP(N511,etat!$A$9:$N$1004,2,FALSE)</f>
        <v>#N/A</v>
      </c>
      <c r="Q511" s="866" t="e">
        <f>VLOOKUP(N511,etat!$A$9:$N$963,7,FALSE)</f>
        <v>#N/A</v>
      </c>
      <c r="R511" s="866" t="e">
        <f>VLOOKUP(N511,etat!$A$9:$N$1003,9,FALSE)</f>
        <v>#N/A</v>
      </c>
      <c r="S511" s="797" t="e">
        <f>VLOOKUP(N511,etat!$A$9:$P$905,16,FALSE)</f>
        <v>#N/A</v>
      </c>
      <c r="T511" s="867"/>
      <c r="U511" s="868"/>
      <c r="V511" s="869"/>
      <c r="W511" s="869"/>
      <c r="X511" s="869"/>
      <c r="Y511" s="904"/>
      <c r="Z511" s="931" t="str">
        <f>VLOOKUP(L511,اس!$S$3:$X$31,3,FALSE)</f>
        <v>.</v>
      </c>
      <c r="AA511" s="967"/>
    </row>
    <row r="512" spans="12:27" ht="17.100000000000001" customHeight="1">
      <c r="L512" s="777">
        <v>5</v>
      </c>
      <c r="M512" s="864"/>
      <c r="N512" s="976">
        <v>0</v>
      </c>
      <c r="O512" s="1020">
        <v>455</v>
      </c>
      <c r="P512" s="865" t="e">
        <f>VLOOKUP(N512,etat!$A$9:$N$1004,2,FALSE)</f>
        <v>#N/A</v>
      </c>
      <c r="Q512" s="866" t="e">
        <f>VLOOKUP(N512,etat!$A$9:$N$963,7,FALSE)</f>
        <v>#N/A</v>
      </c>
      <c r="R512" s="866" t="e">
        <f>VLOOKUP(N512,etat!$A$9:$N$1003,9,FALSE)</f>
        <v>#N/A</v>
      </c>
      <c r="S512" s="797" t="e">
        <f>VLOOKUP(N512,etat!$A$9:$P$905,16,FALSE)</f>
        <v>#N/A</v>
      </c>
      <c r="T512" s="867"/>
      <c r="U512" s="868"/>
      <c r="V512" s="869"/>
      <c r="W512" s="869"/>
      <c r="X512" s="869"/>
      <c r="Y512" s="904"/>
      <c r="Z512" s="931" t="str">
        <f>VLOOKUP(L512,اس!$S$3:$X$31,3,FALSE)</f>
        <v>.</v>
      </c>
      <c r="AA512" s="967"/>
    </row>
    <row r="513" spans="12:27" ht="17.100000000000001" customHeight="1">
      <c r="L513" s="777">
        <v>5</v>
      </c>
      <c r="M513" s="864"/>
      <c r="N513" s="976">
        <v>0</v>
      </c>
      <c r="O513" s="1020">
        <v>456</v>
      </c>
      <c r="P513" s="865" t="e">
        <f>VLOOKUP(N513,etat!$A$9:$N$1004,2,FALSE)</f>
        <v>#N/A</v>
      </c>
      <c r="Q513" s="866" t="e">
        <f>VLOOKUP(N513,etat!$A$9:$N$963,7,FALSE)</f>
        <v>#N/A</v>
      </c>
      <c r="R513" s="866" t="e">
        <f>VLOOKUP(N513,etat!$A$9:$N$1003,9,FALSE)</f>
        <v>#N/A</v>
      </c>
      <c r="S513" s="797" t="e">
        <f>VLOOKUP(N513,etat!$A$9:$P$905,16,FALSE)</f>
        <v>#N/A</v>
      </c>
      <c r="T513" s="867"/>
      <c r="U513" s="868"/>
      <c r="V513" s="869"/>
      <c r="W513" s="869"/>
      <c r="X513" s="869"/>
      <c r="Y513" s="904"/>
      <c r="Z513" s="931" t="str">
        <f>VLOOKUP(L513,اس!$S$3:$X$31,3,FALSE)</f>
        <v>.</v>
      </c>
      <c r="AA513" s="967"/>
    </row>
    <row r="514" spans="12:27" ht="17.100000000000001" customHeight="1">
      <c r="L514" s="777">
        <v>5</v>
      </c>
      <c r="M514" s="864"/>
      <c r="N514" s="976">
        <v>0</v>
      </c>
      <c r="O514" s="1020">
        <v>457</v>
      </c>
      <c r="P514" s="865" t="e">
        <f>VLOOKUP(N514,etat!$A$9:$N$1004,2,FALSE)</f>
        <v>#N/A</v>
      </c>
      <c r="Q514" s="866" t="e">
        <f>VLOOKUP(N514,etat!$A$9:$N$963,7,FALSE)</f>
        <v>#N/A</v>
      </c>
      <c r="R514" s="866" t="e">
        <f>VLOOKUP(N514,etat!$A$9:$N$1003,9,FALSE)</f>
        <v>#N/A</v>
      </c>
      <c r="S514" s="797" t="e">
        <f>VLOOKUP(N514,etat!$A$9:$P$905,16,FALSE)</f>
        <v>#N/A</v>
      </c>
      <c r="T514" s="867"/>
      <c r="U514" s="868"/>
      <c r="V514" s="869"/>
      <c r="W514" s="869"/>
      <c r="X514" s="869"/>
      <c r="Y514" s="904"/>
      <c r="Z514" s="931" t="str">
        <f>VLOOKUP(L514,اس!$S$3:$X$31,3,FALSE)</f>
        <v>.</v>
      </c>
      <c r="AA514" s="967"/>
    </row>
    <row r="515" spans="12:27" ht="17.100000000000001" customHeight="1">
      <c r="L515" s="777">
        <v>5</v>
      </c>
      <c r="M515" s="864"/>
      <c r="N515" s="976">
        <v>0</v>
      </c>
      <c r="O515" s="1020">
        <v>458</v>
      </c>
      <c r="P515" s="865" t="e">
        <f>VLOOKUP(N515,etat!$A$9:$N$1004,2,FALSE)</f>
        <v>#N/A</v>
      </c>
      <c r="Q515" s="866" t="e">
        <f>VLOOKUP(N515,etat!$A$9:$N$963,7,FALSE)</f>
        <v>#N/A</v>
      </c>
      <c r="R515" s="866" t="e">
        <f>VLOOKUP(N515,etat!$A$9:$N$1003,9,FALSE)</f>
        <v>#N/A</v>
      </c>
      <c r="S515" s="797" t="e">
        <f>VLOOKUP(N515,etat!$A$9:$P$905,16,FALSE)</f>
        <v>#N/A</v>
      </c>
      <c r="T515" s="867"/>
      <c r="U515" s="868"/>
      <c r="V515" s="869"/>
      <c r="W515" s="869"/>
      <c r="X515" s="869"/>
      <c r="Y515" s="904"/>
      <c r="Z515" s="931" t="str">
        <f>VLOOKUP(L515,اس!$S$3:$X$31,3,FALSE)</f>
        <v>.</v>
      </c>
      <c r="AA515" s="967"/>
    </row>
    <row r="516" spans="12:27" ht="17.100000000000001" customHeight="1">
      <c r="L516" s="777">
        <v>5</v>
      </c>
      <c r="M516" s="864"/>
      <c r="N516" s="976">
        <v>0</v>
      </c>
      <c r="O516" s="1020">
        <v>459</v>
      </c>
      <c r="P516" s="865" t="e">
        <f>VLOOKUP(N516,etat!$A$9:$N$1004,2,FALSE)</f>
        <v>#N/A</v>
      </c>
      <c r="Q516" s="866" t="e">
        <f>VLOOKUP(N516,etat!$A$9:$N$963,7,FALSE)</f>
        <v>#N/A</v>
      </c>
      <c r="R516" s="866" t="e">
        <f>VLOOKUP(N516,etat!$A$9:$N$1003,9,FALSE)</f>
        <v>#N/A</v>
      </c>
      <c r="S516" s="797" t="e">
        <f>VLOOKUP(N516,etat!$A$9:$P$905,16,FALSE)</f>
        <v>#N/A</v>
      </c>
      <c r="T516" s="867"/>
      <c r="U516" s="868"/>
      <c r="V516" s="869"/>
      <c r="W516" s="869"/>
      <c r="X516" s="869"/>
      <c r="Y516" s="904"/>
      <c r="Z516" s="931" t="str">
        <f>VLOOKUP(L516,اس!$S$3:$X$31,3,FALSE)</f>
        <v>.</v>
      </c>
      <c r="AA516" s="967"/>
    </row>
    <row r="517" spans="12:27" ht="17.100000000000001" customHeight="1">
      <c r="L517" s="777">
        <v>5</v>
      </c>
      <c r="M517" s="864"/>
      <c r="N517" s="976">
        <v>0</v>
      </c>
      <c r="O517" s="1020">
        <v>460</v>
      </c>
      <c r="P517" s="865" t="e">
        <f>VLOOKUP(N517,etat!$A$9:$N$1004,2,FALSE)</f>
        <v>#N/A</v>
      </c>
      <c r="Q517" s="866" t="e">
        <f>VLOOKUP(N517,etat!$A$9:$N$963,7,FALSE)</f>
        <v>#N/A</v>
      </c>
      <c r="R517" s="866" t="e">
        <f>VLOOKUP(N517,etat!$A$9:$N$1003,9,FALSE)</f>
        <v>#N/A</v>
      </c>
      <c r="S517" s="797" t="e">
        <f>VLOOKUP(N517,etat!$A$9:$P$905,16,FALSE)</f>
        <v>#N/A</v>
      </c>
      <c r="T517" s="867"/>
      <c r="U517" s="868"/>
      <c r="V517" s="869"/>
      <c r="W517" s="869"/>
      <c r="X517" s="869"/>
      <c r="Y517" s="904"/>
      <c r="Z517" s="931" t="str">
        <f>VLOOKUP(L517,اس!$S$3:$X$31,3,FALSE)</f>
        <v>.</v>
      </c>
      <c r="AA517" s="967"/>
    </row>
    <row r="518" spans="12:27" ht="17.100000000000001" customHeight="1">
      <c r="L518" s="777">
        <v>5</v>
      </c>
      <c r="M518" s="864"/>
      <c r="N518" s="976">
        <v>0</v>
      </c>
      <c r="O518" s="1020">
        <v>461</v>
      </c>
      <c r="P518" s="865" t="e">
        <f>VLOOKUP(N518,etat!$A$9:$N$1004,2,FALSE)</f>
        <v>#N/A</v>
      </c>
      <c r="Q518" s="866" t="e">
        <f>VLOOKUP(N518,etat!$A$9:$N$963,7,FALSE)</f>
        <v>#N/A</v>
      </c>
      <c r="R518" s="866" t="e">
        <f>VLOOKUP(N518,etat!$A$9:$N$1003,9,FALSE)</f>
        <v>#N/A</v>
      </c>
      <c r="S518" s="797" t="e">
        <f>VLOOKUP(N518,etat!$A$9:$P$905,16,FALSE)</f>
        <v>#N/A</v>
      </c>
      <c r="T518" s="867"/>
      <c r="U518" s="868"/>
      <c r="V518" s="869"/>
      <c r="W518" s="869"/>
      <c r="X518" s="869"/>
      <c r="Y518" s="904"/>
      <c r="Z518" s="931" t="str">
        <f>VLOOKUP(L518,اس!$S$3:$X$31,3,FALSE)</f>
        <v>.</v>
      </c>
      <c r="AA518" s="967"/>
    </row>
    <row r="519" spans="12:27" ht="17.100000000000001" customHeight="1">
      <c r="L519" s="777">
        <v>5</v>
      </c>
      <c r="M519" s="864"/>
      <c r="N519" s="976">
        <v>0</v>
      </c>
      <c r="O519" s="1020">
        <v>462</v>
      </c>
      <c r="P519" s="865" t="e">
        <f>VLOOKUP(N519,etat!$A$9:$N$1004,2,FALSE)</f>
        <v>#N/A</v>
      </c>
      <c r="Q519" s="866" t="e">
        <f>VLOOKUP(N519,etat!$A$9:$N$963,7,FALSE)</f>
        <v>#N/A</v>
      </c>
      <c r="R519" s="866" t="e">
        <f>VLOOKUP(N519,etat!$A$9:$N$1003,9,FALSE)</f>
        <v>#N/A</v>
      </c>
      <c r="S519" s="797" t="e">
        <f>VLOOKUP(N519,etat!$A$9:$P$905,16,FALSE)</f>
        <v>#N/A</v>
      </c>
      <c r="T519" s="867"/>
      <c r="U519" s="868"/>
      <c r="V519" s="869"/>
      <c r="W519" s="869"/>
      <c r="X519" s="869"/>
      <c r="Y519" s="904"/>
      <c r="Z519" s="931" t="str">
        <f>VLOOKUP(L519,اس!$S$3:$X$31,3,FALSE)</f>
        <v>.</v>
      </c>
      <c r="AA519" s="967"/>
    </row>
    <row r="520" spans="12:27" ht="17.100000000000001" customHeight="1">
      <c r="L520" s="777">
        <v>5</v>
      </c>
      <c r="M520" s="864"/>
      <c r="N520" s="976">
        <v>0</v>
      </c>
      <c r="O520" s="1020">
        <v>463</v>
      </c>
      <c r="P520" s="865" t="e">
        <f>VLOOKUP(N520,etat!$A$9:$N$1004,2,FALSE)</f>
        <v>#N/A</v>
      </c>
      <c r="Q520" s="866" t="e">
        <f>VLOOKUP(N520,etat!$A$9:$N$963,7,FALSE)</f>
        <v>#N/A</v>
      </c>
      <c r="R520" s="866" t="e">
        <f>VLOOKUP(N520,etat!$A$9:$N$1003,9,FALSE)</f>
        <v>#N/A</v>
      </c>
      <c r="S520" s="797" t="e">
        <f>VLOOKUP(N520,etat!$A$9:$P$905,16,FALSE)</f>
        <v>#N/A</v>
      </c>
      <c r="T520" s="867"/>
      <c r="U520" s="868"/>
      <c r="V520" s="869"/>
      <c r="W520" s="869"/>
      <c r="X520" s="869"/>
      <c r="Y520" s="904"/>
      <c r="Z520" s="931" t="str">
        <f>VLOOKUP(L520,اس!$S$3:$X$31,3,FALSE)</f>
        <v>.</v>
      </c>
      <c r="AA520" s="967"/>
    </row>
    <row r="521" spans="12:27" ht="17.100000000000001" customHeight="1">
      <c r="L521" s="777">
        <v>5</v>
      </c>
      <c r="M521" s="864"/>
      <c r="N521" s="976">
        <v>0</v>
      </c>
      <c r="O521" s="1020">
        <v>464</v>
      </c>
      <c r="P521" s="865" t="e">
        <f>VLOOKUP(N521,etat!$A$9:$N$1004,2,FALSE)</f>
        <v>#N/A</v>
      </c>
      <c r="Q521" s="866" t="e">
        <f>VLOOKUP(N521,etat!$A$9:$N$963,7,FALSE)</f>
        <v>#N/A</v>
      </c>
      <c r="R521" s="866" t="e">
        <f>VLOOKUP(N521,etat!$A$9:$N$1003,9,FALSE)</f>
        <v>#N/A</v>
      </c>
      <c r="S521" s="797" t="e">
        <f>VLOOKUP(N521,etat!$A$9:$P$905,16,FALSE)</f>
        <v>#N/A</v>
      </c>
      <c r="T521" s="867"/>
      <c r="U521" s="868"/>
      <c r="V521" s="869"/>
      <c r="W521" s="869"/>
      <c r="X521" s="869"/>
      <c r="Y521" s="904"/>
      <c r="Z521" s="931" t="str">
        <f>VLOOKUP(L521,اس!$S$3:$X$31,3,FALSE)</f>
        <v>.</v>
      </c>
      <c r="AA521" s="967"/>
    </row>
    <row r="522" spans="12:27" ht="17.100000000000001" customHeight="1">
      <c r="L522" s="777">
        <v>5</v>
      </c>
      <c r="M522" s="864"/>
      <c r="N522" s="976">
        <v>0</v>
      </c>
      <c r="O522" s="1020">
        <v>465</v>
      </c>
      <c r="P522" s="865" t="e">
        <f>VLOOKUP(N522,etat!$A$9:$N$1004,2,FALSE)</f>
        <v>#N/A</v>
      </c>
      <c r="Q522" s="866" t="e">
        <f>VLOOKUP(N522,etat!$A$9:$N$963,7,FALSE)</f>
        <v>#N/A</v>
      </c>
      <c r="R522" s="866" t="e">
        <f>VLOOKUP(N522,etat!$A$9:$N$1003,9,FALSE)</f>
        <v>#N/A</v>
      </c>
      <c r="S522" s="797" t="e">
        <f>VLOOKUP(N522,etat!$A$9:$P$905,16,FALSE)</f>
        <v>#N/A</v>
      </c>
      <c r="T522" s="867"/>
      <c r="U522" s="868"/>
      <c r="V522" s="869"/>
      <c r="W522" s="869"/>
      <c r="X522" s="869"/>
      <c r="Y522" s="904"/>
      <c r="Z522" s="931" t="str">
        <f>VLOOKUP(L522,اس!$S$3:$X$31,3,FALSE)</f>
        <v>.</v>
      </c>
      <c r="AA522" s="967"/>
    </row>
    <row r="523" spans="12:27" ht="17.100000000000001" customHeight="1">
      <c r="L523" s="777">
        <v>5</v>
      </c>
      <c r="M523" s="864"/>
      <c r="N523" s="976">
        <v>0</v>
      </c>
      <c r="O523" s="1020">
        <v>466</v>
      </c>
      <c r="P523" s="865" t="e">
        <f>VLOOKUP(N523,etat!$A$9:$N$1004,2,FALSE)</f>
        <v>#N/A</v>
      </c>
      <c r="Q523" s="866" t="e">
        <f>VLOOKUP(N523,etat!$A$9:$N$963,7,FALSE)</f>
        <v>#N/A</v>
      </c>
      <c r="R523" s="866" t="e">
        <f>VLOOKUP(N523,etat!$A$9:$N$1003,9,FALSE)</f>
        <v>#N/A</v>
      </c>
      <c r="S523" s="797" t="e">
        <f>VLOOKUP(N523,etat!$A$9:$P$905,16,FALSE)</f>
        <v>#N/A</v>
      </c>
      <c r="T523" s="867"/>
      <c r="U523" s="868"/>
      <c r="V523" s="869"/>
      <c r="W523" s="869"/>
      <c r="X523" s="869"/>
      <c r="Y523" s="904"/>
      <c r="Z523" s="931" t="str">
        <f>VLOOKUP(L523,اس!$S$3:$X$31,3,FALSE)</f>
        <v>.</v>
      </c>
      <c r="AA523" s="967"/>
    </row>
    <row r="524" spans="12:27" ht="17.100000000000001" customHeight="1">
      <c r="L524" s="777">
        <v>5</v>
      </c>
      <c r="M524" s="864"/>
      <c r="N524" s="976">
        <v>0</v>
      </c>
      <c r="O524" s="1020">
        <v>467</v>
      </c>
      <c r="P524" s="865" t="e">
        <f>VLOOKUP(N524,etat!$A$9:$N$1004,2,FALSE)</f>
        <v>#N/A</v>
      </c>
      <c r="Q524" s="866" t="e">
        <f>VLOOKUP(N524,etat!$A$9:$N$963,7,FALSE)</f>
        <v>#N/A</v>
      </c>
      <c r="R524" s="866" t="e">
        <f>VLOOKUP(N524,etat!$A$9:$N$1003,9,FALSE)</f>
        <v>#N/A</v>
      </c>
      <c r="S524" s="797" t="e">
        <f>VLOOKUP(N524,etat!$A$9:$P$905,16,FALSE)</f>
        <v>#N/A</v>
      </c>
      <c r="T524" s="867"/>
      <c r="U524" s="868"/>
      <c r="V524" s="869"/>
      <c r="W524" s="869"/>
      <c r="X524" s="869"/>
      <c r="Y524" s="904"/>
      <c r="Z524" s="931" t="str">
        <f>VLOOKUP(L524,اس!$S$3:$X$31,3,FALSE)</f>
        <v>.</v>
      </c>
      <c r="AA524" s="967"/>
    </row>
    <row r="525" spans="12:27" ht="17.100000000000001" customHeight="1">
      <c r="L525" s="777">
        <v>5</v>
      </c>
      <c r="M525" s="864"/>
      <c r="N525" s="976">
        <v>0</v>
      </c>
      <c r="O525" s="1020">
        <v>468</v>
      </c>
      <c r="P525" s="865" t="e">
        <f>VLOOKUP(N525,etat!$A$9:$N$1004,2,FALSE)</f>
        <v>#N/A</v>
      </c>
      <c r="Q525" s="866" t="e">
        <f>VLOOKUP(N525,etat!$A$9:$N$963,7,FALSE)</f>
        <v>#N/A</v>
      </c>
      <c r="R525" s="866" t="e">
        <f>VLOOKUP(N525,etat!$A$9:$N$1003,9,FALSE)</f>
        <v>#N/A</v>
      </c>
      <c r="S525" s="797" t="e">
        <f>VLOOKUP(N525,etat!$A$9:$P$905,16,FALSE)</f>
        <v>#N/A</v>
      </c>
      <c r="T525" s="867"/>
      <c r="U525" s="868"/>
      <c r="V525" s="869"/>
      <c r="W525" s="869"/>
      <c r="X525" s="869"/>
      <c r="Y525" s="904"/>
      <c r="Z525" s="931" t="str">
        <f>VLOOKUP(L525,اس!$S$3:$X$31,3,FALSE)</f>
        <v>.</v>
      </c>
      <c r="AA525" s="967"/>
    </row>
    <row r="526" spans="12:27" ht="17.100000000000001" customHeight="1">
      <c r="L526" s="777">
        <v>5</v>
      </c>
      <c r="M526" s="864"/>
      <c r="N526" s="976">
        <v>0</v>
      </c>
      <c r="O526" s="1020">
        <v>469</v>
      </c>
      <c r="P526" s="865" t="e">
        <f>VLOOKUP(N526,etat!$A$9:$N$1004,2,FALSE)</f>
        <v>#N/A</v>
      </c>
      <c r="Q526" s="866" t="e">
        <f>VLOOKUP(N526,etat!$A$9:$N$963,7,FALSE)</f>
        <v>#N/A</v>
      </c>
      <c r="R526" s="866" t="e">
        <f>VLOOKUP(N526,etat!$A$9:$N$1003,9,FALSE)</f>
        <v>#N/A</v>
      </c>
      <c r="S526" s="797" t="e">
        <f>VLOOKUP(N526,etat!$A$9:$P$905,16,FALSE)</f>
        <v>#N/A</v>
      </c>
      <c r="T526" s="867"/>
      <c r="U526" s="868"/>
      <c r="V526" s="869"/>
      <c r="W526" s="869"/>
      <c r="X526" s="869"/>
      <c r="Y526" s="904"/>
      <c r="Z526" s="931" t="str">
        <f>VLOOKUP(L526,اس!$S$3:$X$31,3,FALSE)</f>
        <v>.</v>
      </c>
      <c r="AA526" s="967"/>
    </row>
    <row r="527" spans="12:27" ht="17.100000000000001" customHeight="1">
      <c r="L527" s="777">
        <v>5</v>
      </c>
      <c r="M527" s="864"/>
      <c r="N527" s="976">
        <v>0</v>
      </c>
      <c r="O527" s="1020">
        <v>470</v>
      </c>
      <c r="P527" s="865" t="e">
        <f>VLOOKUP(N527,etat!$A$9:$N$1004,2,FALSE)</f>
        <v>#N/A</v>
      </c>
      <c r="Q527" s="866" t="e">
        <f>VLOOKUP(N527,etat!$A$9:$N$963,7,FALSE)</f>
        <v>#N/A</v>
      </c>
      <c r="R527" s="866" t="e">
        <f>VLOOKUP(N527,etat!$A$9:$N$1003,9,FALSE)</f>
        <v>#N/A</v>
      </c>
      <c r="S527" s="797" t="e">
        <f>VLOOKUP(N527,etat!$A$9:$P$905,16,FALSE)</f>
        <v>#N/A</v>
      </c>
      <c r="T527" s="867"/>
      <c r="U527" s="868"/>
      <c r="V527" s="869"/>
      <c r="W527" s="869"/>
      <c r="X527" s="869"/>
      <c r="Y527" s="904"/>
      <c r="Z527" s="931" t="str">
        <f>VLOOKUP(L527,اس!$S$3:$X$31,3,FALSE)</f>
        <v>.</v>
      </c>
      <c r="AA527" s="967"/>
    </row>
    <row r="528" spans="12:27" ht="17.100000000000001" customHeight="1">
      <c r="L528" s="777">
        <v>5</v>
      </c>
      <c r="M528" s="864"/>
      <c r="N528" s="976">
        <v>0</v>
      </c>
      <c r="O528" s="1020">
        <v>471</v>
      </c>
      <c r="P528" s="865" t="e">
        <f>VLOOKUP(N528,etat!$A$9:$N$1004,2,FALSE)</f>
        <v>#N/A</v>
      </c>
      <c r="Q528" s="866" t="e">
        <f>VLOOKUP(N528,etat!$A$9:$N$963,7,FALSE)</f>
        <v>#N/A</v>
      </c>
      <c r="R528" s="866" t="e">
        <f>VLOOKUP(N528,etat!$A$9:$N$1003,9,FALSE)</f>
        <v>#N/A</v>
      </c>
      <c r="S528" s="797" t="e">
        <f>VLOOKUP(N528,etat!$A$9:$P$905,16,FALSE)</f>
        <v>#N/A</v>
      </c>
      <c r="T528" s="867"/>
      <c r="U528" s="868"/>
      <c r="V528" s="869"/>
      <c r="W528" s="869"/>
      <c r="X528" s="869"/>
      <c r="Y528" s="904"/>
      <c r="Z528" s="931" t="str">
        <f>VLOOKUP(L528,اس!$S$3:$X$31,3,FALSE)</f>
        <v>.</v>
      </c>
      <c r="AA528" s="967"/>
    </row>
    <row r="529" spans="12:27" ht="17.100000000000001" customHeight="1">
      <c r="L529" s="777">
        <v>5</v>
      </c>
      <c r="M529" s="864"/>
      <c r="N529" s="976">
        <v>0</v>
      </c>
      <c r="O529" s="1020">
        <v>472</v>
      </c>
      <c r="P529" s="865" t="e">
        <f>VLOOKUP(N529,etat!$A$9:$N$1004,2,FALSE)</f>
        <v>#N/A</v>
      </c>
      <c r="Q529" s="866" t="e">
        <f>VLOOKUP(N529,etat!$A$9:$N$963,7,FALSE)</f>
        <v>#N/A</v>
      </c>
      <c r="R529" s="866" t="e">
        <f>VLOOKUP(N529,etat!$A$9:$N$1003,9,FALSE)</f>
        <v>#N/A</v>
      </c>
      <c r="S529" s="797" t="e">
        <f>VLOOKUP(N529,etat!$A$9:$P$905,16,FALSE)</f>
        <v>#N/A</v>
      </c>
      <c r="T529" s="867"/>
      <c r="U529" s="868"/>
      <c r="V529" s="869"/>
      <c r="W529" s="869"/>
      <c r="X529" s="869"/>
      <c r="Y529" s="904"/>
      <c r="Z529" s="931" t="str">
        <f>VLOOKUP(L529,اس!$S$3:$X$31,3,FALSE)</f>
        <v>.</v>
      </c>
      <c r="AA529" s="967"/>
    </row>
    <row r="530" spans="12:27" ht="17.100000000000001" customHeight="1">
      <c r="L530" s="777">
        <v>5</v>
      </c>
      <c r="M530" s="864"/>
      <c r="N530" s="976">
        <v>0</v>
      </c>
      <c r="O530" s="1020">
        <v>473</v>
      </c>
      <c r="P530" s="865" t="e">
        <f>VLOOKUP(N530,etat!$A$9:$N$1004,2,FALSE)</f>
        <v>#N/A</v>
      </c>
      <c r="Q530" s="866" t="e">
        <f>VLOOKUP(N530,etat!$A$9:$N$963,7,FALSE)</f>
        <v>#N/A</v>
      </c>
      <c r="R530" s="866" t="e">
        <f>VLOOKUP(N530,etat!$A$9:$N$1003,9,FALSE)</f>
        <v>#N/A</v>
      </c>
      <c r="S530" s="797" t="e">
        <f>VLOOKUP(N530,etat!$A$9:$P$905,16,FALSE)</f>
        <v>#N/A</v>
      </c>
      <c r="T530" s="867"/>
      <c r="U530" s="868"/>
      <c r="V530" s="869"/>
      <c r="W530" s="869"/>
      <c r="X530" s="869"/>
      <c r="Y530" s="904"/>
      <c r="Z530" s="931" t="str">
        <f>VLOOKUP(L530,اس!$S$3:$X$31,3,FALSE)</f>
        <v>.</v>
      </c>
      <c r="AA530" s="967"/>
    </row>
    <row r="531" spans="12:27" ht="17.100000000000001" customHeight="1">
      <c r="L531" s="777">
        <v>5</v>
      </c>
      <c r="M531" s="864"/>
      <c r="N531" s="976">
        <v>0</v>
      </c>
      <c r="O531" s="1020">
        <v>474</v>
      </c>
      <c r="P531" s="865" t="e">
        <f>VLOOKUP(N531,etat!$A$9:$N$1004,2,FALSE)</f>
        <v>#N/A</v>
      </c>
      <c r="Q531" s="866" t="e">
        <f>VLOOKUP(N531,etat!$A$9:$N$963,7,FALSE)</f>
        <v>#N/A</v>
      </c>
      <c r="R531" s="866" t="e">
        <f>VLOOKUP(N531,etat!$A$9:$N$1003,9,FALSE)</f>
        <v>#N/A</v>
      </c>
      <c r="S531" s="797" t="e">
        <f>VLOOKUP(N531,etat!$A$9:$P$905,16,FALSE)</f>
        <v>#N/A</v>
      </c>
      <c r="T531" s="867"/>
      <c r="U531" s="868"/>
      <c r="V531" s="869"/>
      <c r="W531" s="869"/>
      <c r="X531" s="869"/>
      <c r="Y531" s="904"/>
      <c r="Z531" s="931" t="str">
        <f>VLOOKUP(L531,اس!$S$3:$X$31,3,FALSE)</f>
        <v>.</v>
      </c>
      <c r="AA531" s="967"/>
    </row>
    <row r="532" spans="12:27" ht="17.100000000000001" customHeight="1">
      <c r="L532" s="777">
        <v>5</v>
      </c>
      <c r="M532" s="864"/>
      <c r="N532" s="976">
        <v>0</v>
      </c>
      <c r="O532" s="1020">
        <v>475</v>
      </c>
      <c r="P532" s="865" t="e">
        <f>VLOOKUP(N532,etat!$A$9:$N$1004,2,FALSE)</f>
        <v>#N/A</v>
      </c>
      <c r="Q532" s="866" t="e">
        <f>VLOOKUP(N532,etat!$A$9:$N$963,7,FALSE)</f>
        <v>#N/A</v>
      </c>
      <c r="R532" s="866" t="e">
        <f>VLOOKUP(N532,etat!$A$9:$N$1003,9,FALSE)</f>
        <v>#N/A</v>
      </c>
      <c r="S532" s="797" t="e">
        <f>VLOOKUP(N532,etat!$A$9:$P$905,16,FALSE)</f>
        <v>#N/A</v>
      </c>
      <c r="T532" s="867"/>
      <c r="U532" s="868"/>
      <c r="V532" s="869"/>
      <c r="W532" s="869"/>
      <c r="X532" s="869"/>
      <c r="Y532" s="904"/>
      <c r="Z532" s="931" t="str">
        <f>VLOOKUP(L532,اس!$S$3:$X$31,3,FALSE)</f>
        <v>.</v>
      </c>
      <c r="AA532" s="967"/>
    </row>
    <row r="533" spans="12:27" ht="17.100000000000001" customHeight="1">
      <c r="L533" s="777">
        <v>5</v>
      </c>
      <c r="M533" s="864"/>
      <c r="N533" s="976">
        <v>0</v>
      </c>
      <c r="O533" s="1020">
        <v>476</v>
      </c>
      <c r="P533" s="865" t="e">
        <f>VLOOKUP(N533,etat!$A$9:$N$1004,2,FALSE)</f>
        <v>#N/A</v>
      </c>
      <c r="Q533" s="866" t="e">
        <f>VLOOKUP(N533,etat!$A$9:$N$963,7,FALSE)</f>
        <v>#N/A</v>
      </c>
      <c r="R533" s="866" t="e">
        <f>VLOOKUP(N533,etat!$A$9:$N$1003,9,FALSE)</f>
        <v>#N/A</v>
      </c>
      <c r="S533" s="797" t="e">
        <f>VLOOKUP(N533,etat!$A$9:$P$905,16,FALSE)</f>
        <v>#N/A</v>
      </c>
      <c r="T533" s="867"/>
      <c r="U533" s="868"/>
      <c r="V533" s="869"/>
      <c r="W533" s="869"/>
      <c r="X533" s="869"/>
      <c r="Y533" s="904"/>
      <c r="Z533" s="931" t="str">
        <f>VLOOKUP(L533,اس!$S$3:$X$31,3,FALSE)</f>
        <v>.</v>
      </c>
      <c r="AA533" s="967"/>
    </row>
    <row r="534" spans="12:27" ht="17.100000000000001" customHeight="1">
      <c r="L534" s="777">
        <v>5</v>
      </c>
      <c r="M534" s="864"/>
      <c r="N534" s="976">
        <v>0</v>
      </c>
      <c r="O534" s="1020">
        <v>477</v>
      </c>
      <c r="P534" s="865" t="e">
        <f>VLOOKUP(N534,etat!$A$9:$N$1004,2,FALSE)</f>
        <v>#N/A</v>
      </c>
      <c r="Q534" s="866" t="e">
        <f>VLOOKUP(N534,etat!$A$9:$N$963,7,FALSE)</f>
        <v>#N/A</v>
      </c>
      <c r="R534" s="866" t="e">
        <f>VLOOKUP(N534,etat!$A$9:$N$1003,9,FALSE)</f>
        <v>#N/A</v>
      </c>
      <c r="S534" s="797" t="e">
        <f>VLOOKUP(N534,etat!$A$9:$P$905,16,FALSE)</f>
        <v>#N/A</v>
      </c>
      <c r="T534" s="867"/>
      <c r="U534" s="868"/>
      <c r="V534" s="869"/>
      <c r="W534" s="869"/>
      <c r="X534" s="869"/>
      <c r="Y534" s="904"/>
      <c r="Z534" s="931" t="str">
        <f>VLOOKUP(L534,اس!$S$3:$X$31,3,FALSE)</f>
        <v>.</v>
      </c>
      <c r="AA534" s="967"/>
    </row>
    <row r="535" spans="12:27" ht="17.100000000000001" customHeight="1">
      <c r="L535" s="777">
        <v>5</v>
      </c>
      <c r="M535" s="864"/>
      <c r="N535" s="976">
        <v>0</v>
      </c>
      <c r="O535" s="1020">
        <v>478</v>
      </c>
      <c r="P535" s="865" t="e">
        <f>VLOOKUP(N535,etat!$A$9:$N$1004,2,FALSE)</f>
        <v>#N/A</v>
      </c>
      <c r="Q535" s="866" t="e">
        <f>VLOOKUP(N535,etat!$A$9:$N$963,7,FALSE)</f>
        <v>#N/A</v>
      </c>
      <c r="R535" s="866" t="e">
        <f>VLOOKUP(N535,etat!$A$9:$N$1003,9,FALSE)</f>
        <v>#N/A</v>
      </c>
      <c r="S535" s="797" t="e">
        <f>VLOOKUP(N535,etat!$A$9:$P$905,16,FALSE)</f>
        <v>#N/A</v>
      </c>
      <c r="T535" s="867"/>
      <c r="U535" s="868"/>
      <c r="V535" s="869"/>
      <c r="W535" s="869"/>
      <c r="X535" s="869"/>
      <c r="Y535" s="904"/>
      <c r="Z535" s="931" t="str">
        <f>VLOOKUP(L535,اس!$S$3:$X$31,3,FALSE)</f>
        <v>.</v>
      </c>
      <c r="AA535" s="967"/>
    </row>
    <row r="536" spans="12:27" ht="17.100000000000001" customHeight="1">
      <c r="L536" s="777">
        <v>5</v>
      </c>
      <c r="M536" s="864"/>
      <c r="N536" s="976">
        <v>0</v>
      </c>
      <c r="O536" s="1020">
        <v>479</v>
      </c>
      <c r="P536" s="865" t="e">
        <f>VLOOKUP(N536,etat!$A$9:$N$1004,2,FALSE)</f>
        <v>#N/A</v>
      </c>
      <c r="Q536" s="866" t="e">
        <f>VLOOKUP(N536,etat!$A$9:$N$963,7,FALSE)</f>
        <v>#N/A</v>
      </c>
      <c r="R536" s="866" t="e">
        <f>VLOOKUP(N536,etat!$A$9:$N$1003,9,FALSE)</f>
        <v>#N/A</v>
      </c>
      <c r="S536" s="797" t="e">
        <f>VLOOKUP(N536,etat!$A$9:$P$905,16,FALSE)</f>
        <v>#N/A</v>
      </c>
      <c r="T536" s="867"/>
      <c r="U536" s="868"/>
      <c r="V536" s="869"/>
      <c r="W536" s="869"/>
      <c r="X536" s="869"/>
      <c r="Y536" s="904"/>
      <c r="Z536" s="931" t="str">
        <f>VLOOKUP(L536,اس!$S$3:$X$31,3,FALSE)</f>
        <v>.</v>
      </c>
      <c r="AA536" s="967"/>
    </row>
    <row r="537" spans="12:27" ht="17.100000000000001" customHeight="1">
      <c r="L537" s="777">
        <v>5</v>
      </c>
      <c r="M537" s="864"/>
      <c r="N537" s="976">
        <v>0</v>
      </c>
      <c r="O537" s="1020">
        <v>480</v>
      </c>
      <c r="P537" s="865" t="e">
        <f>VLOOKUP(N537,etat!$A$9:$N$1004,2,FALSE)</f>
        <v>#N/A</v>
      </c>
      <c r="Q537" s="866" t="e">
        <f>VLOOKUP(N537,etat!$A$9:$N$963,7,FALSE)</f>
        <v>#N/A</v>
      </c>
      <c r="R537" s="866" t="e">
        <f>VLOOKUP(N537,etat!$A$9:$N$1003,9,FALSE)</f>
        <v>#N/A</v>
      </c>
      <c r="S537" s="797" t="e">
        <f>VLOOKUP(N537,etat!$A$9:$P$905,16,FALSE)</f>
        <v>#N/A</v>
      </c>
      <c r="T537" s="867"/>
      <c r="U537" s="868"/>
      <c r="V537" s="869"/>
      <c r="W537" s="869"/>
      <c r="X537" s="869"/>
      <c r="Y537" s="904"/>
      <c r="Z537" s="931" t="str">
        <f>VLOOKUP(L537,اس!$S$3:$X$31,3,FALSE)</f>
        <v>.</v>
      </c>
      <c r="AA537" s="967"/>
    </row>
    <row r="538" spans="12:27" ht="17.100000000000001" customHeight="1">
      <c r="L538" s="777">
        <v>5</v>
      </c>
      <c r="M538" s="864"/>
      <c r="N538" s="976">
        <v>0</v>
      </c>
      <c r="O538" s="1020">
        <v>481</v>
      </c>
      <c r="P538" s="865" t="e">
        <f>VLOOKUP(N538,etat!$A$9:$N$1004,2,FALSE)</f>
        <v>#N/A</v>
      </c>
      <c r="Q538" s="866" t="e">
        <f>VLOOKUP(N538,etat!$A$9:$N$963,7,FALSE)</f>
        <v>#N/A</v>
      </c>
      <c r="R538" s="866" t="e">
        <f>VLOOKUP(N538,etat!$A$9:$N$1003,9,FALSE)</f>
        <v>#N/A</v>
      </c>
      <c r="S538" s="797" t="e">
        <f>VLOOKUP(N538,etat!$A$9:$P$905,16,FALSE)</f>
        <v>#N/A</v>
      </c>
      <c r="T538" s="867"/>
      <c r="U538" s="868"/>
      <c r="V538" s="869"/>
      <c r="W538" s="869"/>
      <c r="X538" s="869"/>
      <c r="Y538" s="904"/>
      <c r="Z538" s="931" t="str">
        <f>VLOOKUP(L538,اس!$S$3:$X$31,3,FALSE)</f>
        <v>.</v>
      </c>
      <c r="AA538" s="967"/>
    </row>
    <row r="539" spans="12:27" ht="17.100000000000001" customHeight="1">
      <c r="L539" s="777">
        <v>5</v>
      </c>
      <c r="M539" s="864"/>
      <c r="N539" s="976">
        <v>0</v>
      </c>
      <c r="O539" s="1020">
        <v>482</v>
      </c>
      <c r="P539" s="865" t="e">
        <f>VLOOKUP(N539,etat!$A$9:$N$1004,2,FALSE)</f>
        <v>#N/A</v>
      </c>
      <c r="Q539" s="866" t="e">
        <f>VLOOKUP(N539,etat!$A$9:$N$963,7,FALSE)</f>
        <v>#N/A</v>
      </c>
      <c r="R539" s="866" t="e">
        <f>VLOOKUP(N539,etat!$A$9:$N$1003,9,FALSE)</f>
        <v>#N/A</v>
      </c>
      <c r="S539" s="797" t="e">
        <f>VLOOKUP(N539,etat!$A$9:$P$905,16,FALSE)</f>
        <v>#N/A</v>
      </c>
      <c r="T539" s="867"/>
      <c r="U539" s="868"/>
      <c r="V539" s="869"/>
      <c r="W539" s="869"/>
      <c r="X539" s="869"/>
      <c r="Y539" s="904"/>
      <c r="Z539" s="931" t="str">
        <f>VLOOKUP(L539,اس!$S$3:$X$31,3,FALSE)</f>
        <v>.</v>
      </c>
      <c r="AA539" s="967"/>
    </row>
    <row r="540" spans="12:27" ht="17.100000000000001" customHeight="1">
      <c r="L540" s="777">
        <v>5</v>
      </c>
      <c r="M540" s="864"/>
      <c r="N540" s="976">
        <v>0</v>
      </c>
      <c r="O540" s="1020">
        <v>483</v>
      </c>
      <c r="P540" s="865" t="e">
        <f>VLOOKUP(N540,etat!$A$9:$N$1004,2,FALSE)</f>
        <v>#N/A</v>
      </c>
      <c r="Q540" s="866" t="e">
        <f>VLOOKUP(N540,etat!$A$9:$N$963,7,FALSE)</f>
        <v>#N/A</v>
      </c>
      <c r="R540" s="866" t="e">
        <f>VLOOKUP(N540,etat!$A$9:$N$1003,9,FALSE)</f>
        <v>#N/A</v>
      </c>
      <c r="S540" s="797" t="e">
        <f>VLOOKUP(N540,etat!$A$9:$P$905,16,FALSE)</f>
        <v>#N/A</v>
      </c>
      <c r="T540" s="867"/>
      <c r="U540" s="868"/>
      <c r="V540" s="869"/>
      <c r="W540" s="869"/>
      <c r="X540" s="869"/>
      <c r="Y540" s="904"/>
      <c r="Z540" s="931" t="str">
        <f>VLOOKUP(L540,اس!$S$3:$X$31,3,FALSE)</f>
        <v>.</v>
      </c>
      <c r="AA540" s="967"/>
    </row>
    <row r="541" spans="12:27" ht="17.100000000000001" customHeight="1">
      <c r="L541" s="777">
        <v>5</v>
      </c>
      <c r="M541" s="864"/>
      <c r="N541" s="976">
        <v>0</v>
      </c>
      <c r="O541" s="1020">
        <v>484</v>
      </c>
      <c r="P541" s="865" t="e">
        <f>VLOOKUP(N541,etat!$A$9:$N$1004,2,FALSE)</f>
        <v>#N/A</v>
      </c>
      <c r="Q541" s="866" t="e">
        <f>VLOOKUP(N541,etat!$A$9:$N$963,7,FALSE)</f>
        <v>#N/A</v>
      </c>
      <c r="R541" s="866" t="e">
        <f>VLOOKUP(N541,etat!$A$9:$N$1003,9,FALSE)</f>
        <v>#N/A</v>
      </c>
      <c r="S541" s="797" t="e">
        <f>VLOOKUP(N541,etat!$A$9:$P$905,16,FALSE)</f>
        <v>#N/A</v>
      </c>
      <c r="T541" s="867"/>
      <c r="U541" s="868"/>
      <c r="V541" s="869"/>
      <c r="W541" s="869"/>
      <c r="X541" s="869"/>
      <c r="Y541" s="904"/>
      <c r="Z541" s="931" t="str">
        <f>VLOOKUP(L541,اس!$S$3:$X$31,3,FALSE)</f>
        <v>.</v>
      </c>
      <c r="AA541" s="967"/>
    </row>
    <row r="542" spans="12:27" ht="17.100000000000001" customHeight="1">
      <c r="L542" s="777">
        <v>5</v>
      </c>
      <c r="M542" s="864"/>
      <c r="N542" s="976">
        <v>0</v>
      </c>
      <c r="O542" s="1020">
        <v>485</v>
      </c>
      <c r="P542" s="865" t="e">
        <f>VLOOKUP(N542,etat!$A$9:$N$1004,2,FALSE)</f>
        <v>#N/A</v>
      </c>
      <c r="Q542" s="866" t="e">
        <f>VLOOKUP(N542,etat!$A$9:$N$963,7,FALSE)</f>
        <v>#N/A</v>
      </c>
      <c r="R542" s="866" t="e">
        <f>VLOOKUP(N542,etat!$A$9:$N$1003,9,FALSE)</f>
        <v>#N/A</v>
      </c>
      <c r="S542" s="797" t="e">
        <f>VLOOKUP(N542,etat!$A$9:$P$905,16,FALSE)</f>
        <v>#N/A</v>
      </c>
      <c r="T542" s="867"/>
      <c r="U542" s="868"/>
      <c r="V542" s="869"/>
      <c r="W542" s="869"/>
      <c r="X542" s="869"/>
      <c r="Y542" s="904"/>
      <c r="Z542" s="931" t="str">
        <f>VLOOKUP(L542,اس!$S$3:$X$31,3,FALSE)</f>
        <v>.</v>
      </c>
      <c r="AA542" s="967"/>
    </row>
    <row r="543" spans="12:27" ht="17.100000000000001" customHeight="1">
      <c r="L543" s="777">
        <v>5</v>
      </c>
      <c r="M543" s="864"/>
      <c r="N543" s="976">
        <v>0</v>
      </c>
      <c r="O543" s="1020">
        <v>486</v>
      </c>
      <c r="P543" s="865" t="e">
        <f>VLOOKUP(N543,etat!$A$9:$N$1004,2,FALSE)</f>
        <v>#N/A</v>
      </c>
      <c r="Q543" s="866" t="e">
        <f>VLOOKUP(N543,etat!$A$9:$N$963,7,FALSE)</f>
        <v>#N/A</v>
      </c>
      <c r="R543" s="866" t="e">
        <f>VLOOKUP(N543,etat!$A$9:$N$1003,9,FALSE)</f>
        <v>#N/A</v>
      </c>
      <c r="S543" s="797" t="e">
        <f>VLOOKUP(N543,etat!$A$9:$P$905,16,FALSE)</f>
        <v>#N/A</v>
      </c>
      <c r="T543" s="867"/>
      <c r="U543" s="868"/>
      <c r="V543" s="869"/>
      <c r="W543" s="869"/>
      <c r="X543" s="869"/>
      <c r="Y543" s="904"/>
      <c r="Z543" s="931" t="str">
        <f>VLOOKUP(L543,اس!$S$3:$X$31,3,FALSE)</f>
        <v>.</v>
      </c>
      <c r="AA543" s="967"/>
    </row>
    <row r="544" spans="12:27" ht="17.100000000000001" customHeight="1">
      <c r="L544" s="777">
        <v>5</v>
      </c>
      <c r="M544" s="864"/>
      <c r="N544" s="976">
        <v>0</v>
      </c>
      <c r="O544" s="1020">
        <v>487</v>
      </c>
      <c r="P544" s="865" t="e">
        <f>VLOOKUP(N544,etat!$A$9:$N$1004,2,FALSE)</f>
        <v>#N/A</v>
      </c>
      <c r="Q544" s="866" t="e">
        <f>VLOOKUP(N544,etat!$A$9:$N$963,7,FALSE)</f>
        <v>#N/A</v>
      </c>
      <c r="R544" s="866" t="e">
        <f>VLOOKUP(N544,etat!$A$9:$N$1003,9,FALSE)</f>
        <v>#N/A</v>
      </c>
      <c r="S544" s="797" t="e">
        <f>VLOOKUP(N544,etat!$A$9:$P$905,16,FALSE)</f>
        <v>#N/A</v>
      </c>
      <c r="T544" s="867"/>
      <c r="U544" s="868"/>
      <c r="V544" s="869"/>
      <c r="W544" s="869"/>
      <c r="X544" s="869"/>
      <c r="Y544" s="904"/>
      <c r="Z544" s="931" t="str">
        <f>VLOOKUP(L544,اس!$S$3:$X$31,3,FALSE)</f>
        <v>.</v>
      </c>
      <c r="AA544" s="967"/>
    </row>
    <row r="545" spans="12:27" ht="17.100000000000001" customHeight="1">
      <c r="L545" s="777">
        <v>5</v>
      </c>
      <c r="M545" s="864"/>
      <c r="N545" s="976">
        <v>0</v>
      </c>
      <c r="O545" s="1020">
        <v>488</v>
      </c>
      <c r="P545" s="865" t="e">
        <f>VLOOKUP(N545,etat!$A$9:$N$1004,2,FALSE)</f>
        <v>#N/A</v>
      </c>
      <c r="Q545" s="866" t="e">
        <f>VLOOKUP(N545,etat!$A$9:$N$963,7,FALSE)</f>
        <v>#N/A</v>
      </c>
      <c r="R545" s="866" t="e">
        <f>VLOOKUP(N545,etat!$A$9:$N$1003,9,FALSE)</f>
        <v>#N/A</v>
      </c>
      <c r="S545" s="797" t="e">
        <f>VLOOKUP(N545,etat!$A$9:$P$905,16,FALSE)</f>
        <v>#N/A</v>
      </c>
      <c r="T545" s="867"/>
      <c r="U545" s="868"/>
      <c r="V545" s="869"/>
      <c r="W545" s="869"/>
      <c r="X545" s="869"/>
      <c r="Y545" s="904"/>
      <c r="Z545" s="931" t="str">
        <f>VLOOKUP(L545,اس!$S$3:$X$31,3,FALSE)</f>
        <v>.</v>
      </c>
      <c r="AA545" s="967"/>
    </row>
    <row r="546" spans="12:27" ht="17.100000000000001" customHeight="1">
      <c r="L546" s="777">
        <v>5</v>
      </c>
      <c r="M546" s="864"/>
      <c r="N546" s="976">
        <v>0</v>
      </c>
      <c r="O546" s="1020">
        <v>489</v>
      </c>
      <c r="P546" s="865" t="e">
        <f>VLOOKUP(N546,etat!$A$9:$N$1004,2,FALSE)</f>
        <v>#N/A</v>
      </c>
      <c r="Q546" s="866" t="e">
        <f>VLOOKUP(N546,etat!$A$9:$N$963,7,FALSE)</f>
        <v>#N/A</v>
      </c>
      <c r="R546" s="866" t="e">
        <f>VLOOKUP(N546,etat!$A$9:$N$1003,9,FALSE)</f>
        <v>#N/A</v>
      </c>
      <c r="S546" s="797" t="e">
        <f>VLOOKUP(N546,etat!$A$9:$P$905,16,FALSE)</f>
        <v>#N/A</v>
      </c>
      <c r="T546" s="867"/>
      <c r="U546" s="868"/>
      <c r="V546" s="869"/>
      <c r="W546" s="869"/>
      <c r="X546" s="869"/>
      <c r="Y546" s="904"/>
      <c r="Z546" s="931" t="str">
        <f>VLOOKUP(L546,اس!$S$3:$X$31,3,FALSE)</f>
        <v>.</v>
      </c>
      <c r="AA546" s="967"/>
    </row>
    <row r="547" spans="12:27" ht="17.100000000000001" customHeight="1">
      <c r="L547" s="777">
        <v>5</v>
      </c>
      <c r="M547" s="864"/>
      <c r="N547" s="976">
        <v>0</v>
      </c>
      <c r="O547" s="1020">
        <v>490</v>
      </c>
      <c r="P547" s="847" t="e">
        <f>VLOOKUP(N547,etat!$A$9:$N$1004,2,FALSE)</f>
        <v>#N/A</v>
      </c>
      <c r="Q547" s="797" t="e">
        <f>VLOOKUP(N547,etat!$A$9:$N$963,7,FALSE)</f>
        <v>#N/A</v>
      </c>
      <c r="R547" s="797" t="e">
        <f>VLOOKUP(N547,etat!$A$9:$N$1003,9,FALSE)</f>
        <v>#N/A</v>
      </c>
      <c r="S547" s="797" t="e">
        <f>VLOOKUP(N547,etat!$A$9:$P$905,16,FALSE)</f>
        <v>#N/A</v>
      </c>
      <c r="T547" s="755"/>
      <c r="U547" s="791"/>
      <c r="V547" s="784"/>
      <c r="W547" s="784"/>
      <c r="X547" s="784"/>
      <c r="Y547" s="848"/>
      <c r="Z547" s="931" t="str">
        <f>VLOOKUP(L547,اس!$S$3:$X$31,3,FALSE)</f>
        <v>.</v>
      </c>
      <c r="AA547" s="967"/>
    </row>
    <row r="548" spans="12:27" ht="17.100000000000001" customHeight="1">
      <c r="L548" s="777">
        <v>5</v>
      </c>
      <c r="M548" s="864"/>
      <c r="N548" s="976">
        <v>0</v>
      </c>
      <c r="O548" s="1020">
        <v>491</v>
      </c>
      <c r="P548" s="847" t="e">
        <f>VLOOKUP(N548,etat!$A$9:$N$1004,2,FALSE)</f>
        <v>#N/A</v>
      </c>
      <c r="Q548" s="797" t="e">
        <f>VLOOKUP(N548,etat!$A$9:$N$963,7,FALSE)</f>
        <v>#N/A</v>
      </c>
      <c r="R548" s="797" t="e">
        <f>VLOOKUP(N548,etat!$A$9:$N$1003,9,FALSE)</f>
        <v>#N/A</v>
      </c>
      <c r="S548" s="797" t="e">
        <f>VLOOKUP(N548,etat!$A$9:$P$905,16,FALSE)</f>
        <v>#N/A</v>
      </c>
      <c r="T548" s="755"/>
      <c r="U548" s="791"/>
      <c r="V548" s="784"/>
      <c r="W548" s="784"/>
      <c r="X548" s="784"/>
      <c r="Y548" s="848"/>
      <c r="Z548" s="931" t="str">
        <f>VLOOKUP(L548,اس!$S$3:$X$31,3,FALSE)</f>
        <v>.</v>
      </c>
      <c r="AA548" s="967"/>
    </row>
    <row r="549" spans="12:27" ht="17.100000000000001" customHeight="1">
      <c r="L549" s="777">
        <v>5</v>
      </c>
      <c r="M549" s="864"/>
      <c r="N549" s="976">
        <v>0</v>
      </c>
      <c r="O549" s="1020">
        <v>492</v>
      </c>
      <c r="P549" s="847" t="e">
        <f>VLOOKUP(N549,etat!$A$9:$N$1004,2,FALSE)</f>
        <v>#N/A</v>
      </c>
      <c r="Q549" s="797" t="e">
        <f>VLOOKUP(N549,etat!$A$9:$N$963,7,FALSE)</f>
        <v>#N/A</v>
      </c>
      <c r="R549" s="797" t="e">
        <f>VLOOKUP(N549,etat!$A$9:$N$1003,9,FALSE)</f>
        <v>#N/A</v>
      </c>
      <c r="S549" s="797" t="e">
        <f>VLOOKUP(N549,etat!$A$9:$P$905,16,FALSE)</f>
        <v>#N/A</v>
      </c>
      <c r="T549" s="755"/>
      <c r="U549" s="791"/>
      <c r="V549" s="784"/>
      <c r="W549" s="784"/>
      <c r="X549" s="784"/>
      <c r="Y549" s="848"/>
      <c r="Z549" s="931" t="str">
        <f>VLOOKUP(L549,اس!$S$3:$X$31,3,FALSE)</f>
        <v>.</v>
      </c>
      <c r="AA549" s="967"/>
    </row>
    <row r="550" spans="12:27" ht="17.100000000000001" customHeight="1">
      <c r="L550" s="777">
        <v>5</v>
      </c>
      <c r="M550" s="864"/>
      <c r="N550" s="976">
        <v>0</v>
      </c>
      <c r="O550" s="1020">
        <v>493</v>
      </c>
      <c r="P550" s="847" t="e">
        <f>VLOOKUP(N550,etat!$A$9:$N$1004,2,FALSE)</f>
        <v>#N/A</v>
      </c>
      <c r="Q550" s="797" t="e">
        <f>VLOOKUP(N550,etat!$A$9:$N$963,7,FALSE)</f>
        <v>#N/A</v>
      </c>
      <c r="R550" s="797" t="e">
        <f>VLOOKUP(N550,etat!$A$9:$N$1003,9,FALSE)</f>
        <v>#N/A</v>
      </c>
      <c r="S550" s="797" t="e">
        <f>VLOOKUP(N550,etat!$A$9:$P$905,16,FALSE)</f>
        <v>#N/A</v>
      </c>
      <c r="T550" s="755"/>
      <c r="U550" s="791"/>
      <c r="V550" s="784"/>
      <c r="W550" s="784"/>
      <c r="X550" s="784"/>
      <c r="Y550" s="848"/>
      <c r="Z550" s="931" t="str">
        <f>VLOOKUP(L550,اس!$S$3:$X$31,3,FALSE)</f>
        <v>.</v>
      </c>
      <c r="AA550" s="967"/>
    </row>
    <row r="551" spans="12:27" ht="17.100000000000001" customHeight="1">
      <c r="L551" s="777">
        <v>5</v>
      </c>
      <c r="M551" s="864"/>
      <c r="N551" s="976">
        <v>0</v>
      </c>
      <c r="O551" s="1020">
        <v>494</v>
      </c>
      <c r="P551" s="847" t="e">
        <f>VLOOKUP(N551,etat!$A$9:$N$1004,2,FALSE)</f>
        <v>#N/A</v>
      </c>
      <c r="Q551" s="797" t="e">
        <f>VLOOKUP(N551,etat!$A$9:$N$963,7,FALSE)</f>
        <v>#N/A</v>
      </c>
      <c r="R551" s="797" t="e">
        <f>VLOOKUP(N551,etat!$A$9:$N$1003,9,FALSE)</f>
        <v>#N/A</v>
      </c>
      <c r="S551" s="797" t="e">
        <f>VLOOKUP(N551,etat!$A$9:$P$905,16,FALSE)</f>
        <v>#N/A</v>
      </c>
      <c r="T551" s="755"/>
      <c r="U551" s="791"/>
      <c r="V551" s="784"/>
      <c r="W551" s="784"/>
      <c r="X551" s="784"/>
      <c r="Y551" s="848"/>
      <c r="Z551" s="931" t="str">
        <f>VLOOKUP(L551,اس!$S$3:$X$31,3,FALSE)</f>
        <v>.</v>
      </c>
      <c r="AA551" s="967"/>
    </row>
    <row r="552" spans="12:27" ht="17.100000000000001" customHeight="1">
      <c r="L552" s="777">
        <v>5</v>
      </c>
      <c r="M552" s="864"/>
      <c r="N552" s="976">
        <v>0</v>
      </c>
      <c r="O552" s="1020">
        <v>495</v>
      </c>
      <c r="P552" s="847" t="e">
        <f>VLOOKUP(N552,etat!$A$9:$N$1004,2,FALSE)</f>
        <v>#N/A</v>
      </c>
      <c r="Q552" s="797" t="e">
        <f>VLOOKUP(N552,etat!$A$9:$N$963,7,FALSE)</f>
        <v>#N/A</v>
      </c>
      <c r="R552" s="797" t="e">
        <f>VLOOKUP(N552,etat!$A$9:$N$1003,9,FALSE)</f>
        <v>#N/A</v>
      </c>
      <c r="S552" s="797" t="e">
        <f>VLOOKUP(N552,etat!$A$9:$P$905,16,FALSE)</f>
        <v>#N/A</v>
      </c>
      <c r="T552" s="755"/>
      <c r="U552" s="791"/>
      <c r="V552" s="784"/>
      <c r="W552" s="784"/>
      <c r="X552" s="784"/>
      <c r="Y552" s="848"/>
      <c r="Z552" s="931" t="str">
        <f>VLOOKUP(L552,اس!$S$3:$X$31,3,FALSE)</f>
        <v>.</v>
      </c>
      <c r="AA552" s="967"/>
    </row>
    <row r="553" spans="12:27" ht="17.100000000000001" customHeight="1">
      <c r="L553" s="777">
        <v>5</v>
      </c>
      <c r="M553" s="864"/>
      <c r="N553" s="976">
        <v>0</v>
      </c>
      <c r="O553" s="1020">
        <v>496</v>
      </c>
      <c r="P553" s="847" t="e">
        <f>VLOOKUP(N553,etat!$A$9:$N$1004,2,FALSE)</f>
        <v>#N/A</v>
      </c>
      <c r="Q553" s="797" t="e">
        <f>VLOOKUP(N553,etat!$A$9:$N$963,7,FALSE)</f>
        <v>#N/A</v>
      </c>
      <c r="R553" s="797" t="e">
        <f>VLOOKUP(N553,etat!$A$9:$N$1003,9,FALSE)</f>
        <v>#N/A</v>
      </c>
      <c r="S553" s="797" t="e">
        <f>VLOOKUP(N553,etat!$A$9:$P$905,16,FALSE)</f>
        <v>#N/A</v>
      </c>
      <c r="T553" s="755"/>
      <c r="U553" s="791"/>
      <c r="V553" s="784"/>
      <c r="W553" s="784"/>
      <c r="X553" s="784"/>
      <c r="Y553" s="848"/>
      <c r="Z553" s="931" t="str">
        <f>VLOOKUP(L553,اس!$S$3:$X$31,3,FALSE)</f>
        <v>.</v>
      </c>
      <c r="AA553" s="967"/>
    </row>
    <row r="554" spans="12:27" ht="17.100000000000001" customHeight="1">
      <c r="L554" s="777">
        <v>5</v>
      </c>
      <c r="M554" s="864"/>
      <c r="N554" s="976">
        <v>0</v>
      </c>
      <c r="O554" s="1020">
        <v>497</v>
      </c>
      <c r="P554" s="847" t="e">
        <f>VLOOKUP(N554,etat!$A$9:$N$1004,2,FALSE)</f>
        <v>#N/A</v>
      </c>
      <c r="Q554" s="797" t="e">
        <f>VLOOKUP(N554,etat!$A$9:$N$963,7,FALSE)</f>
        <v>#N/A</v>
      </c>
      <c r="R554" s="797" t="e">
        <f>VLOOKUP(N554,etat!$A$9:$N$1003,9,FALSE)</f>
        <v>#N/A</v>
      </c>
      <c r="S554" s="797" t="e">
        <f>VLOOKUP(N554,etat!$A$9:$P$905,16,FALSE)</f>
        <v>#N/A</v>
      </c>
      <c r="T554" s="755"/>
      <c r="U554" s="791"/>
      <c r="V554" s="784"/>
      <c r="W554" s="784"/>
      <c r="X554" s="784"/>
      <c r="Y554" s="848"/>
      <c r="Z554" s="931" t="str">
        <f>VLOOKUP(L554,اس!$S$3:$X$31,3,FALSE)</f>
        <v>.</v>
      </c>
      <c r="AA554" s="967"/>
    </row>
    <row r="555" spans="12:27" ht="17.100000000000001" customHeight="1">
      <c r="L555" s="777">
        <v>5</v>
      </c>
      <c r="M555" s="864"/>
      <c r="N555" s="976">
        <v>0</v>
      </c>
      <c r="O555" s="1020">
        <v>498</v>
      </c>
      <c r="P555" s="847" t="e">
        <f>VLOOKUP(N555,etat!$A$9:$N$1004,2,FALSE)</f>
        <v>#N/A</v>
      </c>
      <c r="Q555" s="797" t="e">
        <f>VLOOKUP(N555,etat!$A$9:$N$963,7,FALSE)</f>
        <v>#N/A</v>
      </c>
      <c r="R555" s="797" t="e">
        <f>VLOOKUP(N555,etat!$A$9:$N$1003,9,FALSE)</f>
        <v>#N/A</v>
      </c>
      <c r="S555" s="797" t="e">
        <f>VLOOKUP(N555,etat!$A$9:$P$905,16,FALSE)</f>
        <v>#N/A</v>
      </c>
      <c r="T555" s="755"/>
      <c r="U555" s="791"/>
      <c r="V555" s="784"/>
      <c r="W555" s="784"/>
      <c r="X555" s="784"/>
      <c r="Y555" s="848"/>
      <c r="Z555" s="931" t="str">
        <f>VLOOKUP(L555,اس!$S$3:$X$31,3,FALSE)</f>
        <v>.</v>
      </c>
      <c r="AA555" s="967"/>
    </row>
    <row r="556" spans="12:27" ht="17.100000000000001" customHeight="1">
      <c r="L556" s="777">
        <v>5</v>
      </c>
      <c r="M556" s="864"/>
      <c r="N556" s="976">
        <v>0</v>
      </c>
      <c r="O556" s="1020">
        <v>499</v>
      </c>
      <c r="P556" s="847" t="e">
        <f>VLOOKUP(N556,etat!$A$9:$N$1004,2,FALSE)</f>
        <v>#N/A</v>
      </c>
      <c r="Q556" s="797" t="e">
        <f>VLOOKUP(N556,etat!$A$9:$N$963,7,FALSE)</f>
        <v>#N/A</v>
      </c>
      <c r="R556" s="797" t="e">
        <f>VLOOKUP(N556,etat!$A$9:$N$1003,9,FALSE)</f>
        <v>#N/A</v>
      </c>
      <c r="S556" s="797" t="e">
        <f>VLOOKUP(N556,etat!$A$9:$P$905,16,FALSE)</f>
        <v>#N/A</v>
      </c>
      <c r="T556" s="755"/>
      <c r="U556" s="791"/>
      <c r="V556" s="784"/>
      <c r="W556" s="784"/>
      <c r="X556" s="784"/>
      <c r="Y556" s="848"/>
      <c r="Z556" s="931" t="str">
        <f>VLOOKUP(L556,اس!$S$3:$X$31,3,FALSE)</f>
        <v>.</v>
      </c>
      <c r="AA556" s="967"/>
    </row>
    <row r="557" spans="12:27" ht="17.100000000000001" customHeight="1">
      <c r="L557" s="777">
        <v>5</v>
      </c>
      <c r="M557" s="864"/>
      <c r="N557" s="976">
        <v>0</v>
      </c>
      <c r="O557" s="1020">
        <v>500</v>
      </c>
      <c r="P557" s="847" t="e">
        <f>VLOOKUP(N557,etat!$A$9:$N$1004,2,FALSE)</f>
        <v>#N/A</v>
      </c>
      <c r="Q557" s="797" t="e">
        <f>VLOOKUP(N557,etat!$A$9:$N$963,7,FALSE)</f>
        <v>#N/A</v>
      </c>
      <c r="R557" s="797" t="e">
        <f>VLOOKUP(N557,etat!$A$9:$N$1003,9,FALSE)</f>
        <v>#N/A</v>
      </c>
      <c r="S557" s="797" t="e">
        <f>VLOOKUP(N557,etat!$A$9:$P$905,16,FALSE)</f>
        <v>#N/A</v>
      </c>
      <c r="T557" s="755"/>
      <c r="U557" s="791"/>
      <c r="V557" s="784"/>
      <c r="W557" s="784"/>
      <c r="X557" s="784"/>
      <c r="Y557" s="848"/>
      <c r="Z557" s="931" t="str">
        <f>VLOOKUP(L557,اس!$S$3:$X$31,3,FALSE)</f>
        <v>.</v>
      </c>
      <c r="AA557" s="967"/>
    </row>
    <row r="558" spans="12:27" ht="17.100000000000001" customHeight="1">
      <c r="L558" s="777">
        <v>5</v>
      </c>
      <c r="M558" s="864"/>
      <c r="N558" s="976">
        <v>0</v>
      </c>
      <c r="O558" s="1020">
        <v>501</v>
      </c>
      <c r="P558" s="847" t="e">
        <f>VLOOKUP(N558,etat!$A$9:$N$1004,2,FALSE)</f>
        <v>#N/A</v>
      </c>
      <c r="Q558" s="797" t="e">
        <f>VLOOKUP(N558,etat!$A$9:$N$963,7,FALSE)</f>
        <v>#N/A</v>
      </c>
      <c r="R558" s="797" t="e">
        <f>VLOOKUP(N558,etat!$A$9:$N$1003,9,FALSE)</f>
        <v>#N/A</v>
      </c>
      <c r="S558" s="797" t="e">
        <f>VLOOKUP(N558,etat!$A$9:$P$905,16,FALSE)</f>
        <v>#N/A</v>
      </c>
      <c r="T558" s="755"/>
      <c r="U558" s="791"/>
      <c r="V558" s="784"/>
      <c r="W558" s="784"/>
      <c r="X558" s="784"/>
      <c r="Y558" s="848"/>
      <c r="Z558" s="931" t="str">
        <f>VLOOKUP(L558,اس!$S$3:$X$31,3,FALSE)</f>
        <v>.</v>
      </c>
      <c r="AA558" s="967"/>
    </row>
    <row r="559" spans="12:27" ht="17.100000000000001" customHeight="1">
      <c r="L559" s="777">
        <v>5</v>
      </c>
      <c r="M559" s="864"/>
      <c r="N559" s="976">
        <v>0</v>
      </c>
      <c r="O559" s="1020">
        <v>502</v>
      </c>
      <c r="P559" s="847" t="e">
        <f>VLOOKUP(N559,etat!$A$9:$N$1004,2,FALSE)</f>
        <v>#N/A</v>
      </c>
      <c r="Q559" s="797" t="e">
        <f>VLOOKUP(N559,etat!$A$9:$N$963,7,FALSE)</f>
        <v>#N/A</v>
      </c>
      <c r="R559" s="797" t="e">
        <f>VLOOKUP(N559,etat!$A$9:$N$1003,9,FALSE)</f>
        <v>#N/A</v>
      </c>
      <c r="S559" s="797" t="e">
        <f>VLOOKUP(N559,etat!$A$9:$P$905,16,FALSE)</f>
        <v>#N/A</v>
      </c>
      <c r="T559" s="755"/>
      <c r="U559" s="791"/>
      <c r="V559" s="784"/>
      <c r="W559" s="784"/>
      <c r="X559" s="784"/>
      <c r="Y559" s="848"/>
      <c r="Z559" s="931" t="str">
        <f>VLOOKUP(L559,اس!$S$3:$X$31,3,FALSE)</f>
        <v>.</v>
      </c>
      <c r="AA559" s="967"/>
    </row>
    <row r="560" spans="12:27" ht="17.100000000000001" customHeight="1">
      <c r="L560" s="777">
        <v>5</v>
      </c>
      <c r="M560" s="864"/>
      <c r="N560" s="976">
        <v>0</v>
      </c>
      <c r="O560" s="1020">
        <v>503</v>
      </c>
      <c r="P560" s="847" t="e">
        <f>VLOOKUP(N560,etat!$A$9:$N$1004,2,FALSE)</f>
        <v>#N/A</v>
      </c>
      <c r="Q560" s="797" t="e">
        <f>VLOOKUP(N560,etat!$A$9:$N$963,7,FALSE)</f>
        <v>#N/A</v>
      </c>
      <c r="R560" s="797" t="e">
        <f>VLOOKUP(N560,etat!$A$9:$N$1003,9,FALSE)</f>
        <v>#N/A</v>
      </c>
      <c r="S560" s="797" t="e">
        <f>VLOOKUP(N560,etat!$A$9:$P$905,16,FALSE)</f>
        <v>#N/A</v>
      </c>
      <c r="T560" s="755"/>
      <c r="U560" s="791"/>
      <c r="V560" s="784"/>
      <c r="W560" s="784"/>
      <c r="X560" s="784"/>
      <c r="Y560" s="848"/>
      <c r="Z560" s="931" t="str">
        <f>VLOOKUP(L560,اس!$S$3:$X$31,3,FALSE)</f>
        <v>.</v>
      </c>
      <c r="AA560" s="967"/>
    </row>
    <row r="561" spans="12:27" ht="17.100000000000001" customHeight="1">
      <c r="L561" s="777">
        <v>5</v>
      </c>
      <c r="M561" s="864"/>
      <c r="N561" s="976">
        <v>0</v>
      </c>
      <c r="O561" s="1020">
        <v>504</v>
      </c>
      <c r="P561" s="847" t="e">
        <f>VLOOKUP(N561,etat!$A$9:$N$1004,2,FALSE)</f>
        <v>#N/A</v>
      </c>
      <c r="Q561" s="797" t="e">
        <f>VLOOKUP(N561,etat!$A$9:$N$963,7,FALSE)</f>
        <v>#N/A</v>
      </c>
      <c r="R561" s="797" t="e">
        <f>VLOOKUP(N561,etat!$A$9:$N$1003,9,FALSE)</f>
        <v>#N/A</v>
      </c>
      <c r="S561" s="797" t="e">
        <f>VLOOKUP(N561,etat!$A$9:$P$905,16,FALSE)</f>
        <v>#N/A</v>
      </c>
      <c r="T561" s="755"/>
      <c r="U561" s="791"/>
      <c r="V561" s="784"/>
      <c r="W561" s="784"/>
      <c r="X561" s="784"/>
      <c r="Y561" s="848"/>
      <c r="Z561" s="931" t="str">
        <f>VLOOKUP(L561,اس!$S$3:$X$31,3,FALSE)</f>
        <v>.</v>
      </c>
      <c r="AA561" s="967"/>
    </row>
    <row r="562" spans="12:27" ht="17.100000000000001" customHeight="1">
      <c r="L562" s="777">
        <v>5</v>
      </c>
      <c r="M562" s="864"/>
      <c r="N562" s="976">
        <v>0</v>
      </c>
      <c r="O562" s="1020">
        <v>505</v>
      </c>
      <c r="P562" s="847" t="e">
        <f>VLOOKUP(N562,etat!$A$9:$N$1004,2,FALSE)</f>
        <v>#N/A</v>
      </c>
      <c r="Q562" s="797" t="e">
        <f>VLOOKUP(N562,etat!$A$9:$N$963,7,FALSE)</f>
        <v>#N/A</v>
      </c>
      <c r="R562" s="797" t="e">
        <f>VLOOKUP(N562,etat!$A$9:$N$1003,9,FALSE)</f>
        <v>#N/A</v>
      </c>
      <c r="S562" s="797" t="e">
        <f>VLOOKUP(N562,etat!$A$9:$P$905,16,FALSE)</f>
        <v>#N/A</v>
      </c>
      <c r="T562" s="755"/>
      <c r="U562" s="791"/>
      <c r="V562" s="784"/>
      <c r="W562" s="784"/>
      <c r="X562" s="784"/>
      <c r="Y562" s="848"/>
      <c r="Z562" s="931" t="str">
        <f>VLOOKUP(L562,اس!$S$3:$X$31,3,FALSE)</f>
        <v>.</v>
      </c>
      <c r="AA562" s="967"/>
    </row>
    <row r="563" spans="12:27" ht="17.100000000000001" customHeight="1">
      <c r="L563" s="777">
        <v>5</v>
      </c>
      <c r="M563" s="864"/>
      <c r="N563" s="976">
        <v>0</v>
      </c>
      <c r="O563" s="1020">
        <v>506</v>
      </c>
      <c r="P563" s="847" t="e">
        <f>VLOOKUP(N563,etat!$A$9:$N$1004,2,FALSE)</f>
        <v>#N/A</v>
      </c>
      <c r="Q563" s="797" t="e">
        <f>VLOOKUP(N563,etat!$A$9:$N$963,7,FALSE)</f>
        <v>#N/A</v>
      </c>
      <c r="R563" s="797" t="e">
        <f>VLOOKUP(N563,etat!$A$9:$N$1003,9,FALSE)</f>
        <v>#N/A</v>
      </c>
      <c r="S563" s="797" t="e">
        <f>VLOOKUP(N563,etat!$A$9:$P$905,16,FALSE)</f>
        <v>#N/A</v>
      </c>
      <c r="T563" s="755"/>
      <c r="U563" s="791"/>
      <c r="V563" s="784"/>
      <c r="W563" s="784"/>
      <c r="X563" s="784"/>
      <c r="Y563" s="848"/>
      <c r="Z563" s="931" t="str">
        <f>VLOOKUP(L563,اس!$S$3:$X$31,3,FALSE)</f>
        <v>.</v>
      </c>
      <c r="AA563" s="967"/>
    </row>
    <row r="564" spans="12:27" ht="17.100000000000001" customHeight="1">
      <c r="L564" s="777">
        <v>5</v>
      </c>
      <c r="M564" s="864"/>
      <c r="N564" s="976">
        <v>0</v>
      </c>
      <c r="O564" s="1020">
        <v>507</v>
      </c>
      <c r="P564" s="847" t="e">
        <f>VLOOKUP(N564,etat!$A$9:$N$1004,2,FALSE)</f>
        <v>#N/A</v>
      </c>
      <c r="Q564" s="797" t="e">
        <f>VLOOKUP(N564,etat!$A$9:$N$963,7,FALSE)</f>
        <v>#N/A</v>
      </c>
      <c r="R564" s="797" t="e">
        <f>VLOOKUP(N564,etat!$A$9:$N$1003,9,FALSE)</f>
        <v>#N/A</v>
      </c>
      <c r="S564" s="797" t="e">
        <f>VLOOKUP(N564,etat!$A$9:$P$905,16,FALSE)</f>
        <v>#N/A</v>
      </c>
      <c r="T564" s="755"/>
      <c r="U564" s="791"/>
      <c r="V564" s="784"/>
      <c r="W564" s="784"/>
      <c r="X564" s="784"/>
      <c r="Y564" s="848"/>
      <c r="Z564" s="931" t="str">
        <f>VLOOKUP(L564,اس!$S$3:$X$31,3,FALSE)</f>
        <v>.</v>
      </c>
      <c r="AA564" s="967"/>
    </row>
    <row r="565" spans="12:27" ht="17.100000000000001" customHeight="1">
      <c r="L565" s="777">
        <v>5</v>
      </c>
      <c r="M565" s="864"/>
      <c r="N565" s="976">
        <v>0</v>
      </c>
      <c r="O565" s="1020">
        <v>508</v>
      </c>
      <c r="P565" s="847" t="e">
        <f>VLOOKUP(N565,etat!$A$9:$N$1004,2,FALSE)</f>
        <v>#N/A</v>
      </c>
      <c r="Q565" s="797" t="e">
        <f>VLOOKUP(N565,etat!$A$9:$N$963,7,FALSE)</f>
        <v>#N/A</v>
      </c>
      <c r="R565" s="797" t="e">
        <f>VLOOKUP(N565,etat!$A$9:$N$1003,9,FALSE)</f>
        <v>#N/A</v>
      </c>
      <c r="S565" s="797" t="e">
        <f>VLOOKUP(N565,etat!$A$9:$P$905,16,FALSE)</f>
        <v>#N/A</v>
      </c>
      <c r="T565" s="755"/>
      <c r="U565" s="791"/>
      <c r="V565" s="784"/>
      <c r="W565" s="784"/>
      <c r="X565" s="784"/>
      <c r="Y565" s="848"/>
      <c r="Z565" s="931" t="str">
        <f>VLOOKUP(L565,اس!$S$3:$X$31,3,FALSE)</f>
        <v>.</v>
      </c>
      <c r="AA565" s="967"/>
    </row>
    <row r="566" spans="12:27" ht="17.100000000000001" customHeight="1">
      <c r="L566" s="777">
        <v>5</v>
      </c>
      <c r="M566" s="864"/>
      <c r="N566" s="976">
        <v>0</v>
      </c>
      <c r="O566" s="1020">
        <v>509</v>
      </c>
      <c r="P566" s="847" t="e">
        <f>VLOOKUP(N566,etat!$A$9:$N$1004,2,FALSE)</f>
        <v>#N/A</v>
      </c>
      <c r="Q566" s="797" t="e">
        <f>VLOOKUP(N566,etat!$A$9:$N$963,7,FALSE)</f>
        <v>#N/A</v>
      </c>
      <c r="R566" s="797" t="e">
        <f>VLOOKUP(N566,etat!$A$9:$N$1003,9,FALSE)</f>
        <v>#N/A</v>
      </c>
      <c r="S566" s="797" t="e">
        <f>VLOOKUP(N566,etat!$A$9:$P$905,16,FALSE)</f>
        <v>#N/A</v>
      </c>
      <c r="T566" s="755"/>
      <c r="U566" s="791"/>
      <c r="V566" s="784"/>
      <c r="W566" s="784"/>
      <c r="X566" s="784"/>
      <c r="Y566" s="848"/>
      <c r="Z566" s="931" t="str">
        <f>VLOOKUP(L566,اس!$S$3:$X$31,3,FALSE)</f>
        <v>.</v>
      </c>
      <c r="AA566" s="967"/>
    </row>
    <row r="567" spans="12:27" ht="17.100000000000001" customHeight="1">
      <c r="L567" s="777">
        <v>5</v>
      </c>
      <c r="M567" s="864"/>
      <c r="N567" s="976">
        <v>0</v>
      </c>
      <c r="O567" s="1020">
        <v>510</v>
      </c>
      <c r="P567" s="847" t="e">
        <f>VLOOKUP(N567,etat!$A$9:$N$1004,2,FALSE)</f>
        <v>#N/A</v>
      </c>
      <c r="Q567" s="797" t="e">
        <f>VLOOKUP(N567,etat!$A$9:$N$963,7,FALSE)</f>
        <v>#N/A</v>
      </c>
      <c r="R567" s="797" t="e">
        <f>VLOOKUP(N567,etat!$A$9:$N$1003,9,FALSE)</f>
        <v>#N/A</v>
      </c>
      <c r="S567" s="797" t="e">
        <f>VLOOKUP(N567,etat!$A$9:$P$905,16,FALSE)</f>
        <v>#N/A</v>
      </c>
      <c r="T567" s="755"/>
      <c r="U567" s="791"/>
      <c r="V567" s="784"/>
      <c r="W567" s="784"/>
      <c r="X567" s="784"/>
      <c r="Y567" s="848"/>
      <c r="Z567" s="931" t="str">
        <f>VLOOKUP(L567,اس!$S$3:$X$31,3,FALSE)</f>
        <v>.</v>
      </c>
      <c r="AA567" s="967"/>
    </row>
    <row r="568" spans="12:27" ht="17.100000000000001" customHeight="1">
      <c r="L568" s="777">
        <v>5</v>
      </c>
      <c r="M568" s="864"/>
      <c r="N568" s="976">
        <v>0</v>
      </c>
      <c r="O568" s="1020">
        <v>511</v>
      </c>
      <c r="P568" s="847" t="e">
        <f>VLOOKUP(N568,etat!$A$9:$N$1004,2,FALSE)</f>
        <v>#N/A</v>
      </c>
      <c r="Q568" s="797" t="e">
        <f>VLOOKUP(N568,etat!$A$9:$N$963,7,FALSE)</f>
        <v>#N/A</v>
      </c>
      <c r="R568" s="797" t="e">
        <f>VLOOKUP(N568,etat!$A$9:$N$1003,9,FALSE)</f>
        <v>#N/A</v>
      </c>
      <c r="S568" s="797" t="e">
        <f>VLOOKUP(N568,etat!$A$9:$P$905,16,FALSE)</f>
        <v>#N/A</v>
      </c>
      <c r="T568" s="755"/>
      <c r="U568" s="791"/>
      <c r="V568" s="784"/>
      <c r="W568" s="784"/>
      <c r="X568" s="784"/>
      <c r="Y568" s="848"/>
      <c r="Z568" s="931" t="str">
        <f>VLOOKUP(L568,اس!$S$3:$X$31,3,FALSE)</f>
        <v>.</v>
      </c>
      <c r="AA568" s="967"/>
    </row>
    <row r="569" spans="12:27" ht="17.100000000000001" customHeight="1">
      <c r="L569" s="777">
        <v>5</v>
      </c>
      <c r="M569" s="864"/>
      <c r="N569" s="976">
        <v>0</v>
      </c>
      <c r="O569" s="1020">
        <v>512</v>
      </c>
      <c r="P569" s="847" t="e">
        <f>VLOOKUP(N569,etat!$A$9:$N$1004,2,FALSE)</f>
        <v>#N/A</v>
      </c>
      <c r="Q569" s="797" t="e">
        <f>VLOOKUP(N569,etat!$A$9:$N$963,7,FALSE)</f>
        <v>#N/A</v>
      </c>
      <c r="R569" s="797" t="e">
        <f>VLOOKUP(N569,etat!$A$9:$N$1003,9,FALSE)</f>
        <v>#N/A</v>
      </c>
      <c r="S569" s="797" t="e">
        <f>VLOOKUP(N569,etat!$A$9:$P$905,16,FALSE)</f>
        <v>#N/A</v>
      </c>
      <c r="T569" s="755"/>
      <c r="U569" s="791"/>
      <c r="V569" s="784"/>
      <c r="W569" s="784"/>
      <c r="X569" s="784"/>
      <c r="Y569" s="848"/>
      <c r="Z569" s="931" t="str">
        <f>VLOOKUP(L569,اس!$S$3:$X$31,3,FALSE)</f>
        <v>.</v>
      </c>
      <c r="AA569" s="967"/>
    </row>
    <row r="570" spans="12:27" ht="17.100000000000001" customHeight="1">
      <c r="L570" s="777">
        <v>5</v>
      </c>
      <c r="M570" s="864"/>
      <c r="N570" s="976">
        <v>0</v>
      </c>
      <c r="O570" s="1020">
        <v>513</v>
      </c>
      <c r="P570" s="847" t="e">
        <f>VLOOKUP(N570,etat!$A$9:$N$1004,2,FALSE)</f>
        <v>#N/A</v>
      </c>
      <c r="Q570" s="797" t="e">
        <f>VLOOKUP(N570,etat!$A$9:$N$963,7,FALSE)</f>
        <v>#N/A</v>
      </c>
      <c r="R570" s="797" t="e">
        <f>VLOOKUP(N570,etat!$A$9:$N$1003,9,FALSE)</f>
        <v>#N/A</v>
      </c>
      <c r="S570" s="797" t="e">
        <f>VLOOKUP(N570,etat!$A$9:$P$905,16,FALSE)</f>
        <v>#N/A</v>
      </c>
      <c r="T570" s="755"/>
      <c r="U570" s="791"/>
      <c r="V570" s="784"/>
      <c r="W570" s="784"/>
      <c r="X570" s="784"/>
      <c r="Y570" s="848"/>
      <c r="Z570" s="931" t="str">
        <f>VLOOKUP(L570,اس!$S$3:$X$31,3,FALSE)</f>
        <v>.</v>
      </c>
      <c r="AA570" s="967"/>
    </row>
    <row r="571" spans="12:27" ht="17.100000000000001" customHeight="1">
      <c r="L571" s="777">
        <v>5</v>
      </c>
      <c r="M571" s="864"/>
      <c r="N571" s="976">
        <v>0</v>
      </c>
      <c r="O571" s="1020">
        <v>514</v>
      </c>
      <c r="P571" s="847" t="e">
        <f>VLOOKUP(N571,etat!$A$9:$N$1004,2,FALSE)</f>
        <v>#N/A</v>
      </c>
      <c r="Q571" s="797" t="e">
        <f>VLOOKUP(N571,etat!$A$9:$N$963,7,FALSE)</f>
        <v>#N/A</v>
      </c>
      <c r="R571" s="797" t="e">
        <f>VLOOKUP(N571,etat!$A$9:$N$1003,9,FALSE)</f>
        <v>#N/A</v>
      </c>
      <c r="S571" s="797" t="e">
        <f>VLOOKUP(N571,etat!$A$9:$P$905,16,FALSE)</f>
        <v>#N/A</v>
      </c>
      <c r="T571" s="755"/>
      <c r="U571" s="791"/>
      <c r="V571" s="784"/>
      <c r="W571" s="784"/>
      <c r="X571" s="784"/>
      <c r="Y571" s="848"/>
      <c r="Z571" s="931" t="str">
        <f>VLOOKUP(L571,اس!$S$3:$X$31,3,FALSE)</f>
        <v>.</v>
      </c>
      <c r="AA571" s="967"/>
    </row>
    <row r="572" spans="12:27" ht="17.100000000000001" customHeight="1">
      <c r="L572" s="777">
        <v>5</v>
      </c>
      <c r="M572" s="864"/>
      <c r="N572" s="976">
        <v>0</v>
      </c>
      <c r="O572" s="1020">
        <v>515</v>
      </c>
      <c r="P572" s="847" t="e">
        <f>VLOOKUP(N572,etat!$A$9:$N$1004,2,FALSE)</f>
        <v>#N/A</v>
      </c>
      <c r="Q572" s="797" t="e">
        <f>VLOOKUP(N572,etat!$A$9:$N$963,7,FALSE)</f>
        <v>#N/A</v>
      </c>
      <c r="R572" s="797" t="e">
        <f>VLOOKUP(N572,etat!$A$9:$N$1003,9,FALSE)</f>
        <v>#N/A</v>
      </c>
      <c r="S572" s="797" t="e">
        <f>VLOOKUP(N572,etat!$A$9:$P$905,16,FALSE)</f>
        <v>#N/A</v>
      </c>
      <c r="T572" s="755"/>
      <c r="U572" s="791"/>
      <c r="V572" s="784"/>
      <c r="W572" s="784"/>
      <c r="X572" s="784"/>
      <c r="Y572" s="848"/>
      <c r="Z572" s="931" t="str">
        <f>VLOOKUP(L572,اس!$S$3:$X$31,3,FALSE)</f>
        <v>.</v>
      </c>
      <c r="AA572" s="967"/>
    </row>
    <row r="573" spans="12:27" ht="17.100000000000001" customHeight="1">
      <c r="L573" s="777">
        <v>5</v>
      </c>
      <c r="M573" s="864"/>
      <c r="N573" s="976">
        <v>0</v>
      </c>
      <c r="O573" s="1020">
        <v>516</v>
      </c>
      <c r="P573" s="847" t="e">
        <f>VLOOKUP(N573,etat!$A$9:$N$1004,2,FALSE)</f>
        <v>#N/A</v>
      </c>
      <c r="Q573" s="797" t="e">
        <f>VLOOKUP(N573,etat!$A$9:$N$963,7,FALSE)</f>
        <v>#N/A</v>
      </c>
      <c r="R573" s="797" t="e">
        <f>VLOOKUP(N573,etat!$A$9:$N$1003,9,FALSE)</f>
        <v>#N/A</v>
      </c>
      <c r="S573" s="797" t="e">
        <f>VLOOKUP(N573,etat!$A$9:$P$905,16,FALSE)</f>
        <v>#N/A</v>
      </c>
      <c r="T573" s="755"/>
      <c r="U573" s="791"/>
      <c r="V573" s="784"/>
      <c r="W573" s="784"/>
      <c r="X573" s="784"/>
      <c r="Y573" s="848"/>
      <c r="Z573" s="931" t="str">
        <f>VLOOKUP(L573,اس!$S$3:$X$31,3,FALSE)</f>
        <v>.</v>
      </c>
      <c r="AA573" s="967"/>
    </row>
    <row r="574" spans="12:27" ht="17.100000000000001" customHeight="1">
      <c r="L574" s="777">
        <v>5</v>
      </c>
      <c r="M574" s="864"/>
      <c r="N574" s="976">
        <v>0</v>
      </c>
      <c r="O574" s="1020">
        <v>517</v>
      </c>
      <c r="P574" s="847" t="e">
        <f>VLOOKUP(N574,etat!$A$9:$N$1004,2,FALSE)</f>
        <v>#N/A</v>
      </c>
      <c r="Q574" s="797" t="e">
        <f>VLOOKUP(N574,etat!$A$9:$N$963,7,FALSE)</f>
        <v>#N/A</v>
      </c>
      <c r="R574" s="797" t="e">
        <f>VLOOKUP(N574,etat!$A$9:$N$1003,9,FALSE)</f>
        <v>#N/A</v>
      </c>
      <c r="S574" s="797" t="e">
        <f>VLOOKUP(N574,etat!$A$9:$P$905,16,FALSE)</f>
        <v>#N/A</v>
      </c>
      <c r="T574" s="755"/>
      <c r="U574" s="791"/>
      <c r="V574" s="784"/>
      <c r="W574" s="784"/>
      <c r="X574" s="784"/>
      <c r="Y574" s="848"/>
      <c r="Z574" s="931" t="str">
        <f>VLOOKUP(L574,اس!$S$3:$X$31,3,FALSE)</f>
        <v>.</v>
      </c>
      <c r="AA574" s="967"/>
    </row>
    <row r="575" spans="12:27" ht="17.100000000000001" customHeight="1">
      <c r="L575" s="777">
        <v>5</v>
      </c>
      <c r="M575" s="864"/>
      <c r="N575" s="976">
        <v>0</v>
      </c>
      <c r="O575" s="1020">
        <v>518</v>
      </c>
      <c r="P575" s="858" t="e">
        <f>VLOOKUP(N575,etat!$A$9:$N$1004,2,FALSE)</f>
        <v>#N/A</v>
      </c>
      <c r="Q575" s="797" t="e">
        <f>VLOOKUP(N575,etat!$A$9:$N$963,7,FALSE)</f>
        <v>#N/A</v>
      </c>
      <c r="R575" s="928" t="e">
        <f>VLOOKUP(N575,etat!$A$9:$N$1003,9,FALSE)</f>
        <v>#N/A</v>
      </c>
      <c r="S575" s="797" t="e">
        <f>VLOOKUP(N575,etat!$A$9:$P$905,16,FALSE)</f>
        <v>#N/A</v>
      </c>
      <c r="T575" s="755"/>
      <c r="U575" s="791"/>
      <c r="V575" s="784"/>
      <c r="W575" s="784"/>
      <c r="X575" s="784"/>
      <c r="Y575" s="784"/>
      <c r="Z575" s="931" t="str">
        <f>VLOOKUP(L575,اس!$S$3:$X$31,3,FALSE)</f>
        <v>.</v>
      </c>
      <c r="AA575" s="967"/>
    </row>
    <row r="576" spans="12:27" ht="17.100000000000001" customHeight="1">
      <c r="L576" s="777">
        <v>5</v>
      </c>
      <c r="M576" s="864"/>
      <c r="N576" s="976">
        <v>0</v>
      </c>
      <c r="O576" s="1020">
        <v>519</v>
      </c>
      <c r="P576" s="858" t="e">
        <f>VLOOKUP(N576,etat!$A$9:$N$1004,2,FALSE)</f>
        <v>#N/A</v>
      </c>
      <c r="Q576" s="797" t="e">
        <f>VLOOKUP(N576,etat!$A$9:$N$963,7,FALSE)</f>
        <v>#N/A</v>
      </c>
      <c r="R576" s="928" t="e">
        <f>VLOOKUP(N576,etat!$A$9:$N$1003,9,FALSE)</f>
        <v>#N/A</v>
      </c>
      <c r="S576" s="797" t="e">
        <f>VLOOKUP(N576,etat!$A$9:$P$905,16,FALSE)</f>
        <v>#N/A</v>
      </c>
      <c r="T576" s="755"/>
      <c r="U576" s="791"/>
      <c r="V576" s="784"/>
      <c r="W576" s="784"/>
      <c r="X576" s="784"/>
      <c r="Y576" s="784"/>
      <c r="Z576" s="931" t="str">
        <f>VLOOKUP(L576,اس!$S$3:$X$31,3,FALSE)</f>
        <v>.</v>
      </c>
      <c r="AA576" s="967"/>
    </row>
    <row r="577" spans="12:27" ht="17.100000000000001" customHeight="1">
      <c r="L577" s="777">
        <v>5</v>
      </c>
      <c r="M577" s="864"/>
      <c r="N577" s="976">
        <v>0</v>
      </c>
      <c r="O577" s="1020">
        <v>520</v>
      </c>
      <c r="P577" s="858" t="e">
        <f>VLOOKUP(N577,etat!$A$9:$N$1004,2,FALSE)</f>
        <v>#N/A</v>
      </c>
      <c r="Q577" s="797" t="e">
        <f>VLOOKUP(N577,etat!$A$9:$N$963,7,FALSE)</f>
        <v>#N/A</v>
      </c>
      <c r="R577" s="928" t="e">
        <f>VLOOKUP(N577,etat!$A$9:$N$1003,9,FALSE)</f>
        <v>#N/A</v>
      </c>
      <c r="S577" s="797" t="e">
        <f>VLOOKUP(N577,etat!$A$9:$P$905,16,FALSE)</f>
        <v>#N/A</v>
      </c>
      <c r="T577" s="755"/>
      <c r="U577" s="791"/>
      <c r="V577" s="784"/>
      <c r="W577" s="784"/>
      <c r="X577" s="784"/>
      <c r="Y577" s="784"/>
      <c r="Z577" s="931" t="str">
        <f>VLOOKUP(L577,اس!$S$3:$X$31,3,FALSE)</f>
        <v>.</v>
      </c>
      <c r="AA577" s="967"/>
    </row>
    <row r="578" spans="12:27" ht="17.100000000000001" customHeight="1">
      <c r="L578" s="777">
        <v>5</v>
      </c>
      <c r="M578" s="864"/>
      <c r="N578" s="976">
        <v>0</v>
      </c>
      <c r="O578" s="1020">
        <v>521</v>
      </c>
      <c r="P578" s="858" t="e">
        <f>VLOOKUP(N578,etat!$A$9:$N$1004,2,FALSE)</f>
        <v>#N/A</v>
      </c>
      <c r="Q578" s="797" t="e">
        <f>VLOOKUP(N578,etat!$A$9:$N$963,7,FALSE)</f>
        <v>#N/A</v>
      </c>
      <c r="R578" s="928" t="e">
        <f>VLOOKUP(N578,etat!$A$9:$N$1003,9,FALSE)</f>
        <v>#N/A</v>
      </c>
      <c r="S578" s="797" t="e">
        <f>VLOOKUP(N578,etat!$A$9:$P$905,16,FALSE)</f>
        <v>#N/A</v>
      </c>
      <c r="T578" s="755"/>
      <c r="U578" s="791"/>
      <c r="V578" s="784"/>
      <c r="W578" s="784"/>
      <c r="X578" s="784"/>
      <c r="Y578" s="784"/>
      <c r="Z578" s="931" t="str">
        <f>VLOOKUP(L578,اس!$S$3:$X$31,3,FALSE)</f>
        <v>.</v>
      </c>
      <c r="AA578" s="967"/>
    </row>
    <row r="579" spans="12:27" ht="17.100000000000001" customHeight="1">
      <c r="L579" s="777">
        <v>5</v>
      </c>
      <c r="M579" s="864"/>
      <c r="N579" s="976">
        <v>0</v>
      </c>
      <c r="O579" s="1020">
        <v>522</v>
      </c>
      <c r="P579" s="858" t="e">
        <f>VLOOKUP(N579,etat!$A$9:$N$1004,2,FALSE)</f>
        <v>#N/A</v>
      </c>
      <c r="Q579" s="797" t="e">
        <f>VLOOKUP(N579,etat!$A$9:$N$963,7,FALSE)</f>
        <v>#N/A</v>
      </c>
      <c r="R579" s="928" t="e">
        <f>VLOOKUP(N579,etat!$A$9:$N$1003,9,FALSE)</f>
        <v>#N/A</v>
      </c>
      <c r="S579" s="797" t="e">
        <f>VLOOKUP(N579,etat!$A$9:$P$905,16,FALSE)</f>
        <v>#N/A</v>
      </c>
      <c r="T579" s="755"/>
      <c r="U579" s="791"/>
      <c r="V579" s="784"/>
      <c r="W579" s="784"/>
      <c r="X579" s="784"/>
      <c r="Y579" s="784"/>
      <c r="Z579" s="931" t="str">
        <f>VLOOKUP(L579,اس!$S$3:$X$31,3,FALSE)</f>
        <v>.</v>
      </c>
      <c r="AA579" s="967"/>
    </row>
    <row r="580" spans="12:27" ht="17.100000000000001" customHeight="1">
      <c r="L580" s="777">
        <v>5</v>
      </c>
      <c r="M580" s="864"/>
      <c r="N580" s="976">
        <v>0</v>
      </c>
      <c r="O580" s="1020">
        <v>523</v>
      </c>
      <c r="P580" s="858" t="e">
        <f>VLOOKUP(N580,etat!$A$9:$N$1004,2,FALSE)</f>
        <v>#N/A</v>
      </c>
      <c r="Q580" s="797" t="e">
        <f>VLOOKUP(N580,etat!$A$9:$N$963,7,FALSE)</f>
        <v>#N/A</v>
      </c>
      <c r="R580" s="928" t="e">
        <f>VLOOKUP(N580,etat!$A$9:$N$1003,9,FALSE)</f>
        <v>#N/A</v>
      </c>
      <c r="S580" s="797" t="e">
        <f>VLOOKUP(N580,etat!$A$9:$P$905,16,FALSE)</f>
        <v>#N/A</v>
      </c>
      <c r="T580" s="755"/>
      <c r="U580" s="791"/>
      <c r="V580" s="784"/>
      <c r="W580" s="784"/>
      <c r="X580" s="784"/>
      <c r="Y580" s="784"/>
      <c r="Z580" s="931" t="str">
        <f>VLOOKUP(L580,اس!$S$3:$X$31,3,FALSE)</f>
        <v>.</v>
      </c>
      <c r="AA580" s="967"/>
    </row>
    <row r="581" spans="12:27" ht="17.100000000000001" customHeight="1">
      <c r="L581" s="777">
        <v>5</v>
      </c>
      <c r="M581" s="864"/>
      <c r="N581" s="976">
        <v>0</v>
      </c>
      <c r="O581" s="1020">
        <v>524</v>
      </c>
      <c r="P581" s="858" t="e">
        <f>VLOOKUP(N581,etat!$A$9:$N$1004,2,FALSE)</f>
        <v>#N/A</v>
      </c>
      <c r="Q581" s="797" t="e">
        <f>VLOOKUP(N581,etat!$A$9:$N$963,7,FALSE)</f>
        <v>#N/A</v>
      </c>
      <c r="R581" s="928" t="e">
        <f>VLOOKUP(N581,etat!$A$9:$N$1003,9,FALSE)</f>
        <v>#N/A</v>
      </c>
      <c r="S581" s="797" t="e">
        <f>VLOOKUP(N581,etat!$A$9:$P$905,16,FALSE)</f>
        <v>#N/A</v>
      </c>
      <c r="T581" s="755"/>
      <c r="U581" s="791"/>
      <c r="V581" s="784"/>
      <c r="W581" s="784"/>
      <c r="X581" s="784"/>
      <c r="Y581" s="784"/>
      <c r="Z581" s="931" t="str">
        <f>VLOOKUP(L581,اس!$S$3:$X$31,3,FALSE)</f>
        <v>.</v>
      </c>
      <c r="AA581" s="967"/>
    </row>
    <row r="582" spans="12:27" ht="17.100000000000001" customHeight="1">
      <c r="L582" s="777">
        <v>5</v>
      </c>
      <c r="M582" s="864"/>
      <c r="N582" s="976">
        <v>0</v>
      </c>
      <c r="O582" s="1020">
        <v>525</v>
      </c>
      <c r="P582" s="858" t="e">
        <f>VLOOKUP(N582,etat!$A$9:$N$1004,2,FALSE)</f>
        <v>#N/A</v>
      </c>
      <c r="Q582" s="797" t="e">
        <f>VLOOKUP(N582,etat!$A$9:$N$963,7,FALSE)</f>
        <v>#N/A</v>
      </c>
      <c r="R582" s="928" t="e">
        <f>VLOOKUP(N582,etat!$A$9:$N$1003,9,FALSE)</f>
        <v>#N/A</v>
      </c>
      <c r="S582" s="797" t="e">
        <f>VLOOKUP(N582,etat!$A$9:$P$905,16,FALSE)</f>
        <v>#N/A</v>
      </c>
      <c r="T582" s="755"/>
      <c r="U582" s="791"/>
      <c r="V582" s="784"/>
      <c r="W582" s="784"/>
      <c r="X582" s="784"/>
      <c r="Y582" s="784"/>
      <c r="Z582" s="931" t="str">
        <f>VLOOKUP(L582,اس!$S$3:$X$31,3,FALSE)</f>
        <v>.</v>
      </c>
      <c r="AA582" s="967"/>
    </row>
    <row r="583" spans="12:27" ht="17.100000000000001" customHeight="1">
      <c r="L583" s="777">
        <v>5</v>
      </c>
      <c r="M583" s="864"/>
      <c r="N583" s="976">
        <v>0</v>
      </c>
      <c r="O583" s="1020">
        <v>526</v>
      </c>
      <c r="P583" s="858" t="e">
        <f>VLOOKUP(N583,etat!$A$9:$N$1004,2,FALSE)</f>
        <v>#N/A</v>
      </c>
      <c r="Q583" s="797" t="e">
        <f>VLOOKUP(N583,etat!$A$9:$N$963,7,FALSE)</f>
        <v>#N/A</v>
      </c>
      <c r="R583" s="928" t="e">
        <f>VLOOKUP(N583,etat!$A$9:$N$1003,9,FALSE)</f>
        <v>#N/A</v>
      </c>
      <c r="S583" s="797" t="e">
        <f>VLOOKUP(N583,etat!$A$9:$P$905,16,FALSE)</f>
        <v>#N/A</v>
      </c>
      <c r="T583" s="755"/>
      <c r="U583" s="791"/>
      <c r="V583" s="784"/>
      <c r="W583" s="784"/>
      <c r="X583" s="784"/>
      <c r="Y583" s="784"/>
      <c r="Z583" s="931" t="str">
        <f>VLOOKUP(L583,اس!$S$3:$X$31,3,FALSE)</f>
        <v>.</v>
      </c>
      <c r="AA583" s="967"/>
    </row>
    <row r="584" spans="12:27" ht="17.100000000000001" customHeight="1">
      <c r="L584" s="777">
        <v>5</v>
      </c>
      <c r="M584" s="864"/>
      <c r="N584" s="976">
        <v>0</v>
      </c>
      <c r="O584" s="1020">
        <v>527</v>
      </c>
      <c r="P584" s="858" t="e">
        <f>VLOOKUP(N584,etat!$A$9:$N$1004,2,FALSE)</f>
        <v>#N/A</v>
      </c>
      <c r="Q584" s="797" t="e">
        <f>VLOOKUP(N584,etat!$A$9:$N$963,7,FALSE)</f>
        <v>#N/A</v>
      </c>
      <c r="R584" s="928" t="e">
        <f>VLOOKUP(N584,etat!$A$9:$N$1003,9,FALSE)</f>
        <v>#N/A</v>
      </c>
      <c r="S584" s="797" t="e">
        <f>VLOOKUP(N584,etat!$A$9:$P$905,16,FALSE)</f>
        <v>#N/A</v>
      </c>
      <c r="T584" s="755"/>
      <c r="U584" s="791"/>
      <c r="V584" s="784"/>
      <c r="W584" s="784"/>
      <c r="X584" s="784"/>
      <c r="Y584" s="784"/>
      <c r="Z584" s="931" t="str">
        <f>VLOOKUP(L584,اس!$S$3:$X$31,3,FALSE)</f>
        <v>.</v>
      </c>
      <c r="AA584" s="967"/>
    </row>
    <row r="585" spans="12:27" ht="17.100000000000001" customHeight="1">
      <c r="L585" s="777">
        <v>5</v>
      </c>
      <c r="M585" s="864"/>
      <c r="N585" s="976">
        <v>0</v>
      </c>
      <c r="O585" s="1020">
        <v>528</v>
      </c>
      <c r="P585" s="858" t="e">
        <f>VLOOKUP(N585,etat!$A$9:$N$1004,2,FALSE)</f>
        <v>#N/A</v>
      </c>
      <c r="Q585" s="797" t="e">
        <f>VLOOKUP(N585,etat!$A$9:$N$963,7,FALSE)</f>
        <v>#N/A</v>
      </c>
      <c r="R585" s="928" t="e">
        <f>VLOOKUP(N585,etat!$A$9:$N$1003,9,FALSE)</f>
        <v>#N/A</v>
      </c>
      <c r="S585" s="797" t="e">
        <f>VLOOKUP(N585,etat!$A$9:$P$905,16,FALSE)</f>
        <v>#N/A</v>
      </c>
      <c r="T585" s="755"/>
      <c r="U585" s="791"/>
      <c r="V585" s="784"/>
      <c r="W585" s="784"/>
      <c r="X585" s="784"/>
      <c r="Y585" s="784"/>
      <c r="Z585" s="931" t="str">
        <f>VLOOKUP(L585,اس!$S$3:$X$31,3,FALSE)</f>
        <v>.</v>
      </c>
      <c r="AA585" s="967"/>
    </row>
    <row r="586" spans="12:27" ht="17.100000000000001" customHeight="1">
      <c r="L586" s="777">
        <v>5</v>
      </c>
      <c r="M586" s="864"/>
      <c r="N586" s="976">
        <v>0</v>
      </c>
      <c r="O586" s="1020">
        <v>529</v>
      </c>
      <c r="P586" s="858" t="e">
        <f>VLOOKUP(N586,etat!$A$9:$N$1004,2,FALSE)</f>
        <v>#N/A</v>
      </c>
      <c r="Q586" s="797" t="e">
        <f>VLOOKUP(N586,etat!$A$9:$N$963,7,FALSE)</f>
        <v>#N/A</v>
      </c>
      <c r="R586" s="928" t="e">
        <f>VLOOKUP(N586,etat!$A$9:$N$1003,9,FALSE)</f>
        <v>#N/A</v>
      </c>
      <c r="S586" s="797" t="e">
        <f>VLOOKUP(N586,etat!$A$9:$P$905,16,FALSE)</f>
        <v>#N/A</v>
      </c>
      <c r="T586" s="755"/>
      <c r="U586" s="791"/>
      <c r="V586" s="784"/>
      <c r="W586" s="784"/>
      <c r="X586" s="784"/>
      <c r="Y586" s="784"/>
      <c r="Z586" s="931" t="str">
        <f>VLOOKUP(L586,اس!$S$3:$X$31,3,FALSE)</f>
        <v>.</v>
      </c>
      <c r="AA586" s="967"/>
    </row>
    <row r="587" spans="12:27" ht="17.100000000000001" customHeight="1">
      <c r="L587" s="777">
        <v>5</v>
      </c>
      <c r="M587" s="864"/>
      <c r="N587" s="976">
        <v>0</v>
      </c>
      <c r="O587" s="1020">
        <v>530</v>
      </c>
      <c r="P587" s="858" t="e">
        <f>VLOOKUP(N587,etat!$A$9:$N$1004,2,FALSE)</f>
        <v>#N/A</v>
      </c>
      <c r="Q587" s="797" t="e">
        <f>VLOOKUP(N587,etat!$A$9:$N$963,7,FALSE)</f>
        <v>#N/A</v>
      </c>
      <c r="R587" s="928" t="e">
        <f>VLOOKUP(N587,etat!$A$9:$N$1003,9,FALSE)</f>
        <v>#N/A</v>
      </c>
      <c r="S587" s="797" t="e">
        <f>VLOOKUP(N587,etat!$A$9:$P$905,16,FALSE)</f>
        <v>#N/A</v>
      </c>
      <c r="T587" s="755"/>
      <c r="U587" s="791"/>
      <c r="V587" s="784"/>
      <c r="W587" s="784"/>
      <c r="X587" s="784"/>
      <c r="Y587" s="784"/>
      <c r="Z587" s="931" t="str">
        <f>VLOOKUP(L587,اس!$S$3:$X$31,3,FALSE)</f>
        <v>.</v>
      </c>
      <c r="AA587" s="967"/>
    </row>
    <row r="588" spans="12:27" ht="17.100000000000001" customHeight="1">
      <c r="L588" s="777">
        <v>5</v>
      </c>
      <c r="M588" s="864"/>
      <c r="N588" s="976">
        <v>0</v>
      </c>
      <c r="O588" s="1020">
        <v>531</v>
      </c>
      <c r="P588" s="858" t="e">
        <f>VLOOKUP(N588,etat!$A$9:$N$1004,2,FALSE)</f>
        <v>#N/A</v>
      </c>
      <c r="Q588" s="797" t="e">
        <f>VLOOKUP(N588,etat!$A$9:$N$963,7,FALSE)</f>
        <v>#N/A</v>
      </c>
      <c r="R588" s="928" t="e">
        <f>VLOOKUP(N588,etat!$A$9:$N$1003,9,FALSE)</f>
        <v>#N/A</v>
      </c>
      <c r="S588" s="797" t="e">
        <f>VLOOKUP(N588,etat!$A$9:$P$905,16,FALSE)</f>
        <v>#N/A</v>
      </c>
      <c r="T588" s="755"/>
      <c r="U588" s="791"/>
      <c r="V588" s="784"/>
      <c r="W588" s="784"/>
      <c r="X588" s="784"/>
      <c r="Y588" s="784"/>
      <c r="Z588" s="931" t="str">
        <f>VLOOKUP(L588,اس!$S$3:$X$31,3,FALSE)</f>
        <v>.</v>
      </c>
      <c r="AA588" s="967"/>
    </row>
    <row r="589" spans="12:27" ht="17.100000000000001" customHeight="1">
      <c r="L589" s="777">
        <v>5</v>
      </c>
      <c r="M589" s="864"/>
      <c r="N589" s="976">
        <v>0</v>
      </c>
      <c r="O589" s="1020">
        <v>532</v>
      </c>
      <c r="P589" s="858" t="e">
        <f>VLOOKUP(N589,etat!$A$9:$N$1004,2,FALSE)</f>
        <v>#N/A</v>
      </c>
      <c r="Q589" s="797" t="e">
        <f>VLOOKUP(N589,etat!$A$9:$N$963,7,FALSE)</f>
        <v>#N/A</v>
      </c>
      <c r="R589" s="928" t="e">
        <f>VLOOKUP(N589,etat!$A$9:$N$1003,9,FALSE)</f>
        <v>#N/A</v>
      </c>
      <c r="S589" s="797" t="e">
        <f>VLOOKUP(N589,etat!$A$9:$P$905,16,FALSE)</f>
        <v>#N/A</v>
      </c>
      <c r="T589" s="755"/>
      <c r="U589" s="791"/>
      <c r="V589" s="784"/>
      <c r="W589" s="784"/>
      <c r="X589" s="784"/>
      <c r="Y589" s="784"/>
      <c r="Z589" s="931" t="str">
        <f>VLOOKUP(L589,اس!$S$3:$X$31,3,FALSE)</f>
        <v>.</v>
      </c>
      <c r="AA589" s="967"/>
    </row>
    <row r="590" spans="12:27" ht="17.100000000000001" customHeight="1">
      <c r="L590" s="777">
        <v>5</v>
      </c>
      <c r="M590" s="864"/>
      <c r="N590" s="976">
        <v>0</v>
      </c>
      <c r="O590" s="1020">
        <v>533</v>
      </c>
      <c r="P590" s="858" t="e">
        <f>VLOOKUP(N590,etat!$A$9:$N$1004,2,FALSE)</f>
        <v>#N/A</v>
      </c>
      <c r="Q590" s="797" t="e">
        <f>VLOOKUP(N590,etat!$A$9:$N$963,7,FALSE)</f>
        <v>#N/A</v>
      </c>
      <c r="R590" s="928" t="e">
        <f>VLOOKUP(N590,etat!$A$9:$N$1003,9,FALSE)</f>
        <v>#N/A</v>
      </c>
      <c r="S590" s="797" t="e">
        <f>VLOOKUP(N590,etat!$A$9:$P$905,16,FALSE)</f>
        <v>#N/A</v>
      </c>
      <c r="T590" s="755"/>
      <c r="U590" s="791"/>
      <c r="V590" s="784"/>
      <c r="W590" s="784"/>
      <c r="X590" s="784"/>
      <c r="Y590" s="784"/>
      <c r="Z590" s="931" t="str">
        <f>VLOOKUP(L590,اس!$S$3:$X$31,3,FALSE)</f>
        <v>.</v>
      </c>
      <c r="AA590" s="967"/>
    </row>
    <row r="591" spans="12:27" ht="17.100000000000001" customHeight="1">
      <c r="L591" s="777">
        <v>5</v>
      </c>
      <c r="M591" s="864"/>
      <c r="N591" s="976">
        <v>0</v>
      </c>
      <c r="O591" s="1020">
        <v>534</v>
      </c>
      <c r="P591" s="858" t="e">
        <f>VLOOKUP(N591,etat!$A$9:$N$1004,2,FALSE)</f>
        <v>#N/A</v>
      </c>
      <c r="Q591" s="797" t="e">
        <f>VLOOKUP(N591,etat!$A$9:$N$963,7,FALSE)</f>
        <v>#N/A</v>
      </c>
      <c r="R591" s="928" t="e">
        <f>VLOOKUP(N591,etat!$A$9:$N$1003,9,FALSE)</f>
        <v>#N/A</v>
      </c>
      <c r="S591" s="797" t="e">
        <f>VLOOKUP(N591,etat!$A$9:$P$905,16,FALSE)</f>
        <v>#N/A</v>
      </c>
      <c r="T591" s="755"/>
      <c r="U591" s="791"/>
      <c r="V591" s="784"/>
      <c r="W591" s="784"/>
      <c r="X591" s="784"/>
      <c r="Y591" s="784"/>
      <c r="Z591" s="931" t="str">
        <f>VLOOKUP(L591,اس!$S$3:$X$31,3,FALSE)</f>
        <v>.</v>
      </c>
      <c r="AA591" s="967"/>
    </row>
    <row r="592" spans="12:27" ht="15.75">
      <c r="L592" s="777">
        <v>5</v>
      </c>
      <c r="M592" s="864"/>
      <c r="N592" s="976">
        <v>0</v>
      </c>
      <c r="O592" s="1020">
        <v>535</v>
      </c>
      <c r="P592" s="858" t="e">
        <f>VLOOKUP(N592,etat!$A$9:$N$1004,2,FALSE)</f>
        <v>#N/A</v>
      </c>
      <c r="Q592" s="797" t="e">
        <f>VLOOKUP(N592,etat!$A$9:$N$963,7,FALSE)</f>
        <v>#N/A</v>
      </c>
      <c r="R592" s="928" t="e">
        <f>VLOOKUP(N592,etat!$A$9:$N$1003,9,FALSE)</f>
        <v>#N/A</v>
      </c>
      <c r="S592" s="797" t="e">
        <f>VLOOKUP(N592,etat!$A$9:$P$905,16,FALSE)</f>
        <v>#N/A</v>
      </c>
      <c r="T592" s="755"/>
      <c r="U592" s="791"/>
      <c r="V592" s="784"/>
      <c r="W592" s="784"/>
      <c r="X592" s="784"/>
      <c r="Y592" s="784"/>
      <c r="Z592" s="931" t="str">
        <f>VLOOKUP(L592,اس!$S$3:$X$31,3,FALSE)</f>
        <v>.</v>
      </c>
      <c r="AA592" s="967"/>
    </row>
  </sheetData>
  <sortState ref="N278:AA287">
    <sortCondition ref="N278:N287"/>
  </sortState>
  <mergeCells count="80">
    <mergeCell ref="P56:P57"/>
    <mergeCell ref="O56:O57"/>
    <mergeCell ref="V56:V57"/>
    <mergeCell ref="U56:U57"/>
    <mergeCell ref="T56:T57"/>
    <mergeCell ref="R56:R57"/>
    <mergeCell ref="Q56:Q57"/>
    <mergeCell ref="AA56:AA57"/>
    <mergeCell ref="Z56:Z57"/>
    <mergeCell ref="Y56:Y57"/>
    <mergeCell ref="X56:X57"/>
    <mergeCell ref="W56:W57"/>
    <mergeCell ref="A1:N1"/>
    <mergeCell ref="L29:M29"/>
    <mergeCell ref="A42:C42"/>
    <mergeCell ref="I35:L35"/>
    <mergeCell ref="J23:L23"/>
    <mergeCell ref="H23:I23"/>
    <mergeCell ref="N37:N41"/>
    <mergeCell ref="D17:E17"/>
    <mergeCell ref="D18:E18"/>
    <mergeCell ref="A35:E35"/>
    <mergeCell ref="F35:H35"/>
    <mergeCell ref="J25:L25"/>
    <mergeCell ref="B16:C16"/>
    <mergeCell ref="D11:E11"/>
    <mergeCell ref="D12:E12"/>
    <mergeCell ref="B11:C11"/>
    <mergeCell ref="B13:C13"/>
    <mergeCell ref="B12:C12"/>
    <mergeCell ref="B14:C14"/>
    <mergeCell ref="B15:C15"/>
    <mergeCell ref="D16:E16"/>
    <mergeCell ref="D13:E13"/>
    <mergeCell ref="D14:E14"/>
    <mergeCell ref="D15:E15"/>
    <mergeCell ref="A9:A10"/>
    <mergeCell ref="B23:C23"/>
    <mergeCell ref="J33:K33"/>
    <mergeCell ref="J26:L26"/>
    <mergeCell ref="H28:I28"/>
    <mergeCell ref="F28:G28"/>
    <mergeCell ref="B9:C9"/>
    <mergeCell ref="B28:C28"/>
    <mergeCell ref="B22:C22"/>
    <mergeCell ref="B20:C20"/>
    <mergeCell ref="B17:C17"/>
    <mergeCell ref="B10:C10"/>
    <mergeCell ref="D9:E9"/>
    <mergeCell ref="D10:E10"/>
    <mergeCell ref="B18:C18"/>
    <mergeCell ref="D28:E28"/>
    <mergeCell ref="D34:E34"/>
    <mergeCell ref="B29:C29"/>
    <mergeCell ref="D29:E29"/>
    <mergeCell ref="F29:G29"/>
    <mergeCell ref="H29:I29"/>
    <mergeCell ref="B34:C34"/>
    <mergeCell ref="H34:I34"/>
    <mergeCell ref="F34:G34"/>
    <mergeCell ref="D23:E23"/>
    <mergeCell ref="F23:G23"/>
    <mergeCell ref="J24:L24"/>
    <mergeCell ref="B19:C19"/>
    <mergeCell ref="J22:L22"/>
    <mergeCell ref="D19:E19"/>
    <mergeCell ref="D20:E20"/>
    <mergeCell ref="D22:E22"/>
    <mergeCell ref="F22:G22"/>
    <mergeCell ref="H22:I22"/>
    <mergeCell ref="F7:G7"/>
    <mergeCell ref="H7:J7"/>
    <mergeCell ref="Q26:R26"/>
    <mergeCell ref="Q24:R24"/>
    <mergeCell ref="Q25:R25"/>
    <mergeCell ref="N9:N10"/>
    <mergeCell ref="P9:Q9"/>
    <mergeCell ref="Q10:R10"/>
    <mergeCell ref="Q22:R22"/>
    <mergeCell ref="Q23:R23"/>
  </mergeCells>
  <dataValidations count="1">
    <dataValidation type="list" allowBlank="1" showInputMessage="1" showErrorMessage="1" sqref="M23:M26">
      <formula1>$S$10:$S$14</formula1>
    </dataValidation>
  </dataValidations>
  <hyperlinks>
    <hyperlink ref="S4" location="الرجوع!A1" display="الرجوع!A1"/>
  </hyperlinks>
  <pageMargins left="0.7" right="0.72239583333333335" top="0.75" bottom="0.75" header="0.3" footer="0.3"/>
  <pageSetup paperSize="9" scale="85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1"/>
  <dimension ref="A1:CA2380"/>
  <sheetViews>
    <sheetView rightToLeft="1" workbookViewId="0">
      <selection activeCell="P266" sqref="P266"/>
    </sheetView>
  </sheetViews>
  <sheetFormatPr baseColWidth="10" defaultRowHeight="15"/>
  <cols>
    <col min="1" max="1" width="9.140625" style="765" customWidth="1"/>
    <col min="2" max="2" width="5.28515625" style="765" customWidth="1"/>
    <col min="3" max="3" width="6" style="765" customWidth="1"/>
    <col min="4" max="4" width="6.5703125" style="166" customWidth="1"/>
    <col min="5" max="5" width="5.5703125" style="166" customWidth="1"/>
    <col min="6" max="6" width="7.28515625" style="166" customWidth="1"/>
    <col min="7" max="7" width="5.85546875" style="166" customWidth="1"/>
    <col min="8" max="8" width="7" style="166" customWidth="1"/>
    <col min="9" max="11" width="6.5703125" style="765" customWidth="1"/>
    <col min="12" max="12" width="10" style="765" customWidth="1"/>
    <col min="13" max="13" width="6.5703125" style="765" customWidth="1"/>
    <col min="14" max="14" width="9.42578125" style="765" customWidth="1"/>
    <col min="15" max="15" width="5.5703125" style="765" customWidth="1"/>
    <col min="16" max="16" width="17.85546875" style="765" customWidth="1"/>
    <col min="17" max="17" width="7.42578125" style="765" customWidth="1"/>
    <col min="18" max="18" width="5" style="765" customWidth="1"/>
    <col min="19" max="19" width="6.42578125" style="765" hidden="1" customWidth="1"/>
    <col min="20" max="20" width="12.140625" style="765" customWidth="1"/>
    <col min="21" max="21" width="4.5703125" style="22" customWidth="1"/>
    <col min="22" max="22" width="7" style="23" customWidth="1"/>
    <col min="23" max="23" width="6.28515625" style="23" customWidth="1"/>
    <col min="24" max="24" width="6.5703125" style="23" customWidth="1"/>
    <col min="25" max="25" width="6.140625" style="23" customWidth="1"/>
    <col min="26" max="26" width="6.5703125" style="23" customWidth="1"/>
    <col min="27" max="27" width="5.42578125" style="23" customWidth="1"/>
    <col min="28" max="28" width="9.42578125" style="23" customWidth="1"/>
    <col min="29" max="32" width="6.7109375" style="23" customWidth="1"/>
    <col min="33" max="33" width="9" style="23" customWidth="1"/>
    <col min="34" max="35" width="11.42578125" style="765"/>
    <col min="36" max="36" width="5" style="765" customWidth="1"/>
    <col min="37" max="37" width="11" style="765" customWidth="1"/>
    <col min="38" max="48" width="8.5703125" style="765" customWidth="1"/>
    <col min="49" max="49" width="15.28515625" style="765" customWidth="1"/>
    <col min="50" max="73" width="11.42578125" style="765"/>
    <col min="74" max="79" width="11.42578125" style="497"/>
  </cols>
  <sheetData>
    <row r="1" spans="1:79" ht="16.5" customHeight="1">
      <c r="A1" s="1439" t="s">
        <v>253</v>
      </c>
      <c r="B1" s="1439"/>
      <c r="C1" s="1439"/>
      <c r="D1" s="1439"/>
      <c r="E1" s="1439"/>
      <c r="F1" s="1439"/>
      <c r="G1" s="1439"/>
      <c r="H1" s="1439"/>
      <c r="I1" s="1439"/>
      <c r="J1" s="1439"/>
      <c r="K1" s="1439"/>
      <c r="L1" s="1439"/>
      <c r="M1" s="1439"/>
      <c r="N1" s="1439"/>
      <c r="O1" s="21"/>
      <c r="P1" s="8"/>
      <c r="Q1" s="8"/>
      <c r="R1" s="20"/>
      <c r="S1" s="20"/>
      <c r="T1" s="20"/>
      <c r="V1" s="1005"/>
      <c r="W1" s="1005"/>
      <c r="X1" s="1005"/>
      <c r="Y1" s="1005"/>
      <c r="Z1" s="1005"/>
      <c r="AA1" s="1005"/>
      <c r="AB1" s="1005"/>
      <c r="AC1" s="1005"/>
      <c r="AD1" s="1005"/>
      <c r="AE1" s="1005"/>
      <c r="AF1" s="1005"/>
      <c r="AG1" s="1005"/>
      <c r="AH1" s="505" t="s">
        <v>253</v>
      </c>
      <c r="AI1" s="504"/>
      <c r="AJ1" s="504"/>
      <c r="AK1" s="504"/>
      <c r="AL1" s="504"/>
      <c r="AM1" s="504"/>
      <c r="AN1" s="504"/>
      <c r="AO1" s="504"/>
      <c r="AP1" s="504"/>
      <c r="AQ1" s="504"/>
      <c r="AR1" s="504"/>
      <c r="AS1" s="504"/>
      <c r="AT1" s="504"/>
      <c r="AU1" s="504"/>
      <c r="AV1" s="504"/>
      <c r="AW1" s="504"/>
    </row>
    <row r="2" spans="1:79" ht="16.5" customHeight="1">
      <c r="A2" s="21"/>
      <c r="B2" s="21"/>
      <c r="C2" s="21"/>
      <c r="D2" s="444"/>
      <c r="E2" s="444"/>
      <c r="F2" s="444" t="s">
        <v>254</v>
      </c>
      <c r="G2" s="444"/>
      <c r="H2" s="444"/>
      <c r="I2" s="21"/>
      <c r="J2" s="21"/>
      <c r="K2" s="21"/>
      <c r="L2" s="21"/>
      <c r="M2" s="21"/>
      <c r="N2" s="21"/>
      <c r="O2" s="21"/>
      <c r="P2" s="8"/>
      <c r="Q2" s="8"/>
      <c r="R2" s="20"/>
      <c r="S2" s="20"/>
      <c r="T2" s="20"/>
      <c r="V2" s="1005"/>
      <c r="W2" s="1005"/>
      <c r="X2" s="1005"/>
      <c r="Y2" s="1005"/>
      <c r="Z2" s="1005"/>
      <c r="AA2" s="1005"/>
      <c r="AB2" s="1005"/>
      <c r="AC2" s="1005"/>
      <c r="AD2" s="1005"/>
      <c r="AE2" s="1005"/>
      <c r="AF2" s="1005"/>
      <c r="AG2" s="1005"/>
      <c r="AH2" s="505" t="s">
        <v>79</v>
      </c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</row>
    <row r="3" spans="1:79" ht="16.5" customHeight="1">
      <c r="A3" s="21" t="s">
        <v>255</v>
      </c>
      <c r="B3" s="21"/>
      <c r="C3" s="21"/>
      <c r="D3" s="444"/>
      <c r="E3" s="444"/>
      <c r="F3" s="444"/>
      <c r="G3" s="444"/>
      <c r="H3" s="444"/>
      <c r="I3" s="21"/>
      <c r="J3" s="21"/>
      <c r="K3" s="21"/>
      <c r="L3" s="21"/>
      <c r="M3" s="21"/>
      <c r="N3" s="21"/>
      <c r="O3" s="21"/>
      <c r="P3" s="8"/>
      <c r="Q3" s="8"/>
      <c r="R3" s="21"/>
      <c r="S3" s="21"/>
      <c r="T3" s="21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515" t="s">
        <v>1203</v>
      </c>
      <c r="AI3" s="515"/>
      <c r="AJ3" s="515"/>
      <c r="AK3" s="515"/>
      <c r="AL3" s="8"/>
      <c r="AM3" s="8"/>
      <c r="AN3" s="8"/>
      <c r="AO3" s="308"/>
      <c r="AP3" s="516"/>
      <c r="AQ3" s="516"/>
      <c r="AR3" s="516"/>
      <c r="AS3" s="516"/>
      <c r="AT3" s="516"/>
      <c r="AU3" s="516"/>
      <c r="AV3" s="516"/>
      <c r="AW3" s="516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</row>
    <row r="4" spans="1:79" s="25" customFormat="1" ht="16.5" customHeight="1" thickBot="1">
      <c r="A4" s="21" t="s">
        <v>256</v>
      </c>
      <c r="B4" s="21"/>
      <c r="C4" s="21"/>
      <c r="D4" s="444"/>
      <c r="E4" s="444"/>
      <c r="F4" s="444"/>
      <c r="G4" s="444"/>
      <c r="H4" s="444"/>
      <c r="I4" s="445" t="str">
        <f>etat!N4</f>
        <v>السنة الدراسية : 2025/2026</v>
      </c>
      <c r="J4" s="445"/>
      <c r="K4" s="445"/>
      <c r="L4" s="445"/>
      <c r="M4" s="21"/>
      <c r="N4" s="21"/>
      <c r="O4" s="21"/>
      <c r="P4" s="8"/>
      <c r="Q4" s="8"/>
      <c r="R4" s="21"/>
      <c r="S4" s="309" t="s">
        <v>496</v>
      </c>
      <c r="T4" s="310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7"/>
      <c r="AI4" s="8" t="s">
        <v>1204</v>
      </c>
      <c r="AJ4" s="8"/>
      <c r="AK4" s="8"/>
      <c r="AL4" s="13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</row>
    <row r="5" spans="1:79" s="25" customFormat="1" ht="16.5" customHeight="1" thickTop="1" thickBot="1">
      <c r="A5" s="21"/>
      <c r="B5" s="21"/>
      <c r="C5" s="21"/>
      <c r="D5" s="444"/>
      <c r="E5" s="444"/>
      <c r="F5" s="444"/>
      <c r="G5" s="444"/>
      <c r="H5" s="444"/>
      <c r="I5" s="21"/>
      <c r="J5" s="21"/>
      <c r="K5" s="21"/>
      <c r="L5" s="21"/>
      <c r="M5" s="21"/>
      <c r="N5" s="21"/>
      <c r="O5" s="21"/>
      <c r="P5" s="8"/>
      <c r="Q5" s="8"/>
      <c r="R5" s="21"/>
      <c r="S5" s="21"/>
      <c r="T5" s="21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506" t="s">
        <v>258</v>
      </c>
      <c r="AI5" s="392" t="s">
        <v>1197</v>
      </c>
      <c r="AJ5" s="393"/>
      <c r="AK5" s="312" t="s">
        <v>1198</v>
      </c>
      <c r="AL5" s="389" t="s">
        <v>1199</v>
      </c>
      <c r="AM5" s="389" t="s">
        <v>1474</v>
      </c>
      <c r="AN5" s="389" t="s">
        <v>1475</v>
      </c>
      <c r="AO5" s="389" t="s">
        <v>1476</v>
      </c>
      <c r="AP5" s="776"/>
      <c r="AQ5" s="390" t="s">
        <v>1200</v>
      </c>
      <c r="AR5" s="389" t="s">
        <v>1465</v>
      </c>
      <c r="AS5" s="389" t="s">
        <v>1466</v>
      </c>
      <c r="AT5" s="389" t="s">
        <v>1495</v>
      </c>
      <c r="AU5" s="313"/>
      <c r="AV5" s="3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</row>
    <row r="6" spans="1:79" s="25" customFormat="1" ht="16.5" customHeight="1" thickTop="1" thickBot="1">
      <c r="A6" s="21"/>
      <c r="B6" s="21"/>
      <c r="C6" s="21"/>
      <c r="D6" s="446" t="s">
        <v>2286</v>
      </c>
      <c r="E6" s="444"/>
      <c r="F6" s="444"/>
      <c r="G6" s="444"/>
      <c r="H6" s="444"/>
      <c r="I6" s="21"/>
      <c r="J6" s="447"/>
      <c r="K6" s="21"/>
      <c r="L6" s="21"/>
      <c r="M6" s="21"/>
      <c r="N6" s="21"/>
      <c r="O6" s="21"/>
      <c r="P6" s="8"/>
      <c r="Q6" s="8"/>
      <c r="R6" s="21"/>
      <c r="S6" s="21"/>
      <c r="T6" s="21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507"/>
      <c r="AI6" s="394" t="s">
        <v>1201</v>
      </c>
      <c r="AJ6" s="395"/>
      <c r="AK6" s="312" t="s">
        <v>259</v>
      </c>
      <c r="AL6" s="389" t="s">
        <v>1474</v>
      </c>
      <c r="AM6" s="389" t="s">
        <v>1475</v>
      </c>
      <c r="AN6" s="389" t="s">
        <v>1476</v>
      </c>
      <c r="AO6" s="389" t="s">
        <v>1477</v>
      </c>
      <c r="AP6" s="776"/>
      <c r="AQ6" s="390" t="s">
        <v>1465</v>
      </c>
      <c r="AR6" s="389" t="s">
        <v>1466</v>
      </c>
      <c r="AS6" s="389" t="s">
        <v>1495</v>
      </c>
      <c r="AT6" s="389" t="s">
        <v>1496</v>
      </c>
      <c r="AU6" s="314"/>
      <c r="AV6" s="314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</row>
    <row r="7" spans="1:79" s="305" customFormat="1" ht="16.5" customHeight="1" thickBot="1">
      <c r="A7" s="21"/>
      <c r="B7" s="21"/>
      <c r="C7" s="21"/>
      <c r="D7" s="21"/>
      <c r="E7" s="448" t="s">
        <v>257</v>
      </c>
      <c r="F7" s="1439" t="str">
        <f>TEXT($H$7,"dddd")</f>
        <v>dddd</v>
      </c>
      <c r="G7" s="1439"/>
      <c r="H7" s="1466">
        <f>T51</f>
        <v>45784</v>
      </c>
      <c r="I7" s="1466"/>
      <c r="J7" s="1466"/>
      <c r="K7" s="449"/>
      <c r="L7" s="449"/>
      <c r="M7" s="315"/>
      <c r="N7" s="315"/>
      <c r="O7" s="315"/>
      <c r="P7" s="27"/>
      <c r="Q7" s="27"/>
      <c r="R7" s="315"/>
      <c r="S7" s="315"/>
      <c r="T7" s="315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488">
        <v>1</v>
      </c>
      <c r="AI7" s="994" t="s">
        <v>272</v>
      </c>
      <c r="AJ7" s="287"/>
      <c r="AK7" s="282" t="s">
        <v>262</v>
      </c>
      <c r="AL7" s="768" t="s">
        <v>326</v>
      </c>
      <c r="AM7" s="768" t="s">
        <v>326</v>
      </c>
      <c r="AN7" s="768" t="s">
        <v>1518</v>
      </c>
      <c r="AO7" s="768" t="s">
        <v>824</v>
      </c>
      <c r="AP7" s="785"/>
      <c r="AQ7" s="282"/>
      <c r="AR7" s="282"/>
      <c r="AS7" s="282"/>
      <c r="AT7" s="318"/>
      <c r="AU7" s="318"/>
      <c r="AV7" s="318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558"/>
      <c r="BW7" s="558"/>
      <c r="BX7" s="558"/>
      <c r="BY7" s="558"/>
      <c r="BZ7" s="558"/>
      <c r="CA7" s="558"/>
    </row>
    <row r="8" spans="1:79" s="25" customFormat="1" ht="16.5" customHeight="1" thickBot="1">
      <c r="A8" s="450">
        <v>-1</v>
      </c>
      <c r="B8" s="293" t="s">
        <v>261</v>
      </c>
      <c r="C8" s="293"/>
      <c r="D8" s="388"/>
      <c r="E8" s="451"/>
      <c r="F8" s="388"/>
      <c r="G8" s="388"/>
      <c r="H8" s="388"/>
      <c r="I8" s="293"/>
      <c r="J8" s="293"/>
      <c r="K8" s="293"/>
      <c r="L8" s="293"/>
      <c r="M8" s="293"/>
      <c r="N8" s="293"/>
      <c r="O8" s="293"/>
      <c r="P8" s="11"/>
      <c r="Q8" s="11"/>
      <c r="T8" s="293"/>
      <c r="AH8" s="488">
        <v>2</v>
      </c>
      <c r="AI8" s="994" t="s">
        <v>274</v>
      </c>
      <c r="AJ8" s="287"/>
      <c r="AK8" s="282" t="s">
        <v>262</v>
      </c>
      <c r="AL8" s="282"/>
      <c r="AM8" s="282"/>
      <c r="AN8" s="282"/>
      <c r="AO8" s="282"/>
      <c r="AP8" s="786"/>
      <c r="AQ8" s="768"/>
      <c r="AR8" s="768"/>
      <c r="AS8" s="768"/>
      <c r="AT8" s="281"/>
      <c r="AU8" s="281"/>
      <c r="AV8" s="281"/>
    </row>
    <row r="9" spans="1:79" s="25" customFormat="1" ht="16.5" customHeight="1" thickBot="1">
      <c r="A9" s="1422" t="s">
        <v>258</v>
      </c>
      <c r="B9" s="1422" t="s">
        <v>1197</v>
      </c>
      <c r="C9" s="1422"/>
      <c r="D9" s="1422" t="s">
        <v>1198</v>
      </c>
      <c r="E9" s="1422"/>
      <c r="F9" s="716" t="s">
        <v>1199</v>
      </c>
      <c r="G9" s="716" t="s">
        <v>1474</v>
      </c>
      <c r="H9" s="716" t="s">
        <v>1475</v>
      </c>
      <c r="I9" s="716" t="s">
        <v>1476</v>
      </c>
      <c r="J9" s="716" t="s">
        <v>1200</v>
      </c>
      <c r="K9" s="716" t="s">
        <v>1465</v>
      </c>
      <c r="L9" s="716" t="s">
        <v>1466</v>
      </c>
      <c r="M9" s="716" t="s">
        <v>1495</v>
      </c>
      <c r="N9" s="1442" t="s">
        <v>260</v>
      </c>
      <c r="O9" s="13"/>
      <c r="P9" s="1411" t="s">
        <v>607</v>
      </c>
      <c r="Q9" s="1411"/>
      <c r="S9" s="521" t="s">
        <v>304</v>
      </c>
      <c r="T9" s="293"/>
      <c r="AH9" s="488">
        <v>3</v>
      </c>
      <c r="AI9" s="994" t="s">
        <v>427</v>
      </c>
      <c r="AJ9" s="287"/>
      <c r="AK9" s="282" t="s">
        <v>262</v>
      </c>
      <c r="AL9" s="768" t="s">
        <v>500</v>
      </c>
      <c r="AM9" s="768" t="s">
        <v>821</v>
      </c>
      <c r="AN9" s="768" t="s">
        <v>821</v>
      </c>
      <c r="AO9" s="768" t="s">
        <v>6</v>
      </c>
      <c r="AP9" s="769"/>
      <c r="AQ9" s="768"/>
      <c r="AR9" s="768"/>
      <c r="AS9" s="768"/>
      <c r="AT9" s="281"/>
      <c r="AU9" s="274"/>
      <c r="AV9" s="274"/>
    </row>
    <row r="10" spans="1:79" s="25" customFormat="1" ht="16.5" customHeight="1" thickBot="1">
      <c r="A10" s="1422"/>
      <c r="B10" s="1422" t="s">
        <v>1201</v>
      </c>
      <c r="C10" s="1422"/>
      <c r="D10" s="1422" t="s">
        <v>259</v>
      </c>
      <c r="E10" s="1422"/>
      <c r="F10" s="716" t="s">
        <v>1474</v>
      </c>
      <c r="G10" s="716" t="s">
        <v>1475</v>
      </c>
      <c r="H10" s="716" t="s">
        <v>1476</v>
      </c>
      <c r="I10" s="716" t="s">
        <v>1477</v>
      </c>
      <c r="J10" s="716" t="s">
        <v>1465</v>
      </c>
      <c r="K10" s="716" t="s">
        <v>1466</v>
      </c>
      <c r="L10" s="716" t="s">
        <v>1495</v>
      </c>
      <c r="M10" s="716" t="s">
        <v>1496</v>
      </c>
      <c r="N10" s="1443"/>
      <c r="O10" s="293"/>
      <c r="P10" s="296" t="s">
        <v>608</v>
      </c>
      <c r="Q10" s="1412" t="s">
        <v>260</v>
      </c>
      <c r="R10" s="1413"/>
      <c r="S10" s="518" t="s">
        <v>614</v>
      </c>
      <c r="T10" s="293"/>
      <c r="AH10" s="488">
        <v>4</v>
      </c>
      <c r="AI10" s="994" t="s">
        <v>1943</v>
      </c>
      <c r="AJ10" s="287"/>
      <c r="AK10" s="282" t="s">
        <v>262</v>
      </c>
      <c r="AL10" s="768" t="s">
        <v>328</v>
      </c>
      <c r="AM10" s="768" t="s">
        <v>328</v>
      </c>
      <c r="AN10" s="768" t="s">
        <v>1176</v>
      </c>
      <c r="AO10" s="768" t="s">
        <v>1176</v>
      </c>
      <c r="AP10" s="785"/>
      <c r="AQ10" s="282"/>
      <c r="AR10" s="282"/>
      <c r="AS10" s="282"/>
      <c r="AT10" s="274"/>
      <c r="AU10" s="274"/>
      <c r="AV10" s="274"/>
    </row>
    <row r="11" spans="1:79" s="304" customFormat="1" ht="16.5" customHeight="1" thickBot="1">
      <c r="A11" s="531">
        <v>1</v>
      </c>
      <c r="B11" s="1457" t="str">
        <f t="shared" ref="B11:B20" si="0">VLOOKUP(P11,$AH$7:$AW$60,2,FALSE)</f>
        <v>بوجلال ريمة</v>
      </c>
      <c r="C11" s="1458"/>
      <c r="D11" s="1473" t="str">
        <f t="shared" ref="D11:D20" si="1">VLOOKUP(P11,$AH$7:$AW$60,4,FALSE)</f>
        <v>انجليزية</v>
      </c>
      <c r="E11" s="1473" t="str">
        <f t="shared" ref="E11:E20" si="2">VLOOKUP(P11,$AH$7:$AW$60,5,FALSE)</f>
        <v>3اف1</v>
      </c>
      <c r="F11" s="1013" t="str">
        <f t="shared" ref="F11:F20" si="3">VLOOKUP(P11,$AH$7:$AW$60,5,FALSE)</f>
        <v>3اف1</v>
      </c>
      <c r="G11" s="1013" t="str">
        <f t="shared" ref="G11:G20" si="4">VLOOKUP(P11,$AH$7:$AW$60,6,FALSE)</f>
        <v>3ت ر</v>
      </c>
      <c r="H11" s="925">
        <f t="shared" ref="H11:H20" si="5">VLOOKUP(P11,$AH$7:$AW$60,7,FALSE)</f>
        <v>0</v>
      </c>
      <c r="I11" s="925">
        <f t="shared" ref="I11:I20" si="6">VLOOKUP(P11,$AH$7:$AW$60,8,FALSE)</f>
        <v>0</v>
      </c>
      <c r="J11" s="1014" t="str">
        <f t="shared" ref="J11" si="7">VLOOKUP(P11,$AH$7:$AW$60,10,FALSE)</f>
        <v>3ع1</v>
      </c>
      <c r="K11" s="1014" t="str">
        <f t="shared" ref="K11" si="8">VLOOKUP(P11,$AH$7:$AW$60,11,FALSE)</f>
        <v>1ع3</v>
      </c>
      <c r="L11" s="1014" t="str">
        <f t="shared" ref="L11" si="9">VLOOKUP(P11,$AH$7:$AW$60,12,FALSE)</f>
        <v>1ع2</v>
      </c>
      <c r="M11" s="908">
        <f t="shared" ref="M11" si="10">VLOOKUP(P11,$AH$7:$AW$60,13,FALSE)</f>
        <v>0</v>
      </c>
      <c r="N11" s="1039" t="str">
        <f>VLOOKUP(Q11,اس!$S$3:$T$31,2,FALSE)</f>
        <v>.</v>
      </c>
      <c r="O11" s="293"/>
      <c r="P11" s="297">
        <v>41</v>
      </c>
      <c r="Q11" s="923">
        <v>5</v>
      </c>
      <c r="R11" s="812"/>
      <c r="S11" s="519" t="s">
        <v>615</v>
      </c>
      <c r="T11" s="293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488">
        <v>5</v>
      </c>
      <c r="AI11" s="994" t="s">
        <v>1220</v>
      </c>
      <c r="AJ11" s="287"/>
      <c r="AK11" s="282" t="s">
        <v>262</v>
      </c>
      <c r="AL11" s="282" t="s">
        <v>819</v>
      </c>
      <c r="AM11" s="282" t="s">
        <v>2226</v>
      </c>
      <c r="AN11" s="768" t="s">
        <v>1850</v>
      </c>
      <c r="AO11" s="768" t="s">
        <v>1850</v>
      </c>
      <c r="AP11" s="769"/>
      <c r="AQ11" s="282"/>
      <c r="AR11" s="282"/>
      <c r="AS11" s="282"/>
      <c r="AT11" s="282"/>
      <c r="AU11" s="274"/>
      <c r="AV11" s="274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</row>
    <row r="12" spans="1:79" s="304" customFormat="1" ht="16.5" customHeight="1" thickBot="1">
      <c r="A12" s="532">
        <v>2</v>
      </c>
      <c r="B12" s="1457" t="str">
        <f t="shared" si="0"/>
        <v>حمداد سيداحمد</v>
      </c>
      <c r="C12" s="1458"/>
      <c r="D12" s="1470" t="str">
        <f t="shared" si="1"/>
        <v>ت بدنية</v>
      </c>
      <c r="E12" s="1470">
        <f t="shared" si="2"/>
        <v>0</v>
      </c>
      <c r="F12" s="863">
        <f t="shared" si="3"/>
        <v>0</v>
      </c>
      <c r="G12" s="863">
        <f t="shared" si="4"/>
        <v>0</v>
      </c>
      <c r="H12" s="1014" t="str">
        <f t="shared" si="5"/>
        <v>1ع1</v>
      </c>
      <c r="I12" s="1014" t="str">
        <f t="shared" si="6"/>
        <v>1ع1</v>
      </c>
      <c r="J12" s="863">
        <f t="shared" ref="J12:J20" si="11">VLOOKUP(P12,$AH$7:$AW$60,10,FALSE)</f>
        <v>0</v>
      </c>
      <c r="K12" s="863">
        <f t="shared" ref="K12:K20" si="12">VLOOKUP(P12,$AH$7:$AW$60,11,FALSE)</f>
        <v>0</v>
      </c>
      <c r="L12" s="863">
        <f t="shared" ref="L12:L20" si="13">VLOOKUP(P12,$AH$7:$AW$60,12,FALSE)</f>
        <v>0</v>
      </c>
      <c r="M12" s="908">
        <f t="shared" ref="M12:M20" si="14">VLOOKUP(P12,$AH$7:$AW$60,13,FALSE)</f>
        <v>0</v>
      </c>
      <c r="N12" s="1080" t="str">
        <f>VLOOKUP(Q12,اس!$S$3:$T$31,2,FALSE)</f>
        <v>.</v>
      </c>
      <c r="O12" s="293"/>
      <c r="P12" s="297">
        <v>52</v>
      </c>
      <c r="Q12" s="923">
        <v>5</v>
      </c>
      <c r="R12" s="924"/>
      <c r="S12" s="519" t="s">
        <v>628</v>
      </c>
      <c r="T12" s="293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488">
        <v>6</v>
      </c>
      <c r="AI12" s="994" t="s">
        <v>1219</v>
      </c>
      <c r="AJ12" s="287"/>
      <c r="AK12" s="282" t="s">
        <v>262</v>
      </c>
      <c r="AL12" s="768" t="s">
        <v>820</v>
      </c>
      <c r="AM12" s="768" t="s">
        <v>327</v>
      </c>
      <c r="AN12" s="768" t="s">
        <v>327</v>
      </c>
      <c r="AO12" s="768" t="s">
        <v>2227</v>
      </c>
      <c r="AP12" s="785"/>
      <c r="AQ12" s="282"/>
      <c r="AR12" s="282"/>
      <c r="AS12" s="282"/>
      <c r="AT12" s="274"/>
      <c r="AU12" s="274"/>
      <c r="AV12" s="274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</row>
    <row r="13" spans="1:79" s="304" customFormat="1" ht="16.5" customHeight="1" thickBot="1">
      <c r="A13" s="532">
        <v>3</v>
      </c>
      <c r="B13" s="1457" t="str">
        <f t="shared" si="0"/>
        <v>عمرون فاطمة</v>
      </c>
      <c r="C13" s="1458"/>
      <c r="D13" s="1470" t="str">
        <f t="shared" si="1"/>
        <v>أدب عربي</v>
      </c>
      <c r="E13" s="1470">
        <f t="shared" si="2"/>
        <v>0</v>
      </c>
      <c r="F13" s="863">
        <f t="shared" si="3"/>
        <v>0</v>
      </c>
      <c r="G13" s="863">
        <f t="shared" si="4"/>
        <v>0</v>
      </c>
      <c r="H13" s="863">
        <f t="shared" si="5"/>
        <v>0</v>
      </c>
      <c r="I13" s="863">
        <f t="shared" si="6"/>
        <v>0</v>
      </c>
      <c r="J13" s="1014" t="str">
        <f t="shared" si="11"/>
        <v>3ع2</v>
      </c>
      <c r="K13" s="1014" t="str">
        <f t="shared" si="12"/>
        <v>3ع1</v>
      </c>
      <c r="L13" s="1014" t="str">
        <f t="shared" si="13"/>
        <v>2ت ر</v>
      </c>
      <c r="M13" s="908">
        <f t="shared" si="14"/>
        <v>0</v>
      </c>
      <c r="N13" s="1080" t="str">
        <f>VLOOKUP(Q13,اس!$S$3:$T$31,2,FALSE)</f>
        <v>.</v>
      </c>
      <c r="O13" s="293"/>
      <c r="P13" s="297">
        <v>23</v>
      </c>
      <c r="Q13" s="923">
        <v>5</v>
      </c>
      <c r="R13" s="924"/>
      <c r="S13" s="520"/>
      <c r="T13" s="293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488">
        <v>7</v>
      </c>
      <c r="AI13" s="994" t="s">
        <v>808</v>
      </c>
      <c r="AJ13" s="287"/>
      <c r="AK13" s="282" t="s">
        <v>270</v>
      </c>
      <c r="AL13" s="282"/>
      <c r="AM13" s="282"/>
      <c r="AN13" s="282"/>
      <c r="AO13" s="282"/>
      <c r="AP13" s="769"/>
      <c r="AQ13" s="282"/>
      <c r="AR13" s="768"/>
      <c r="AS13" s="768"/>
      <c r="AT13" s="281"/>
      <c r="AU13" s="281"/>
      <c r="AV13" s="281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</row>
    <row r="14" spans="1:79" s="304" customFormat="1" ht="16.5" customHeight="1" thickBot="1">
      <c r="A14" s="533">
        <v>4</v>
      </c>
      <c r="B14" s="1457" t="str">
        <f t="shared" si="0"/>
        <v>رماصي محمد</v>
      </c>
      <c r="C14" s="1458"/>
      <c r="D14" s="1470" t="str">
        <f t="shared" si="1"/>
        <v>ع اسلامية</v>
      </c>
      <c r="E14" s="1470">
        <f t="shared" si="2"/>
        <v>0</v>
      </c>
      <c r="F14" s="863">
        <f t="shared" si="3"/>
        <v>0</v>
      </c>
      <c r="G14" s="863">
        <f t="shared" si="4"/>
        <v>0</v>
      </c>
      <c r="H14" s="863">
        <f t="shared" si="5"/>
        <v>0</v>
      </c>
      <c r="I14" s="863">
        <f t="shared" si="6"/>
        <v>0</v>
      </c>
      <c r="J14" s="1014" t="str">
        <f t="shared" si="11"/>
        <v>3آف2</v>
      </c>
      <c r="K14" s="1014" t="str">
        <f t="shared" si="12"/>
        <v>2ل ا</v>
      </c>
      <c r="L14" s="1014" t="str">
        <f t="shared" si="13"/>
        <v>3ع3</v>
      </c>
      <c r="M14" s="1123" t="str">
        <f t="shared" si="14"/>
        <v>2ت ر</v>
      </c>
      <c r="N14" s="1080" t="str">
        <f>VLOOKUP(Q14,اس!$S$3:$T$31,2,FALSE)</f>
        <v>.</v>
      </c>
      <c r="O14" s="293"/>
      <c r="P14" s="297">
        <v>17</v>
      </c>
      <c r="Q14" s="923">
        <v>5</v>
      </c>
      <c r="R14" s="924"/>
      <c r="S14" s="25"/>
      <c r="T14" s="293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488">
        <v>8</v>
      </c>
      <c r="AI14" s="994" t="s">
        <v>955</v>
      </c>
      <c r="AJ14" s="287"/>
      <c r="AK14" s="282" t="s">
        <v>270</v>
      </c>
      <c r="AL14" s="282"/>
      <c r="AM14" s="282"/>
      <c r="AN14" s="282"/>
      <c r="AO14" s="282"/>
      <c r="AP14" s="769"/>
      <c r="AQ14" s="282"/>
      <c r="AR14" s="282"/>
      <c r="AS14" s="282"/>
      <c r="AT14" s="274"/>
      <c r="AU14" s="274"/>
      <c r="AV14" s="274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</row>
    <row r="15" spans="1:79" s="304" customFormat="1" ht="16.5" customHeight="1" thickBot="1">
      <c r="A15" s="533">
        <v>5</v>
      </c>
      <c r="B15" s="1457" t="str">
        <f t="shared" si="0"/>
        <v>بوهند حمزة</v>
      </c>
      <c r="C15" s="1458"/>
      <c r="D15" s="1470" t="str">
        <f t="shared" si="1"/>
        <v>ت بدنية</v>
      </c>
      <c r="E15" s="1470">
        <f t="shared" si="2"/>
        <v>0</v>
      </c>
      <c r="F15" s="863">
        <f t="shared" si="3"/>
        <v>0</v>
      </c>
      <c r="G15" s="863">
        <f t="shared" si="4"/>
        <v>0</v>
      </c>
      <c r="H15" s="863">
        <f t="shared" si="5"/>
        <v>0</v>
      </c>
      <c r="I15" s="863">
        <f t="shared" si="6"/>
        <v>0</v>
      </c>
      <c r="J15" s="1014" t="str">
        <f t="shared" si="11"/>
        <v>2ع2</v>
      </c>
      <c r="K15" s="1014" t="str">
        <f t="shared" si="12"/>
        <v>2ع2</v>
      </c>
      <c r="L15" s="1014" t="str">
        <f t="shared" si="13"/>
        <v>3ع2</v>
      </c>
      <c r="M15" s="1123" t="str">
        <f t="shared" si="14"/>
        <v>3ع2</v>
      </c>
      <c r="N15" s="1039" t="str">
        <f>VLOOKUP(Q15,اس!$S$3:$T$31,2,FALSE)</f>
        <v>.</v>
      </c>
      <c r="O15" s="293"/>
      <c r="P15" s="297">
        <v>54</v>
      </c>
      <c r="Q15" s="923">
        <v>5</v>
      </c>
      <c r="R15" s="924"/>
      <c r="S15" s="25"/>
      <c r="T15" s="293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488">
        <v>9</v>
      </c>
      <c r="AI15" s="994" t="s">
        <v>1250</v>
      </c>
      <c r="AJ15" s="513"/>
      <c r="AK15" s="282" t="s">
        <v>270</v>
      </c>
      <c r="AL15" s="768" t="s">
        <v>326</v>
      </c>
      <c r="AM15" s="768" t="s">
        <v>326</v>
      </c>
      <c r="AN15" s="768" t="s">
        <v>326</v>
      </c>
      <c r="AO15" s="768" t="s">
        <v>326</v>
      </c>
      <c r="AP15" s="769"/>
      <c r="AQ15" s="282"/>
      <c r="AR15" s="282"/>
      <c r="AS15" s="282"/>
      <c r="AT15" s="274"/>
      <c r="AU15" s="274"/>
      <c r="AV15" s="274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</row>
    <row r="16" spans="1:79" s="304" customFormat="1" ht="16.5" customHeight="1" thickBot="1">
      <c r="A16" s="533">
        <v>6</v>
      </c>
      <c r="B16" s="1457" t="str">
        <f t="shared" si="0"/>
        <v>بنابي الغوثي</v>
      </c>
      <c r="C16" s="1458"/>
      <c r="D16" s="1470" t="str">
        <f t="shared" si="1"/>
        <v>ت بدنية</v>
      </c>
      <c r="E16" s="1470">
        <f t="shared" si="2"/>
        <v>0</v>
      </c>
      <c r="F16" s="863">
        <f t="shared" si="3"/>
        <v>0</v>
      </c>
      <c r="G16" s="863">
        <f t="shared" si="4"/>
        <v>0</v>
      </c>
      <c r="H16" s="863">
        <f t="shared" si="5"/>
        <v>0</v>
      </c>
      <c r="I16" s="863">
        <f t="shared" si="6"/>
        <v>0</v>
      </c>
      <c r="J16" s="1014" t="str">
        <f t="shared" si="11"/>
        <v>1اد3</v>
      </c>
      <c r="K16" s="1014" t="str">
        <f t="shared" si="12"/>
        <v>1اد3</v>
      </c>
      <c r="L16" s="1014" t="str">
        <f t="shared" si="13"/>
        <v>1ع3</v>
      </c>
      <c r="M16" s="1123" t="str">
        <f t="shared" si="14"/>
        <v>1ع3</v>
      </c>
      <c r="N16" s="1063" t="str">
        <f>VLOOKUP(Q16,اس!$S$3:$T$31,2,FALSE)</f>
        <v>.</v>
      </c>
      <c r="O16" s="293"/>
      <c r="P16" s="297">
        <v>53</v>
      </c>
      <c r="Q16" s="923">
        <v>5</v>
      </c>
      <c r="R16" s="924"/>
      <c r="S16" s="25"/>
      <c r="T16" s="293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488">
        <v>10</v>
      </c>
      <c r="AI16" s="994" t="s">
        <v>1221</v>
      </c>
      <c r="AJ16" s="287"/>
      <c r="AK16" s="282" t="s">
        <v>270</v>
      </c>
      <c r="AL16" s="768"/>
      <c r="AM16" s="768"/>
      <c r="AN16" s="768"/>
      <c r="AO16" s="768"/>
      <c r="AP16" s="769"/>
      <c r="AQ16" s="282" t="s">
        <v>2212</v>
      </c>
      <c r="AR16" s="282"/>
      <c r="AS16" s="282"/>
      <c r="AT16" s="274"/>
      <c r="AU16" s="274"/>
      <c r="AV16" s="274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</row>
    <row r="17" spans="1:79" s="304" customFormat="1" ht="16.5" customHeight="1" thickBot="1">
      <c r="A17" s="533">
        <v>7</v>
      </c>
      <c r="B17" s="1457" t="str">
        <f t="shared" si="0"/>
        <v>حريرنبيل</v>
      </c>
      <c r="C17" s="1458"/>
      <c r="D17" s="1470" t="str">
        <f t="shared" si="1"/>
        <v>ع اسلامية</v>
      </c>
      <c r="E17" s="1470">
        <f t="shared" si="2"/>
        <v>0</v>
      </c>
      <c r="F17" s="863">
        <f t="shared" si="3"/>
        <v>0</v>
      </c>
      <c r="G17" s="863">
        <f t="shared" si="4"/>
        <v>0</v>
      </c>
      <c r="H17" s="863">
        <f t="shared" si="5"/>
        <v>0</v>
      </c>
      <c r="I17" s="863">
        <f t="shared" si="6"/>
        <v>0</v>
      </c>
      <c r="J17" s="863">
        <f t="shared" si="11"/>
        <v>0</v>
      </c>
      <c r="K17" s="863">
        <f t="shared" si="12"/>
        <v>0</v>
      </c>
      <c r="L17" s="863">
        <f t="shared" si="13"/>
        <v>0</v>
      </c>
      <c r="M17" s="1123" t="str">
        <f t="shared" si="14"/>
        <v>1اد2</v>
      </c>
      <c r="N17" s="1063" t="str">
        <f>VLOOKUP(Q17,اس!$S$3:$T$31,2,FALSE)</f>
        <v>.</v>
      </c>
      <c r="O17" s="293"/>
      <c r="P17" s="297">
        <v>19</v>
      </c>
      <c r="Q17" s="923">
        <v>5</v>
      </c>
      <c r="R17" s="924"/>
      <c r="S17" s="25"/>
      <c r="T17" s="293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488">
        <v>11</v>
      </c>
      <c r="AI17" s="995" t="s">
        <v>941</v>
      </c>
      <c r="AJ17" s="287"/>
      <c r="AK17" s="282" t="s">
        <v>270</v>
      </c>
      <c r="AL17" s="768"/>
      <c r="AM17" s="768"/>
      <c r="AN17" s="768"/>
      <c r="AO17" s="768"/>
      <c r="AP17" s="769"/>
      <c r="AQ17" s="282"/>
      <c r="AR17" s="282"/>
      <c r="AS17" s="282"/>
      <c r="AT17" s="274"/>
      <c r="AU17" s="274"/>
      <c r="AV17" s="274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</row>
    <row r="18" spans="1:79" s="304" customFormat="1" ht="16.5" customHeight="1" thickBot="1">
      <c r="A18" s="533">
        <v>8</v>
      </c>
      <c r="B18" s="1420" t="e">
        <f t="shared" si="0"/>
        <v>#N/A</v>
      </c>
      <c r="C18" s="1421"/>
      <c r="D18" s="1448" t="e">
        <f t="shared" si="1"/>
        <v>#N/A</v>
      </c>
      <c r="E18" s="1448" t="e">
        <f t="shared" si="2"/>
        <v>#N/A</v>
      </c>
      <c r="F18" s="863" t="e">
        <f t="shared" si="3"/>
        <v>#N/A</v>
      </c>
      <c r="G18" s="863" t="e">
        <f t="shared" si="4"/>
        <v>#N/A</v>
      </c>
      <c r="H18" s="863" t="e">
        <f t="shared" si="5"/>
        <v>#N/A</v>
      </c>
      <c r="I18" s="863" t="e">
        <f t="shared" si="6"/>
        <v>#N/A</v>
      </c>
      <c r="J18" s="863" t="e">
        <f t="shared" si="11"/>
        <v>#N/A</v>
      </c>
      <c r="K18" s="863" t="e">
        <f t="shared" si="12"/>
        <v>#N/A</v>
      </c>
      <c r="L18" s="863" t="e">
        <f t="shared" si="13"/>
        <v>#N/A</v>
      </c>
      <c r="M18" s="908" t="e">
        <f t="shared" si="14"/>
        <v>#N/A</v>
      </c>
      <c r="N18" s="1064" t="str">
        <f>VLOOKUP(Q18,اس!$S$3:$T$31,2,FALSE)</f>
        <v>.</v>
      </c>
      <c r="O18" s="293"/>
      <c r="P18" s="297"/>
      <c r="Q18" s="923">
        <v>5</v>
      </c>
      <c r="R18" s="924"/>
      <c r="S18" s="25"/>
      <c r="T18" s="293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488">
        <v>12</v>
      </c>
      <c r="AI18" s="995" t="s">
        <v>811</v>
      </c>
      <c r="AJ18" s="287"/>
      <c r="AK18" s="282" t="s">
        <v>408</v>
      </c>
      <c r="AL18" s="282"/>
      <c r="AM18" s="282"/>
      <c r="AN18" s="768"/>
      <c r="AO18" s="768"/>
      <c r="AP18" s="785"/>
      <c r="AQ18" s="282"/>
      <c r="AR18" s="282"/>
      <c r="AS18" s="282"/>
      <c r="AT18" s="274"/>
      <c r="AU18" s="274"/>
      <c r="AV18" s="274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</row>
    <row r="19" spans="1:79" s="304" customFormat="1" ht="16.5" customHeight="1" thickBot="1">
      <c r="A19" s="533">
        <v>9</v>
      </c>
      <c r="B19" s="1420" t="e">
        <f t="shared" si="0"/>
        <v>#N/A</v>
      </c>
      <c r="C19" s="1421"/>
      <c r="D19" s="1448" t="e">
        <f t="shared" si="1"/>
        <v>#N/A</v>
      </c>
      <c r="E19" s="1448" t="e">
        <f t="shared" si="2"/>
        <v>#N/A</v>
      </c>
      <c r="F19" s="863" t="e">
        <f t="shared" si="3"/>
        <v>#N/A</v>
      </c>
      <c r="G19" s="863" t="e">
        <f t="shared" si="4"/>
        <v>#N/A</v>
      </c>
      <c r="H19" s="863" t="e">
        <f t="shared" si="5"/>
        <v>#N/A</v>
      </c>
      <c r="I19" s="863" t="e">
        <f t="shared" si="6"/>
        <v>#N/A</v>
      </c>
      <c r="J19" s="863" t="e">
        <f t="shared" si="11"/>
        <v>#N/A</v>
      </c>
      <c r="K19" s="863" t="e">
        <f t="shared" si="12"/>
        <v>#N/A</v>
      </c>
      <c r="L19" s="863" t="e">
        <f t="shared" si="13"/>
        <v>#N/A</v>
      </c>
      <c r="M19" s="908" t="e">
        <f t="shared" si="14"/>
        <v>#N/A</v>
      </c>
      <c r="N19" s="1063" t="str">
        <f>VLOOKUP(Q19,اس!$S$3:$T$31,2,FALSE)</f>
        <v>.</v>
      </c>
      <c r="O19" s="293"/>
      <c r="P19" s="297"/>
      <c r="Q19" s="923">
        <v>5</v>
      </c>
      <c r="R19" s="924"/>
      <c r="S19" s="25"/>
      <c r="T19" s="293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488">
        <v>13</v>
      </c>
      <c r="AI19" s="994" t="s">
        <v>1222</v>
      </c>
      <c r="AJ19" s="513"/>
      <c r="AK19" s="282" t="s">
        <v>408</v>
      </c>
      <c r="AL19" s="282" t="s">
        <v>1850</v>
      </c>
      <c r="AM19" s="282" t="s">
        <v>1850</v>
      </c>
      <c r="AN19" s="768"/>
      <c r="AO19" s="282" t="s">
        <v>327</v>
      </c>
      <c r="AP19" s="769"/>
      <c r="AQ19" s="789"/>
      <c r="AR19" s="789"/>
      <c r="AS19" s="282"/>
      <c r="AT19" s="274"/>
      <c r="AU19" s="274"/>
      <c r="AV19" s="274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</row>
    <row r="20" spans="1:79" s="304" customFormat="1" ht="16.5" customHeight="1" thickBot="1">
      <c r="A20" s="534">
        <v>10</v>
      </c>
      <c r="B20" s="1433" t="e">
        <f t="shared" si="0"/>
        <v>#N/A</v>
      </c>
      <c r="C20" s="1434"/>
      <c r="D20" s="1450" t="e">
        <f t="shared" si="1"/>
        <v>#N/A</v>
      </c>
      <c r="E20" s="1450" t="e">
        <f t="shared" si="2"/>
        <v>#N/A</v>
      </c>
      <c r="F20" s="859" t="e">
        <f t="shared" si="3"/>
        <v>#N/A</v>
      </c>
      <c r="G20" s="859" t="e">
        <f t="shared" si="4"/>
        <v>#N/A</v>
      </c>
      <c r="H20" s="859" t="e">
        <f t="shared" si="5"/>
        <v>#N/A</v>
      </c>
      <c r="I20" s="859" t="e">
        <f t="shared" si="6"/>
        <v>#N/A</v>
      </c>
      <c r="J20" s="859" t="e">
        <f t="shared" si="11"/>
        <v>#N/A</v>
      </c>
      <c r="K20" s="859" t="e">
        <f t="shared" si="12"/>
        <v>#N/A</v>
      </c>
      <c r="L20" s="859" t="e">
        <f t="shared" si="13"/>
        <v>#N/A</v>
      </c>
      <c r="M20" s="1124" t="e">
        <f t="shared" si="14"/>
        <v>#N/A</v>
      </c>
      <c r="N20" s="1016" t="str">
        <f>VLOOKUP(Q20,اس!$S$3:$T$31,2,FALSE)</f>
        <v>.</v>
      </c>
      <c r="O20" s="293"/>
      <c r="P20" s="297"/>
      <c r="Q20" s="923">
        <v>5</v>
      </c>
      <c r="R20" s="924"/>
      <c r="S20" s="25"/>
      <c r="T20" s="293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488">
        <v>14</v>
      </c>
      <c r="AI20" s="994" t="s">
        <v>812</v>
      </c>
      <c r="AJ20" s="287"/>
      <c r="AK20" s="282" t="s">
        <v>408</v>
      </c>
      <c r="AL20" s="768" t="s">
        <v>820</v>
      </c>
      <c r="AM20" s="768" t="s">
        <v>820</v>
      </c>
      <c r="AN20" s="768" t="s">
        <v>820</v>
      </c>
      <c r="AO20" s="768" t="s">
        <v>820</v>
      </c>
      <c r="AP20" s="785"/>
      <c r="AQ20" s="282"/>
      <c r="AR20" s="282"/>
      <c r="AS20" s="282"/>
      <c r="AT20" s="281"/>
      <c r="AU20" s="281"/>
      <c r="AV20" s="281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</row>
    <row r="21" spans="1:79" s="25" customFormat="1" ht="16.5" customHeight="1" thickBot="1">
      <c r="A21" s="522">
        <v>-2</v>
      </c>
      <c r="B21" s="523" t="s">
        <v>294</v>
      </c>
      <c r="C21" s="523"/>
      <c r="D21" s="523"/>
      <c r="E21" s="524"/>
      <c r="F21" s="525"/>
      <c r="G21" s="525"/>
      <c r="H21" s="525"/>
      <c r="I21" s="525"/>
      <c r="J21" s="565" t="s">
        <v>954</v>
      </c>
      <c r="K21" s="526"/>
      <c r="L21" s="526"/>
      <c r="M21" s="526"/>
      <c r="N21" s="298"/>
      <c r="O21" s="298"/>
      <c r="P21" s="297"/>
      <c r="Q21" s="923"/>
      <c r="R21" s="924"/>
      <c r="T21" s="293"/>
      <c r="AH21" s="488">
        <v>15</v>
      </c>
      <c r="AI21" s="994" t="s">
        <v>1944</v>
      </c>
      <c r="AJ21" s="287"/>
      <c r="AK21" s="282" t="s">
        <v>408</v>
      </c>
      <c r="AL21" s="768"/>
      <c r="AM21" s="768"/>
      <c r="AN21" s="768"/>
      <c r="AO21" s="768"/>
      <c r="AP21" s="785"/>
      <c r="AQ21" s="768"/>
      <c r="AR21" s="282"/>
      <c r="AS21" s="768"/>
      <c r="AT21" s="281"/>
      <c r="AU21" s="274"/>
      <c r="AV21" s="274"/>
    </row>
    <row r="22" spans="1:79" s="25" customFormat="1" ht="16.5" customHeight="1" thickBot="1">
      <c r="A22" s="529" t="s">
        <v>298</v>
      </c>
      <c r="B22" s="1417" t="s">
        <v>299</v>
      </c>
      <c r="C22" s="1417"/>
      <c r="D22" s="1417" t="s">
        <v>300</v>
      </c>
      <c r="E22" s="1417"/>
      <c r="F22" s="1417" t="s">
        <v>301</v>
      </c>
      <c r="G22" s="1417"/>
      <c r="H22" s="1417" t="s">
        <v>302</v>
      </c>
      <c r="I22" s="1441"/>
      <c r="J22" s="1437" t="s">
        <v>303</v>
      </c>
      <c r="K22" s="1437"/>
      <c r="L22" s="1437"/>
      <c r="M22" s="1006" t="s">
        <v>304</v>
      </c>
      <c r="N22" s="555" t="s">
        <v>541</v>
      </c>
      <c r="O22" s="503"/>
      <c r="P22" s="387" t="s">
        <v>825</v>
      </c>
      <c r="Q22" s="1415" t="s">
        <v>260</v>
      </c>
      <c r="R22" s="1415"/>
      <c r="T22" s="293"/>
      <c r="AH22" s="488">
        <v>16</v>
      </c>
      <c r="AI22" s="994" t="s">
        <v>1964</v>
      </c>
      <c r="AJ22" s="287"/>
      <c r="AK22" s="282" t="s">
        <v>408</v>
      </c>
      <c r="AL22" s="768"/>
      <c r="AM22" s="768"/>
      <c r="AN22" s="768"/>
      <c r="AO22" s="768"/>
      <c r="AP22" s="785"/>
      <c r="AQ22" s="282"/>
      <c r="AR22" s="282"/>
      <c r="AS22" s="282" t="s">
        <v>1176</v>
      </c>
      <c r="AT22" s="274"/>
      <c r="AU22" s="274"/>
      <c r="AV22" s="274"/>
    </row>
    <row r="23" spans="1:79" s="25" customFormat="1" ht="16.5" customHeight="1" thickBot="1">
      <c r="A23" s="541" t="s">
        <v>307</v>
      </c>
      <c r="B23" s="1432">
        <f>SUM(C25+B25)</f>
        <v>245</v>
      </c>
      <c r="C23" s="1432"/>
      <c r="D23" s="1432">
        <f>SUM(E25+D25)</f>
        <v>250</v>
      </c>
      <c r="E23" s="1432"/>
      <c r="F23" s="1432">
        <f>SUM(G25+F25)</f>
        <v>72</v>
      </c>
      <c r="G23" s="1432"/>
      <c r="H23" s="1432">
        <f>SUM(I25+H25)</f>
        <v>567</v>
      </c>
      <c r="I23" s="1449"/>
      <c r="J23" s="1451" t="e">
        <f>VLOOKUP(P23,اس!$S$3:$X$31,5,FALSE)</f>
        <v>#N/A</v>
      </c>
      <c r="K23" s="1451"/>
      <c r="L23" s="1451"/>
      <c r="M23" s="774"/>
      <c r="N23" s="775" t="e">
        <f>VLOOKUP(Q23,اس!$S$3:$X$31,2,FALSE)</f>
        <v>#N/A</v>
      </c>
      <c r="O23" s="503"/>
      <c r="P23" s="387"/>
      <c r="Q23" s="1415"/>
      <c r="R23" s="1415"/>
      <c r="T23" s="293"/>
      <c r="AH23" s="488">
        <v>17</v>
      </c>
      <c r="AI23" s="994" t="s">
        <v>283</v>
      </c>
      <c r="AJ23" s="285"/>
      <c r="AK23" s="282" t="s">
        <v>1207</v>
      </c>
      <c r="AL23" s="282"/>
      <c r="AM23" s="282"/>
      <c r="AN23" s="282"/>
      <c r="AO23" s="282"/>
      <c r="AP23" s="769"/>
      <c r="AQ23" s="282" t="s">
        <v>2228</v>
      </c>
      <c r="AR23" s="282" t="s">
        <v>828</v>
      </c>
      <c r="AS23" s="282" t="s">
        <v>1850</v>
      </c>
      <c r="AT23" s="274" t="s">
        <v>6</v>
      </c>
      <c r="AU23" s="274"/>
      <c r="AV23" s="274"/>
    </row>
    <row r="24" spans="1:79" s="25" customFormat="1" ht="16.5" customHeight="1" thickBot="1">
      <c r="A24" s="530" t="s">
        <v>310</v>
      </c>
      <c r="B24" s="1006" t="s">
        <v>311</v>
      </c>
      <c r="C24" s="1006" t="s">
        <v>312</v>
      </c>
      <c r="D24" s="1006" t="s">
        <v>311</v>
      </c>
      <c r="E24" s="1006" t="s">
        <v>312</v>
      </c>
      <c r="F24" s="1006" t="s">
        <v>311</v>
      </c>
      <c r="G24" s="1006" t="s">
        <v>312</v>
      </c>
      <c r="H24" s="1006" t="s">
        <v>311</v>
      </c>
      <c r="I24" s="608" t="s">
        <v>312</v>
      </c>
      <c r="J24" s="1451" t="e">
        <f>VLOOKUP(P24,اس!$S$3:$X$31,5,FALSE)</f>
        <v>#N/A</v>
      </c>
      <c r="K24" s="1451"/>
      <c r="L24" s="1451"/>
      <c r="M24" s="564"/>
      <c r="N24" s="775" t="e">
        <f>VLOOKUP(Q24,اس!$S$3:$X$31,2,FALSE)</f>
        <v>#N/A</v>
      </c>
      <c r="O24" s="503"/>
      <c r="P24" s="387"/>
      <c r="Q24" s="1415"/>
      <c r="R24" s="1415"/>
      <c r="T24" s="293"/>
      <c r="AH24" s="488">
        <v>18</v>
      </c>
      <c r="AI24" s="996" t="s">
        <v>1965</v>
      </c>
      <c r="AJ24" s="511"/>
      <c r="AK24" s="282" t="s">
        <v>1207</v>
      </c>
      <c r="AL24" s="282"/>
      <c r="AM24" s="789"/>
      <c r="AN24" s="789"/>
      <c r="AO24" s="789"/>
      <c r="AP24" s="769"/>
      <c r="AQ24" s="282"/>
      <c r="AR24" s="282"/>
      <c r="AS24" s="282"/>
      <c r="AT24" s="274"/>
      <c r="AU24" s="274"/>
      <c r="AV24" s="274"/>
    </row>
    <row r="25" spans="1:79" s="25" customFormat="1" ht="16.5" customHeight="1" thickBot="1">
      <c r="A25" s="537" t="s">
        <v>315</v>
      </c>
      <c r="B25" s="537">
        <f>COUNTIF(etat!$P$9:$P$1136,"ذن/د3")+COUNTIF(etat!$P$9:$P$1136,"ذخ3")</f>
        <v>110</v>
      </c>
      <c r="C25" s="537">
        <f>COUNTIF(etat!$P$9:$P$1136,"ان/د3")+COUNTIF(etat!$P$9:$P$1136,"اخ3")</f>
        <v>135</v>
      </c>
      <c r="D25" s="537">
        <f>COUNTIF(etat!$P$9:$P$1136,"ذن/د2")+COUNTIF(etat!$P$9:$P$1136,"ذخ2")</f>
        <v>93</v>
      </c>
      <c r="E25" s="537">
        <f>COUNTIF(etat!$P$9:$P$1136,"ان/د2")+COUNTIF(etat!$P$9:$P$1136,"اخ2")</f>
        <v>157</v>
      </c>
      <c r="F25" s="537">
        <f>COUNTIF(etat!$P$9:$P$1136,"ذن/د1")+COUNTIF(etat!$P$9:$P$1136,"ذخ1")</f>
        <v>29</v>
      </c>
      <c r="G25" s="537">
        <f>COUNTIF(etat!$P$9:$P$1136,"ان/د1")+COUNTIF(etat!$P$9:$P$1136,"اخ1")</f>
        <v>43</v>
      </c>
      <c r="H25" s="1007">
        <f>SUM(B25+D25+F25)</f>
        <v>232</v>
      </c>
      <c r="I25" s="1008">
        <f>SUM(C25+E25+G25)</f>
        <v>335</v>
      </c>
      <c r="J25" s="1451" t="e">
        <f>VLOOKUP(P25,اس!$S$3:$X$31,5,FALSE)</f>
        <v>#N/A</v>
      </c>
      <c r="K25" s="1451"/>
      <c r="L25" s="1451"/>
      <c r="M25" s="564"/>
      <c r="N25" s="775" t="e">
        <f>VLOOKUP(Q25,اس!$S$3:$X$31,2,FALSE)</f>
        <v>#N/A</v>
      </c>
      <c r="O25" s="503"/>
      <c r="P25" s="387"/>
      <c r="Q25" s="1461">
        <v>0</v>
      </c>
      <c r="R25" s="1461"/>
      <c r="T25" s="293"/>
      <c r="AH25" s="488">
        <v>19</v>
      </c>
      <c r="AI25" s="997" t="s">
        <v>1509</v>
      </c>
      <c r="AJ25" s="511"/>
      <c r="AK25" s="282" t="s">
        <v>1207</v>
      </c>
      <c r="AL25" s="282"/>
      <c r="AM25" s="768"/>
      <c r="AN25" s="768"/>
      <c r="AO25" s="282"/>
      <c r="AP25" s="769"/>
      <c r="AQ25" s="768"/>
      <c r="AR25" s="768"/>
      <c r="AS25" s="768"/>
      <c r="AT25" s="274" t="s">
        <v>1529</v>
      </c>
      <c r="AU25" s="274"/>
      <c r="AV25" s="274"/>
    </row>
    <row r="26" spans="1:79" s="25" customFormat="1" ht="16.5" customHeight="1" thickBot="1">
      <c r="A26" s="538" t="s">
        <v>316</v>
      </c>
      <c r="B26" s="539">
        <f t="shared" ref="B26:I26" si="15">SUM(B25-B30)</f>
        <v>42</v>
      </c>
      <c r="C26" s="539">
        <f t="shared" si="15"/>
        <v>41</v>
      </c>
      <c r="D26" s="539">
        <f t="shared" si="15"/>
        <v>80</v>
      </c>
      <c r="E26" s="539">
        <f t="shared" si="15"/>
        <v>137</v>
      </c>
      <c r="F26" s="539">
        <f t="shared" si="15"/>
        <v>28</v>
      </c>
      <c r="G26" s="539">
        <f t="shared" si="15"/>
        <v>39</v>
      </c>
      <c r="H26" s="539">
        <f t="shared" si="15"/>
        <v>150</v>
      </c>
      <c r="I26" s="563">
        <f t="shared" si="15"/>
        <v>217</v>
      </c>
      <c r="J26" s="1451" t="e">
        <f>VLOOKUP(P26,اس!$S$3:$X$31,5,FALSE)</f>
        <v>#N/A</v>
      </c>
      <c r="K26" s="1451"/>
      <c r="L26" s="1451"/>
      <c r="M26" s="774"/>
      <c r="N26" s="775" t="e">
        <f>VLOOKUP(Q26,اس!$S$3:$X$31,2,FALSE)</f>
        <v>#N/A</v>
      </c>
      <c r="O26" s="503"/>
      <c r="P26" s="387"/>
      <c r="Q26" s="1461">
        <v>0</v>
      </c>
      <c r="R26" s="1461"/>
      <c r="T26" s="293"/>
      <c r="AH26" s="488">
        <v>20</v>
      </c>
      <c r="AI26" s="994" t="s">
        <v>942</v>
      </c>
      <c r="AJ26" s="287"/>
      <c r="AK26" s="282" t="s">
        <v>279</v>
      </c>
      <c r="AL26" s="768"/>
      <c r="AM26" s="768"/>
      <c r="AN26" s="282"/>
      <c r="AO26" s="282"/>
      <c r="AP26" s="769"/>
      <c r="AQ26" s="282"/>
      <c r="AR26" s="282"/>
      <c r="AS26" s="282"/>
      <c r="AT26" s="274"/>
      <c r="AU26" s="274"/>
      <c r="AV26" s="274"/>
    </row>
    <row r="27" spans="1:79" s="25" customFormat="1" ht="16.5" customHeight="1" thickBot="1">
      <c r="A27" s="553">
        <v>-2</v>
      </c>
      <c r="B27" s="551" t="s">
        <v>294</v>
      </c>
      <c r="C27" s="551"/>
      <c r="D27" s="551"/>
      <c r="E27" s="554"/>
      <c r="F27" s="551"/>
      <c r="G27" s="551"/>
      <c r="H27" s="551"/>
      <c r="I27" s="551"/>
      <c r="J27" s="294"/>
      <c r="K27" s="294"/>
      <c r="L27" s="294"/>
      <c r="M27" s="294"/>
      <c r="N27" s="294"/>
      <c r="O27" s="142"/>
      <c r="T27" s="293"/>
      <c r="AH27" s="488">
        <v>21</v>
      </c>
      <c r="AI27" s="997" t="s">
        <v>278</v>
      </c>
      <c r="AJ27" s="513"/>
      <c r="AK27" s="282" t="s">
        <v>279</v>
      </c>
      <c r="AL27" s="768"/>
      <c r="AM27" s="768"/>
      <c r="AN27" s="768"/>
      <c r="AO27" s="282"/>
      <c r="AP27" s="785"/>
      <c r="AQ27" s="282"/>
      <c r="AR27" s="282"/>
      <c r="AS27" s="282"/>
      <c r="AT27" s="274"/>
      <c r="AU27" s="274"/>
      <c r="AV27" s="274"/>
      <c r="AW27" s="150"/>
    </row>
    <row r="28" spans="1:79" s="25" customFormat="1" ht="16.5" customHeight="1" thickBot="1">
      <c r="A28" s="552" t="s">
        <v>827</v>
      </c>
      <c r="B28" s="1430" t="s">
        <v>299</v>
      </c>
      <c r="C28" s="1430"/>
      <c r="D28" s="1424" t="s">
        <v>300</v>
      </c>
      <c r="E28" s="1424"/>
      <c r="F28" s="1424" t="s">
        <v>301</v>
      </c>
      <c r="G28" s="1424"/>
      <c r="H28" s="1424" t="s">
        <v>302</v>
      </c>
      <c r="I28" s="1424"/>
      <c r="J28" s="560" t="s">
        <v>952</v>
      </c>
      <c r="K28" s="741"/>
      <c r="L28" s="741"/>
      <c r="M28" s="741"/>
      <c r="N28" s="741"/>
      <c r="O28" s="142"/>
      <c r="T28" s="293"/>
      <c r="AH28" s="488">
        <v>22</v>
      </c>
      <c r="AI28" s="994" t="s">
        <v>2216</v>
      </c>
      <c r="AJ28" s="513"/>
      <c r="AK28" s="282" t="s">
        <v>279</v>
      </c>
      <c r="AL28" s="282" t="s">
        <v>639</v>
      </c>
      <c r="AM28" s="282" t="s">
        <v>1504</v>
      </c>
      <c r="AN28" s="771"/>
      <c r="AO28" s="282"/>
      <c r="AP28" s="785"/>
      <c r="AQ28" s="768"/>
      <c r="AR28" s="768"/>
      <c r="AS28" s="768"/>
      <c r="AT28" s="274"/>
      <c r="AU28" s="274"/>
      <c r="AV28" s="274"/>
      <c r="AW28" s="154"/>
    </row>
    <row r="29" spans="1:79" s="25" customFormat="1" ht="16.5" customHeight="1" thickBot="1">
      <c r="A29" s="921" t="s">
        <v>302</v>
      </c>
      <c r="B29" s="1423">
        <f>SUM(C30+B30)</f>
        <v>162</v>
      </c>
      <c r="C29" s="1423"/>
      <c r="D29" s="1423">
        <f>SUM(E30+D30)</f>
        <v>33</v>
      </c>
      <c r="E29" s="1423"/>
      <c r="F29" s="1423">
        <f>SUM(G30+F30)</f>
        <v>5</v>
      </c>
      <c r="G29" s="1423"/>
      <c r="H29" s="1423">
        <f>SUM(I30+H30)</f>
        <v>200</v>
      </c>
      <c r="I29" s="1423"/>
      <c r="J29" s="1088" t="s">
        <v>1247</v>
      </c>
      <c r="K29" s="739"/>
      <c r="L29" s="1471" t="s">
        <v>1545</v>
      </c>
      <c r="M29" s="1472"/>
      <c r="N29" s="724" t="s">
        <v>1546</v>
      </c>
      <c r="O29" s="142"/>
      <c r="P29" s="142"/>
      <c r="Q29" s="29"/>
      <c r="R29" s="142"/>
      <c r="S29" s="299"/>
      <c r="T29" s="293"/>
      <c r="AH29" s="488">
        <v>23</v>
      </c>
      <c r="AI29" s="995" t="s">
        <v>1205</v>
      </c>
      <c r="AJ29" s="998"/>
      <c r="AK29" s="282" t="s">
        <v>1202</v>
      </c>
      <c r="AL29" s="282"/>
      <c r="AM29" s="282"/>
      <c r="AN29" s="282"/>
      <c r="AO29" s="282"/>
      <c r="AP29" s="785"/>
      <c r="AQ29" s="768" t="s">
        <v>819</v>
      </c>
      <c r="AR29" s="768" t="s">
        <v>820</v>
      </c>
      <c r="AS29" s="282" t="s">
        <v>6</v>
      </c>
      <c r="AT29" s="274"/>
      <c r="AU29" s="274"/>
      <c r="AV29" s="274"/>
      <c r="AW29" s="154"/>
    </row>
    <row r="30" spans="1:79" s="25" customFormat="1" ht="16.5" customHeight="1" thickBot="1">
      <c r="A30" s="736" t="s">
        <v>317</v>
      </c>
      <c r="B30" s="1010">
        <f t="shared" ref="B30:I30" si="16">SUM(B31:B32)</f>
        <v>68</v>
      </c>
      <c r="C30" s="1010">
        <f t="shared" si="16"/>
        <v>94</v>
      </c>
      <c r="D30" s="1010">
        <f t="shared" si="16"/>
        <v>13</v>
      </c>
      <c r="E30" s="1010">
        <f t="shared" si="16"/>
        <v>20</v>
      </c>
      <c r="F30" s="1010">
        <f t="shared" si="16"/>
        <v>1</v>
      </c>
      <c r="G30" s="1010">
        <f t="shared" si="16"/>
        <v>4</v>
      </c>
      <c r="H30" s="1010">
        <f t="shared" si="16"/>
        <v>82</v>
      </c>
      <c r="I30" s="1010">
        <f t="shared" si="16"/>
        <v>118</v>
      </c>
      <c r="J30" s="533" t="s">
        <v>302</v>
      </c>
      <c r="K30" s="737"/>
      <c r="L30" s="502">
        <f>COUNT(AH7:AH60)</f>
        <v>54</v>
      </c>
      <c r="M30" s="502">
        <f>COUNT(اس!V3:W8)</f>
        <v>6</v>
      </c>
      <c r="N30" s="502">
        <f>COUNT(اس!V1:X3)</f>
        <v>1</v>
      </c>
      <c r="O30" s="142"/>
      <c r="P30" s="142"/>
      <c r="Q30" s="26"/>
      <c r="R30" s="142"/>
      <c r="S30" s="501"/>
      <c r="T30" s="293"/>
      <c r="AH30" s="488">
        <v>24</v>
      </c>
      <c r="AI30" s="995" t="s">
        <v>286</v>
      </c>
      <c r="AJ30" s="999"/>
      <c r="AK30" s="282" t="s">
        <v>1202</v>
      </c>
      <c r="AL30" s="282" t="s">
        <v>1248</v>
      </c>
      <c r="AM30" s="282" t="s">
        <v>1248</v>
      </c>
      <c r="AN30" s="772"/>
      <c r="AO30" s="282"/>
      <c r="AP30" s="769"/>
      <c r="AQ30" s="768" t="s">
        <v>500</v>
      </c>
      <c r="AR30" s="768" t="s">
        <v>2226</v>
      </c>
      <c r="AS30" s="768" t="s">
        <v>326</v>
      </c>
      <c r="AT30" s="281"/>
      <c r="AU30" s="281"/>
      <c r="AV30" s="281"/>
      <c r="AW30" s="154"/>
    </row>
    <row r="31" spans="1:79" s="25" customFormat="1" ht="16.5" customHeight="1" thickBot="1">
      <c r="A31" s="736" t="s">
        <v>318</v>
      </c>
      <c r="B31" s="454">
        <f>COUNTIF($S$53:$S$462,"ذن/د3")</f>
        <v>8</v>
      </c>
      <c r="C31" s="454">
        <f>COUNTIF($S$53:$S$462,"ان/د3")</f>
        <v>20</v>
      </c>
      <c r="D31" s="454">
        <f>COUNTIF($S$53:$S$462,"ذن/د2")</f>
        <v>1</v>
      </c>
      <c r="E31" s="454">
        <f>COUNTIF($S$53:$S$462,"ان/د2")</f>
        <v>5</v>
      </c>
      <c r="F31" s="454">
        <f>COUNTIF($S$53:$S$462,"ذن/د1")</f>
        <v>0</v>
      </c>
      <c r="G31" s="454">
        <f>COUNTIF($S$53:$S$462,"ان/د1")</f>
        <v>0</v>
      </c>
      <c r="H31" s="454">
        <f t="shared" ref="H31:I32" si="17">B31+D31+F31</f>
        <v>9</v>
      </c>
      <c r="I31" s="454">
        <f t="shared" si="17"/>
        <v>25</v>
      </c>
      <c r="J31" s="533" t="s">
        <v>316</v>
      </c>
      <c r="K31" s="737"/>
      <c r="L31" s="502">
        <f>SUM(L30-L32)</f>
        <v>47</v>
      </c>
      <c r="M31" s="502">
        <f>SUM(M30-M32)</f>
        <v>6</v>
      </c>
      <c r="N31" s="502">
        <f t="shared" ref="N31" si="18">SUM(N30-N32)</f>
        <v>1</v>
      </c>
      <c r="O31" s="142"/>
      <c r="P31" s="142"/>
      <c r="Q31" s="142"/>
      <c r="R31" s="142"/>
      <c r="S31" s="142"/>
      <c r="T31" s="293"/>
      <c r="AH31" s="488">
        <v>25</v>
      </c>
      <c r="AI31" s="995" t="s">
        <v>287</v>
      </c>
      <c r="AJ31" s="999"/>
      <c r="AK31" s="282" t="s">
        <v>1202</v>
      </c>
      <c r="AL31" s="792"/>
      <c r="AM31" s="792"/>
      <c r="AN31" s="792"/>
      <c r="AO31" s="792"/>
      <c r="AP31" s="788"/>
      <c r="AQ31" s="783" t="s">
        <v>327</v>
      </c>
      <c r="AR31" s="789"/>
      <c r="AS31" s="282" t="s">
        <v>2235</v>
      </c>
      <c r="AT31" s="274"/>
      <c r="AW31" s="154"/>
    </row>
    <row r="32" spans="1:79" s="25" customFormat="1" ht="16.5" customHeight="1" thickBot="1">
      <c r="A32" s="736" t="s">
        <v>319</v>
      </c>
      <c r="B32" s="454">
        <f>COUNTIF($S$53:$S$462,"ذخ3")</f>
        <v>60</v>
      </c>
      <c r="C32" s="454">
        <f>COUNTIF($S$53:$S$462,"اخ3")</f>
        <v>74</v>
      </c>
      <c r="D32" s="454">
        <f>COUNTIF($S$53:$S$462,"ذخ2")</f>
        <v>12</v>
      </c>
      <c r="E32" s="454">
        <f>COUNTIF($S$53:$S$462,"اخ2")</f>
        <v>15</v>
      </c>
      <c r="F32" s="454">
        <f>COUNTIF($S$53:$S$462,"ذخ1")</f>
        <v>1</v>
      </c>
      <c r="G32" s="454">
        <f>COUNTIF($S$53:$S$462,"اخ1")</f>
        <v>4</v>
      </c>
      <c r="H32" s="454">
        <f>B32+D32+F32</f>
        <v>73</v>
      </c>
      <c r="I32" s="454">
        <f t="shared" si="17"/>
        <v>93</v>
      </c>
      <c r="J32" s="533" t="s">
        <v>321</v>
      </c>
      <c r="K32" s="737"/>
      <c r="L32" s="502">
        <f>COUNT(P11:P21)</f>
        <v>7</v>
      </c>
      <c r="M32" s="502">
        <v>0</v>
      </c>
      <c r="N32" s="502">
        <f>COUNT(R24:R28)</f>
        <v>0</v>
      </c>
      <c r="O32" s="142"/>
      <c r="P32" s="142"/>
      <c r="Q32" s="142"/>
      <c r="R32" s="142"/>
      <c r="S32" s="142"/>
      <c r="T32" s="293"/>
      <c r="AH32" s="488">
        <v>26</v>
      </c>
      <c r="AI32" s="1000" t="s">
        <v>284</v>
      </c>
      <c r="AJ32" s="999"/>
      <c r="AK32" s="282" t="s">
        <v>1202</v>
      </c>
      <c r="AL32" s="768"/>
      <c r="AM32" s="768"/>
      <c r="AN32" s="768"/>
      <c r="AO32" s="768"/>
      <c r="AP32" s="785"/>
      <c r="AQ32" s="768"/>
      <c r="AR32" s="282" t="s">
        <v>1504</v>
      </c>
      <c r="AS32" s="282"/>
      <c r="AT32" s="274"/>
      <c r="AU32" s="274"/>
      <c r="AV32" s="274"/>
      <c r="AW32" s="154"/>
    </row>
    <row r="33" spans="1:79" s="25" customFormat="1" ht="16.5" customHeight="1" thickBot="1">
      <c r="A33" s="514" t="s">
        <v>320</v>
      </c>
      <c r="B33" s="496">
        <f t="shared" ref="B33:I33" si="19">SUM(B30/B25*100)</f>
        <v>61.818181818181813</v>
      </c>
      <c r="C33" s="767">
        <f t="shared" si="19"/>
        <v>69.629629629629633</v>
      </c>
      <c r="D33" s="514">
        <f t="shared" si="19"/>
        <v>13.978494623655912</v>
      </c>
      <c r="E33" s="767">
        <f t="shared" si="19"/>
        <v>12.738853503184714</v>
      </c>
      <c r="F33" s="767">
        <f t="shared" si="19"/>
        <v>3.4482758620689653</v>
      </c>
      <c r="G33" s="767">
        <f t="shared" si="19"/>
        <v>9.3023255813953494</v>
      </c>
      <c r="H33" s="514">
        <f t="shared" si="19"/>
        <v>35.344827586206897</v>
      </c>
      <c r="I33" s="514">
        <f t="shared" si="19"/>
        <v>35.223880597014926</v>
      </c>
      <c r="J33" s="1449" t="s">
        <v>323</v>
      </c>
      <c r="K33" s="1455"/>
      <c r="L33" s="550">
        <f>SUM(L32/L30*100)</f>
        <v>12.962962962962962</v>
      </c>
      <c r="M33" s="1007">
        <f t="shared" ref="M33:N33" si="20">SUM(M32/M30*100)</f>
        <v>0</v>
      </c>
      <c r="N33" s="1007">
        <f t="shared" si="20"/>
        <v>0</v>
      </c>
      <c r="O33" s="142"/>
      <c r="P33" s="142"/>
      <c r="Q33" s="142"/>
      <c r="R33" s="142"/>
      <c r="S33" s="142"/>
      <c r="T33" s="501"/>
      <c r="AH33" s="488">
        <v>27</v>
      </c>
      <c r="AI33" s="995" t="s">
        <v>1228</v>
      </c>
      <c r="AJ33" s="1001"/>
      <c r="AK33" s="282" t="s">
        <v>1202</v>
      </c>
      <c r="AL33" s="771"/>
      <c r="AM33" s="771"/>
      <c r="AN33" s="768" t="s">
        <v>268</v>
      </c>
      <c r="AO33" s="282" t="s">
        <v>1174</v>
      </c>
      <c r="AP33" s="769"/>
      <c r="AQ33" s="768" t="s">
        <v>821</v>
      </c>
      <c r="AR33" s="768" t="s">
        <v>2228</v>
      </c>
      <c r="AS33" s="768" t="s">
        <v>2228</v>
      </c>
      <c r="AT33" s="281"/>
      <c r="AU33" s="281"/>
      <c r="AV33" s="281"/>
      <c r="AW33" s="154"/>
    </row>
    <row r="34" spans="1:79" s="25" customFormat="1" ht="16.5" customHeight="1" thickBot="1">
      <c r="A34" s="536" t="s">
        <v>322</v>
      </c>
      <c r="B34" s="1465">
        <f>SUM(B29/B23)*100</f>
        <v>66.122448979591837</v>
      </c>
      <c r="C34" s="1465"/>
      <c r="D34" s="1465">
        <f>SUM(D29/D23)*100</f>
        <v>13.200000000000001</v>
      </c>
      <c r="E34" s="1465"/>
      <c r="F34" s="1462">
        <f>SUM(F29/F23)*100</f>
        <v>6.9444444444444446</v>
      </c>
      <c r="G34" s="1462"/>
      <c r="H34" s="1462">
        <f>SUM(H29/H23)*100</f>
        <v>35.273368606701936</v>
      </c>
      <c r="I34" s="1462"/>
      <c r="J34" s="561"/>
      <c r="K34" s="561"/>
      <c r="L34" s="561"/>
      <c r="M34" s="561"/>
      <c r="N34" s="561"/>
      <c r="O34" s="142"/>
      <c r="P34" s="142"/>
      <c r="Q34" s="142"/>
      <c r="R34" s="142"/>
      <c r="S34" s="142"/>
      <c r="T34" s="1009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488">
        <v>28</v>
      </c>
      <c r="AI34" s="995" t="s">
        <v>1510</v>
      </c>
      <c r="AJ34" s="513"/>
      <c r="AK34" s="282" t="s">
        <v>1202</v>
      </c>
      <c r="AL34" s="282" t="s">
        <v>1530</v>
      </c>
      <c r="AM34" s="282" t="s">
        <v>1530</v>
      </c>
      <c r="AN34" s="282" t="s">
        <v>328</v>
      </c>
      <c r="AO34" s="282"/>
      <c r="AP34" s="769"/>
      <c r="AQ34" s="768" t="s">
        <v>1173</v>
      </c>
      <c r="AR34" s="768" t="s">
        <v>1175</v>
      </c>
      <c r="AS34" s="768" t="s">
        <v>1175</v>
      </c>
      <c r="AT34" s="318"/>
      <c r="AU34" s="318"/>
      <c r="AV34" s="318"/>
      <c r="AW34" s="319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</row>
    <row r="35" spans="1:79" s="25" customFormat="1" ht="16.5" customHeight="1" thickBot="1">
      <c r="A35" s="1427"/>
      <c r="B35" s="1428"/>
      <c r="C35" s="1428"/>
      <c r="D35" s="1428"/>
      <c r="E35" s="1428"/>
      <c r="F35" s="1429"/>
      <c r="G35" s="1429"/>
      <c r="H35" s="1429"/>
      <c r="I35" s="1429"/>
      <c r="J35" s="1429"/>
      <c r="K35" s="1429"/>
      <c r="L35" s="1429"/>
      <c r="M35" s="562"/>
      <c r="N35" s="562"/>
      <c r="O35" s="320"/>
      <c r="P35" s="142"/>
      <c r="Q35" s="142"/>
      <c r="R35" s="142"/>
      <c r="S35" s="142"/>
      <c r="T35" s="501"/>
      <c r="AH35" s="488">
        <v>29</v>
      </c>
      <c r="AI35" s="994" t="s">
        <v>271</v>
      </c>
      <c r="AJ35" s="287"/>
      <c r="AK35" s="282" t="s">
        <v>1229</v>
      </c>
      <c r="AL35" s="771" t="s">
        <v>1173</v>
      </c>
      <c r="AM35" s="768"/>
      <c r="AN35" s="768" t="s">
        <v>1174</v>
      </c>
      <c r="AO35" s="282" t="s">
        <v>2215</v>
      </c>
      <c r="AP35" s="769"/>
      <c r="AQ35" s="768"/>
      <c r="AR35" s="768"/>
      <c r="AS35" s="282"/>
      <c r="AT35" s="281"/>
      <c r="AU35" s="281"/>
      <c r="AV35" s="274"/>
      <c r="AW35" s="154"/>
    </row>
    <row r="36" spans="1:79" s="25" customFormat="1" ht="16.5" customHeight="1" thickBot="1">
      <c r="A36" s="530" t="s">
        <v>324</v>
      </c>
      <c r="B36" s="856" t="s">
        <v>500</v>
      </c>
      <c r="C36" s="856" t="s">
        <v>1519</v>
      </c>
      <c r="D36" s="856" t="s">
        <v>1497</v>
      </c>
      <c r="E36" s="856" t="s">
        <v>820</v>
      </c>
      <c r="F36" s="856" t="s">
        <v>819</v>
      </c>
      <c r="G36" s="856" t="s">
        <v>1850</v>
      </c>
      <c r="H36" s="856" t="s">
        <v>1851</v>
      </c>
      <c r="I36" s="856" t="s">
        <v>1852</v>
      </c>
      <c r="J36" s="856" t="s">
        <v>268</v>
      </c>
      <c r="K36" s="556"/>
      <c r="L36" s="556"/>
      <c r="M36" s="901" t="s">
        <v>302</v>
      </c>
      <c r="N36" s="756" t="s">
        <v>302</v>
      </c>
      <c r="O36" s="300"/>
      <c r="P36" s="300"/>
      <c r="Q36" s="142"/>
      <c r="R36" s="142"/>
      <c r="S36" s="142"/>
      <c r="T36" s="501"/>
      <c r="AH36" s="488">
        <v>30</v>
      </c>
      <c r="AI36" s="994" t="s">
        <v>944</v>
      </c>
      <c r="AJ36" s="287"/>
      <c r="AK36" s="282" t="s">
        <v>1229</v>
      </c>
      <c r="AL36" s="771"/>
      <c r="AM36" s="282"/>
      <c r="AN36" s="282" t="s">
        <v>1530</v>
      </c>
      <c r="AO36" s="768" t="s">
        <v>2226</v>
      </c>
      <c r="AP36" s="769"/>
      <c r="AQ36" s="282"/>
      <c r="AR36" s="282"/>
      <c r="AS36" s="282"/>
      <c r="AT36" s="274"/>
      <c r="AU36" s="274"/>
      <c r="AV36" s="274"/>
      <c r="AW36" s="154"/>
    </row>
    <row r="37" spans="1:79" s="25" customFormat="1" ht="16.5" customHeight="1" thickBot="1">
      <c r="A37" s="736" t="s">
        <v>325</v>
      </c>
      <c r="B37" s="454">
        <f>COUNTIF($Q$51:$Q$2044,"3ت ر")</f>
        <v>0</v>
      </c>
      <c r="C37" s="454">
        <f>COUNTIF($Q$51:$Q$2044,"3ت ا ق1")</f>
        <v>15</v>
      </c>
      <c r="D37" s="454">
        <f>COUNTIF($Q$51:$Q$2044,"3ت ا ق2")</f>
        <v>10</v>
      </c>
      <c r="E37" s="454">
        <f>COUNTIF($Q$51:$Q$2044,"3ع ت1")</f>
        <v>22</v>
      </c>
      <c r="F37" s="454">
        <f>COUNTIF($Q$51:$Q$2044,"3ع ت2")</f>
        <v>20</v>
      </c>
      <c r="G37" s="454">
        <f>COUNTIF($Q$51:$Q$2043,"3ع ت3")</f>
        <v>0</v>
      </c>
      <c r="H37" s="454">
        <f>COUNTIF($Q$51:$Q$2044,"3آ ف1")</f>
        <v>0</v>
      </c>
      <c r="I37" s="454">
        <f>COUNTIF($Q$51:$Q$2044,"3آ ف2")</f>
        <v>0</v>
      </c>
      <c r="J37" s="454">
        <f>COUNTIF($Q$51:$Q$2044,"3ل أ")</f>
        <v>6</v>
      </c>
      <c r="K37" s="573"/>
      <c r="L37" s="573"/>
      <c r="M37" s="735">
        <f>SUM(B37:L37)</f>
        <v>73</v>
      </c>
      <c r="N37" s="1452">
        <f>SUM(M37+M39+M41)</f>
        <v>117</v>
      </c>
      <c r="O37" s="300"/>
      <c r="P37" s="300"/>
      <c r="Q37" s="11"/>
      <c r="R37" s="142"/>
      <c r="S37" s="501"/>
      <c r="T37" s="501"/>
      <c r="AH37" s="488">
        <v>31</v>
      </c>
      <c r="AI37" s="994" t="s">
        <v>1218</v>
      </c>
      <c r="AJ37" s="287"/>
      <c r="AK37" s="282" t="s">
        <v>1229</v>
      </c>
      <c r="AL37" s="316"/>
      <c r="AM37" s="316"/>
      <c r="AN37" s="316"/>
      <c r="AO37" s="316"/>
      <c r="AP37" s="769"/>
      <c r="AQ37" s="282" t="s">
        <v>1248</v>
      </c>
      <c r="AR37" s="282" t="s">
        <v>1248</v>
      </c>
      <c r="AS37" s="282" t="s">
        <v>268</v>
      </c>
      <c r="AT37" s="274" t="s">
        <v>1175</v>
      </c>
      <c r="AU37" s="274"/>
      <c r="AV37" s="274"/>
      <c r="AW37" s="154"/>
    </row>
    <row r="38" spans="1:79" s="25" customFormat="1" ht="16.5" customHeight="1" thickBot="1">
      <c r="A38" s="736" t="s">
        <v>324</v>
      </c>
      <c r="B38" s="1006" t="s">
        <v>6</v>
      </c>
      <c r="C38" s="1006" t="s">
        <v>1173</v>
      </c>
      <c r="D38" s="1006" t="s">
        <v>1174</v>
      </c>
      <c r="E38" s="1006" t="s">
        <v>1520</v>
      </c>
      <c r="F38" s="1006" t="s">
        <v>1521</v>
      </c>
      <c r="G38" s="1006" t="s">
        <v>2153</v>
      </c>
      <c r="H38" s="1006" t="s">
        <v>4</v>
      </c>
      <c r="I38" s="1006"/>
      <c r="J38" s="1006"/>
      <c r="K38" s="1006"/>
      <c r="L38" s="556"/>
      <c r="M38" s="901" t="s">
        <v>302</v>
      </c>
      <c r="N38" s="1453"/>
      <c r="O38" s="300"/>
      <c r="P38" s="300"/>
      <c r="T38" s="501"/>
      <c r="AH38" s="488">
        <v>32</v>
      </c>
      <c r="AI38" s="994" t="s">
        <v>1230</v>
      </c>
      <c r="AJ38" s="287"/>
      <c r="AK38" s="282" t="s">
        <v>1229</v>
      </c>
      <c r="AL38" s="771" t="s">
        <v>828</v>
      </c>
      <c r="AM38" s="282"/>
      <c r="AN38" s="768" t="s">
        <v>326</v>
      </c>
      <c r="AO38" s="282" t="s">
        <v>1529</v>
      </c>
      <c r="AP38" s="785"/>
      <c r="AQ38" s="282"/>
      <c r="AR38" s="282"/>
      <c r="AS38" s="768"/>
      <c r="AT38" s="274"/>
      <c r="AU38" s="274"/>
      <c r="AV38" s="274"/>
      <c r="AW38" s="154"/>
    </row>
    <row r="39" spans="1:79" s="25" customFormat="1" ht="16.5" customHeight="1" thickBot="1">
      <c r="A39" s="736" t="s">
        <v>325</v>
      </c>
      <c r="B39" s="454">
        <f>COUNTIF($Q$51:$Q$2044,"2ت ر")</f>
        <v>0</v>
      </c>
      <c r="C39" s="454">
        <f>COUNTIF($Q$51:$Q$2044,"2ت ا ق1")</f>
        <v>26</v>
      </c>
      <c r="D39" s="454">
        <f>COUNTIF($Q$51:$Q$2044,"2ت ا ق2")</f>
        <v>0</v>
      </c>
      <c r="E39" s="454">
        <f>COUNTIF($Q$51:$Q$2044,"2ع ت1")</f>
        <v>7</v>
      </c>
      <c r="F39" s="454">
        <f>COUNTIF($Q$51:$Q$2044,"2ع ت2")</f>
        <v>1</v>
      </c>
      <c r="G39" s="454">
        <f>COUNTIF($Q$51:$Q$2044,"2أ ف")</f>
        <v>0</v>
      </c>
      <c r="H39" s="454">
        <f>COUNTIF($Q$51:$Q$2044,"2ل أ")</f>
        <v>0</v>
      </c>
      <c r="I39" s="454"/>
      <c r="J39" s="454"/>
      <c r="K39" s="454"/>
      <c r="L39" s="573"/>
      <c r="M39" s="735">
        <f>SUM(B39:L39)</f>
        <v>34</v>
      </c>
      <c r="N39" s="1453"/>
      <c r="O39" s="300"/>
      <c r="P39" s="300"/>
      <c r="Q39" s="11"/>
      <c r="R39" s="142"/>
      <c r="S39" s="501"/>
      <c r="T39" s="501"/>
      <c r="AH39" s="488">
        <v>33</v>
      </c>
      <c r="AI39" s="994" t="s">
        <v>1945</v>
      </c>
      <c r="AJ39" s="287"/>
      <c r="AK39" s="282" t="s">
        <v>1229</v>
      </c>
      <c r="AL39" s="282"/>
      <c r="AM39" s="282"/>
      <c r="AN39" s="282"/>
      <c r="AO39" s="282"/>
      <c r="AP39" s="769"/>
      <c r="AQ39" s="768"/>
      <c r="AR39" s="768"/>
      <c r="AS39" s="768"/>
      <c r="AT39" s="281"/>
      <c r="AU39" s="274"/>
      <c r="AV39" s="274"/>
      <c r="AW39" s="154"/>
    </row>
    <row r="40" spans="1:79" s="25" customFormat="1" ht="16.5" customHeight="1" thickBot="1">
      <c r="A40" s="736" t="s">
        <v>324</v>
      </c>
      <c r="B40" s="1006" t="s">
        <v>326</v>
      </c>
      <c r="C40" s="1006" t="s">
        <v>327</v>
      </c>
      <c r="D40" s="1006" t="s">
        <v>328</v>
      </c>
      <c r="E40" s="1006" t="s">
        <v>1175</v>
      </c>
      <c r="F40" s="1006" t="s">
        <v>1176</v>
      </c>
      <c r="G40" s="1006" t="s">
        <v>329</v>
      </c>
      <c r="H40" s="1006" t="s">
        <v>330</v>
      </c>
      <c r="I40" s="1006" t="s">
        <v>2154</v>
      </c>
      <c r="J40" s="1006"/>
      <c r="K40" s="1006"/>
      <c r="L40" s="556"/>
      <c r="M40" s="901" t="s">
        <v>302</v>
      </c>
      <c r="N40" s="1453"/>
      <c r="O40" s="300"/>
      <c r="P40" s="300"/>
      <c r="Q40" s="11"/>
      <c r="R40" s="142"/>
      <c r="S40" s="501"/>
      <c r="T40" s="501"/>
      <c r="AH40" s="488">
        <v>34</v>
      </c>
      <c r="AI40" s="994" t="s">
        <v>396</v>
      </c>
      <c r="AJ40" s="513"/>
      <c r="AK40" s="282" t="s">
        <v>290</v>
      </c>
      <c r="AL40" s="768"/>
      <c r="AM40" s="768"/>
      <c r="AN40" s="768"/>
      <c r="AO40" s="768"/>
      <c r="AP40" s="785"/>
      <c r="AQ40" s="768" t="s">
        <v>328</v>
      </c>
      <c r="AR40" s="768" t="s">
        <v>6</v>
      </c>
      <c r="AS40" s="282" t="s">
        <v>828</v>
      </c>
      <c r="AT40" s="282" t="s">
        <v>828</v>
      </c>
      <c r="AU40" s="274"/>
      <c r="AV40" s="274"/>
      <c r="AW40" s="154"/>
    </row>
    <row r="41" spans="1:79" s="25" customFormat="1" ht="16.5" customHeight="1" thickBot="1">
      <c r="A41" s="736" t="s">
        <v>325</v>
      </c>
      <c r="B41" s="454">
        <f>COUNTIF($Q$51:$Q$2044,"1ج م ع1")</f>
        <v>1</v>
      </c>
      <c r="C41" s="454">
        <f>COUNTIF($Q$51:$Q$2044,"1ج م ع2")</f>
        <v>2</v>
      </c>
      <c r="D41" s="454">
        <f>COUNTIF($Q$51:$Q$2044,"1ج م ع3")</f>
        <v>6</v>
      </c>
      <c r="E41" s="454">
        <f>COUNTIF($Q$51:$Q$2044,"1ج م ع4")</f>
        <v>1</v>
      </c>
      <c r="F41" s="454">
        <f>COUNTIF($Q$51:$Q$2044,"1ج م ع5")</f>
        <v>0</v>
      </c>
      <c r="G41" s="454">
        <f>COUNTIF($Q$51:$Q$2044,"1ج م ا1")</f>
        <v>0</v>
      </c>
      <c r="H41" s="454">
        <f>COUNTIF($Q$51:$Q$2044,"1ج م ا2")</f>
        <v>0</v>
      </c>
      <c r="I41" s="454">
        <f>COUNTIF($Q$51:$Q$2044,"1ج م ا3")</f>
        <v>0</v>
      </c>
      <c r="J41" s="455"/>
      <c r="K41" s="455"/>
      <c r="L41" s="573"/>
      <c r="M41" s="735">
        <f>SUM(B41:L41)</f>
        <v>10</v>
      </c>
      <c r="N41" s="1454"/>
      <c r="O41" s="300"/>
      <c r="P41" s="300"/>
      <c r="Q41" s="10"/>
      <c r="R41" s="10"/>
      <c r="S41" s="246"/>
      <c r="T41" s="501"/>
      <c r="AH41" s="488">
        <v>35</v>
      </c>
      <c r="AI41" s="994" t="s">
        <v>291</v>
      </c>
      <c r="AJ41" s="513"/>
      <c r="AK41" s="282" t="s">
        <v>290</v>
      </c>
      <c r="AL41" s="771"/>
      <c r="AM41" s="282" t="s">
        <v>820</v>
      </c>
      <c r="AN41" s="768" t="s">
        <v>819</v>
      </c>
      <c r="AO41" s="768" t="s">
        <v>1248</v>
      </c>
      <c r="AP41" s="769"/>
      <c r="AQ41" s="768"/>
      <c r="AR41" s="768"/>
      <c r="AS41" s="768"/>
      <c r="AT41" s="281"/>
      <c r="AU41" s="274"/>
      <c r="AV41" s="274"/>
      <c r="AW41" s="154"/>
    </row>
    <row r="42" spans="1:79" s="25" customFormat="1" ht="16.5" customHeight="1" thickBot="1">
      <c r="A42" s="1425" t="s">
        <v>331</v>
      </c>
      <c r="B42" s="1425"/>
      <c r="C42" s="1425"/>
      <c r="D42" s="460"/>
      <c r="E42" s="460"/>
      <c r="F42" s="483"/>
      <c r="G42" s="484" t="s">
        <v>332</v>
      </c>
      <c r="H42" s="485"/>
      <c r="I42" s="367"/>
      <c r="J42" s="461"/>
      <c r="K42" s="461"/>
      <c r="L42" s="462" t="s">
        <v>333</v>
      </c>
      <c r="M42" s="367"/>
      <c r="N42" s="367"/>
      <c r="O42" s="12"/>
      <c r="P42" s="9"/>
      <c r="Q42" s="9"/>
      <c r="R42" s="311"/>
      <c r="S42" s="1009"/>
      <c r="T42" s="1009"/>
      <c r="U42" s="13"/>
      <c r="V42" s="13"/>
      <c r="W42" s="13"/>
      <c r="X42" s="13"/>
      <c r="Y42" s="13"/>
      <c r="AA42" s="13"/>
      <c r="AB42" s="13"/>
      <c r="AC42" s="13"/>
      <c r="AD42" s="13"/>
      <c r="AE42" s="13"/>
      <c r="AF42" s="13"/>
      <c r="AG42" s="13"/>
      <c r="AH42" s="488">
        <v>36</v>
      </c>
      <c r="AI42" s="995" t="s">
        <v>2094</v>
      </c>
      <c r="AJ42" s="513"/>
      <c r="AK42" s="282" t="s">
        <v>290</v>
      </c>
      <c r="AL42" s="768"/>
      <c r="AM42" s="768"/>
      <c r="AN42" s="768"/>
      <c r="AO42" s="768"/>
      <c r="AP42" s="785"/>
      <c r="AQ42" s="282"/>
      <c r="AR42" s="282"/>
      <c r="AS42" s="282" t="s">
        <v>1963</v>
      </c>
      <c r="AT42" s="318"/>
      <c r="AU42" s="318"/>
      <c r="AV42" s="318"/>
      <c r="AW42" s="319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</row>
    <row r="43" spans="1:79" s="25" customFormat="1" ht="19.5" customHeight="1" thickBot="1">
      <c r="A43" s="1028"/>
      <c r="B43" s="458"/>
      <c r="C43" s="458"/>
      <c r="D43" s="458"/>
      <c r="E43" s="459"/>
      <c r="F43" s="459"/>
      <c r="G43" s="459"/>
      <c r="H43" s="460"/>
      <c r="I43" s="367"/>
      <c r="J43" s="367"/>
      <c r="K43" s="367"/>
      <c r="L43" s="367"/>
      <c r="M43" s="21"/>
      <c r="N43" s="21"/>
      <c r="O43" s="8"/>
      <c r="P43" s="8"/>
      <c r="Q43" s="8"/>
      <c r="R43" s="311"/>
      <c r="S43" s="1009"/>
      <c r="T43" s="1009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488">
        <v>37</v>
      </c>
      <c r="AI43" s="995" t="s">
        <v>1958</v>
      </c>
      <c r="AJ43" s="287"/>
      <c r="AK43" s="282" t="s">
        <v>290</v>
      </c>
      <c r="AL43" s="282" t="s">
        <v>268</v>
      </c>
      <c r="AM43" s="282" t="s">
        <v>268</v>
      </c>
      <c r="AN43" s="282"/>
      <c r="AO43" s="282" t="s">
        <v>1962</v>
      </c>
      <c r="AP43" s="769"/>
      <c r="AQ43" s="768" t="s">
        <v>326</v>
      </c>
      <c r="AR43" s="768" t="s">
        <v>327</v>
      </c>
      <c r="AS43" s="768"/>
      <c r="AT43" s="318"/>
      <c r="AU43" s="318"/>
      <c r="AV43" s="318"/>
      <c r="AW43" s="319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</row>
    <row r="44" spans="1:79" s="25" customFormat="1" ht="16.5" customHeight="1" thickBot="1">
      <c r="A44" s="457"/>
      <c r="N44" s="367"/>
      <c r="O44" s="12"/>
      <c r="P44" s="12"/>
      <c r="Q44" s="11"/>
      <c r="R44" s="142"/>
      <c r="S44" s="501"/>
      <c r="T44" s="501"/>
      <c r="AH44" s="488">
        <v>38</v>
      </c>
      <c r="AI44" s="995" t="s">
        <v>1536</v>
      </c>
      <c r="AJ44" s="287"/>
      <c r="AK44" s="282" t="s">
        <v>290</v>
      </c>
      <c r="AL44" s="787"/>
      <c r="AM44" s="792"/>
      <c r="AN44" s="789"/>
      <c r="AO44" s="787"/>
      <c r="AP44" s="790"/>
      <c r="AQ44" s="783" t="s">
        <v>2212</v>
      </c>
      <c r="AR44" s="282" t="s">
        <v>500</v>
      </c>
      <c r="AS44" s="282"/>
      <c r="AT44" s="274"/>
      <c r="AU44" s="274"/>
      <c r="AV44" s="274"/>
      <c r="AW44" s="154"/>
    </row>
    <row r="45" spans="1:79" s="25" customFormat="1" ht="16.5" customHeight="1" thickBot="1">
      <c r="A45" s="462" t="s">
        <v>334</v>
      </c>
      <c r="B45" s="462"/>
      <c r="C45" s="462"/>
      <c r="D45" s="461"/>
      <c r="E45" s="460"/>
      <c r="F45" s="460"/>
      <c r="G45" s="461" t="s">
        <v>334</v>
      </c>
      <c r="H45" s="461"/>
      <c r="I45" s="367"/>
      <c r="J45" s="367"/>
      <c r="K45" s="21"/>
      <c r="L45" s="462" t="s">
        <v>334</v>
      </c>
      <c r="M45" s="21"/>
      <c r="N45" s="367"/>
      <c r="O45" s="12"/>
      <c r="P45" s="12"/>
      <c r="Q45" s="11"/>
      <c r="R45" s="142"/>
      <c r="S45" s="501"/>
      <c r="T45" s="501"/>
      <c r="AH45" s="488">
        <v>39</v>
      </c>
      <c r="AI45" s="994" t="s">
        <v>2217</v>
      </c>
      <c r="AJ45" s="287"/>
      <c r="AK45" s="282" t="s">
        <v>290</v>
      </c>
      <c r="AL45" s="768"/>
      <c r="AM45" s="316"/>
      <c r="AN45" s="316"/>
      <c r="AO45" s="316"/>
      <c r="AP45" s="769"/>
      <c r="AQ45" s="282"/>
      <c r="AR45" s="282"/>
      <c r="AS45" s="282"/>
      <c r="AT45" s="274"/>
      <c r="AU45" s="274"/>
      <c r="AV45" s="274"/>
      <c r="AW45" s="154"/>
    </row>
    <row r="46" spans="1:79" s="25" customFormat="1" ht="16.5" customHeight="1" thickBot="1">
      <c r="A46" s="457"/>
      <c r="N46" s="367"/>
      <c r="O46" s="12"/>
      <c r="P46" s="12"/>
      <c r="Q46" s="11"/>
      <c r="R46" s="142"/>
      <c r="S46" s="501"/>
      <c r="T46" s="501"/>
      <c r="AH46" s="488">
        <v>40</v>
      </c>
      <c r="AI46" s="994" t="s">
        <v>296</v>
      </c>
      <c r="AJ46" s="287"/>
      <c r="AK46" s="282" t="s">
        <v>1206</v>
      </c>
      <c r="AL46" s="768" t="s">
        <v>1505</v>
      </c>
      <c r="AM46" s="316"/>
      <c r="AN46" s="316" t="s">
        <v>1248</v>
      </c>
      <c r="AO46" s="316"/>
      <c r="AP46" s="769"/>
      <c r="AQ46" s="282" t="s">
        <v>1176</v>
      </c>
      <c r="AR46" s="282" t="s">
        <v>326</v>
      </c>
      <c r="AS46" s="282" t="s">
        <v>1504</v>
      </c>
      <c r="AT46" s="274"/>
      <c r="AU46" s="274"/>
      <c r="AV46" s="274"/>
      <c r="AW46" s="154"/>
    </row>
    <row r="47" spans="1:79" s="25" customFormat="1" ht="16.5" customHeight="1" thickBot="1">
      <c r="N47" s="457"/>
      <c r="O47" s="12"/>
      <c r="P47" s="12"/>
      <c r="Q47" s="11"/>
      <c r="R47" s="142"/>
      <c r="S47" s="501"/>
      <c r="T47" s="501"/>
      <c r="AH47" s="488">
        <v>41</v>
      </c>
      <c r="AI47" s="994" t="s">
        <v>1946</v>
      </c>
      <c r="AJ47" s="287"/>
      <c r="AK47" s="282" t="s">
        <v>1206</v>
      </c>
      <c r="AL47" s="768" t="s">
        <v>1963</v>
      </c>
      <c r="AM47" s="768" t="s">
        <v>500</v>
      </c>
      <c r="AN47" s="282"/>
      <c r="AO47" s="282"/>
      <c r="AP47" s="769"/>
      <c r="AQ47" s="282" t="s">
        <v>820</v>
      </c>
      <c r="AR47" s="282" t="s">
        <v>328</v>
      </c>
      <c r="AS47" s="282" t="s">
        <v>327</v>
      </c>
      <c r="AT47" s="282"/>
      <c r="AU47" s="282"/>
      <c r="AV47" s="274"/>
      <c r="AW47" s="24"/>
    </row>
    <row r="48" spans="1:79" s="25" customFormat="1" ht="16.5" customHeight="1" thickBot="1">
      <c r="N48" s="457"/>
      <c r="O48" s="12"/>
      <c r="P48" s="12"/>
      <c r="Q48" s="11"/>
      <c r="R48" s="142"/>
      <c r="S48" s="501"/>
      <c r="T48" s="501"/>
      <c r="AH48" s="488">
        <v>42</v>
      </c>
      <c r="AI48" s="994" t="s">
        <v>640</v>
      </c>
      <c r="AJ48" s="287"/>
      <c r="AK48" s="282" t="s">
        <v>1206</v>
      </c>
      <c r="AL48" s="768"/>
      <c r="AM48" s="768"/>
      <c r="AN48" s="282"/>
      <c r="AO48" s="282"/>
      <c r="AP48" s="769"/>
      <c r="AQ48" s="282"/>
      <c r="AR48" s="282"/>
      <c r="AS48" s="282"/>
      <c r="AT48" s="282"/>
      <c r="AU48" s="282"/>
      <c r="AV48" s="274"/>
      <c r="AW48" s="24"/>
    </row>
    <row r="49" spans="4:49" s="25" customFormat="1" ht="16.5" customHeight="1" thickBot="1">
      <c r="O49" s="11"/>
      <c r="P49" s="11"/>
      <c r="Q49" s="11"/>
      <c r="R49" s="142"/>
      <c r="S49" s="501"/>
      <c r="T49" s="501"/>
      <c r="V49" s="542"/>
      <c r="W49" s="542"/>
      <c r="AH49" s="488">
        <v>43</v>
      </c>
      <c r="AI49" s="994" t="s">
        <v>2219</v>
      </c>
      <c r="AJ49" s="287"/>
      <c r="AK49" s="282" t="s">
        <v>270</v>
      </c>
      <c r="AL49" s="768"/>
      <c r="AM49" s="768"/>
      <c r="AN49" s="282"/>
      <c r="AO49" s="282"/>
      <c r="AP49" s="769"/>
      <c r="AQ49" s="282"/>
      <c r="AR49" s="282"/>
      <c r="AS49" s="282"/>
      <c r="AT49" s="282"/>
      <c r="AU49" s="282"/>
      <c r="AV49" s="274"/>
      <c r="AW49" s="24"/>
    </row>
    <row r="50" spans="4:49" s="25" customFormat="1" ht="16.5" customHeight="1" thickBot="1">
      <c r="D50" s="295"/>
      <c r="E50" s="295"/>
      <c r="F50" s="295"/>
      <c r="G50" s="295"/>
      <c r="H50" s="295"/>
      <c r="AH50" s="488">
        <v>44</v>
      </c>
      <c r="AI50" s="994" t="s">
        <v>1537</v>
      </c>
      <c r="AJ50" s="285"/>
      <c r="AK50" s="282" t="s">
        <v>1206</v>
      </c>
      <c r="AL50" s="316"/>
      <c r="AM50" s="316"/>
      <c r="AN50" s="316"/>
      <c r="AO50" s="316"/>
      <c r="AP50" s="770"/>
      <c r="AQ50" s="316"/>
      <c r="AR50" s="316"/>
      <c r="AS50" s="316"/>
      <c r="AT50" s="24"/>
      <c r="AU50" s="24"/>
      <c r="AV50" s="24"/>
      <c r="AW50" s="13"/>
    </row>
    <row r="51" spans="4:49" s="25" customFormat="1" ht="16.5" customHeight="1" thickBot="1">
      <c r="D51" s="295"/>
      <c r="E51" s="295"/>
      <c r="F51" s="295"/>
      <c r="G51" s="295"/>
      <c r="H51" s="295"/>
      <c r="O51" s="1055" t="s">
        <v>335</v>
      </c>
      <c r="P51" s="1056"/>
      <c r="Q51" s="1478" t="s">
        <v>348</v>
      </c>
      <c r="R51" s="1478"/>
      <c r="S51" s="1478"/>
      <c r="T51" s="1479">
        <v>45784</v>
      </c>
      <c r="U51" s="1479"/>
      <c r="V51" s="1479"/>
      <c r="W51" s="304"/>
      <c r="X51" s="304"/>
      <c r="Y51" s="304"/>
      <c r="Z51" s="304"/>
      <c r="AA51" s="304"/>
      <c r="AH51" s="488">
        <v>45</v>
      </c>
      <c r="AI51" s="994" t="s">
        <v>1232</v>
      </c>
      <c r="AJ51" s="285"/>
      <c r="AK51" s="282" t="s">
        <v>1206</v>
      </c>
      <c r="AL51" s="316"/>
      <c r="AM51" s="316"/>
      <c r="AN51" s="316"/>
      <c r="AO51" s="316"/>
      <c r="AP51" s="770"/>
      <c r="AQ51" s="282" t="s">
        <v>268</v>
      </c>
      <c r="AR51" s="24" t="s">
        <v>1529</v>
      </c>
      <c r="AS51" s="24" t="s">
        <v>1529</v>
      </c>
      <c r="AT51" s="24" t="s">
        <v>1962</v>
      </c>
      <c r="AU51" s="24"/>
      <c r="AV51" s="24"/>
      <c r="AW51" s="13"/>
    </row>
    <row r="52" spans="4:49" s="25" customFormat="1" ht="16.5" customHeight="1" thickBot="1">
      <c r="D52" s="295"/>
      <c r="E52" s="295"/>
      <c r="F52" s="295"/>
      <c r="G52" s="295"/>
      <c r="H52" s="295"/>
      <c r="L52" s="1019" t="s">
        <v>339</v>
      </c>
      <c r="M52" s="1019"/>
      <c r="N52" s="1019" t="s">
        <v>1564</v>
      </c>
      <c r="O52" s="1444" t="s">
        <v>258</v>
      </c>
      <c r="P52" s="1444" t="s">
        <v>336</v>
      </c>
      <c r="Q52" s="1444" t="s">
        <v>5</v>
      </c>
      <c r="R52" s="1444" t="s">
        <v>7</v>
      </c>
      <c r="S52" s="566"/>
      <c r="T52" s="1444" t="s">
        <v>634</v>
      </c>
      <c r="U52" s="1446" t="s">
        <v>356</v>
      </c>
      <c r="V52" s="1444" t="s">
        <v>635</v>
      </c>
      <c r="W52" s="1444" t="s">
        <v>636</v>
      </c>
      <c r="X52" s="1444" t="s">
        <v>337</v>
      </c>
      <c r="Y52" s="1444" t="s">
        <v>338</v>
      </c>
      <c r="Z52" s="1444" t="s">
        <v>339</v>
      </c>
      <c r="AA52" s="1444" t="s">
        <v>2211</v>
      </c>
      <c r="AH52" s="488">
        <v>46</v>
      </c>
      <c r="AI52" s="994" t="s">
        <v>1502</v>
      </c>
      <c r="AJ52" s="285"/>
      <c r="AK52" s="282" t="s">
        <v>1959</v>
      </c>
      <c r="AL52" s="24"/>
      <c r="AM52" s="24"/>
      <c r="AN52" s="24"/>
      <c r="AO52" s="24"/>
      <c r="AP52" s="770"/>
      <c r="AQ52" s="24"/>
      <c r="AR52" s="24"/>
      <c r="AS52" s="24" t="s">
        <v>1173</v>
      </c>
      <c r="AT52" s="24"/>
      <c r="AU52" s="24"/>
      <c r="AV52" s="24"/>
      <c r="AW52" s="13"/>
    </row>
    <row r="53" spans="4:49" s="25" customFormat="1" ht="16.5" customHeight="1" thickBot="1">
      <c r="D53" s="295"/>
      <c r="E53" s="295"/>
      <c r="F53" s="295"/>
      <c r="G53" s="295"/>
      <c r="H53" s="295"/>
      <c r="L53" s="1019"/>
      <c r="M53" s="1019"/>
      <c r="N53" s="1019"/>
      <c r="O53" s="1445"/>
      <c r="P53" s="1445"/>
      <c r="Q53" s="1445"/>
      <c r="R53" s="1445"/>
      <c r="S53" s="567"/>
      <c r="T53" s="1445"/>
      <c r="U53" s="1447"/>
      <c r="V53" s="1445"/>
      <c r="W53" s="1445"/>
      <c r="X53" s="1445"/>
      <c r="Y53" s="1445"/>
      <c r="Z53" s="1445"/>
      <c r="AA53" s="1445"/>
      <c r="AH53" s="488">
        <v>47</v>
      </c>
      <c r="AI53" s="994" t="s">
        <v>2097</v>
      </c>
      <c r="AJ53" s="285"/>
      <c r="AK53" s="849" t="s">
        <v>1959</v>
      </c>
      <c r="AL53" s="316"/>
      <c r="AM53" s="316"/>
      <c r="AN53" s="316"/>
      <c r="AO53" s="316"/>
      <c r="AP53" s="770"/>
      <c r="AQ53" s="316"/>
      <c r="AR53" s="316"/>
      <c r="AS53" s="316"/>
      <c r="AT53" s="316"/>
      <c r="AU53" s="316"/>
      <c r="AV53" s="316"/>
      <c r="AW53" s="13"/>
    </row>
    <row r="54" spans="4:49" s="25" customFormat="1" ht="15" customHeight="1" thickBot="1">
      <c r="D54" s="295"/>
      <c r="E54" s="295"/>
      <c r="F54" s="295"/>
      <c r="G54" s="295"/>
      <c r="H54" s="295"/>
      <c r="L54" s="777">
        <v>5</v>
      </c>
      <c r="M54" s="778"/>
      <c r="N54" s="976">
        <v>1</v>
      </c>
      <c r="O54" s="1020">
        <v>1</v>
      </c>
      <c r="P54" s="847">
        <f>VLOOKUP(N54,etat!$A$9:$N$1004,2,FALSE)</f>
        <v>0</v>
      </c>
      <c r="Q54" s="797" t="str">
        <f>VLOOKUP(N54,etat!$A$9:$N$963,7,FALSE)</f>
        <v xml:space="preserve"> 3ت ر كه </v>
      </c>
      <c r="R54" s="797" t="str">
        <f>VLOOKUP(N54,etat!$A$9:$N$1003,9,FALSE)</f>
        <v>ن/د</v>
      </c>
      <c r="S54" s="866" t="str">
        <f>VLOOKUP(N54,etat!$A$9:$P$905,16,FALSE)</f>
        <v>ان/د3</v>
      </c>
      <c r="T54" s="755">
        <v>45782</v>
      </c>
      <c r="U54" s="791">
        <v>3</v>
      </c>
      <c r="V54" s="784" t="s">
        <v>2287</v>
      </c>
      <c r="W54" s="784"/>
      <c r="X54" s="784"/>
      <c r="Y54" s="1116"/>
      <c r="Z54" s="975"/>
      <c r="AA54" s="967">
        <v>8</v>
      </c>
      <c r="AH54" s="488">
        <v>48</v>
      </c>
      <c r="AI54" s="1002" t="s">
        <v>1947</v>
      </c>
      <c r="AJ54" s="285"/>
      <c r="AK54" s="849" t="s">
        <v>1960</v>
      </c>
      <c r="AL54" s="316"/>
      <c r="AM54" s="316"/>
      <c r="AN54" s="316"/>
      <c r="AO54" s="316"/>
      <c r="AP54" s="770"/>
      <c r="AQ54" s="316"/>
      <c r="AR54" s="316"/>
      <c r="AS54" s="316"/>
      <c r="AT54" s="316"/>
      <c r="AU54" s="316"/>
      <c r="AV54" s="316"/>
      <c r="AW54" s="13"/>
    </row>
    <row r="55" spans="4:49" s="25" customFormat="1" ht="15" customHeight="1" thickBot="1">
      <c r="D55" s="295"/>
      <c r="E55" s="295"/>
      <c r="F55" s="295"/>
      <c r="G55" s="295"/>
      <c r="H55" s="295"/>
      <c r="L55" s="970">
        <v>5</v>
      </c>
      <c r="M55" s="778"/>
      <c r="N55" s="976">
        <v>2</v>
      </c>
      <c r="O55" s="1020">
        <v>2</v>
      </c>
      <c r="P55" s="847">
        <f>VLOOKUP(N55,etat!$A$9:$N$1004,2,FALSE)</f>
        <v>0</v>
      </c>
      <c r="Q55" s="797" t="str">
        <f>VLOOKUP(N55,etat!$A$9:$N$963,7,FALSE)</f>
        <v xml:space="preserve"> 3ت ر كه </v>
      </c>
      <c r="R55" s="797" t="str">
        <f>VLOOKUP(N55,etat!$A$9:$N$1003,9,FALSE)</f>
        <v>خ</v>
      </c>
      <c r="S55" s="866" t="str">
        <f>VLOOKUP(N55,etat!$A$9:$P$905,16,FALSE)</f>
        <v>اخ3</v>
      </c>
      <c r="T55" s="755">
        <v>45782</v>
      </c>
      <c r="U55" s="791">
        <v>3</v>
      </c>
      <c r="V55" s="784" t="s">
        <v>2287</v>
      </c>
      <c r="W55" s="784"/>
      <c r="X55" s="784"/>
      <c r="Y55" s="975"/>
      <c r="Z55" s="975"/>
      <c r="AA55" s="967">
        <v>8</v>
      </c>
      <c r="AH55" s="488">
        <v>49</v>
      </c>
      <c r="AI55" s="1002" t="s">
        <v>1236</v>
      </c>
      <c r="AJ55" s="285"/>
      <c r="AK55" s="849" t="s">
        <v>1238</v>
      </c>
      <c r="AL55" s="316"/>
      <c r="AM55" s="316"/>
      <c r="AN55" s="316" t="s">
        <v>1529</v>
      </c>
      <c r="AO55" s="316" t="s">
        <v>1529</v>
      </c>
      <c r="AP55" s="770"/>
      <c r="AQ55" s="316"/>
      <c r="AR55" s="316"/>
      <c r="AS55" s="316"/>
      <c r="AT55" s="316"/>
      <c r="AU55" s="316"/>
      <c r="AV55" s="316"/>
      <c r="AW55" s="13"/>
    </row>
    <row r="56" spans="4:49" s="25" customFormat="1" ht="15" customHeight="1" thickBot="1">
      <c r="D56" s="295"/>
      <c r="E56" s="295"/>
      <c r="F56" s="295"/>
      <c r="G56" s="295"/>
      <c r="H56" s="295"/>
      <c r="L56" s="970">
        <v>5</v>
      </c>
      <c r="M56" s="778"/>
      <c r="N56" s="976">
        <v>3</v>
      </c>
      <c r="O56" s="1020">
        <v>3</v>
      </c>
      <c r="P56" s="847">
        <f>VLOOKUP(N56,etat!$A$9:$N$1004,2,FALSE)</f>
        <v>0</v>
      </c>
      <c r="Q56" s="797" t="str">
        <f>VLOOKUP(N56,etat!$A$9:$N$963,7,FALSE)</f>
        <v xml:space="preserve"> 3ت ر كه </v>
      </c>
      <c r="R56" s="797" t="str">
        <f>VLOOKUP(N56,etat!$A$9:$N$1003,9,FALSE)</f>
        <v>خ</v>
      </c>
      <c r="S56" s="866" t="str">
        <f>VLOOKUP(N56,etat!$A$9:$P$905,16,FALSE)</f>
        <v>اخ3</v>
      </c>
      <c r="T56" s="755">
        <v>45782</v>
      </c>
      <c r="U56" s="791">
        <v>3</v>
      </c>
      <c r="V56" s="784" t="s">
        <v>2287</v>
      </c>
      <c r="W56" s="784"/>
      <c r="X56" s="784"/>
      <c r="Y56" s="975"/>
      <c r="Z56" s="975"/>
      <c r="AA56" s="967">
        <v>8</v>
      </c>
      <c r="AH56" s="488">
        <v>50</v>
      </c>
      <c r="AI56" s="1002" t="s">
        <v>2218</v>
      </c>
      <c r="AJ56" s="285"/>
      <c r="AK56" s="849" t="s">
        <v>1961</v>
      </c>
      <c r="AL56" s="24" t="s">
        <v>6</v>
      </c>
      <c r="AM56" s="24" t="s">
        <v>6</v>
      </c>
      <c r="AN56" s="24" t="s">
        <v>500</v>
      </c>
      <c r="AO56" s="24" t="s">
        <v>500</v>
      </c>
      <c r="AP56" s="770"/>
      <c r="AQ56" s="316"/>
      <c r="AR56" s="316"/>
      <c r="AS56" s="316"/>
      <c r="AT56" s="316"/>
      <c r="AU56" s="316"/>
      <c r="AV56" s="316"/>
      <c r="AW56" s="13"/>
    </row>
    <row r="57" spans="4:49" s="25" customFormat="1" ht="15" customHeight="1" thickBot="1">
      <c r="D57" s="295"/>
      <c r="E57" s="295"/>
      <c r="F57" s="295"/>
      <c r="G57" s="295"/>
      <c r="H57" s="295"/>
      <c r="L57" s="970">
        <v>5</v>
      </c>
      <c r="M57" s="778"/>
      <c r="N57" s="976">
        <v>4</v>
      </c>
      <c r="O57" s="1020">
        <v>4</v>
      </c>
      <c r="P57" s="847">
        <f>VLOOKUP(N57,etat!$A$9:$N$1004,2,FALSE)</f>
        <v>0</v>
      </c>
      <c r="Q57" s="797" t="str">
        <f>VLOOKUP(N57,etat!$A$9:$N$963,7,FALSE)</f>
        <v xml:space="preserve"> 3ت ر كه </v>
      </c>
      <c r="R57" s="797" t="str">
        <f>VLOOKUP(N57,etat!$A$9:$N$1003,9,FALSE)</f>
        <v>خ</v>
      </c>
      <c r="S57" s="866" t="str">
        <f>VLOOKUP(N57,etat!$A$9:$P$905,16,FALSE)</f>
        <v>اخ3</v>
      </c>
      <c r="T57" s="755">
        <v>45781</v>
      </c>
      <c r="U57" s="791">
        <v>4</v>
      </c>
      <c r="V57" s="784" t="s">
        <v>2285</v>
      </c>
      <c r="W57" s="784"/>
      <c r="X57" s="784"/>
      <c r="Y57" s="975"/>
      <c r="Z57" s="967"/>
      <c r="AA57" s="967">
        <v>8</v>
      </c>
      <c r="AH57" s="488">
        <v>51</v>
      </c>
      <c r="AI57" s="1003" t="s">
        <v>1237</v>
      </c>
      <c r="AJ57" s="285"/>
      <c r="AK57" s="849" t="s">
        <v>1238</v>
      </c>
      <c r="AL57" s="316" t="s">
        <v>1248</v>
      </c>
      <c r="AM57" s="316" t="s">
        <v>1248</v>
      </c>
      <c r="AN57" s="316"/>
      <c r="AO57" s="316" t="s">
        <v>328</v>
      </c>
      <c r="AP57" s="770"/>
      <c r="AQ57" s="316"/>
      <c r="AR57" s="316"/>
      <c r="AS57" s="316"/>
      <c r="AT57" s="316"/>
      <c r="AU57" s="316"/>
      <c r="AV57" s="316"/>
      <c r="AW57" s="13"/>
    </row>
    <row r="58" spans="4:49" s="25" customFormat="1" ht="15" customHeight="1" thickBot="1">
      <c r="D58" s="295"/>
      <c r="E58" s="295"/>
      <c r="F58" s="295"/>
      <c r="G58" s="295"/>
      <c r="H58" s="295"/>
      <c r="L58" s="970">
        <v>5</v>
      </c>
      <c r="M58" s="778"/>
      <c r="N58" s="976">
        <v>5</v>
      </c>
      <c r="O58" s="1020">
        <v>5</v>
      </c>
      <c r="P58" s="847">
        <f>VLOOKUP(N58,etat!$A$9:$N$1004,2,FALSE)</f>
        <v>0</v>
      </c>
      <c r="Q58" s="797" t="str">
        <f>VLOOKUP(N58,etat!$A$9:$N$963,7,FALSE)</f>
        <v xml:space="preserve"> 3ت ر كه </v>
      </c>
      <c r="R58" s="797" t="str">
        <f>VLOOKUP(N58,etat!$A$9:$N$1003,9,FALSE)</f>
        <v>خ</v>
      </c>
      <c r="S58" s="866" t="str">
        <f>VLOOKUP(N58,etat!$A$9:$P$905,16,FALSE)</f>
        <v>ذخ3</v>
      </c>
      <c r="T58" s="755">
        <v>45782</v>
      </c>
      <c r="U58" s="791">
        <v>3</v>
      </c>
      <c r="V58" s="784" t="s">
        <v>2287</v>
      </c>
      <c r="W58" s="784"/>
      <c r="X58" s="784"/>
      <c r="Y58" s="975"/>
      <c r="Z58" s="975"/>
      <c r="AA58" s="967">
        <v>8</v>
      </c>
      <c r="AH58" s="488">
        <v>52</v>
      </c>
      <c r="AI58" s="1003" t="s">
        <v>1239</v>
      </c>
      <c r="AJ58" s="285"/>
      <c r="AK58" s="849" t="s">
        <v>387</v>
      </c>
      <c r="AL58" s="316"/>
      <c r="AM58" s="316"/>
      <c r="AN58" s="316" t="s">
        <v>326</v>
      </c>
      <c r="AO58" s="316" t="s">
        <v>326</v>
      </c>
      <c r="AP58" s="770"/>
      <c r="AQ58" s="316"/>
      <c r="AR58" s="316"/>
      <c r="AS58" s="316"/>
      <c r="AT58" s="316"/>
      <c r="AU58" s="316"/>
      <c r="AV58" s="316"/>
      <c r="AW58" s="24"/>
    </row>
    <row r="59" spans="4:49" s="25" customFormat="1" ht="15" customHeight="1" thickBot="1">
      <c r="D59" s="295"/>
      <c r="E59" s="295"/>
      <c r="F59" s="295"/>
      <c r="G59" s="295"/>
      <c r="H59" s="295"/>
      <c r="L59" s="970">
        <v>5</v>
      </c>
      <c r="M59" s="778"/>
      <c r="N59" s="976">
        <v>6</v>
      </c>
      <c r="O59" s="1020">
        <v>6</v>
      </c>
      <c r="P59" s="847">
        <f>VLOOKUP(N59,etat!$A$9:$N$1004,2,FALSE)</f>
        <v>0</v>
      </c>
      <c r="Q59" s="797" t="str">
        <f>VLOOKUP(N59,etat!$A$9:$N$963,7,FALSE)</f>
        <v xml:space="preserve"> 3ت ر كه </v>
      </c>
      <c r="R59" s="797" t="str">
        <f>VLOOKUP(N59,etat!$A$9:$N$1003,9,FALSE)</f>
        <v>خ</v>
      </c>
      <c r="S59" s="866" t="str">
        <f>VLOOKUP(N59,etat!$A$9:$P$905,16,FALSE)</f>
        <v>ذخ3</v>
      </c>
      <c r="T59" s="755">
        <v>45781</v>
      </c>
      <c r="U59" s="791">
        <v>4</v>
      </c>
      <c r="V59" s="784" t="s">
        <v>2285</v>
      </c>
      <c r="W59" s="784"/>
      <c r="X59" s="784"/>
      <c r="Y59" s="1117"/>
      <c r="Z59" s="967"/>
      <c r="AA59" s="967">
        <v>8</v>
      </c>
      <c r="AH59" s="488">
        <v>53</v>
      </c>
      <c r="AI59" s="1003" t="s">
        <v>314</v>
      </c>
      <c r="AJ59" s="285"/>
      <c r="AK59" s="849" t="s">
        <v>387</v>
      </c>
      <c r="AL59" s="316"/>
      <c r="AM59" s="316"/>
      <c r="AN59" s="316"/>
      <c r="AO59" s="316"/>
      <c r="AP59" s="770"/>
      <c r="AQ59" s="316" t="s">
        <v>1530</v>
      </c>
      <c r="AR59" s="316" t="s">
        <v>1530</v>
      </c>
      <c r="AS59" s="316" t="s">
        <v>328</v>
      </c>
      <c r="AT59" s="316" t="s">
        <v>328</v>
      </c>
      <c r="AU59" s="316"/>
      <c r="AV59" s="316"/>
      <c r="AW59" s="24"/>
    </row>
    <row r="60" spans="4:49" s="25" customFormat="1" ht="15" customHeight="1" thickBot="1">
      <c r="D60" s="295"/>
      <c r="E60" s="295"/>
      <c r="F60" s="295"/>
      <c r="G60" s="295"/>
      <c r="H60" s="295"/>
      <c r="L60" s="970">
        <v>5</v>
      </c>
      <c r="M60" s="778"/>
      <c r="N60" s="976">
        <v>8</v>
      </c>
      <c r="O60" s="1020">
        <v>7</v>
      </c>
      <c r="P60" s="847">
        <f>VLOOKUP(N60,etat!$A$9:$N$1004,2,FALSE)</f>
        <v>0</v>
      </c>
      <c r="Q60" s="797" t="str">
        <f>VLOOKUP(N60,etat!$A$9:$N$963,7,FALSE)</f>
        <v xml:space="preserve"> 3ت ر كه </v>
      </c>
      <c r="R60" s="797" t="str">
        <f>VLOOKUP(N60,etat!$A$9:$N$1003,9,FALSE)</f>
        <v>خ</v>
      </c>
      <c r="S60" s="866" t="str">
        <f>VLOOKUP(N60,etat!$A$9:$P$905,16,FALSE)</f>
        <v>ذخ3</v>
      </c>
      <c r="T60" s="755">
        <v>45782</v>
      </c>
      <c r="U60" s="791">
        <v>3</v>
      </c>
      <c r="V60" s="784" t="s">
        <v>2287</v>
      </c>
      <c r="W60" s="784"/>
      <c r="X60" s="784"/>
      <c r="Y60" s="975"/>
      <c r="Z60" s="967"/>
      <c r="AA60" s="967">
        <v>8</v>
      </c>
      <c r="AH60" s="488">
        <v>54</v>
      </c>
      <c r="AI60" s="1003" t="s">
        <v>1240</v>
      </c>
      <c r="AJ60" s="285"/>
      <c r="AK60" s="849" t="s">
        <v>387</v>
      </c>
      <c r="AL60" s="316"/>
      <c r="AM60" s="316"/>
      <c r="AN60" s="316"/>
      <c r="AO60" s="316"/>
      <c r="AP60" s="770"/>
      <c r="AQ60" s="316" t="s">
        <v>824</v>
      </c>
      <c r="AR60" s="316" t="s">
        <v>824</v>
      </c>
      <c r="AS60" s="316" t="s">
        <v>819</v>
      </c>
      <c r="AT60" s="316" t="s">
        <v>819</v>
      </c>
      <c r="AU60" s="316"/>
      <c r="AV60" s="316"/>
    </row>
    <row r="61" spans="4:49" s="25" customFormat="1" ht="15" customHeight="1" thickBot="1">
      <c r="D61" s="295"/>
      <c r="E61" s="295"/>
      <c r="F61" s="295"/>
      <c r="G61" s="295"/>
      <c r="H61" s="295"/>
      <c r="L61" s="970">
        <v>5</v>
      </c>
      <c r="M61" s="778"/>
      <c r="N61" s="976">
        <v>9</v>
      </c>
      <c r="O61" s="1020">
        <v>8</v>
      </c>
      <c r="P61" s="847">
        <f>VLOOKUP(N61,etat!$A$9:$N$1004,2,FALSE)</f>
        <v>0</v>
      </c>
      <c r="Q61" s="797" t="str">
        <f>VLOOKUP(N61,etat!$A$9:$N$963,7,FALSE)</f>
        <v xml:space="preserve"> 3ت ر كه </v>
      </c>
      <c r="R61" s="797" t="str">
        <f>VLOOKUP(N61,etat!$A$9:$N$1003,9,FALSE)</f>
        <v>خ</v>
      </c>
      <c r="S61" s="866" t="str">
        <f>VLOOKUP(N61,etat!$A$9:$P$905,16,FALSE)</f>
        <v>ذخ3</v>
      </c>
      <c r="T61" s="755">
        <v>45781</v>
      </c>
      <c r="U61" s="791">
        <v>4</v>
      </c>
      <c r="V61" s="784" t="s">
        <v>2285</v>
      </c>
      <c r="W61" s="784"/>
      <c r="X61" s="784"/>
      <c r="Y61" s="975"/>
      <c r="Z61" s="975"/>
      <c r="AA61" s="967">
        <v>8</v>
      </c>
      <c r="AH61" s="488">
        <v>55</v>
      </c>
      <c r="AI61" s="1003"/>
      <c r="AJ61" s="285"/>
      <c r="AK61" s="849"/>
      <c r="AL61" s="316"/>
      <c r="AM61" s="316"/>
      <c r="AN61" s="316"/>
      <c r="AO61" s="316"/>
      <c r="AP61" s="770"/>
      <c r="AQ61" s="316"/>
      <c r="AR61" s="316"/>
      <c r="AS61" s="316"/>
      <c r="AT61" s="316"/>
      <c r="AU61" s="316"/>
      <c r="AV61" s="316"/>
    </row>
    <row r="62" spans="4:49" s="25" customFormat="1" ht="15" customHeight="1" thickBot="1">
      <c r="D62" s="295"/>
      <c r="E62" s="295"/>
      <c r="F62" s="295"/>
      <c r="G62" s="295"/>
      <c r="H62" s="295"/>
      <c r="L62" s="777">
        <v>5</v>
      </c>
      <c r="M62" s="778"/>
      <c r="N62" s="976">
        <v>10</v>
      </c>
      <c r="O62" s="1020">
        <v>9</v>
      </c>
      <c r="P62" s="847">
        <f>VLOOKUP(N62,etat!$A$9:$N$1004,2,FALSE)</f>
        <v>0</v>
      </c>
      <c r="Q62" s="797" t="str">
        <f>VLOOKUP(N62,etat!$A$9:$N$963,7,FALSE)</f>
        <v xml:space="preserve"> 3ت ر كه </v>
      </c>
      <c r="R62" s="797" t="str">
        <f>VLOOKUP(N62,etat!$A$9:$N$1003,9,FALSE)</f>
        <v>خ</v>
      </c>
      <c r="S62" s="866" t="str">
        <f>VLOOKUP(N62,etat!$A$9:$P$905,16,FALSE)</f>
        <v>ذخ3</v>
      </c>
      <c r="T62" s="755">
        <v>45782</v>
      </c>
      <c r="U62" s="791">
        <v>3</v>
      </c>
      <c r="V62" s="784" t="s">
        <v>2287</v>
      </c>
      <c r="W62" s="784"/>
      <c r="X62" s="784"/>
      <c r="Y62" s="975"/>
      <c r="Z62" s="967"/>
      <c r="AA62" s="967">
        <v>8</v>
      </c>
      <c r="AH62" s="488">
        <v>57</v>
      </c>
      <c r="AI62" s="962" t="s">
        <v>497</v>
      </c>
      <c r="AJ62" s="285"/>
      <c r="AK62" s="849"/>
      <c r="AL62" s="316"/>
      <c r="AM62" s="316"/>
      <c r="AN62" s="316"/>
      <c r="AO62" s="316"/>
      <c r="AP62" s="770"/>
      <c r="AQ62" s="316"/>
      <c r="AR62" s="316"/>
      <c r="AS62" s="316"/>
      <c r="AT62" s="316"/>
      <c r="AU62" s="316"/>
      <c r="AV62" s="316"/>
    </row>
    <row r="63" spans="4:49" s="25" customFormat="1" ht="15" customHeight="1" thickBot="1">
      <c r="D63" s="295"/>
      <c r="E63" s="295"/>
      <c r="F63" s="295"/>
      <c r="G63" s="295"/>
      <c r="H63" s="295"/>
      <c r="L63" s="777">
        <v>5</v>
      </c>
      <c r="M63" s="778"/>
      <c r="N63" s="976">
        <v>11</v>
      </c>
      <c r="O63" s="1020">
        <v>10</v>
      </c>
      <c r="P63" s="847">
        <f>VLOOKUP(N63,etat!$A$9:$N$1004,2,FALSE)</f>
        <v>0</v>
      </c>
      <c r="Q63" s="797" t="str">
        <f>VLOOKUP(N63,etat!$A$9:$N$963,7,FALSE)</f>
        <v xml:space="preserve"> 3ت ر كه </v>
      </c>
      <c r="R63" s="797" t="str">
        <f>VLOOKUP(N63,etat!$A$9:$N$1003,9,FALSE)</f>
        <v>خ</v>
      </c>
      <c r="S63" s="866" t="str">
        <f>VLOOKUP(N63,etat!$A$9:$P$905,16,FALSE)</f>
        <v>اخ3</v>
      </c>
      <c r="T63" s="755">
        <v>45781</v>
      </c>
      <c r="U63" s="791">
        <v>4</v>
      </c>
      <c r="V63" s="784" t="s">
        <v>2285</v>
      </c>
      <c r="W63" s="784"/>
      <c r="X63" s="784"/>
      <c r="Y63" s="975"/>
      <c r="Z63" s="967"/>
      <c r="AA63" s="967">
        <v>8</v>
      </c>
      <c r="AD63" s="304"/>
      <c r="AH63" s="488">
        <v>58</v>
      </c>
      <c r="AI63" s="962" t="s">
        <v>497</v>
      </c>
      <c r="AJ63" s="285"/>
      <c r="AK63" s="316"/>
      <c r="AL63" s="316"/>
      <c r="AM63" s="316"/>
      <c r="AN63" s="316"/>
      <c r="AO63" s="316"/>
      <c r="AP63" s="770"/>
      <c r="AQ63" s="316"/>
      <c r="AR63" s="316"/>
      <c r="AS63" s="316"/>
      <c r="AT63" s="316"/>
      <c r="AU63" s="316"/>
      <c r="AV63" s="316"/>
    </row>
    <row r="64" spans="4:49" s="25" customFormat="1" ht="15" customHeight="1" thickBot="1">
      <c r="D64" s="295"/>
      <c r="E64" s="295"/>
      <c r="F64" s="295"/>
      <c r="G64" s="295"/>
      <c r="H64" s="295"/>
      <c r="L64" s="777">
        <v>5</v>
      </c>
      <c r="M64" s="778"/>
      <c r="N64" s="976">
        <v>12</v>
      </c>
      <c r="O64" s="1020">
        <v>11</v>
      </c>
      <c r="P64" s="847">
        <f>VLOOKUP(N64,etat!$A$9:$N$1004,2,FALSE)</f>
        <v>0</v>
      </c>
      <c r="Q64" s="797" t="str">
        <f>VLOOKUP(N64,etat!$A$9:$N$963,7,FALSE)</f>
        <v xml:space="preserve"> 3ت ر كه </v>
      </c>
      <c r="R64" s="797" t="str">
        <f>VLOOKUP(N64,etat!$A$9:$N$1003,9,FALSE)</f>
        <v>خ</v>
      </c>
      <c r="S64" s="866" t="str">
        <f>VLOOKUP(N64,etat!$A$9:$P$905,16,FALSE)</f>
        <v>اخ3</v>
      </c>
      <c r="T64" s="755">
        <v>45781</v>
      </c>
      <c r="U64" s="791">
        <v>4</v>
      </c>
      <c r="V64" s="784" t="s">
        <v>2285</v>
      </c>
      <c r="W64" s="784"/>
      <c r="X64" s="784"/>
      <c r="Y64" s="975"/>
      <c r="Z64" s="975"/>
      <c r="AA64" s="967">
        <v>8</v>
      </c>
      <c r="AH64" s="488"/>
      <c r="AI64" s="962" t="s">
        <v>497</v>
      </c>
      <c r="AJ64" s="285"/>
      <c r="AK64" s="316"/>
      <c r="AL64" s="316"/>
      <c r="AM64" s="316"/>
      <c r="AN64" s="316"/>
      <c r="AO64" s="316"/>
      <c r="AP64" s="770"/>
      <c r="AQ64" s="316"/>
      <c r="AR64" s="316"/>
      <c r="AS64" s="316"/>
      <c r="AT64" s="316"/>
      <c r="AU64" s="316"/>
      <c r="AV64" s="316"/>
    </row>
    <row r="65" spans="4:48" s="25" customFormat="1" ht="15" customHeight="1" thickBot="1">
      <c r="D65" s="295"/>
      <c r="E65" s="295"/>
      <c r="F65" s="295"/>
      <c r="G65" s="295"/>
      <c r="H65" s="295"/>
      <c r="L65" s="777">
        <v>5</v>
      </c>
      <c r="M65" s="778"/>
      <c r="N65" s="976">
        <v>13</v>
      </c>
      <c r="O65" s="1020">
        <v>12</v>
      </c>
      <c r="P65" s="847">
        <f>VLOOKUP(N65,etat!$A$9:$N$1004,2,FALSE)</f>
        <v>0</v>
      </c>
      <c r="Q65" s="797" t="str">
        <f>VLOOKUP(N65,etat!$A$9:$N$963,7,FALSE)</f>
        <v xml:space="preserve"> 3ت ر مك </v>
      </c>
      <c r="R65" s="797" t="str">
        <f>VLOOKUP(N65,etat!$A$9:$N$1003,9,FALSE)</f>
        <v>ن/د</v>
      </c>
      <c r="S65" s="866" t="str">
        <f>VLOOKUP(N65,etat!$A$9:$P$905,16,FALSE)</f>
        <v>ذن/د3</v>
      </c>
      <c r="T65" s="755">
        <v>45769</v>
      </c>
      <c r="U65" s="791">
        <v>16</v>
      </c>
      <c r="V65" s="784" t="s">
        <v>2278</v>
      </c>
      <c r="W65" s="784" t="s">
        <v>2283</v>
      </c>
      <c r="X65" s="784"/>
      <c r="Y65" s="975"/>
      <c r="Z65" s="967"/>
      <c r="AA65" s="967">
        <v>8</v>
      </c>
      <c r="AH65" s="488"/>
      <c r="AI65" s="962" t="s">
        <v>497</v>
      </c>
      <c r="AJ65" s="285"/>
      <c r="AK65" s="282"/>
      <c r="AL65" s="316"/>
      <c r="AM65" s="316"/>
      <c r="AN65" s="316"/>
      <c r="AO65" s="316"/>
      <c r="AP65" s="770"/>
      <c r="AQ65" s="316"/>
      <c r="AR65" s="316"/>
      <c r="AS65" s="316"/>
      <c r="AT65" s="24"/>
      <c r="AU65" s="24"/>
      <c r="AV65" s="24"/>
    </row>
    <row r="66" spans="4:48" s="25" customFormat="1" ht="15" customHeight="1" thickBot="1">
      <c r="D66" s="295"/>
      <c r="E66" s="295"/>
      <c r="F66" s="295"/>
      <c r="G66" s="295"/>
      <c r="H66" s="295"/>
      <c r="L66" s="777">
        <v>5</v>
      </c>
      <c r="M66" s="778"/>
      <c r="N66" s="976">
        <v>14</v>
      </c>
      <c r="O66" s="1020">
        <v>13</v>
      </c>
      <c r="P66" s="847">
        <f>VLOOKUP(N66,etat!$A$9:$N$1004,2,FALSE)</f>
        <v>0</v>
      </c>
      <c r="Q66" s="797" t="str">
        <f>VLOOKUP(N66,etat!$A$9:$N$963,7,FALSE)</f>
        <v xml:space="preserve"> 3ت ر مك </v>
      </c>
      <c r="R66" s="797" t="str">
        <f>VLOOKUP(N66,etat!$A$9:$N$1003,9,FALSE)</f>
        <v>خ</v>
      </c>
      <c r="S66" s="866" t="str">
        <f>VLOOKUP(N66,etat!$A$9:$P$905,16,FALSE)</f>
        <v>ذخ3</v>
      </c>
      <c r="T66" s="755">
        <v>45781</v>
      </c>
      <c r="U66" s="791">
        <v>4</v>
      </c>
      <c r="V66" s="784" t="s">
        <v>2285</v>
      </c>
      <c r="W66" s="784"/>
      <c r="X66" s="784"/>
      <c r="Y66" s="1116"/>
      <c r="Z66" s="975"/>
      <c r="AA66" s="967">
        <v>8</v>
      </c>
      <c r="AH66" s="488"/>
      <c r="AI66" s="962" t="s">
        <v>497</v>
      </c>
      <c r="AJ66" s="285"/>
      <c r="AK66" s="282"/>
      <c r="AL66" s="316"/>
      <c r="AM66" s="316"/>
      <c r="AN66" s="316"/>
      <c r="AO66" s="316"/>
      <c r="AP66" s="770"/>
      <c r="AQ66" s="316"/>
      <c r="AR66" s="316"/>
      <c r="AS66" s="316"/>
      <c r="AT66" s="24"/>
      <c r="AU66" s="24"/>
      <c r="AV66" s="24"/>
    </row>
    <row r="67" spans="4:48" s="25" customFormat="1" ht="15" customHeight="1" thickBot="1">
      <c r="D67" s="295"/>
      <c r="E67" s="295"/>
      <c r="F67" s="295"/>
      <c r="G67" s="295"/>
      <c r="H67" s="295"/>
      <c r="L67" s="777">
        <v>5</v>
      </c>
      <c r="M67" s="778"/>
      <c r="N67" s="976">
        <v>15</v>
      </c>
      <c r="O67" s="1020">
        <v>14</v>
      </c>
      <c r="P67" s="847">
        <f>VLOOKUP(N67,etat!$A$9:$N$1004,2,FALSE)</f>
        <v>0</v>
      </c>
      <c r="Q67" s="797" t="str">
        <f>VLOOKUP(N67,etat!$A$9:$N$963,7,FALSE)</f>
        <v xml:space="preserve"> 3ت ر مك </v>
      </c>
      <c r="R67" s="797" t="str">
        <f>VLOOKUP(N67,etat!$A$9:$N$1003,9,FALSE)</f>
        <v>خ</v>
      </c>
      <c r="S67" s="866" t="str">
        <f>VLOOKUP(N67,etat!$A$9:$P$905,16,FALSE)</f>
        <v>ذخ3</v>
      </c>
      <c r="T67" s="755">
        <v>45768</v>
      </c>
      <c r="U67" s="791">
        <v>17</v>
      </c>
      <c r="V67" s="784" t="s">
        <v>2275</v>
      </c>
      <c r="W67" s="784" t="s">
        <v>2283</v>
      </c>
      <c r="X67" s="784" t="s">
        <v>2287</v>
      </c>
      <c r="Y67" s="1117"/>
      <c r="Z67" s="967"/>
      <c r="AA67" s="967">
        <v>8</v>
      </c>
      <c r="AH67" s="910"/>
      <c r="AI67" s="962" t="s">
        <v>497</v>
      </c>
      <c r="AJ67" s="285"/>
      <c r="AK67" s="488"/>
      <c r="AL67" s="316"/>
      <c r="AM67" s="316"/>
      <c r="AN67" s="316"/>
      <c r="AO67" s="316"/>
      <c r="AP67" s="770"/>
      <c r="AQ67" s="316"/>
      <c r="AR67" s="316"/>
      <c r="AS67" s="316"/>
      <c r="AT67" s="24"/>
      <c r="AU67" s="24"/>
      <c r="AV67" s="24"/>
    </row>
    <row r="68" spans="4:48" s="25" customFormat="1" ht="15" customHeight="1">
      <c r="D68" s="295"/>
      <c r="E68" s="295"/>
      <c r="F68" s="295"/>
      <c r="G68" s="295"/>
      <c r="H68" s="295"/>
      <c r="L68" s="777">
        <v>5</v>
      </c>
      <c r="M68" s="778"/>
      <c r="N68" s="976">
        <v>16</v>
      </c>
      <c r="O68" s="1020">
        <v>15</v>
      </c>
      <c r="P68" s="847">
        <f>VLOOKUP(N68,etat!$A$9:$N$1004,2,FALSE)</f>
        <v>0</v>
      </c>
      <c r="Q68" s="797" t="str">
        <f>VLOOKUP(N68,etat!$A$9:$N$963,7,FALSE)</f>
        <v xml:space="preserve"> 3ت ر مك </v>
      </c>
      <c r="R68" s="797" t="str">
        <f>VLOOKUP(N68,etat!$A$9:$N$1003,9,FALSE)</f>
        <v>خ</v>
      </c>
      <c r="S68" s="866" t="str">
        <f>VLOOKUP(N68,etat!$A$9:$P$905,16,FALSE)</f>
        <v>ذخ3</v>
      </c>
      <c r="T68" s="755">
        <v>45782</v>
      </c>
      <c r="U68" s="791">
        <v>3</v>
      </c>
      <c r="V68" s="784" t="s">
        <v>2287</v>
      </c>
      <c r="W68" s="784"/>
      <c r="X68" s="784"/>
      <c r="Y68" s="975"/>
      <c r="Z68" s="975"/>
      <c r="AA68" s="967">
        <v>8</v>
      </c>
      <c r="AH68" s="910"/>
      <c r="AI68" s="862"/>
      <c r="AJ68" s="302"/>
      <c r="AK68" s="910"/>
      <c r="AL68" s="911"/>
      <c r="AM68" s="911"/>
      <c r="AN68" s="911"/>
      <c r="AO68" s="911"/>
      <c r="AP68" s="912"/>
      <c r="AQ68" s="911"/>
      <c r="AR68" s="911"/>
      <c r="AS68" s="911"/>
      <c r="AT68" s="26"/>
      <c r="AU68" s="26"/>
      <c r="AV68" s="26"/>
    </row>
    <row r="69" spans="4:48" s="25" customFormat="1" ht="15" customHeight="1">
      <c r="D69" s="295"/>
      <c r="E69" s="295"/>
      <c r="F69" s="295"/>
      <c r="G69" s="295"/>
      <c r="H69" s="295"/>
      <c r="L69" s="777">
        <v>5</v>
      </c>
      <c r="M69" s="778"/>
      <c r="N69" s="976">
        <v>17</v>
      </c>
      <c r="O69" s="1020">
        <v>16</v>
      </c>
      <c r="P69" s="847">
        <f>VLOOKUP(N69,etat!$A$9:$N$1004,2,FALSE)</f>
        <v>0</v>
      </c>
      <c r="Q69" s="797" t="str">
        <f>VLOOKUP(N69,etat!$A$9:$N$963,7,FALSE)</f>
        <v xml:space="preserve"> 3ت ر مك </v>
      </c>
      <c r="R69" s="797" t="str">
        <f>VLOOKUP(N69,etat!$A$9:$N$1003,9,FALSE)</f>
        <v>خ</v>
      </c>
      <c r="S69" s="866" t="str">
        <f>VLOOKUP(N69,etat!$A$9:$P$905,16,FALSE)</f>
        <v>ذخ3</v>
      </c>
      <c r="T69" s="755">
        <v>45768</v>
      </c>
      <c r="U69" s="791">
        <v>17</v>
      </c>
      <c r="V69" s="784" t="s">
        <v>2275</v>
      </c>
      <c r="W69" s="784" t="s">
        <v>2283</v>
      </c>
      <c r="X69" s="784" t="s">
        <v>2287</v>
      </c>
      <c r="Y69" s="1117"/>
      <c r="Z69" s="967"/>
      <c r="AA69" s="967">
        <v>8</v>
      </c>
      <c r="AH69" s="910"/>
      <c r="AI69" s="862"/>
      <c r="AJ69" s="302"/>
      <c r="AK69" s="910"/>
      <c r="AL69" s="911"/>
      <c r="AM69" s="911"/>
      <c r="AN69" s="911"/>
      <c r="AO69" s="911"/>
      <c r="AP69" s="912"/>
      <c r="AQ69" s="911"/>
      <c r="AR69" s="911"/>
      <c r="AS69" s="911"/>
      <c r="AT69" s="26"/>
      <c r="AU69" s="26"/>
      <c r="AV69" s="26"/>
    </row>
    <row r="70" spans="4:48" s="25" customFormat="1" ht="15" customHeight="1">
      <c r="D70" s="295"/>
      <c r="E70" s="295"/>
      <c r="F70" s="295"/>
      <c r="G70" s="295"/>
      <c r="H70" s="295"/>
      <c r="L70" s="777">
        <v>5</v>
      </c>
      <c r="M70" s="778"/>
      <c r="N70" s="976">
        <v>18</v>
      </c>
      <c r="O70" s="1020">
        <v>17</v>
      </c>
      <c r="P70" s="847">
        <f>VLOOKUP(N70,etat!$A$9:$N$1004,2,FALSE)</f>
        <v>0</v>
      </c>
      <c r="Q70" s="797" t="str">
        <f>VLOOKUP(N70,etat!$A$9:$N$963,7,FALSE)</f>
        <v xml:space="preserve"> 3ت ر مك </v>
      </c>
      <c r="R70" s="797" t="str">
        <f>VLOOKUP(N70,etat!$A$9:$N$1003,9,FALSE)</f>
        <v>خ</v>
      </c>
      <c r="S70" s="866" t="str">
        <f>VLOOKUP(N70,etat!$A$9:$P$905,16,FALSE)</f>
        <v>ذخ3</v>
      </c>
      <c r="T70" s="755">
        <v>45768</v>
      </c>
      <c r="U70" s="791">
        <v>17</v>
      </c>
      <c r="V70" s="784" t="s">
        <v>2275</v>
      </c>
      <c r="W70" s="784" t="s">
        <v>2283</v>
      </c>
      <c r="X70" s="784" t="s">
        <v>2287</v>
      </c>
      <c r="Y70" s="1117"/>
      <c r="Z70" s="967"/>
      <c r="AA70" s="967">
        <v>8</v>
      </c>
      <c r="AH70" s="910"/>
      <c r="AI70" s="862"/>
      <c r="AJ70" s="302"/>
      <c r="AK70" s="910"/>
      <c r="AL70" s="911"/>
      <c r="AM70" s="911"/>
      <c r="AN70" s="911"/>
      <c r="AO70" s="911"/>
      <c r="AP70" s="912"/>
      <c r="AQ70" s="911"/>
      <c r="AR70" s="911"/>
      <c r="AS70" s="911"/>
      <c r="AT70" s="26"/>
      <c r="AU70" s="26"/>
      <c r="AV70" s="26"/>
    </row>
    <row r="71" spans="4:48" s="25" customFormat="1" ht="15" customHeight="1">
      <c r="D71" s="295"/>
      <c r="E71" s="295"/>
      <c r="F71" s="295"/>
      <c r="G71" s="295"/>
      <c r="H71" s="295"/>
      <c r="L71" s="777">
        <v>5</v>
      </c>
      <c r="M71" s="778"/>
      <c r="N71" s="976">
        <v>19</v>
      </c>
      <c r="O71" s="1020">
        <v>18</v>
      </c>
      <c r="P71" s="847">
        <f>VLOOKUP(N71,etat!$A$9:$N$1004,2,FALSE)</f>
        <v>0</v>
      </c>
      <c r="Q71" s="797" t="str">
        <f>VLOOKUP(N71,etat!$A$9:$N$963,7,FALSE)</f>
        <v xml:space="preserve"> 3ت ر مك </v>
      </c>
      <c r="R71" s="797" t="str">
        <f>VLOOKUP(N71,etat!$A$9:$N$1003,9,FALSE)</f>
        <v>خ</v>
      </c>
      <c r="S71" s="866" t="str">
        <f>VLOOKUP(N71,etat!$A$9:$P$905,16,FALSE)</f>
        <v>ذخ3</v>
      </c>
      <c r="T71" s="755">
        <v>45769</v>
      </c>
      <c r="U71" s="791">
        <v>16</v>
      </c>
      <c r="V71" s="784" t="s">
        <v>2278</v>
      </c>
      <c r="W71" s="784" t="s">
        <v>2283</v>
      </c>
      <c r="X71" s="784"/>
      <c r="Y71" s="975"/>
      <c r="Z71" s="967"/>
      <c r="AA71" s="967">
        <v>8</v>
      </c>
      <c r="AH71" s="910"/>
      <c r="AI71" s="862"/>
      <c r="AJ71" s="302"/>
      <c r="AK71" s="910"/>
      <c r="AL71" s="911"/>
      <c r="AM71" s="911"/>
      <c r="AN71" s="911"/>
      <c r="AO71" s="911"/>
      <c r="AP71" s="912"/>
      <c r="AQ71" s="911"/>
      <c r="AR71" s="911"/>
      <c r="AS71" s="911"/>
      <c r="AT71" s="26"/>
      <c r="AU71" s="26"/>
      <c r="AV71" s="26"/>
    </row>
    <row r="72" spans="4:48" s="25" customFormat="1" ht="15" customHeight="1">
      <c r="D72" s="295"/>
      <c r="E72" s="295"/>
      <c r="F72" s="295"/>
      <c r="G72" s="295"/>
      <c r="H72" s="295"/>
      <c r="L72" s="777">
        <v>5</v>
      </c>
      <c r="M72" s="778"/>
      <c r="N72" s="976">
        <v>20</v>
      </c>
      <c r="O72" s="1020">
        <v>19</v>
      </c>
      <c r="P72" s="847">
        <f>VLOOKUP(N72,etat!$A$9:$N$1004,2,FALSE)</f>
        <v>0</v>
      </c>
      <c r="Q72" s="797" t="str">
        <f>VLOOKUP(N72,etat!$A$9:$N$963,7,FALSE)</f>
        <v xml:space="preserve"> 3ت ر مك </v>
      </c>
      <c r="R72" s="797" t="str">
        <f>VLOOKUP(N72,etat!$A$9:$N$1003,9,FALSE)</f>
        <v>خ</v>
      </c>
      <c r="S72" s="866" t="str">
        <f>VLOOKUP(N72,etat!$A$9:$P$905,16,FALSE)</f>
        <v>ذخ3</v>
      </c>
      <c r="T72" s="755">
        <v>45775</v>
      </c>
      <c r="U72" s="791">
        <v>10</v>
      </c>
      <c r="V72" s="784" t="s">
        <v>2282</v>
      </c>
      <c r="W72" s="784" t="s">
        <v>2287</v>
      </c>
      <c r="X72" s="784"/>
      <c r="Y72" s="975"/>
      <c r="Z72" s="975"/>
      <c r="AA72" s="967">
        <v>8</v>
      </c>
      <c r="AH72" s="910"/>
      <c r="AI72" s="862"/>
      <c r="AJ72" s="302"/>
      <c r="AK72" s="910"/>
      <c r="AL72" s="911"/>
      <c r="AM72" s="911"/>
      <c r="AN72" s="911"/>
      <c r="AO72" s="911"/>
      <c r="AP72" s="912"/>
      <c r="AQ72" s="911"/>
      <c r="AR72" s="911"/>
      <c r="AS72" s="911"/>
      <c r="AT72" s="26"/>
      <c r="AU72" s="26"/>
      <c r="AV72" s="26"/>
    </row>
    <row r="73" spans="4:48" s="25" customFormat="1" ht="15" customHeight="1">
      <c r="D73" s="295"/>
      <c r="E73" s="295"/>
      <c r="F73" s="295"/>
      <c r="G73" s="295"/>
      <c r="H73" s="295"/>
      <c r="L73" s="777">
        <v>5</v>
      </c>
      <c r="M73" s="778"/>
      <c r="N73" s="976">
        <v>21</v>
      </c>
      <c r="O73" s="1020">
        <v>20</v>
      </c>
      <c r="P73" s="847">
        <f>VLOOKUP(N73,etat!$A$9:$N$1004,2,FALSE)</f>
        <v>0</v>
      </c>
      <c r="Q73" s="797" t="str">
        <f>VLOOKUP(N73,etat!$A$9:$N$963,7,FALSE)</f>
        <v xml:space="preserve"> 3ت ر طرا </v>
      </c>
      <c r="R73" s="797" t="str">
        <f>VLOOKUP(N73,etat!$A$9:$N$1003,9,FALSE)</f>
        <v>ن/د</v>
      </c>
      <c r="S73" s="866" t="str">
        <f>VLOOKUP(N73,etat!$A$9:$P$905,16,FALSE)</f>
        <v>ذن/د3</v>
      </c>
      <c r="T73" s="755">
        <v>45775</v>
      </c>
      <c r="U73" s="791">
        <v>10</v>
      </c>
      <c r="V73" s="784" t="s">
        <v>2282</v>
      </c>
      <c r="W73" s="784" t="s">
        <v>2287</v>
      </c>
      <c r="X73" s="784"/>
      <c r="Y73" s="1118"/>
      <c r="Z73" s="975"/>
      <c r="AA73" s="967">
        <v>7</v>
      </c>
      <c r="AH73" s="910"/>
      <c r="AI73" s="862"/>
      <c r="AJ73" s="302"/>
      <c r="AK73" s="910"/>
      <c r="AL73" s="911"/>
      <c r="AM73" s="911"/>
      <c r="AN73" s="911"/>
      <c r="AO73" s="911"/>
      <c r="AP73" s="912"/>
      <c r="AQ73" s="911"/>
      <c r="AR73" s="911"/>
      <c r="AS73" s="911"/>
      <c r="AT73" s="26"/>
      <c r="AU73" s="26"/>
      <c r="AV73" s="26"/>
    </row>
    <row r="74" spans="4:48" s="25" customFormat="1" ht="15" customHeight="1">
      <c r="D74" s="295"/>
      <c r="E74" s="295"/>
      <c r="F74" s="295"/>
      <c r="G74" s="295"/>
      <c r="H74" s="295"/>
      <c r="L74" s="777">
        <v>5</v>
      </c>
      <c r="M74" s="778"/>
      <c r="N74" s="976">
        <v>23</v>
      </c>
      <c r="O74" s="1020">
        <v>21</v>
      </c>
      <c r="P74" s="847">
        <f>VLOOKUP(N74,etat!$A$9:$N$1004,2,FALSE)</f>
        <v>0</v>
      </c>
      <c r="Q74" s="797" t="str">
        <f>VLOOKUP(N74,etat!$A$9:$N$963,7,FALSE)</f>
        <v xml:space="preserve"> 3ت ر طرا </v>
      </c>
      <c r="R74" s="797" t="str">
        <f>VLOOKUP(N74,etat!$A$9:$N$1003,9,FALSE)</f>
        <v>خ</v>
      </c>
      <c r="S74" s="866" t="str">
        <f>VLOOKUP(N74,etat!$A$9:$P$905,16,FALSE)</f>
        <v>اخ3</v>
      </c>
      <c r="T74" s="755">
        <v>45768</v>
      </c>
      <c r="U74" s="791">
        <v>17</v>
      </c>
      <c r="V74" s="784" t="s">
        <v>2275</v>
      </c>
      <c r="W74" s="784" t="s">
        <v>2283</v>
      </c>
      <c r="X74" s="784" t="s">
        <v>2287</v>
      </c>
      <c r="Y74" s="1118"/>
      <c r="Z74" s="975"/>
      <c r="AA74" s="967">
        <v>7</v>
      </c>
      <c r="AH74" s="910"/>
      <c r="AI74" s="862"/>
      <c r="AJ74" s="302"/>
      <c r="AK74" s="910"/>
      <c r="AL74" s="911"/>
      <c r="AM74" s="911"/>
      <c r="AN74" s="911"/>
      <c r="AO74" s="911"/>
      <c r="AP74" s="912"/>
      <c r="AQ74" s="911"/>
      <c r="AR74" s="911"/>
      <c r="AS74" s="911"/>
      <c r="AT74" s="26"/>
      <c r="AU74" s="26"/>
      <c r="AV74" s="26"/>
    </row>
    <row r="75" spans="4:48" s="25" customFormat="1" ht="15" customHeight="1">
      <c r="D75" s="295"/>
      <c r="E75" s="295"/>
      <c r="F75" s="295"/>
      <c r="G75" s="295"/>
      <c r="H75" s="295"/>
      <c r="L75" s="777">
        <v>5</v>
      </c>
      <c r="M75" s="778"/>
      <c r="N75" s="976">
        <v>25</v>
      </c>
      <c r="O75" s="1020">
        <v>22</v>
      </c>
      <c r="P75" s="847">
        <f>VLOOKUP(N75,etat!$A$9:$N$1004,2,FALSE)</f>
        <v>0</v>
      </c>
      <c r="Q75" s="797" t="str">
        <f>VLOOKUP(N75,etat!$A$9:$N$963,7,FALSE)</f>
        <v xml:space="preserve"> 3ت ر طرا </v>
      </c>
      <c r="R75" s="797" t="str">
        <f>VLOOKUP(N75,etat!$A$9:$N$1003,9,FALSE)</f>
        <v>خ</v>
      </c>
      <c r="S75" s="866" t="str">
        <f>VLOOKUP(N75,etat!$A$9:$P$905,16,FALSE)</f>
        <v>ذخ3</v>
      </c>
      <c r="T75" s="755">
        <v>45781</v>
      </c>
      <c r="U75" s="791">
        <v>4</v>
      </c>
      <c r="V75" s="784" t="s">
        <v>2285</v>
      </c>
      <c r="W75" s="784"/>
      <c r="X75" s="784"/>
      <c r="Y75" s="975"/>
      <c r="Z75" s="967"/>
      <c r="AA75" s="967">
        <v>7</v>
      </c>
      <c r="AH75" s="910"/>
      <c r="AI75" s="862"/>
      <c r="AJ75" s="302"/>
      <c r="AK75" s="910"/>
      <c r="AL75" s="911"/>
      <c r="AM75" s="911"/>
      <c r="AN75" s="911"/>
      <c r="AO75" s="911"/>
      <c r="AP75" s="912"/>
      <c r="AQ75" s="911"/>
      <c r="AR75" s="911"/>
      <c r="AS75" s="911"/>
      <c r="AT75" s="26"/>
      <c r="AU75" s="26"/>
      <c r="AV75" s="26"/>
    </row>
    <row r="76" spans="4:48" s="25" customFormat="1" ht="15" customHeight="1">
      <c r="D76" s="295"/>
      <c r="E76" s="295"/>
      <c r="F76" s="295"/>
      <c r="G76" s="295"/>
      <c r="H76" s="295"/>
      <c r="L76" s="777">
        <v>5</v>
      </c>
      <c r="M76" s="778"/>
      <c r="N76" s="976">
        <v>27</v>
      </c>
      <c r="O76" s="1020">
        <v>23</v>
      </c>
      <c r="P76" s="847">
        <f>VLOOKUP(N76,etat!$A$9:$N$1004,2,FALSE)</f>
        <v>0</v>
      </c>
      <c r="Q76" s="797" t="str">
        <f>VLOOKUP(N76,etat!$A$9:$N$963,7,FALSE)</f>
        <v xml:space="preserve"> 3ت ر طرا </v>
      </c>
      <c r="R76" s="797" t="str">
        <f>VLOOKUP(N76,etat!$A$9:$N$1003,9,FALSE)</f>
        <v>خ</v>
      </c>
      <c r="S76" s="866" t="str">
        <f>VLOOKUP(N76,etat!$A$9:$P$905,16,FALSE)</f>
        <v>ذخ3</v>
      </c>
      <c r="T76" s="755">
        <v>45781</v>
      </c>
      <c r="U76" s="791">
        <v>4</v>
      </c>
      <c r="V76" s="784" t="s">
        <v>2285</v>
      </c>
      <c r="W76" s="784"/>
      <c r="X76" s="784"/>
      <c r="Y76" s="975"/>
      <c r="Z76" s="975"/>
      <c r="AA76" s="967">
        <v>7</v>
      </c>
      <c r="AH76" s="910"/>
      <c r="AI76" s="862"/>
      <c r="AJ76" s="302"/>
      <c r="AK76" s="910"/>
      <c r="AL76" s="911"/>
      <c r="AM76" s="911"/>
      <c r="AN76" s="911"/>
      <c r="AO76" s="911"/>
      <c r="AP76" s="912"/>
      <c r="AQ76" s="911"/>
      <c r="AR76" s="911"/>
      <c r="AS76" s="911"/>
      <c r="AT76" s="26"/>
      <c r="AU76" s="26"/>
      <c r="AV76" s="26"/>
    </row>
    <row r="77" spans="4:48" s="25" customFormat="1" ht="15" customHeight="1">
      <c r="D77" s="295"/>
      <c r="E77" s="295"/>
      <c r="F77" s="295"/>
      <c r="G77" s="295"/>
      <c r="H77" s="295"/>
      <c r="L77" s="777">
        <v>5</v>
      </c>
      <c r="M77" s="778"/>
      <c r="N77" s="976">
        <v>29</v>
      </c>
      <c r="O77" s="1020">
        <v>24</v>
      </c>
      <c r="P77" s="847">
        <f>VLOOKUP(N77,etat!$A$9:$N$1004,2,FALSE)</f>
        <v>0</v>
      </c>
      <c r="Q77" s="797" t="str">
        <f>VLOOKUP(N77,etat!$A$9:$N$963,7,FALSE)</f>
        <v>3ت ا ق1</v>
      </c>
      <c r="R77" s="797" t="str">
        <f>VLOOKUP(N77,etat!$A$9:$N$1003,9,FALSE)</f>
        <v>ن/د</v>
      </c>
      <c r="S77" s="866" t="str">
        <f>VLOOKUP(N77,etat!$A$9:$P$905,16,FALSE)</f>
        <v>ذخ3</v>
      </c>
      <c r="T77" s="755">
        <v>45761</v>
      </c>
      <c r="U77" s="791">
        <v>24</v>
      </c>
      <c r="V77" s="784" t="s">
        <v>2267</v>
      </c>
      <c r="W77" s="784" t="s">
        <v>2275</v>
      </c>
      <c r="X77" s="784" t="s">
        <v>2283</v>
      </c>
      <c r="Y77" s="975"/>
      <c r="Z77" s="975" t="str">
        <f>VLOOKUP(L77,[2]اس!$S$3:$X$31,3,FALSE)</f>
        <v>.</v>
      </c>
      <c r="AA77" s="967">
        <v>7</v>
      </c>
      <c r="AH77" s="910"/>
      <c r="AI77" s="862"/>
      <c r="AJ77" s="302"/>
      <c r="AK77" s="910"/>
      <c r="AL77" s="911"/>
      <c r="AM77" s="911"/>
      <c r="AN77" s="911"/>
      <c r="AO77" s="911"/>
      <c r="AP77" s="912"/>
      <c r="AQ77" s="911"/>
      <c r="AR77" s="911"/>
      <c r="AS77" s="911"/>
      <c r="AT77" s="26"/>
      <c r="AU77" s="26"/>
      <c r="AV77" s="26"/>
    </row>
    <row r="78" spans="4:48" s="25" customFormat="1" ht="15" customHeight="1">
      <c r="D78" s="295"/>
      <c r="E78" s="295"/>
      <c r="F78" s="295"/>
      <c r="G78" s="295"/>
      <c r="H78" s="295"/>
      <c r="L78" s="777">
        <v>5</v>
      </c>
      <c r="M78" s="778"/>
      <c r="N78" s="976">
        <v>30</v>
      </c>
      <c r="O78" s="1020">
        <v>25</v>
      </c>
      <c r="P78" s="847">
        <f>VLOOKUP(N78,etat!$A$9:$N$1004,2,FALSE)</f>
        <v>0</v>
      </c>
      <c r="Q78" s="797" t="str">
        <f>VLOOKUP(N78,etat!$A$9:$N$963,7,FALSE)</f>
        <v>3ت ا ق1</v>
      </c>
      <c r="R78" s="797" t="str">
        <f>VLOOKUP(N78,etat!$A$9:$N$1003,9,FALSE)</f>
        <v>ن/د</v>
      </c>
      <c r="S78" s="866" t="str">
        <f>VLOOKUP(N78,etat!$A$9:$P$905,16,FALSE)</f>
        <v>اخ3</v>
      </c>
      <c r="T78" s="755">
        <v>45776</v>
      </c>
      <c r="U78" s="791">
        <v>9</v>
      </c>
      <c r="V78" s="784" t="s">
        <v>2283</v>
      </c>
      <c r="W78" s="784"/>
      <c r="X78" s="784"/>
      <c r="Y78" s="975"/>
      <c r="Z78" s="967"/>
      <c r="AA78" s="967">
        <v>7</v>
      </c>
      <c r="AH78" s="910"/>
      <c r="AI78" s="862"/>
      <c r="AJ78" s="302"/>
      <c r="AK78" s="910"/>
      <c r="AL78" s="911"/>
      <c r="AM78" s="911"/>
      <c r="AN78" s="911"/>
      <c r="AO78" s="911"/>
      <c r="AP78" s="912"/>
      <c r="AQ78" s="911"/>
      <c r="AR78" s="911"/>
      <c r="AS78" s="911"/>
      <c r="AT78" s="26"/>
      <c r="AU78" s="26"/>
      <c r="AV78" s="26"/>
    </row>
    <row r="79" spans="4:48" s="25" customFormat="1" ht="15" customHeight="1">
      <c r="D79" s="295"/>
      <c r="E79" s="295"/>
      <c r="F79" s="295"/>
      <c r="G79" s="295"/>
      <c r="H79" s="295"/>
      <c r="L79" s="777">
        <v>5</v>
      </c>
      <c r="M79" s="778"/>
      <c r="N79" s="976">
        <v>31</v>
      </c>
      <c r="O79" s="1020">
        <v>26</v>
      </c>
      <c r="P79" s="847">
        <f>VLOOKUP(N79,etat!$A$9:$N$1004,2,FALSE)</f>
        <v>0</v>
      </c>
      <c r="Q79" s="797" t="str">
        <f>VLOOKUP(N79,etat!$A$9:$N$963,7,FALSE)</f>
        <v>3ت ا ق1</v>
      </c>
      <c r="R79" s="797" t="str">
        <f>VLOOKUP(N79,etat!$A$9:$N$1003,9,FALSE)</f>
        <v>خ</v>
      </c>
      <c r="S79" s="866" t="str">
        <f>VLOOKUP(N79,etat!$A$9:$P$905,16,FALSE)</f>
        <v>اخ3</v>
      </c>
      <c r="T79" s="755">
        <v>45769</v>
      </c>
      <c r="U79" s="791">
        <v>16</v>
      </c>
      <c r="V79" s="784" t="s">
        <v>2278</v>
      </c>
      <c r="W79" s="784" t="s">
        <v>2283</v>
      </c>
      <c r="X79" s="784"/>
      <c r="Y79" s="975"/>
      <c r="Z79" s="975"/>
      <c r="AA79" s="967">
        <v>7</v>
      </c>
      <c r="AH79" s="910"/>
      <c r="AI79" s="862"/>
      <c r="AJ79" s="302"/>
      <c r="AK79" s="910"/>
      <c r="AL79" s="911"/>
      <c r="AM79" s="911"/>
      <c r="AN79" s="911"/>
      <c r="AO79" s="911"/>
      <c r="AP79" s="912"/>
      <c r="AQ79" s="911"/>
      <c r="AR79" s="911"/>
      <c r="AS79" s="911"/>
      <c r="AT79" s="26"/>
      <c r="AU79" s="26"/>
      <c r="AV79" s="26"/>
    </row>
    <row r="80" spans="4:48" s="25" customFormat="1" ht="15" customHeight="1">
      <c r="D80" s="295"/>
      <c r="E80" s="295"/>
      <c r="F80" s="295"/>
      <c r="G80" s="295"/>
      <c r="H80" s="295"/>
      <c r="L80" s="777">
        <v>5</v>
      </c>
      <c r="M80" s="778"/>
      <c r="N80" s="976">
        <v>32</v>
      </c>
      <c r="O80" s="1020">
        <v>27</v>
      </c>
      <c r="P80" s="847">
        <f>VLOOKUP(N80,etat!$A$9:$N$1004,2,FALSE)</f>
        <v>0</v>
      </c>
      <c r="Q80" s="797" t="str">
        <f>VLOOKUP(N80,etat!$A$9:$N$963,7,FALSE)</f>
        <v>3ت ا ق1</v>
      </c>
      <c r="R80" s="797" t="str">
        <f>VLOOKUP(N80,etat!$A$9:$N$1003,9,FALSE)</f>
        <v>خ</v>
      </c>
      <c r="S80" s="866" t="str">
        <f>VLOOKUP(N80,etat!$A$9:$P$905,16,FALSE)</f>
        <v>اخ3</v>
      </c>
      <c r="T80" s="755">
        <v>45769</v>
      </c>
      <c r="U80" s="791">
        <v>16</v>
      </c>
      <c r="V80" s="784" t="s">
        <v>2278</v>
      </c>
      <c r="W80" s="784" t="s">
        <v>2283</v>
      </c>
      <c r="X80" s="784"/>
      <c r="Y80" s="975"/>
      <c r="Z80" s="975"/>
      <c r="AA80" s="967">
        <v>7</v>
      </c>
      <c r="AH80" s="910"/>
      <c r="AI80" s="862"/>
      <c r="AJ80" s="302"/>
      <c r="AK80" s="910"/>
      <c r="AL80" s="911"/>
      <c r="AM80" s="911"/>
      <c r="AN80" s="911"/>
      <c r="AO80" s="911"/>
      <c r="AP80" s="912"/>
      <c r="AQ80" s="911"/>
      <c r="AR80" s="911"/>
      <c r="AS80" s="911"/>
      <c r="AT80" s="26"/>
      <c r="AU80" s="26"/>
      <c r="AV80" s="26"/>
    </row>
    <row r="81" spans="1:79" s="302" customFormat="1" ht="15" customHeight="1">
      <c r="A81" s="25"/>
      <c r="B81" s="25"/>
      <c r="C81" s="25"/>
      <c r="D81" s="295"/>
      <c r="E81" s="295"/>
      <c r="F81" s="295"/>
      <c r="G81" s="295"/>
      <c r="H81" s="295"/>
      <c r="I81" s="25"/>
      <c r="J81" s="25"/>
      <c r="K81" s="25"/>
      <c r="L81" s="777">
        <v>5</v>
      </c>
      <c r="M81" s="778"/>
      <c r="N81" s="976">
        <v>33</v>
      </c>
      <c r="O81" s="1020">
        <v>28</v>
      </c>
      <c r="P81" s="847">
        <f>VLOOKUP(N81,etat!$A$9:$N$1004,2,FALSE)</f>
        <v>0</v>
      </c>
      <c r="Q81" s="797" t="str">
        <f>VLOOKUP(N81,etat!$A$9:$N$963,7,FALSE)</f>
        <v>3ت ا ق1</v>
      </c>
      <c r="R81" s="797" t="str">
        <f>VLOOKUP(N81,etat!$A$9:$N$1003,9,FALSE)</f>
        <v>خ</v>
      </c>
      <c r="S81" s="866" t="str">
        <f>VLOOKUP(N81,etat!$A$9:$P$905,16,FALSE)</f>
        <v>اخ3</v>
      </c>
      <c r="T81" s="755">
        <v>45781</v>
      </c>
      <c r="U81" s="791">
        <v>4</v>
      </c>
      <c r="V81" s="784" t="s">
        <v>2285</v>
      </c>
      <c r="W81" s="784"/>
      <c r="X81" s="784"/>
      <c r="Y81" s="975"/>
      <c r="Z81" s="967"/>
      <c r="AA81" s="967">
        <v>7</v>
      </c>
      <c r="AB81" s="25"/>
      <c r="AC81" s="25"/>
      <c r="AD81" s="25"/>
      <c r="AE81" s="25"/>
      <c r="AF81" s="25"/>
      <c r="AG81" s="25"/>
      <c r="AH81" s="910"/>
      <c r="AI81" s="862"/>
      <c r="AK81" s="910"/>
      <c r="AL81" s="911"/>
      <c r="AM81" s="911"/>
      <c r="AN81" s="911"/>
      <c r="AO81" s="911"/>
      <c r="AP81" s="912"/>
      <c r="AQ81" s="911"/>
      <c r="AR81" s="911"/>
      <c r="AS81" s="911"/>
      <c r="AT81" s="26"/>
      <c r="AU81" s="26"/>
      <c r="AV81" s="26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</row>
    <row r="82" spans="1:79" s="302" customFormat="1" ht="15" customHeight="1">
      <c r="A82" s="25"/>
      <c r="B82" s="25"/>
      <c r="C82" s="25"/>
      <c r="D82" s="295"/>
      <c r="E82" s="295"/>
      <c r="F82" s="295"/>
      <c r="G82" s="295"/>
      <c r="H82" s="295"/>
      <c r="I82" s="25"/>
      <c r="J82" s="25"/>
      <c r="K82" s="25"/>
      <c r="L82" s="777">
        <v>5</v>
      </c>
      <c r="M82" s="778"/>
      <c r="N82" s="976">
        <v>34</v>
      </c>
      <c r="O82" s="1020">
        <v>29</v>
      </c>
      <c r="P82" s="847">
        <f>VLOOKUP(N82,etat!$A$9:$N$1004,2,FALSE)</f>
        <v>0</v>
      </c>
      <c r="Q82" s="797" t="str">
        <f>VLOOKUP(N82,etat!$A$9:$N$963,7,FALSE)</f>
        <v>3ت ا ق1</v>
      </c>
      <c r="R82" s="797" t="str">
        <f>VLOOKUP(N82,etat!$A$9:$N$1003,9,FALSE)</f>
        <v>خ</v>
      </c>
      <c r="S82" s="866" t="str">
        <f>VLOOKUP(N82,etat!$A$9:$P$905,16,FALSE)</f>
        <v>ذخ3</v>
      </c>
      <c r="T82" s="755">
        <v>45774</v>
      </c>
      <c r="U82" s="791">
        <v>11</v>
      </c>
      <c r="V82" s="784" t="s">
        <v>2281</v>
      </c>
      <c r="W82" s="784" t="s">
        <v>2285</v>
      </c>
      <c r="X82" s="784"/>
      <c r="Y82" s="1117"/>
      <c r="Z82" s="975" t="str">
        <f>VLOOKUP(L82,[2]اس!$S$3:$X$31,3,FALSE)</f>
        <v>.</v>
      </c>
      <c r="AA82" s="967">
        <v>7</v>
      </c>
      <c r="AB82" s="25"/>
      <c r="AC82" s="25"/>
      <c r="AD82" s="25"/>
      <c r="AE82" s="25"/>
      <c r="AF82" s="25"/>
      <c r="AG82" s="25"/>
      <c r="AH82" s="910"/>
      <c r="AI82" s="862"/>
      <c r="AK82" s="910"/>
      <c r="AL82" s="911"/>
      <c r="AM82" s="911"/>
      <c r="AN82" s="911"/>
      <c r="AO82" s="911"/>
      <c r="AP82" s="912"/>
      <c r="AQ82" s="911"/>
      <c r="AR82" s="911"/>
      <c r="AS82" s="911"/>
      <c r="AT82" s="26"/>
      <c r="AU82" s="26"/>
      <c r="AV82" s="26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</row>
    <row r="83" spans="1:79" s="302" customFormat="1" ht="15" customHeight="1">
      <c r="A83" s="25"/>
      <c r="B83" s="25"/>
      <c r="C83" s="25"/>
      <c r="D83" s="295"/>
      <c r="E83" s="295"/>
      <c r="F83" s="295"/>
      <c r="G83" s="295"/>
      <c r="H83" s="295"/>
      <c r="I83" s="25"/>
      <c r="J83" s="25"/>
      <c r="K83" s="25"/>
      <c r="L83" s="777">
        <v>5</v>
      </c>
      <c r="M83" s="778"/>
      <c r="N83" s="976">
        <v>38</v>
      </c>
      <c r="O83" s="1020">
        <v>30</v>
      </c>
      <c r="P83" s="847">
        <f>VLOOKUP(N83,etat!$A$9:$N$1004,2,FALSE)</f>
        <v>0</v>
      </c>
      <c r="Q83" s="797" t="str">
        <f>VLOOKUP(N83,etat!$A$9:$N$963,7,FALSE)</f>
        <v>3ت ا ق1</v>
      </c>
      <c r="R83" s="797" t="str">
        <f>VLOOKUP(N83,etat!$A$9:$N$1003,9,FALSE)</f>
        <v>خ</v>
      </c>
      <c r="S83" s="866" t="str">
        <f>VLOOKUP(N83,etat!$A$9:$P$905,16,FALSE)</f>
        <v>ذخ3</v>
      </c>
      <c r="T83" s="755">
        <v>45782</v>
      </c>
      <c r="U83" s="791">
        <v>3</v>
      </c>
      <c r="V83" s="784" t="s">
        <v>2287</v>
      </c>
      <c r="W83" s="784"/>
      <c r="X83" s="784"/>
      <c r="Y83" s="975"/>
      <c r="Z83" s="975" t="str">
        <f>VLOOKUP(L83,[2]اس!$S$3:$X$31,3,FALSE)</f>
        <v>.</v>
      </c>
      <c r="AA83" s="967">
        <v>7</v>
      </c>
      <c r="AB83" s="25"/>
      <c r="AC83" s="25"/>
      <c r="AD83" s="25"/>
      <c r="AE83" s="25"/>
      <c r="AF83" s="25"/>
      <c r="AG83" s="25"/>
      <c r="AH83" s="910"/>
      <c r="AI83" s="862"/>
      <c r="AK83" s="910"/>
      <c r="AL83" s="911"/>
      <c r="AM83" s="911"/>
      <c r="AN83" s="911"/>
      <c r="AO83" s="911"/>
      <c r="AP83" s="912"/>
      <c r="AQ83" s="911"/>
      <c r="AR83" s="911"/>
      <c r="AS83" s="911"/>
      <c r="AT83" s="26"/>
      <c r="AU83" s="26"/>
      <c r="AV83" s="26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</row>
    <row r="84" spans="1:79" s="302" customFormat="1" ht="15" customHeight="1">
      <c r="A84" s="25"/>
      <c r="B84" s="25"/>
      <c r="C84" s="25"/>
      <c r="D84" s="295"/>
      <c r="E84" s="295"/>
      <c r="F84" s="295"/>
      <c r="G84" s="295"/>
      <c r="H84" s="295"/>
      <c r="I84" s="25"/>
      <c r="J84" s="25"/>
      <c r="K84" s="25"/>
      <c r="L84" s="777">
        <v>5</v>
      </c>
      <c r="M84" s="778"/>
      <c r="N84" s="976">
        <v>39</v>
      </c>
      <c r="O84" s="1020">
        <v>31</v>
      </c>
      <c r="P84" s="847">
        <f>VLOOKUP(N84,etat!$A$9:$N$1004,2,FALSE)</f>
        <v>0</v>
      </c>
      <c r="Q84" s="797" t="str">
        <f>VLOOKUP(N84,etat!$A$9:$N$963,7,FALSE)</f>
        <v>3ت ا ق1</v>
      </c>
      <c r="R84" s="797" t="str">
        <f>VLOOKUP(N84,etat!$A$9:$N$1003,9,FALSE)</f>
        <v>خ</v>
      </c>
      <c r="S84" s="866" t="str">
        <f>VLOOKUP(N84,etat!$A$9:$P$905,16,FALSE)</f>
        <v>اخ3</v>
      </c>
      <c r="T84" s="755">
        <v>45768</v>
      </c>
      <c r="U84" s="791">
        <v>17</v>
      </c>
      <c r="V84" s="784" t="s">
        <v>2275</v>
      </c>
      <c r="W84" s="784" t="s">
        <v>2283</v>
      </c>
      <c r="X84" s="784" t="s">
        <v>2287</v>
      </c>
      <c r="Y84" s="975"/>
      <c r="Z84" s="975" t="str">
        <f>VLOOKUP(L84,[2]اس!$S$3:$X$31,3,FALSE)</f>
        <v>.</v>
      </c>
      <c r="AA84" s="967">
        <v>7</v>
      </c>
      <c r="AB84" s="25"/>
      <c r="AC84" s="25"/>
      <c r="AD84" s="25"/>
      <c r="AE84" s="25"/>
      <c r="AF84" s="25"/>
      <c r="AG84" s="25"/>
      <c r="AH84" s="910"/>
      <c r="AI84" s="862"/>
      <c r="AK84" s="910"/>
      <c r="AL84" s="911"/>
      <c r="AM84" s="911"/>
      <c r="AN84" s="911"/>
      <c r="AO84" s="911"/>
      <c r="AP84" s="912"/>
      <c r="AQ84" s="911"/>
      <c r="AR84" s="911"/>
      <c r="AS84" s="911"/>
      <c r="AT84" s="26"/>
      <c r="AU84" s="26"/>
      <c r="AV84" s="26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</row>
    <row r="85" spans="1:79" s="302" customFormat="1" ht="15" customHeight="1">
      <c r="A85" s="25"/>
      <c r="B85" s="25"/>
      <c r="C85" s="25"/>
      <c r="D85" s="295"/>
      <c r="E85" s="295"/>
      <c r="F85" s="295"/>
      <c r="G85" s="295"/>
      <c r="H85" s="295"/>
      <c r="I85" s="25"/>
      <c r="J85" s="25"/>
      <c r="K85" s="25"/>
      <c r="L85" s="777">
        <v>5</v>
      </c>
      <c r="M85" s="778"/>
      <c r="N85" s="976">
        <v>40</v>
      </c>
      <c r="O85" s="1020">
        <v>32</v>
      </c>
      <c r="P85" s="847">
        <f>VLOOKUP(N85,etat!$A$9:$N$1004,2,FALSE)</f>
        <v>0</v>
      </c>
      <c r="Q85" s="797" t="str">
        <f>VLOOKUP(N85,etat!$A$9:$N$963,7,FALSE)</f>
        <v>3ت ا ق1</v>
      </c>
      <c r="R85" s="797" t="str">
        <f>VLOOKUP(N85,etat!$A$9:$N$1003,9,FALSE)</f>
        <v>خ</v>
      </c>
      <c r="S85" s="866" t="str">
        <f>VLOOKUP(N85,etat!$A$9:$P$905,16,FALSE)</f>
        <v>اخ3</v>
      </c>
      <c r="T85" s="755">
        <v>45768</v>
      </c>
      <c r="U85" s="791">
        <v>17</v>
      </c>
      <c r="V85" s="784" t="s">
        <v>2275</v>
      </c>
      <c r="W85" s="784" t="s">
        <v>2283</v>
      </c>
      <c r="X85" s="784" t="s">
        <v>2287</v>
      </c>
      <c r="Y85" s="975"/>
      <c r="Z85" s="975" t="str">
        <f>VLOOKUP(L85,[2]اس!$S$3:$X$31,3,FALSE)</f>
        <v>.</v>
      </c>
      <c r="AA85" s="967">
        <v>7</v>
      </c>
      <c r="AB85" s="25"/>
      <c r="AC85" s="25"/>
      <c r="AD85" s="25"/>
      <c r="AE85" s="25"/>
      <c r="AF85" s="25"/>
      <c r="AG85" s="25"/>
      <c r="AH85" s="910"/>
      <c r="AI85" s="862"/>
      <c r="AK85" s="910"/>
      <c r="AL85" s="911"/>
      <c r="AM85" s="911"/>
      <c r="AN85" s="911"/>
      <c r="AO85" s="911"/>
      <c r="AP85" s="912"/>
      <c r="AQ85" s="911"/>
      <c r="AR85" s="911"/>
      <c r="AS85" s="911"/>
      <c r="AT85" s="26"/>
      <c r="AU85" s="26"/>
      <c r="AV85" s="26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</row>
    <row r="86" spans="1:79" s="302" customFormat="1" ht="15" customHeight="1">
      <c r="A86" s="25"/>
      <c r="B86" s="25"/>
      <c r="C86" s="25"/>
      <c r="D86" s="295"/>
      <c r="E86" s="295"/>
      <c r="F86" s="295"/>
      <c r="G86" s="295"/>
      <c r="H86" s="295"/>
      <c r="I86" s="25"/>
      <c r="J86" s="25"/>
      <c r="K86" s="25"/>
      <c r="L86" s="777">
        <v>5</v>
      </c>
      <c r="M86" s="778"/>
      <c r="N86" s="976">
        <v>41</v>
      </c>
      <c r="O86" s="1020">
        <v>33</v>
      </c>
      <c r="P86" s="847">
        <f>VLOOKUP(N86,etat!$A$9:$N$1004,2,FALSE)</f>
        <v>0</v>
      </c>
      <c r="Q86" s="797" t="str">
        <f>VLOOKUP(N86,etat!$A$9:$N$963,7,FALSE)</f>
        <v>3ت ا ق1</v>
      </c>
      <c r="R86" s="797" t="str">
        <f>VLOOKUP(N86,etat!$A$9:$N$1003,9,FALSE)</f>
        <v>خ</v>
      </c>
      <c r="S86" s="866" t="str">
        <f>VLOOKUP(N86,etat!$A$9:$P$905,16,FALSE)</f>
        <v>ذخ3</v>
      </c>
      <c r="T86" s="755">
        <v>45768</v>
      </c>
      <c r="U86" s="791">
        <v>17</v>
      </c>
      <c r="V86" s="784" t="s">
        <v>2275</v>
      </c>
      <c r="W86" s="784" t="s">
        <v>2283</v>
      </c>
      <c r="X86" s="784" t="s">
        <v>2287</v>
      </c>
      <c r="Y86" s="1118"/>
      <c r="Z86" s="975" t="str">
        <f>VLOOKUP(L86,[2]اس!$S$3:$X$31,3,FALSE)</f>
        <v>.</v>
      </c>
      <c r="AA86" s="967">
        <v>7</v>
      </c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</row>
    <row r="87" spans="1:79" s="302" customFormat="1" ht="15" customHeight="1">
      <c r="A87" s="25"/>
      <c r="B87" s="25"/>
      <c r="C87" s="25"/>
      <c r="D87" s="295"/>
      <c r="E87" s="295"/>
      <c r="F87" s="295"/>
      <c r="G87" s="295"/>
      <c r="H87" s="295"/>
      <c r="I87" s="25"/>
      <c r="J87" s="25"/>
      <c r="K87" s="25"/>
      <c r="L87" s="777">
        <v>5</v>
      </c>
      <c r="M87" s="778"/>
      <c r="N87" s="976">
        <v>42</v>
      </c>
      <c r="O87" s="1020">
        <v>34</v>
      </c>
      <c r="P87" s="847">
        <f>VLOOKUP(N87,etat!$A$9:$N$1004,2,FALSE)</f>
        <v>0</v>
      </c>
      <c r="Q87" s="797" t="str">
        <f>VLOOKUP(N87,etat!$A$9:$N$963,7,FALSE)</f>
        <v>3ت ا ق1</v>
      </c>
      <c r="R87" s="797" t="str">
        <f>VLOOKUP(N87,etat!$A$9:$N$1003,9,FALSE)</f>
        <v>خ</v>
      </c>
      <c r="S87" s="866" t="str">
        <f>VLOOKUP(N87,etat!$A$9:$P$905,16,FALSE)</f>
        <v>ذن/د3</v>
      </c>
      <c r="T87" s="755">
        <v>45767</v>
      </c>
      <c r="U87" s="791">
        <v>18</v>
      </c>
      <c r="V87" s="784" t="s">
        <v>2273</v>
      </c>
      <c r="W87" s="784" t="s">
        <v>2282</v>
      </c>
      <c r="X87" s="784" t="s">
        <v>2285</v>
      </c>
      <c r="Y87" s="975"/>
      <c r="Z87" s="975" t="str">
        <f>VLOOKUP(L87,[2]اس!$S$3:$X$31,3,FALSE)</f>
        <v>.</v>
      </c>
      <c r="AA87" s="967">
        <v>7</v>
      </c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</row>
    <row r="88" spans="1:79" s="302" customFormat="1" ht="15" customHeight="1">
      <c r="A88" s="25"/>
      <c r="B88" s="25"/>
      <c r="C88" s="25"/>
      <c r="D88" s="295"/>
      <c r="E88" s="295"/>
      <c r="F88" s="295"/>
      <c r="G88" s="295"/>
      <c r="H88" s="295"/>
      <c r="I88" s="25"/>
      <c r="J88" s="25"/>
      <c r="K88" s="25"/>
      <c r="L88" s="777">
        <v>5</v>
      </c>
      <c r="M88" s="778"/>
      <c r="N88" s="976">
        <v>44</v>
      </c>
      <c r="O88" s="1020">
        <v>35</v>
      </c>
      <c r="P88" s="847">
        <f>VLOOKUP(N88,etat!$A$9:$N$1004,2,FALSE)</f>
        <v>0</v>
      </c>
      <c r="Q88" s="797" t="str">
        <f>VLOOKUP(N88,etat!$A$9:$N$963,7,FALSE)</f>
        <v>3ت ا ق1</v>
      </c>
      <c r="R88" s="797" t="str">
        <f>VLOOKUP(N88,etat!$A$9:$N$1003,9,FALSE)</f>
        <v>خ</v>
      </c>
      <c r="S88" s="866" t="str">
        <f>VLOOKUP(N88,etat!$A$9:$P$905,16,FALSE)</f>
        <v>ان/د3</v>
      </c>
      <c r="T88" s="755">
        <v>45782</v>
      </c>
      <c r="U88" s="791">
        <v>3</v>
      </c>
      <c r="V88" s="784" t="s">
        <v>2287</v>
      </c>
      <c r="W88" s="784"/>
      <c r="X88" s="784"/>
      <c r="Y88" s="975"/>
      <c r="Z88" s="975" t="str">
        <f>VLOOKUP(L88,[2]اس!$S$3:$X$31,3,FALSE)</f>
        <v>.</v>
      </c>
      <c r="AA88" s="967">
        <v>7</v>
      </c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</row>
    <row r="89" spans="1:79" s="302" customFormat="1" ht="15" customHeight="1">
      <c r="A89" s="25"/>
      <c r="B89" s="25"/>
      <c r="C89" s="25"/>
      <c r="D89" s="295"/>
      <c r="E89" s="295"/>
      <c r="F89" s="295"/>
      <c r="G89" s="295"/>
      <c r="H89" s="295"/>
      <c r="I89" s="25"/>
      <c r="J89" s="25"/>
      <c r="K89" s="25"/>
      <c r="L89" s="777">
        <v>5</v>
      </c>
      <c r="M89" s="778"/>
      <c r="N89" s="976">
        <v>45</v>
      </c>
      <c r="O89" s="1020">
        <v>36</v>
      </c>
      <c r="P89" s="847">
        <f>VLOOKUP(N89,etat!$A$9:$N$1004,2,FALSE)</f>
        <v>0</v>
      </c>
      <c r="Q89" s="797" t="str">
        <f>VLOOKUP(N89,etat!$A$9:$N$963,7,FALSE)</f>
        <v>3ت ا ق1</v>
      </c>
      <c r="R89" s="797" t="str">
        <f>VLOOKUP(N89,etat!$A$9:$N$1003,9,FALSE)</f>
        <v>خ</v>
      </c>
      <c r="S89" s="866" t="str">
        <f>VLOOKUP(N89,etat!$A$9:$P$905,16,FALSE)</f>
        <v>ان/د3</v>
      </c>
      <c r="T89" s="755">
        <v>45775</v>
      </c>
      <c r="U89" s="791">
        <v>10</v>
      </c>
      <c r="V89" s="784" t="s">
        <v>2282</v>
      </c>
      <c r="W89" s="784" t="s">
        <v>2287</v>
      </c>
      <c r="X89" s="784"/>
      <c r="Y89" s="975"/>
      <c r="Z89" s="975" t="str">
        <f>VLOOKUP(L89,[2]اس!$S$3:$X$31,3,FALSE)</f>
        <v>.</v>
      </c>
      <c r="AA89" s="967">
        <v>7</v>
      </c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</row>
    <row r="90" spans="1:79" s="937" customFormat="1" ht="15" customHeight="1">
      <c r="A90" s="25"/>
      <c r="B90" s="25"/>
      <c r="C90" s="25"/>
      <c r="D90" s="295"/>
      <c r="E90" s="295"/>
      <c r="F90" s="295"/>
      <c r="G90" s="295"/>
      <c r="H90" s="295"/>
      <c r="I90" s="25"/>
      <c r="J90" s="25"/>
      <c r="K90" s="25"/>
      <c r="L90" s="777">
        <v>5</v>
      </c>
      <c r="M90" s="778"/>
      <c r="N90" s="976">
        <v>46</v>
      </c>
      <c r="O90" s="1020">
        <v>37</v>
      </c>
      <c r="P90" s="847">
        <f>VLOOKUP(N90,etat!$A$9:$N$1004,2,FALSE)</f>
        <v>0</v>
      </c>
      <c r="Q90" s="797" t="str">
        <f>VLOOKUP(N90,etat!$A$9:$N$963,7,FALSE)</f>
        <v>3ت ا ق1</v>
      </c>
      <c r="R90" s="797" t="str">
        <f>VLOOKUP(N90,etat!$A$9:$N$1003,9,FALSE)</f>
        <v>خ</v>
      </c>
      <c r="S90" s="866" t="str">
        <f>VLOOKUP(N90,etat!$A$9:$P$905,16,FALSE)</f>
        <v>اخ3</v>
      </c>
      <c r="T90" s="755">
        <v>45775</v>
      </c>
      <c r="U90" s="791">
        <v>10</v>
      </c>
      <c r="V90" s="784" t="s">
        <v>2282</v>
      </c>
      <c r="W90" s="784" t="s">
        <v>2287</v>
      </c>
      <c r="X90" s="784"/>
      <c r="Y90" s="975"/>
      <c r="Z90" s="975" t="str">
        <f>VLOOKUP(L90,[2]اس!$S$3:$X$31,3,FALSE)</f>
        <v>.</v>
      </c>
      <c r="AA90" s="967">
        <v>7</v>
      </c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</row>
    <row r="91" spans="1:79" s="937" customFormat="1" ht="15" customHeight="1">
      <c r="A91" s="25"/>
      <c r="B91" s="25"/>
      <c r="C91" s="25"/>
      <c r="D91" s="295"/>
      <c r="E91" s="295"/>
      <c r="F91" s="295"/>
      <c r="G91" s="295"/>
      <c r="H91" s="295"/>
      <c r="I91" s="25"/>
      <c r="J91" s="25"/>
      <c r="K91" s="25"/>
      <c r="L91" s="777">
        <v>5</v>
      </c>
      <c r="M91" s="778"/>
      <c r="N91" s="976">
        <v>47</v>
      </c>
      <c r="O91" s="1020">
        <v>38</v>
      </c>
      <c r="P91" s="847">
        <f>VLOOKUP(N91,etat!$A$9:$N$1004,2,FALSE)</f>
        <v>0</v>
      </c>
      <c r="Q91" s="797" t="str">
        <f>VLOOKUP(N91,etat!$A$9:$N$963,7,FALSE)</f>
        <v>3ت ا ق1</v>
      </c>
      <c r="R91" s="797" t="str">
        <f>VLOOKUP(N91,etat!$A$9:$N$1003,9,FALSE)</f>
        <v>خ</v>
      </c>
      <c r="S91" s="866" t="str">
        <f>VLOOKUP(N91,etat!$A$9:$P$905,16,FALSE)</f>
        <v>اخ3</v>
      </c>
      <c r="T91" s="755">
        <v>45781</v>
      </c>
      <c r="U91" s="791">
        <v>4</v>
      </c>
      <c r="V91" s="784" t="s">
        <v>2285</v>
      </c>
      <c r="W91" s="784"/>
      <c r="X91" s="784"/>
      <c r="Y91" s="975"/>
      <c r="Z91" s="975"/>
      <c r="AA91" s="967">
        <v>7</v>
      </c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</row>
    <row r="92" spans="1:79" s="937" customFormat="1" ht="15" customHeight="1">
      <c r="A92" s="25"/>
      <c r="B92" s="25"/>
      <c r="C92" s="25"/>
      <c r="D92" s="295"/>
      <c r="E92" s="295"/>
      <c r="F92" s="295"/>
      <c r="G92" s="295"/>
      <c r="H92" s="295"/>
      <c r="I92" s="25"/>
      <c r="J92" s="25"/>
      <c r="K92" s="25"/>
      <c r="L92" s="777">
        <v>5</v>
      </c>
      <c r="M92" s="778"/>
      <c r="N92" s="976">
        <v>48</v>
      </c>
      <c r="O92" s="1020">
        <v>39</v>
      </c>
      <c r="P92" s="847">
        <f>VLOOKUP(N92,etat!$A$9:$N$1004,2,FALSE)</f>
        <v>0</v>
      </c>
      <c r="Q92" s="797" t="str">
        <f>VLOOKUP(N92,etat!$A$9:$N$963,7,FALSE)</f>
        <v>3ت ا ق2</v>
      </c>
      <c r="R92" s="797" t="str">
        <f>VLOOKUP(N92,etat!$A$9:$N$1003,9,FALSE)</f>
        <v>ن/د</v>
      </c>
      <c r="S92" s="866" t="str">
        <f>VLOOKUP(N92,etat!$A$9:$P$905,16,FALSE)</f>
        <v>ذخ3</v>
      </c>
      <c r="T92" s="755">
        <v>45768</v>
      </c>
      <c r="U92" s="791">
        <v>17</v>
      </c>
      <c r="V92" s="784" t="s">
        <v>2275</v>
      </c>
      <c r="W92" s="784" t="s">
        <v>2282</v>
      </c>
      <c r="X92" s="784" t="s">
        <v>2287</v>
      </c>
      <c r="Y92" s="1116"/>
      <c r="Z92" s="975" t="str">
        <f>VLOOKUP(L92,[2]اس!$S$3:$X$31,3,FALSE)</f>
        <v>.</v>
      </c>
      <c r="AA92" s="967">
        <v>7</v>
      </c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</row>
    <row r="93" spans="1:79" s="934" customFormat="1" ht="15" customHeight="1">
      <c r="A93" s="25"/>
      <c r="B93" s="25"/>
      <c r="C93" s="25"/>
      <c r="D93" s="295"/>
      <c r="E93" s="295"/>
      <c r="F93" s="295"/>
      <c r="G93" s="295"/>
      <c r="H93" s="295"/>
      <c r="I93" s="25"/>
      <c r="J93" s="25"/>
      <c r="K93" s="25"/>
      <c r="L93" s="777">
        <v>5</v>
      </c>
      <c r="M93" s="778"/>
      <c r="N93" s="976">
        <v>24</v>
      </c>
      <c r="O93" s="1020">
        <v>40</v>
      </c>
      <c r="P93" s="847">
        <f>VLOOKUP(N93,etat!$A$9:$N$1004,2,FALSE)</f>
        <v>0</v>
      </c>
      <c r="Q93" s="797" t="str">
        <f>VLOOKUP(N93,etat!$A$9:$N$963,7,FALSE)</f>
        <v xml:space="preserve"> 3ت ر طرا </v>
      </c>
      <c r="R93" s="797" t="str">
        <f>VLOOKUP(N93,etat!$A$9:$N$1003,9,FALSE)</f>
        <v>خ</v>
      </c>
      <c r="S93" s="866" t="str">
        <f>VLOOKUP(N93,etat!$A$9:$P$905,16,FALSE)</f>
        <v>اخ3</v>
      </c>
      <c r="T93" s="755">
        <v>45784</v>
      </c>
      <c r="U93" s="791">
        <v>1</v>
      </c>
      <c r="V93" s="784"/>
      <c r="W93" s="784"/>
      <c r="X93" s="784"/>
      <c r="Y93" s="1117"/>
      <c r="Z93" s="967"/>
      <c r="AA93" s="967">
        <v>7</v>
      </c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302"/>
      <c r="AY93" s="302"/>
      <c r="AZ93" s="302"/>
      <c r="BA93" s="302"/>
      <c r="BB93" s="302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</row>
    <row r="94" spans="1:79" s="798" customFormat="1" ht="15" customHeight="1">
      <c r="A94" s="25"/>
      <c r="B94" s="25"/>
      <c r="C94" s="25"/>
      <c r="D94" s="295"/>
      <c r="E94" s="295"/>
      <c r="F94" s="295"/>
      <c r="G94" s="295"/>
      <c r="H94" s="295"/>
      <c r="I94" s="25"/>
      <c r="J94" s="25"/>
      <c r="K94" s="25"/>
      <c r="L94" s="777">
        <v>5</v>
      </c>
      <c r="M94" s="778"/>
      <c r="N94" s="976">
        <v>51</v>
      </c>
      <c r="O94" s="1020">
        <v>41</v>
      </c>
      <c r="P94" s="847">
        <f>VLOOKUP(N94,etat!$A$9:$N$1004,2,FALSE)</f>
        <v>0</v>
      </c>
      <c r="Q94" s="797" t="str">
        <f>VLOOKUP(N94,etat!$A$9:$N$963,7,FALSE)</f>
        <v>3ت ا ق2</v>
      </c>
      <c r="R94" s="797" t="str">
        <f>VLOOKUP(N94,etat!$A$9:$N$1003,9,FALSE)</f>
        <v>خ</v>
      </c>
      <c r="S94" s="866" t="str">
        <f>VLOOKUP(N94,etat!$A$9:$P$905,16,FALSE)</f>
        <v>ذخ3</v>
      </c>
      <c r="T94" s="755">
        <v>45782</v>
      </c>
      <c r="U94" s="791">
        <v>3</v>
      </c>
      <c r="V94" s="784" t="s">
        <v>2287</v>
      </c>
      <c r="W94" s="784"/>
      <c r="X94" s="784"/>
      <c r="Y94" s="1117"/>
      <c r="Z94" s="967"/>
      <c r="AA94" s="967">
        <v>7</v>
      </c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302"/>
      <c r="AY94" s="302"/>
      <c r="AZ94" s="302"/>
      <c r="BA94" s="302"/>
      <c r="BB94" s="302"/>
      <c r="BC94" s="25"/>
      <c r="BD94" s="25"/>
      <c r="BE94" s="25"/>
      <c r="BF94" s="25"/>
      <c r="BG94" s="25"/>
      <c r="BH94" s="25"/>
      <c r="BI94" s="25"/>
      <c r="BJ94" s="302"/>
      <c r="BK94" s="302"/>
      <c r="BL94" s="302"/>
      <c r="BM94" s="302"/>
      <c r="BN94" s="302"/>
      <c r="BO94" s="302"/>
      <c r="BP94" s="302"/>
      <c r="BQ94" s="302"/>
      <c r="BR94" s="302"/>
      <c r="BS94" s="302"/>
      <c r="BT94" s="302"/>
      <c r="BU94" s="302"/>
      <c r="BV94" s="25"/>
      <c r="BW94" s="25"/>
      <c r="BX94" s="25"/>
      <c r="BY94" s="25"/>
      <c r="BZ94" s="25"/>
      <c r="CA94" s="25"/>
    </row>
    <row r="95" spans="1:79" s="934" customFormat="1" ht="15" customHeight="1">
      <c r="A95" s="25"/>
      <c r="B95" s="25"/>
      <c r="C95" s="25"/>
      <c r="D95" s="295"/>
      <c r="E95" s="295"/>
      <c r="F95" s="295"/>
      <c r="G95" s="295"/>
      <c r="H95" s="295"/>
      <c r="I95" s="25"/>
      <c r="J95" s="25"/>
      <c r="K95" s="25"/>
      <c r="L95" s="777">
        <v>5</v>
      </c>
      <c r="M95" s="778"/>
      <c r="N95" s="976">
        <v>52</v>
      </c>
      <c r="O95" s="1020">
        <v>42</v>
      </c>
      <c r="P95" s="847">
        <f>VLOOKUP(N95,etat!$A$9:$N$1004,2,FALSE)</f>
        <v>0</v>
      </c>
      <c r="Q95" s="797" t="str">
        <f>VLOOKUP(N95,etat!$A$9:$N$963,7,FALSE)</f>
        <v>3ت ا ق2</v>
      </c>
      <c r="R95" s="797" t="str">
        <f>VLOOKUP(N95,etat!$A$9:$N$1003,9,FALSE)</f>
        <v>خ</v>
      </c>
      <c r="S95" s="866" t="str">
        <f>VLOOKUP(N95,etat!$A$9:$P$905,16,FALSE)</f>
        <v>ذخ3</v>
      </c>
      <c r="T95" s="755">
        <v>45782</v>
      </c>
      <c r="U95" s="791">
        <v>3</v>
      </c>
      <c r="V95" s="784" t="s">
        <v>2287</v>
      </c>
      <c r="W95" s="784"/>
      <c r="X95" s="784"/>
      <c r="Y95" s="1117"/>
      <c r="Z95" s="967"/>
      <c r="AA95" s="967">
        <v>7</v>
      </c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302"/>
      <c r="AY95" s="302"/>
      <c r="AZ95" s="302"/>
      <c r="BA95" s="302"/>
      <c r="BB95" s="302"/>
      <c r="BC95" s="302"/>
      <c r="BD95" s="302"/>
      <c r="BE95" s="302"/>
      <c r="BF95" s="302"/>
      <c r="BG95" s="302"/>
      <c r="BH95" s="302"/>
      <c r="BI95" s="302"/>
      <c r="BJ95" s="302"/>
      <c r="BK95" s="302"/>
      <c r="BL95" s="302"/>
      <c r="BM95" s="302"/>
      <c r="BN95" s="302"/>
      <c r="BO95" s="302"/>
      <c r="BP95" s="302"/>
      <c r="BQ95" s="302"/>
      <c r="BR95" s="302"/>
      <c r="BS95" s="302"/>
      <c r="BT95" s="302"/>
      <c r="BU95" s="302"/>
      <c r="BV95" s="25"/>
      <c r="BW95" s="25"/>
      <c r="BX95" s="25"/>
      <c r="BY95" s="25"/>
      <c r="BZ95" s="25"/>
      <c r="CA95" s="25"/>
    </row>
    <row r="96" spans="1:79" s="927" customFormat="1" ht="15" customHeight="1">
      <c r="A96" s="25"/>
      <c r="B96" s="25"/>
      <c r="C96" s="25"/>
      <c r="D96" s="295"/>
      <c r="E96" s="295"/>
      <c r="F96" s="295"/>
      <c r="G96" s="295"/>
      <c r="H96" s="295"/>
      <c r="I96" s="25"/>
      <c r="J96" s="25"/>
      <c r="K96" s="25"/>
      <c r="L96" s="777">
        <v>5</v>
      </c>
      <c r="M96" s="778"/>
      <c r="N96" s="976">
        <v>54</v>
      </c>
      <c r="O96" s="1020">
        <v>43</v>
      </c>
      <c r="P96" s="847">
        <f>VLOOKUP(N96,etat!$A$9:$N$1004,2,FALSE)</f>
        <v>0</v>
      </c>
      <c r="Q96" s="797" t="str">
        <f>VLOOKUP(N96,etat!$A$9:$N$963,7,FALSE)</f>
        <v>3ت ا ق2</v>
      </c>
      <c r="R96" s="797" t="str">
        <f>VLOOKUP(N96,etat!$A$9:$N$1003,9,FALSE)</f>
        <v>خ</v>
      </c>
      <c r="S96" s="866" t="str">
        <f>VLOOKUP(N96,etat!$A$9:$P$905,16,FALSE)</f>
        <v>ذخ3</v>
      </c>
      <c r="T96" s="755">
        <v>45782</v>
      </c>
      <c r="U96" s="791">
        <v>3</v>
      </c>
      <c r="V96" s="784" t="s">
        <v>2287</v>
      </c>
      <c r="W96" s="784"/>
      <c r="X96" s="784"/>
      <c r="Y96" s="1117"/>
      <c r="Z96" s="967"/>
      <c r="AA96" s="967">
        <v>7</v>
      </c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302"/>
      <c r="AY96" s="302"/>
      <c r="AZ96" s="302"/>
      <c r="BA96" s="302"/>
      <c r="BB96" s="302"/>
      <c r="BC96" s="302"/>
      <c r="BD96" s="302"/>
      <c r="BE96" s="302"/>
      <c r="BF96" s="302"/>
      <c r="BG96" s="302"/>
      <c r="BH96" s="302"/>
      <c r="BI96" s="302"/>
      <c r="BJ96" s="302"/>
      <c r="BK96" s="302"/>
      <c r="BL96" s="302"/>
      <c r="BM96" s="302"/>
      <c r="BN96" s="302"/>
      <c r="BO96" s="302"/>
      <c r="BP96" s="302"/>
      <c r="BQ96" s="302"/>
      <c r="BR96" s="302"/>
      <c r="BS96" s="302"/>
      <c r="BT96" s="302"/>
      <c r="BU96" s="302"/>
      <c r="BV96" s="25"/>
      <c r="BW96" s="25"/>
      <c r="BX96" s="25"/>
      <c r="BY96" s="25"/>
      <c r="BZ96" s="25"/>
      <c r="CA96" s="25"/>
    </row>
    <row r="97" spans="1:79" s="934" customFormat="1" ht="15" customHeight="1">
      <c r="A97" s="25"/>
      <c r="B97" s="25"/>
      <c r="C97" s="25"/>
      <c r="D97" s="295"/>
      <c r="E97" s="295"/>
      <c r="F97" s="295"/>
      <c r="G97" s="295"/>
      <c r="H97" s="295"/>
      <c r="I97" s="25"/>
      <c r="J97" s="25"/>
      <c r="K97" s="25"/>
      <c r="L97" s="777">
        <v>5</v>
      </c>
      <c r="M97" s="778"/>
      <c r="N97" s="976">
        <v>57</v>
      </c>
      <c r="O97" s="1020">
        <v>44</v>
      </c>
      <c r="P97" s="847">
        <f>VLOOKUP(N97,etat!$A$9:$N$1004,2,FALSE)</f>
        <v>0</v>
      </c>
      <c r="Q97" s="797" t="str">
        <f>VLOOKUP(N97,etat!$A$9:$N$963,7,FALSE)</f>
        <v>3ت ا ق2</v>
      </c>
      <c r="R97" s="797" t="str">
        <f>VLOOKUP(N97,etat!$A$9:$N$1003,9,FALSE)</f>
        <v>خ</v>
      </c>
      <c r="S97" s="866" t="str">
        <f>VLOOKUP(N97,etat!$A$9:$P$905,16,FALSE)</f>
        <v>ذخ3</v>
      </c>
      <c r="T97" s="755">
        <v>45781</v>
      </c>
      <c r="U97" s="791">
        <v>4</v>
      </c>
      <c r="V97" s="784" t="s">
        <v>2285</v>
      </c>
      <c r="W97" s="784"/>
      <c r="X97" s="784"/>
      <c r="Y97" s="975"/>
      <c r="Z97" s="975"/>
      <c r="AA97" s="967">
        <v>7</v>
      </c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302"/>
      <c r="AY97" s="302"/>
      <c r="AZ97" s="302"/>
      <c r="BA97" s="302"/>
      <c r="BB97" s="302"/>
      <c r="BC97" s="302"/>
      <c r="BD97" s="302"/>
      <c r="BE97" s="302"/>
      <c r="BF97" s="302"/>
      <c r="BG97" s="302"/>
      <c r="BH97" s="302"/>
      <c r="BI97" s="302"/>
      <c r="BJ97" s="302"/>
      <c r="BK97" s="302"/>
      <c r="BL97" s="302"/>
      <c r="BM97" s="302"/>
      <c r="BN97" s="302"/>
      <c r="BO97" s="302"/>
      <c r="BP97" s="302"/>
      <c r="BQ97" s="302"/>
      <c r="BR97" s="302"/>
      <c r="BS97" s="302"/>
      <c r="BT97" s="302"/>
      <c r="BU97" s="302"/>
      <c r="BV97" s="25"/>
      <c r="BW97" s="25"/>
      <c r="BX97" s="25"/>
      <c r="BY97" s="25"/>
      <c r="BZ97" s="25"/>
      <c r="CA97" s="25"/>
    </row>
    <row r="98" spans="1:79" s="927" customFormat="1" ht="15" customHeight="1">
      <c r="A98" s="25"/>
      <c r="B98" s="25"/>
      <c r="C98" s="25"/>
      <c r="D98" s="295"/>
      <c r="E98" s="295"/>
      <c r="F98" s="295"/>
      <c r="G98" s="295"/>
      <c r="H98" s="295"/>
      <c r="I98" s="25"/>
      <c r="J98" s="25"/>
      <c r="K98" s="25"/>
      <c r="L98" s="777">
        <v>5</v>
      </c>
      <c r="M98" s="778"/>
      <c r="N98" s="976">
        <v>62</v>
      </c>
      <c r="O98" s="1020">
        <v>45</v>
      </c>
      <c r="P98" s="847">
        <f>VLOOKUP(N98,etat!$A$9:$N$1004,2,FALSE)</f>
        <v>0</v>
      </c>
      <c r="Q98" s="797" t="str">
        <f>VLOOKUP(N98,etat!$A$9:$N$963,7,FALSE)</f>
        <v>3ت ا ق2</v>
      </c>
      <c r="R98" s="797" t="str">
        <f>VLOOKUP(N98,etat!$A$9:$N$1003,9,FALSE)</f>
        <v>خ</v>
      </c>
      <c r="S98" s="866" t="str">
        <f>VLOOKUP(N98,etat!$A$9:$P$905,16,FALSE)</f>
        <v>ذخ3</v>
      </c>
      <c r="T98" s="755">
        <v>45769</v>
      </c>
      <c r="U98" s="791">
        <v>16</v>
      </c>
      <c r="V98" s="784" t="s">
        <v>2278</v>
      </c>
      <c r="W98" s="784" t="s">
        <v>2283</v>
      </c>
      <c r="X98" s="784"/>
      <c r="Y98" s="975"/>
      <c r="Z98" s="975" t="str">
        <f>VLOOKUP(L98,[2]اس!$S$3:$X$31,3,FALSE)</f>
        <v>.</v>
      </c>
      <c r="AA98" s="967">
        <v>7</v>
      </c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302"/>
      <c r="AY98" s="302"/>
      <c r="AZ98" s="302"/>
      <c r="BA98" s="302"/>
      <c r="BB98" s="302"/>
      <c r="BC98" s="302"/>
      <c r="BD98" s="302"/>
      <c r="BE98" s="302"/>
      <c r="BF98" s="302"/>
      <c r="BG98" s="302"/>
      <c r="BH98" s="302"/>
      <c r="BI98" s="302"/>
      <c r="BJ98" s="302"/>
      <c r="BK98" s="302"/>
      <c r="BL98" s="302"/>
      <c r="BM98" s="302"/>
      <c r="BN98" s="302"/>
      <c r="BO98" s="302"/>
      <c r="BP98" s="302"/>
      <c r="BQ98" s="302"/>
      <c r="BR98" s="302"/>
      <c r="BS98" s="302"/>
      <c r="BT98" s="302"/>
      <c r="BU98" s="302"/>
      <c r="BV98" s="25"/>
      <c r="BW98" s="25"/>
      <c r="BX98" s="25"/>
      <c r="BY98" s="25"/>
      <c r="BZ98" s="25"/>
      <c r="CA98" s="25"/>
    </row>
    <row r="99" spans="1:79" ht="15" customHeight="1">
      <c r="A99" s="25"/>
      <c r="B99" s="25"/>
      <c r="C99" s="25"/>
      <c r="D99" s="295"/>
      <c r="E99" s="295"/>
      <c r="F99" s="295"/>
      <c r="G99" s="295"/>
      <c r="H99" s="295"/>
      <c r="I99" s="25"/>
      <c r="J99" s="25"/>
      <c r="K99" s="25"/>
      <c r="L99" s="777">
        <v>5</v>
      </c>
      <c r="M99" s="778"/>
      <c r="N99" s="976">
        <v>63</v>
      </c>
      <c r="O99" s="1020">
        <v>46</v>
      </c>
      <c r="P99" s="847">
        <f>VLOOKUP(N99,etat!$A$9:$N$1004,2,FALSE)</f>
        <v>0</v>
      </c>
      <c r="Q99" s="797" t="str">
        <f>VLOOKUP(N99,etat!$A$9:$N$963,7,FALSE)</f>
        <v>3ت ا ق2</v>
      </c>
      <c r="R99" s="797" t="str">
        <f>VLOOKUP(N99,etat!$A$9:$N$1003,9,FALSE)</f>
        <v>خ</v>
      </c>
      <c r="S99" s="866" t="str">
        <f>VLOOKUP(N99,etat!$A$9:$P$905,16,FALSE)</f>
        <v>اخ3</v>
      </c>
      <c r="T99" s="755">
        <v>45763</v>
      </c>
      <c r="U99" s="791">
        <v>22</v>
      </c>
      <c r="V99" s="784" t="s">
        <v>2269</v>
      </c>
      <c r="W99" s="784" t="s">
        <v>2280</v>
      </c>
      <c r="X99" s="784" t="s">
        <v>2283</v>
      </c>
      <c r="Y99" s="975"/>
      <c r="Z99" s="975" t="str">
        <f>VLOOKUP(L99,[2]اس!$S$3:$X$31,3,FALSE)</f>
        <v>.</v>
      </c>
      <c r="AA99" s="967">
        <v>7</v>
      </c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302"/>
      <c r="AY99" s="302"/>
      <c r="AZ99" s="302"/>
      <c r="BA99" s="302"/>
      <c r="BB99" s="302"/>
      <c r="BC99" s="302"/>
      <c r="BD99" s="302"/>
      <c r="BE99" s="302"/>
      <c r="BF99" s="302"/>
      <c r="BG99" s="302"/>
      <c r="BH99" s="302"/>
      <c r="BI99" s="302"/>
      <c r="BJ99" s="302"/>
      <c r="BK99" s="302"/>
      <c r="BL99" s="302"/>
      <c r="BM99" s="302"/>
      <c r="BN99" s="302"/>
      <c r="BO99" s="302"/>
      <c r="BP99" s="302"/>
      <c r="BQ99" s="302"/>
      <c r="BR99" s="302"/>
      <c r="BS99" s="302"/>
      <c r="BT99" s="302"/>
      <c r="BU99" s="302"/>
      <c r="BV99" s="25"/>
      <c r="BW99" s="25"/>
      <c r="BX99" s="25"/>
      <c r="BY99" s="25"/>
      <c r="BZ99" s="25"/>
      <c r="CA99" s="25"/>
    </row>
    <row r="100" spans="1:79" s="927" customFormat="1" ht="15" customHeight="1">
      <c r="A100" s="25"/>
      <c r="B100" s="25"/>
      <c r="C100" s="25"/>
      <c r="D100" s="295"/>
      <c r="E100" s="295"/>
      <c r="F100" s="295"/>
      <c r="G100" s="295"/>
      <c r="H100" s="295"/>
      <c r="I100" s="25"/>
      <c r="J100" s="25"/>
      <c r="K100" s="25"/>
      <c r="L100" s="777">
        <v>5</v>
      </c>
      <c r="M100" s="778"/>
      <c r="N100" s="976">
        <v>64</v>
      </c>
      <c r="O100" s="1020">
        <v>47</v>
      </c>
      <c r="P100" s="847">
        <f>VLOOKUP(N100,etat!$A$9:$N$1004,2,FALSE)</f>
        <v>0</v>
      </c>
      <c r="Q100" s="797" t="str">
        <f>VLOOKUP(N100,etat!$A$9:$N$963,7,FALSE)</f>
        <v>3ت ا ق2</v>
      </c>
      <c r="R100" s="797" t="str">
        <f>VLOOKUP(N100,etat!$A$9:$N$1003,9,FALSE)</f>
        <v>خ</v>
      </c>
      <c r="S100" s="866" t="str">
        <f>VLOOKUP(N100,etat!$A$9:$P$905,16,FALSE)</f>
        <v>اخ3</v>
      </c>
      <c r="T100" s="755">
        <v>45776</v>
      </c>
      <c r="U100" s="791">
        <v>9</v>
      </c>
      <c r="V100" s="784" t="s">
        <v>2283</v>
      </c>
      <c r="W100" s="784"/>
      <c r="X100" s="784"/>
      <c r="Y100" s="975"/>
      <c r="Z100" s="975"/>
      <c r="AA100" s="967">
        <v>7</v>
      </c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302"/>
      <c r="AY100" s="302"/>
      <c r="AZ100" s="302"/>
      <c r="BA100" s="302"/>
      <c r="BB100" s="302"/>
      <c r="BC100" s="302"/>
      <c r="BD100" s="302"/>
      <c r="BE100" s="302"/>
      <c r="BF100" s="302"/>
      <c r="BG100" s="302"/>
      <c r="BH100" s="302"/>
      <c r="BI100" s="302"/>
      <c r="BJ100" s="302"/>
      <c r="BK100" s="302"/>
      <c r="BL100" s="302"/>
      <c r="BM100" s="302"/>
      <c r="BN100" s="302"/>
      <c r="BO100" s="302"/>
      <c r="BP100" s="302"/>
      <c r="BQ100" s="302"/>
      <c r="BR100" s="302"/>
      <c r="BS100" s="302"/>
      <c r="BT100" s="302"/>
      <c r="BU100" s="302"/>
      <c r="BV100" s="25"/>
      <c r="BW100" s="25"/>
      <c r="BX100" s="25"/>
      <c r="BY100" s="25"/>
      <c r="BZ100" s="25"/>
      <c r="CA100" s="25"/>
    </row>
    <row r="101" spans="1:79" s="934" customFormat="1" ht="15" customHeight="1">
      <c r="A101" s="25"/>
      <c r="B101" s="25"/>
      <c r="C101" s="25"/>
      <c r="D101" s="295"/>
      <c r="E101" s="295"/>
      <c r="F101" s="295"/>
      <c r="G101" s="295"/>
      <c r="H101" s="295"/>
      <c r="I101" s="25"/>
      <c r="J101" s="25"/>
      <c r="K101" s="25"/>
      <c r="L101" s="777">
        <v>5</v>
      </c>
      <c r="M101" s="778"/>
      <c r="N101" s="976">
        <v>66</v>
      </c>
      <c r="O101" s="1020">
        <v>48</v>
      </c>
      <c r="P101" s="847">
        <f>VLOOKUP(N101,etat!$A$9:$N$1004,2,FALSE)</f>
        <v>0</v>
      </c>
      <c r="Q101" s="797" t="str">
        <f>VLOOKUP(N101,etat!$A$9:$N$963,7,FALSE)</f>
        <v>3ت ا ق2</v>
      </c>
      <c r="R101" s="797" t="str">
        <f>VLOOKUP(N101,etat!$A$9:$N$1003,9,FALSE)</f>
        <v>خ</v>
      </c>
      <c r="S101" s="866" t="str">
        <f>VLOOKUP(N101,etat!$A$9:$P$905,16,FALSE)</f>
        <v>ذخ3</v>
      </c>
      <c r="T101" s="755">
        <v>45782</v>
      </c>
      <c r="U101" s="784" t="s">
        <v>359</v>
      </c>
      <c r="V101" s="784"/>
      <c r="W101" s="784"/>
      <c r="X101" s="784"/>
      <c r="Y101" s="1117"/>
      <c r="Z101" s="967"/>
      <c r="AA101" s="967">
        <v>7</v>
      </c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302"/>
      <c r="AY101" s="302"/>
      <c r="AZ101" s="302"/>
      <c r="BA101" s="302"/>
      <c r="BB101" s="302"/>
      <c r="BC101" s="302"/>
      <c r="BD101" s="302"/>
      <c r="BE101" s="302"/>
      <c r="BF101" s="302"/>
      <c r="BG101" s="302"/>
      <c r="BH101" s="302"/>
      <c r="BI101" s="302"/>
      <c r="BJ101" s="302"/>
      <c r="BK101" s="302"/>
      <c r="BL101" s="302"/>
      <c r="BM101" s="302"/>
      <c r="BN101" s="302"/>
      <c r="BO101" s="302"/>
      <c r="BP101" s="302"/>
      <c r="BQ101" s="302"/>
      <c r="BR101" s="302"/>
      <c r="BS101" s="302"/>
      <c r="BT101" s="302"/>
      <c r="BU101" s="302"/>
      <c r="BV101" s="302"/>
      <c r="BW101" s="302"/>
      <c r="BX101" s="302"/>
      <c r="BY101" s="302"/>
      <c r="BZ101" s="302"/>
      <c r="CA101" s="302"/>
    </row>
    <row r="102" spans="1:79" s="934" customFormat="1" ht="15" customHeight="1">
      <c r="A102" s="25"/>
      <c r="B102" s="25"/>
      <c r="C102" s="25"/>
      <c r="D102" s="295"/>
      <c r="E102" s="295"/>
      <c r="F102" s="295"/>
      <c r="G102" s="295"/>
      <c r="H102" s="295"/>
      <c r="I102" s="25"/>
      <c r="J102" s="25"/>
      <c r="K102" s="25"/>
      <c r="L102" s="777">
        <v>5</v>
      </c>
      <c r="M102" s="778"/>
      <c r="N102" s="976">
        <v>68</v>
      </c>
      <c r="O102" s="1020">
        <v>49</v>
      </c>
      <c r="P102" s="847">
        <f>VLOOKUP(N102,etat!$A$9:$N$1004,2,FALSE)</f>
        <v>0</v>
      </c>
      <c r="Q102" s="797" t="str">
        <f>VLOOKUP(N102,etat!$A$9:$N$963,7,FALSE)</f>
        <v>3ت ا ق2</v>
      </c>
      <c r="R102" s="797" t="str">
        <f>VLOOKUP(N102,etat!$A$9:$N$1003,9,FALSE)</f>
        <v>خ</v>
      </c>
      <c r="S102" s="866" t="str">
        <f>VLOOKUP(N102,etat!$A$9:$P$905,16,FALSE)</f>
        <v>اخ3</v>
      </c>
      <c r="T102" s="755">
        <v>45782</v>
      </c>
      <c r="U102" s="784" t="s">
        <v>359</v>
      </c>
      <c r="V102" s="784"/>
      <c r="W102" s="784"/>
      <c r="X102" s="784"/>
      <c r="Y102" s="1134"/>
      <c r="Z102" s="967"/>
      <c r="AA102" s="967">
        <v>7</v>
      </c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302"/>
      <c r="AY102" s="302"/>
      <c r="AZ102" s="302"/>
      <c r="BA102" s="302"/>
      <c r="BB102" s="302"/>
      <c r="BC102" s="302"/>
      <c r="BD102" s="302"/>
      <c r="BE102" s="302"/>
      <c r="BF102" s="302"/>
      <c r="BG102" s="302"/>
      <c r="BH102" s="302"/>
      <c r="BI102" s="302"/>
      <c r="BJ102" s="302"/>
      <c r="BK102" s="302"/>
      <c r="BL102" s="302"/>
      <c r="BM102" s="302"/>
      <c r="BN102" s="302"/>
      <c r="BO102" s="302"/>
      <c r="BP102" s="302"/>
      <c r="BQ102" s="302"/>
      <c r="BR102" s="302"/>
      <c r="BS102" s="302"/>
      <c r="BT102" s="302"/>
      <c r="BU102" s="302"/>
      <c r="BV102" s="302"/>
      <c r="BW102" s="302"/>
      <c r="BX102" s="302"/>
      <c r="BY102" s="302"/>
      <c r="BZ102" s="302"/>
      <c r="CA102" s="302"/>
    </row>
    <row r="103" spans="1:79" s="934" customFormat="1" ht="15" customHeight="1">
      <c r="A103" s="25"/>
      <c r="B103" s="25"/>
      <c r="C103" s="25"/>
      <c r="D103" s="295"/>
      <c r="E103" s="295"/>
      <c r="F103" s="295"/>
      <c r="G103" s="295"/>
      <c r="H103" s="295"/>
      <c r="I103" s="25"/>
      <c r="J103" s="25"/>
      <c r="K103" s="25"/>
      <c r="L103" s="777">
        <v>5</v>
      </c>
      <c r="M103" s="778"/>
      <c r="N103" s="976">
        <v>69</v>
      </c>
      <c r="O103" s="1020">
        <v>50</v>
      </c>
      <c r="P103" s="847">
        <f>VLOOKUP(N103,etat!$A$9:$N$1004,2,FALSE)</f>
        <v>0</v>
      </c>
      <c r="Q103" s="797" t="str">
        <f>VLOOKUP(N103,etat!$A$9:$N$963,7,FALSE)</f>
        <v>3ع ت1</v>
      </c>
      <c r="R103" s="797" t="str">
        <f>VLOOKUP(N103,etat!$A$9:$N$1003,9,FALSE)</f>
        <v>ن/د</v>
      </c>
      <c r="S103" s="866" t="str">
        <f>VLOOKUP(N103,etat!$A$9:$P$905,16,FALSE)</f>
        <v>ذخ3</v>
      </c>
      <c r="T103" s="755">
        <v>45768</v>
      </c>
      <c r="U103" s="791">
        <v>17</v>
      </c>
      <c r="V103" s="784" t="s">
        <v>2275</v>
      </c>
      <c r="W103" s="784" t="s">
        <v>2283</v>
      </c>
      <c r="X103" s="784" t="s">
        <v>2287</v>
      </c>
      <c r="Y103" s="975"/>
      <c r="Z103" s="975" t="str">
        <f>VLOOKUP(L103,[2]اس!$S$3:$X$31,3,FALSE)</f>
        <v>.</v>
      </c>
      <c r="AA103" s="967">
        <v>7</v>
      </c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302"/>
      <c r="AY103" s="302"/>
      <c r="AZ103" s="302"/>
      <c r="BA103" s="302"/>
      <c r="BB103" s="302"/>
      <c r="BC103" s="302"/>
      <c r="BD103" s="302"/>
      <c r="BE103" s="302"/>
      <c r="BF103" s="302"/>
      <c r="BG103" s="302"/>
      <c r="BH103" s="302"/>
      <c r="BI103" s="302"/>
      <c r="BJ103" s="302"/>
      <c r="BK103" s="302"/>
      <c r="BL103" s="302"/>
      <c r="BM103" s="302"/>
      <c r="BN103" s="302"/>
      <c r="BO103" s="302"/>
      <c r="BP103" s="302"/>
      <c r="BQ103" s="302"/>
      <c r="BR103" s="302"/>
      <c r="BS103" s="302"/>
      <c r="BT103" s="302"/>
      <c r="BU103" s="302"/>
      <c r="BV103" s="302"/>
      <c r="BW103" s="302"/>
      <c r="BX103" s="302"/>
      <c r="BY103" s="302"/>
      <c r="BZ103" s="302"/>
      <c r="CA103" s="302"/>
    </row>
    <row r="104" spans="1:79" s="927" customFormat="1" ht="15" customHeight="1">
      <c r="A104" s="25"/>
      <c r="B104" s="25"/>
      <c r="C104" s="25"/>
      <c r="D104" s="295"/>
      <c r="E104" s="295"/>
      <c r="F104" s="295"/>
      <c r="G104" s="295"/>
      <c r="H104" s="295"/>
      <c r="I104" s="25"/>
      <c r="J104" s="25"/>
      <c r="K104" s="25"/>
      <c r="L104" s="777">
        <v>5</v>
      </c>
      <c r="M104" s="778"/>
      <c r="N104" s="976">
        <v>70</v>
      </c>
      <c r="O104" s="1020">
        <v>51</v>
      </c>
      <c r="P104" s="847">
        <f>VLOOKUP(N104,etat!$A$9:$N$1004,2,FALSE)</f>
        <v>0</v>
      </c>
      <c r="Q104" s="797" t="str">
        <f>VLOOKUP(N104,etat!$A$9:$N$963,7,FALSE)</f>
        <v>3ع ت1</v>
      </c>
      <c r="R104" s="797" t="str">
        <f>VLOOKUP(N104,etat!$A$9:$N$1003,9,FALSE)</f>
        <v>ن/د</v>
      </c>
      <c r="S104" s="866" t="str">
        <f>VLOOKUP(N104,etat!$A$9:$P$905,16,FALSE)</f>
        <v>ذخ3</v>
      </c>
      <c r="T104" s="755">
        <v>45781</v>
      </c>
      <c r="U104" s="791">
        <v>4</v>
      </c>
      <c r="V104" s="784" t="s">
        <v>2285</v>
      </c>
      <c r="W104" s="784"/>
      <c r="X104" s="784"/>
      <c r="Y104" s="1116"/>
      <c r="Z104" s="975"/>
      <c r="AA104" s="967">
        <v>7</v>
      </c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302"/>
      <c r="AY104" s="302"/>
      <c r="AZ104" s="302"/>
      <c r="BA104" s="302"/>
      <c r="BB104" s="302"/>
      <c r="BC104" s="302"/>
      <c r="BD104" s="302"/>
      <c r="BE104" s="302"/>
      <c r="BF104" s="302"/>
      <c r="BG104" s="302"/>
      <c r="BH104" s="302"/>
      <c r="BI104" s="302"/>
      <c r="BJ104" s="302"/>
      <c r="BK104" s="302"/>
      <c r="BL104" s="302"/>
      <c r="BM104" s="302"/>
      <c r="BN104" s="302"/>
      <c r="BO104" s="302"/>
      <c r="BP104" s="302"/>
      <c r="BQ104" s="302"/>
      <c r="BR104" s="302"/>
      <c r="BS104" s="302"/>
      <c r="BT104" s="302"/>
      <c r="BU104" s="302"/>
      <c r="BV104" s="302"/>
      <c r="BW104" s="302"/>
      <c r="BX104" s="302"/>
      <c r="BY104" s="302"/>
      <c r="BZ104" s="302"/>
      <c r="CA104" s="302"/>
    </row>
    <row r="105" spans="1:79" s="927" customFormat="1" ht="15" customHeight="1">
      <c r="A105" s="25"/>
      <c r="B105" s="25"/>
      <c r="C105" s="25"/>
      <c r="D105" s="295"/>
      <c r="E105" s="295"/>
      <c r="F105" s="295"/>
      <c r="G105" s="295"/>
      <c r="H105" s="295"/>
      <c r="I105" s="25"/>
      <c r="J105" s="25"/>
      <c r="K105" s="25"/>
      <c r="L105" s="777">
        <v>5</v>
      </c>
      <c r="M105" s="778"/>
      <c r="N105" s="976">
        <v>74</v>
      </c>
      <c r="O105" s="1020">
        <v>52</v>
      </c>
      <c r="P105" s="847">
        <f>VLOOKUP(N105,etat!$A$9:$N$1004,2,FALSE)</f>
        <v>0</v>
      </c>
      <c r="Q105" s="797" t="str">
        <f>VLOOKUP(N105,etat!$A$9:$N$963,7,FALSE)</f>
        <v>3ع ت1</v>
      </c>
      <c r="R105" s="797" t="str">
        <f>VLOOKUP(N105,etat!$A$9:$N$1003,9,FALSE)</f>
        <v>خ</v>
      </c>
      <c r="S105" s="866" t="str">
        <f>VLOOKUP(N105,etat!$A$9:$P$905,16,FALSE)</f>
        <v>ان/د3</v>
      </c>
      <c r="T105" s="755">
        <v>45782</v>
      </c>
      <c r="U105" s="784" t="s">
        <v>359</v>
      </c>
      <c r="V105" s="784"/>
      <c r="W105" s="784"/>
      <c r="X105" s="784"/>
      <c r="Y105" s="1117"/>
      <c r="Z105" s="967"/>
      <c r="AA105" s="967">
        <v>7</v>
      </c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302"/>
      <c r="AY105" s="302"/>
      <c r="AZ105" s="302"/>
      <c r="BA105" s="302"/>
      <c r="BB105" s="302"/>
      <c r="BC105" s="302"/>
      <c r="BD105" s="302"/>
      <c r="BE105" s="302"/>
      <c r="BF105" s="302"/>
      <c r="BG105" s="302"/>
      <c r="BH105" s="302"/>
      <c r="BI105" s="302"/>
      <c r="BJ105" s="302"/>
      <c r="BK105" s="302"/>
      <c r="BL105" s="302"/>
      <c r="BM105" s="302"/>
      <c r="BN105" s="302"/>
      <c r="BO105" s="302"/>
      <c r="BP105" s="302"/>
      <c r="BQ105" s="302"/>
      <c r="BR105" s="302"/>
      <c r="BS105" s="302"/>
      <c r="BT105" s="302"/>
      <c r="BU105" s="302"/>
      <c r="BV105" s="302"/>
      <c r="BW105" s="302"/>
      <c r="BX105" s="302"/>
      <c r="BY105" s="302"/>
      <c r="BZ105" s="302"/>
      <c r="CA105" s="302"/>
    </row>
    <row r="106" spans="1:79" ht="15" customHeight="1">
      <c r="A106" s="25"/>
      <c r="B106" s="25"/>
      <c r="C106" s="25"/>
      <c r="D106" s="295"/>
      <c r="E106" s="295"/>
      <c r="F106" s="295"/>
      <c r="G106" s="295"/>
      <c r="H106" s="295"/>
      <c r="I106" s="25"/>
      <c r="J106" s="25"/>
      <c r="K106" s="25"/>
      <c r="L106" s="777">
        <v>5</v>
      </c>
      <c r="M106" s="778"/>
      <c r="N106" s="976">
        <v>75</v>
      </c>
      <c r="O106" s="1020">
        <v>53</v>
      </c>
      <c r="P106" s="847">
        <f>VLOOKUP(N106,etat!$A$9:$N$1004,2,FALSE)</f>
        <v>0</v>
      </c>
      <c r="Q106" s="797" t="str">
        <f>VLOOKUP(N106,etat!$A$9:$N$963,7,FALSE)</f>
        <v>3ع ت1</v>
      </c>
      <c r="R106" s="797" t="str">
        <f>VLOOKUP(N106,etat!$A$9:$N$1003,9,FALSE)</f>
        <v>خ</v>
      </c>
      <c r="S106" s="866" t="str">
        <f>VLOOKUP(N106,etat!$A$9:$P$905,16,FALSE)</f>
        <v>اخ3</v>
      </c>
      <c r="T106" s="755">
        <v>45769</v>
      </c>
      <c r="U106" s="791">
        <v>16</v>
      </c>
      <c r="V106" s="784" t="s">
        <v>2278</v>
      </c>
      <c r="W106" s="784" t="s">
        <v>2283</v>
      </c>
      <c r="X106" s="784"/>
      <c r="Y106" s="975"/>
      <c r="Z106" s="975" t="str">
        <f>VLOOKUP(L106,[2]اس!$S$3:$X$31,3,FALSE)</f>
        <v>.</v>
      </c>
      <c r="AA106" s="967">
        <v>7</v>
      </c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302"/>
      <c r="AY106" s="302"/>
      <c r="AZ106" s="302"/>
      <c r="BA106" s="302"/>
      <c r="BB106" s="302"/>
      <c r="BC106" s="302"/>
      <c r="BD106" s="302"/>
      <c r="BE106" s="302"/>
      <c r="BF106" s="302"/>
      <c r="BG106" s="302"/>
      <c r="BH106" s="302"/>
      <c r="BI106" s="302"/>
      <c r="BJ106" s="302"/>
      <c r="BK106" s="302"/>
      <c r="BL106" s="302"/>
      <c r="BM106" s="302"/>
      <c r="BN106" s="302"/>
      <c r="BO106" s="302"/>
      <c r="BP106" s="302"/>
      <c r="BQ106" s="302"/>
      <c r="BR106" s="302"/>
      <c r="BS106" s="302"/>
      <c r="BT106" s="302"/>
      <c r="BU106" s="302"/>
      <c r="BV106" s="302"/>
      <c r="BW106" s="302"/>
      <c r="BX106" s="302"/>
      <c r="BY106" s="302"/>
      <c r="BZ106" s="302"/>
      <c r="CA106" s="302"/>
    </row>
    <row r="107" spans="1:79" s="938" customFormat="1" ht="15" customHeight="1">
      <c r="A107" s="25"/>
      <c r="B107" s="25"/>
      <c r="C107" s="25"/>
      <c r="D107" s="295"/>
      <c r="E107" s="295"/>
      <c r="F107" s="295"/>
      <c r="G107" s="295"/>
      <c r="H107" s="295"/>
      <c r="I107" s="25"/>
      <c r="J107" s="25"/>
      <c r="K107" s="25"/>
      <c r="L107" s="777">
        <v>5</v>
      </c>
      <c r="M107" s="778"/>
      <c r="N107" s="976">
        <v>77</v>
      </c>
      <c r="O107" s="1020">
        <v>54</v>
      </c>
      <c r="P107" s="847">
        <f>VLOOKUP(N107,etat!$A$9:$N$1004,2,FALSE)</f>
        <v>0</v>
      </c>
      <c r="Q107" s="797" t="str">
        <f>VLOOKUP(N107,etat!$A$9:$N$963,7,FALSE)</f>
        <v>3ع ت1</v>
      </c>
      <c r="R107" s="797" t="str">
        <f>VLOOKUP(N107,etat!$A$9:$N$1003,9,FALSE)</f>
        <v>خ</v>
      </c>
      <c r="S107" s="866" t="str">
        <f>VLOOKUP(N107,etat!$A$9:$P$905,16,FALSE)</f>
        <v>ذخ3</v>
      </c>
      <c r="T107" s="755">
        <v>45782</v>
      </c>
      <c r="U107" s="784" t="s">
        <v>359</v>
      </c>
      <c r="V107" s="784"/>
      <c r="W107" s="784"/>
      <c r="X107" s="784"/>
      <c r="Y107" s="1117"/>
      <c r="Z107" s="967"/>
      <c r="AA107" s="967">
        <v>7</v>
      </c>
      <c r="AB107" s="302"/>
      <c r="AC107" s="302"/>
      <c r="AD107" s="302"/>
      <c r="AE107" s="302"/>
      <c r="AF107" s="302"/>
      <c r="AG107" s="302"/>
      <c r="AH107" s="302"/>
      <c r="AI107" s="302"/>
      <c r="AJ107" s="302"/>
      <c r="AK107" s="302"/>
      <c r="AL107" s="302"/>
      <c r="AM107" s="302"/>
      <c r="AN107" s="302"/>
      <c r="AO107" s="302"/>
      <c r="AP107" s="302"/>
      <c r="AQ107" s="302"/>
      <c r="AR107" s="302"/>
      <c r="AS107" s="302"/>
      <c r="AT107" s="302"/>
      <c r="AU107" s="302"/>
      <c r="AV107" s="302"/>
      <c r="AW107" s="302"/>
      <c r="AX107" s="302"/>
      <c r="AY107" s="302"/>
      <c r="AZ107" s="302"/>
      <c r="BA107" s="302"/>
      <c r="BB107" s="302"/>
      <c r="BC107" s="302"/>
      <c r="BD107" s="302"/>
      <c r="BE107" s="302"/>
      <c r="BF107" s="302"/>
      <c r="BG107" s="302"/>
      <c r="BH107" s="302"/>
      <c r="BI107" s="302"/>
      <c r="BJ107" s="302"/>
      <c r="BK107" s="302"/>
      <c r="BL107" s="302"/>
      <c r="BM107" s="302"/>
      <c r="BN107" s="302"/>
      <c r="BO107" s="302"/>
      <c r="BP107" s="302"/>
      <c r="BQ107" s="302"/>
      <c r="BR107" s="302"/>
      <c r="BS107" s="302"/>
      <c r="BT107" s="302"/>
      <c r="BU107" s="302"/>
      <c r="BV107" s="302"/>
      <c r="BW107" s="302"/>
      <c r="BX107" s="302"/>
      <c r="BY107" s="302"/>
      <c r="BZ107" s="302"/>
      <c r="CA107" s="302"/>
    </row>
    <row r="108" spans="1:79" s="1083" customFormat="1" ht="15" customHeight="1">
      <c r="A108" s="25"/>
      <c r="B108" s="25"/>
      <c r="C108" s="25"/>
      <c r="D108" s="295"/>
      <c r="E108" s="295"/>
      <c r="F108" s="295"/>
      <c r="G108" s="295"/>
      <c r="H108" s="295"/>
      <c r="I108" s="25"/>
      <c r="J108" s="25"/>
      <c r="K108" s="25"/>
      <c r="L108" s="777">
        <v>5</v>
      </c>
      <c r="M108" s="778"/>
      <c r="N108" s="976">
        <v>78</v>
      </c>
      <c r="O108" s="1020">
        <v>55</v>
      </c>
      <c r="P108" s="847">
        <f>VLOOKUP(N108,etat!$A$9:$N$1004,2,FALSE)</f>
        <v>0</v>
      </c>
      <c r="Q108" s="797" t="str">
        <f>VLOOKUP(N108,etat!$A$9:$N$963,7,FALSE)</f>
        <v>3ع ت1</v>
      </c>
      <c r="R108" s="797" t="str">
        <f>VLOOKUP(N108,etat!$A$9:$N$1003,9,FALSE)</f>
        <v>خ</v>
      </c>
      <c r="S108" s="866" t="str">
        <f>VLOOKUP(N108,etat!$A$9:$P$905,16,FALSE)</f>
        <v>ذخ3</v>
      </c>
      <c r="T108" s="755">
        <v>45781</v>
      </c>
      <c r="U108" s="791">
        <v>4</v>
      </c>
      <c r="V108" s="784" t="s">
        <v>2285</v>
      </c>
      <c r="W108" s="784"/>
      <c r="X108" s="784"/>
      <c r="Y108" s="1118"/>
      <c r="Z108" s="975"/>
      <c r="AA108" s="967">
        <v>6</v>
      </c>
      <c r="AB108" s="302"/>
      <c r="AC108" s="302"/>
      <c r="AD108" s="302"/>
      <c r="AE108" s="302"/>
      <c r="AF108" s="302"/>
      <c r="AG108" s="302"/>
      <c r="AH108" s="302"/>
      <c r="AI108" s="302"/>
      <c r="AJ108" s="302"/>
      <c r="AK108" s="302"/>
      <c r="AL108" s="302"/>
      <c r="AM108" s="302"/>
      <c r="AN108" s="302"/>
      <c r="AO108" s="302"/>
      <c r="AP108" s="302"/>
      <c r="AQ108" s="302"/>
      <c r="AR108" s="302"/>
      <c r="AS108" s="302"/>
      <c r="AT108" s="302"/>
      <c r="AU108" s="302"/>
      <c r="AV108" s="302"/>
      <c r="AW108" s="302"/>
      <c r="AX108" s="302"/>
      <c r="AY108" s="302"/>
      <c r="AZ108" s="302"/>
      <c r="BA108" s="302"/>
      <c r="BB108" s="302"/>
      <c r="BC108" s="302"/>
      <c r="BD108" s="302"/>
      <c r="BE108" s="302"/>
      <c r="BF108" s="302"/>
      <c r="BG108" s="302"/>
      <c r="BH108" s="302"/>
      <c r="BI108" s="302"/>
      <c r="BJ108" s="302"/>
      <c r="BK108" s="302"/>
      <c r="BL108" s="302"/>
      <c r="BM108" s="302"/>
      <c r="BN108" s="302"/>
      <c r="BO108" s="302"/>
      <c r="BP108" s="302"/>
      <c r="BQ108" s="302"/>
      <c r="BR108" s="302"/>
      <c r="BS108" s="302"/>
      <c r="BT108" s="302"/>
      <c r="BU108" s="302"/>
      <c r="BV108" s="302"/>
      <c r="BW108" s="302"/>
      <c r="BX108" s="302"/>
      <c r="BY108" s="302"/>
      <c r="BZ108" s="302"/>
      <c r="CA108" s="302"/>
    </row>
    <row r="109" spans="1:79" s="938" customFormat="1" ht="15" customHeight="1">
      <c r="A109" s="25"/>
      <c r="B109" s="25"/>
      <c r="C109" s="25"/>
      <c r="D109" s="295"/>
      <c r="E109" s="295"/>
      <c r="F109" s="295"/>
      <c r="G109" s="295"/>
      <c r="H109" s="295"/>
      <c r="I109" s="25"/>
      <c r="J109" s="25"/>
      <c r="K109" s="25"/>
      <c r="L109" s="777">
        <v>5</v>
      </c>
      <c r="M109" s="778"/>
      <c r="N109" s="976">
        <v>79</v>
      </c>
      <c r="O109" s="1020">
        <v>56</v>
      </c>
      <c r="P109" s="847">
        <f>VLOOKUP(N109,etat!$A$9:$N$1004,2,FALSE)</f>
        <v>0</v>
      </c>
      <c r="Q109" s="797" t="str">
        <f>VLOOKUP(N109,etat!$A$9:$N$963,7,FALSE)</f>
        <v>3ع ت1</v>
      </c>
      <c r="R109" s="797" t="str">
        <f>VLOOKUP(N109,etat!$A$9:$N$1003,9,FALSE)</f>
        <v>خ</v>
      </c>
      <c r="S109" s="866" t="str">
        <f>VLOOKUP(N109,etat!$A$9:$P$905,16,FALSE)</f>
        <v>ذخ3</v>
      </c>
      <c r="T109" s="755">
        <v>45782</v>
      </c>
      <c r="U109" s="784" t="s">
        <v>359</v>
      </c>
      <c r="V109" s="784"/>
      <c r="W109" s="784"/>
      <c r="X109" s="784"/>
      <c r="Y109" s="975"/>
      <c r="Z109" s="975"/>
      <c r="AA109" s="967">
        <v>6</v>
      </c>
      <c r="AB109" s="302"/>
      <c r="AC109" s="302"/>
      <c r="AD109" s="302"/>
      <c r="AE109" s="302"/>
      <c r="AF109" s="302"/>
      <c r="AG109" s="302"/>
      <c r="AH109" s="302"/>
      <c r="AI109" s="302"/>
      <c r="AJ109" s="302"/>
      <c r="AK109" s="302"/>
      <c r="AL109" s="302"/>
      <c r="AM109" s="302"/>
      <c r="AN109" s="302"/>
      <c r="AO109" s="302"/>
      <c r="AP109" s="302"/>
      <c r="AQ109" s="302"/>
      <c r="AR109" s="302"/>
      <c r="AS109" s="302"/>
      <c r="AT109" s="302"/>
      <c r="AU109" s="302"/>
      <c r="AV109" s="302"/>
      <c r="AW109" s="302"/>
      <c r="AX109" s="302"/>
      <c r="AY109" s="302"/>
      <c r="AZ109" s="302"/>
      <c r="BA109" s="302"/>
      <c r="BB109" s="302"/>
      <c r="BC109" s="302"/>
      <c r="BD109" s="302"/>
      <c r="BE109" s="302"/>
      <c r="BF109" s="302"/>
      <c r="BG109" s="302"/>
      <c r="BH109" s="302"/>
      <c r="BI109" s="302"/>
      <c r="BJ109" s="302"/>
      <c r="BK109" s="302"/>
      <c r="BL109" s="302"/>
      <c r="BM109" s="302"/>
      <c r="BN109" s="302"/>
      <c r="BO109" s="302"/>
      <c r="BP109" s="302"/>
      <c r="BQ109" s="302"/>
      <c r="BR109" s="302"/>
      <c r="BS109" s="302"/>
      <c r="BT109" s="302"/>
      <c r="BU109" s="302"/>
      <c r="BV109" s="302"/>
      <c r="BW109" s="302"/>
      <c r="BX109" s="302"/>
      <c r="BY109" s="302"/>
      <c r="BZ109" s="302"/>
      <c r="CA109" s="302"/>
    </row>
    <row r="110" spans="1:79" ht="15" customHeight="1">
      <c r="A110" s="25"/>
      <c r="B110" s="25"/>
      <c r="C110" s="25"/>
      <c r="D110" s="295"/>
      <c r="E110" s="295"/>
      <c r="F110" s="295"/>
      <c r="G110" s="295"/>
      <c r="H110" s="295"/>
      <c r="I110" s="25"/>
      <c r="J110" s="25"/>
      <c r="K110" s="25"/>
      <c r="L110" s="777">
        <v>5</v>
      </c>
      <c r="M110" s="778"/>
      <c r="N110" s="976">
        <v>80</v>
      </c>
      <c r="O110" s="1020">
        <v>57</v>
      </c>
      <c r="P110" s="847">
        <f>VLOOKUP(N110,etat!$A$9:$N$1004,2,FALSE)</f>
        <v>0</v>
      </c>
      <c r="Q110" s="797" t="str">
        <f>VLOOKUP(N110,etat!$A$9:$N$963,7,FALSE)</f>
        <v>3ع ت1</v>
      </c>
      <c r="R110" s="797" t="str">
        <f>VLOOKUP(N110,etat!$A$9:$N$1003,9,FALSE)</f>
        <v>خ</v>
      </c>
      <c r="S110" s="866" t="str">
        <f>VLOOKUP(N110,etat!$A$9:$P$905,16,FALSE)</f>
        <v>اخ3</v>
      </c>
      <c r="T110" s="755">
        <v>45782</v>
      </c>
      <c r="U110" s="784" t="s">
        <v>359</v>
      </c>
      <c r="V110" s="784"/>
      <c r="W110" s="784"/>
      <c r="X110" s="784"/>
      <c r="Y110" s="975"/>
      <c r="Z110" s="975"/>
      <c r="AA110" s="967">
        <v>6</v>
      </c>
      <c r="AB110" s="302"/>
      <c r="AC110" s="302"/>
      <c r="AD110" s="302"/>
      <c r="AE110" s="302"/>
      <c r="AF110" s="302"/>
      <c r="AG110" s="302"/>
      <c r="AH110" s="302"/>
      <c r="AI110" s="302"/>
      <c r="AJ110" s="302"/>
      <c r="AK110" s="302"/>
      <c r="AL110" s="302"/>
      <c r="AM110" s="302"/>
      <c r="AN110" s="302"/>
      <c r="AO110" s="302"/>
      <c r="AP110" s="302"/>
      <c r="AQ110" s="302"/>
      <c r="AR110" s="302"/>
      <c r="AS110" s="302"/>
      <c r="AT110" s="302"/>
      <c r="AU110" s="302"/>
      <c r="AV110" s="302"/>
      <c r="AW110" s="302"/>
      <c r="AX110" s="302"/>
      <c r="AY110" s="302"/>
      <c r="AZ110" s="302"/>
      <c r="BA110" s="302"/>
      <c r="BB110" s="302"/>
      <c r="BC110" s="302"/>
      <c r="BD110" s="302"/>
      <c r="BE110" s="302"/>
      <c r="BF110" s="302"/>
      <c r="BG110" s="302"/>
      <c r="BH110" s="302"/>
      <c r="BI110" s="302"/>
      <c r="BJ110" s="302"/>
      <c r="BK110" s="302"/>
      <c r="BL110" s="302"/>
      <c r="BM110" s="302"/>
      <c r="BN110" s="302"/>
      <c r="BO110" s="302"/>
      <c r="BP110" s="302"/>
      <c r="BQ110" s="302"/>
      <c r="BR110" s="302"/>
      <c r="BS110" s="302"/>
      <c r="BT110" s="302"/>
      <c r="BU110" s="302"/>
      <c r="BV110" s="302"/>
      <c r="BW110" s="302"/>
      <c r="BX110" s="302"/>
      <c r="BY110" s="302"/>
      <c r="BZ110" s="302"/>
      <c r="CA110" s="302"/>
    </row>
    <row r="111" spans="1:79" s="915" customFormat="1" ht="15" customHeight="1">
      <c r="A111" s="25"/>
      <c r="B111" s="25"/>
      <c r="C111" s="25"/>
      <c r="D111" s="295"/>
      <c r="E111" s="295"/>
      <c r="F111" s="295"/>
      <c r="G111" s="295"/>
      <c r="H111" s="295"/>
      <c r="I111" s="25"/>
      <c r="J111" s="25"/>
      <c r="K111" s="25"/>
      <c r="L111" s="777">
        <v>5</v>
      </c>
      <c r="M111" s="778"/>
      <c r="N111" s="976">
        <v>81</v>
      </c>
      <c r="O111" s="1020">
        <v>58</v>
      </c>
      <c r="P111" s="847">
        <f>VLOOKUP(N111,etat!$A$9:$N$1004,2,FALSE)</f>
        <v>0</v>
      </c>
      <c r="Q111" s="797" t="str">
        <f>VLOOKUP(N111,etat!$A$9:$N$963,7,FALSE)</f>
        <v>3ع ت1</v>
      </c>
      <c r="R111" s="797" t="str">
        <f>VLOOKUP(N111,etat!$A$9:$N$1003,9,FALSE)</f>
        <v>خ</v>
      </c>
      <c r="S111" s="866" t="str">
        <f>VLOOKUP(N111,etat!$A$9:$P$905,16,FALSE)</f>
        <v>ذخ3</v>
      </c>
      <c r="T111" s="755">
        <v>45782</v>
      </c>
      <c r="U111" s="784" t="s">
        <v>359</v>
      </c>
      <c r="V111" s="784"/>
      <c r="W111" s="784"/>
      <c r="X111" s="784"/>
      <c r="Y111" s="975"/>
      <c r="Z111" s="975"/>
      <c r="AA111" s="967">
        <v>6</v>
      </c>
      <c r="AB111" s="302"/>
      <c r="AC111" s="302"/>
      <c r="AD111" s="302"/>
      <c r="AE111" s="302"/>
      <c r="AF111" s="302"/>
      <c r="AG111" s="302"/>
      <c r="AH111" s="302"/>
      <c r="AI111" s="302"/>
      <c r="AJ111" s="302"/>
      <c r="AK111" s="302"/>
      <c r="AL111" s="302"/>
      <c r="AM111" s="302"/>
      <c r="AN111" s="302"/>
      <c r="AO111" s="302"/>
      <c r="AP111" s="302"/>
      <c r="AQ111" s="302"/>
      <c r="AR111" s="302"/>
      <c r="AS111" s="302"/>
      <c r="AT111" s="302"/>
      <c r="AU111" s="302"/>
      <c r="AV111" s="302"/>
      <c r="AW111" s="302"/>
      <c r="AX111" s="302"/>
      <c r="AY111" s="302"/>
      <c r="AZ111" s="302"/>
      <c r="BA111" s="302"/>
      <c r="BB111" s="302"/>
      <c r="BC111" s="302"/>
      <c r="BD111" s="302"/>
      <c r="BE111" s="302"/>
      <c r="BF111" s="302"/>
      <c r="BG111" s="302"/>
      <c r="BH111" s="302"/>
      <c r="BI111" s="302"/>
      <c r="BJ111" s="302"/>
      <c r="BK111" s="302"/>
      <c r="BL111" s="302"/>
      <c r="BM111" s="302"/>
      <c r="BN111" s="302"/>
      <c r="BO111" s="302"/>
      <c r="BP111" s="302"/>
      <c r="BQ111" s="302"/>
      <c r="BR111" s="302"/>
      <c r="BS111" s="302"/>
      <c r="BT111" s="302"/>
      <c r="BU111" s="302"/>
      <c r="BV111" s="302"/>
      <c r="BW111" s="302"/>
      <c r="BX111" s="302"/>
      <c r="BY111" s="302"/>
      <c r="BZ111" s="302"/>
      <c r="CA111" s="302"/>
    </row>
    <row r="112" spans="1:79" s="915" customFormat="1" ht="15" customHeight="1">
      <c r="A112" s="302"/>
      <c r="B112" s="302"/>
      <c r="C112" s="302"/>
      <c r="D112" s="303"/>
      <c r="E112" s="303"/>
      <c r="F112" s="303"/>
      <c r="G112" s="303"/>
      <c r="H112" s="303"/>
      <c r="I112" s="302"/>
      <c r="J112" s="302"/>
      <c r="K112" s="302"/>
      <c r="L112" s="777">
        <v>5</v>
      </c>
      <c r="M112" s="778"/>
      <c r="N112" s="976">
        <v>82</v>
      </c>
      <c r="O112" s="1020">
        <v>59</v>
      </c>
      <c r="P112" s="847">
        <f>VLOOKUP(N112,etat!$A$9:$N$1004,2,FALSE)</f>
        <v>0</v>
      </c>
      <c r="Q112" s="797" t="str">
        <f>VLOOKUP(N112,etat!$A$9:$N$963,7,FALSE)</f>
        <v>3ع ت1</v>
      </c>
      <c r="R112" s="797" t="str">
        <f>VLOOKUP(N112,etat!$A$9:$N$1003,9,FALSE)</f>
        <v>خ</v>
      </c>
      <c r="S112" s="866" t="str">
        <f>VLOOKUP(N112,etat!$A$9:$P$905,16,FALSE)</f>
        <v>اخ3</v>
      </c>
      <c r="T112" s="755">
        <v>45782</v>
      </c>
      <c r="U112" s="784" t="s">
        <v>359</v>
      </c>
      <c r="V112" s="784"/>
      <c r="W112" s="784"/>
      <c r="X112" s="784"/>
      <c r="Y112" s="975"/>
      <c r="Z112" s="967"/>
      <c r="AA112" s="967">
        <v>6</v>
      </c>
      <c r="AB112" s="302"/>
      <c r="AC112" s="302"/>
      <c r="AD112" s="302"/>
      <c r="AE112" s="302"/>
      <c r="AF112" s="302"/>
      <c r="AG112" s="302"/>
      <c r="AH112" s="302"/>
      <c r="AI112" s="302"/>
      <c r="AJ112" s="302"/>
      <c r="AK112" s="302"/>
      <c r="AL112" s="302"/>
      <c r="AM112" s="302"/>
      <c r="AN112" s="302"/>
      <c r="AO112" s="302"/>
      <c r="AP112" s="302"/>
      <c r="AQ112" s="302"/>
      <c r="AR112" s="302"/>
      <c r="AS112" s="302"/>
      <c r="AT112" s="302"/>
      <c r="AU112" s="302"/>
      <c r="AV112" s="302"/>
      <c r="AW112" s="302"/>
      <c r="AX112" s="302"/>
      <c r="AY112" s="302"/>
      <c r="AZ112" s="302"/>
      <c r="BA112" s="302"/>
      <c r="BB112" s="302"/>
      <c r="BC112" s="302"/>
      <c r="BD112" s="302"/>
      <c r="BE112" s="302"/>
      <c r="BF112" s="302"/>
      <c r="BG112" s="302"/>
      <c r="BH112" s="302"/>
      <c r="BI112" s="302"/>
      <c r="BJ112" s="302"/>
      <c r="BK112" s="302"/>
      <c r="BL112" s="302"/>
      <c r="BM112" s="302"/>
      <c r="BN112" s="302"/>
      <c r="BO112" s="302"/>
      <c r="BP112" s="302"/>
      <c r="BQ112" s="302"/>
      <c r="BR112" s="302"/>
      <c r="BS112" s="302"/>
      <c r="BT112" s="302"/>
      <c r="BU112" s="302"/>
      <c r="BV112" s="302"/>
      <c r="BW112" s="302"/>
      <c r="BX112" s="302"/>
      <c r="BY112" s="302"/>
      <c r="BZ112" s="302"/>
      <c r="CA112" s="302"/>
    </row>
    <row r="113" spans="1:79" s="915" customFormat="1" ht="15" customHeight="1">
      <c r="A113" s="302"/>
      <c r="B113" s="302"/>
      <c r="C113" s="302"/>
      <c r="D113" s="303"/>
      <c r="E113" s="303"/>
      <c r="F113" s="303"/>
      <c r="G113" s="303"/>
      <c r="H113" s="303"/>
      <c r="I113" s="302"/>
      <c r="J113" s="302"/>
      <c r="K113" s="302"/>
      <c r="L113" s="777">
        <v>5</v>
      </c>
      <c r="M113" s="778"/>
      <c r="N113" s="976">
        <v>83</v>
      </c>
      <c r="O113" s="1020">
        <v>60</v>
      </c>
      <c r="P113" s="847">
        <f>VLOOKUP(N113,etat!$A$9:$N$1004,2,FALSE)</f>
        <v>0</v>
      </c>
      <c r="Q113" s="797" t="str">
        <f>VLOOKUP(N113,etat!$A$9:$N$963,7,FALSE)</f>
        <v>3ع ت1</v>
      </c>
      <c r="R113" s="797" t="str">
        <f>VLOOKUP(N113,etat!$A$9:$N$1003,9,FALSE)</f>
        <v>خ</v>
      </c>
      <c r="S113" s="866" t="str">
        <f>VLOOKUP(N113,etat!$A$9:$P$905,16,FALSE)</f>
        <v>اخ3</v>
      </c>
      <c r="T113" s="755">
        <v>45781</v>
      </c>
      <c r="U113" s="791">
        <v>4</v>
      </c>
      <c r="V113" s="784" t="s">
        <v>2285</v>
      </c>
      <c r="W113" s="784"/>
      <c r="X113" s="784"/>
      <c r="Y113" s="975"/>
      <c r="Z113" s="975"/>
      <c r="AA113" s="967">
        <v>6</v>
      </c>
      <c r="AB113" s="302"/>
      <c r="AC113" s="302"/>
      <c r="AD113" s="302"/>
      <c r="AE113" s="302"/>
      <c r="AF113" s="302"/>
      <c r="AG113" s="302"/>
      <c r="AH113" s="302"/>
      <c r="AI113" s="302"/>
      <c r="AJ113" s="302"/>
      <c r="AK113" s="302"/>
      <c r="AL113" s="302"/>
      <c r="AM113" s="302"/>
      <c r="AN113" s="302"/>
      <c r="AO113" s="302"/>
      <c r="AP113" s="302"/>
      <c r="AQ113" s="302"/>
      <c r="AR113" s="302"/>
      <c r="AS113" s="302"/>
      <c r="AT113" s="302"/>
      <c r="AU113" s="302"/>
      <c r="AV113" s="302"/>
      <c r="AW113" s="302"/>
      <c r="AX113" s="302"/>
      <c r="AY113" s="302"/>
      <c r="AZ113" s="302"/>
      <c r="BA113" s="302"/>
      <c r="BB113" s="302"/>
      <c r="BC113" s="302"/>
      <c r="BD113" s="302"/>
      <c r="BE113" s="302"/>
      <c r="BF113" s="302"/>
      <c r="BG113" s="302"/>
      <c r="BH113" s="302"/>
      <c r="BI113" s="302"/>
      <c r="BJ113" s="302"/>
      <c r="BK113" s="302"/>
      <c r="BL113" s="302"/>
      <c r="BM113" s="302"/>
      <c r="BN113" s="302"/>
      <c r="BO113" s="302"/>
      <c r="BP113" s="302"/>
      <c r="BQ113" s="302"/>
      <c r="BR113" s="302"/>
      <c r="BS113" s="302"/>
      <c r="BT113" s="302"/>
      <c r="BU113" s="302"/>
      <c r="BV113" s="302"/>
      <c r="BW113" s="302"/>
      <c r="BX113" s="302"/>
      <c r="BY113" s="302"/>
      <c r="BZ113" s="302"/>
      <c r="CA113" s="302"/>
    </row>
    <row r="114" spans="1:79" ht="15" customHeight="1">
      <c r="A114" s="302"/>
      <c r="B114" s="302"/>
      <c r="C114" s="302"/>
      <c r="D114" s="303"/>
      <c r="E114" s="303"/>
      <c r="F114" s="303"/>
      <c r="G114" s="303"/>
      <c r="H114" s="303"/>
      <c r="I114" s="302"/>
      <c r="J114" s="302"/>
      <c r="K114" s="302"/>
      <c r="L114" s="777">
        <v>5</v>
      </c>
      <c r="M114" s="778"/>
      <c r="N114" s="976">
        <v>84</v>
      </c>
      <c r="O114" s="1020">
        <v>61</v>
      </c>
      <c r="P114" s="847">
        <f>VLOOKUP(N114,etat!$A$9:$N$1004,2,FALSE)</f>
        <v>0</v>
      </c>
      <c r="Q114" s="797" t="str">
        <f>VLOOKUP(N114,etat!$A$9:$N$963,7,FALSE)</f>
        <v>3ع ت1</v>
      </c>
      <c r="R114" s="797" t="str">
        <f>VLOOKUP(N114,etat!$A$9:$N$1003,9,FALSE)</f>
        <v>خ</v>
      </c>
      <c r="S114" s="866" t="str">
        <f>VLOOKUP(N114,etat!$A$9:$P$905,16,FALSE)</f>
        <v>اخ3</v>
      </c>
      <c r="T114" s="755">
        <v>45781</v>
      </c>
      <c r="U114" s="791">
        <v>4</v>
      </c>
      <c r="V114" s="784" t="s">
        <v>2285</v>
      </c>
      <c r="W114" s="784"/>
      <c r="X114" s="784"/>
      <c r="Y114" s="975"/>
      <c r="Z114" s="975"/>
      <c r="AA114" s="967">
        <v>6</v>
      </c>
      <c r="AB114" s="302"/>
      <c r="AC114" s="302"/>
      <c r="AD114" s="302"/>
      <c r="AE114" s="302"/>
      <c r="AF114" s="302"/>
      <c r="AG114" s="302"/>
      <c r="AH114" s="302"/>
      <c r="AI114" s="302"/>
      <c r="AJ114" s="302"/>
      <c r="AK114" s="302"/>
      <c r="AL114" s="302"/>
      <c r="AM114" s="302"/>
      <c r="AN114" s="302"/>
      <c r="AO114" s="302"/>
      <c r="AP114" s="302"/>
      <c r="AQ114" s="302"/>
      <c r="AR114" s="302"/>
      <c r="AS114" s="302"/>
      <c r="AT114" s="302"/>
      <c r="AU114" s="302"/>
      <c r="AV114" s="302"/>
      <c r="AW114" s="302"/>
      <c r="BC114" s="302"/>
      <c r="BD114" s="302"/>
      <c r="BE114" s="302"/>
      <c r="BF114" s="302"/>
      <c r="BG114" s="302"/>
      <c r="BH114" s="302"/>
      <c r="BI114" s="302"/>
      <c r="BJ114" s="302"/>
      <c r="BK114" s="302"/>
      <c r="BL114" s="302"/>
      <c r="BM114" s="302"/>
      <c r="BN114" s="302"/>
      <c r="BO114" s="302"/>
      <c r="BP114" s="302"/>
      <c r="BQ114" s="302"/>
      <c r="BR114" s="302"/>
      <c r="BS114" s="302"/>
      <c r="BT114" s="302"/>
      <c r="BU114" s="302"/>
      <c r="BV114" s="302"/>
      <c r="BW114" s="302"/>
      <c r="BX114" s="302"/>
      <c r="BY114" s="302"/>
      <c r="BZ114" s="302"/>
      <c r="CA114" s="302"/>
    </row>
    <row r="115" spans="1:79" ht="15" customHeight="1">
      <c r="A115" s="302"/>
      <c r="B115" s="302"/>
      <c r="C115" s="302"/>
      <c r="D115" s="303"/>
      <c r="E115" s="303"/>
      <c r="F115" s="303"/>
      <c r="G115" s="303"/>
      <c r="H115" s="303"/>
      <c r="I115" s="302"/>
      <c r="J115" s="302"/>
      <c r="K115" s="302"/>
      <c r="L115" s="777">
        <v>5</v>
      </c>
      <c r="M115" s="778"/>
      <c r="N115" s="976">
        <v>85</v>
      </c>
      <c r="O115" s="1020">
        <v>62</v>
      </c>
      <c r="P115" s="847">
        <f>VLOOKUP(N115,etat!$A$9:$N$1004,2,FALSE)</f>
        <v>0</v>
      </c>
      <c r="Q115" s="797" t="str">
        <f>VLOOKUP(N115,etat!$A$9:$N$963,7,FALSE)</f>
        <v>3ع ت1</v>
      </c>
      <c r="R115" s="797" t="str">
        <f>VLOOKUP(N115,etat!$A$9:$N$1003,9,FALSE)</f>
        <v>خ</v>
      </c>
      <c r="S115" s="866" t="str">
        <f>VLOOKUP(N115,etat!$A$9:$P$905,16,FALSE)</f>
        <v>اخ3</v>
      </c>
      <c r="T115" s="755">
        <v>45781</v>
      </c>
      <c r="U115" s="791">
        <v>4</v>
      </c>
      <c r="V115" s="784" t="s">
        <v>2285</v>
      </c>
      <c r="W115" s="784"/>
      <c r="X115" s="784"/>
      <c r="Y115" s="975"/>
      <c r="Z115" s="975"/>
      <c r="AA115" s="967">
        <v>6</v>
      </c>
      <c r="AB115" s="302"/>
      <c r="AC115" s="302"/>
      <c r="AD115" s="302"/>
      <c r="AE115" s="302"/>
      <c r="AF115" s="302"/>
      <c r="AG115" s="302"/>
      <c r="AH115" s="302"/>
      <c r="AI115" s="302"/>
      <c r="AJ115" s="302"/>
      <c r="AK115" s="302"/>
      <c r="AL115" s="302"/>
      <c r="AM115" s="302"/>
      <c r="AN115" s="302"/>
      <c r="AO115" s="302"/>
      <c r="AP115" s="302"/>
      <c r="AQ115" s="302"/>
      <c r="AR115" s="302"/>
      <c r="AS115" s="302"/>
      <c r="AT115" s="302"/>
      <c r="AU115" s="302"/>
      <c r="AV115" s="302"/>
      <c r="AW115" s="302"/>
      <c r="BC115" s="302"/>
      <c r="BD115" s="302"/>
      <c r="BE115" s="302"/>
      <c r="BF115" s="302"/>
      <c r="BG115" s="302"/>
      <c r="BH115" s="302"/>
      <c r="BI115" s="302"/>
      <c r="BJ115" s="302"/>
      <c r="BK115" s="302"/>
      <c r="BL115" s="302"/>
      <c r="BM115" s="302"/>
      <c r="BN115" s="302"/>
      <c r="BO115" s="302"/>
      <c r="BP115" s="302"/>
      <c r="BQ115" s="302"/>
      <c r="BR115" s="302"/>
      <c r="BS115" s="302"/>
      <c r="BT115" s="302"/>
      <c r="BU115" s="302"/>
      <c r="BV115" s="302"/>
      <c r="BW115" s="302"/>
      <c r="BX115" s="302"/>
      <c r="BY115" s="302"/>
      <c r="BZ115" s="302"/>
      <c r="CA115" s="302"/>
    </row>
    <row r="116" spans="1:79" s="915" customFormat="1" ht="15" customHeight="1">
      <c r="A116" s="302"/>
      <c r="B116" s="302"/>
      <c r="C116" s="302"/>
      <c r="D116" s="303"/>
      <c r="E116" s="303"/>
      <c r="F116" s="303"/>
      <c r="G116" s="303"/>
      <c r="H116" s="303"/>
      <c r="I116" s="302"/>
      <c r="J116" s="302"/>
      <c r="K116" s="302"/>
      <c r="L116" s="777">
        <v>5</v>
      </c>
      <c r="M116" s="778"/>
      <c r="N116" s="976">
        <v>86</v>
      </c>
      <c r="O116" s="1020">
        <v>63</v>
      </c>
      <c r="P116" s="847">
        <f>VLOOKUP(N116,etat!$A$9:$N$1004,2,FALSE)</f>
        <v>0</v>
      </c>
      <c r="Q116" s="797" t="str">
        <f>VLOOKUP(N116,etat!$A$9:$N$963,7,FALSE)</f>
        <v>3ع ت1</v>
      </c>
      <c r="R116" s="866" t="str">
        <f>VLOOKUP(N116,etat!$A$9:$N$1003,9,FALSE)</f>
        <v>خ</v>
      </c>
      <c r="S116" s="866" t="str">
        <f>VLOOKUP(N116,etat!$A$9:$P$905,16,FALSE)</f>
        <v>اخ3</v>
      </c>
      <c r="T116" s="755">
        <v>45781</v>
      </c>
      <c r="U116" s="791">
        <v>4</v>
      </c>
      <c r="V116" s="784" t="s">
        <v>2285</v>
      </c>
      <c r="W116" s="784"/>
      <c r="X116" s="784"/>
      <c r="Y116" s="975"/>
      <c r="Z116" s="975"/>
      <c r="AA116" s="967">
        <v>6</v>
      </c>
      <c r="AB116" s="302"/>
      <c r="AC116" s="302"/>
      <c r="AD116" s="302"/>
      <c r="AE116" s="302"/>
      <c r="AF116" s="302"/>
      <c r="AG116" s="302"/>
      <c r="AH116" s="302"/>
      <c r="AI116" s="302"/>
      <c r="AJ116" s="302"/>
      <c r="AK116" s="302"/>
      <c r="AL116" s="302"/>
      <c r="AM116" s="302"/>
      <c r="AN116" s="302"/>
      <c r="AO116" s="302"/>
      <c r="AP116" s="302"/>
      <c r="AQ116" s="302"/>
      <c r="AR116" s="302"/>
      <c r="AS116" s="302"/>
      <c r="AT116" s="302"/>
      <c r="AU116" s="302"/>
      <c r="AV116" s="302"/>
      <c r="AW116" s="302"/>
      <c r="BC116" s="302"/>
      <c r="BD116" s="302"/>
      <c r="BE116" s="302"/>
      <c r="BF116" s="302"/>
      <c r="BG116" s="302"/>
      <c r="BH116" s="302"/>
      <c r="BI116" s="302"/>
      <c r="BJ116" s="302"/>
      <c r="BK116" s="302"/>
      <c r="BL116" s="302"/>
      <c r="BM116" s="302"/>
      <c r="BN116" s="302"/>
      <c r="BO116" s="302"/>
      <c r="BP116" s="302"/>
      <c r="BQ116" s="302"/>
      <c r="BR116" s="302"/>
      <c r="BS116" s="302"/>
      <c r="BT116" s="302"/>
      <c r="BU116" s="302"/>
      <c r="BV116" s="302"/>
      <c r="BW116" s="302"/>
      <c r="BX116" s="302"/>
      <c r="BY116" s="302"/>
      <c r="BZ116" s="302"/>
      <c r="CA116" s="302"/>
    </row>
    <row r="117" spans="1:79" ht="15" customHeight="1">
      <c r="A117" s="302"/>
      <c r="B117" s="302"/>
      <c r="C117" s="302"/>
      <c r="D117" s="303"/>
      <c r="E117" s="303"/>
      <c r="F117" s="303"/>
      <c r="G117" s="303"/>
      <c r="H117" s="303"/>
      <c r="I117" s="302"/>
      <c r="J117" s="302"/>
      <c r="K117" s="302"/>
      <c r="L117" s="777">
        <v>5</v>
      </c>
      <c r="M117" s="778"/>
      <c r="N117" s="976">
        <v>87</v>
      </c>
      <c r="O117" s="1020">
        <v>64</v>
      </c>
      <c r="P117" s="847">
        <f>VLOOKUP(N117,etat!$A$9:$N$1004,2,FALSE)</f>
        <v>0</v>
      </c>
      <c r="Q117" s="797" t="str">
        <f>VLOOKUP(N117,etat!$A$9:$N$963,7,FALSE)</f>
        <v>3ع ت1</v>
      </c>
      <c r="R117" s="797" t="str">
        <f>VLOOKUP(N117,etat!$A$9:$N$1003,9,FALSE)</f>
        <v>خ</v>
      </c>
      <c r="S117" s="866" t="str">
        <f>VLOOKUP(N117,etat!$A$9:$P$905,16,FALSE)</f>
        <v>اخ3</v>
      </c>
      <c r="T117" s="755">
        <v>45769</v>
      </c>
      <c r="U117" s="791">
        <v>16</v>
      </c>
      <c r="V117" s="784" t="s">
        <v>2278</v>
      </c>
      <c r="W117" s="784" t="s">
        <v>2283</v>
      </c>
      <c r="X117" s="784"/>
      <c r="Y117" s="975"/>
      <c r="Z117" s="975" t="str">
        <f>VLOOKUP(L117,[2]اس!$S$3:$X$31,3,FALSE)</f>
        <v>.</v>
      </c>
      <c r="AA117" s="967">
        <v>6</v>
      </c>
      <c r="AB117" s="1005"/>
      <c r="AC117" s="1005"/>
      <c r="AD117" s="1005"/>
      <c r="AE117" s="1005"/>
      <c r="AF117" s="1005"/>
      <c r="AG117" s="1004"/>
      <c r="AH117" s="1004"/>
      <c r="AI117" s="1004"/>
      <c r="AJ117" s="1004"/>
      <c r="AK117" s="1004"/>
      <c r="AL117" s="1004"/>
      <c r="AM117" s="1004"/>
      <c r="AN117" s="1004"/>
      <c r="AO117" s="1004"/>
      <c r="AP117" s="1004"/>
      <c r="AQ117" s="1004"/>
      <c r="AR117" s="1004"/>
      <c r="AS117" s="1004"/>
      <c r="AT117" s="1004"/>
      <c r="AU117" s="1004"/>
      <c r="AV117" s="1004"/>
      <c r="AW117" s="1004"/>
      <c r="BC117" s="302"/>
      <c r="BD117" s="302"/>
      <c r="BE117" s="302"/>
      <c r="BF117" s="302"/>
      <c r="BG117" s="302"/>
      <c r="BH117" s="302"/>
      <c r="BI117" s="302"/>
      <c r="BV117" s="302"/>
      <c r="BW117" s="302"/>
      <c r="BX117" s="302"/>
      <c r="BY117" s="302"/>
      <c r="BZ117" s="302"/>
      <c r="CA117" s="302"/>
    </row>
    <row r="118" spans="1:79" ht="15" customHeight="1">
      <c r="A118" s="302"/>
      <c r="B118" s="302"/>
      <c r="C118" s="302"/>
      <c r="D118" s="303"/>
      <c r="E118" s="303"/>
      <c r="F118" s="303"/>
      <c r="G118" s="303"/>
      <c r="H118" s="303"/>
      <c r="I118" s="302"/>
      <c r="J118" s="302"/>
      <c r="K118" s="302"/>
      <c r="L118" s="777">
        <v>5</v>
      </c>
      <c r="M118" s="778"/>
      <c r="N118" s="976">
        <v>88</v>
      </c>
      <c r="O118" s="1020">
        <v>65</v>
      </c>
      <c r="P118" s="847">
        <f>VLOOKUP(N118,etat!$A$9:$N$1004,2,FALSE)</f>
        <v>0</v>
      </c>
      <c r="Q118" s="797" t="str">
        <f>VLOOKUP(N118,etat!$A$9:$N$963,7,FALSE)</f>
        <v>3ع ت1</v>
      </c>
      <c r="R118" s="797" t="str">
        <f>VLOOKUP(N118,etat!$A$9:$N$1003,9,FALSE)</f>
        <v>خ</v>
      </c>
      <c r="S118" s="866" t="str">
        <f>VLOOKUP(N118,etat!$A$9:$P$905,16,FALSE)</f>
        <v>ذخ3</v>
      </c>
      <c r="T118" s="755">
        <v>45770</v>
      </c>
      <c r="U118" s="791">
        <v>15</v>
      </c>
      <c r="V118" s="784" t="s">
        <v>2280</v>
      </c>
      <c r="W118" s="784" t="s">
        <v>2283</v>
      </c>
      <c r="X118" s="784"/>
      <c r="Y118" s="975"/>
      <c r="Z118" s="975" t="str">
        <f>VLOOKUP(L118,[2]اس!$S$3:$X$31,3,FALSE)</f>
        <v>.</v>
      </c>
      <c r="AA118" s="967">
        <v>6</v>
      </c>
      <c r="AB118" s="1005"/>
      <c r="AC118" s="1005"/>
      <c r="AD118" s="1005"/>
      <c r="AE118" s="1005"/>
      <c r="AF118" s="1005"/>
      <c r="AG118" s="1004"/>
      <c r="AH118" s="1004"/>
      <c r="AI118" s="1004"/>
      <c r="AJ118" s="1004"/>
      <c r="AK118" s="1004"/>
      <c r="AL118" s="1004"/>
      <c r="AM118" s="1004"/>
      <c r="AN118" s="1004"/>
      <c r="AO118" s="1004"/>
      <c r="AP118" s="1004"/>
      <c r="AQ118" s="1004"/>
      <c r="AR118" s="1004"/>
      <c r="AS118" s="1004"/>
      <c r="AT118" s="1004"/>
      <c r="AU118" s="1004"/>
      <c r="AV118" s="1004"/>
      <c r="AW118" s="1004"/>
      <c r="BC118" s="302"/>
      <c r="BD118" s="302"/>
      <c r="BE118" s="302"/>
      <c r="BF118" s="302"/>
      <c r="BG118" s="302"/>
      <c r="BH118" s="302"/>
      <c r="BI118" s="302"/>
      <c r="BV118" s="302"/>
      <c r="BW118" s="302"/>
      <c r="BX118" s="302"/>
      <c r="BY118" s="302"/>
      <c r="BZ118" s="302"/>
      <c r="CA118" s="302"/>
    </row>
    <row r="119" spans="1:79" ht="15" customHeight="1">
      <c r="A119" s="302"/>
      <c r="B119" s="302"/>
      <c r="C119" s="302"/>
      <c r="D119" s="303"/>
      <c r="E119" s="303"/>
      <c r="F119" s="303"/>
      <c r="G119" s="303"/>
      <c r="H119" s="303"/>
      <c r="I119" s="302"/>
      <c r="J119" s="302"/>
      <c r="K119" s="302"/>
      <c r="L119" s="777">
        <v>5</v>
      </c>
      <c r="M119" s="778"/>
      <c r="N119" s="976">
        <v>89</v>
      </c>
      <c r="O119" s="1020">
        <v>66</v>
      </c>
      <c r="P119" s="847">
        <f>VLOOKUP(N119,etat!$A$9:$N$1004,2,FALSE)</f>
        <v>0</v>
      </c>
      <c r="Q119" s="797" t="str">
        <f>VLOOKUP(N119,etat!$A$9:$N$963,7,FALSE)</f>
        <v>3ع ت1</v>
      </c>
      <c r="R119" s="797" t="str">
        <f>VLOOKUP(N119,etat!$A$9:$N$1003,9,FALSE)</f>
        <v>خ</v>
      </c>
      <c r="S119" s="866" t="str">
        <f>VLOOKUP(N119,etat!$A$9:$P$905,16,FALSE)</f>
        <v>ذخ3</v>
      </c>
      <c r="T119" s="755">
        <v>45769</v>
      </c>
      <c r="U119" s="791">
        <v>16</v>
      </c>
      <c r="V119" s="784" t="s">
        <v>2278</v>
      </c>
      <c r="W119" s="784" t="s">
        <v>2283</v>
      </c>
      <c r="X119" s="784"/>
      <c r="Y119" s="975"/>
      <c r="Z119" s="975" t="str">
        <f>VLOOKUP(L119,[2]اس!$S$3:$X$31,3,FALSE)</f>
        <v>.</v>
      </c>
      <c r="AA119" s="967">
        <v>6</v>
      </c>
      <c r="AB119" s="1005"/>
      <c r="AC119" s="1005"/>
      <c r="AD119" s="1005"/>
      <c r="AE119" s="1005"/>
      <c r="AF119" s="1005"/>
      <c r="AG119" s="1004"/>
      <c r="AH119" s="1004"/>
      <c r="AI119" s="1004"/>
      <c r="AJ119" s="1004"/>
      <c r="AK119" s="1004"/>
      <c r="AL119" s="1004"/>
      <c r="AM119" s="1004"/>
      <c r="AN119" s="1004"/>
      <c r="AO119" s="1004"/>
      <c r="AP119" s="1004"/>
      <c r="AQ119" s="1004"/>
      <c r="AR119" s="1004"/>
      <c r="AS119" s="1004"/>
      <c r="AT119" s="1004"/>
      <c r="AU119" s="1004"/>
      <c r="AV119" s="1004"/>
      <c r="AW119" s="1004"/>
      <c r="BC119" s="302"/>
      <c r="BD119" s="302"/>
      <c r="BE119" s="302"/>
      <c r="BF119" s="302"/>
      <c r="BG119" s="302"/>
      <c r="BH119" s="302"/>
      <c r="BI119" s="302"/>
      <c r="BV119" s="302"/>
      <c r="BW119" s="302"/>
      <c r="BX119" s="302"/>
      <c r="BY119" s="302"/>
      <c r="BZ119" s="302"/>
      <c r="CA119" s="302"/>
    </row>
    <row r="120" spans="1:79" ht="15" customHeight="1">
      <c r="A120" s="302"/>
      <c r="B120" s="302"/>
      <c r="C120" s="302"/>
      <c r="D120" s="303"/>
      <c r="E120" s="303"/>
      <c r="F120" s="303"/>
      <c r="G120" s="303"/>
      <c r="H120" s="303"/>
      <c r="I120" s="302"/>
      <c r="J120" s="302"/>
      <c r="K120" s="302"/>
      <c r="L120" s="777">
        <v>5</v>
      </c>
      <c r="M120" s="778"/>
      <c r="N120" s="976">
        <v>90</v>
      </c>
      <c r="O120" s="1020">
        <v>67</v>
      </c>
      <c r="P120" s="847">
        <f>VLOOKUP(N120,etat!$A$9:$N$1004,2,FALSE)</f>
        <v>0</v>
      </c>
      <c r="Q120" s="797" t="str">
        <f>VLOOKUP(N120,etat!$A$9:$N$963,7,FALSE)</f>
        <v>3ع ت1</v>
      </c>
      <c r="R120" s="797" t="str">
        <f>VLOOKUP(N120,etat!$A$9:$N$1003,9,FALSE)</f>
        <v>خ</v>
      </c>
      <c r="S120" s="866" t="str">
        <f>VLOOKUP(N120,etat!$A$9:$P$905,16,FALSE)</f>
        <v>ذخ3</v>
      </c>
      <c r="T120" s="755">
        <v>45762</v>
      </c>
      <c r="U120" s="791">
        <v>23</v>
      </c>
      <c r="V120" s="784" t="s">
        <v>2268</v>
      </c>
      <c r="W120" s="784" t="s">
        <v>2278</v>
      </c>
      <c r="X120" s="784" t="s">
        <v>2283</v>
      </c>
      <c r="Y120" s="975"/>
      <c r="Z120" s="975" t="str">
        <f>VLOOKUP(L120,[2]اس!$S$3:$X$31,3,FALSE)</f>
        <v>.</v>
      </c>
      <c r="AA120" s="967">
        <v>6</v>
      </c>
      <c r="AB120" s="1005"/>
      <c r="AC120" s="1005"/>
      <c r="AD120" s="1005"/>
      <c r="AE120" s="1005"/>
      <c r="AF120" s="1005"/>
      <c r="AG120" s="1004"/>
      <c r="AH120" s="1004"/>
      <c r="AI120" s="1004"/>
      <c r="AJ120" s="1004"/>
      <c r="AK120" s="1004"/>
      <c r="AL120" s="1004"/>
      <c r="AM120" s="1004"/>
      <c r="AN120" s="1004"/>
      <c r="AO120" s="1004"/>
      <c r="AP120" s="1004"/>
      <c r="AQ120" s="1004"/>
      <c r="AR120" s="1004"/>
      <c r="AS120" s="1004"/>
      <c r="AT120" s="1004"/>
      <c r="AU120" s="1004"/>
      <c r="AV120" s="1004"/>
      <c r="AW120" s="1004"/>
      <c r="BV120" s="302"/>
      <c r="BW120" s="302"/>
      <c r="BX120" s="302"/>
      <c r="BY120" s="302"/>
      <c r="BZ120" s="302"/>
      <c r="CA120" s="302"/>
    </row>
    <row r="121" spans="1:79" s="938" customFormat="1" ht="15" customHeight="1">
      <c r="A121" s="302"/>
      <c r="B121" s="302"/>
      <c r="C121" s="302"/>
      <c r="D121" s="303"/>
      <c r="E121" s="303"/>
      <c r="F121" s="303"/>
      <c r="G121" s="303"/>
      <c r="H121" s="303"/>
      <c r="I121" s="302"/>
      <c r="J121" s="302"/>
      <c r="K121" s="302"/>
      <c r="L121" s="777">
        <v>5</v>
      </c>
      <c r="M121" s="778"/>
      <c r="N121" s="976">
        <v>91</v>
      </c>
      <c r="O121" s="1020">
        <v>68</v>
      </c>
      <c r="P121" s="847">
        <f>VLOOKUP(N121,etat!$A$9:$N$1004,2,FALSE)</f>
        <v>0</v>
      </c>
      <c r="Q121" s="797" t="str">
        <f>VLOOKUP(N121,etat!$A$9:$N$963,7,FALSE)</f>
        <v>3ع ت1</v>
      </c>
      <c r="R121" s="797" t="str">
        <f>VLOOKUP(N121,etat!$A$9:$N$1003,9,FALSE)</f>
        <v>خ</v>
      </c>
      <c r="S121" s="866" t="str">
        <f>VLOOKUP(N121,etat!$A$9:$P$905,16,FALSE)</f>
        <v>اخ3</v>
      </c>
      <c r="T121" s="755">
        <v>45769</v>
      </c>
      <c r="U121" s="791">
        <v>16</v>
      </c>
      <c r="V121" s="784" t="s">
        <v>2278</v>
      </c>
      <c r="W121" s="784" t="s">
        <v>2283</v>
      </c>
      <c r="X121" s="784"/>
      <c r="Y121" s="1118"/>
      <c r="Z121" s="967"/>
      <c r="AA121" s="967">
        <v>6</v>
      </c>
      <c r="AB121" s="1005"/>
      <c r="AC121" s="1005"/>
      <c r="AD121" s="1005"/>
      <c r="AE121" s="1005"/>
      <c r="AF121" s="1005"/>
      <c r="AG121" s="1004"/>
      <c r="AH121" s="1004"/>
      <c r="AI121" s="1004"/>
      <c r="AJ121" s="1004"/>
      <c r="AK121" s="1004"/>
      <c r="AL121" s="1004"/>
      <c r="AM121" s="1004"/>
      <c r="AN121" s="1004"/>
      <c r="AO121" s="1004"/>
      <c r="AP121" s="1004"/>
      <c r="AQ121" s="1004"/>
      <c r="AR121" s="1004"/>
      <c r="AS121" s="1004"/>
      <c r="AT121" s="1004"/>
      <c r="AU121" s="1004"/>
      <c r="AV121" s="1004"/>
      <c r="AW121" s="1004"/>
      <c r="BV121" s="302"/>
      <c r="BW121" s="302"/>
      <c r="BX121" s="302"/>
      <c r="BY121" s="302"/>
      <c r="BZ121" s="302"/>
      <c r="CA121" s="302"/>
    </row>
    <row r="122" spans="1:79" s="938" customFormat="1" ht="15" customHeight="1">
      <c r="A122" s="302"/>
      <c r="B122" s="302"/>
      <c r="C122" s="302"/>
      <c r="D122" s="303"/>
      <c r="E122" s="303"/>
      <c r="F122" s="303"/>
      <c r="G122" s="303"/>
      <c r="H122" s="303"/>
      <c r="I122" s="302"/>
      <c r="J122" s="302"/>
      <c r="K122" s="302"/>
      <c r="L122" s="777">
        <v>5</v>
      </c>
      <c r="M122" s="778"/>
      <c r="N122" s="976">
        <v>92</v>
      </c>
      <c r="O122" s="1020">
        <v>69</v>
      </c>
      <c r="P122" s="847">
        <f>VLOOKUP(N122,etat!$A$9:$N$1004,2,FALSE)</f>
        <v>0</v>
      </c>
      <c r="Q122" s="797" t="str">
        <f>VLOOKUP(N122,etat!$A$9:$N$963,7,FALSE)</f>
        <v>3ع ت1</v>
      </c>
      <c r="R122" s="797" t="str">
        <f>VLOOKUP(N122,etat!$A$9:$N$1003,9,FALSE)</f>
        <v>خ</v>
      </c>
      <c r="S122" s="866" t="str">
        <f>VLOOKUP(N122,etat!$A$9:$P$905,16,FALSE)</f>
        <v>ذخ3</v>
      </c>
      <c r="T122" s="755">
        <v>45782</v>
      </c>
      <c r="U122" s="784" t="s">
        <v>359</v>
      </c>
      <c r="V122" s="784"/>
      <c r="W122" s="784"/>
      <c r="X122" s="784"/>
      <c r="Y122" s="1118"/>
      <c r="Z122" s="967"/>
      <c r="AA122" s="967">
        <v>6</v>
      </c>
      <c r="AB122" s="1005"/>
      <c r="AC122" s="1005"/>
      <c r="AD122" s="1005"/>
      <c r="AE122" s="1005"/>
      <c r="AF122" s="1005"/>
      <c r="AG122" s="1004"/>
      <c r="AH122" s="1004"/>
      <c r="AI122" s="1004"/>
      <c r="AJ122" s="1004"/>
      <c r="AK122" s="1004"/>
      <c r="AL122" s="1004"/>
      <c r="AM122" s="1004"/>
      <c r="AN122" s="1004"/>
      <c r="AO122" s="1004"/>
      <c r="AP122" s="1004"/>
      <c r="AQ122" s="1004"/>
      <c r="AR122" s="1004"/>
      <c r="AS122" s="1004"/>
      <c r="AT122" s="1004"/>
      <c r="AU122" s="1004"/>
      <c r="AV122" s="1004"/>
      <c r="AW122" s="1004"/>
      <c r="BV122" s="302"/>
      <c r="BW122" s="302"/>
      <c r="BX122" s="302"/>
      <c r="BY122" s="302"/>
      <c r="BZ122" s="302"/>
      <c r="CA122" s="302"/>
    </row>
    <row r="123" spans="1:79" s="938" customFormat="1" ht="15" customHeight="1">
      <c r="A123" s="302"/>
      <c r="B123" s="302"/>
      <c r="C123" s="302"/>
      <c r="D123" s="303"/>
      <c r="E123" s="303"/>
      <c r="F123" s="303"/>
      <c r="G123" s="303"/>
      <c r="H123" s="303"/>
      <c r="I123" s="302"/>
      <c r="J123" s="302"/>
      <c r="K123" s="302"/>
      <c r="L123" s="777">
        <v>5</v>
      </c>
      <c r="M123" s="778"/>
      <c r="N123" s="976">
        <v>93</v>
      </c>
      <c r="O123" s="1020">
        <v>70</v>
      </c>
      <c r="P123" s="847">
        <f>VLOOKUP(N123,etat!$A$9:$N$1004,2,FALSE)</f>
        <v>0</v>
      </c>
      <c r="Q123" s="797" t="str">
        <f>VLOOKUP(N123,etat!$A$9:$N$963,7,FALSE)</f>
        <v>3ع ت1</v>
      </c>
      <c r="R123" s="797" t="str">
        <f>VLOOKUP(N123,etat!$A$9:$N$1003,9,FALSE)</f>
        <v>خ</v>
      </c>
      <c r="S123" s="866" t="str">
        <f>VLOOKUP(N123,etat!$A$9:$P$905,16,FALSE)</f>
        <v>اخ3</v>
      </c>
      <c r="T123" s="755">
        <v>45781</v>
      </c>
      <c r="U123" s="791">
        <v>4</v>
      </c>
      <c r="V123" s="784" t="s">
        <v>2285</v>
      </c>
      <c r="W123" s="784"/>
      <c r="X123" s="784"/>
      <c r="Y123" s="975"/>
      <c r="Z123" s="967"/>
      <c r="AA123" s="967">
        <v>6</v>
      </c>
      <c r="AB123" s="1005"/>
      <c r="AC123" s="1005"/>
      <c r="AD123" s="1005"/>
      <c r="AE123" s="1005"/>
      <c r="AF123" s="1005"/>
      <c r="AG123" s="1004"/>
      <c r="AH123" s="1004"/>
      <c r="AI123" s="1004"/>
      <c r="AJ123" s="1004"/>
      <c r="AK123" s="1004"/>
      <c r="AL123" s="1004"/>
      <c r="AM123" s="1004"/>
      <c r="AN123" s="1004"/>
      <c r="AO123" s="1004"/>
      <c r="AP123" s="1004"/>
      <c r="AQ123" s="1004"/>
      <c r="AR123" s="1004"/>
      <c r="AS123" s="1004"/>
      <c r="AT123" s="1004"/>
      <c r="AU123" s="1004"/>
      <c r="AV123" s="1004"/>
      <c r="AW123" s="1004"/>
      <c r="BV123" s="302"/>
      <c r="BW123" s="302"/>
      <c r="BX123" s="302"/>
      <c r="BY123" s="302"/>
      <c r="BZ123" s="302"/>
      <c r="CA123" s="302"/>
    </row>
    <row r="124" spans="1:79" s="938" customFormat="1" ht="15" customHeight="1">
      <c r="A124" s="302"/>
      <c r="B124" s="302"/>
      <c r="C124" s="302"/>
      <c r="D124" s="303"/>
      <c r="E124" s="303"/>
      <c r="F124" s="303"/>
      <c r="G124" s="303"/>
      <c r="H124" s="303"/>
      <c r="I124" s="302"/>
      <c r="J124" s="302"/>
      <c r="K124" s="302"/>
      <c r="L124" s="777">
        <v>5</v>
      </c>
      <c r="M124" s="778"/>
      <c r="N124" s="976">
        <v>94</v>
      </c>
      <c r="O124" s="1020">
        <v>71</v>
      </c>
      <c r="P124" s="847">
        <f>VLOOKUP(N124,etat!$A$9:$N$1004,2,FALSE)</f>
        <v>0</v>
      </c>
      <c r="Q124" s="797" t="str">
        <f>VLOOKUP(N124,etat!$A$9:$N$963,7,FALSE)</f>
        <v>3ع ت1</v>
      </c>
      <c r="R124" s="797" t="str">
        <f>VLOOKUP(N124,etat!$A$9:$N$1003,9,FALSE)</f>
        <v>خ</v>
      </c>
      <c r="S124" s="866" t="str">
        <f>VLOOKUP(N124,etat!$A$9:$P$905,16,FALSE)</f>
        <v>اخ3</v>
      </c>
      <c r="T124" s="755">
        <v>45781</v>
      </c>
      <c r="U124" s="791">
        <v>4</v>
      </c>
      <c r="V124" s="784" t="s">
        <v>2285</v>
      </c>
      <c r="W124" s="784"/>
      <c r="X124" s="784"/>
      <c r="Y124" s="975"/>
      <c r="Z124" s="975"/>
      <c r="AA124" s="967">
        <v>6</v>
      </c>
      <c r="AB124" s="1005"/>
      <c r="AC124" s="1005"/>
      <c r="AD124" s="1005"/>
      <c r="AE124" s="1005"/>
      <c r="AF124" s="1005"/>
      <c r="AG124" s="1004"/>
      <c r="AH124" s="1004"/>
      <c r="AI124" s="1004"/>
      <c r="AJ124" s="1004"/>
      <c r="AK124" s="1004"/>
      <c r="AL124" s="1004"/>
      <c r="AM124" s="1004"/>
      <c r="AN124" s="1004"/>
      <c r="AO124" s="1004"/>
      <c r="AP124" s="1004"/>
      <c r="AQ124" s="1004"/>
      <c r="AR124" s="1004"/>
      <c r="AS124" s="1004"/>
      <c r="AT124" s="1004"/>
      <c r="AU124" s="1004"/>
      <c r="AV124" s="1004"/>
      <c r="AW124" s="1004"/>
      <c r="BV124" s="302"/>
      <c r="BW124" s="302"/>
      <c r="BX124" s="302"/>
      <c r="BY124" s="302"/>
      <c r="BZ124" s="302"/>
      <c r="CA124" s="302"/>
    </row>
    <row r="125" spans="1:79" s="773" customFormat="1" ht="15" customHeight="1">
      <c r="A125" s="302"/>
      <c r="B125" s="302"/>
      <c r="C125" s="302"/>
      <c r="D125" s="303"/>
      <c r="E125" s="303"/>
      <c r="F125" s="303"/>
      <c r="G125" s="303"/>
      <c r="H125" s="303"/>
      <c r="I125" s="302"/>
      <c r="J125" s="302"/>
      <c r="K125" s="302"/>
      <c r="L125" s="777">
        <v>5</v>
      </c>
      <c r="M125" s="778"/>
      <c r="N125" s="976">
        <v>95</v>
      </c>
      <c r="O125" s="1020">
        <v>72</v>
      </c>
      <c r="P125" s="847">
        <f>VLOOKUP(N125,etat!$A$9:$N$1004,2,FALSE)</f>
        <v>0</v>
      </c>
      <c r="Q125" s="797" t="str">
        <f>VLOOKUP(N125,etat!$A$9:$N$963,7,FALSE)</f>
        <v>3ع ت2</v>
      </c>
      <c r="R125" s="797" t="str">
        <f>VLOOKUP(N125,etat!$A$9:$N$1003,9,FALSE)</f>
        <v>ن/د</v>
      </c>
      <c r="S125" s="866" t="str">
        <f>VLOOKUP(N125,etat!$A$9:$P$905,16,FALSE)</f>
        <v>ذخ3</v>
      </c>
      <c r="T125" s="755">
        <v>45781</v>
      </c>
      <c r="U125" s="791">
        <v>4</v>
      </c>
      <c r="V125" s="784" t="s">
        <v>2285</v>
      </c>
      <c r="W125" s="784"/>
      <c r="X125" s="784"/>
      <c r="Y125" s="975"/>
      <c r="Z125" s="975"/>
      <c r="AA125" s="967">
        <v>6</v>
      </c>
      <c r="AB125" s="1005"/>
      <c r="AC125" s="1005"/>
      <c r="AD125" s="1005"/>
      <c r="AE125" s="1005"/>
      <c r="AF125" s="1005"/>
      <c r="AG125" s="1004"/>
      <c r="AH125" s="1004"/>
      <c r="AI125" s="1004"/>
      <c r="AJ125" s="1004"/>
      <c r="AK125" s="1004"/>
      <c r="AL125" s="1004"/>
      <c r="AM125" s="1004"/>
      <c r="AN125" s="1004"/>
      <c r="AO125" s="1004"/>
      <c r="AP125" s="1004"/>
      <c r="AQ125" s="1004"/>
      <c r="AR125" s="1004"/>
      <c r="AS125" s="1004"/>
      <c r="AT125" s="1004"/>
      <c r="AU125" s="1004"/>
      <c r="AV125" s="1004"/>
      <c r="AW125" s="1004"/>
      <c r="BV125" s="302"/>
      <c r="BW125" s="302"/>
      <c r="BX125" s="302"/>
      <c r="BY125" s="302"/>
      <c r="BZ125" s="302"/>
      <c r="CA125" s="302"/>
    </row>
    <row r="126" spans="1:79" s="773" customFormat="1" ht="15" customHeight="1">
      <c r="A126" s="302"/>
      <c r="B126" s="302"/>
      <c r="C126" s="302"/>
      <c r="D126" s="303"/>
      <c r="E126" s="303"/>
      <c r="F126" s="303"/>
      <c r="G126" s="303"/>
      <c r="H126" s="303"/>
      <c r="I126" s="302"/>
      <c r="J126" s="302"/>
      <c r="K126" s="302"/>
      <c r="L126" s="777">
        <v>5</v>
      </c>
      <c r="M126" s="778"/>
      <c r="N126" s="976">
        <v>96</v>
      </c>
      <c r="O126" s="1020">
        <v>73</v>
      </c>
      <c r="P126" s="847">
        <f>VLOOKUP(N126,etat!$A$9:$N$1004,2,FALSE)</f>
        <v>0</v>
      </c>
      <c r="Q126" s="797" t="str">
        <f>VLOOKUP(N126,etat!$A$9:$N$963,7,FALSE)</f>
        <v>3ع ت2</v>
      </c>
      <c r="R126" s="866" t="str">
        <f>VLOOKUP(N126,etat!$A$9:$N$1003,9,FALSE)</f>
        <v>خ</v>
      </c>
      <c r="S126" s="866" t="str">
        <f>VLOOKUP(N126,etat!$A$9:$P$905,16,FALSE)</f>
        <v>ذخ3</v>
      </c>
      <c r="T126" s="755">
        <v>45781</v>
      </c>
      <c r="U126" s="791">
        <v>4</v>
      </c>
      <c r="V126" s="784" t="s">
        <v>2285</v>
      </c>
      <c r="W126" s="784"/>
      <c r="X126" s="784"/>
      <c r="Y126" s="1116"/>
      <c r="Z126" s="975"/>
      <c r="AA126" s="967">
        <v>6</v>
      </c>
      <c r="AB126" s="1005"/>
      <c r="AC126" s="1005"/>
      <c r="AD126" s="1005"/>
      <c r="AE126" s="1005"/>
      <c r="AF126" s="1005"/>
      <c r="AG126" s="1004"/>
      <c r="AH126" s="1004"/>
      <c r="AI126" s="1004"/>
      <c r="AJ126" s="1004"/>
      <c r="AK126" s="1004"/>
      <c r="AL126" s="1004"/>
      <c r="AM126" s="1004"/>
      <c r="AN126" s="1004"/>
      <c r="AO126" s="1004"/>
      <c r="AP126" s="1004"/>
      <c r="AQ126" s="1004"/>
      <c r="AR126" s="1004"/>
      <c r="AS126" s="1004"/>
      <c r="AT126" s="1004"/>
      <c r="AU126" s="1004"/>
      <c r="AV126" s="1004"/>
      <c r="AW126" s="1004"/>
      <c r="BV126" s="302"/>
      <c r="BW126" s="302"/>
      <c r="BX126" s="302"/>
      <c r="BY126" s="302"/>
      <c r="BZ126" s="302"/>
      <c r="CA126" s="302"/>
    </row>
    <row r="127" spans="1:79" ht="15" customHeight="1">
      <c r="A127" s="302"/>
      <c r="B127" s="302"/>
      <c r="C127" s="302"/>
      <c r="D127" s="303"/>
      <c r="E127" s="303"/>
      <c r="F127" s="303"/>
      <c r="G127" s="303"/>
      <c r="H127" s="303"/>
      <c r="I127" s="302"/>
      <c r="J127" s="302"/>
      <c r="K127" s="302"/>
      <c r="L127" s="777">
        <v>5</v>
      </c>
      <c r="M127" s="778"/>
      <c r="N127" s="976">
        <v>97</v>
      </c>
      <c r="O127" s="1020">
        <v>74</v>
      </c>
      <c r="P127" s="847">
        <f>VLOOKUP(N127,etat!$A$9:$N$1004,2,FALSE)</f>
        <v>0</v>
      </c>
      <c r="Q127" s="797" t="str">
        <f>VLOOKUP(N127,etat!$A$9:$N$963,7,FALSE)</f>
        <v>3ع ت2</v>
      </c>
      <c r="R127" s="797" t="str">
        <f>VLOOKUP(N127,etat!$A$9:$N$1003,9,FALSE)</f>
        <v>خ</v>
      </c>
      <c r="S127" s="866" t="str">
        <f>VLOOKUP(N127,etat!$A$9:$P$905,16,FALSE)</f>
        <v>اخ3</v>
      </c>
      <c r="T127" s="755">
        <v>45769</v>
      </c>
      <c r="U127" s="791">
        <v>16</v>
      </c>
      <c r="V127" s="784" t="s">
        <v>2278</v>
      </c>
      <c r="W127" s="784" t="s">
        <v>2283</v>
      </c>
      <c r="X127" s="784"/>
      <c r="Y127" s="1116"/>
      <c r="Z127" s="975"/>
      <c r="AA127" s="967">
        <v>6</v>
      </c>
      <c r="AB127" s="1005"/>
      <c r="AC127" s="1005"/>
      <c r="AD127" s="1005"/>
      <c r="AE127" s="1005"/>
      <c r="AF127" s="1005"/>
      <c r="AG127" s="1004"/>
      <c r="AH127" s="1004"/>
      <c r="AI127" s="1004"/>
      <c r="AJ127" s="1004"/>
      <c r="AK127" s="1004"/>
      <c r="AL127" s="1004"/>
      <c r="AM127" s="1004"/>
      <c r="AN127" s="1004"/>
      <c r="AO127" s="1004"/>
      <c r="AP127" s="1004"/>
      <c r="AQ127" s="1004"/>
      <c r="AR127" s="1004"/>
      <c r="AS127" s="1004"/>
      <c r="AT127" s="1004"/>
      <c r="AU127" s="1004"/>
      <c r="AV127" s="1004"/>
      <c r="AW127" s="1004"/>
      <c r="BV127" s="302"/>
      <c r="BW127" s="302"/>
      <c r="BX127" s="302"/>
      <c r="BY127" s="302"/>
      <c r="BZ127" s="302"/>
      <c r="CA127" s="302"/>
    </row>
    <row r="128" spans="1:79" s="915" customFormat="1" ht="15" customHeight="1">
      <c r="A128" s="302"/>
      <c r="B128" s="302"/>
      <c r="C128" s="302"/>
      <c r="D128" s="303"/>
      <c r="E128" s="303"/>
      <c r="F128" s="303"/>
      <c r="G128" s="303"/>
      <c r="H128" s="303"/>
      <c r="I128" s="302"/>
      <c r="J128" s="302"/>
      <c r="K128" s="302"/>
      <c r="L128" s="777">
        <v>5</v>
      </c>
      <c r="M128" s="778"/>
      <c r="N128" s="976">
        <v>98</v>
      </c>
      <c r="O128" s="1020">
        <v>75</v>
      </c>
      <c r="P128" s="847">
        <f>VLOOKUP(N128,etat!$A$9:$N$1004,2,FALSE)</f>
        <v>0</v>
      </c>
      <c r="Q128" s="797" t="str">
        <f>VLOOKUP(N128,etat!$A$9:$N$963,7,FALSE)</f>
        <v>3ع ت2</v>
      </c>
      <c r="R128" s="797" t="str">
        <f>VLOOKUP(N128,etat!$A$9:$N$1003,9,FALSE)</f>
        <v>خ</v>
      </c>
      <c r="S128" s="866" t="str">
        <f>VLOOKUP(N128,etat!$A$9:$P$905,16,FALSE)</f>
        <v>اخ3</v>
      </c>
      <c r="T128" s="755">
        <v>45782</v>
      </c>
      <c r="U128" s="784" t="s">
        <v>359</v>
      </c>
      <c r="V128" s="784"/>
      <c r="W128" s="784"/>
      <c r="X128" s="784"/>
      <c r="Y128" s="975"/>
      <c r="Z128" s="975"/>
      <c r="AA128" s="967">
        <v>6</v>
      </c>
      <c r="AB128" s="1005"/>
      <c r="AC128" s="1005"/>
      <c r="AD128" s="1005"/>
      <c r="AE128" s="1005"/>
      <c r="AF128" s="1005"/>
      <c r="AG128" s="1004"/>
      <c r="AH128" s="1004"/>
      <c r="AI128" s="1004"/>
      <c r="AJ128" s="1004"/>
      <c r="AK128" s="1004"/>
      <c r="AL128" s="1004"/>
      <c r="AM128" s="1004"/>
      <c r="AN128" s="1004"/>
      <c r="AO128" s="1004"/>
      <c r="AP128" s="1004"/>
      <c r="AQ128" s="1004"/>
      <c r="AR128" s="1004"/>
      <c r="AS128" s="1004"/>
      <c r="AT128" s="1004"/>
      <c r="AU128" s="1004"/>
      <c r="AV128" s="1004"/>
      <c r="AW128" s="1004"/>
    </row>
    <row r="129" spans="1:49" ht="15" customHeight="1">
      <c r="A129" s="1004"/>
      <c r="B129" s="1004"/>
      <c r="C129" s="1004"/>
      <c r="I129" s="1004"/>
      <c r="J129" s="1004"/>
      <c r="K129" s="1004"/>
      <c r="L129" s="777">
        <v>5</v>
      </c>
      <c r="M129" s="778"/>
      <c r="N129" s="976">
        <v>99</v>
      </c>
      <c r="O129" s="1020">
        <v>76</v>
      </c>
      <c r="P129" s="847">
        <f>VLOOKUP(N129,etat!$A$9:$N$1004,2,FALSE)</f>
        <v>0</v>
      </c>
      <c r="Q129" s="797" t="str">
        <f>VLOOKUP(N129,etat!$A$9:$N$963,7,FALSE)</f>
        <v>3ع ت2</v>
      </c>
      <c r="R129" s="797" t="str">
        <f>VLOOKUP(N129,etat!$A$9:$N$1003,9,FALSE)</f>
        <v>خ</v>
      </c>
      <c r="S129" s="866" t="str">
        <f>VLOOKUP(N129,etat!$A$9:$P$905,16,FALSE)</f>
        <v>ذخ3</v>
      </c>
      <c r="T129" s="755">
        <v>45781</v>
      </c>
      <c r="U129" s="791">
        <v>4</v>
      </c>
      <c r="V129" s="784" t="s">
        <v>2285</v>
      </c>
      <c r="W129" s="784"/>
      <c r="X129" s="784"/>
      <c r="Y129" s="975"/>
      <c r="Z129" s="975"/>
      <c r="AA129" s="967">
        <v>6</v>
      </c>
      <c r="AB129" s="1005"/>
      <c r="AC129" s="1005"/>
      <c r="AD129" s="1005"/>
      <c r="AE129" s="1005"/>
      <c r="AF129" s="1005"/>
      <c r="AG129" s="1004"/>
      <c r="AH129" s="1004"/>
      <c r="AI129" s="1004"/>
      <c r="AJ129" s="1004"/>
      <c r="AK129" s="1004"/>
      <c r="AL129" s="1004"/>
      <c r="AM129" s="1004"/>
      <c r="AN129" s="1004"/>
      <c r="AO129" s="1004"/>
      <c r="AP129" s="1004"/>
      <c r="AQ129" s="1004"/>
      <c r="AR129" s="1004"/>
      <c r="AS129" s="1004"/>
      <c r="AT129" s="1004"/>
      <c r="AU129" s="1004"/>
      <c r="AV129" s="1004"/>
      <c r="AW129" s="1004"/>
    </row>
    <row r="130" spans="1:49" ht="15" customHeight="1">
      <c r="A130" s="1004"/>
      <c r="B130" s="1004"/>
      <c r="C130" s="1004"/>
      <c r="I130" s="1004"/>
      <c r="J130" s="1004"/>
      <c r="K130" s="1004"/>
      <c r="L130" s="777">
        <v>5</v>
      </c>
      <c r="M130" s="778"/>
      <c r="N130" s="976">
        <v>100</v>
      </c>
      <c r="O130" s="1020">
        <v>77</v>
      </c>
      <c r="P130" s="847">
        <f>VLOOKUP(N130,etat!$A$9:$N$1004,2,FALSE)</f>
        <v>0</v>
      </c>
      <c r="Q130" s="797" t="str">
        <f>VLOOKUP(N130,etat!$A$9:$N$963,7,FALSE)</f>
        <v>3ع ت2</v>
      </c>
      <c r="R130" s="797" t="str">
        <f>VLOOKUP(N130,etat!$A$9:$N$1003,9,FALSE)</f>
        <v>خ</v>
      </c>
      <c r="S130" s="866" t="str">
        <f>VLOOKUP(N130,etat!$A$9:$P$905,16,FALSE)</f>
        <v>ذخ3</v>
      </c>
      <c r="T130" s="755">
        <v>45769</v>
      </c>
      <c r="U130" s="791">
        <v>16</v>
      </c>
      <c r="V130" s="784" t="s">
        <v>2278</v>
      </c>
      <c r="W130" s="784" t="s">
        <v>2283</v>
      </c>
      <c r="X130" s="784"/>
      <c r="Y130" s="975"/>
      <c r="Z130" s="975" t="str">
        <f>VLOOKUP(L130,[2]اس!$S$3:$X$31,3,FALSE)</f>
        <v>.</v>
      </c>
      <c r="AA130" s="967">
        <v>6</v>
      </c>
      <c r="AB130" s="1005"/>
      <c r="AC130" s="1005"/>
      <c r="AD130" s="1005"/>
      <c r="AE130" s="1005"/>
      <c r="AF130" s="1005"/>
      <c r="AG130" s="1004"/>
      <c r="AH130" s="1004"/>
      <c r="AI130" s="1004"/>
      <c r="AJ130" s="1004"/>
      <c r="AK130" s="1004"/>
      <c r="AL130" s="1004"/>
      <c r="AM130" s="1004"/>
      <c r="AN130" s="1004"/>
      <c r="AO130" s="1004"/>
      <c r="AP130" s="1004"/>
      <c r="AQ130" s="1004"/>
      <c r="AR130" s="1004"/>
      <c r="AS130" s="1004"/>
      <c r="AT130" s="1004"/>
      <c r="AU130" s="1004"/>
      <c r="AV130" s="1004"/>
      <c r="AW130" s="1004"/>
    </row>
    <row r="131" spans="1:49" s="1083" customFormat="1" ht="15" customHeight="1">
      <c r="D131" s="166"/>
      <c r="E131" s="166"/>
      <c r="F131" s="166"/>
      <c r="G131" s="166"/>
      <c r="H131" s="166"/>
      <c r="L131" s="777">
        <v>5</v>
      </c>
      <c r="M131" s="778"/>
      <c r="N131" s="976">
        <v>101</v>
      </c>
      <c r="O131" s="1020">
        <v>78</v>
      </c>
      <c r="P131" s="847">
        <f>VLOOKUP(N131,etat!$A$9:$N$1004,2,FALSE)</f>
        <v>0</v>
      </c>
      <c r="Q131" s="797" t="str">
        <f>VLOOKUP(N131,etat!$A$9:$N$963,7,FALSE)</f>
        <v>3ع ت2</v>
      </c>
      <c r="R131" s="797" t="str">
        <f>VLOOKUP(N131,etat!$A$9:$N$1003,9,FALSE)</f>
        <v>خ</v>
      </c>
      <c r="S131" s="866" t="str">
        <f>VLOOKUP(N131,etat!$A$9:$P$905,16,FALSE)</f>
        <v>ذخ3</v>
      </c>
      <c r="T131" s="755">
        <v>45769</v>
      </c>
      <c r="U131" s="791">
        <v>16</v>
      </c>
      <c r="V131" s="784" t="s">
        <v>2278</v>
      </c>
      <c r="W131" s="784" t="s">
        <v>2283</v>
      </c>
      <c r="X131" s="784"/>
      <c r="Y131" s="1118"/>
      <c r="Z131" s="975" t="str">
        <f>VLOOKUP(L131,[2]اس!$S$3:$X$31,3,FALSE)</f>
        <v>.</v>
      </c>
      <c r="AA131" s="967">
        <v>6</v>
      </c>
      <c r="AB131" s="1082"/>
      <c r="AC131" s="1082"/>
      <c r="AD131" s="1082"/>
      <c r="AE131" s="1082"/>
      <c r="AF131" s="1082"/>
    </row>
    <row r="132" spans="1:49" s="1083" customFormat="1" ht="15" customHeight="1">
      <c r="D132" s="166"/>
      <c r="E132" s="166"/>
      <c r="F132" s="166"/>
      <c r="G132" s="166"/>
      <c r="H132" s="166"/>
      <c r="L132" s="777">
        <v>5</v>
      </c>
      <c r="M132" s="778"/>
      <c r="N132" s="976">
        <v>102</v>
      </c>
      <c r="O132" s="1020">
        <v>79</v>
      </c>
      <c r="P132" s="847">
        <f>VLOOKUP(N132,etat!$A$9:$N$1004,2,FALSE)</f>
        <v>0</v>
      </c>
      <c r="Q132" s="797" t="str">
        <f>VLOOKUP(N132,etat!$A$9:$N$963,7,FALSE)</f>
        <v>3ع ت2</v>
      </c>
      <c r="R132" s="797" t="str">
        <f>VLOOKUP(N132,etat!$A$9:$N$1003,9,FALSE)</f>
        <v>خ</v>
      </c>
      <c r="S132" s="866" t="str">
        <f>VLOOKUP(N132,etat!$A$9:$P$905,16,FALSE)</f>
        <v>ذخ3</v>
      </c>
      <c r="T132" s="755">
        <v>45782</v>
      </c>
      <c r="U132" s="784" t="s">
        <v>359</v>
      </c>
      <c r="V132" s="784"/>
      <c r="W132" s="784"/>
      <c r="X132" s="784"/>
      <c r="Y132" s="1118"/>
      <c r="Z132" s="975"/>
      <c r="AA132" s="967">
        <v>6</v>
      </c>
      <c r="AB132" s="1082"/>
      <c r="AC132" s="1082"/>
      <c r="AD132" s="1082"/>
      <c r="AE132" s="1082"/>
      <c r="AF132" s="1082"/>
    </row>
    <row r="133" spans="1:49" s="915" customFormat="1" ht="15" customHeight="1">
      <c r="A133" s="1004"/>
      <c r="B133" s="1004"/>
      <c r="C133" s="1004"/>
      <c r="D133" s="166"/>
      <c r="E133" s="166"/>
      <c r="F133" s="166"/>
      <c r="G133" s="166"/>
      <c r="H133" s="166"/>
      <c r="I133" s="1004"/>
      <c r="J133" s="1004"/>
      <c r="K133" s="1004"/>
      <c r="L133" s="777">
        <v>5</v>
      </c>
      <c r="M133" s="778"/>
      <c r="N133" s="976">
        <v>103</v>
      </c>
      <c r="O133" s="1020">
        <v>80</v>
      </c>
      <c r="P133" s="847">
        <f>VLOOKUP(N133,etat!$A$9:$N$1004,2,FALSE)</f>
        <v>0</v>
      </c>
      <c r="Q133" s="797" t="str">
        <f>VLOOKUP(N133,etat!$A$9:$N$963,7,FALSE)</f>
        <v>3ع ت2</v>
      </c>
      <c r="R133" s="866" t="str">
        <f>VLOOKUP(N133,etat!$A$9:$N$1003,9,FALSE)</f>
        <v>خ</v>
      </c>
      <c r="S133" s="866" t="str">
        <f>VLOOKUP(N133,etat!$A$9:$P$905,16,FALSE)</f>
        <v>اخ3</v>
      </c>
      <c r="T133" s="755">
        <v>45775</v>
      </c>
      <c r="U133" s="791">
        <v>10</v>
      </c>
      <c r="V133" s="784" t="s">
        <v>2282</v>
      </c>
      <c r="W133" s="784" t="s">
        <v>2287</v>
      </c>
      <c r="X133" s="869"/>
      <c r="Y133" s="975"/>
      <c r="Z133" s="967"/>
      <c r="AA133" s="967">
        <v>6</v>
      </c>
      <c r="AB133" s="1005"/>
      <c r="AC133" s="1005"/>
      <c r="AD133" s="1005"/>
      <c r="AE133" s="1005"/>
      <c r="AF133" s="1005"/>
      <c r="AG133" s="1004"/>
      <c r="AH133" s="1004"/>
      <c r="AI133" s="1004"/>
      <c r="AJ133" s="1004"/>
      <c r="AK133" s="1004"/>
      <c r="AL133" s="1004"/>
      <c r="AM133" s="1004"/>
      <c r="AN133" s="1004"/>
      <c r="AO133" s="1004"/>
      <c r="AP133" s="1004"/>
      <c r="AQ133" s="1004"/>
      <c r="AR133" s="1004"/>
      <c r="AS133" s="1004"/>
      <c r="AT133" s="1004"/>
      <c r="AU133" s="1004"/>
      <c r="AV133" s="1004"/>
      <c r="AW133" s="1004"/>
    </row>
    <row r="134" spans="1:49" s="915" customFormat="1" ht="15" customHeight="1">
      <c r="A134" s="1004"/>
      <c r="B134" s="1004"/>
      <c r="C134" s="1004"/>
      <c r="D134" s="166"/>
      <c r="E134" s="166"/>
      <c r="F134" s="166"/>
      <c r="G134" s="166"/>
      <c r="H134" s="166"/>
      <c r="I134" s="1004"/>
      <c r="J134" s="1004"/>
      <c r="K134" s="1004"/>
      <c r="L134" s="777">
        <v>5</v>
      </c>
      <c r="M134" s="778"/>
      <c r="N134" s="976">
        <v>104</v>
      </c>
      <c r="O134" s="1020">
        <v>81</v>
      </c>
      <c r="P134" s="847">
        <f>VLOOKUP(N134,etat!$A$9:$N$1004,2,FALSE)</f>
        <v>0</v>
      </c>
      <c r="Q134" s="797" t="str">
        <f>VLOOKUP(N134,etat!$A$9:$N$963,7,FALSE)</f>
        <v>3ع ت2</v>
      </c>
      <c r="R134" s="797" t="str">
        <f>VLOOKUP(N134,etat!$A$9:$N$1003,9,FALSE)</f>
        <v>ن/د</v>
      </c>
      <c r="S134" s="866" t="str">
        <f>VLOOKUP(N134,etat!$A$9:$P$905,16,FALSE)</f>
        <v>ذن/د3</v>
      </c>
      <c r="T134" s="755">
        <v>45784</v>
      </c>
      <c r="U134" s="791">
        <v>1</v>
      </c>
      <c r="V134" s="784"/>
      <c r="W134" s="784"/>
      <c r="X134" s="784"/>
      <c r="Y134" s="975"/>
      <c r="Z134" s="975"/>
      <c r="AA134" s="967">
        <v>2</v>
      </c>
      <c r="AB134" s="1005"/>
      <c r="AC134" s="1005"/>
      <c r="AD134" s="1005"/>
      <c r="AE134" s="1005"/>
      <c r="AF134" s="1005"/>
      <c r="AG134" s="1004"/>
      <c r="AH134" s="1004"/>
      <c r="AI134" s="1004"/>
      <c r="AJ134" s="1004"/>
      <c r="AK134" s="1004"/>
      <c r="AL134" s="1004"/>
      <c r="AM134" s="1004"/>
      <c r="AN134" s="1004"/>
      <c r="AO134" s="1004"/>
      <c r="AP134" s="1004"/>
      <c r="AQ134" s="1004"/>
      <c r="AR134" s="1004"/>
      <c r="AS134" s="1004"/>
      <c r="AT134" s="1004"/>
      <c r="AU134" s="1004"/>
      <c r="AV134" s="1004"/>
      <c r="AW134" s="1004"/>
    </row>
    <row r="135" spans="1:49" s="936" customFormat="1" ht="15" customHeight="1">
      <c r="A135" s="1004"/>
      <c r="B135" s="1004"/>
      <c r="C135" s="1004"/>
      <c r="D135" s="166"/>
      <c r="E135" s="166"/>
      <c r="F135" s="166"/>
      <c r="G135" s="166"/>
      <c r="H135" s="166"/>
      <c r="I135" s="1004"/>
      <c r="J135" s="1004"/>
      <c r="K135" s="1004"/>
      <c r="L135" s="777">
        <v>5</v>
      </c>
      <c r="M135" s="778"/>
      <c r="N135" s="976">
        <v>105</v>
      </c>
      <c r="O135" s="1020">
        <v>82</v>
      </c>
      <c r="P135" s="847">
        <f>VLOOKUP(N135,etat!$A$9:$N$1004,2,FALSE)</f>
        <v>0</v>
      </c>
      <c r="Q135" s="797" t="str">
        <f>VLOOKUP(N135,etat!$A$9:$N$963,7,FALSE)</f>
        <v>3ع ت2</v>
      </c>
      <c r="R135" s="797" t="str">
        <f>VLOOKUP(N135,etat!$A$9:$N$1003,9,FALSE)</f>
        <v>خ</v>
      </c>
      <c r="S135" s="866" t="str">
        <f>VLOOKUP(N135,etat!$A$9:$P$905,16,FALSE)</f>
        <v>ان/د3</v>
      </c>
      <c r="T135" s="755">
        <v>45781</v>
      </c>
      <c r="U135" s="791">
        <v>4</v>
      </c>
      <c r="V135" s="784" t="s">
        <v>2285</v>
      </c>
      <c r="W135" s="784"/>
      <c r="X135" s="784"/>
      <c r="Y135" s="975"/>
      <c r="Z135" s="975"/>
      <c r="AA135" s="967">
        <v>6</v>
      </c>
      <c r="AB135" s="1005"/>
      <c r="AC135" s="1005"/>
      <c r="AD135" s="1005"/>
      <c r="AE135" s="1005"/>
      <c r="AF135" s="1005"/>
      <c r="AG135" s="1004"/>
      <c r="AH135" s="1004"/>
      <c r="AI135" s="1004"/>
      <c r="AJ135" s="1004"/>
      <c r="AK135" s="1004"/>
      <c r="AL135" s="1004"/>
      <c r="AM135" s="1004"/>
      <c r="AN135" s="1004"/>
      <c r="AO135" s="1004"/>
      <c r="AP135" s="1004"/>
      <c r="AQ135" s="1004"/>
      <c r="AR135" s="1004"/>
      <c r="AS135" s="1004"/>
      <c r="AT135" s="1004"/>
      <c r="AU135" s="1004"/>
      <c r="AV135" s="1004"/>
      <c r="AW135" s="1004"/>
    </row>
    <row r="136" spans="1:49" ht="15" customHeight="1">
      <c r="A136" s="1004"/>
      <c r="B136" s="1004"/>
      <c r="C136" s="1004"/>
      <c r="I136" s="1004"/>
      <c r="J136" s="1004"/>
      <c r="K136" s="1004"/>
      <c r="L136" s="777">
        <v>5</v>
      </c>
      <c r="M136" s="778"/>
      <c r="N136" s="976">
        <v>106</v>
      </c>
      <c r="O136" s="1020">
        <v>83</v>
      </c>
      <c r="P136" s="847">
        <f>VLOOKUP(N136,etat!$A$9:$N$1004,2,FALSE)</f>
        <v>0</v>
      </c>
      <c r="Q136" s="797" t="str">
        <f>VLOOKUP(N136,etat!$A$9:$N$963,7,FALSE)</f>
        <v>3ع ت2</v>
      </c>
      <c r="R136" s="797" t="str">
        <f>VLOOKUP(N136,etat!$A$9:$N$1003,9,FALSE)</f>
        <v>خ</v>
      </c>
      <c r="S136" s="866" t="str">
        <f>VLOOKUP(N136,etat!$A$9:$P$905,16,FALSE)</f>
        <v>ان/د3</v>
      </c>
      <c r="T136" s="755">
        <v>45762</v>
      </c>
      <c r="U136" s="791">
        <v>23</v>
      </c>
      <c r="V136" s="784" t="s">
        <v>2268</v>
      </c>
      <c r="W136" s="784" t="s">
        <v>2278</v>
      </c>
      <c r="X136" s="784" t="s">
        <v>2283</v>
      </c>
      <c r="Y136" s="975"/>
      <c r="Z136" s="975" t="str">
        <f>VLOOKUP(L136,[2]اس!$S$3:$X$31,3,FALSE)</f>
        <v>.</v>
      </c>
      <c r="AA136" s="967">
        <v>6</v>
      </c>
      <c r="AB136" s="1005"/>
      <c r="AC136" s="1005"/>
      <c r="AD136" s="1005"/>
      <c r="AE136" s="1005"/>
      <c r="AF136" s="1005"/>
      <c r="AG136" s="1004"/>
      <c r="AH136" s="1004"/>
      <c r="AI136" s="1004"/>
      <c r="AJ136" s="1004"/>
      <c r="AK136" s="1004"/>
      <c r="AL136" s="1004"/>
      <c r="AM136" s="1004"/>
      <c r="AN136" s="1004"/>
      <c r="AO136" s="1004"/>
      <c r="AP136" s="1004"/>
      <c r="AQ136" s="1004"/>
      <c r="AR136" s="1004"/>
      <c r="AS136" s="1004"/>
      <c r="AT136" s="1004"/>
      <c r="AU136" s="1004"/>
      <c r="AV136" s="1004"/>
      <c r="AW136" s="1004"/>
    </row>
    <row r="137" spans="1:49" s="915" customFormat="1" ht="15" customHeight="1">
      <c r="A137" s="1004"/>
      <c r="B137" s="1004"/>
      <c r="C137" s="1004"/>
      <c r="D137" s="166"/>
      <c r="E137" s="166"/>
      <c r="F137" s="166"/>
      <c r="G137" s="166"/>
      <c r="H137" s="166"/>
      <c r="I137" s="1004"/>
      <c r="J137" s="1004"/>
      <c r="K137" s="1004"/>
      <c r="L137" s="777">
        <v>5</v>
      </c>
      <c r="M137" s="778"/>
      <c r="N137" s="976">
        <v>107</v>
      </c>
      <c r="O137" s="1020">
        <v>84</v>
      </c>
      <c r="P137" s="847">
        <f>VLOOKUP(N137,etat!$A$9:$N$1004,2,FALSE)</f>
        <v>0</v>
      </c>
      <c r="Q137" s="797" t="str">
        <f>VLOOKUP(N137,etat!$A$9:$N$963,7,FALSE)</f>
        <v>3ع ت2</v>
      </c>
      <c r="R137" s="797" t="str">
        <f>VLOOKUP(N137,etat!$A$9:$N$1003,9,FALSE)</f>
        <v>خ</v>
      </c>
      <c r="S137" s="866" t="str">
        <f>VLOOKUP(N137,etat!$A$9:$P$905,16,FALSE)</f>
        <v>ان/د3</v>
      </c>
      <c r="T137" s="755">
        <v>45781</v>
      </c>
      <c r="U137" s="791">
        <v>4</v>
      </c>
      <c r="V137" s="784" t="s">
        <v>2285</v>
      </c>
      <c r="W137" s="784"/>
      <c r="X137" s="784"/>
      <c r="Y137" s="975"/>
      <c r="Z137" s="975"/>
      <c r="AA137" s="967">
        <v>6</v>
      </c>
      <c r="AB137" s="1005"/>
      <c r="AC137" s="1005"/>
      <c r="AD137" s="1005"/>
      <c r="AE137" s="1005"/>
      <c r="AF137" s="1005"/>
      <c r="AG137" s="1004"/>
      <c r="AH137" s="1004"/>
      <c r="AI137" s="1004"/>
      <c r="AJ137" s="1004"/>
      <c r="AK137" s="1004"/>
      <c r="AL137" s="1004"/>
      <c r="AM137" s="1004"/>
      <c r="AN137" s="1004"/>
      <c r="AO137" s="1004"/>
      <c r="AP137" s="1004"/>
      <c r="AQ137" s="1004"/>
      <c r="AR137" s="1004"/>
      <c r="AS137" s="1004"/>
      <c r="AT137" s="1004"/>
      <c r="AU137" s="1004"/>
      <c r="AV137" s="1004"/>
      <c r="AW137" s="1004"/>
    </row>
    <row r="138" spans="1:49" s="915" customFormat="1" ht="15" customHeight="1">
      <c r="A138" s="1004"/>
      <c r="B138" s="1004"/>
      <c r="C138" s="1004"/>
      <c r="D138" s="166"/>
      <c r="E138" s="166"/>
      <c r="F138" s="166"/>
      <c r="G138" s="166"/>
      <c r="H138" s="166"/>
      <c r="I138" s="1004"/>
      <c r="J138" s="1004"/>
      <c r="K138" s="1004"/>
      <c r="L138" s="777">
        <v>5</v>
      </c>
      <c r="M138" s="778"/>
      <c r="N138" s="976">
        <v>108</v>
      </c>
      <c r="O138" s="1020">
        <v>85</v>
      </c>
      <c r="P138" s="847">
        <f>VLOOKUP(N138,etat!$A$9:$N$1004,2,FALSE)</f>
        <v>0</v>
      </c>
      <c r="Q138" s="797" t="str">
        <f>VLOOKUP(N138,etat!$A$9:$N$963,7,FALSE)</f>
        <v>3ع ت2</v>
      </c>
      <c r="R138" s="797" t="str">
        <f>VLOOKUP(N138,etat!$A$9:$N$1003,9,FALSE)</f>
        <v>خ</v>
      </c>
      <c r="S138" s="866" t="str">
        <f>VLOOKUP(N138,etat!$A$9:$P$905,16,FALSE)</f>
        <v>ان/د3</v>
      </c>
      <c r="T138" s="755">
        <v>45781</v>
      </c>
      <c r="U138" s="791">
        <v>4</v>
      </c>
      <c r="V138" s="784" t="s">
        <v>2285</v>
      </c>
      <c r="W138" s="784"/>
      <c r="X138" s="784"/>
      <c r="Y138" s="975"/>
      <c r="Z138" s="975"/>
      <c r="AA138" s="967">
        <v>6</v>
      </c>
      <c r="AB138" s="1005"/>
      <c r="AC138" s="1005"/>
      <c r="AD138" s="1005"/>
      <c r="AE138" s="1005"/>
      <c r="AF138" s="1005"/>
      <c r="AG138" s="1004"/>
      <c r="AH138" s="1004"/>
      <c r="AI138" s="1004"/>
      <c r="AJ138" s="1004"/>
      <c r="AK138" s="1004"/>
      <c r="AL138" s="1004"/>
      <c r="AM138" s="1004"/>
      <c r="AN138" s="1004"/>
      <c r="AO138" s="1004"/>
      <c r="AP138" s="1004"/>
      <c r="AQ138" s="1004"/>
      <c r="AR138" s="1004"/>
      <c r="AS138" s="1004"/>
      <c r="AT138" s="1004"/>
      <c r="AU138" s="1004"/>
      <c r="AV138" s="1004"/>
      <c r="AW138" s="1004"/>
    </row>
    <row r="139" spans="1:49" ht="15" customHeight="1">
      <c r="A139" s="1004"/>
      <c r="B139" s="1004"/>
      <c r="C139" s="1004"/>
      <c r="I139" s="1004"/>
      <c r="J139" s="1004"/>
      <c r="K139" s="1004"/>
      <c r="L139" s="777">
        <v>5</v>
      </c>
      <c r="M139" s="778"/>
      <c r="N139" s="976">
        <v>109</v>
      </c>
      <c r="O139" s="1020">
        <v>86</v>
      </c>
      <c r="P139" s="847">
        <f>VLOOKUP(N139,etat!$A$9:$N$1004,2,FALSE)</f>
        <v>0</v>
      </c>
      <c r="Q139" s="797" t="str">
        <f>VLOOKUP(N139,etat!$A$9:$N$963,7,FALSE)</f>
        <v>3ع ت2</v>
      </c>
      <c r="R139" s="797" t="str">
        <f>VLOOKUP(N139,etat!$A$9:$N$1003,9,FALSE)</f>
        <v>خ</v>
      </c>
      <c r="S139" s="866" t="str">
        <f>VLOOKUP(N139,etat!$A$9:$P$905,16,FALSE)</f>
        <v>اخ3</v>
      </c>
      <c r="T139" s="755">
        <v>45782</v>
      </c>
      <c r="U139" s="791">
        <v>2</v>
      </c>
      <c r="V139" s="784"/>
      <c r="W139" s="784"/>
      <c r="X139" s="784"/>
      <c r="Y139" s="1117"/>
      <c r="Z139" s="975"/>
      <c r="AA139" s="967">
        <v>6</v>
      </c>
      <c r="AB139" s="1005"/>
      <c r="AC139" s="1005"/>
      <c r="AD139" s="1005"/>
      <c r="AE139" s="1005"/>
      <c r="AF139" s="1005"/>
      <c r="AG139" s="1004"/>
      <c r="AH139" s="1004"/>
      <c r="AI139" s="1004"/>
      <c r="AJ139" s="1004"/>
      <c r="AK139" s="1004"/>
      <c r="AL139" s="1004"/>
      <c r="AM139" s="1004"/>
      <c r="AN139" s="1004"/>
      <c r="AO139" s="1004"/>
      <c r="AP139" s="1004"/>
      <c r="AQ139" s="1004"/>
      <c r="AR139" s="1004"/>
      <c r="AS139" s="1004"/>
      <c r="AT139" s="1004"/>
      <c r="AU139" s="1004"/>
      <c r="AV139" s="1004"/>
      <c r="AW139" s="1004"/>
    </row>
    <row r="140" spans="1:49" ht="15" customHeight="1">
      <c r="A140" s="1004"/>
      <c r="B140" s="1004"/>
      <c r="C140" s="1004"/>
      <c r="I140" s="1004"/>
      <c r="J140" s="1004"/>
      <c r="K140" s="1004"/>
      <c r="L140" s="777">
        <v>5</v>
      </c>
      <c r="M140" s="778"/>
      <c r="N140" s="976">
        <v>110</v>
      </c>
      <c r="O140" s="1020">
        <v>87</v>
      </c>
      <c r="P140" s="847">
        <f>VLOOKUP(N140,etat!$A$9:$N$1004,2,FALSE)</f>
        <v>0</v>
      </c>
      <c r="Q140" s="797" t="str">
        <f>VLOOKUP(N140,etat!$A$9:$N$963,7,FALSE)</f>
        <v>3ع ت2</v>
      </c>
      <c r="R140" s="797" t="str">
        <f>VLOOKUP(N140,etat!$A$9:$N$1003,9,FALSE)</f>
        <v>خ</v>
      </c>
      <c r="S140" s="866" t="str">
        <f>VLOOKUP(N140,etat!$A$9:$P$905,16,FALSE)</f>
        <v>ذخ3</v>
      </c>
      <c r="T140" s="755">
        <v>45781</v>
      </c>
      <c r="U140" s="791">
        <v>4</v>
      </c>
      <c r="V140" s="784" t="s">
        <v>2285</v>
      </c>
      <c r="W140" s="784"/>
      <c r="X140" s="784"/>
      <c r="Y140" s="975"/>
      <c r="Z140" s="975"/>
      <c r="AA140" s="967">
        <v>6</v>
      </c>
      <c r="AB140" s="1005"/>
      <c r="AC140" s="1005"/>
      <c r="AD140" s="1005"/>
      <c r="AE140" s="1005"/>
      <c r="AF140" s="1005"/>
      <c r="AG140" s="1004"/>
      <c r="AH140" s="1004"/>
      <c r="AI140" s="1004"/>
      <c r="AJ140" s="1004"/>
      <c r="AK140" s="1004"/>
      <c r="AL140" s="1004"/>
      <c r="AM140" s="1004"/>
      <c r="AN140" s="1004"/>
      <c r="AO140" s="1004"/>
      <c r="AP140" s="1004"/>
      <c r="AQ140" s="1004"/>
      <c r="AR140" s="1004"/>
      <c r="AS140" s="1004"/>
      <c r="AT140" s="1004"/>
      <c r="AU140" s="1004"/>
      <c r="AV140" s="1004"/>
      <c r="AW140" s="1004"/>
    </row>
    <row r="141" spans="1:49" ht="15" customHeight="1">
      <c r="A141" s="1004"/>
      <c r="B141" s="1004"/>
      <c r="C141" s="1004"/>
      <c r="I141" s="1004"/>
      <c r="J141" s="1004"/>
      <c r="K141" s="1004"/>
      <c r="L141" s="777">
        <v>5</v>
      </c>
      <c r="M141" s="778"/>
      <c r="N141" s="976">
        <v>111</v>
      </c>
      <c r="O141" s="1020">
        <v>88</v>
      </c>
      <c r="P141" s="847">
        <f>VLOOKUP(N141,etat!$A$9:$N$1004,2,FALSE)</f>
        <v>0</v>
      </c>
      <c r="Q141" s="797" t="str">
        <f>VLOOKUP(N141,etat!$A$9:$N$963,7,FALSE)</f>
        <v>3ع ت2</v>
      </c>
      <c r="R141" s="797" t="str">
        <f>VLOOKUP(N141,etat!$A$9:$N$1003,9,FALSE)</f>
        <v>خ</v>
      </c>
      <c r="S141" s="866" t="str">
        <f>VLOOKUP(N141,etat!$A$9:$P$905,16,FALSE)</f>
        <v>اخ3</v>
      </c>
      <c r="T141" s="755">
        <v>45781</v>
      </c>
      <c r="U141" s="791">
        <v>4</v>
      </c>
      <c r="V141" s="784" t="s">
        <v>2285</v>
      </c>
      <c r="W141" s="784"/>
      <c r="X141" s="784"/>
      <c r="Y141" s="975"/>
      <c r="Z141" s="975"/>
      <c r="AA141" s="967">
        <v>6</v>
      </c>
      <c r="AB141" s="1005"/>
      <c r="AC141" s="1005"/>
      <c r="AD141" s="1005"/>
      <c r="AE141" s="1005"/>
      <c r="AF141" s="1005"/>
      <c r="AG141" s="1004"/>
      <c r="AH141" s="1004"/>
      <c r="AI141" s="1004"/>
      <c r="AJ141" s="1004"/>
      <c r="AK141" s="1004"/>
      <c r="AL141" s="1004"/>
      <c r="AM141" s="1004"/>
      <c r="AN141" s="1004"/>
      <c r="AO141" s="1004"/>
      <c r="AP141" s="1004"/>
      <c r="AQ141" s="1004"/>
      <c r="AR141" s="1004"/>
      <c r="AS141" s="1004"/>
      <c r="AT141" s="1004"/>
      <c r="AU141" s="1004"/>
      <c r="AV141" s="1004"/>
      <c r="AW141" s="1004"/>
    </row>
    <row r="142" spans="1:49" ht="15" customHeight="1">
      <c r="A142" s="1004"/>
      <c r="B142" s="1004"/>
      <c r="C142" s="1004"/>
      <c r="I142" s="1004"/>
      <c r="J142" s="1004"/>
      <c r="K142" s="1004"/>
      <c r="L142" s="777">
        <v>5</v>
      </c>
      <c r="M142" s="778"/>
      <c r="N142" s="976">
        <v>799</v>
      </c>
      <c r="O142" s="1020">
        <v>89</v>
      </c>
      <c r="P142" s="847">
        <f>VLOOKUP(N142,etat!$A$9:$N$1004,2,FALSE)</f>
        <v>0</v>
      </c>
      <c r="Q142" s="797">
        <f>VLOOKUP(N142,etat!$A$9:$N$963,7,FALSE)</f>
        <v>0</v>
      </c>
      <c r="R142" s="797">
        <f>VLOOKUP(N142,etat!$A$9:$N$1003,9,FALSE)</f>
        <v>0</v>
      </c>
      <c r="S142" s="866">
        <f>VLOOKUP(N142,etat!$A$9:$P$905,16,FALSE)</f>
        <v>0</v>
      </c>
      <c r="T142" s="755">
        <v>45776</v>
      </c>
      <c r="U142" s="791">
        <v>9</v>
      </c>
      <c r="V142" s="784" t="s">
        <v>2283</v>
      </c>
      <c r="W142" s="784"/>
      <c r="X142" s="784"/>
      <c r="Y142" s="1117"/>
      <c r="Z142" s="975" t="str">
        <f>VLOOKUP(L142,[2]اس!$S$3:$X$31,3,FALSE)</f>
        <v>.</v>
      </c>
      <c r="AA142" s="967">
        <v>6</v>
      </c>
      <c r="AB142" s="1005"/>
      <c r="AC142" s="1005"/>
      <c r="AD142" s="1005"/>
      <c r="AE142" s="1005"/>
      <c r="AF142" s="1005"/>
      <c r="AG142" s="1004"/>
      <c r="AH142" s="1004"/>
      <c r="AI142" s="1004"/>
      <c r="AJ142" s="1004"/>
      <c r="AK142" s="1004"/>
      <c r="AL142" s="1004"/>
      <c r="AM142" s="1004"/>
      <c r="AN142" s="1004"/>
      <c r="AO142" s="1004"/>
      <c r="AP142" s="1004"/>
      <c r="AQ142" s="1004"/>
      <c r="AR142" s="1004"/>
      <c r="AS142" s="1004"/>
      <c r="AT142" s="1004"/>
      <c r="AU142" s="1004"/>
      <c r="AV142" s="1004"/>
      <c r="AW142" s="1004"/>
    </row>
    <row r="143" spans="1:49" s="915" customFormat="1" ht="15" customHeight="1">
      <c r="A143" s="1004"/>
      <c r="B143" s="1004"/>
      <c r="C143" s="1004"/>
      <c r="D143" s="166"/>
      <c r="E143" s="166"/>
      <c r="F143" s="166"/>
      <c r="G143" s="166"/>
      <c r="H143" s="166"/>
      <c r="I143" s="1004"/>
      <c r="J143" s="1004"/>
      <c r="K143" s="1004"/>
      <c r="L143" s="777">
        <v>5</v>
      </c>
      <c r="M143" s="778"/>
      <c r="N143" s="976">
        <v>118</v>
      </c>
      <c r="O143" s="1020">
        <v>90</v>
      </c>
      <c r="P143" s="847">
        <f>VLOOKUP(N143,etat!$A$9:$N$1004,2,FALSE)</f>
        <v>0</v>
      </c>
      <c r="Q143" s="797" t="str">
        <f>VLOOKUP(N143,etat!$A$9:$N$963,7,FALSE)</f>
        <v>3ع ت2</v>
      </c>
      <c r="R143" s="797" t="str">
        <f>VLOOKUP(N143,etat!$A$9:$N$1003,9,FALSE)</f>
        <v>خ</v>
      </c>
      <c r="S143" s="866" t="str">
        <f>VLOOKUP(N143,etat!$A$9:$P$905,16,FALSE)</f>
        <v>اخ3</v>
      </c>
      <c r="T143" s="755">
        <v>45771</v>
      </c>
      <c r="U143" s="791">
        <v>14</v>
      </c>
      <c r="V143" s="784" t="s">
        <v>2280</v>
      </c>
      <c r="W143" s="784" t="s">
        <v>2283</v>
      </c>
      <c r="X143" s="784"/>
      <c r="Y143" s="975"/>
      <c r="Z143" s="975"/>
      <c r="AA143" s="967">
        <v>8</v>
      </c>
      <c r="AB143" s="1005"/>
      <c r="AC143" s="1005"/>
      <c r="AD143" s="1005"/>
      <c r="AE143" s="1005"/>
      <c r="AF143" s="1005"/>
      <c r="AG143" s="1004"/>
      <c r="AH143" s="1004"/>
      <c r="AI143" s="1004"/>
      <c r="AJ143" s="1004"/>
      <c r="AK143" s="1004"/>
      <c r="AL143" s="1004"/>
      <c r="AM143" s="1004"/>
      <c r="AN143" s="1004"/>
      <c r="AO143" s="1004"/>
      <c r="AP143" s="1004"/>
      <c r="AQ143" s="1004"/>
      <c r="AR143" s="1004"/>
      <c r="AS143" s="1004"/>
      <c r="AT143" s="1004"/>
      <c r="AU143" s="1004"/>
      <c r="AV143" s="1004"/>
      <c r="AW143" s="1004"/>
    </row>
    <row r="144" spans="1:49" s="1083" customFormat="1" ht="15" customHeight="1">
      <c r="D144" s="166"/>
      <c r="E144" s="166"/>
      <c r="F144" s="166"/>
      <c r="G144" s="166"/>
      <c r="H144" s="166"/>
      <c r="L144" s="777">
        <v>5</v>
      </c>
      <c r="M144" s="778"/>
      <c r="N144" s="976">
        <v>119</v>
      </c>
      <c r="O144" s="1020">
        <v>91</v>
      </c>
      <c r="P144" s="847">
        <f>VLOOKUP(N144,etat!$A$9:$N$1004,2,FALSE)</f>
        <v>0</v>
      </c>
      <c r="Q144" s="797" t="str">
        <f>VLOOKUP(N144,etat!$A$9:$N$963,7,FALSE)</f>
        <v>3ع ت2</v>
      </c>
      <c r="R144" s="797" t="str">
        <f>VLOOKUP(N144,etat!$A$9:$N$1003,9,FALSE)</f>
        <v>خ</v>
      </c>
      <c r="S144" s="866" t="str">
        <f>VLOOKUP(N144,etat!$A$9:$P$905,16,FALSE)</f>
        <v>اخ3</v>
      </c>
      <c r="T144" s="755">
        <v>45782</v>
      </c>
      <c r="U144" s="1129" t="s">
        <v>359</v>
      </c>
      <c r="V144" s="784"/>
      <c r="W144" s="784"/>
      <c r="X144" s="784"/>
      <c r="Y144" s="975"/>
      <c r="Z144" s="975"/>
      <c r="AA144" s="967">
        <v>8</v>
      </c>
      <c r="AB144" s="1082"/>
      <c r="AC144" s="1082"/>
      <c r="AD144" s="1082"/>
      <c r="AE144" s="1082"/>
      <c r="AF144" s="1082"/>
    </row>
    <row r="145" spans="1:49" s="915" customFormat="1" ht="15" customHeight="1">
      <c r="A145" s="1004"/>
      <c r="B145" s="1004"/>
      <c r="C145" s="1004"/>
      <c r="D145" s="166"/>
      <c r="E145" s="166"/>
      <c r="F145" s="166"/>
      <c r="G145" s="166"/>
      <c r="H145" s="166"/>
      <c r="I145" s="1004"/>
      <c r="J145" s="1004"/>
      <c r="K145" s="1004"/>
      <c r="L145" s="777">
        <v>5</v>
      </c>
      <c r="M145" s="864"/>
      <c r="N145" s="976">
        <v>120</v>
      </c>
      <c r="O145" s="1020">
        <v>92</v>
      </c>
      <c r="P145" s="847">
        <f>VLOOKUP(N145,etat!$A$9:$N$1004,2,FALSE)</f>
        <v>0</v>
      </c>
      <c r="Q145" s="797" t="str">
        <f>VLOOKUP(N145,etat!$A$9:$N$963,7,FALSE)</f>
        <v>3ع ت2</v>
      </c>
      <c r="R145" s="797" t="str">
        <f>VLOOKUP(N145,etat!$A$9:$N$1003,9,FALSE)</f>
        <v>خ</v>
      </c>
      <c r="S145" s="866" t="str">
        <f>VLOOKUP(N145,etat!$A$9:$P$905,16,FALSE)</f>
        <v>اخ3</v>
      </c>
      <c r="T145" s="755">
        <v>45782</v>
      </c>
      <c r="U145" s="1129" t="s">
        <v>359</v>
      </c>
      <c r="V145" s="784"/>
      <c r="W145" s="784"/>
      <c r="X145" s="784"/>
      <c r="Y145" s="1117"/>
      <c r="Z145" s="967"/>
      <c r="AA145" s="967">
        <v>8</v>
      </c>
      <c r="AB145" s="1005"/>
      <c r="AC145" s="1005"/>
      <c r="AD145" s="1005"/>
      <c r="AE145" s="1005"/>
      <c r="AF145" s="1005"/>
      <c r="AG145" s="1004"/>
      <c r="AH145" s="1004"/>
      <c r="AI145" s="1004"/>
      <c r="AJ145" s="1004"/>
      <c r="AK145" s="1004"/>
      <c r="AL145" s="1004"/>
      <c r="AM145" s="1004"/>
      <c r="AN145" s="1004"/>
      <c r="AO145" s="1004"/>
      <c r="AP145" s="1004"/>
      <c r="AQ145" s="1004"/>
      <c r="AR145" s="1004"/>
      <c r="AS145" s="1004"/>
      <c r="AT145" s="1004"/>
      <c r="AU145" s="1004"/>
      <c r="AV145" s="1004"/>
      <c r="AW145" s="1004"/>
    </row>
    <row r="146" spans="1:49" ht="15" customHeight="1">
      <c r="A146" s="1004"/>
      <c r="B146" s="1004"/>
      <c r="C146" s="1004"/>
      <c r="I146" s="1004"/>
      <c r="J146" s="1004"/>
      <c r="K146" s="1004"/>
      <c r="L146" s="777">
        <v>5</v>
      </c>
      <c r="M146" s="864"/>
      <c r="N146" s="976">
        <v>126</v>
      </c>
      <c r="O146" s="1020">
        <v>93</v>
      </c>
      <c r="P146" s="847">
        <f>VLOOKUP(N146,etat!$A$9:$N$1004,2,FALSE)</f>
        <v>0</v>
      </c>
      <c r="Q146" s="797" t="str">
        <f>VLOOKUP(N146,etat!$A$9:$N$963,7,FALSE)</f>
        <v>3أ ف1</v>
      </c>
      <c r="R146" s="797" t="str">
        <f>VLOOKUP(N146,etat!$A$9:$N$1003,9,FALSE)</f>
        <v>ن/د</v>
      </c>
      <c r="S146" s="866" t="str">
        <f>VLOOKUP(N146,etat!$A$9:$P$905,16,FALSE)</f>
        <v>اخ3</v>
      </c>
      <c r="T146" s="755">
        <v>45774</v>
      </c>
      <c r="U146" s="791">
        <v>11</v>
      </c>
      <c r="V146" s="784" t="s">
        <v>2281</v>
      </c>
      <c r="W146" s="784" t="s">
        <v>2285</v>
      </c>
      <c r="X146" s="784"/>
      <c r="Y146" s="1117"/>
      <c r="Z146" s="967"/>
      <c r="AA146" s="967">
        <v>8</v>
      </c>
      <c r="AB146" s="1005"/>
      <c r="AC146" s="1005"/>
      <c r="AD146" s="1005"/>
      <c r="AE146" s="1005"/>
      <c r="AF146" s="1005"/>
      <c r="AG146" s="1004"/>
      <c r="AH146" s="1004"/>
      <c r="AI146" s="1004"/>
      <c r="AJ146" s="1004"/>
      <c r="AK146" s="1004"/>
      <c r="AL146" s="1004"/>
      <c r="AM146" s="1004"/>
      <c r="AN146" s="1004"/>
      <c r="AO146" s="1004"/>
      <c r="AP146" s="1004"/>
      <c r="AQ146" s="1004"/>
      <c r="AR146" s="1004"/>
      <c r="AS146" s="1004"/>
      <c r="AT146" s="1004"/>
      <c r="AU146" s="1004"/>
      <c r="AV146" s="1004"/>
      <c r="AW146" s="1004"/>
    </row>
    <row r="147" spans="1:49" s="915" customFormat="1" ht="15" customHeight="1">
      <c r="A147" s="1004"/>
      <c r="B147" s="1004"/>
      <c r="C147" s="1004"/>
      <c r="D147" s="166"/>
      <c r="E147" s="166"/>
      <c r="F147" s="166"/>
      <c r="G147" s="166"/>
      <c r="H147" s="166"/>
      <c r="I147" s="1004"/>
      <c r="J147" s="1004"/>
      <c r="K147" s="1004"/>
      <c r="L147" s="777">
        <v>5</v>
      </c>
      <c r="M147" s="778"/>
      <c r="N147" s="976">
        <v>128</v>
      </c>
      <c r="O147" s="1020">
        <v>94</v>
      </c>
      <c r="P147" s="847">
        <f>VLOOKUP(N147,etat!$A$9:$N$1004,2,FALSE)</f>
        <v>0</v>
      </c>
      <c r="Q147" s="797" t="str">
        <f>VLOOKUP(N147,etat!$A$9:$N$963,7,FALSE)</f>
        <v>3أ ف1</v>
      </c>
      <c r="R147" s="797" t="str">
        <f>VLOOKUP(N147,etat!$A$9:$N$1003,9,FALSE)</f>
        <v>خ</v>
      </c>
      <c r="S147" s="866" t="str">
        <f>VLOOKUP(N147,etat!$A$9:$P$905,16,FALSE)</f>
        <v>اخ3</v>
      </c>
      <c r="T147" s="755">
        <v>45782</v>
      </c>
      <c r="U147" s="1129" t="s">
        <v>359</v>
      </c>
      <c r="V147" s="784"/>
      <c r="W147" s="784"/>
      <c r="X147" s="784"/>
      <c r="Y147" s="1116"/>
      <c r="Z147" s="975"/>
      <c r="AA147" s="967">
        <v>8</v>
      </c>
      <c r="AB147" s="1005"/>
      <c r="AC147" s="1005"/>
      <c r="AD147" s="1005"/>
      <c r="AE147" s="1005"/>
      <c r="AF147" s="1005"/>
      <c r="AG147" s="1004"/>
      <c r="AH147" s="1004"/>
      <c r="AI147" s="1004"/>
      <c r="AJ147" s="1004"/>
      <c r="AK147" s="1004"/>
      <c r="AL147" s="1004"/>
      <c r="AM147" s="1004"/>
      <c r="AN147" s="1004"/>
      <c r="AO147" s="1004"/>
      <c r="AP147" s="1004"/>
      <c r="AQ147" s="1004"/>
      <c r="AR147" s="1004"/>
      <c r="AS147" s="1004"/>
      <c r="AT147" s="1004"/>
      <c r="AU147" s="1004"/>
      <c r="AV147" s="1004"/>
      <c r="AW147" s="1004"/>
    </row>
    <row r="148" spans="1:49" s="915" customFormat="1" ht="15" customHeight="1">
      <c r="A148" s="1004"/>
      <c r="B148" s="1004"/>
      <c r="C148" s="1004"/>
      <c r="D148" s="166"/>
      <c r="E148" s="166"/>
      <c r="F148" s="166"/>
      <c r="G148" s="166"/>
      <c r="H148" s="166"/>
      <c r="I148" s="1004"/>
      <c r="J148" s="1004"/>
      <c r="K148" s="1004"/>
      <c r="L148" s="777">
        <v>5</v>
      </c>
      <c r="M148" s="778"/>
      <c r="N148" s="976">
        <v>130</v>
      </c>
      <c r="O148" s="1020">
        <v>95</v>
      </c>
      <c r="P148" s="847">
        <f>VLOOKUP(N148,etat!$A$9:$N$1004,2,FALSE)</f>
        <v>0</v>
      </c>
      <c r="Q148" s="797" t="str">
        <f>VLOOKUP(N148,etat!$A$9:$N$963,7,FALSE)</f>
        <v>3أ ف1</v>
      </c>
      <c r="R148" s="797" t="str">
        <f>VLOOKUP(N148,etat!$A$9:$N$1003,9,FALSE)</f>
        <v>خ</v>
      </c>
      <c r="S148" s="866" t="str">
        <f>VLOOKUP(N148,etat!$A$9:$P$905,16,FALSE)</f>
        <v>اخ3</v>
      </c>
      <c r="T148" s="755">
        <v>45782</v>
      </c>
      <c r="U148" s="1129" t="s">
        <v>359</v>
      </c>
      <c r="V148" s="784"/>
      <c r="W148" s="784"/>
      <c r="X148" s="784"/>
      <c r="Y148" s="975"/>
      <c r="Z148" s="975"/>
      <c r="AA148" s="967">
        <v>8</v>
      </c>
      <c r="AB148" s="1005"/>
      <c r="AC148" s="1005"/>
      <c r="AD148" s="1005"/>
      <c r="AE148" s="1005"/>
      <c r="AF148" s="1005"/>
      <c r="AG148" s="1004"/>
      <c r="AH148" s="1004"/>
      <c r="AI148" s="1004"/>
      <c r="AJ148" s="1004"/>
      <c r="AK148" s="1004"/>
      <c r="AL148" s="1004"/>
      <c r="AM148" s="1004"/>
      <c r="AN148" s="1004"/>
      <c r="AO148" s="1004"/>
      <c r="AP148" s="1004"/>
      <c r="AQ148" s="1004"/>
      <c r="AR148" s="1004"/>
      <c r="AS148" s="1004"/>
      <c r="AT148" s="1004"/>
      <c r="AU148" s="1004"/>
      <c r="AV148" s="1004"/>
      <c r="AW148" s="1004"/>
    </row>
    <row r="149" spans="1:49" ht="15" customHeight="1">
      <c r="A149" s="1004"/>
      <c r="B149" s="1004"/>
      <c r="C149" s="1004"/>
      <c r="I149" s="1004"/>
      <c r="J149" s="1004"/>
      <c r="K149" s="1004"/>
      <c r="L149" s="777">
        <v>5</v>
      </c>
      <c r="M149" s="778"/>
      <c r="N149" s="976">
        <v>131</v>
      </c>
      <c r="O149" s="1020">
        <v>96</v>
      </c>
      <c r="P149" s="847">
        <f>VLOOKUP(N149,etat!$A$9:$N$1004,2,FALSE)</f>
        <v>0</v>
      </c>
      <c r="Q149" s="797" t="str">
        <f>VLOOKUP(N149,etat!$A$9:$N$963,7,FALSE)</f>
        <v>3أ ف1</v>
      </c>
      <c r="R149" s="797" t="str">
        <f>VLOOKUP(N149,etat!$A$9:$N$1003,9,FALSE)</f>
        <v>خ</v>
      </c>
      <c r="S149" s="866" t="str">
        <f>VLOOKUP(N149,etat!$A$9:$P$905,16,FALSE)</f>
        <v>ذخ3</v>
      </c>
      <c r="T149" s="755">
        <v>45764</v>
      </c>
      <c r="U149" s="791">
        <v>21</v>
      </c>
      <c r="V149" s="784" t="s">
        <v>2269</v>
      </c>
      <c r="W149" s="784" t="s">
        <v>2280</v>
      </c>
      <c r="X149" s="784" t="s">
        <v>2283</v>
      </c>
      <c r="Y149" s="975"/>
      <c r="Z149" s="975" t="str">
        <f>VLOOKUP(L149,[2]اس!$S$3:$X$31,3,FALSE)</f>
        <v>.</v>
      </c>
      <c r="AA149" s="967">
        <v>8</v>
      </c>
      <c r="AB149" s="1005"/>
      <c r="AC149" s="1005"/>
      <c r="AD149" s="1005"/>
      <c r="AE149" s="1005"/>
      <c r="AF149" s="1005"/>
      <c r="AG149" s="1004"/>
      <c r="AH149" s="1004"/>
      <c r="AI149" s="1004"/>
      <c r="AJ149" s="1004"/>
      <c r="AK149" s="1004"/>
      <c r="AL149" s="1004"/>
      <c r="AM149" s="1004"/>
      <c r="AN149" s="1004"/>
      <c r="AO149" s="1004"/>
      <c r="AP149" s="1004"/>
      <c r="AQ149" s="1004"/>
      <c r="AR149" s="1004"/>
      <c r="AS149" s="1004"/>
      <c r="AT149" s="1004"/>
      <c r="AU149" s="1004"/>
      <c r="AV149" s="1004"/>
      <c r="AW149" s="1004"/>
    </row>
    <row r="150" spans="1:49" s="915" customFormat="1" ht="15" customHeight="1">
      <c r="A150" s="1004"/>
      <c r="B150" s="1004"/>
      <c r="C150" s="1004"/>
      <c r="D150" s="166"/>
      <c r="E150" s="166"/>
      <c r="F150" s="166"/>
      <c r="G150" s="166"/>
      <c r="H150" s="166"/>
      <c r="I150" s="1004"/>
      <c r="J150" s="1004"/>
      <c r="K150" s="1004"/>
      <c r="L150" s="777">
        <v>5</v>
      </c>
      <c r="M150" s="778"/>
      <c r="N150" s="976">
        <v>133</v>
      </c>
      <c r="O150" s="1020">
        <v>97</v>
      </c>
      <c r="P150" s="847">
        <f>VLOOKUP(N150,etat!$A$9:$N$1004,2,FALSE)</f>
        <v>0</v>
      </c>
      <c r="Q150" s="797" t="str">
        <f>VLOOKUP(N150,etat!$A$9:$N$963,7,FALSE)</f>
        <v>3أ ف1</v>
      </c>
      <c r="R150" s="797" t="str">
        <f>VLOOKUP(N150,etat!$A$9:$N$1003,9,FALSE)</f>
        <v>خ</v>
      </c>
      <c r="S150" s="866" t="str">
        <f>VLOOKUP(N150,etat!$A$9:$P$905,16,FALSE)</f>
        <v>ذخ3</v>
      </c>
      <c r="T150" s="755">
        <v>45782</v>
      </c>
      <c r="U150" s="1129" t="s">
        <v>359</v>
      </c>
      <c r="V150" s="784"/>
      <c r="W150" s="784"/>
      <c r="X150" s="784"/>
      <c r="Y150" s="975"/>
      <c r="Z150" s="975"/>
      <c r="AA150" s="967">
        <v>8</v>
      </c>
      <c r="AB150" s="1005"/>
      <c r="AC150" s="1005"/>
      <c r="AD150" s="1005"/>
      <c r="AE150" s="1005"/>
      <c r="AF150" s="1005"/>
      <c r="AG150" s="1004"/>
      <c r="AH150" s="1004"/>
      <c r="AI150" s="1004"/>
      <c r="AJ150" s="1004"/>
      <c r="AK150" s="1004"/>
      <c r="AL150" s="1004"/>
      <c r="AM150" s="1004"/>
      <c r="AN150" s="1004"/>
      <c r="AO150" s="1004"/>
      <c r="AP150" s="1004"/>
      <c r="AQ150" s="1004"/>
      <c r="AR150" s="1004"/>
      <c r="AS150" s="1004"/>
      <c r="AT150" s="1004"/>
      <c r="AU150" s="1004"/>
      <c r="AV150" s="1004"/>
      <c r="AW150" s="1004"/>
    </row>
    <row r="151" spans="1:49" s="915" customFormat="1" ht="15" customHeight="1">
      <c r="A151" s="1004"/>
      <c r="B151" s="1004"/>
      <c r="C151" s="1004"/>
      <c r="D151" s="166"/>
      <c r="E151" s="166"/>
      <c r="F151" s="166"/>
      <c r="G151" s="166"/>
      <c r="H151" s="166"/>
      <c r="I151" s="1004"/>
      <c r="J151" s="1004"/>
      <c r="K151" s="1004"/>
      <c r="L151" s="777">
        <v>5</v>
      </c>
      <c r="M151" s="778"/>
      <c r="N151" s="976">
        <v>137</v>
      </c>
      <c r="O151" s="1020">
        <v>98</v>
      </c>
      <c r="P151" s="847">
        <f>VLOOKUP(N151,etat!$A$9:$N$1004,2,FALSE)</f>
        <v>0</v>
      </c>
      <c r="Q151" s="797" t="str">
        <f>VLOOKUP(N151,etat!$A$9:$N$963,7,FALSE)</f>
        <v>3أ ف1</v>
      </c>
      <c r="R151" s="797" t="str">
        <f>VLOOKUP(N151,etat!$A$9:$N$1003,9,FALSE)</f>
        <v>خ</v>
      </c>
      <c r="S151" s="866" t="str">
        <f>VLOOKUP(N151,etat!$A$9:$P$905,16,FALSE)</f>
        <v>ان/د3</v>
      </c>
      <c r="T151" s="755">
        <v>45771</v>
      </c>
      <c r="U151" s="791">
        <v>14</v>
      </c>
      <c r="V151" s="784" t="s">
        <v>2280</v>
      </c>
      <c r="W151" s="784" t="s">
        <v>2283</v>
      </c>
      <c r="X151" s="784"/>
      <c r="Y151" s="975"/>
      <c r="Z151" s="975"/>
      <c r="AA151" s="967">
        <v>8</v>
      </c>
      <c r="AB151" s="1005"/>
      <c r="AC151" s="1005"/>
      <c r="AD151" s="1005"/>
      <c r="AE151" s="1005"/>
      <c r="AF151" s="1005"/>
      <c r="AG151" s="1004"/>
      <c r="AH151" s="1004"/>
      <c r="AI151" s="1004"/>
      <c r="AJ151" s="1004"/>
      <c r="AK151" s="1004"/>
      <c r="AL151" s="1004"/>
      <c r="AM151" s="1004"/>
      <c r="AN151" s="1004"/>
      <c r="AO151" s="1004"/>
      <c r="AP151" s="1004"/>
      <c r="AQ151" s="1004"/>
      <c r="AR151" s="1004"/>
      <c r="AS151" s="1004"/>
      <c r="AT151" s="1004"/>
      <c r="AU151" s="1004"/>
      <c r="AV151" s="1004"/>
      <c r="AW151" s="1004"/>
    </row>
    <row r="152" spans="1:49" s="915" customFormat="1" ht="15" customHeight="1">
      <c r="A152" s="1004"/>
      <c r="B152" s="1004"/>
      <c r="C152" s="1004"/>
      <c r="D152" s="166"/>
      <c r="E152" s="166"/>
      <c r="F152" s="166"/>
      <c r="G152" s="166"/>
      <c r="H152" s="166"/>
      <c r="I152" s="1004"/>
      <c r="J152" s="1004"/>
      <c r="K152" s="1004"/>
      <c r="L152" s="777">
        <v>5</v>
      </c>
      <c r="M152" s="778"/>
      <c r="N152" s="976">
        <v>139</v>
      </c>
      <c r="O152" s="1020">
        <v>99</v>
      </c>
      <c r="P152" s="847">
        <f>VLOOKUP(N152,etat!$A$9:$N$1004,2,FALSE)</f>
        <v>0</v>
      </c>
      <c r="Q152" s="797" t="str">
        <f>VLOOKUP(N152,etat!$A$9:$N$963,7,FALSE)</f>
        <v>3أ ف1</v>
      </c>
      <c r="R152" s="797" t="str">
        <f>VLOOKUP(N152,etat!$A$9:$N$1003,9,FALSE)</f>
        <v>خ</v>
      </c>
      <c r="S152" s="866" t="str">
        <f>VLOOKUP(N152,etat!$A$9:$P$905,16,FALSE)</f>
        <v>ذن/د3</v>
      </c>
      <c r="T152" s="755">
        <v>45771</v>
      </c>
      <c r="U152" s="1125">
        <v>14</v>
      </c>
      <c r="V152" s="784" t="s">
        <v>2280</v>
      </c>
      <c r="W152" s="784" t="s">
        <v>2283</v>
      </c>
      <c r="X152" s="784"/>
      <c r="Y152" s="975"/>
      <c r="Z152" s="975"/>
      <c r="AA152" s="967">
        <v>8</v>
      </c>
      <c r="AB152" s="1005"/>
      <c r="AC152" s="1005"/>
      <c r="AD152" s="1005"/>
      <c r="AE152" s="1005"/>
      <c r="AF152" s="1005"/>
      <c r="AG152" s="1004"/>
      <c r="AH152" s="1004"/>
      <c r="AI152" s="1004"/>
      <c r="AJ152" s="1004"/>
      <c r="AK152" s="1004"/>
      <c r="AL152" s="1004"/>
      <c r="AM152" s="1004"/>
      <c r="AN152" s="1004"/>
      <c r="AO152" s="1004"/>
      <c r="AP152" s="1004"/>
      <c r="AQ152" s="1004"/>
      <c r="AR152" s="1004"/>
      <c r="AS152" s="1004"/>
      <c r="AT152" s="1004"/>
      <c r="AU152" s="1004"/>
      <c r="AV152" s="1004"/>
      <c r="AW152" s="1004"/>
    </row>
    <row r="153" spans="1:49" ht="15" customHeight="1">
      <c r="A153" s="1004"/>
      <c r="B153" s="1004"/>
      <c r="C153" s="1004"/>
      <c r="I153" s="1004"/>
      <c r="J153" s="1004"/>
      <c r="K153" s="1004"/>
      <c r="L153" s="777">
        <v>5</v>
      </c>
      <c r="M153" s="778"/>
      <c r="N153" s="976">
        <v>140</v>
      </c>
      <c r="O153" s="1020">
        <v>100</v>
      </c>
      <c r="P153" s="847">
        <f>VLOOKUP(N153,etat!$A$9:$N$1004,2,FALSE)</f>
        <v>0</v>
      </c>
      <c r="Q153" s="797" t="str">
        <f>VLOOKUP(N153,etat!$A$9:$N$963,7,FALSE)</f>
        <v>3أ ف1</v>
      </c>
      <c r="R153" s="797" t="str">
        <f>VLOOKUP(N153,etat!$A$9:$N$1003,9,FALSE)</f>
        <v>خ</v>
      </c>
      <c r="S153" s="866" t="str">
        <f>VLOOKUP(N153,etat!$A$9:$P$905,16,FALSE)</f>
        <v>ان/د3</v>
      </c>
      <c r="T153" s="755">
        <v>45781</v>
      </c>
      <c r="U153" s="1125">
        <v>4</v>
      </c>
      <c r="V153" s="784" t="s">
        <v>2285</v>
      </c>
      <c r="W153" s="784"/>
      <c r="X153" s="784"/>
      <c r="Y153" s="975"/>
      <c r="Z153" s="975"/>
      <c r="AA153" s="967">
        <v>8</v>
      </c>
      <c r="AB153" s="1005"/>
      <c r="AC153" s="1005"/>
      <c r="AD153" s="1005"/>
      <c r="AE153" s="1005"/>
      <c r="AF153" s="1005"/>
      <c r="AG153" s="1004"/>
      <c r="AH153" s="1004"/>
      <c r="AI153" s="1004"/>
      <c r="AJ153" s="1004"/>
      <c r="AK153" s="1004"/>
      <c r="AL153" s="1004"/>
      <c r="AM153" s="1004"/>
      <c r="AN153" s="1004"/>
      <c r="AO153" s="1004"/>
      <c r="AP153" s="1004"/>
      <c r="AQ153" s="1004"/>
      <c r="AR153" s="1004"/>
      <c r="AS153" s="1004"/>
      <c r="AT153" s="1004"/>
      <c r="AU153" s="1004"/>
      <c r="AV153" s="1004"/>
      <c r="AW153" s="1004"/>
    </row>
    <row r="154" spans="1:49" ht="15" customHeight="1">
      <c r="A154" s="1004"/>
      <c r="B154" s="1004"/>
      <c r="C154" s="1004"/>
      <c r="I154" s="1004"/>
      <c r="J154" s="1004"/>
      <c r="K154" s="1004"/>
      <c r="L154" s="777">
        <v>5</v>
      </c>
      <c r="M154" s="778"/>
      <c r="N154" s="976">
        <v>142</v>
      </c>
      <c r="O154" s="1020">
        <v>101</v>
      </c>
      <c r="P154" s="847">
        <f>VLOOKUP(N154,etat!$A$9:$N$1004,2,FALSE)</f>
        <v>0</v>
      </c>
      <c r="Q154" s="797" t="str">
        <f>VLOOKUP(N154,etat!$A$9:$N$963,7,FALSE)</f>
        <v>3أ ف1</v>
      </c>
      <c r="R154" s="866" t="str">
        <f>VLOOKUP(N154,etat!$A$9:$N$1003,9,FALSE)</f>
        <v>خ</v>
      </c>
      <c r="S154" s="866" t="str">
        <f>VLOOKUP(N154,etat!$A$9:$P$905,16,FALSE)</f>
        <v>اخ3</v>
      </c>
      <c r="T154" s="755">
        <v>45775</v>
      </c>
      <c r="U154" s="1125">
        <v>10</v>
      </c>
      <c r="V154" s="784" t="s">
        <v>2282</v>
      </c>
      <c r="W154" s="784" t="s">
        <v>2287</v>
      </c>
      <c r="X154" s="869"/>
      <c r="Y154" s="975"/>
      <c r="Z154" s="975"/>
      <c r="AA154" s="967">
        <v>8</v>
      </c>
      <c r="AB154" s="1005"/>
      <c r="AC154" s="1005"/>
      <c r="AD154" s="1005"/>
      <c r="AE154" s="1005"/>
      <c r="AF154" s="1005"/>
      <c r="AG154" s="1004"/>
      <c r="AH154" s="1004"/>
      <c r="AI154" s="1004"/>
      <c r="AJ154" s="1004"/>
      <c r="AK154" s="1004"/>
      <c r="AL154" s="1004"/>
      <c r="AM154" s="1004"/>
      <c r="AN154" s="1004"/>
      <c r="AO154" s="1004"/>
      <c r="AP154" s="1004"/>
      <c r="AQ154" s="1004"/>
      <c r="AR154" s="1004"/>
      <c r="AS154" s="1004"/>
      <c r="AT154" s="1004"/>
      <c r="AU154" s="1004"/>
      <c r="AV154" s="1004"/>
      <c r="AW154" s="1004"/>
    </row>
    <row r="155" spans="1:49" ht="15" customHeight="1">
      <c r="A155" s="1004"/>
      <c r="B155" s="1004"/>
      <c r="C155" s="1004"/>
      <c r="I155" s="1004"/>
      <c r="J155" s="1004"/>
      <c r="K155" s="1004"/>
      <c r="L155" s="777">
        <v>5</v>
      </c>
      <c r="M155" s="778"/>
      <c r="N155" s="976">
        <v>143</v>
      </c>
      <c r="O155" s="1020">
        <v>102</v>
      </c>
      <c r="P155" s="847">
        <f>VLOOKUP(N155,etat!$A$9:$N$1004,2,FALSE)</f>
        <v>0</v>
      </c>
      <c r="Q155" s="797" t="str">
        <f>VLOOKUP(N155,etat!$A$9:$N$963,7,FALSE)</f>
        <v>3أ ف1</v>
      </c>
      <c r="R155" s="797" t="str">
        <f>VLOOKUP(N155,etat!$A$9:$N$1003,9,FALSE)</f>
        <v>خ</v>
      </c>
      <c r="S155" s="866" t="str">
        <f>VLOOKUP(N155,etat!$A$9:$P$905,16,FALSE)</f>
        <v>اخ3</v>
      </c>
      <c r="T155" s="755">
        <v>45771</v>
      </c>
      <c r="U155" s="1125">
        <v>14</v>
      </c>
      <c r="V155" s="784" t="s">
        <v>2280</v>
      </c>
      <c r="W155" s="784" t="s">
        <v>2283</v>
      </c>
      <c r="X155" s="784"/>
      <c r="Y155" s="975"/>
      <c r="Z155" s="975"/>
      <c r="AA155" s="967">
        <v>8</v>
      </c>
      <c r="AB155" s="1005"/>
      <c r="AC155" s="1005"/>
      <c r="AD155" s="1005"/>
      <c r="AE155" s="1005"/>
      <c r="AF155" s="1005"/>
      <c r="AG155" s="1004"/>
      <c r="AH155" s="1004"/>
      <c r="AI155" s="1004"/>
      <c r="AJ155" s="1004"/>
      <c r="AK155" s="1004"/>
      <c r="AL155" s="1004"/>
      <c r="AM155" s="1004"/>
      <c r="AN155" s="1004"/>
      <c r="AO155" s="1004"/>
      <c r="AP155" s="1004"/>
      <c r="AQ155" s="1004"/>
      <c r="AR155" s="1004"/>
      <c r="AS155" s="1004"/>
      <c r="AT155" s="1004"/>
      <c r="AU155" s="1004"/>
      <c r="AV155" s="1004"/>
      <c r="AW155" s="1004"/>
    </row>
    <row r="156" spans="1:49" ht="15" customHeight="1">
      <c r="A156" s="1004"/>
      <c r="B156" s="1004"/>
      <c r="C156" s="1004"/>
      <c r="I156" s="1004"/>
      <c r="J156" s="1004"/>
      <c r="K156" s="1004"/>
      <c r="L156" s="777">
        <v>5</v>
      </c>
      <c r="M156" s="864"/>
      <c r="N156" s="976">
        <v>146</v>
      </c>
      <c r="O156" s="1020">
        <v>103</v>
      </c>
      <c r="P156" s="847">
        <f>VLOOKUP(N156,etat!$A$9:$N$1004,2,FALSE)</f>
        <v>0</v>
      </c>
      <c r="Q156" s="797" t="str">
        <f>VLOOKUP(N156,etat!$A$9:$N$963,7,FALSE)</f>
        <v>3أ ف1</v>
      </c>
      <c r="R156" s="797" t="str">
        <f>VLOOKUP(N156,etat!$A$9:$N$1003,9,FALSE)</f>
        <v>خ</v>
      </c>
      <c r="S156" s="866" t="str">
        <f>VLOOKUP(N156,etat!$A$9:$P$905,16,FALSE)</f>
        <v>ذخ3</v>
      </c>
      <c r="T156" s="755">
        <v>45777</v>
      </c>
      <c r="U156" s="784" t="s">
        <v>2288</v>
      </c>
      <c r="V156" s="784" t="s">
        <v>2283</v>
      </c>
      <c r="W156" s="784"/>
      <c r="X156" s="784"/>
      <c r="Y156" s="975"/>
      <c r="Z156" s="975" t="str">
        <f>VLOOKUP(L156,[2]اس!$S$3:$X$31,3,FALSE)</f>
        <v>.</v>
      </c>
      <c r="AA156" s="967">
        <v>8</v>
      </c>
      <c r="AB156" s="1005"/>
      <c r="AC156" s="1005"/>
      <c r="AD156" s="1005"/>
      <c r="AE156" s="1005"/>
      <c r="AF156" s="1005"/>
      <c r="AG156" s="1004"/>
      <c r="AH156" s="1004"/>
      <c r="AI156" s="1004"/>
      <c r="AJ156" s="1004"/>
      <c r="AK156" s="1004"/>
      <c r="AL156" s="1004"/>
      <c r="AM156" s="1004"/>
      <c r="AN156" s="1004"/>
      <c r="AO156" s="1004"/>
      <c r="AP156" s="1004"/>
      <c r="AQ156" s="1004"/>
      <c r="AR156" s="1004"/>
      <c r="AS156" s="1004"/>
      <c r="AT156" s="1004"/>
      <c r="AU156" s="1004"/>
      <c r="AV156" s="1004"/>
      <c r="AW156" s="1004"/>
    </row>
    <row r="157" spans="1:49" ht="15" customHeight="1">
      <c r="A157" s="1004"/>
      <c r="B157" s="1004"/>
      <c r="C157" s="1004"/>
      <c r="I157" s="1004"/>
      <c r="J157" s="1004"/>
      <c r="K157" s="1004"/>
      <c r="L157" s="777">
        <v>5</v>
      </c>
      <c r="M157" s="778"/>
      <c r="N157" s="976">
        <v>137</v>
      </c>
      <c r="O157" s="1020">
        <v>104</v>
      </c>
      <c r="P157" s="847">
        <f>VLOOKUP(N157,etat!$A$9:$N$1004,2,FALSE)</f>
        <v>0</v>
      </c>
      <c r="Q157" s="797" t="str">
        <f>VLOOKUP(N157,etat!$A$9:$N$963,7,FALSE)</f>
        <v>3أ ف1</v>
      </c>
      <c r="R157" s="797" t="str">
        <f>VLOOKUP(N157,etat!$A$9:$N$1003,9,FALSE)</f>
        <v>خ</v>
      </c>
      <c r="S157" s="866" t="str">
        <f>VLOOKUP(N157,etat!$A$9:$P$905,16,FALSE)</f>
        <v>ان/د3</v>
      </c>
      <c r="T157" s="755">
        <v>45771</v>
      </c>
      <c r="U157" s="791">
        <v>14</v>
      </c>
      <c r="V157" s="784" t="s">
        <v>2280</v>
      </c>
      <c r="W157" s="784" t="s">
        <v>2283</v>
      </c>
      <c r="X157" s="784"/>
      <c r="Y157" s="975"/>
      <c r="Z157" s="975"/>
      <c r="AA157" s="967">
        <v>8</v>
      </c>
      <c r="AB157" s="1005"/>
      <c r="AC157" s="1005"/>
      <c r="AD157" s="1005"/>
      <c r="AE157" s="1005"/>
      <c r="AF157" s="1005"/>
      <c r="AG157" s="1004"/>
      <c r="AH157" s="1004"/>
      <c r="AI157" s="1004"/>
      <c r="AJ157" s="1004"/>
      <c r="AK157" s="1004"/>
      <c r="AL157" s="1004"/>
      <c r="AM157" s="1004"/>
      <c r="AN157" s="1004"/>
      <c r="AO157" s="1004"/>
      <c r="AP157" s="1004"/>
      <c r="AQ157" s="1004"/>
      <c r="AR157" s="1004"/>
      <c r="AS157" s="1004"/>
      <c r="AT157" s="1004"/>
      <c r="AU157" s="1004"/>
      <c r="AV157" s="1004"/>
      <c r="AW157" s="1004"/>
    </row>
    <row r="158" spans="1:49" s="1083" customFormat="1" ht="15" customHeight="1">
      <c r="D158" s="166"/>
      <c r="E158" s="166"/>
      <c r="F158" s="166"/>
      <c r="G158" s="166"/>
      <c r="H158" s="166"/>
      <c r="L158" s="777">
        <v>5</v>
      </c>
      <c r="M158" s="778"/>
      <c r="N158" s="976">
        <v>139</v>
      </c>
      <c r="O158" s="1020">
        <v>105</v>
      </c>
      <c r="P158" s="847">
        <f>VLOOKUP(N158,etat!$A$9:$N$1004,2,FALSE)</f>
        <v>0</v>
      </c>
      <c r="Q158" s="797" t="str">
        <f>VLOOKUP(N158,etat!$A$9:$N$963,7,FALSE)</f>
        <v>3أ ف1</v>
      </c>
      <c r="R158" s="797" t="str">
        <f>VLOOKUP(N158,etat!$A$9:$N$1003,9,FALSE)</f>
        <v>خ</v>
      </c>
      <c r="S158" s="866" t="str">
        <f>VLOOKUP(N158,etat!$A$9:$P$905,16,FALSE)</f>
        <v>ذن/د3</v>
      </c>
      <c r="T158" s="755">
        <v>45771</v>
      </c>
      <c r="U158" s="1125">
        <v>14</v>
      </c>
      <c r="V158" s="784" t="s">
        <v>2280</v>
      </c>
      <c r="W158" s="784" t="s">
        <v>2283</v>
      </c>
      <c r="X158" s="784"/>
      <c r="Y158" s="975"/>
      <c r="Z158" s="975"/>
      <c r="AA158" s="967">
        <v>8</v>
      </c>
      <c r="AB158" s="1082"/>
      <c r="AC158" s="1082"/>
      <c r="AD158" s="1082"/>
      <c r="AE158" s="1082"/>
      <c r="AF158" s="1082"/>
    </row>
    <row r="159" spans="1:49" s="1083" customFormat="1" ht="15" customHeight="1">
      <c r="D159" s="166"/>
      <c r="E159" s="166"/>
      <c r="F159" s="166"/>
      <c r="G159" s="166"/>
      <c r="H159" s="166"/>
      <c r="L159" s="777">
        <v>5</v>
      </c>
      <c r="M159" s="778"/>
      <c r="N159" s="976">
        <v>140</v>
      </c>
      <c r="O159" s="1020">
        <v>106</v>
      </c>
      <c r="P159" s="847">
        <f>VLOOKUP(N159,etat!$A$9:$N$1004,2,FALSE)</f>
        <v>0</v>
      </c>
      <c r="Q159" s="797" t="str">
        <f>VLOOKUP(N159,etat!$A$9:$N$963,7,FALSE)</f>
        <v>3أ ف1</v>
      </c>
      <c r="R159" s="797" t="str">
        <f>VLOOKUP(N159,etat!$A$9:$N$1003,9,FALSE)</f>
        <v>خ</v>
      </c>
      <c r="S159" s="866" t="str">
        <f>VLOOKUP(N159,etat!$A$9:$P$905,16,FALSE)</f>
        <v>ان/د3</v>
      </c>
      <c r="T159" s="755">
        <v>45781</v>
      </c>
      <c r="U159" s="1125">
        <v>4</v>
      </c>
      <c r="V159" s="784" t="s">
        <v>2285</v>
      </c>
      <c r="W159" s="784"/>
      <c r="X159" s="784"/>
      <c r="Y159" s="975"/>
      <c r="Z159" s="975"/>
      <c r="AA159" s="967">
        <v>8</v>
      </c>
      <c r="AB159" s="1082"/>
      <c r="AC159" s="1082"/>
      <c r="AD159" s="1082"/>
      <c r="AE159" s="1082"/>
      <c r="AF159" s="1082"/>
    </row>
    <row r="160" spans="1:49" s="1083" customFormat="1" ht="15" customHeight="1">
      <c r="D160" s="166"/>
      <c r="E160" s="166"/>
      <c r="F160" s="166"/>
      <c r="G160" s="166"/>
      <c r="H160" s="166"/>
      <c r="L160" s="777">
        <v>5</v>
      </c>
      <c r="M160" s="778"/>
      <c r="N160" s="976">
        <v>142</v>
      </c>
      <c r="O160" s="1020">
        <v>107</v>
      </c>
      <c r="P160" s="847">
        <f>VLOOKUP(N160,etat!$A$9:$N$1004,2,FALSE)</f>
        <v>0</v>
      </c>
      <c r="Q160" s="797" t="str">
        <f>VLOOKUP(N160,etat!$A$9:$N$963,7,FALSE)</f>
        <v>3أ ف1</v>
      </c>
      <c r="R160" s="866" t="str">
        <f>VLOOKUP(N160,etat!$A$9:$N$1003,9,FALSE)</f>
        <v>خ</v>
      </c>
      <c r="S160" s="866" t="str">
        <f>VLOOKUP(N160,etat!$A$9:$P$905,16,FALSE)</f>
        <v>اخ3</v>
      </c>
      <c r="T160" s="755">
        <v>45775</v>
      </c>
      <c r="U160" s="1125">
        <v>10</v>
      </c>
      <c r="V160" s="784" t="s">
        <v>2282</v>
      </c>
      <c r="W160" s="784" t="s">
        <v>2287</v>
      </c>
      <c r="X160" s="869"/>
      <c r="Y160" s="975"/>
      <c r="Z160" s="975"/>
      <c r="AA160" s="967">
        <v>8</v>
      </c>
      <c r="AB160" s="1082"/>
      <c r="AC160" s="1082"/>
      <c r="AD160" s="1082"/>
      <c r="AE160" s="1082"/>
      <c r="AF160" s="1082"/>
    </row>
    <row r="161" spans="1:49" ht="15" customHeight="1">
      <c r="A161" s="1004"/>
      <c r="B161" s="1004"/>
      <c r="C161" s="1004"/>
      <c r="I161" s="1004"/>
      <c r="J161" s="1004"/>
      <c r="K161" s="1004"/>
      <c r="L161" s="777">
        <v>5</v>
      </c>
      <c r="M161" s="778"/>
      <c r="N161" s="976">
        <v>143</v>
      </c>
      <c r="O161" s="1020">
        <v>108</v>
      </c>
      <c r="P161" s="847">
        <f>VLOOKUP(N161,etat!$A$9:$N$1004,2,FALSE)</f>
        <v>0</v>
      </c>
      <c r="Q161" s="797" t="str">
        <f>VLOOKUP(N161,etat!$A$9:$N$963,7,FALSE)</f>
        <v>3أ ف1</v>
      </c>
      <c r="R161" s="797" t="str">
        <f>VLOOKUP(N161,etat!$A$9:$N$1003,9,FALSE)</f>
        <v>خ</v>
      </c>
      <c r="S161" s="866" t="str">
        <f>VLOOKUP(N161,etat!$A$9:$P$905,16,FALSE)</f>
        <v>اخ3</v>
      </c>
      <c r="T161" s="755">
        <v>45771</v>
      </c>
      <c r="U161" s="1125">
        <v>14</v>
      </c>
      <c r="V161" s="784" t="s">
        <v>2280</v>
      </c>
      <c r="W161" s="784" t="s">
        <v>2283</v>
      </c>
      <c r="X161" s="784"/>
      <c r="Y161" s="975"/>
      <c r="Z161" s="975"/>
      <c r="AA161" s="967">
        <v>8</v>
      </c>
      <c r="AB161" s="1005"/>
      <c r="AC161" s="1005"/>
      <c r="AD161" s="1005"/>
      <c r="AE161" s="1005"/>
      <c r="AF161" s="1005"/>
      <c r="AG161" s="1004"/>
      <c r="AH161" s="1004"/>
      <c r="AI161" s="1004"/>
      <c r="AJ161" s="1004"/>
      <c r="AK161" s="1004"/>
      <c r="AL161" s="1004"/>
      <c r="AM161" s="1004"/>
      <c r="AN161" s="1004"/>
      <c r="AO161" s="1004"/>
      <c r="AP161" s="1004"/>
      <c r="AQ161" s="1004"/>
      <c r="AR161" s="1004"/>
      <c r="AS161" s="1004"/>
      <c r="AT161" s="1004"/>
      <c r="AU161" s="1004"/>
      <c r="AV161" s="1004"/>
      <c r="AW161" s="1004"/>
    </row>
    <row r="162" spans="1:49" ht="15" customHeight="1">
      <c r="A162" s="1004"/>
      <c r="B162" s="1004"/>
      <c r="C162" s="1004"/>
      <c r="I162" s="1004"/>
      <c r="J162" s="1004"/>
      <c r="K162" s="1004"/>
      <c r="L162" s="777">
        <v>5</v>
      </c>
      <c r="M162" s="778"/>
      <c r="N162" s="976">
        <v>146</v>
      </c>
      <c r="O162" s="1020">
        <v>109</v>
      </c>
      <c r="P162" s="847">
        <f>VLOOKUP(N162,etat!$A$9:$N$1004,2,FALSE)</f>
        <v>0</v>
      </c>
      <c r="Q162" s="797" t="str">
        <f>VLOOKUP(N162,etat!$A$9:$N$963,7,FALSE)</f>
        <v>3أ ف1</v>
      </c>
      <c r="R162" s="797" t="str">
        <f>VLOOKUP(N162,etat!$A$9:$N$1003,9,FALSE)</f>
        <v>خ</v>
      </c>
      <c r="S162" s="866" t="str">
        <f>VLOOKUP(N162,etat!$A$9:$P$905,16,FALSE)</f>
        <v>ذخ3</v>
      </c>
      <c r="T162" s="755">
        <v>45777</v>
      </c>
      <c r="U162" s="784" t="s">
        <v>2288</v>
      </c>
      <c r="V162" s="784" t="s">
        <v>2283</v>
      </c>
      <c r="W162" s="784"/>
      <c r="X162" s="784"/>
      <c r="Y162" s="975"/>
      <c r="Z162" s="975" t="str">
        <f>VLOOKUP(L162,[2]اس!$S$3:$X$31,3,FALSE)</f>
        <v>.</v>
      </c>
      <c r="AA162" s="967">
        <v>8</v>
      </c>
      <c r="AB162" s="1005"/>
      <c r="AC162" s="1005"/>
      <c r="AD162" s="1005"/>
      <c r="AE162" s="1005"/>
      <c r="AF162" s="1005"/>
      <c r="AG162" s="1004"/>
      <c r="AH162" s="1004"/>
      <c r="AI162" s="1004"/>
      <c r="AJ162" s="1004"/>
      <c r="AK162" s="1004"/>
      <c r="AL162" s="1004"/>
      <c r="AM162" s="1004"/>
      <c r="AN162" s="1004"/>
      <c r="AO162" s="1004"/>
      <c r="AP162" s="1004"/>
      <c r="AQ162" s="1004"/>
      <c r="AR162" s="1004"/>
      <c r="AS162" s="1004"/>
      <c r="AT162" s="1004"/>
      <c r="AU162" s="1004"/>
      <c r="AV162" s="1004"/>
      <c r="AW162" s="1004"/>
    </row>
    <row r="163" spans="1:49" ht="15" customHeight="1">
      <c r="A163" s="1004"/>
      <c r="B163" s="1004"/>
      <c r="C163" s="1004"/>
      <c r="I163" s="1004"/>
      <c r="J163" s="1004"/>
      <c r="K163" s="1004"/>
      <c r="L163" s="777">
        <v>5</v>
      </c>
      <c r="M163" s="778"/>
      <c r="N163" s="976">
        <v>147</v>
      </c>
      <c r="O163" s="1020">
        <v>110</v>
      </c>
      <c r="P163" s="847">
        <f>VLOOKUP(N163,etat!$A$9:$N$1004,2,FALSE)</f>
        <v>0</v>
      </c>
      <c r="Q163" s="797" t="str">
        <f>VLOOKUP(N163,etat!$A$9:$N$963,7,FALSE)</f>
        <v>3أ ف1</v>
      </c>
      <c r="R163" s="797" t="str">
        <f>VLOOKUP(N163,etat!$A$9:$N$1003,9,FALSE)</f>
        <v>خ</v>
      </c>
      <c r="S163" s="866" t="str">
        <f>VLOOKUP(N163,etat!$A$9:$P$905,16,FALSE)</f>
        <v>اخ3</v>
      </c>
      <c r="T163" s="755">
        <v>45777</v>
      </c>
      <c r="U163" s="1129" t="s">
        <v>2288</v>
      </c>
      <c r="V163" s="784" t="s">
        <v>2283</v>
      </c>
      <c r="W163" s="784"/>
      <c r="X163" s="784"/>
      <c r="Y163" s="975"/>
      <c r="Z163" s="975" t="str">
        <f>VLOOKUP(L163,[2]اس!$S$3:$X$31,3,FALSE)</f>
        <v>.</v>
      </c>
      <c r="AA163" s="967">
        <v>7</v>
      </c>
      <c r="AB163" s="1005"/>
      <c r="AC163" s="1005"/>
      <c r="AD163" s="1005"/>
      <c r="AE163" s="1005"/>
      <c r="AF163" s="1005"/>
      <c r="AG163" s="1004"/>
      <c r="AH163" s="1004"/>
      <c r="AI163" s="1004"/>
      <c r="AJ163" s="1004"/>
      <c r="AK163" s="1004"/>
      <c r="AL163" s="1004"/>
      <c r="AM163" s="1004"/>
      <c r="AN163" s="1004"/>
      <c r="AO163" s="1004"/>
      <c r="AP163" s="1004"/>
      <c r="AQ163" s="1004"/>
      <c r="AR163" s="1004"/>
      <c r="AS163" s="1004"/>
      <c r="AT163" s="1004"/>
      <c r="AU163" s="1004"/>
      <c r="AV163" s="1004"/>
      <c r="AW163" s="1004"/>
    </row>
    <row r="164" spans="1:49" ht="15" customHeight="1">
      <c r="A164" s="1004"/>
      <c r="B164" s="1004"/>
      <c r="C164" s="1004"/>
      <c r="I164" s="1004"/>
      <c r="J164" s="1004"/>
      <c r="K164" s="1004"/>
      <c r="L164" s="777">
        <v>5</v>
      </c>
      <c r="M164" s="778"/>
      <c r="N164" s="976">
        <v>149</v>
      </c>
      <c r="O164" s="1020">
        <v>111</v>
      </c>
      <c r="P164" s="847">
        <f>VLOOKUP(N164,etat!$A$9:$N$1004,2,FALSE)</f>
        <v>0</v>
      </c>
      <c r="Q164" s="797" t="str">
        <f>VLOOKUP(N164,etat!$A$9:$N$963,7,FALSE)</f>
        <v>3أ ف1</v>
      </c>
      <c r="R164" s="797" t="str">
        <f>VLOOKUP(N164,etat!$A$9:$N$1003,9,FALSE)</f>
        <v>خ</v>
      </c>
      <c r="S164" s="866" t="str">
        <f>VLOOKUP(N164,etat!$A$9:$P$905,16,FALSE)</f>
        <v>اخ3</v>
      </c>
      <c r="T164" s="755">
        <v>45769</v>
      </c>
      <c r="U164" s="791">
        <v>16</v>
      </c>
      <c r="V164" s="784" t="s">
        <v>2278</v>
      </c>
      <c r="W164" s="784" t="s">
        <v>2283</v>
      </c>
      <c r="X164" s="784"/>
      <c r="Y164" s="975"/>
      <c r="Z164" s="967"/>
      <c r="AA164" s="967">
        <v>7</v>
      </c>
      <c r="AB164" s="1005"/>
      <c r="AC164" s="1005"/>
      <c r="AD164" s="1005"/>
      <c r="AE164" s="1005"/>
      <c r="AF164" s="1005"/>
      <c r="AG164" s="1004"/>
      <c r="AH164" s="1004"/>
      <c r="AI164" s="1004"/>
      <c r="AJ164" s="1004"/>
      <c r="AK164" s="1004"/>
      <c r="AL164" s="1004"/>
      <c r="AM164" s="1004"/>
      <c r="AN164" s="1004"/>
      <c r="AO164" s="1004"/>
      <c r="AP164" s="1004"/>
      <c r="AQ164" s="1004"/>
      <c r="AR164" s="1004"/>
      <c r="AS164" s="1004"/>
      <c r="AT164" s="1004"/>
      <c r="AU164" s="1004"/>
      <c r="AV164" s="1004"/>
      <c r="AW164" s="1004"/>
    </row>
    <row r="165" spans="1:49" ht="15" customHeight="1">
      <c r="A165" s="1004"/>
      <c r="B165" s="1004"/>
      <c r="C165" s="1004"/>
      <c r="I165" s="1004"/>
      <c r="J165" s="1004"/>
      <c r="K165" s="1004"/>
      <c r="L165" s="777">
        <v>5</v>
      </c>
      <c r="M165" s="778"/>
      <c r="N165" s="976">
        <v>150</v>
      </c>
      <c r="O165" s="1020">
        <v>112</v>
      </c>
      <c r="P165" s="847">
        <f>VLOOKUP(N165,etat!$A$9:$N$1004,2,FALSE)</f>
        <v>0</v>
      </c>
      <c r="Q165" s="797" t="str">
        <f>VLOOKUP(N165,etat!$A$9:$N$963,7,FALSE)</f>
        <v>3أ ف1</v>
      </c>
      <c r="R165" s="866" t="str">
        <f>VLOOKUP(N165,etat!$A$9:$N$1003,9,FALSE)</f>
        <v>خ</v>
      </c>
      <c r="S165" s="866" t="str">
        <f>VLOOKUP(N165,etat!$A$9:$P$905,16,FALSE)</f>
        <v>ذخ3</v>
      </c>
      <c r="T165" s="755">
        <v>45776</v>
      </c>
      <c r="U165" s="791">
        <v>9</v>
      </c>
      <c r="V165" s="784" t="s">
        <v>2283</v>
      </c>
      <c r="W165" s="784"/>
      <c r="X165" s="784"/>
      <c r="Y165" s="975"/>
      <c r="Z165" s="975"/>
      <c r="AA165" s="967">
        <v>7</v>
      </c>
      <c r="AB165" s="1005"/>
      <c r="AC165" s="1005"/>
      <c r="AD165" s="1005"/>
      <c r="AE165" s="1005"/>
      <c r="AF165" s="1005"/>
      <c r="AG165" s="1004"/>
      <c r="AH165" s="1004"/>
      <c r="AI165" s="1004"/>
      <c r="AJ165" s="1004"/>
      <c r="AK165" s="1004"/>
      <c r="AL165" s="1004"/>
      <c r="AM165" s="1004"/>
      <c r="AN165" s="1004"/>
      <c r="AO165" s="1004"/>
      <c r="AP165" s="1004"/>
      <c r="AQ165" s="1004"/>
      <c r="AR165" s="1004"/>
      <c r="AS165" s="1004"/>
      <c r="AT165" s="1004"/>
      <c r="AU165" s="1004"/>
      <c r="AV165" s="1004"/>
      <c r="AW165" s="1004"/>
    </row>
    <row r="166" spans="1:49" ht="15" customHeight="1">
      <c r="A166" s="1004"/>
      <c r="B166" s="1004"/>
      <c r="C166" s="1004"/>
      <c r="I166" s="1004"/>
      <c r="J166" s="1004"/>
      <c r="K166" s="1004"/>
      <c r="L166" s="777">
        <v>5</v>
      </c>
      <c r="M166" s="778"/>
      <c r="N166" s="976">
        <v>154</v>
      </c>
      <c r="O166" s="1020">
        <v>113</v>
      </c>
      <c r="P166" s="847">
        <f>VLOOKUP(N166,etat!$A$9:$N$1004,2,FALSE)</f>
        <v>0</v>
      </c>
      <c r="Q166" s="797" t="str">
        <f>VLOOKUP(N166,etat!$A$9:$N$963,7,FALSE)</f>
        <v>3أ ف2</v>
      </c>
      <c r="R166" s="797" t="str">
        <f>VLOOKUP(N166,etat!$A$9:$N$1003,9,FALSE)</f>
        <v>ن/د</v>
      </c>
      <c r="S166" s="866" t="str">
        <f>VLOOKUP(N166,etat!$A$9:$P$905,16,FALSE)</f>
        <v>ذخ3</v>
      </c>
      <c r="T166" s="755">
        <v>45776</v>
      </c>
      <c r="U166" s="791">
        <v>9</v>
      </c>
      <c r="V166" s="784" t="s">
        <v>2283</v>
      </c>
      <c r="W166" s="784"/>
      <c r="X166" s="784"/>
      <c r="Y166" s="1118"/>
      <c r="Z166" s="975" t="str">
        <f>VLOOKUP(L167,[2]اس!$S$3:$X$31,3,FALSE)</f>
        <v>.</v>
      </c>
      <c r="AA166" s="967">
        <v>7</v>
      </c>
      <c r="AB166" s="1005"/>
      <c r="AC166" s="1005"/>
      <c r="AD166" s="1005"/>
      <c r="AE166" s="1005"/>
      <c r="AF166" s="1005"/>
      <c r="AG166" s="1004"/>
      <c r="AH166" s="1004"/>
      <c r="AI166" s="1004"/>
      <c r="AJ166" s="1004"/>
      <c r="AK166" s="1004"/>
      <c r="AL166" s="1004"/>
      <c r="AM166" s="1004"/>
      <c r="AN166" s="1004"/>
      <c r="AO166" s="1004"/>
      <c r="AP166" s="1004"/>
      <c r="AQ166" s="1004"/>
      <c r="AR166" s="1004"/>
      <c r="AS166" s="1004"/>
      <c r="AT166" s="1004"/>
      <c r="AU166" s="1004"/>
      <c r="AV166" s="1004"/>
      <c r="AW166" s="1004"/>
    </row>
    <row r="167" spans="1:49" ht="15" customHeight="1">
      <c r="A167" s="1004"/>
      <c r="B167" s="1004"/>
      <c r="C167" s="1004"/>
      <c r="I167" s="1004"/>
      <c r="J167" s="1004"/>
      <c r="K167" s="1004"/>
      <c r="L167" s="777">
        <v>5</v>
      </c>
      <c r="M167" s="778"/>
      <c r="N167" s="976">
        <v>155</v>
      </c>
      <c r="O167" s="1020">
        <v>114</v>
      </c>
      <c r="P167" s="847">
        <f>VLOOKUP(N167,etat!$A$9:$N$1004,2,FALSE)</f>
        <v>0</v>
      </c>
      <c r="Q167" s="797" t="str">
        <f>VLOOKUP(N167,etat!$A$9:$N$963,7,FALSE)</f>
        <v>3أ ف2</v>
      </c>
      <c r="R167" s="797" t="str">
        <f>VLOOKUP(N167,etat!$A$9:$N$1003,9,FALSE)</f>
        <v>ن/د</v>
      </c>
      <c r="S167" s="866" t="str">
        <f>VLOOKUP(N167,etat!$A$9:$P$905,16,FALSE)</f>
        <v>اخ3</v>
      </c>
      <c r="T167" s="755">
        <v>45776</v>
      </c>
      <c r="U167" s="791">
        <v>9</v>
      </c>
      <c r="V167" s="784" t="s">
        <v>2283</v>
      </c>
      <c r="W167" s="784"/>
      <c r="X167" s="784"/>
      <c r="Y167" s="975"/>
      <c r="Z167" s="967"/>
      <c r="AA167" s="967">
        <v>7</v>
      </c>
      <c r="AB167" s="1005"/>
      <c r="AC167" s="1005"/>
      <c r="AD167" s="1005"/>
      <c r="AE167" s="1005"/>
      <c r="AF167" s="1005"/>
      <c r="AG167" s="1004"/>
      <c r="AH167" s="1004"/>
      <c r="AI167" s="1004"/>
      <c r="AJ167" s="1004"/>
      <c r="AK167" s="1004"/>
      <c r="AL167" s="1004"/>
      <c r="AM167" s="1004"/>
      <c r="AN167" s="1004"/>
      <c r="AO167" s="1004"/>
      <c r="AP167" s="1004"/>
      <c r="AQ167" s="1004"/>
      <c r="AR167" s="1004"/>
      <c r="AS167" s="1004"/>
      <c r="AT167" s="1004"/>
      <c r="AU167" s="1004"/>
      <c r="AV167" s="1004"/>
      <c r="AW167" s="1004"/>
    </row>
    <row r="168" spans="1:49" ht="15" customHeight="1">
      <c r="A168" s="1004"/>
      <c r="B168" s="1004"/>
      <c r="C168" s="1004"/>
      <c r="I168" s="1004"/>
      <c r="J168" s="1004"/>
      <c r="K168" s="1004"/>
      <c r="L168" s="777">
        <v>5</v>
      </c>
      <c r="M168" s="778"/>
      <c r="N168" s="976">
        <v>156</v>
      </c>
      <c r="O168" s="1020">
        <v>115</v>
      </c>
      <c r="P168" s="847">
        <f>VLOOKUP(N168,etat!$A$9:$N$1004,2,FALSE)</f>
        <v>0</v>
      </c>
      <c r="Q168" s="797" t="str">
        <f>VLOOKUP(N168,etat!$A$9:$N$963,7,FALSE)</f>
        <v>3أ ف2</v>
      </c>
      <c r="R168" s="797" t="str">
        <f>VLOOKUP(N168,etat!$A$9:$N$1003,9,FALSE)</f>
        <v>ن/د</v>
      </c>
      <c r="S168" s="866" t="str">
        <f>VLOOKUP(N168,etat!$A$9:$P$905,16,FALSE)</f>
        <v>ذخ3</v>
      </c>
      <c r="T168" s="755">
        <v>45782</v>
      </c>
      <c r="U168" s="784" t="s">
        <v>359</v>
      </c>
      <c r="V168" s="784"/>
      <c r="W168" s="784"/>
      <c r="X168" s="784"/>
      <c r="Y168" s="1118"/>
      <c r="Z168" s="967"/>
      <c r="AA168" s="967">
        <v>7</v>
      </c>
      <c r="AB168" s="1005"/>
      <c r="AC168" s="1005"/>
      <c r="AD168" s="1005"/>
      <c r="AE168" s="1005"/>
      <c r="AF168" s="1005"/>
      <c r="AG168" s="1004"/>
      <c r="AH168" s="1004"/>
      <c r="AI168" s="1004"/>
      <c r="AJ168" s="1004"/>
      <c r="AK168" s="1004"/>
      <c r="AL168" s="1004"/>
      <c r="AM168" s="1004"/>
      <c r="AN168" s="1004"/>
      <c r="AO168" s="1004"/>
      <c r="AP168" s="1004"/>
      <c r="AQ168" s="1004"/>
      <c r="AR168" s="1004"/>
      <c r="AS168" s="1004"/>
      <c r="AT168" s="1004"/>
      <c r="AU168" s="1004"/>
      <c r="AV168" s="1004"/>
      <c r="AW168" s="1004"/>
    </row>
    <row r="169" spans="1:49" ht="15" customHeight="1">
      <c r="A169" s="1004"/>
      <c r="B169" s="1004"/>
      <c r="C169" s="1004"/>
      <c r="I169" s="1004"/>
      <c r="J169" s="1004"/>
      <c r="K169" s="1004"/>
      <c r="L169" s="777">
        <v>5</v>
      </c>
      <c r="M169" s="778"/>
      <c r="N169" s="976">
        <v>157</v>
      </c>
      <c r="O169" s="1020">
        <v>116</v>
      </c>
      <c r="P169" s="847">
        <f>VLOOKUP(N169,etat!$A$9:$N$1004,2,FALSE)</f>
        <v>0</v>
      </c>
      <c r="Q169" s="797" t="str">
        <f>VLOOKUP(N169,etat!$A$9:$N$963,7,FALSE)</f>
        <v>3أ ف2</v>
      </c>
      <c r="R169" s="797" t="str">
        <f>VLOOKUP(N169,etat!$A$9:$N$1003,9,FALSE)</f>
        <v>ن/د</v>
      </c>
      <c r="S169" s="866" t="str">
        <f>VLOOKUP(N169,etat!$A$9:$P$905,16,FALSE)</f>
        <v>اخ3</v>
      </c>
      <c r="T169" s="755">
        <v>45782</v>
      </c>
      <c r="U169" s="784" t="s">
        <v>359</v>
      </c>
      <c r="V169" s="784"/>
      <c r="W169" s="784"/>
      <c r="X169" s="784"/>
      <c r="Y169" s="1134"/>
      <c r="Z169" s="967"/>
      <c r="AA169" s="967">
        <v>7</v>
      </c>
      <c r="AB169" s="1005"/>
      <c r="AC169" s="1005"/>
      <c r="AD169" s="1005"/>
      <c r="AE169" s="1005"/>
      <c r="AF169" s="1005"/>
      <c r="AG169" s="1004"/>
      <c r="AH169" s="1004"/>
      <c r="AI169" s="1004"/>
      <c r="AJ169" s="1004"/>
      <c r="AK169" s="1004"/>
      <c r="AL169" s="1004"/>
      <c r="AM169" s="1004"/>
      <c r="AN169" s="1004"/>
      <c r="AO169" s="1004"/>
      <c r="AP169" s="1004"/>
      <c r="AQ169" s="1004"/>
      <c r="AR169" s="1004"/>
      <c r="AS169" s="1004"/>
      <c r="AT169" s="1004"/>
      <c r="AU169" s="1004"/>
      <c r="AV169" s="1004"/>
      <c r="AW169" s="1004"/>
    </row>
    <row r="170" spans="1:49" ht="15" customHeight="1">
      <c r="A170" s="1004"/>
      <c r="B170" s="1004"/>
      <c r="C170" s="1004"/>
      <c r="I170" s="1004"/>
      <c r="J170" s="1004"/>
      <c r="K170" s="1004"/>
      <c r="L170" s="777">
        <v>5</v>
      </c>
      <c r="M170" s="778"/>
      <c r="N170" s="976">
        <v>159</v>
      </c>
      <c r="O170" s="1020">
        <v>117</v>
      </c>
      <c r="P170" s="847">
        <f>VLOOKUP(N170,etat!$A$9:$N$1004,2,FALSE)</f>
        <v>0</v>
      </c>
      <c r="Q170" s="797" t="str">
        <f>VLOOKUP(N170,etat!$A$9:$N$963,7,FALSE)</f>
        <v>3أ ف2</v>
      </c>
      <c r="R170" s="797" t="str">
        <f>VLOOKUP(N170,etat!$A$9:$N$1003,9,FALSE)</f>
        <v>خ</v>
      </c>
      <c r="S170" s="866" t="str">
        <f>VLOOKUP(N170,etat!$A$9:$P$905,16,FALSE)</f>
        <v>ذخ3</v>
      </c>
      <c r="T170" s="755">
        <v>45770</v>
      </c>
      <c r="U170" s="791">
        <v>15</v>
      </c>
      <c r="V170" s="784" t="s">
        <v>2280</v>
      </c>
      <c r="W170" s="784" t="s">
        <v>2283</v>
      </c>
      <c r="X170" s="784"/>
      <c r="Y170" s="975"/>
      <c r="Z170" s="975" t="str">
        <f>VLOOKUP(L171,[2]اس!$S$3:$X$31,3,FALSE)</f>
        <v>.</v>
      </c>
      <c r="AA170" s="967">
        <v>7</v>
      </c>
      <c r="AB170" s="1005"/>
      <c r="AC170" s="1005"/>
      <c r="AD170" s="1005"/>
      <c r="AE170" s="1005"/>
      <c r="AF170" s="1005"/>
      <c r="AG170" s="1004"/>
      <c r="AH170" s="1004"/>
      <c r="AI170" s="1004"/>
      <c r="AJ170" s="1004"/>
      <c r="AK170" s="1004"/>
      <c r="AL170" s="1004"/>
      <c r="AM170" s="1004"/>
      <c r="AN170" s="1004"/>
      <c r="AO170" s="1004"/>
      <c r="AP170" s="1004"/>
      <c r="AQ170" s="1004"/>
      <c r="AR170" s="1004"/>
      <c r="AS170" s="1004"/>
      <c r="AT170" s="1004"/>
      <c r="AU170" s="1004"/>
      <c r="AV170" s="1004"/>
      <c r="AW170" s="1004"/>
    </row>
    <row r="171" spans="1:49" ht="15" customHeight="1">
      <c r="A171" s="1004"/>
      <c r="B171" s="1004"/>
      <c r="C171" s="1004"/>
      <c r="I171" s="1004"/>
      <c r="J171" s="1004"/>
      <c r="K171" s="1004"/>
      <c r="L171" s="777">
        <v>5</v>
      </c>
      <c r="M171" s="778"/>
      <c r="N171" s="976">
        <v>160</v>
      </c>
      <c r="O171" s="1020">
        <v>118</v>
      </c>
      <c r="P171" s="847">
        <f>VLOOKUP(N171,etat!$A$9:$N$1004,2,FALSE)</f>
        <v>0</v>
      </c>
      <c r="Q171" s="797" t="str">
        <f>VLOOKUP(N171,etat!$A$9:$N$963,7,FALSE)</f>
        <v>3أ ف2</v>
      </c>
      <c r="R171" s="797" t="str">
        <f>VLOOKUP(N171,etat!$A$9:$N$1003,9,FALSE)</f>
        <v>خ</v>
      </c>
      <c r="S171" s="866" t="str">
        <f>VLOOKUP(N171,etat!$A$9:$P$905,16,FALSE)</f>
        <v>ذخ3</v>
      </c>
      <c r="T171" s="755">
        <v>45757</v>
      </c>
      <c r="U171" s="791">
        <v>28</v>
      </c>
      <c r="V171" s="784" t="s">
        <v>2265</v>
      </c>
      <c r="W171" s="784" t="s">
        <v>2269</v>
      </c>
      <c r="X171" s="784" t="s">
        <v>2280</v>
      </c>
      <c r="Y171" s="975"/>
      <c r="Z171" s="975" t="str">
        <f>VLOOKUP(L172,[2]اس!$S$3:$X$31,3,FALSE)</f>
        <v>.</v>
      </c>
      <c r="AA171" s="967">
        <v>7</v>
      </c>
      <c r="AB171" s="1005"/>
      <c r="AC171" s="1005"/>
      <c r="AD171" s="1005"/>
      <c r="AE171" s="1005"/>
      <c r="AF171" s="1005"/>
      <c r="AG171" s="1004"/>
      <c r="AH171" s="1004"/>
      <c r="AI171" s="1004"/>
      <c r="AJ171" s="1004"/>
      <c r="AK171" s="1004"/>
      <c r="AL171" s="1004"/>
      <c r="AM171" s="1004"/>
      <c r="AN171" s="1004"/>
      <c r="AO171" s="1004"/>
      <c r="AP171" s="1004"/>
      <c r="AQ171" s="1004"/>
      <c r="AR171" s="1004"/>
      <c r="AS171" s="1004"/>
      <c r="AT171" s="1004"/>
      <c r="AU171" s="1004"/>
      <c r="AV171" s="1004"/>
      <c r="AW171" s="1004"/>
    </row>
    <row r="172" spans="1:49" ht="15" customHeight="1">
      <c r="A172" s="1004"/>
      <c r="B172" s="1004"/>
      <c r="C172" s="1004"/>
      <c r="I172" s="1004"/>
      <c r="J172" s="1004"/>
      <c r="K172" s="1004"/>
      <c r="L172" s="777">
        <v>5</v>
      </c>
      <c r="M172" s="778"/>
      <c r="N172" s="976">
        <v>161</v>
      </c>
      <c r="O172" s="1020">
        <v>119</v>
      </c>
      <c r="P172" s="847">
        <f>VLOOKUP(N172,etat!$A$9:$N$1004,2,FALSE)</f>
        <v>0</v>
      </c>
      <c r="Q172" s="797" t="str">
        <f>VLOOKUP(N172,etat!$A$9:$N$963,7,FALSE)</f>
        <v>3أ ف2</v>
      </c>
      <c r="R172" s="797" t="str">
        <f>VLOOKUP(N172,etat!$A$9:$N$1003,9,FALSE)</f>
        <v>خ</v>
      </c>
      <c r="S172" s="866" t="str">
        <f>VLOOKUP(N172,etat!$A$9:$P$905,16,FALSE)</f>
        <v>اخ3</v>
      </c>
      <c r="T172" s="755">
        <v>45774</v>
      </c>
      <c r="U172" s="791">
        <v>11</v>
      </c>
      <c r="V172" s="784" t="s">
        <v>2281</v>
      </c>
      <c r="W172" s="784" t="s">
        <v>2285</v>
      </c>
      <c r="X172" s="784"/>
      <c r="Y172" s="1117"/>
      <c r="Z172" s="967"/>
      <c r="AA172" s="967">
        <v>7</v>
      </c>
      <c r="AB172" s="1005"/>
      <c r="AC172" s="1005"/>
      <c r="AD172" s="1005"/>
      <c r="AE172" s="1005"/>
      <c r="AF172" s="1005"/>
      <c r="AG172" s="1004"/>
      <c r="AH172" s="1004"/>
      <c r="AI172" s="1004"/>
      <c r="AJ172" s="1004"/>
      <c r="AK172" s="1004"/>
      <c r="AL172" s="1004"/>
      <c r="AM172" s="1004"/>
      <c r="AN172" s="1004"/>
      <c r="AO172" s="1004"/>
      <c r="AP172" s="1004"/>
      <c r="AQ172" s="1004"/>
      <c r="AR172" s="1004"/>
      <c r="AS172" s="1004"/>
      <c r="AT172" s="1004"/>
      <c r="AU172" s="1004"/>
      <c r="AV172" s="1004"/>
      <c r="AW172" s="1004"/>
    </row>
    <row r="173" spans="1:49" ht="15" customHeight="1">
      <c r="A173" s="1004"/>
      <c r="B173" s="1004"/>
      <c r="C173" s="1004"/>
      <c r="I173" s="1004"/>
      <c r="J173" s="1004"/>
      <c r="K173" s="1004"/>
      <c r="L173" s="777">
        <v>5</v>
      </c>
      <c r="M173" s="778"/>
      <c r="N173" s="976">
        <v>162</v>
      </c>
      <c r="O173" s="1020">
        <v>120</v>
      </c>
      <c r="P173" s="847">
        <f>VLOOKUP(N173,etat!$A$9:$N$1004,2,FALSE)</f>
        <v>0</v>
      </c>
      <c r="Q173" s="797" t="str">
        <f>VLOOKUP(N173,etat!$A$9:$N$963,7,FALSE)</f>
        <v>3أ ف2</v>
      </c>
      <c r="R173" s="797" t="str">
        <f>VLOOKUP(N173,etat!$A$9:$N$1003,9,FALSE)</f>
        <v>خ</v>
      </c>
      <c r="S173" s="866" t="str">
        <f>VLOOKUP(N173,etat!$A$9:$P$905,16,FALSE)</f>
        <v>اخ3</v>
      </c>
      <c r="T173" s="755">
        <v>45768</v>
      </c>
      <c r="U173" s="791">
        <v>17</v>
      </c>
      <c r="V173" s="784" t="s">
        <v>2273</v>
      </c>
      <c r="W173" s="784" t="s">
        <v>2282</v>
      </c>
      <c r="X173" s="784" t="s">
        <v>2287</v>
      </c>
      <c r="Y173" s="975"/>
      <c r="Z173" s="967"/>
      <c r="AA173" s="967">
        <v>7</v>
      </c>
      <c r="AB173" s="1005"/>
      <c r="AC173" s="1005"/>
      <c r="AD173" s="1005"/>
      <c r="AE173" s="1005"/>
      <c r="AF173" s="1005"/>
      <c r="AG173" s="1004"/>
      <c r="AH173" s="1004"/>
      <c r="AI173" s="1004"/>
      <c r="AJ173" s="1004"/>
      <c r="AK173" s="1004"/>
      <c r="AL173" s="1004"/>
      <c r="AM173" s="1004"/>
      <c r="AN173" s="1004"/>
      <c r="AO173" s="1004"/>
      <c r="AP173" s="1004"/>
      <c r="AQ173" s="1004"/>
      <c r="AR173" s="1004"/>
      <c r="AS173" s="1004"/>
      <c r="AT173" s="1004"/>
      <c r="AU173" s="1004"/>
      <c r="AV173" s="1004"/>
      <c r="AW173" s="1004"/>
    </row>
    <row r="174" spans="1:49" ht="15" customHeight="1">
      <c r="A174" s="1004"/>
      <c r="B174" s="1004"/>
      <c r="C174" s="1004"/>
      <c r="I174" s="1004"/>
      <c r="J174" s="1004"/>
      <c r="K174" s="1004"/>
      <c r="L174" s="777">
        <v>5</v>
      </c>
      <c r="M174" s="778"/>
      <c r="N174" s="976">
        <v>163</v>
      </c>
      <c r="O174" s="1020">
        <v>121</v>
      </c>
      <c r="P174" s="847">
        <f>VLOOKUP(N174,etat!$A$9:$N$1004,2,FALSE)</f>
        <v>0</v>
      </c>
      <c r="Q174" s="797" t="str">
        <f>VLOOKUP(N174,etat!$A$9:$N$963,7,FALSE)</f>
        <v>3أ ف2</v>
      </c>
      <c r="R174" s="797" t="str">
        <f>VLOOKUP(N174,etat!$A$9:$N$1003,9,FALSE)</f>
        <v>خ</v>
      </c>
      <c r="S174" s="866" t="str">
        <f>VLOOKUP(N174,etat!$A$9:$P$905,16,FALSE)</f>
        <v>اخ3</v>
      </c>
      <c r="T174" s="755">
        <v>45770</v>
      </c>
      <c r="U174" s="791">
        <v>15</v>
      </c>
      <c r="V174" s="784" t="s">
        <v>2280</v>
      </c>
      <c r="W174" s="784" t="s">
        <v>2283</v>
      </c>
      <c r="X174" s="784"/>
      <c r="Y174" s="1116"/>
      <c r="Z174" s="975" t="str">
        <f>VLOOKUP(L175,[2]اس!$S$3:$X$31,3,FALSE)</f>
        <v>.</v>
      </c>
      <c r="AA174" s="967">
        <v>7</v>
      </c>
      <c r="AB174" s="1005"/>
      <c r="AC174" s="1005"/>
      <c r="AD174" s="1005"/>
      <c r="AE174" s="1005"/>
      <c r="AF174" s="1005"/>
      <c r="AG174" s="1004"/>
      <c r="AH174" s="1004"/>
      <c r="AI174" s="1004"/>
      <c r="AJ174" s="1004"/>
      <c r="AK174" s="1004"/>
      <c r="AL174" s="1004"/>
      <c r="AM174" s="1004"/>
      <c r="AN174" s="1004"/>
      <c r="AO174" s="1004"/>
      <c r="AP174" s="1004"/>
      <c r="AQ174" s="1004"/>
      <c r="AR174" s="1004"/>
      <c r="AS174" s="1004"/>
      <c r="AT174" s="1004"/>
      <c r="AU174" s="1004"/>
      <c r="AV174" s="1004"/>
      <c r="AW174" s="1004"/>
    </row>
    <row r="175" spans="1:49" ht="15" customHeight="1">
      <c r="A175" s="1004"/>
      <c r="B175" s="1004"/>
      <c r="C175" s="1004"/>
      <c r="I175" s="1004"/>
      <c r="J175" s="1004"/>
      <c r="K175" s="1004"/>
      <c r="L175" s="777">
        <v>5</v>
      </c>
      <c r="M175" s="778"/>
      <c r="N175" s="976">
        <v>166</v>
      </c>
      <c r="O175" s="1020">
        <v>122</v>
      </c>
      <c r="P175" s="847">
        <f>VLOOKUP(N175,etat!$A$9:$N$1004,2,FALSE)</f>
        <v>0</v>
      </c>
      <c r="Q175" s="797" t="str">
        <f>VLOOKUP(N175,etat!$A$9:$N$963,7,FALSE)</f>
        <v>3أ ف2</v>
      </c>
      <c r="R175" s="797" t="str">
        <f>VLOOKUP(N175,etat!$A$9:$N$1003,9,FALSE)</f>
        <v>خ</v>
      </c>
      <c r="S175" s="866" t="str">
        <f>VLOOKUP(N175,etat!$A$9:$P$905,16,FALSE)</f>
        <v>ذن/د3</v>
      </c>
      <c r="T175" s="755">
        <v>45770</v>
      </c>
      <c r="U175" s="791">
        <v>15</v>
      </c>
      <c r="V175" s="784" t="s">
        <v>2280</v>
      </c>
      <c r="W175" s="784" t="s">
        <v>2283</v>
      </c>
      <c r="X175" s="784"/>
      <c r="Y175" s="1116"/>
      <c r="Z175" s="967"/>
      <c r="AA175" s="967">
        <v>7</v>
      </c>
      <c r="AB175" s="1005"/>
      <c r="AC175" s="1005"/>
      <c r="AD175" s="1005"/>
      <c r="AE175" s="1005"/>
      <c r="AF175" s="1005"/>
      <c r="AG175" s="1004"/>
      <c r="AH175" s="1004"/>
      <c r="AI175" s="1004"/>
      <c r="AJ175" s="1004"/>
      <c r="AK175" s="1004"/>
      <c r="AL175" s="1004"/>
      <c r="AM175" s="1004"/>
      <c r="AN175" s="1004"/>
      <c r="AO175" s="1004"/>
      <c r="AP175" s="1004"/>
      <c r="AQ175" s="1004"/>
      <c r="AR175" s="1004"/>
      <c r="AS175" s="1004"/>
      <c r="AT175" s="1004"/>
      <c r="AU175" s="1004"/>
      <c r="AV175" s="1004"/>
      <c r="AW175" s="1004"/>
    </row>
    <row r="176" spans="1:49" ht="15" customHeight="1">
      <c r="A176" s="1004"/>
      <c r="B176" s="1004"/>
      <c r="C176" s="1004"/>
      <c r="I176" s="1004"/>
      <c r="J176" s="1004"/>
      <c r="K176" s="1004"/>
      <c r="L176" s="777">
        <v>5</v>
      </c>
      <c r="M176" s="778"/>
      <c r="N176" s="976">
        <v>167</v>
      </c>
      <c r="O176" s="1020">
        <v>123</v>
      </c>
      <c r="P176" s="847">
        <f>VLOOKUP(N176,etat!$A$9:$N$1004,2,FALSE)</f>
        <v>0</v>
      </c>
      <c r="Q176" s="797" t="str">
        <f>VLOOKUP(N176,etat!$A$9:$N$963,7,FALSE)</f>
        <v>3أ ف2</v>
      </c>
      <c r="R176" s="797" t="str">
        <f>VLOOKUP(N176,etat!$A$9:$N$1003,9,FALSE)</f>
        <v>خ</v>
      </c>
      <c r="S176" s="866" t="str">
        <f>VLOOKUP(N176,etat!$A$9:$P$905,16,FALSE)</f>
        <v>ان/د3</v>
      </c>
      <c r="T176" s="755">
        <v>45762</v>
      </c>
      <c r="U176" s="791">
        <v>23</v>
      </c>
      <c r="V176" s="784" t="s">
        <v>2268</v>
      </c>
      <c r="W176" s="784" t="s">
        <v>2278</v>
      </c>
      <c r="X176" s="784" t="s">
        <v>2283</v>
      </c>
      <c r="Y176" s="1116"/>
      <c r="Z176" s="975" t="str">
        <f>VLOOKUP(L180,[2]اس!$S$3:$X$31,3,FALSE)</f>
        <v>.</v>
      </c>
      <c r="AA176" s="967">
        <v>7</v>
      </c>
      <c r="AB176" s="1005"/>
      <c r="AC176" s="1005"/>
      <c r="AD176" s="1005"/>
      <c r="AE176" s="1005"/>
      <c r="AF176" s="1005"/>
      <c r="AG176" s="1004"/>
      <c r="AH176" s="1004"/>
      <c r="AI176" s="1004"/>
      <c r="AJ176" s="1004"/>
      <c r="AK176" s="1004"/>
      <c r="AL176" s="1004"/>
      <c r="AM176" s="1004"/>
      <c r="AN176" s="1004"/>
      <c r="AO176" s="1004"/>
      <c r="AP176" s="1004"/>
      <c r="AQ176" s="1004"/>
      <c r="AR176" s="1004"/>
      <c r="AS176" s="1004"/>
      <c r="AT176" s="1004"/>
      <c r="AU176" s="1004"/>
      <c r="AV176" s="1004"/>
      <c r="AW176" s="1004"/>
    </row>
    <row r="177" spans="1:49" ht="15" customHeight="1">
      <c r="A177" s="1004"/>
      <c r="B177" s="1004"/>
      <c r="C177" s="1004"/>
      <c r="I177" s="1004"/>
      <c r="J177" s="1004"/>
      <c r="K177" s="1004"/>
      <c r="L177" s="777">
        <v>5</v>
      </c>
      <c r="M177" s="778"/>
      <c r="N177" s="976">
        <v>169</v>
      </c>
      <c r="O177" s="1020">
        <v>124</v>
      </c>
      <c r="P177" s="847">
        <f>VLOOKUP(N177,etat!$A$9:$N$1004,2,FALSE)</f>
        <v>0</v>
      </c>
      <c r="Q177" s="797" t="str">
        <f>VLOOKUP(N177,etat!$A$9:$N$963,7,FALSE)</f>
        <v>3أ ف2</v>
      </c>
      <c r="R177" s="797" t="str">
        <f>VLOOKUP(N177,etat!$A$9:$N$1003,9,FALSE)</f>
        <v>خ</v>
      </c>
      <c r="S177" s="866" t="str">
        <f>VLOOKUP(N177,etat!$A$9:$P$905,16,FALSE)</f>
        <v>ان/د3</v>
      </c>
      <c r="T177" s="755">
        <v>45757</v>
      </c>
      <c r="U177" s="791">
        <v>28</v>
      </c>
      <c r="V177" s="784" t="s">
        <v>2265</v>
      </c>
      <c r="W177" s="784" t="s">
        <v>2269</v>
      </c>
      <c r="X177" s="784" t="s">
        <v>2280</v>
      </c>
      <c r="Y177" s="975"/>
      <c r="Z177" s="967"/>
      <c r="AA177" s="967">
        <v>7</v>
      </c>
      <c r="AB177" s="1005"/>
      <c r="AC177" s="1005"/>
      <c r="AD177" s="1005"/>
      <c r="AE177" s="1005"/>
      <c r="AF177" s="1005"/>
      <c r="AG177" s="1004"/>
      <c r="AH177" s="1004"/>
      <c r="AI177" s="1004"/>
      <c r="AJ177" s="1004"/>
      <c r="AK177" s="1004"/>
      <c r="AL177" s="1004"/>
      <c r="AM177" s="1004"/>
      <c r="AN177" s="1004"/>
      <c r="AO177" s="1004"/>
      <c r="AP177" s="1004"/>
      <c r="AQ177" s="1004"/>
      <c r="AR177" s="1004"/>
      <c r="AS177" s="1004"/>
      <c r="AT177" s="1004"/>
      <c r="AU177" s="1004"/>
      <c r="AV177" s="1004"/>
      <c r="AW177" s="1004"/>
    </row>
    <row r="178" spans="1:49" ht="15" customHeight="1">
      <c r="A178" s="1004"/>
      <c r="B178" s="1004"/>
      <c r="C178" s="1004"/>
      <c r="I178" s="1004"/>
      <c r="J178" s="1004"/>
      <c r="K178" s="1004"/>
      <c r="L178" s="777">
        <v>5</v>
      </c>
      <c r="M178" s="778"/>
      <c r="N178" s="976">
        <v>170</v>
      </c>
      <c r="O178" s="1020">
        <v>125</v>
      </c>
      <c r="P178" s="847">
        <f>VLOOKUP(N178,etat!$A$9:$N$1004,2,FALSE)</f>
        <v>0</v>
      </c>
      <c r="Q178" s="797" t="str">
        <f>VLOOKUP(N178,etat!$A$9:$N$963,7,FALSE)</f>
        <v>3أ ف2</v>
      </c>
      <c r="R178" s="866" t="str">
        <f>VLOOKUP(N178,etat!$A$9:$N$1003,9,FALSE)</f>
        <v>خ</v>
      </c>
      <c r="S178" s="866" t="str">
        <f>VLOOKUP(N178,etat!$A$9:$P$905,16,FALSE)</f>
        <v>ان/د3</v>
      </c>
      <c r="T178" s="755">
        <v>45775</v>
      </c>
      <c r="U178" s="791">
        <v>10</v>
      </c>
      <c r="V178" s="784" t="s">
        <v>2282</v>
      </c>
      <c r="W178" s="784" t="s">
        <v>2287</v>
      </c>
      <c r="X178" s="869"/>
      <c r="Y178" s="1118"/>
      <c r="Z178" s="975"/>
      <c r="AA178" s="967">
        <v>7</v>
      </c>
      <c r="AB178" s="1005"/>
      <c r="AC178" s="1005"/>
      <c r="AD178" s="1005"/>
      <c r="AE178" s="1005"/>
      <c r="AF178" s="1005"/>
      <c r="AG178" s="1004"/>
      <c r="AH178" s="1004"/>
      <c r="AI178" s="1004"/>
      <c r="AJ178" s="1004"/>
      <c r="AK178" s="1004"/>
      <c r="AL178" s="1004"/>
      <c r="AM178" s="1004"/>
      <c r="AN178" s="1004"/>
      <c r="AO178" s="1004"/>
      <c r="AP178" s="1004"/>
      <c r="AQ178" s="1004"/>
      <c r="AR178" s="1004"/>
      <c r="AS178" s="1004"/>
      <c r="AT178" s="1004"/>
      <c r="AU178" s="1004"/>
      <c r="AV178" s="1004"/>
      <c r="AW178" s="1004"/>
    </row>
    <row r="179" spans="1:49" ht="15" customHeight="1">
      <c r="A179" s="1004"/>
      <c r="B179" s="1004"/>
      <c r="C179" s="1004"/>
      <c r="I179" s="1004"/>
      <c r="J179" s="1004"/>
      <c r="K179" s="1004"/>
      <c r="L179" s="777">
        <v>5</v>
      </c>
      <c r="M179" s="778"/>
      <c r="N179" s="976">
        <v>171</v>
      </c>
      <c r="O179" s="1020">
        <v>126</v>
      </c>
      <c r="P179" s="847">
        <f>VLOOKUP(N179,etat!$A$9:$N$1004,2,FALSE)</f>
        <v>0</v>
      </c>
      <c r="Q179" s="797" t="str">
        <f>VLOOKUP(N179,etat!$A$9:$N$963,7,FALSE)</f>
        <v>3أ ف2</v>
      </c>
      <c r="R179" s="797" t="str">
        <f>VLOOKUP(N179,etat!$A$9:$N$1003,9,FALSE)</f>
        <v>خ</v>
      </c>
      <c r="S179" s="866" t="str">
        <f>VLOOKUP(N179,etat!$A$9:$P$905,16,FALSE)</f>
        <v>ذن/د3</v>
      </c>
      <c r="T179" s="755">
        <v>45776</v>
      </c>
      <c r="U179" s="791">
        <v>9</v>
      </c>
      <c r="V179" s="784" t="s">
        <v>2283</v>
      </c>
      <c r="W179" s="784"/>
      <c r="X179" s="784"/>
      <c r="Y179" s="975"/>
      <c r="Z179" s="975"/>
      <c r="AA179" s="967">
        <v>7</v>
      </c>
      <c r="AB179" s="1005"/>
      <c r="AC179" s="1005"/>
      <c r="AD179" s="1005"/>
      <c r="AE179" s="1005"/>
      <c r="AF179" s="1005"/>
      <c r="AG179" s="1004"/>
      <c r="AH179" s="1004"/>
      <c r="AI179" s="1004"/>
      <c r="AJ179" s="1004"/>
      <c r="AK179" s="1004"/>
      <c r="AL179" s="1004"/>
      <c r="AM179" s="1004"/>
      <c r="AN179" s="1004"/>
      <c r="AO179" s="1004"/>
      <c r="AP179" s="1004"/>
      <c r="AQ179" s="1004"/>
      <c r="AR179" s="1004"/>
      <c r="AS179" s="1004"/>
      <c r="AT179" s="1004"/>
      <c r="AU179" s="1004"/>
      <c r="AV179" s="1004"/>
      <c r="AW179" s="1004"/>
    </row>
    <row r="180" spans="1:49" ht="15" customHeight="1">
      <c r="A180" s="1004"/>
      <c r="B180" s="1004"/>
      <c r="C180" s="1004"/>
      <c r="I180" s="1004"/>
      <c r="J180" s="1004"/>
      <c r="K180" s="1004"/>
      <c r="L180" s="777">
        <v>5</v>
      </c>
      <c r="M180" s="778"/>
      <c r="N180" s="976">
        <v>172</v>
      </c>
      <c r="O180" s="1020">
        <v>127</v>
      </c>
      <c r="P180" s="847">
        <f>VLOOKUP(N180,etat!$A$9:$N$1004,2,FALSE)</f>
        <v>0</v>
      </c>
      <c r="Q180" s="797" t="str">
        <f>VLOOKUP(N180,etat!$A$9:$N$963,7,FALSE)</f>
        <v>3أ ف2</v>
      </c>
      <c r="R180" s="797" t="str">
        <f>VLOOKUP(N180,etat!$A$9:$N$1003,9,FALSE)</f>
        <v>خ</v>
      </c>
      <c r="S180" s="866" t="str">
        <f>VLOOKUP(N180,etat!$A$9:$P$905,16,FALSE)</f>
        <v>ان/د3</v>
      </c>
      <c r="T180" s="755">
        <v>45777</v>
      </c>
      <c r="U180" s="1129" t="s">
        <v>2288</v>
      </c>
      <c r="V180" s="784" t="s">
        <v>2283</v>
      </c>
      <c r="W180" s="784"/>
      <c r="X180" s="784"/>
      <c r="Y180" s="975"/>
      <c r="Z180" s="975"/>
      <c r="AA180" s="967">
        <v>7</v>
      </c>
      <c r="AB180" s="1005"/>
      <c r="AC180" s="1005"/>
      <c r="AD180" s="1005"/>
      <c r="AE180" s="1005"/>
      <c r="AF180" s="1005"/>
      <c r="AG180" s="1004"/>
      <c r="AH180" s="1004"/>
      <c r="AI180" s="1004"/>
      <c r="AJ180" s="1004"/>
      <c r="AK180" s="1004"/>
      <c r="AL180" s="1004"/>
      <c r="AM180" s="1004"/>
      <c r="AN180" s="1004"/>
      <c r="AO180" s="1004"/>
      <c r="AP180" s="1004"/>
      <c r="AQ180" s="1004"/>
      <c r="AR180" s="1004"/>
      <c r="AS180" s="1004"/>
      <c r="AT180" s="1004"/>
      <c r="AU180" s="1004"/>
      <c r="AV180" s="1004"/>
      <c r="AW180" s="1004"/>
    </row>
    <row r="181" spans="1:49" ht="15" customHeight="1">
      <c r="A181" s="1004"/>
      <c r="B181" s="1004"/>
      <c r="C181" s="1004"/>
      <c r="I181" s="1004"/>
      <c r="J181" s="1004"/>
      <c r="K181" s="1004"/>
      <c r="L181" s="777">
        <v>5</v>
      </c>
      <c r="M181" s="778"/>
      <c r="N181" s="976">
        <v>174</v>
      </c>
      <c r="O181" s="1020">
        <v>128</v>
      </c>
      <c r="P181" s="847">
        <f>VLOOKUP(N181,etat!$A$9:$N$1004,2,FALSE)</f>
        <v>0</v>
      </c>
      <c r="Q181" s="797" t="str">
        <f>VLOOKUP(N181,etat!$A$9:$N$963,7,FALSE)</f>
        <v>3أ ف2</v>
      </c>
      <c r="R181" s="866" t="str">
        <f>VLOOKUP(N181,etat!$A$9:$N$1003,9,FALSE)</f>
        <v>خ</v>
      </c>
      <c r="S181" s="866" t="str">
        <f>VLOOKUP(N181,etat!$A$9:$P$905,16,FALSE)</f>
        <v>ذخ3</v>
      </c>
      <c r="T181" s="755">
        <v>45782</v>
      </c>
      <c r="U181" s="784" t="s">
        <v>359</v>
      </c>
      <c r="V181" s="784"/>
      <c r="W181" s="784"/>
      <c r="X181" s="869"/>
      <c r="Y181" s="975"/>
      <c r="Z181" s="975"/>
      <c r="AA181" s="967">
        <v>7</v>
      </c>
      <c r="AB181" s="1005"/>
      <c r="AC181" s="1005"/>
      <c r="AD181" s="1005"/>
      <c r="AE181" s="1005"/>
      <c r="AF181" s="1005"/>
      <c r="AG181" s="1004"/>
      <c r="AH181" s="1004"/>
      <c r="AI181" s="1004"/>
      <c r="AJ181" s="1004"/>
      <c r="AK181" s="1004"/>
      <c r="AL181" s="1004"/>
      <c r="AM181" s="1004"/>
      <c r="AN181" s="1004"/>
      <c r="AO181" s="1004"/>
      <c r="AP181" s="1004"/>
      <c r="AQ181" s="1004"/>
      <c r="AR181" s="1004"/>
      <c r="AS181" s="1004"/>
      <c r="AT181" s="1004"/>
      <c r="AU181" s="1004"/>
      <c r="AV181" s="1004"/>
      <c r="AW181" s="1004"/>
    </row>
    <row r="182" spans="1:49" ht="15" customHeight="1">
      <c r="A182" s="1004"/>
      <c r="B182" s="1004"/>
      <c r="C182" s="1004"/>
      <c r="I182" s="1004"/>
      <c r="J182" s="1004"/>
      <c r="K182" s="1004"/>
      <c r="L182" s="777">
        <v>5</v>
      </c>
      <c r="M182" s="778"/>
      <c r="N182" s="976">
        <v>175</v>
      </c>
      <c r="O182" s="1020">
        <v>129</v>
      </c>
      <c r="P182" s="847">
        <f>VLOOKUP(N182,etat!$A$9:$N$1004,2,FALSE)</f>
        <v>0</v>
      </c>
      <c r="Q182" s="797" t="str">
        <f>VLOOKUP(N182,etat!$A$9:$N$963,7,FALSE)</f>
        <v>3أ ف2</v>
      </c>
      <c r="R182" s="797" t="str">
        <f>VLOOKUP(N182,etat!$A$9:$N$1003,9,FALSE)</f>
        <v>خ</v>
      </c>
      <c r="S182" s="866" t="str">
        <f>VLOOKUP(N182,etat!$A$9:$P$905,16,FALSE)</f>
        <v>اخ3</v>
      </c>
      <c r="T182" s="755">
        <v>45777</v>
      </c>
      <c r="U182" s="1129" t="s">
        <v>2288</v>
      </c>
      <c r="V182" s="784" t="s">
        <v>2283</v>
      </c>
      <c r="W182" s="784"/>
      <c r="X182" s="784"/>
      <c r="Y182" s="975"/>
      <c r="Z182" s="967"/>
      <c r="AA182" s="967">
        <v>7</v>
      </c>
      <c r="AB182" s="1005"/>
      <c r="AC182" s="1005"/>
      <c r="AD182" s="1005"/>
      <c r="AE182" s="1005"/>
      <c r="AF182" s="1005"/>
      <c r="AG182" s="1004"/>
      <c r="AH182" s="1004"/>
      <c r="AI182" s="1004"/>
      <c r="AJ182" s="1004"/>
      <c r="AK182" s="1004"/>
      <c r="AL182" s="1004"/>
      <c r="AM182" s="1004"/>
      <c r="AN182" s="1004"/>
      <c r="AO182" s="1004"/>
      <c r="AP182" s="1004"/>
      <c r="AQ182" s="1004"/>
      <c r="AR182" s="1004"/>
      <c r="AS182" s="1004"/>
      <c r="AT182" s="1004"/>
      <c r="AU182" s="1004"/>
      <c r="AV182" s="1004"/>
      <c r="AW182" s="1004"/>
    </row>
    <row r="183" spans="1:49" ht="15" customHeight="1">
      <c r="A183" s="1004"/>
      <c r="B183" s="1004"/>
      <c r="C183" s="1004"/>
      <c r="I183" s="1004"/>
      <c r="J183" s="1004"/>
      <c r="K183" s="1004"/>
      <c r="L183" s="777">
        <v>5</v>
      </c>
      <c r="M183" s="778"/>
      <c r="N183" s="976">
        <v>177</v>
      </c>
      <c r="O183" s="1020">
        <v>130</v>
      </c>
      <c r="P183" s="847">
        <f>VLOOKUP(N183,etat!$A$9:$N$1004,2,FALSE)</f>
        <v>0</v>
      </c>
      <c r="Q183" s="797" t="str">
        <f>VLOOKUP(N183,etat!$A$9:$N$963,7,FALSE)</f>
        <v>3أ ف2</v>
      </c>
      <c r="R183" s="797" t="str">
        <f>VLOOKUP(N183,etat!$A$9:$N$1003,9,FALSE)</f>
        <v>خ</v>
      </c>
      <c r="S183" s="866" t="str">
        <f>VLOOKUP(N183,etat!$A$9:$P$905,16,FALSE)</f>
        <v>اخ3</v>
      </c>
      <c r="T183" s="755">
        <v>45771</v>
      </c>
      <c r="U183" s="791">
        <v>14</v>
      </c>
      <c r="V183" s="784" t="s">
        <v>2280</v>
      </c>
      <c r="W183" s="784" t="s">
        <v>2283</v>
      </c>
      <c r="X183" s="784"/>
      <c r="Y183" s="975"/>
      <c r="Z183" s="975" t="str">
        <f>VLOOKUP(L183,[2]اس!$S$3:$X$31,3,FALSE)</f>
        <v>.</v>
      </c>
      <c r="AA183" s="967">
        <v>7</v>
      </c>
      <c r="AB183" s="1005"/>
      <c r="AC183" s="1005"/>
      <c r="AD183" s="1005"/>
      <c r="AE183" s="1005"/>
      <c r="AF183" s="1005"/>
      <c r="AG183" s="1004"/>
      <c r="AH183" s="1004"/>
      <c r="AI183" s="1004"/>
      <c r="AJ183" s="1004"/>
      <c r="AK183" s="1004"/>
      <c r="AL183" s="1004"/>
      <c r="AM183" s="1004"/>
      <c r="AN183" s="1004"/>
      <c r="AO183" s="1004"/>
      <c r="AP183" s="1004"/>
      <c r="AQ183" s="1004"/>
      <c r="AR183" s="1004"/>
      <c r="AS183" s="1004"/>
      <c r="AT183" s="1004"/>
      <c r="AU183" s="1004"/>
      <c r="AV183" s="1004"/>
      <c r="AW183" s="1004"/>
    </row>
    <row r="184" spans="1:49" s="1083" customFormat="1" ht="15" customHeight="1">
      <c r="D184" s="166"/>
      <c r="E184" s="166"/>
      <c r="F184" s="166"/>
      <c r="G184" s="166"/>
      <c r="H184" s="166"/>
      <c r="L184" s="777">
        <v>5</v>
      </c>
      <c r="M184" s="778"/>
      <c r="N184" s="976">
        <v>180</v>
      </c>
      <c r="O184" s="1020">
        <v>131</v>
      </c>
      <c r="P184" s="847">
        <f>VLOOKUP(N184,etat!$A$9:$N$1004,2,FALSE)</f>
        <v>0</v>
      </c>
      <c r="Q184" s="797" t="str">
        <f>VLOOKUP(N184,etat!$A$9:$N$963,7,FALSE)</f>
        <v>3ل أ</v>
      </c>
      <c r="R184" s="797" t="str">
        <f>VLOOKUP(N184,etat!$A$9:$N$1003,9,FALSE)</f>
        <v>ن/د</v>
      </c>
      <c r="S184" s="866" t="str">
        <f>VLOOKUP(N184,etat!$A$9:$P$905,16,FALSE)</f>
        <v>اخ3</v>
      </c>
      <c r="T184" s="755">
        <v>45777</v>
      </c>
      <c r="U184" s="1129" t="s">
        <v>2288</v>
      </c>
      <c r="V184" s="784" t="s">
        <v>2283</v>
      </c>
      <c r="W184" s="784"/>
      <c r="X184" s="784"/>
      <c r="Y184" s="975"/>
      <c r="Z184" s="975"/>
      <c r="AA184" s="967">
        <v>7</v>
      </c>
      <c r="AB184" s="1082"/>
      <c r="AC184" s="1082"/>
      <c r="AD184" s="1082"/>
      <c r="AE184" s="1082"/>
      <c r="AF184" s="1082"/>
    </row>
    <row r="185" spans="1:49" ht="15" customHeight="1">
      <c r="A185" s="1004"/>
      <c r="B185" s="1004"/>
      <c r="C185" s="1004"/>
      <c r="I185" s="1004"/>
      <c r="J185" s="1004"/>
      <c r="K185" s="1004"/>
      <c r="L185" s="777">
        <v>5</v>
      </c>
      <c r="M185" s="778"/>
      <c r="N185" s="976">
        <v>181</v>
      </c>
      <c r="O185" s="1020">
        <v>132</v>
      </c>
      <c r="P185" s="847">
        <f>VLOOKUP(N185,etat!$A$9:$N$1004,2,FALSE)</f>
        <v>0</v>
      </c>
      <c r="Q185" s="797" t="str">
        <f>VLOOKUP(N185,etat!$A$9:$N$963,7,FALSE)</f>
        <v>3ل أ</v>
      </c>
      <c r="R185" s="797" t="str">
        <f>VLOOKUP(N185,etat!$A$9:$N$1003,9,FALSE)</f>
        <v>ن/د</v>
      </c>
      <c r="S185" s="866" t="str">
        <f>VLOOKUP(N185,etat!$A$9:$P$905,16,FALSE)</f>
        <v>اخ3</v>
      </c>
      <c r="T185" s="755">
        <v>45770</v>
      </c>
      <c r="U185" s="791">
        <v>15</v>
      </c>
      <c r="V185" s="784" t="s">
        <v>2280</v>
      </c>
      <c r="W185" s="784" t="s">
        <v>2283</v>
      </c>
      <c r="X185" s="784"/>
      <c r="Y185" s="975"/>
      <c r="Z185" s="975" t="str">
        <f>VLOOKUP(L185,[2]اس!$S$3:$X$31,3,FALSE)</f>
        <v>.</v>
      </c>
      <c r="AA185" s="967">
        <v>7</v>
      </c>
      <c r="AB185" s="1005"/>
      <c r="AC185" s="1005"/>
      <c r="AD185" s="1005"/>
      <c r="AE185" s="1005"/>
      <c r="AF185" s="1005"/>
      <c r="AG185" s="1004"/>
      <c r="AH185" s="1004"/>
      <c r="AI185" s="1004"/>
      <c r="AJ185" s="1004"/>
      <c r="AK185" s="1004"/>
      <c r="AL185" s="1004"/>
      <c r="AM185" s="1004"/>
      <c r="AN185" s="1004"/>
      <c r="AO185" s="1004"/>
      <c r="AP185" s="1004"/>
      <c r="AQ185" s="1004"/>
      <c r="AR185" s="1004"/>
      <c r="AS185" s="1004"/>
      <c r="AT185" s="1004"/>
      <c r="AU185" s="1004"/>
      <c r="AV185" s="1004"/>
      <c r="AW185" s="1004"/>
    </row>
    <row r="186" spans="1:49" ht="15" customHeight="1">
      <c r="A186" s="1004"/>
      <c r="B186" s="1004"/>
      <c r="C186" s="1004"/>
      <c r="I186" s="1004"/>
      <c r="J186" s="1004"/>
      <c r="K186" s="1004"/>
      <c r="L186" s="777">
        <v>5</v>
      </c>
      <c r="M186" s="778"/>
      <c r="N186" s="976">
        <v>182</v>
      </c>
      <c r="O186" s="1020">
        <v>133</v>
      </c>
      <c r="P186" s="847">
        <f>VLOOKUP(N186,etat!$A$9:$N$1004,2,FALSE)</f>
        <v>0</v>
      </c>
      <c r="Q186" s="797" t="str">
        <f>VLOOKUP(N186,etat!$A$9:$N$963,7,FALSE)</f>
        <v>3ل أ</v>
      </c>
      <c r="R186" s="797" t="str">
        <f>VLOOKUP(N186,etat!$A$9:$N$1003,9,FALSE)</f>
        <v>خ</v>
      </c>
      <c r="S186" s="866" t="str">
        <f>VLOOKUP(N186,etat!$A$9:$P$905,16,FALSE)</f>
        <v>اخ3</v>
      </c>
      <c r="T186" s="755">
        <v>45769</v>
      </c>
      <c r="U186" s="791">
        <v>16</v>
      </c>
      <c r="V186" s="784" t="s">
        <v>2278</v>
      </c>
      <c r="W186" s="784" t="s">
        <v>2283</v>
      </c>
      <c r="X186" s="784"/>
      <c r="Y186" s="975"/>
      <c r="Z186" s="975" t="str">
        <f>VLOOKUP(L186,[2]اس!$S$3:$X$31,3,FALSE)</f>
        <v>.</v>
      </c>
      <c r="AA186" s="967">
        <v>7</v>
      </c>
      <c r="AB186" s="1005"/>
      <c r="AC186" s="1005"/>
      <c r="AD186" s="1005"/>
      <c r="AE186" s="1005"/>
      <c r="AF186" s="1005"/>
      <c r="AG186" s="1004"/>
      <c r="AH186" s="1004"/>
      <c r="AI186" s="1004"/>
      <c r="AJ186" s="1004"/>
      <c r="AK186" s="1004"/>
      <c r="AL186" s="1004"/>
      <c r="AM186" s="1004"/>
      <c r="AN186" s="1004"/>
      <c r="AO186" s="1004"/>
      <c r="AP186" s="1004"/>
      <c r="AQ186" s="1004"/>
      <c r="AR186" s="1004"/>
      <c r="AS186" s="1004"/>
      <c r="AT186" s="1004"/>
      <c r="AU186" s="1004"/>
      <c r="AV186" s="1004"/>
      <c r="AW186" s="1004"/>
    </row>
    <row r="187" spans="1:49" ht="15" customHeight="1">
      <c r="A187" s="1004"/>
      <c r="B187" s="1004"/>
      <c r="C187" s="1004"/>
      <c r="I187" s="1004"/>
      <c r="J187" s="1004"/>
      <c r="K187" s="1004"/>
      <c r="L187" s="777">
        <v>5</v>
      </c>
      <c r="M187" s="778"/>
      <c r="N187" s="976">
        <v>183</v>
      </c>
      <c r="O187" s="1020">
        <v>134</v>
      </c>
      <c r="P187" s="847">
        <f>VLOOKUP(N187,etat!$A$9:$N$1004,2,FALSE)</f>
        <v>0</v>
      </c>
      <c r="Q187" s="797" t="str">
        <f>VLOOKUP(N187,etat!$A$9:$N$963,7,FALSE)</f>
        <v>3ل أ</v>
      </c>
      <c r="R187" s="797" t="str">
        <f>VLOOKUP(N187,etat!$A$9:$N$1003,9,FALSE)</f>
        <v>خ</v>
      </c>
      <c r="S187" s="866" t="str">
        <f>VLOOKUP(N187,etat!$A$9:$P$905,16,FALSE)</f>
        <v>اخ3</v>
      </c>
      <c r="T187" s="755">
        <v>45756</v>
      </c>
      <c r="U187" s="791">
        <v>29</v>
      </c>
      <c r="V187" s="784" t="s">
        <v>2265</v>
      </c>
      <c r="W187" s="784" t="s">
        <v>2269</v>
      </c>
      <c r="X187" s="784" t="s">
        <v>2280</v>
      </c>
      <c r="Y187" s="975"/>
      <c r="Z187" s="975" t="str">
        <f>VLOOKUP(L187,[2]اس!$S$3:$X$31,3,FALSE)</f>
        <v>.</v>
      </c>
      <c r="AA187" s="967">
        <v>7</v>
      </c>
      <c r="AB187" s="1005"/>
      <c r="AC187" s="1005"/>
      <c r="AD187" s="1005"/>
      <c r="AE187" s="1005"/>
      <c r="AF187" s="1005"/>
      <c r="AG187" s="1004"/>
      <c r="AH187" s="1004"/>
      <c r="AI187" s="1004"/>
      <c r="AJ187" s="1004"/>
      <c r="AK187" s="1004"/>
      <c r="AL187" s="1004"/>
      <c r="AM187" s="1004"/>
      <c r="AN187" s="1004"/>
      <c r="AO187" s="1004"/>
      <c r="AP187" s="1004"/>
      <c r="AQ187" s="1004"/>
      <c r="AR187" s="1004"/>
      <c r="AS187" s="1004"/>
      <c r="AT187" s="1004"/>
      <c r="AU187" s="1004"/>
      <c r="AV187" s="1004"/>
      <c r="AW187" s="1004"/>
    </row>
    <row r="188" spans="1:49" ht="15" customHeight="1">
      <c r="A188" s="1004"/>
      <c r="B188" s="1004"/>
      <c r="C188" s="1004"/>
      <c r="I188" s="1004"/>
      <c r="J188" s="1004"/>
      <c r="K188" s="1004"/>
      <c r="L188" s="777">
        <v>5</v>
      </c>
      <c r="M188" s="778"/>
      <c r="N188" s="976">
        <v>192</v>
      </c>
      <c r="O188" s="1020">
        <v>135</v>
      </c>
      <c r="P188" s="847">
        <f>VLOOKUP(N188,etat!$A$9:$N$1004,2,FALSE)</f>
        <v>0</v>
      </c>
      <c r="Q188" s="797" t="str">
        <f>VLOOKUP(N188,etat!$A$9:$N$963,7,FALSE)</f>
        <v>3ل أ</v>
      </c>
      <c r="R188" s="797" t="str">
        <f>VLOOKUP(N188,etat!$A$9:$N$1003,9,FALSE)</f>
        <v>خ</v>
      </c>
      <c r="S188" s="866" t="str">
        <f>VLOOKUP(N188,etat!$A$9:$P$905,16,FALSE)</f>
        <v>ان/د3</v>
      </c>
      <c r="T188" s="755">
        <v>45762</v>
      </c>
      <c r="U188" s="791">
        <v>23</v>
      </c>
      <c r="V188" s="784" t="s">
        <v>2268</v>
      </c>
      <c r="W188" s="784" t="s">
        <v>2278</v>
      </c>
      <c r="X188" s="784" t="s">
        <v>2283</v>
      </c>
      <c r="Y188" s="975"/>
      <c r="Z188" s="975" t="str">
        <f>VLOOKUP(L188,[2]اس!$S$3:$X$31,3,FALSE)</f>
        <v>.</v>
      </c>
      <c r="AA188" s="967">
        <v>7</v>
      </c>
      <c r="AB188" s="1005"/>
      <c r="AC188" s="1005"/>
      <c r="AD188" s="1005"/>
      <c r="AE188" s="1005"/>
      <c r="AF188" s="1005"/>
      <c r="AG188" s="1004"/>
      <c r="AH188" s="1004"/>
      <c r="AI188" s="1004"/>
      <c r="AJ188" s="1004"/>
      <c r="AK188" s="1004"/>
      <c r="AL188" s="1004"/>
      <c r="AM188" s="1004"/>
      <c r="AN188" s="1004"/>
      <c r="AO188" s="1004"/>
      <c r="AP188" s="1004"/>
      <c r="AQ188" s="1004"/>
      <c r="AR188" s="1004"/>
      <c r="AS188" s="1004"/>
      <c r="AT188" s="1004"/>
      <c r="AU188" s="1004"/>
      <c r="AV188" s="1004"/>
      <c r="AW188" s="1004"/>
    </row>
    <row r="189" spans="1:49" ht="15" customHeight="1">
      <c r="A189" s="1004"/>
      <c r="B189" s="1004"/>
      <c r="C189" s="1004"/>
      <c r="I189" s="1004"/>
      <c r="J189" s="1004"/>
      <c r="K189" s="1004"/>
      <c r="L189" s="777">
        <v>5</v>
      </c>
      <c r="M189" s="778"/>
      <c r="N189" s="976">
        <v>197</v>
      </c>
      <c r="O189" s="1020">
        <v>136</v>
      </c>
      <c r="P189" s="847">
        <f>VLOOKUP(N189,etat!$A$9:$N$1004,2,FALSE)</f>
        <v>0</v>
      </c>
      <c r="Q189" s="797" t="str">
        <f>VLOOKUP(N189,etat!$A$9:$N$963,7,FALSE)</f>
        <v>2ت ر كه</v>
      </c>
      <c r="R189" s="797" t="str">
        <f>VLOOKUP(N189,etat!$A$9:$N$1003,9,FALSE)</f>
        <v>ن/د</v>
      </c>
      <c r="S189" s="866" t="str">
        <f>VLOOKUP(N189,etat!$A$9:$P$905,16,FALSE)</f>
        <v>ان/د3</v>
      </c>
      <c r="T189" s="755">
        <v>45775</v>
      </c>
      <c r="U189" s="791">
        <v>10</v>
      </c>
      <c r="V189" s="784" t="s">
        <v>2282</v>
      </c>
      <c r="W189" s="784" t="s">
        <v>2287</v>
      </c>
      <c r="X189" s="784"/>
      <c r="Y189" s="975"/>
      <c r="Z189" s="975"/>
      <c r="AA189" s="967">
        <v>7</v>
      </c>
      <c r="AB189" s="1005"/>
      <c r="AC189" s="1005"/>
      <c r="AD189" s="1005"/>
      <c r="AE189" s="1005"/>
      <c r="AF189" s="1005"/>
      <c r="AG189" s="1004"/>
      <c r="AH189" s="1004"/>
      <c r="AI189" s="1004"/>
      <c r="AJ189" s="1004"/>
      <c r="AK189" s="1004"/>
      <c r="AL189" s="1004"/>
      <c r="AM189" s="1004"/>
      <c r="AN189" s="1004"/>
      <c r="AO189" s="1004"/>
      <c r="AP189" s="1004"/>
      <c r="AQ189" s="1004"/>
      <c r="AR189" s="1004"/>
      <c r="AS189" s="1004"/>
      <c r="AT189" s="1004"/>
      <c r="AU189" s="1004"/>
      <c r="AV189" s="1004"/>
      <c r="AW189" s="1004"/>
    </row>
    <row r="190" spans="1:49" ht="15" customHeight="1">
      <c r="A190" s="1004"/>
      <c r="B190" s="1004"/>
      <c r="C190" s="1004"/>
      <c r="I190" s="1004"/>
      <c r="J190" s="1004"/>
      <c r="K190" s="1004"/>
      <c r="L190" s="777">
        <v>5</v>
      </c>
      <c r="M190" s="778"/>
      <c r="N190" s="976">
        <v>198</v>
      </c>
      <c r="O190" s="1020">
        <v>137</v>
      </c>
      <c r="P190" s="268">
        <f>VLOOKUP(N190,etat!$A$9:$N$1004,2,FALSE)</f>
        <v>0</v>
      </c>
      <c r="Q190" s="797" t="str">
        <f>VLOOKUP(N190,etat!$A$9:$N$963,7,FALSE)</f>
        <v>2ت ر كه</v>
      </c>
      <c r="R190" s="928" t="str">
        <f>VLOOKUP(N190,etat!$A$9:$N$1003,9,FALSE)</f>
        <v>خ</v>
      </c>
      <c r="S190" s="866" t="str">
        <f>VLOOKUP(N190,etat!$A$9:$P$905,16,FALSE)</f>
        <v>ذخ3</v>
      </c>
      <c r="T190" s="755">
        <v>45777</v>
      </c>
      <c r="U190" s="1129" t="s">
        <v>2288</v>
      </c>
      <c r="V190" s="784" t="s">
        <v>2283</v>
      </c>
      <c r="W190" s="784"/>
      <c r="X190" s="784"/>
      <c r="Y190" s="975"/>
      <c r="Z190" s="975" t="str">
        <f>VLOOKUP(L190,[2]اس!$S$3:$X$31,3,FALSE)</f>
        <v>.</v>
      </c>
      <c r="AA190" s="967">
        <v>7</v>
      </c>
      <c r="AB190" s="1005"/>
      <c r="AC190" s="1005"/>
      <c r="AD190" s="1005"/>
      <c r="AE190" s="1005"/>
      <c r="AF190" s="1005"/>
      <c r="AG190" s="1004"/>
      <c r="AH190" s="1004"/>
      <c r="AI190" s="1004"/>
      <c r="AJ190" s="1004"/>
      <c r="AK190" s="1004"/>
      <c r="AL190" s="1004"/>
      <c r="AM190" s="1004"/>
      <c r="AN190" s="1004"/>
      <c r="AO190" s="1004"/>
      <c r="AP190" s="1004"/>
      <c r="AQ190" s="1004"/>
      <c r="AR190" s="1004"/>
      <c r="AS190" s="1004"/>
      <c r="AT190" s="1004"/>
      <c r="AU190" s="1004"/>
      <c r="AV190" s="1004"/>
      <c r="AW190" s="1004"/>
    </row>
    <row r="191" spans="1:49" ht="15" customHeight="1">
      <c r="A191" s="1004"/>
      <c r="B191" s="1004"/>
      <c r="C191" s="1004"/>
      <c r="I191" s="1004"/>
      <c r="J191" s="1004"/>
      <c r="K191" s="1004"/>
      <c r="L191" s="777">
        <v>5</v>
      </c>
      <c r="M191" s="778"/>
      <c r="N191" s="976">
        <v>201</v>
      </c>
      <c r="O191" s="1020">
        <v>138</v>
      </c>
      <c r="P191" s="847">
        <f>VLOOKUP(N191,etat!$A$9:$N$1004,2,FALSE)</f>
        <v>0</v>
      </c>
      <c r="Q191" s="797" t="str">
        <f>VLOOKUP(N191,etat!$A$9:$N$963,7,FALSE)</f>
        <v>2ت ر كه</v>
      </c>
      <c r="R191" s="797" t="str">
        <f>VLOOKUP(N191,etat!$A$9:$N$1003,9,FALSE)</f>
        <v>خ</v>
      </c>
      <c r="S191" s="866" t="str">
        <f>VLOOKUP(N191,etat!$A$9:$P$905,16,FALSE)</f>
        <v>اخ3</v>
      </c>
      <c r="T191" s="755">
        <v>45769</v>
      </c>
      <c r="U191" s="791">
        <v>16</v>
      </c>
      <c r="V191" s="784" t="s">
        <v>2278</v>
      </c>
      <c r="W191" s="784" t="s">
        <v>2283</v>
      </c>
      <c r="X191" s="784"/>
      <c r="Y191" s="975"/>
      <c r="Z191" s="975" t="str">
        <f>VLOOKUP(L191,[2]اس!$S$3:$X$31,3,FALSE)</f>
        <v>.</v>
      </c>
      <c r="AA191" s="967">
        <v>7</v>
      </c>
      <c r="AB191" s="1005"/>
      <c r="AC191" s="1005"/>
      <c r="AD191" s="1005"/>
      <c r="AE191" s="1005"/>
      <c r="AF191" s="1005"/>
      <c r="AG191" s="1004"/>
      <c r="AH191" s="1004"/>
      <c r="AI191" s="1004"/>
      <c r="AJ191" s="1004"/>
      <c r="AK191" s="1004"/>
      <c r="AL191" s="1004"/>
      <c r="AM191" s="1004"/>
      <c r="AN191" s="1004"/>
      <c r="AO191" s="1004"/>
      <c r="AP191" s="1004"/>
      <c r="AQ191" s="1004"/>
      <c r="AR191" s="1004"/>
      <c r="AS191" s="1004"/>
      <c r="AT191" s="1004"/>
      <c r="AU191" s="1004"/>
      <c r="AV191" s="1004"/>
      <c r="AW191" s="1004"/>
    </row>
    <row r="192" spans="1:49" ht="15" customHeight="1">
      <c r="A192" s="1004"/>
      <c r="B192" s="1004"/>
      <c r="C192" s="1004"/>
      <c r="I192" s="1004"/>
      <c r="J192" s="1004"/>
      <c r="K192" s="1004"/>
      <c r="L192" s="777">
        <v>5</v>
      </c>
      <c r="M192" s="778"/>
      <c r="N192" s="976">
        <v>202</v>
      </c>
      <c r="O192" s="1020">
        <v>139</v>
      </c>
      <c r="P192" s="847">
        <f>VLOOKUP(N192,etat!$A$9:$N$1004,2,FALSE)</f>
        <v>0</v>
      </c>
      <c r="Q192" s="797" t="str">
        <f>VLOOKUP(N192,etat!$A$9:$N$963,7,FALSE)</f>
        <v>2ت ر كه</v>
      </c>
      <c r="R192" s="797" t="str">
        <f>VLOOKUP(N192,etat!$A$9:$N$1003,9,FALSE)</f>
        <v>خ</v>
      </c>
      <c r="S192" s="866" t="str">
        <f>VLOOKUP(N192,etat!$A$9:$P$905,16,FALSE)</f>
        <v>اخ3</v>
      </c>
      <c r="T192" s="755">
        <v>45764</v>
      </c>
      <c r="U192" s="791">
        <v>21</v>
      </c>
      <c r="V192" s="784" t="s">
        <v>2269</v>
      </c>
      <c r="W192" s="784" t="s">
        <v>2280</v>
      </c>
      <c r="X192" s="784"/>
      <c r="Y192" s="1116"/>
      <c r="Z192" s="975" t="str">
        <f>VLOOKUP(L192,[2]اس!$S$3:$X$31,3,FALSE)</f>
        <v>.</v>
      </c>
      <c r="AA192" s="967">
        <v>7</v>
      </c>
      <c r="AB192" s="1005"/>
      <c r="AC192" s="1005"/>
      <c r="AD192" s="1005"/>
      <c r="AE192" s="1005"/>
      <c r="AF192" s="1005"/>
      <c r="AG192" s="1004"/>
      <c r="AH192" s="1004"/>
      <c r="AI192" s="1004"/>
      <c r="AJ192" s="1004"/>
      <c r="AK192" s="1004"/>
      <c r="AL192" s="1004"/>
      <c r="AM192" s="1004"/>
      <c r="AN192" s="1004"/>
      <c r="AO192" s="1004"/>
      <c r="AP192" s="1004"/>
      <c r="AQ192" s="1004"/>
      <c r="AR192" s="1004"/>
      <c r="AS192" s="1004"/>
      <c r="AT192" s="1004"/>
      <c r="AU192" s="1004"/>
      <c r="AV192" s="1004"/>
      <c r="AW192" s="1004"/>
    </row>
    <row r="193" spans="1:49" ht="15" customHeight="1">
      <c r="A193" s="1004"/>
      <c r="B193" s="1004"/>
      <c r="C193" s="1004"/>
      <c r="I193" s="1004"/>
      <c r="J193" s="1004"/>
      <c r="K193" s="1004"/>
      <c r="L193" s="777">
        <v>5</v>
      </c>
      <c r="M193" s="778"/>
      <c r="N193" s="976">
        <v>786</v>
      </c>
      <c r="O193" s="1020">
        <v>140</v>
      </c>
      <c r="P193" s="847">
        <f>VLOOKUP(N193,etat!$A$9:$N$1004,2,FALSE)</f>
        <v>0</v>
      </c>
      <c r="Q193" s="797">
        <f>VLOOKUP(N193,etat!$A$9:$N$963,7,FALSE)</f>
        <v>0</v>
      </c>
      <c r="R193" s="866">
        <f>VLOOKUP(N193,etat!$A$9:$N$1003,9,FALSE)</f>
        <v>0</v>
      </c>
      <c r="S193" s="866">
        <f>VLOOKUP(N193,etat!$A$9:$P$905,16,FALSE)</f>
        <v>0</v>
      </c>
      <c r="T193" s="755">
        <v>45775</v>
      </c>
      <c r="U193" s="791">
        <v>10</v>
      </c>
      <c r="V193" s="784" t="s">
        <v>2282</v>
      </c>
      <c r="W193" s="784" t="s">
        <v>2287</v>
      </c>
      <c r="X193" s="869"/>
      <c r="Y193" s="975"/>
      <c r="Z193" s="975"/>
      <c r="AA193" s="967">
        <v>7</v>
      </c>
      <c r="AB193" s="1005"/>
      <c r="AC193" s="1005"/>
      <c r="AD193" s="1005"/>
      <c r="AE193" s="1005"/>
      <c r="AF193" s="1005"/>
      <c r="AG193" s="1004"/>
      <c r="AH193" s="1004"/>
      <c r="AI193" s="1004"/>
      <c r="AJ193" s="1004"/>
      <c r="AK193" s="1004"/>
      <c r="AL193" s="1004"/>
      <c r="AM193" s="1004"/>
      <c r="AN193" s="1004"/>
      <c r="AO193" s="1004"/>
      <c r="AP193" s="1004"/>
      <c r="AQ193" s="1004"/>
      <c r="AR193" s="1004"/>
      <c r="AS193" s="1004"/>
      <c r="AT193" s="1004"/>
      <c r="AU193" s="1004"/>
      <c r="AV193" s="1004"/>
      <c r="AW193" s="1004"/>
    </row>
    <row r="194" spans="1:49" ht="15" customHeight="1">
      <c r="A194" s="1004"/>
      <c r="B194" s="1004"/>
      <c r="C194" s="1004"/>
      <c r="I194" s="1004"/>
      <c r="J194" s="1004"/>
      <c r="K194" s="1004"/>
      <c r="L194" s="777">
        <v>5</v>
      </c>
      <c r="M194" s="778"/>
      <c r="N194" s="976">
        <v>189</v>
      </c>
      <c r="O194" s="1020">
        <v>141</v>
      </c>
      <c r="P194" s="268">
        <f>VLOOKUP(N194,etat!$A$9:$N$1004,2,FALSE)</f>
        <v>0</v>
      </c>
      <c r="Q194" s="797" t="str">
        <f>VLOOKUP(N194,etat!$A$9:$N$963,7,FALSE)</f>
        <v>3ل أ</v>
      </c>
      <c r="R194" s="928" t="str">
        <f>VLOOKUP(N194,etat!$A$9:$N$1003,9,FALSE)</f>
        <v>خ</v>
      </c>
      <c r="S194" s="866" t="str">
        <f>VLOOKUP(N194,etat!$A$9:$P$905,16,FALSE)</f>
        <v>ذخ3</v>
      </c>
      <c r="T194" s="755">
        <v>45784</v>
      </c>
      <c r="U194" s="791">
        <v>1</v>
      </c>
      <c r="V194" s="784"/>
      <c r="W194" s="784"/>
      <c r="X194" s="784"/>
      <c r="Y194" s="975"/>
      <c r="Z194" s="967"/>
      <c r="AA194" s="967">
        <v>7</v>
      </c>
      <c r="AB194" s="1005"/>
      <c r="AC194" s="1005"/>
      <c r="AD194" s="1005"/>
      <c r="AE194" s="1005"/>
      <c r="AF194" s="1005"/>
      <c r="AG194" s="1004"/>
      <c r="AH194" s="1004"/>
      <c r="AI194" s="1004"/>
      <c r="AJ194" s="1004"/>
      <c r="AK194" s="1004"/>
      <c r="AL194" s="1004"/>
      <c r="AM194" s="1004"/>
      <c r="AN194" s="1004"/>
      <c r="AO194" s="1004"/>
      <c r="AP194" s="1004"/>
      <c r="AQ194" s="1004"/>
      <c r="AR194" s="1004"/>
      <c r="AS194" s="1004"/>
      <c r="AT194" s="1004"/>
      <c r="AU194" s="1004"/>
      <c r="AV194" s="1004"/>
      <c r="AW194" s="1004"/>
    </row>
    <row r="195" spans="1:49" ht="15" customHeight="1">
      <c r="A195" s="1004"/>
      <c r="B195" s="1004"/>
      <c r="C195" s="1004"/>
      <c r="I195" s="1004"/>
      <c r="J195" s="1004"/>
      <c r="K195" s="1004"/>
      <c r="L195" s="777">
        <v>5</v>
      </c>
      <c r="M195" s="778"/>
      <c r="N195" s="976">
        <v>204</v>
      </c>
      <c r="O195" s="1020">
        <v>142</v>
      </c>
      <c r="P195" s="268">
        <f>VLOOKUP(N195,etat!$A$9:$N$1004,2,FALSE)</f>
        <v>0</v>
      </c>
      <c r="Q195" s="797" t="str">
        <f>VLOOKUP(N195,etat!$A$9:$N$963,7,FALSE)</f>
        <v>2ت ر مك</v>
      </c>
      <c r="R195" s="928" t="str">
        <f>VLOOKUP(N195,etat!$A$9:$N$1003,9,FALSE)</f>
        <v>خ</v>
      </c>
      <c r="S195" s="866" t="str">
        <f>VLOOKUP(N195,etat!$A$9:$P$905,16,FALSE)</f>
        <v>ذخ3</v>
      </c>
      <c r="T195" s="755">
        <v>45771</v>
      </c>
      <c r="U195" s="791">
        <v>14</v>
      </c>
      <c r="V195" s="784" t="s">
        <v>2280</v>
      </c>
      <c r="W195" s="784" t="s">
        <v>2283</v>
      </c>
      <c r="X195" s="784"/>
      <c r="Y195" s="975"/>
      <c r="Z195" s="967"/>
      <c r="AA195" s="967">
        <v>8</v>
      </c>
      <c r="AB195" s="1005"/>
      <c r="AC195" s="1005"/>
      <c r="AD195" s="1005"/>
      <c r="AE195" s="1005"/>
      <c r="AF195" s="1005"/>
      <c r="AG195" s="1004"/>
      <c r="AH195" s="1004"/>
      <c r="AI195" s="1004"/>
      <c r="AJ195" s="1004"/>
      <c r="AK195" s="1004"/>
      <c r="AL195" s="1004"/>
      <c r="AM195" s="1004"/>
      <c r="AN195" s="1004"/>
      <c r="AO195" s="1004"/>
      <c r="AP195" s="1004"/>
      <c r="AQ195" s="1004"/>
      <c r="AR195" s="1004"/>
      <c r="AS195" s="1004"/>
      <c r="AT195" s="1004"/>
      <c r="AU195" s="1004"/>
      <c r="AV195" s="1004"/>
      <c r="AW195" s="1004"/>
    </row>
    <row r="196" spans="1:49" ht="15" customHeight="1">
      <c r="A196" s="1004"/>
      <c r="B196" s="1004"/>
      <c r="C196" s="1004"/>
      <c r="I196" s="1004"/>
      <c r="J196" s="1004"/>
      <c r="K196" s="1004"/>
      <c r="L196" s="777">
        <v>5</v>
      </c>
      <c r="M196" s="778"/>
      <c r="N196" s="976">
        <v>205</v>
      </c>
      <c r="O196" s="1020">
        <v>143</v>
      </c>
      <c r="P196" s="847">
        <f>VLOOKUP(N196,etat!$A$9:$N$1004,2,FALSE)</f>
        <v>0</v>
      </c>
      <c r="Q196" s="797" t="str">
        <f>VLOOKUP(N196,etat!$A$9:$N$963,7,FALSE)</f>
        <v>2ت ر مك</v>
      </c>
      <c r="R196" s="797" t="str">
        <f>VLOOKUP(N196,etat!$A$9:$N$1003,9,FALSE)</f>
        <v>خ</v>
      </c>
      <c r="S196" s="866" t="str">
        <f>VLOOKUP(N196,etat!$A$9:$P$905,16,FALSE)</f>
        <v>اخ3</v>
      </c>
      <c r="T196" s="755">
        <v>45781</v>
      </c>
      <c r="U196" s="791">
        <v>4</v>
      </c>
      <c r="V196" s="784" t="s">
        <v>2285</v>
      </c>
      <c r="W196" s="784"/>
      <c r="X196" s="784"/>
      <c r="Y196" s="975"/>
      <c r="Z196" s="975"/>
      <c r="AA196" s="967">
        <v>8</v>
      </c>
      <c r="AB196" s="1005"/>
      <c r="AC196" s="1005"/>
      <c r="AD196" s="1005"/>
      <c r="AE196" s="1005"/>
      <c r="AF196" s="1005"/>
      <c r="AG196" s="1004"/>
      <c r="AH196" s="1004"/>
      <c r="AI196" s="1004"/>
      <c r="AJ196" s="1004"/>
      <c r="AK196" s="1004"/>
      <c r="AL196" s="1004"/>
      <c r="AM196" s="1004"/>
      <c r="AN196" s="1004"/>
      <c r="AO196" s="1004"/>
      <c r="AP196" s="1004"/>
      <c r="AQ196" s="1004"/>
      <c r="AR196" s="1004"/>
      <c r="AS196" s="1004"/>
      <c r="AT196" s="1004"/>
      <c r="AU196" s="1004"/>
      <c r="AV196" s="1004"/>
      <c r="AW196" s="1004"/>
    </row>
    <row r="197" spans="1:49" ht="15" customHeight="1">
      <c r="A197" s="1004"/>
      <c r="B197" s="1004"/>
      <c r="C197" s="1004"/>
      <c r="I197" s="1004"/>
      <c r="J197" s="1004"/>
      <c r="K197" s="1004"/>
      <c r="L197" s="777">
        <v>5</v>
      </c>
      <c r="M197" s="778"/>
      <c r="N197" s="976">
        <v>208</v>
      </c>
      <c r="O197" s="1020">
        <v>144</v>
      </c>
      <c r="P197" s="847">
        <f>VLOOKUP(N197,etat!$A$9:$N$1004,2,FALSE)</f>
        <v>0</v>
      </c>
      <c r="Q197" s="797" t="str">
        <f>VLOOKUP(N197,etat!$A$9:$N$963,7,FALSE)</f>
        <v>2ت ر طرا</v>
      </c>
      <c r="R197" s="797" t="str">
        <f>VLOOKUP(N197,etat!$A$9:$N$1003,9,FALSE)</f>
        <v>خ</v>
      </c>
      <c r="S197" s="866" t="str">
        <f>VLOOKUP(N197,etat!$A$9:$P$905,16,FALSE)</f>
        <v>ذخ3</v>
      </c>
      <c r="T197" s="755">
        <v>45782</v>
      </c>
      <c r="U197" s="784" t="s">
        <v>393</v>
      </c>
      <c r="V197" s="784" t="s">
        <v>2287</v>
      </c>
      <c r="W197" s="784"/>
      <c r="X197" s="784"/>
      <c r="Y197" s="975"/>
      <c r="Z197" s="975"/>
      <c r="AA197" s="967">
        <v>8</v>
      </c>
      <c r="AB197" s="1005"/>
      <c r="AC197" s="1005"/>
      <c r="AD197" s="1005"/>
      <c r="AE197" s="1005"/>
      <c r="AF197" s="1005"/>
      <c r="AG197" s="1004"/>
      <c r="AH197" s="1004"/>
      <c r="AI197" s="1004"/>
      <c r="AJ197" s="1004"/>
      <c r="AK197" s="1004"/>
      <c r="AL197" s="1004"/>
      <c r="AM197" s="1004"/>
      <c r="AN197" s="1004"/>
      <c r="AO197" s="1004"/>
      <c r="AP197" s="1004"/>
      <c r="AQ197" s="1004"/>
      <c r="AR197" s="1004"/>
      <c r="AS197" s="1004"/>
      <c r="AT197" s="1004"/>
      <c r="AU197" s="1004"/>
      <c r="AV197" s="1004"/>
      <c r="AW197" s="1004"/>
    </row>
    <row r="198" spans="1:49" ht="15" customHeight="1">
      <c r="A198" s="1004"/>
      <c r="B198" s="1004"/>
      <c r="C198" s="1004"/>
      <c r="I198" s="1004"/>
      <c r="J198" s="1004"/>
      <c r="K198" s="1004"/>
      <c r="L198" s="777">
        <v>5</v>
      </c>
      <c r="M198" s="778"/>
      <c r="N198" s="976">
        <v>209</v>
      </c>
      <c r="O198" s="1020">
        <v>145</v>
      </c>
      <c r="P198" s="847">
        <f>VLOOKUP(N198,etat!$A$9:$N$1004,2,FALSE)</f>
        <v>0</v>
      </c>
      <c r="Q198" s="797" t="str">
        <f>VLOOKUP(N198,etat!$A$9:$N$963,7,FALSE)</f>
        <v>2ت ر طرا</v>
      </c>
      <c r="R198" s="866" t="str">
        <f>VLOOKUP(N198,etat!$A$9:$N$1003,9,FALSE)</f>
        <v>خ</v>
      </c>
      <c r="S198" s="866" t="str">
        <f>VLOOKUP(N198,etat!$A$9:$P$905,16,FALSE)</f>
        <v>ذخ3</v>
      </c>
      <c r="T198" s="755">
        <v>45781</v>
      </c>
      <c r="U198" s="791">
        <v>4</v>
      </c>
      <c r="V198" s="784" t="s">
        <v>2285</v>
      </c>
      <c r="W198" s="784"/>
      <c r="X198" s="784"/>
      <c r="Y198" s="975"/>
      <c r="Z198" s="975"/>
      <c r="AA198" s="967">
        <v>8</v>
      </c>
      <c r="AB198" s="1005"/>
      <c r="AC198" s="1005"/>
      <c r="AD198" s="1005"/>
      <c r="AE198" s="1005"/>
      <c r="AF198" s="1005"/>
      <c r="AG198" s="1004"/>
      <c r="AH198" s="1004"/>
      <c r="AI198" s="1004"/>
      <c r="AJ198" s="1004"/>
      <c r="AK198" s="1004"/>
      <c r="AL198" s="1004"/>
      <c r="AM198" s="1004"/>
      <c r="AN198" s="1004"/>
      <c r="AO198" s="1004"/>
      <c r="AP198" s="1004"/>
      <c r="AQ198" s="1004"/>
      <c r="AR198" s="1004"/>
      <c r="AS198" s="1004"/>
      <c r="AT198" s="1004"/>
      <c r="AU198" s="1004"/>
      <c r="AV198" s="1004"/>
      <c r="AW198" s="1004"/>
    </row>
    <row r="199" spans="1:49" ht="15" customHeight="1">
      <c r="A199" s="1004"/>
      <c r="B199" s="1004"/>
      <c r="C199" s="1004"/>
      <c r="I199" s="1004"/>
      <c r="J199" s="1004"/>
      <c r="K199" s="1004"/>
      <c r="L199" s="777">
        <v>5</v>
      </c>
      <c r="M199" s="778"/>
      <c r="N199" s="976">
        <v>210</v>
      </c>
      <c r="O199" s="1020">
        <v>146</v>
      </c>
      <c r="P199" s="847">
        <f>VLOOKUP(N199,etat!$A$9:$N$1004,2,FALSE)</f>
        <v>0</v>
      </c>
      <c r="Q199" s="797" t="str">
        <f>VLOOKUP(N199,etat!$A$9:$N$963,7,FALSE)</f>
        <v>2ت ر طرا</v>
      </c>
      <c r="R199" s="866" t="str">
        <f>VLOOKUP(N199,etat!$A$9:$N$1003,9,FALSE)</f>
        <v>خ</v>
      </c>
      <c r="S199" s="866" t="str">
        <f>VLOOKUP(N199,etat!$A$9:$P$905,16,FALSE)</f>
        <v>اخ3</v>
      </c>
      <c r="T199" s="755">
        <v>45782</v>
      </c>
      <c r="U199" s="784" t="s">
        <v>393</v>
      </c>
      <c r="V199" s="784" t="s">
        <v>2287</v>
      </c>
      <c r="W199" s="784"/>
      <c r="X199" s="784"/>
      <c r="Y199" s="975"/>
      <c r="Z199" s="975"/>
      <c r="AA199" s="967">
        <v>8</v>
      </c>
      <c r="AB199" s="1005"/>
      <c r="AC199" s="1005"/>
      <c r="AD199" s="1005"/>
      <c r="AE199" s="1005"/>
      <c r="AF199" s="1005"/>
      <c r="AG199" s="1004"/>
      <c r="AH199" s="1004"/>
      <c r="AI199" s="1004"/>
      <c r="AJ199" s="1004"/>
      <c r="AK199" s="1004"/>
      <c r="AL199" s="1004"/>
      <c r="AM199" s="1004"/>
      <c r="AN199" s="1004"/>
      <c r="AO199" s="1004"/>
      <c r="AP199" s="1004"/>
      <c r="AQ199" s="1004"/>
      <c r="AR199" s="1004"/>
      <c r="AS199" s="1004"/>
      <c r="AT199" s="1004"/>
      <c r="AU199" s="1004"/>
      <c r="AV199" s="1004"/>
      <c r="AW199" s="1004"/>
    </row>
    <row r="200" spans="1:49" ht="15" customHeight="1">
      <c r="A200" s="1004"/>
      <c r="B200" s="1004"/>
      <c r="C200" s="1004"/>
      <c r="I200" s="1004"/>
      <c r="J200" s="1004"/>
      <c r="K200" s="1004"/>
      <c r="L200" s="777">
        <v>5</v>
      </c>
      <c r="M200" s="778"/>
      <c r="N200" s="976">
        <v>213</v>
      </c>
      <c r="O200" s="1020">
        <v>147</v>
      </c>
      <c r="P200" s="1121">
        <f>VLOOKUP(N200,etat!$A$9:$N$1004,2,FALSE)</f>
        <v>0</v>
      </c>
      <c r="Q200" s="797" t="str">
        <f>VLOOKUP(N200,etat!$A$9:$N$963,7,FALSE)</f>
        <v>2ت ر طرا</v>
      </c>
      <c r="R200" s="866" t="str">
        <f>VLOOKUP(N200,etat!$A$9:$N$1003,9,FALSE)</f>
        <v>خ</v>
      </c>
      <c r="S200" s="866" t="str">
        <f>VLOOKUP(N200,etat!$A$9:$P$905,16,FALSE)</f>
        <v>اخ3</v>
      </c>
      <c r="T200" s="755">
        <v>45782</v>
      </c>
      <c r="U200" s="784" t="s">
        <v>393</v>
      </c>
      <c r="V200" s="784" t="s">
        <v>2287</v>
      </c>
      <c r="W200" s="784"/>
      <c r="X200" s="784"/>
      <c r="Y200" s="975"/>
      <c r="Z200" s="967"/>
      <c r="AA200" s="967">
        <v>8</v>
      </c>
      <c r="AB200" s="1005"/>
      <c r="AC200" s="1005"/>
      <c r="AD200" s="1005"/>
      <c r="AE200" s="1005"/>
      <c r="AF200" s="1005"/>
      <c r="AG200" s="1004"/>
      <c r="AH200" s="1004"/>
      <c r="AI200" s="1004"/>
      <c r="AJ200" s="1004"/>
      <c r="AK200" s="1004"/>
      <c r="AL200" s="1004"/>
      <c r="AM200" s="1004"/>
      <c r="AN200" s="1004"/>
      <c r="AO200" s="1004"/>
      <c r="AP200" s="1004"/>
      <c r="AQ200" s="1004"/>
      <c r="AR200" s="1004"/>
      <c r="AS200" s="1004"/>
      <c r="AT200" s="1004"/>
      <c r="AU200" s="1004"/>
      <c r="AV200" s="1004"/>
      <c r="AW200" s="1004"/>
    </row>
    <row r="201" spans="1:49" ht="15" customHeight="1">
      <c r="A201" s="1004"/>
      <c r="B201" s="1004"/>
      <c r="C201" s="1004"/>
      <c r="I201" s="1004"/>
      <c r="J201" s="1004"/>
      <c r="K201" s="1004"/>
      <c r="L201" s="777">
        <v>5</v>
      </c>
      <c r="M201" s="778"/>
      <c r="N201" s="976">
        <v>215</v>
      </c>
      <c r="O201" s="1020">
        <v>148</v>
      </c>
      <c r="P201" s="858">
        <f>VLOOKUP(N201,etat!$A$9:$N$1004,2,FALSE)</f>
        <v>0</v>
      </c>
      <c r="Q201" s="797" t="str">
        <f>VLOOKUP(N201,etat!$A$9:$N$963,7,FALSE)</f>
        <v>2ت ر طرا</v>
      </c>
      <c r="R201" s="928" t="str">
        <f>VLOOKUP(N201,etat!$A$9:$N$1003,9,FALSE)</f>
        <v>خ</v>
      </c>
      <c r="S201" s="866" t="str">
        <f>VLOOKUP(N201,etat!$A$9:$P$905,16,FALSE)</f>
        <v>اخ3</v>
      </c>
      <c r="T201" s="755">
        <v>45771</v>
      </c>
      <c r="U201" s="791">
        <v>14</v>
      </c>
      <c r="V201" s="784" t="s">
        <v>2280</v>
      </c>
      <c r="W201" s="784" t="s">
        <v>2283</v>
      </c>
      <c r="X201" s="784"/>
      <c r="Y201" s="975"/>
      <c r="Z201" s="975"/>
      <c r="AA201" s="967">
        <v>8</v>
      </c>
      <c r="AB201" s="1005"/>
      <c r="AC201" s="1005"/>
      <c r="AD201" s="1005"/>
      <c r="AE201" s="1005"/>
      <c r="AF201" s="1005"/>
      <c r="AG201" s="1004"/>
      <c r="AH201" s="1004"/>
      <c r="AI201" s="1004"/>
      <c r="AJ201" s="1004"/>
      <c r="AK201" s="1004"/>
      <c r="AL201" s="1004"/>
      <c r="AM201" s="1004"/>
      <c r="AN201" s="1004"/>
      <c r="AO201" s="1004"/>
      <c r="AP201" s="1004"/>
      <c r="AQ201" s="1004"/>
      <c r="AR201" s="1004"/>
      <c r="AS201" s="1004"/>
      <c r="AT201" s="1004"/>
      <c r="AU201" s="1004"/>
      <c r="AV201" s="1004"/>
      <c r="AW201" s="1004"/>
    </row>
    <row r="202" spans="1:49" ht="15" customHeight="1">
      <c r="A202" s="1004"/>
      <c r="B202" s="1004"/>
      <c r="C202" s="1004"/>
      <c r="I202" s="1004"/>
      <c r="J202" s="1004"/>
      <c r="K202" s="1004"/>
      <c r="L202" s="777">
        <v>5</v>
      </c>
      <c r="M202" s="778"/>
      <c r="N202" s="976">
        <v>217</v>
      </c>
      <c r="O202" s="1020">
        <v>149</v>
      </c>
      <c r="P202" s="847">
        <f>VLOOKUP(N202,etat!$A$9:$N$1004,2,FALSE)</f>
        <v>0</v>
      </c>
      <c r="Q202" s="797" t="str">
        <f>VLOOKUP(N202,etat!$A$9:$N$963,7,FALSE)</f>
        <v>2ت ر طرا</v>
      </c>
      <c r="R202" s="797" t="str">
        <f>VLOOKUP(N202,etat!$A$9:$N$1003,9,FALSE)</f>
        <v>خ</v>
      </c>
      <c r="S202" s="866" t="str">
        <f>VLOOKUP(N202,etat!$A$9:$P$905,16,FALSE)</f>
        <v>ان/د3</v>
      </c>
      <c r="T202" s="755">
        <v>45782</v>
      </c>
      <c r="U202" s="784" t="s">
        <v>393</v>
      </c>
      <c r="V202" s="784" t="s">
        <v>2287</v>
      </c>
      <c r="W202" s="784"/>
      <c r="X202" s="784"/>
      <c r="Y202" s="975"/>
      <c r="Z202" s="967"/>
      <c r="AA202" s="967">
        <v>8</v>
      </c>
      <c r="AB202" s="1005"/>
      <c r="AC202" s="1005"/>
      <c r="AD202" s="1005"/>
      <c r="AE202" s="1005"/>
      <c r="AF202" s="1005"/>
      <c r="AG202" s="1004"/>
      <c r="AH202" s="1004"/>
      <c r="AI202" s="1004"/>
      <c r="AJ202" s="1004"/>
      <c r="AK202" s="1004"/>
      <c r="AL202" s="1004"/>
      <c r="AM202" s="1004"/>
      <c r="AN202" s="1004"/>
      <c r="AO202" s="1004"/>
      <c r="AP202" s="1004"/>
      <c r="AQ202" s="1004"/>
      <c r="AR202" s="1004"/>
      <c r="AS202" s="1004"/>
      <c r="AT202" s="1004"/>
      <c r="AU202" s="1004"/>
      <c r="AV202" s="1004"/>
      <c r="AW202" s="1004"/>
    </row>
    <row r="203" spans="1:49" ht="15" customHeight="1">
      <c r="A203" s="1004"/>
      <c r="B203" s="1004"/>
      <c r="C203" s="1004"/>
      <c r="I203" s="1004"/>
      <c r="J203" s="1004"/>
      <c r="K203" s="1004"/>
      <c r="L203" s="777">
        <v>5</v>
      </c>
      <c r="M203" s="778"/>
      <c r="N203" s="976">
        <v>219</v>
      </c>
      <c r="O203" s="1020">
        <v>150</v>
      </c>
      <c r="P203" s="268">
        <f>VLOOKUP(N203,etat!$A$9:$N$1004,2,FALSE)</f>
        <v>0</v>
      </c>
      <c r="Q203" s="797" t="str">
        <f>VLOOKUP(N203,etat!$A$9:$N$963,7,FALSE)</f>
        <v>2ت ا ق1</v>
      </c>
      <c r="R203" s="928" t="str">
        <f>VLOOKUP(N203,etat!$A$9:$N$1003,9,FALSE)</f>
        <v>ن/د</v>
      </c>
      <c r="S203" s="866" t="str">
        <f>VLOOKUP(N203,etat!$A$9:$P$905,16,FALSE)</f>
        <v>ان/د3</v>
      </c>
      <c r="T203" s="755">
        <v>45781</v>
      </c>
      <c r="U203" s="791">
        <v>4</v>
      </c>
      <c r="V203" s="784" t="s">
        <v>2285</v>
      </c>
      <c r="W203" s="784"/>
      <c r="X203" s="784"/>
      <c r="Y203" s="975"/>
      <c r="Z203" s="975"/>
      <c r="AA203" s="967">
        <v>8</v>
      </c>
      <c r="AB203" s="1005"/>
      <c r="AC203" s="1005"/>
      <c r="AD203" s="1005"/>
      <c r="AE203" s="1005"/>
      <c r="AF203" s="1005"/>
      <c r="AG203" s="1004"/>
      <c r="AH203" s="1004"/>
      <c r="AI203" s="1004"/>
      <c r="AJ203" s="1004"/>
      <c r="AK203" s="1004"/>
      <c r="AL203" s="1004"/>
      <c r="AM203" s="1004"/>
      <c r="AN203" s="1004"/>
      <c r="AO203" s="1004"/>
      <c r="AP203" s="1004"/>
      <c r="AQ203" s="1004"/>
      <c r="AR203" s="1004"/>
      <c r="AS203" s="1004"/>
      <c r="AT203" s="1004"/>
      <c r="AU203" s="1004"/>
      <c r="AV203" s="1004"/>
      <c r="AW203" s="1004"/>
    </row>
    <row r="204" spans="1:49" ht="15" customHeight="1">
      <c r="A204" s="1004"/>
      <c r="B204" s="1004"/>
      <c r="C204" s="1004"/>
      <c r="I204" s="1004"/>
      <c r="J204" s="1004"/>
      <c r="K204" s="1004"/>
      <c r="L204" s="777">
        <v>5</v>
      </c>
      <c r="M204" s="778"/>
      <c r="N204" s="976">
        <v>220</v>
      </c>
      <c r="O204" s="1020">
        <v>151</v>
      </c>
      <c r="P204" s="847">
        <f>VLOOKUP(N204,etat!$A$9:$N$1004,2,FALSE)</f>
        <v>0</v>
      </c>
      <c r="Q204" s="797" t="str">
        <f>VLOOKUP(N204,etat!$A$9:$N$963,7,FALSE)</f>
        <v>2ت ا ق1</v>
      </c>
      <c r="R204" s="866" t="str">
        <f>VLOOKUP(N204,etat!$A$9:$N$1003,9,FALSE)</f>
        <v>ن/د</v>
      </c>
      <c r="S204" s="866" t="str">
        <f>VLOOKUP(N204,etat!$A$9:$P$905,16,FALSE)</f>
        <v>اخ3</v>
      </c>
      <c r="T204" s="755">
        <v>45782</v>
      </c>
      <c r="U204" s="784" t="s">
        <v>393</v>
      </c>
      <c r="V204" s="784" t="s">
        <v>2287</v>
      </c>
      <c r="W204" s="784"/>
      <c r="X204" s="784"/>
      <c r="Y204" s="975"/>
      <c r="Z204" s="967"/>
      <c r="AA204" s="967">
        <v>8</v>
      </c>
      <c r="AB204" s="1005"/>
      <c r="AC204" s="1005"/>
      <c r="AD204" s="1005"/>
      <c r="AE204" s="1005"/>
      <c r="AF204" s="1005"/>
      <c r="AG204" s="1004"/>
      <c r="AH204" s="1004"/>
      <c r="AI204" s="1004"/>
      <c r="AJ204" s="1004"/>
      <c r="AK204" s="1004"/>
      <c r="AL204" s="1004"/>
      <c r="AM204" s="1004"/>
      <c r="AN204" s="1004"/>
      <c r="AO204" s="1004"/>
      <c r="AP204" s="1004"/>
      <c r="AQ204" s="1004"/>
      <c r="AR204" s="1004"/>
      <c r="AS204" s="1004"/>
      <c r="AT204" s="1004"/>
      <c r="AU204" s="1004"/>
      <c r="AV204" s="1004"/>
      <c r="AW204" s="1004"/>
    </row>
    <row r="205" spans="1:49" ht="15" customHeight="1">
      <c r="A205" s="1004"/>
      <c r="B205" s="1004"/>
      <c r="C205" s="1004"/>
      <c r="I205" s="1004"/>
      <c r="J205" s="1004"/>
      <c r="K205" s="1004"/>
      <c r="L205" s="777">
        <v>5</v>
      </c>
      <c r="M205" s="778"/>
      <c r="N205" s="976">
        <v>222</v>
      </c>
      <c r="O205" s="1020">
        <v>152</v>
      </c>
      <c r="P205" s="847">
        <f>VLOOKUP(N205,etat!$A$9:$N$1004,2,FALSE)</f>
        <v>0</v>
      </c>
      <c r="Q205" s="797" t="str">
        <f>VLOOKUP(N205,etat!$A$9:$N$963,7,FALSE)</f>
        <v>2ت ا ق1</v>
      </c>
      <c r="R205" s="866" t="str">
        <f>VLOOKUP(N205,etat!$A$9:$N$1003,9,FALSE)</f>
        <v>ن/د</v>
      </c>
      <c r="S205" s="866" t="str">
        <f>VLOOKUP(N205,etat!$A$9:$P$905,16,FALSE)</f>
        <v>اخ3</v>
      </c>
      <c r="T205" s="755">
        <v>45775</v>
      </c>
      <c r="U205" s="791">
        <v>11</v>
      </c>
      <c r="V205" s="784" t="s">
        <v>2282</v>
      </c>
      <c r="W205" s="869"/>
      <c r="X205" s="869"/>
      <c r="Y205" s="975"/>
      <c r="Z205" s="975"/>
      <c r="AA205" s="967">
        <v>8</v>
      </c>
      <c r="AB205" s="1005"/>
      <c r="AC205" s="1005"/>
      <c r="AD205" s="1005"/>
      <c r="AE205" s="1005"/>
      <c r="AF205" s="1005"/>
      <c r="AG205" s="1004"/>
      <c r="AH205" s="1004"/>
      <c r="AI205" s="1004"/>
      <c r="AJ205" s="1004"/>
      <c r="AK205" s="1004"/>
      <c r="AL205" s="1004"/>
      <c r="AM205" s="1004"/>
      <c r="AN205" s="1004"/>
      <c r="AO205" s="1004"/>
      <c r="AP205" s="1004"/>
      <c r="AQ205" s="1004"/>
      <c r="AR205" s="1004"/>
      <c r="AS205" s="1004"/>
      <c r="AT205" s="1004"/>
      <c r="AU205" s="1004"/>
      <c r="AV205" s="1004"/>
      <c r="AW205" s="1004"/>
    </row>
    <row r="206" spans="1:49" ht="15" customHeight="1">
      <c r="A206" s="1004"/>
      <c r="B206" s="1004"/>
      <c r="C206" s="1004"/>
      <c r="I206" s="1004"/>
      <c r="J206" s="1004"/>
      <c r="K206" s="1004"/>
      <c r="L206" s="777">
        <v>5</v>
      </c>
      <c r="M206" s="864"/>
      <c r="N206" s="976">
        <v>224</v>
      </c>
      <c r="O206" s="1020">
        <v>153</v>
      </c>
      <c r="P206" s="847">
        <f>VLOOKUP(N206,etat!$A$9:$N$1004,2,FALSE)</f>
        <v>0</v>
      </c>
      <c r="Q206" s="797" t="str">
        <f>VLOOKUP(N206,etat!$A$9:$N$963,7,FALSE)</f>
        <v>2ت ا ق1</v>
      </c>
      <c r="R206" s="797" t="str">
        <f>VLOOKUP(N206,etat!$A$9:$N$1003,9,FALSE)</f>
        <v>خ</v>
      </c>
      <c r="S206" s="866" t="str">
        <f>VLOOKUP(N206,etat!$A$9:$P$905,16,FALSE)</f>
        <v>اخ3</v>
      </c>
      <c r="T206" s="755">
        <v>45782</v>
      </c>
      <c r="U206" s="784" t="s">
        <v>393</v>
      </c>
      <c r="V206" s="784" t="s">
        <v>2287</v>
      </c>
      <c r="W206" s="784"/>
      <c r="X206" s="784"/>
      <c r="Y206" s="975"/>
      <c r="Z206" s="975"/>
      <c r="AA206" s="967">
        <v>8</v>
      </c>
      <c r="AB206" s="1005"/>
      <c r="AC206" s="1005"/>
      <c r="AD206" s="1005"/>
      <c r="AE206" s="1005"/>
      <c r="AF206" s="1005"/>
      <c r="AG206" s="1004"/>
      <c r="AH206" s="1004"/>
      <c r="AI206" s="1004"/>
      <c r="AJ206" s="1004"/>
      <c r="AK206" s="1004"/>
      <c r="AL206" s="1004"/>
      <c r="AM206" s="1004"/>
      <c r="AN206" s="1004"/>
      <c r="AO206" s="1004"/>
      <c r="AP206" s="1004"/>
      <c r="AQ206" s="1004"/>
      <c r="AR206" s="1004"/>
      <c r="AS206" s="1004"/>
      <c r="AT206" s="1004"/>
      <c r="AU206" s="1004"/>
      <c r="AV206" s="1004"/>
      <c r="AW206" s="1004"/>
    </row>
    <row r="207" spans="1:49" ht="15" customHeight="1">
      <c r="A207" s="1004"/>
      <c r="B207" s="1004"/>
      <c r="C207" s="1004"/>
      <c r="I207" s="1004"/>
      <c r="J207" s="1004"/>
      <c r="K207" s="1004"/>
      <c r="L207" s="777">
        <v>5</v>
      </c>
      <c r="M207" s="864"/>
      <c r="N207" s="976">
        <v>226</v>
      </c>
      <c r="O207" s="1020">
        <v>154</v>
      </c>
      <c r="P207" s="847">
        <f>VLOOKUP(N207,etat!$A$9:$N$1004,2,FALSE)</f>
        <v>0</v>
      </c>
      <c r="Q207" s="797" t="str">
        <f>VLOOKUP(N207,etat!$A$9:$N$963,7,FALSE)</f>
        <v>2ت ا ق1</v>
      </c>
      <c r="R207" s="866" t="str">
        <f>VLOOKUP(N207,etat!$A$9:$N$1003,9,FALSE)</f>
        <v>خ</v>
      </c>
      <c r="S207" s="866" t="str">
        <f>VLOOKUP(N207,etat!$A$9:$P$905,16,FALSE)</f>
        <v>اخ3</v>
      </c>
      <c r="T207" s="755">
        <v>45781</v>
      </c>
      <c r="U207" s="791">
        <v>4</v>
      </c>
      <c r="V207" s="784" t="s">
        <v>2285</v>
      </c>
      <c r="W207" s="784"/>
      <c r="X207" s="784"/>
      <c r="Y207" s="975"/>
      <c r="Z207" s="967"/>
      <c r="AA207" s="967">
        <v>8</v>
      </c>
      <c r="AB207" s="1005"/>
      <c r="AC207" s="1005"/>
      <c r="AD207" s="1005"/>
      <c r="AE207" s="1005"/>
      <c r="AF207" s="1005"/>
      <c r="AG207" s="1004"/>
      <c r="AH207" s="1004"/>
      <c r="AI207" s="1004"/>
      <c r="AJ207" s="1004"/>
      <c r="AK207" s="1004"/>
      <c r="AL207" s="1004"/>
      <c r="AM207" s="1004"/>
      <c r="AN207" s="1004"/>
      <c r="AO207" s="1004"/>
      <c r="AP207" s="1004"/>
      <c r="AQ207" s="1004"/>
      <c r="AR207" s="1004"/>
      <c r="AS207" s="1004"/>
      <c r="AT207" s="1004"/>
      <c r="AU207" s="1004"/>
      <c r="AV207" s="1004"/>
      <c r="AW207" s="1004"/>
    </row>
    <row r="208" spans="1:49" ht="15" customHeight="1">
      <c r="A208" s="1004"/>
      <c r="B208" s="1004"/>
      <c r="C208" s="1004"/>
      <c r="I208" s="1004"/>
      <c r="J208" s="1004"/>
      <c r="K208" s="1004"/>
      <c r="L208" s="777">
        <v>5</v>
      </c>
      <c r="M208" s="864"/>
      <c r="N208" s="976">
        <v>229</v>
      </c>
      <c r="O208" s="1020">
        <v>155</v>
      </c>
      <c r="P208" s="847">
        <f>VLOOKUP(N208,etat!$A$9:$N$1004,2,FALSE)</f>
        <v>0</v>
      </c>
      <c r="Q208" s="797" t="str">
        <f>VLOOKUP(N208,etat!$A$9:$N$963,7,FALSE)</f>
        <v>2ت ا ق1</v>
      </c>
      <c r="R208" s="797" t="str">
        <f>VLOOKUP(N208,etat!$A$9:$N$1003,9,FALSE)</f>
        <v>خ</v>
      </c>
      <c r="S208" s="866" t="str">
        <f>VLOOKUP(N208,etat!$A$9:$P$905,16,FALSE)</f>
        <v>ذخ3</v>
      </c>
      <c r="T208" s="755">
        <v>45763</v>
      </c>
      <c r="U208" s="791">
        <v>22</v>
      </c>
      <c r="V208" s="784" t="s">
        <v>2269</v>
      </c>
      <c r="W208" s="784" t="s">
        <v>2280</v>
      </c>
      <c r="X208" s="784" t="s">
        <v>2283</v>
      </c>
      <c r="Y208" s="975"/>
      <c r="Z208" s="975"/>
      <c r="AA208" s="967">
        <v>8</v>
      </c>
      <c r="AB208" s="1005"/>
      <c r="AC208" s="1005"/>
      <c r="AD208" s="1005"/>
      <c r="AE208" s="1005"/>
      <c r="AF208" s="1005"/>
      <c r="AG208" s="1004"/>
      <c r="AH208" s="1004"/>
      <c r="AI208" s="1004"/>
      <c r="AJ208" s="1004"/>
      <c r="AK208" s="1004"/>
      <c r="AL208" s="1004"/>
      <c r="AM208" s="1004"/>
      <c r="AN208" s="1004"/>
      <c r="AO208" s="1004"/>
      <c r="AP208" s="1004"/>
      <c r="AQ208" s="1004"/>
      <c r="AR208" s="1004"/>
      <c r="AS208" s="1004"/>
      <c r="AT208" s="1004"/>
      <c r="AU208" s="1004"/>
      <c r="AV208" s="1004"/>
      <c r="AW208" s="1004"/>
    </row>
    <row r="209" spans="1:49" ht="15" customHeight="1">
      <c r="A209" s="1004"/>
      <c r="B209" s="1004"/>
      <c r="C209" s="1004"/>
      <c r="I209" s="1004"/>
      <c r="J209" s="1004"/>
      <c r="K209" s="1004"/>
      <c r="L209" s="777">
        <v>5</v>
      </c>
      <c r="M209" s="778"/>
      <c r="N209" s="976">
        <v>230</v>
      </c>
      <c r="O209" s="1020">
        <v>156</v>
      </c>
      <c r="P209" s="847">
        <f>VLOOKUP(N209,etat!$A$9:$N$1004,2,FALSE)</f>
        <v>0</v>
      </c>
      <c r="Q209" s="797" t="str">
        <f>VLOOKUP(N209,etat!$A$9:$N$963,7,FALSE)</f>
        <v>2ت ا ق1</v>
      </c>
      <c r="R209" s="797" t="str">
        <f>VLOOKUP(N209,etat!$A$9:$N$1003,9,FALSE)</f>
        <v>خ</v>
      </c>
      <c r="S209" s="866" t="str">
        <f>VLOOKUP(N209,etat!$A$9:$P$905,16,FALSE)</f>
        <v>اخ3</v>
      </c>
      <c r="T209" s="755">
        <v>45763</v>
      </c>
      <c r="U209" s="791">
        <v>22</v>
      </c>
      <c r="V209" s="784" t="s">
        <v>2269</v>
      </c>
      <c r="W209" s="784" t="s">
        <v>2280</v>
      </c>
      <c r="X209" s="784" t="s">
        <v>2283</v>
      </c>
      <c r="Y209" s="975"/>
      <c r="Z209" s="975"/>
      <c r="AA209" s="967">
        <v>8</v>
      </c>
      <c r="AB209" s="1005"/>
      <c r="AC209" s="1005"/>
      <c r="AD209" s="1005"/>
      <c r="AE209" s="1005"/>
      <c r="AF209" s="1005"/>
      <c r="AG209" s="1004"/>
      <c r="AH209" s="1004"/>
      <c r="AI209" s="1004"/>
      <c r="AJ209" s="1004"/>
      <c r="AK209" s="1004"/>
      <c r="AL209" s="1004"/>
      <c r="AM209" s="1004"/>
      <c r="AN209" s="1004"/>
      <c r="AO209" s="1004"/>
      <c r="AP209" s="1004"/>
      <c r="AQ209" s="1004"/>
      <c r="AR209" s="1004"/>
      <c r="AS209" s="1004"/>
      <c r="AT209" s="1004"/>
      <c r="AU209" s="1004"/>
      <c r="AV209" s="1004"/>
      <c r="AW209" s="1004"/>
    </row>
    <row r="210" spans="1:49" ht="15" customHeight="1">
      <c r="A210" s="1004"/>
      <c r="B210" s="1004"/>
      <c r="C210" s="1004"/>
      <c r="I210" s="1004"/>
      <c r="J210" s="1004"/>
      <c r="K210" s="1004"/>
      <c r="L210" s="777">
        <v>5</v>
      </c>
      <c r="M210" s="778"/>
      <c r="N210" s="976">
        <v>795</v>
      </c>
      <c r="O210" s="1020">
        <v>157</v>
      </c>
      <c r="P210" s="268">
        <f>VLOOKUP(N210,etat!$A$9:$N$1004,2,FALSE)</f>
        <v>0</v>
      </c>
      <c r="Q210" s="797">
        <f>VLOOKUP(N210,etat!$A$9:$N$963,7,FALSE)</f>
        <v>0</v>
      </c>
      <c r="R210" s="928">
        <f>VLOOKUP(N210,etat!$A$9:$N$1003,9,FALSE)</f>
        <v>0</v>
      </c>
      <c r="S210" s="866">
        <f>VLOOKUP(N210,etat!$A$9:$P$905,16,FALSE)</f>
        <v>0</v>
      </c>
      <c r="T210" s="755">
        <v>45781</v>
      </c>
      <c r="U210" s="791">
        <v>4</v>
      </c>
      <c r="V210" s="784" t="s">
        <v>2285</v>
      </c>
      <c r="W210" s="784"/>
      <c r="X210" s="784"/>
      <c r="Y210" s="975"/>
      <c r="Z210" s="975" t="str">
        <f>VLOOKUP(L210,[2]اس!$S$3:$X$31,3,FALSE)</f>
        <v>.</v>
      </c>
      <c r="AA210" s="967">
        <v>8</v>
      </c>
      <c r="AB210" s="1005"/>
      <c r="AC210" s="1005"/>
      <c r="AD210" s="1005"/>
      <c r="AE210" s="1005"/>
      <c r="AF210" s="1005"/>
      <c r="AG210" s="1004"/>
      <c r="AH210" s="1004"/>
      <c r="AI210" s="1004"/>
      <c r="AJ210" s="1004"/>
      <c r="AK210" s="1004"/>
      <c r="AL210" s="1004"/>
      <c r="AM210" s="1004"/>
      <c r="AN210" s="1004"/>
      <c r="AO210" s="1004"/>
      <c r="AP210" s="1004"/>
      <c r="AQ210" s="1004"/>
      <c r="AR210" s="1004"/>
      <c r="AS210" s="1004"/>
      <c r="AT210" s="1004"/>
      <c r="AU210" s="1004"/>
      <c r="AV210" s="1004"/>
      <c r="AW210" s="1004"/>
    </row>
    <row r="211" spans="1:49" ht="15" customHeight="1">
      <c r="A211" s="1004"/>
      <c r="B211" s="1004"/>
      <c r="C211" s="1004"/>
      <c r="I211" s="1004"/>
      <c r="J211" s="1004"/>
      <c r="K211" s="1004"/>
      <c r="L211" s="777">
        <v>5</v>
      </c>
      <c r="M211" s="778"/>
      <c r="N211" s="976">
        <v>231</v>
      </c>
      <c r="O211" s="1020">
        <v>158</v>
      </c>
      <c r="P211" s="847">
        <f>VLOOKUP(N211,etat!$A$9:$N$1004,2,FALSE)</f>
        <v>0</v>
      </c>
      <c r="Q211" s="797" t="str">
        <f>VLOOKUP(N211,etat!$A$9:$N$963,7,FALSE)</f>
        <v>2ت ا ق1</v>
      </c>
      <c r="R211" s="797" t="str">
        <f>VLOOKUP(N211,etat!$A$9:$N$1003,9,FALSE)</f>
        <v>خ</v>
      </c>
      <c r="S211" s="866" t="str">
        <f>VLOOKUP(N211,etat!$A$9:$P$905,16,FALSE)</f>
        <v>ذخ3</v>
      </c>
      <c r="T211" s="755">
        <v>45769</v>
      </c>
      <c r="U211" s="791">
        <v>16</v>
      </c>
      <c r="V211" s="784" t="s">
        <v>2278</v>
      </c>
      <c r="W211" s="784" t="s">
        <v>2283</v>
      </c>
      <c r="X211" s="784"/>
      <c r="Y211" s="975"/>
      <c r="Z211" s="975" t="str">
        <f>VLOOKUP(L211,[2]اس!$S$3:$X$31,3,FALSE)</f>
        <v>.</v>
      </c>
      <c r="AA211" s="967">
        <v>7</v>
      </c>
      <c r="AB211" s="1005"/>
      <c r="AC211" s="1005"/>
      <c r="AD211" s="1005"/>
      <c r="AE211" s="1005"/>
      <c r="AF211" s="1005"/>
      <c r="AG211" s="1004"/>
      <c r="AH211" s="1004"/>
      <c r="AI211" s="1004"/>
      <c r="AJ211" s="1004"/>
      <c r="AK211" s="1004"/>
      <c r="AL211" s="1004"/>
      <c r="AM211" s="1004"/>
      <c r="AN211" s="1004"/>
      <c r="AO211" s="1004"/>
      <c r="AP211" s="1004"/>
      <c r="AQ211" s="1004"/>
      <c r="AR211" s="1004"/>
      <c r="AS211" s="1004"/>
      <c r="AT211" s="1004"/>
      <c r="AU211" s="1004"/>
      <c r="AV211" s="1004"/>
      <c r="AW211" s="1004"/>
    </row>
    <row r="212" spans="1:49" ht="15" customHeight="1">
      <c r="A212" s="1004"/>
      <c r="B212" s="1004"/>
      <c r="C212" s="1004"/>
      <c r="I212" s="1004"/>
      <c r="J212" s="1004"/>
      <c r="K212" s="1004"/>
      <c r="L212" s="777">
        <v>5</v>
      </c>
      <c r="M212" s="778"/>
      <c r="N212" s="976">
        <v>233</v>
      </c>
      <c r="O212" s="1020">
        <v>159</v>
      </c>
      <c r="P212" s="847">
        <f>VLOOKUP(N212,etat!$A$9:$N$1004,2,FALSE)</f>
        <v>0</v>
      </c>
      <c r="Q212" s="797" t="str">
        <f>VLOOKUP(N212,etat!$A$9:$N$963,7,FALSE)</f>
        <v>2ت ا ق1</v>
      </c>
      <c r="R212" s="866" t="str">
        <f>VLOOKUP(N212,etat!$A$9:$N$1003,9,FALSE)</f>
        <v>خ</v>
      </c>
      <c r="S212" s="866" t="str">
        <f>VLOOKUP(N212,etat!$A$9:$P$905,16,FALSE)</f>
        <v>ذخ3</v>
      </c>
      <c r="T212" s="755">
        <v>45775</v>
      </c>
      <c r="U212" s="791">
        <v>10</v>
      </c>
      <c r="V212" s="784" t="s">
        <v>2282</v>
      </c>
      <c r="W212" s="784" t="s">
        <v>2287</v>
      </c>
      <c r="X212" s="869"/>
      <c r="Y212" s="975"/>
      <c r="Z212" s="975"/>
      <c r="AA212" s="967">
        <v>7</v>
      </c>
      <c r="AB212" s="1005"/>
      <c r="AC212" s="1005"/>
      <c r="AD212" s="1005"/>
      <c r="AE212" s="1005"/>
      <c r="AF212" s="1005"/>
      <c r="AG212" s="1004"/>
      <c r="AH212" s="1004"/>
      <c r="AI212" s="1004"/>
      <c r="AJ212" s="1004"/>
      <c r="AK212" s="1004"/>
      <c r="AL212" s="1004"/>
      <c r="AM212" s="1004"/>
      <c r="AN212" s="1004"/>
      <c r="AO212" s="1004"/>
      <c r="AP212" s="1004"/>
      <c r="AQ212" s="1004"/>
      <c r="AR212" s="1004"/>
      <c r="AS212" s="1004"/>
      <c r="AT212" s="1004"/>
      <c r="AU212" s="1004"/>
      <c r="AV212" s="1004"/>
      <c r="AW212" s="1004"/>
    </row>
    <row r="213" spans="1:49" ht="15" customHeight="1">
      <c r="A213" s="1004"/>
      <c r="B213" s="1004"/>
      <c r="C213" s="1004"/>
      <c r="I213" s="1004"/>
      <c r="J213" s="1004"/>
      <c r="K213" s="1004"/>
      <c r="L213" s="777">
        <v>5</v>
      </c>
      <c r="M213" s="778"/>
      <c r="N213" s="976">
        <v>234</v>
      </c>
      <c r="O213" s="1020">
        <v>160</v>
      </c>
      <c r="P213" s="847">
        <f>VLOOKUP(N213,etat!$A$9:$N$1004,2,FALSE)</f>
        <v>0</v>
      </c>
      <c r="Q213" s="797" t="str">
        <f>VLOOKUP(N213,etat!$A$9:$N$963,7,FALSE)</f>
        <v>2ت ا ق1</v>
      </c>
      <c r="R213" s="866" t="str">
        <f>VLOOKUP(N213,etat!$A$9:$N$1003,9,FALSE)</f>
        <v>خ</v>
      </c>
      <c r="S213" s="866" t="str">
        <f>VLOOKUP(N213,etat!$A$9:$P$905,16,FALSE)</f>
        <v>اخ3</v>
      </c>
      <c r="T213" s="755">
        <v>45775</v>
      </c>
      <c r="U213" s="791">
        <v>10</v>
      </c>
      <c r="V213" s="784" t="s">
        <v>2282</v>
      </c>
      <c r="W213" s="784" t="s">
        <v>2287</v>
      </c>
      <c r="X213" s="869"/>
      <c r="Y213" s="975"/>
      <c r="Z213" s="975"/>
      <c r="AA213" s="967">
        <v>7</v>
      </c>
      <c r="AB213" s="1005"/>
      <c r="AC213" s="1005"/>
      <c r="AD213" s="1005"/>
      <c r="AE213" s="1005"/>
      <c r="AF213" s="1005"/>
      <c r="AG213" s="1004"/>
      <c r="AH213" s="1004"/>
      <c r="AI213" s="1004"/>
      <c r="AJ213" s="1004"/>
      <c r="AK213" s="1004"/>
      <c r="AL213" s="1004"/>
      <c r="AM213" s="1004"/>
      <c r="AN213" s="1004"/>
      <c r="AO213" s="1004"/>
      <c r="AP213" s="1004"/>
      <c r="AQ213" s="1004"/>
      <c r="AR213" s="1004"/>
      <c r="AS213" s="1004"/>
      <c r="AT213" s="1004"/>
      <c r="AU213" s="1004"/>
      <c r="AV213" s="1004"/>
      <c r="AW213" s="1004"/>
    </row>
    <row r="214" spans="1:49" ht="15" customHeight="1">
      <c r="A214" s="1004"/>
      <c r="B214" s="1004"/>
      <c r="C214" s="1004"/>
      <c r="I214" s="1004"/>
      <c r="J214" s="1004"/>
      <c r="K214" s="1004"/>
      <c r="L214" s="777">
        <v>5</v>
      </c>
      <c r="M214" s="778"/>
      <c r="N214" s="976">
        <v>235</v>
      </c>
      <c r="O214" s="1020">
        <v>161</v>
      </c>
      <c r="P214" s="847">
        <f>VLOOKUP(N214,etat!$A$9:$N$1004,2,FALSE)</f>
        <v>0</v>
      </c>
      <c r="Q214" s="797" t="str">
        <f>VLOOKUP(N214,etat!$A$9:$N$963,7,FALSE)</f>
        <v>2ت ا ق1</v>
      </c>
      <c r="R214" s="866" t="str">
        <f>VLOOKUP(N214,etat!$A$9:$N$1003,9,FALSE)</f>
        <v>خ</v>
      </c>
      <c r="S214" s="866" t="str">
        <f>VLOOKUP(N214,etat!$A$9:$P$905,16,FALSE)</f>
        <v>اخ3</v>
      </c>
      <c r="T214" s="755">
        <v>45775</v>
      </c>
      <c r="U214" s="791">
        <v>10</v>
      </c>
      <c r="V214" s="784" t="s">
        <v>2282</v>
      </c>
      <c r="W214" s="784" t="s">
        <v>2287</v>
      </c>
      <c r="X214" s="869"/>
      <c r="Y214" s="975"/>
      <c r="Z214" s="975"/>
      <c r="AA214" s="967">
        <v>7</v>
      </c>
      <c r="AB214" s="1005"/>
      <c r="AC214" s="1005"/>
      <c r="AD214" s="1005"/>
      <c r="AE214" s="1005"/>
      <c r="AF214" s="1005"/>
      <c r="AG214" s="1004"/>
      <c r="AH214" s="1004"/>
      <c r="AI214" s="1004"/>
      <c r="AJ214" s="1004"/>
      <c r="AK214" s="1004"/>
      <c r="AL214" s="1004"/>
      <c r="AM214" s="1004"/>
      <c r="AN214" s="1004"/>
      <c r="AO214" s="1004"/>
      <c r="AP214" s="1004"/>
      <c r="AQ214" s="1004"/>
      <c r="AR214" s="1004"/>
      <c r="AS214" s="1004"/>
      <c r="AT214" s="1004"/>
      <c r="AU214" s="1004"/>
      <c r="AV214" s="1004"/>
      <c r="AW214" s="1004"/>
    </row>
    <row r="215" spans="1:49" ht="15" customHeight="1">
      <c r="A215" s="1004"/>
      <c r="B215" s="1004"/>
      <c r="C215" s="1004"/>
      <c r="I215" s="1004"/>
      <c r="J215" s="1004"/>
      <c r="K215" s="1004"/>
      <c r="L215" s="777">
        <v>5</v>
      </c>
      <c r="M215" s="778"/>
      <c r="N215" s="976">
        <v>237</v>
      </c>
      <c r="O215" s="1020">
        <v>162</v>
      </c>
      <c r="P215" s="847">
        <f>VLOOKUP(N215,etat!$A$9:$N$1004,2,FALSE)</f>
        <v>0</v>
      </c>
      <c r="Q215" s="797" t="str">
        <f>VLOOKUP(N215,etat!$A$9:$N$963,7,FALSE)</f>
        <v>2ت ا ق1</v>
      </c>
      <c r="R215" s="797" t="str">
        <f>VLOOKUP(N215,etat!$A$9:$N$1003,9,FALSE)</f>
        <v>خ</v>
      </c>
      <c r="S215" s="866" t="str">
        <f>VLOOKUP(N215,etat!$A$9:$P$905,16,FALSE)</f>
        <v>اخ3</v>
      </c>
      <c r="T215" s="755">
        <v>45763</v>
      </c>
      <c r="U215" s="791">
        <v>22</v>
      </c>
      <c r="V215" s="784" t="s">
        <v>2269</v>
      </c>
      <c r="W215" s="784" t="s">
        <v>2280</v>
      </c>
      <c r="X215" s="784" t="s">
        <v>2283</v>
      </c>
      <c r="Y215" s="975"/>
      <c r="Z215" s="975" t="str">
        <f>VLOOKUP(L215,[2]اس!$S$3:$X$31,3,FALSE)</f>
        <v>.</v>
      </c>
      <c r="AA215" s="967">
        <v>7</v>
      </c>
      <c r="AB215" s="1005"/>
      <c r="AC215" s="1005"/>
      <c r="AD215" s="1005"/>
      <c r="AE215" s="1005"/>
      <c r="AF215" s="1005"/>
      <c r="AG215" s="1004"/>
      <c r="AH215" s="1004"/>
      <c r="AI215" s="1004"/>
      <c r="AJ215" s="1004"/>
      <c r="AK215" s="1004"/>
      <c r="AL215" s="1004"/>
      <c r="AM215" s="1004"/>
      <c r="AN215" s="1004"/>
      <c r="AO215" s="1004"/>
      <c r="AP215" s="1004"/>
      <c r="AQ215" s="1004"/>
      <c r="AR215" s="1004"/>
      <c r="AS215" s="1004"/>
      <c r="AT215" s="1004"/>
      <c r="AU215" s="1004"/>
      <c r="AV215" s="1004"/>
      <c r="AW215" s="1004"/>
    </row>
    <row r="216" spans="1:49" ht="15" customHeight="1">
      <c r="A216" s="1004"/>
      <c r="B216" s="1004"/>
      <c r="C216" s="1004"/>
      <c r="I216" s="1004"/>
      <c r="J216" s="1004"/>
      <c r="K216" s="1004"/>
      <c r="L216" s="777">
        <v>5</v>
      </c>
      <c r="M216" s="778"/>
      <c r="N216" s="976">
        <v>238</v>
      </c>
      <c r="O216" s="1020">
        <v>163</v>
      </c>
      <c r="P216" s="847">
        <f>VLOOKUP(N216,etat!$A$9:$N$1004,2,FALSE)</f>
        <v>0</v>
      </c>
      <c r="Q216" s="797" t="str">
        <f>VLOOKUP(N216,etat!$A$9:$N$963,7,FALSE)</f>
        <v>2ت ا ق1</v>
      </c>
      <c r="R216" s="797" t="str">
        <f>VLOOKUP(N216,etat!$A$9:$N$1003,9,FALSE)</f>
        <v>خ</v>
      </c>
      <c r="S216" s="866" t="str">
        <f>VLOOKUP(N216,etat!$A$9:$P$905,16,FALSE)</f>
        <v>اخ3</v>
      </c>
      <c r="T216" s="755">
        <v>45770</v>
      </c>
      <c r="U216" s="791">
        <v>15</v>
      </c>
      <c r="V216" s="784" t="s">
        <v>2280</v>
      </c>
      <c r="W216" s="784" t="s">
        <v>2283</v>
      </c>
      <c r="X216" s="784"/>
      <c r="Y216" s="975"/>
      <c r="Z216" s="967"/>
      <c r="AA216" s="967">
        <v>7</v>
      </c>
      <c r="AB216" s="1005"/>
      <c r="AC216" s="1005"/>
      <c r="AD216" s="1005"/>
      <c r="AE216" s="1005"/>
      <c r="AF216" s="1005"/>
      <c r="AG216" s="1004"/>
      <c r="AH216" s="1004"/>
      <c r="AI216" s="1004"/>
      <c r="AJ216" s="1004"/>
      <c r="AK216" s="1004"/>
      <c r="AL216" s="1004"/>
      <c r="AM216" s="1004"/>
      <c r="AN216" s="1004"/>
      <c r="AO216" s="1004"/>
      <c r="AP216" s="1004"/>
      <c r="AQ216" s="1004"/>
      <c r="AR216" s="1004"/>
      <c r="AS216" s="1004"/>
      <c r="AT216" s="1004"/>
      <c r="AU216" s="1004"/>
      <c r="AV216" s="1004"/>
      <c r="AW216" s="1004"/>
    </row>
    <row r="217" spans="1:49" ht="15" customHeight="1">
      <c r="A217" s="1004"/>
      <c r="B217" s="1004"/>
      <c r="C217" s="1004"/>
      <c r="I217" s="1004"/>
      <c r="J217" s="1004"/>
      <c r="K217" s="1004"/>
      <c r="L217" s="777">
        <v>5</v>
      </c>
      <c r="M217" s="778"/>
      <c r="N217" s="976">
        <v>242</v>
      </c>
      <c r="O217" s="1020">
        <v>164</v>
      </c>
      <c r="P217" s="847">
        <f>VLOOKUP(N217,etat!$A$9:$N$1004,2,FALSE)</f>
        <v>0</v>
      </c>
      <c r="Q217" s="797" t="str">
        <f>VLOOKUP(N217,etat!$A$9:$N$963,7,FALSE)</f>
        <v>2ت ا ق1</v>
      </c>
      <c r="R217" s="866" t="str">
        <f>VLOOKUP(N217,etat!$A$9:$N$1003,9,FALSE)</f>
        <v>خ</v>
      </c>
      <c r="S217" s="866" t="str">
        <f>VLOOKUP(N217,etat!$A$9:$P$905,16,FALSE)</f>
        <v>اخ3</v>
      </c>
      <c r="T217" s="755">
        <v>45775</v>
      </c>
      <c r="U217" s="791">
        <v>10</v>
      </c>
      <c r="V217" s="784" t="s">
        <v>2282</v>
      </c>
      <c r="W217" s="784" t="s">
        <v>2287</v>
      </c>
      <c r="X217" s="869"/>
      <c r="Y217" s="975"/>
      <c r="Z217" s="975"/>
      <c r="AA217" s="967">
        <v>7</v>
      </c>
      <c r="AB217" s="1005"/>
      <c r="AC217" s="1005"/>
      <c r="AD217" s="1005"/>
      <c r="AE217" s="1005"/>
      <c r="AF217" s="1005"/>
      <c r="AG217" s="1004"/>
      <c r="AH217" s="1004"/>
      <c r="AI217" s="1004"/>
      <c r="AJ217" s="1004"/>
      <c r="AK217" s="1004"/>
      <c r="AL217" s="1004"/>
      <c r="AM217" s="1004"/>
      <c r="AN217" s="1004"/>
      <c r="AO217" s="1004"/>
      <c r="AP217" s="1004"/>
      <c r="AQ217" s="1004"/>
      <c r="AR217" s="1004"/>
      <c r="AS217" s="1004"/>
      <c r="AT217" s="1004"/>
      <c r="AU217" s="1004"/>
      <c r="AV217" s="1004"/>
      <c r="AW217" s="1004"/>
    </row>
    <row r="218" spans="1:49" ht="15" customHeight="1">
      <c r="L218" s="777">
        <v>5</v>
      </c>
      <c r="M218" s="778"/>
      <c r="N218" s="976">
        <v>244</v>
      </c>
      <c r="O218" s="1020">
        <v>165</v>
      </c>
      <c r="P218" s="847">
        <f>VLOOKUP(N218,etat!$A$9:$N$1004,2,FALSE)</f>
        <v>0</v>
      </c>
      <c r="Q218" s="797" t="str">
        <f>VLOOKUP(N218,etat!$A$9:$N$963,7,FALSE)</f>
        <v>2ت ا ق1</v>
      </c>
      <c r="R218" s="797" t="str">
        <f>VLOOKUP(N218,etat!$A$9:$N$1003,9,FALSE)</f>
        <v>خ</v>
      </c>
      <c r="S218" s="866" t="str">
        <f>VLOOKUP(N218,etat!$A$9:$P$905,16,FALSE)</f>
        <v>اخ3</v>
      </c>
      <c r="T218" s="755">
        <v>45760</v>
      </c>
      <c r="U218" s="791">
        <v>25</v>
      </c>
      <c r="V218" s="784" t="s">
        <v>2266</v>
      </c>
      <c r="W218" s="784" t="s">
        <v>2273</v>
      </c>
      <c r="X218" s="784" t="s">
        <v>2281</v>
      </c>
      <c r="Y218" s="975"/>
      <c r="Z218" s="975" t="str">
        <f>VLOOKUP(L218,[2]اس!$S$3:$X$31,3,FALSE)</f>
        <v>.</v>
      </c>
      <c r="AA218" s="967">
        <v>7</v>
      </c>
    </row>
    <row r="219" spans="1:49" ht="15" customHeight="1">
      <c r="L219" s="777">
        <v>5</v>
      </c>
      <c r="M219" s="778"/>
      <c r="N219" s="976">
        <v>246</v>
      </c>
      <c r="O219" s="1020">
        <v>166</v>
      </c>
      <c r="P219" s="847">
        <f>VLOOKUP(N219,etat!$A$9:$N$1004,2,FALSE)</f>
        <v>0</v>
      </c>
      <c r="Q219" s="797" t="str">
        <f>VLOOKUP(N219,etat!$A$9:$N$963,7,FALSE)</f>
        <v>2ت ا ق1</v>
      </c>
      <c r="R219" s="866" t="str">
        <f>VLOOKUP(N219,etat!$A$9:$N$1003,9,FALSE)</f>
        <v>خ</v>
      </c>
      <c r="S219" s="866" t="str">
        <f>VLOOKUP(N219,etat!$A$9:$P$905,16,FALSE)</f>
        <v>ان/د2</v>
      </c>
      <c r="T219" s="755">
        <v>45775</v>
      </c>
      <c r="U219" s="791">
        <v>10</v>
      </c>
      <c r="V219" s="784" t="s">
        <v>2282</v>
      </c>
      <c r="W219" s="784" t="s">
        <v>2287</v>
      </c>
      <c r="X219" s="869"/>
      <c r="Y219" s="975"/>
      <c r="Z219" s="975"/>
      <c r="AA219" s="967">
        <v>7</v>
      </c>
    </row>
    <row r="220" spans="1:49" ht="15" customHeight="1">
      <c r="L220" s="777">
        <v>5</v>
      </c>
      <c r="M220" s="778"/>
      <c r="N220" s="976">
        <v>247</v>
      </c>
      <c r="O220" s="1020">
        <v>167</v>
      </c>
      <c r="P220" s="847">
        <f>VLOOKUP(N220,etat!$A$9:$N$1004,2,FALSE)</f>
        <v>0</v>
      </c>
      <c r="Q220" s="797" t="str">
        <f>VLOOKUP(N220,etat!$A$9:$N$963,7,FALSE)</f>
        <v>2ت ا ق1</v>
      </c>
      <c r="R220" s="797" t="str">
        <f>VLOOKUP(N220,etat!$A$9:$N$1003,9,FALSE)</f>
        <v>خ</v>
      </c>
      <c r="S220" s="866" t="str">
        <f>VLOOKUP(N220,etat!$A$9:$P$905,16,FALSE)</f>
        <v>ذن/د2</v>
      </c>
      <c r="T220" s="755">
        <v>45767</v>
      </c>
      <c r="U220" s="791">
        <v>18</v>
      </c>
      <c r="V220" s="784" t="s">
        <v>2273</v>
      </c>
      <c r="W220" s="784" t="s">
        <v>2281</v>
      </c>
      <c r="X220" s="784"/>
      <c r="Y220" s="975"/>
      <c r="Z220" s="967"/>
      <c r="AA220" s="967">
        <v>7</v>
      </c>
    </row>
    <row r="221" spans="1:49" ht="15" customHeight="1">
      <c r="L221" s="777">
        <v>5</v>
      </c>
      <c r="M221" s="778"/>
      <c r="N221" s="976">
        <v>250</v>
      </c>
      <c r="O221" s="1020">
        <v>168</v>
      </c>
      <c r="P221" s="847">
        <f>VLOOKUP(N221,etat!$A$9:$N$1004,2,FALSE)</f>
        <v>0</v>
      </c>
      <c r="Q221" s="797" t="str">
        <f>VLOOKUP(N221,etat!$A$9:$N$963,7,FALSE)</f>
        <v>2ت ا ق1</v>
      </c>
      <c r="R221" s="866" t="str">
        <f>VLOOKUP(N221,etat!$A$9:$N$1003,9,FALSE)</f>
        <v>خ</v>
      </c>
      <c r="S221" s="866" t="str">
        <f>VLOOKUP(N221,etat!$A$9:$P$905,16,FALSE)</f>
        <v>ذخ2</v>
      </c>
      <c r="T221" s="755">
        <v>45775</v>
      </c>
      <c r="U221" s="791">
        <v>10</v>
      </c>
      <c r="V221" s="784" t="s">
        <v>2282</v>
      </c>
      <c r="W221" s="784" t="s">
        <v>2287</v>
      </c>
      <c r="X221" s="869"/>
      <c r="Y221" s="975"/>
      <c r="Z221" s="975"/>
      <c r="AA221" s="967">
        <v>7</v>
      </c>
    </row>
    <row r="222" spans="1:49" ht="15" customHeight="1">
      <c r="L222" s="777">
        <v>5</v>
      </c>
      <c r="M222" s="778"/>
      <c r="N222" s="976">
        <v>252</v>
      </c>
      <c r="O222" s="1020">
        <v>169</v>
      </c>
      <c r="P222" s="847">
        <f>VLOOKUP(N222,etat!$A$9:$N$1004,2,FALSE)</f>
        <v>0</v>
      </c>
      <c r="Q222" s="797" t="str">
        <f>VLOOKUP(N222,etat!$A$9:$N$963,7,FALSE)</f>
        <v>2ت ا ق1</v>
      </c>
      <c r="R222" s="797" t="str">
        <f>VLOOKUP(N222,etat!$A$9:$N$1003,9,FALSE)</f>
        <v>خ</v>
      </c>
      <c r="S222" s="866" t="str">
        <f>VLOOKUP(N222,etat!$A$9:$P$905,16,FALSE)</f>
        <v>اخ2</v>
      </c>
      <c r="T222" s="755">
        <v>45774</v>
      </c>
      <c r="U222" s="791">
        <v>11</v>
      </c>
      <c r="V222" s="784" t="s">
        <v>2281</v>
      </c>
      <c r="W222" s="784" t="s">
        <v>2285</v>
      </c>
      <c r="X222" s="784"/>
      <c r="Y222" s="1117"/>
      <c r="Z222" s="967"/>
      <c r="AA222" s="967">
        <v>7</v>
      </c>
    </row>
    <row r="223" spans="1:49" ht="15" customHeight="1">
      <c r="L223" s="777">
        <v>5</v>
      </c>
      <c r="M223" s="778"/>
      <c r="N223" s="976">
        <v>253</v>
      </c>
      <c r="O223" s="1020">
        <v>170</v>
      </c>
      <c r="P223" s="847">
        <f>VLOOKUP(N223,etat!$A$9:$N$1004,2,FALSE)</f>
        <v>0</v>
      </c>
      <c r="Q223" s="797" t="str">
        <f>VLOOKUP(N223,etat!$A$9:$N$963,7,FALSE)</f>
        <v>2ت ا ق1</v>
      </c>
      <c r="R223" s="797" t="str">
        <f>VLOOKUP(N223,etat!$A$9:$N$1003,9,FALSE)</f>
        <v>خ</v>
      </c>
      <c r="S223" s="866" t="str">
        <f>VLOOKUP(N223,etat!$A$9:$P$905,16,FALSE)</f>
        <v>اخ2</v>
      </c>
      <c r="T223" s="755">
        <v>45776</v>
      </c>
      <c r="U223" s="791">
        <v>9</v>
      </c>
      <c r="V223" s="784" t="s">
        <v>2283</v>
      </c>
      <c r="W223" s="784"/>
      <c r="X223" s="784"/>
      <c r="Y223" s="975"/>
      <c r="Z223" s="975"/>
      <c r="AA223" s="967">
        <v>7</v>
      </c>
    </row>
    <row r="224" spans="1:49" ht="15" customHeight="1">
      <c r="L224" s="777">
        <v>5</v>
      </c>
      <c r="M224" s="778"/>
      <c r="N224" s="976">
        <v>254</v>
      </c>
      <c r="O224" s="1020">
        <v>171</v>
      </c>
      <c r="P224" s="847">
        <f>VLOOKUP(N224,etat!$A$9:$N$1004,2,FALSE)</f>
        <v>0</v>
      </c>
      <c r="Q224" s="797" t="str">
        <f>VLOOKUP(N224,etat!$A$9:$N$963,7,FALSE)</f>
        <v>2ت ا ق1</v>
      </c>
      <c r="R224" s="797" t="str">
        <f>VLOOKUP(N224,etat!$A$9:$N$1003,9,FALSE)</f>
        <v>خ</v>
      </c>
      <c r="S224" s="866" t="str">
        <f>VLOOKUP(N224,etat!$A$9:$P$905,16,FALSE)</f>
        <v>اخ2</v>
      </c>
      <c r="T224" s="755">
        <v>45770</v>
      </c>
      <c r="U224" s="791">
        <v>15</v>
      </c>
      <c r="V224" s="784" t="s">
        <v>2280</v>
      </c>
      <c r="W224" s="784" t="s">
        <v>2283</v>
      </c>
      <c r="X224" s="784"/>
      <c r="Y224" s="975"/>
      <c r="Z224" s="967"/>
      <c r="AA224" s="967">
        <v>7</v>
      </c>
    </row>
    <row r="225" spans="12:27" ht="15" customHeight="1">
      <c r="L225" s="777">
        <v>5</v>
      </c>
      <c r="M225" s="778"/>
      <c r="N225" s="976">
        <v>255</v>
      </c>
      <c r="O225" s="1020">
        <v>172</v>
      </c>
      <c r="P225" s="847">
        <f>VLOOKUP(N225,etat!$A$9:$N$1004,2,FALSE)</f>
        <v>0</v>
      </c>
      <c r="Q225" s="797" t="str">
        <f>VLOOKUP(N225,etat!$A$9:$N$963,7,FALSE)</f>
        <v>2ت ا ق1</v>
      </c>
      <c r="R225" s="866" t="str">
        <f>VLOOKUP(N225,etat!$A$9:$N$1003,9,FALSE)</f>
        <v>خ</v>
      </c>
      <c r="S225" s="866" t="str">
        <f>VLOOKUP(N225,etat!$A$9:$P$905,16,FALSE)</f>
        <v>اخ2</v>
      </c>
      <c r="T225" s="755">
        <v>45775</v>
      </c>
      <c r="U225" s="791">
        <v>10</v>
      </c>
      <c r="V225" s="784" t="s">
        <v>2282</v>
      </c>
      <c r="W225" s="784" t="s">
        <v>2287</v>
      </c>
      <c r="X225" s="869"/>
      <c r="Y225" s="975"/>
      <c r="Z225" s="975"/>
      <c r="AA225" s="967">
        <v>7</v>
      </c>
    </row>
    <row r="226" spans="12:27" ht="15" customHeight="1">
      <c r="L226" s="777">
        <v>5</v>
      </c>
      <c r="M226" s="778"/>
      <c r="N226" s="976">
        <v>257</v>
      </c>
      <c r="O226" s="1020">
        <v>173</v>
      </c>
      <c r="P226" s="847">
        <f>VLOOKUP(N226,etat!$A$9:$N$1004,2,FALSE)</f>
        <v>0</v>
      </c>
      <c r="Q226" s="797" t="str">
        <f>VLOOKUP(N226,etat!$A$9:$N$963,7,FALSE)</f>
        <v>2ت ا ق1</v>
      </c>
      <c r="R226" s="866" t="str">
        <f>VLOOKUP(N226,etat!$A$9:$N$1003,9,FALSE)</f>
        <v>خ</v>
      </c>
      <c r="S226" s="866" t="str">
        <f>VLOOKUP(N226,etat!$A$9:$P$905,16,FALSE)</f>
        <v>ذخ2</v>
      </c>
      <c r="T226" s="755">
        <v>45775</v>
      </c>
      <c r="U226" s="791">
        <v>10</v>
      </c>
      <c r="V226" s="784" t="s">
        <v>2282</v>
      </c>
      <c r="W226" s="784" t="s">
        <v>2287</v>
      </c>
      <c r="X226" s="869"/>
      <c r="Y226" s="975"/>
      <c r="Z226" s="975"/>
      <c r="AA226" s="967">
        <v>7</v>
      </c>
    </row>
    <row r="227" spans="12:27" ht="15" customHeight="1">
      <c r="L227" s="777">
        <v>5</v>
      </c>
      <c r="M227" s="778"/>
      <c r="N227" s="976">
        <v>258</v>
      </c>
      <c r="O227" s="1020">
        <v>174</v>
      </c>
      <c r="P227" s="847">
        <f>VLOOKUP(N227,etat!$A$9:$N$1004,2,FALSE)</f>
        <v>0</v>
      </c>
      <c r="Q227" s="797" t="str">
        <f>VLOOKUP(N227,etat!$A$9:$N$963,7,FALSE)</f>
        <v>2ت ا ق1</v>
      </c>
      <c r="R227" s="866" t="str">
        <f>VLOOKUP(N227,etat!$A$9:$N$1003,9,FALSE)</f>
        <v>خ</v>
      </c>
      <c r="S227" s="866" t="str">
        <f>VLOOKUP(N227,etat!$A$9:$P$905,16,FALSE)</f>
        <v>اخ2</v>
      </c>
      <c r="T227" s="755">
        <v>45775</v>
      </c>
      <c r="U227" s="791">
        <v>10</v>
      </c>
      <c r="V227" s="784" t="s">
        <v>2282</v>
      </c>
      <c r="W227" s="784" t="s">
        <v>2287</v>
      </c>
      <c r="X227" s="869"/>
      <c r="Y227" s="975"/>
      <c r="Z227" s="975"/>
      <c r="AA227" s="967">
        <v>7</v>
      </c>
    </row>
    <row r="228" spans="12:27" ht="15" customHeight="1">
      <c r="L228" s="777">
        <v>5</v>
      </c>
      <c r="M228" s="778"/>
      <c r="N228" s="976">
        <v>259</v>
      </c>
      <c r="O228" s="1020">
        <v>175</v>
      </c>
      <c r="P228" s="847">
        <f>VLOOKUP(N228,etat!$A$9:$N$1004,2,FALSE)</f>
        <v>0</v>
      </c>
      <c r="Q228" s="797" t="str">
        <f>VLOOKUP(N228,etat!$A$9:$N$963,7,FALSE)</f>
        <v>2ت ا ق1</v>
      </c>
      <c r="R228" s="797" t="str">
        <f>VLOOKUP(N228,etat!$A$9:$N$1003,9,FALSE)</f>
        <v>خ</v>
      </c>
      <c r="S228" s="866" t="str">
        <f>VLOOKUP(N228,etat!$A$9:$P$905,16,FALSE)</f>
        <v>ذخ2</v>
      </c>
      <c r="T228" s="755">
        <v>45776</v>
      </c>
      <c r="U228" s="791">
        <v>9</v>
      </c>
      <c r="V228" s="784" t="s">
        <v>2283</v>
      </c>
      <c r="W228" s="784"/>
      <c r="X228" s="784"/>
      <c r="Y228" s="975"/>
      <c r="Z228" s="975"/>
      <c r="AA228" s="967">
        <v>7</v>
      </c>
    </row>
    <row r="229" spans="12:27" ht="15" customHeight="1">
      <c r="L229" s="777">
        <v>5</v>
      </c>
      <c r="M229" s="778"/>
      <c r="N229" s="976">
        <v>262</v>
      </c>
      <c r="O229" s="1020">
        <v>176</v>
      </c>
      <c r="P229" s="847">
        <f>VLOOKUP(N229,etat!$A$9:$N$1004,2,FALSE)</f>
        <v>0</v>
      </c>
      <c r="Q229" s="797" t="str">
        <f>VLOOKUP(N229,etat!$A$9:$N$963,7,FALSE)</f>
        <v>2ت ا ق1</v>
      </c>
      <c r="R229" s="866" t="str">
        <f>VLOOKUP(N229,etat!$A$9:$N$1003,9,FALSE)</f>
        <v>خ</v>
      </c>
      <c r="S229" s="866" t="str">
        <f>VLOOKUP(N229,etat!$A$9:$P$905,16,FALSE)</f>
        <v>اخ2</v>
      </c>
      <c r="T229" s="755">
        <v>45775</v>
      </c>
      <c r="U229" s="791">
        <v>10</v>
      </c>
      <c r="V229" s="784" t="s">
        <v>2282</v>
      </c>
      <c r="W229" s="784" t="s">
        <v>2287</v>
      </c>
      <c r="X229" s="869"/>
      <c r="Y229" s="975"/>
      <c r="Z229" s="975"/>
      <c r="AA229" s="967">
        <v>7</v>
      </c>
    </row>
    <row r="230" spans="12:27" ht="15" customHeight="1">
      <c r="L230" s="777">
        <v>5</v>
      </c>
      <c r="M230" s="778"/>
      <c r="N230" s="976">
        <v>263</v>
      </c>
      <c r="O230" s="1020">
        <v>177</v>
      </c>
      <c r="P230" s="847">
        <f>VLOOKUP(N230,etat!$A$9:$N$1004,2,FALSE)</f>
        <v>0</v>
      </c>
      <c r="Q230" s="797" t="str">
        <f>VLOOKUP(N230,etat!$A$9:$N$963,7,FALSE)</f>
        <v>2ع ت1</v>
      </c>
      <c r="R230" s="866" t="str">
        <f>VLOOKUP(N230,etat!$A$9:$N$1003,9,FALSE)</f>
        <v>ن/د</v>
      </c>
      <c r="S230" s="866" t="str">
        <f>VLOOKUP(N230,etat!$A$9:$P$905,16,FALSE)</f>
        <v>ذخ2</v>
      </c>
      <c r="T230" s="755">
        <v>45777</v>
      </c>
      <c r="U230" s="1129" t="s">
        <v>2288</v>
      </c>
      <c r="V230" s="784" t="s">
        <v>2283</v>
      </c>
      <c r="W230" s="784"/>
      <c r="X230" s="784"/>
      <c r="Y230" s="975"/>
      <c r="Z230" s="975"/>
      <c r="AA230" s="967">
        <v>7</v>
      </c>
    </row>
    <row r="231" spans="12:27" ht="15" customHeight="1">
      <c r="L231" s="777">
        <v>5</v>
      </c>
      <c r="M231" s="778"/>
      <c r="N231" s="976">
        <v>264</v>
      </c>
      <c r="O231" s="1020">
        <v>178</v>
      </c>
      <c r="P231" s="847">
        <f>VLOOKUP(N231,etat!$A$9:$N$1004,2,FALSE)</f>
        <v>0</v>
      </c>
      <c r="Q231" s="797" t="str">
        <f>VLOOKUP(N231,etat!$A$9:$N$963,7,FALSE)</f>
        <v>2ع ت1</v>
      </c>
      <c r="R231" s="797" t="str">
        <f>VLOOKUP(N231,etat!$A$9:$N$1003,9,FALSE)</f>
        <v>ن/د</v>
      </c>
      <c r="S231" s="866" t="str">
        <f>VLOOKUP(N231,etat!$A$9:$P$905,16,FALSE)</f>
        <v>اخ2</v>
      </c>
      <c r="T231" s="755">
        <v>45775</v>
      </c>
      <c r="U231" s="791">
        <v>10</v>
      </c>
      <c r="V231" s="784" t="s">
        <v>2282</v>
      </c>
      <c r="W231" s="784" t="s">
        <v>2287</v>
      </c>
      <c r="X231" s="869"/>
      <c r="Y231" s="975"/>
      <c r="Z231" s="975"/>
      <c r="AA231" s="967">
        <v>7</v>
      </c>
    </row>
    <row r="232" spans="12:27" ht="15" customHeight="1">
      <c r="L232" s="777">
        <v>5</v>
      </c>
      <c r="M232" s="778"/>
      <c r="N232" s="976">
        <v>265</v>
      </c>
      <c r="O232" s="1020">
        <v>179</v>
      </c>
      <c r="P232" s="847">
        <f>VLOOKUP(N232,etat!$A$9:$N$1004,2,FALSE)</f>
        <v>0</v>
      </c>
      <c r="Q232" s="797" t="str">
        <f>VLOOKUP(N232,etat!$A$9:$N$963,7,FALSE)</f>
        <v>2ع ت1</v>
      </c>
      <c r="R232" s="866" t="str">
        <f>VLOOKUP(N232,etat!$A$9:$N$1003,9,FALSE)</f>
        <v>ن/د</v>
      </c>
      <c r="S232" s="866" t="str">
        <f>VLOOKUP(N232,etat!$A$9:$P$905,16,FALSE)</f>
        <v>ذخ2</v>
      </c>
      <c r="T232" s="755">
        <v>45775</v>
      </c>
      <c r="U232" s="791">
        <v>10</v>
      </c>
      <c r="V232" s="784" t="s">
        <v>2282</v>
      </c>
      <c r="W232" s="784" t="s">
        <v>2287</v>
      </c>
      <c r="X232" s="869"/>
      <c r="Y232" s="975"/>
      <c r="Z232" s="975"/>
      <c r="AA232" s="967">
        <v>7</v>
      </c>
    </row>
    <row r="233" spans="12:27" ht="15" customHeight="1">
      <c r="L233" s="777">
        <v>5</v>
      </c>
      <c r="M233" s="778"/>
      <c r="N233" s="976">
        <v>266</v>
      </c>
      <c r="O233" s="1020">
        <v>180</v>
      </c>
      <c r="P233" s="847">
        <f>VLOOKUP(N233,etat!$A$9:$N$1004,2,FALSE)</f>
        <v>0</v>
      </c>
      <c r="Q233" s="797" t="str">
        <f>VLOOKUP(N233,etat!$A$9:$N$963,7,FALSE)</f>
        <v>2ع ت1</v>
      </c>
      <c r="R233" s="797" t="str">
        <f>VLOOKUP(N233,etat!$A$9:$N$1003,9,FALSE)</f>
        <v>خ</v>
      </c>
      <c r="S233" s="866" t="str">
        <f>VLOOKUP(N233,etat!$A$9:$P$905,16,FALSE)</f>
        <v>اخ2</v>
      </c>
      <c r="T233" s="755">
        <v>45769</v>
      </c>
      <c r="U233" s="791">
        <v>16</v>
      </c>
      <c r="V233" s="784" t="s">
        <v>2278</v>
      </c>
      <c r="W233" s="784" t="s">
        <v>2283</v>
      </c>
      <c r="X233" s="784"/>
      <c r="Y233" s="975"/>
      <c r="Z233" s="975" t="str">
        <f>VLOOKUP(L233,[2]اس!$S$3:$X$31,3,FALSE)</f>
        <v>.</v>
      </c>
      <c r="AA233" s="967">
        <v>7</v>
      </c>
    </row>
    <row r="234" spans="12:27" ht="15" customHeight="1">
      <c r="L234" s="777">
        <v>5</v>
      </c>
      <c r="M234" s="778"/>
      <c r="N234" s="976">
        <v>787</v>
      </c>
      <c r="O234" s="1020">
        <v>181</v>
      </c>
      <c r="P234" s="1121">
        <f>VLOOKUP(N234,etat!$A$9:$N$1004,2,FALSE)</f>
        <v>0</v>
      </c>
      <c r="Q234" s="797">
        <f>VLOOKUP(N234,etat!$A$9:$N$963,7,FALSE)</f>
        <v>0</v>
      </c>
      <c r="R234" s="866">
        <f>VLOOKUP(N234,etat!$A$9:$N$1003,9,FALSE)</f>
        <v>0</v>
      </c>
      <c r="S234" s="866">
        <f>VLOOKUP(N234,etat!$A$9:$P$905,16,FALSE)</f>
        <v>0</v>
      </c>
      <c r="T234" s="755">
        <v>45781</v>
      </c>
      <c r="U234" s="791">
        <v>24</v>
      </c>
      <c r="V234" s="784" t="s">
        <v>2285</v>
      </c>
      <c r="W234" s="784"/>
      <c r="X234" s="784"/>
      <c r="Y234" s="975"/>
      <c r="Z234" s="975"/>
      <c r="AA234" s="967">
        <v>7</v>
      </c>
    </row>
    <row r="235" spans="12:27" ht="15" customHeight="1">
      <c r="L235" s="777">
        <v>5</v>
      </c>
      <c r="M235" s="864"/>
      <c r="N235" s="976">
        <v>791</v>
      </c>
      <c r="O235" s="1020">
        <v>182</v>
      </c>
      <c r="P235" s="847">
        <f>VLOOKUP(N235,etat!$A$9:$N$1004,2,FALSE)</f>
        <v>0</v>
      </c>
      <c r="Q235" s="797">
        <f>VLOOKUP(N235,etat!$A$9:$N$963,7,FALSE)</f>
        <v>0</v>
      </c>
      <c r="R235" s="797">
        <f>VLOOKUP(N235,etat!$A$9:$N$1003,9,FALSE)</f>
        <v>0</v>
      </c>
      <c r="S235" s="866">
        <f>VLOOKUP(N235,etat!$A$9:$P$905,16,FALSE)</f>
        <v>0</v>
      </c>
      <c r="T235" s="755">
        <v>45761</v>
      </c>
      <c r="U235" s="791">
        <v>24</v>
      </c>
      <c r="V235" s="784" t="s">
        <v>2267</v>
      </c>
      <c r="W235" s="784" t="s">
        <v>2275</v>
      </c>
      <c r="X235" s="784" t="s">
        <v>2282</v>
      </c>
      <c r="Y235" s="975"/>
      <c r="Z235" s="975" t="str">
        <f>VLOOKUP(L235,[2]اس!$S$3:$X$31,3,FALSE)</f>
        <v>.</v>
      </c>
      <c r="AA235" s="967">
        <v>7</v>
      </c>
    </row>
    <row r="236" spans="12:27" ht="15" customHeight="1">
      <c r="L236" s="777">
        <v>5</v>
      </c>
      <c r="M236" s="864"/>
      <c r="N236" s="976">
        <v>273</v>
      </c>
      <c r="O236" s="1020">
        <v>183</v>
      </c>
      <c r="P236" s="847">
        <f>VLOOKUP(N236,etat!$A$9:$N$1004,2,FALSE)</f>
        <v>0</v>
      </c>
      <c r="Q236" s="797" t="str">
        <f>VLOOKUP(N236,etat!$A$9:$N$963,7,FALSE)</f>
        <v>2ع ت1</v>
      </c>
      <c r="R236" s="797" t="str">
        <f>VLOOKUP(N236,etat!$A$9:$N$1003,9,FALSE)</f>
        <v>خ</v>
      </c>
      <c r="S236" s="866" t="str">
        <f>VLOOKUP(N236,etat!$A$9:$P$905,16,FALSE)</f>
        <v>اخ2</v>
      </c>
      <c r="T236" s="755">
        <v>45782</v>
      </c>
      <c r="U236" s="1129" t="s">
        <v>393</v>
      </c>
      <c r="V236" s="784" t="s">
        <v>2287</v>
      </c>
      <c r="W236" s="784"/>
      <c r="X236" s="784"/>
      <c r="Y236" s="975"/>
      <c r="Z236" s="975"/>
      <c r="AA236" s="967">
        <v>8</v>
      </c>
    </row>
    <row r="237" spans="12:27" ht="15" customHeight="1">
      <c r="L237" s="777">
        <v>5</v>
      </c>
      <c r="M237" s="778"/>
      <c r="N237" s="976">
        <v>276</v>
      </c>
      <c r="O237" s="1020">
        <v>184</v>
      </c>
      <c r="P237" s="847">
        <f>VLOOKUP(N237,etat!$A$9:$N$1004,2,FALSE)</f>
        <v>0</v>
      </c>
      <c r="Q237" s="797" t="str">
        <f>VLOOKUP(N237,etat!$A$9:$N$963,7,FALSE)</f>
        <v>2ع ت1</v>
      </c>
      <c r="R237" s="797" t="str">
        <f>VLOOKUP(N237,etat!$A$9:$N$1003,9,FALSE)</f>
        <v>خ</v>
      </c>
      <c r="S237" s="866" t="str">
        <f>VLOOKUP(N237,etat!$A$9:$P$905,16,FALSE)</f>
        <v>ذخ2</v>
      </c>
      <c r="T237" s="755">
        <v>45784</v>
      </c>
      <c r="U237" s="791">
        <v>1</v>
      </c>
      <c r="V237" s="784"/>
      <c r="W237" s="784"/>
      <c r="X237" s="784"/>
      <c r="Y237" s="975"/>
      <c r="Z237" s="975"/>
      <c r="AA237" s="967">
        <v>4</v>
      </c>
    </row>
    <row r="238" spans="12:27" ht="15" customHeight="1">
      <c r="L238" s="777">
        <v>5</v>
      </c>
      <c r="M238" s="778"/>
      <c r="N238" s="976">
        <v>279</v>
      </c>
      <c r="O238" s="1020">
        <v>185</v>
      </c>
      <c r="P238" s="847">
        <f>VLOOKUP(N238,etat!$A$9:$N$1004,2,FALSE)</f>
        <v>0</v>
      </c>
      <c r="Q238" s="797" t="str">
        <f>VLOOKUP(N238,etat!$A$9:$N$963,7,FALSE)</f>
        <v>2ع ت1</v>
      </c>
      <c r="R238" s="797" t="str">
        <f>VLOOKUP(N238,etat!$A$9:$N$1003,9,FALSE)</f>
        <v>خ</v>
      </c>
      <c r="S238" s="866" t="str">
        <f>VLOOKUP(N238,etat!$A$9:$P$905,16,FALSE)</f>
        <v>ذخ2</v>
      </c>
      <c r="T238" s="755">
        <v>45784</v>
      </c>
      <c r="U238" s="1125">
        <v>1</v>
      </c>
      <c r="V238" s="784"/>
      <c r="W238" s="784"/>
      <c r="X238" s="784"/>
      <c r="Y238" s="975"/>
      <c r="Z238" s="975"/>
      <c r="AA238" s="967">
        <v>4</v>
      </c>
    </row>
    <row r="239" spans="12:27" ht="15" customHeight="1">
      <c r="L239" s="777">
        <v>5</v>
      </c>
      <c r="M239" s="778"/>
      <c r="N239" s="976">
        <v>283</v>
      </c>
      <c r="O239" s="1020">
        <v>186</v>
      </c>
      <c r="P239" s="847">
        <f>VLOOKUP(N239,etat!$A$9:$N$1004,2,FALSE)</f>
        <v>0</v>
      </c>
      <c r="Q239" s="797" t="str">
        <f>VLOOKUP(N239,etat!$A$9:$N$963,7,FALSE)</f>
        <v>2ع ت2</v>
      </c>
      <c r="R239" s="866" t="str">
        <f>VLOOKUP(N239,etat!$A$9:$N$1003,9,FALSE)</f>
        <v>ن/د</v>
      </c>
      <c r="S239" s="866" t="str">
        <f>VLOOKUP(N239,etat!$A$9:$P$905,16,FALSE)</f>
        <v>ذخ2</v>
      </c>
      <c r="T239" s="755">
        <v>45784</v>
      </c>
      <c r="U239" s="1125">
        <v>1</v>
      </c>
      <c r="V239" s="784"/>
      <c r="W239" s="784"/>
      <c r="X239" s="869"/>
      <c r="Y239" s="975"/>
      <c r="Z239" s="975"/>
      <c r="AA239" s="967">
        <v>3</v>
      </c>
    </row>
    <row r="240" spans="12:27" ht="15" customHeight="1">
      <c r="L240" s="777">
        <v>5</v>
      </c>
      <c r="M240" s="778"/>
      <c r="N240" s="976">
        <v>311</v>
      </c>
      <c r="O240" s="1020">
        <v>187</v>
      </c>
      <c r="P240" s="847">
        <f>VLOOKUP(N240,etat!$A$9:$N$1004,2,FALSE)</f>
        <v>0</v>
      </c>
      <c r="Q240" s="797" t="str">
        <f>VLOOKUP(N240,etat!$A$9:$N$963,7,FALSE)</f>
        <v>2أف1</v>
      </c>
      <c r="R240" s="797" t="str">
        <f>VLOOKUP(N240,etat!$A$9:$N$1003,9,FALSE)</f>
        <v>خ</v>
      </c>
      <c r="S240" s="866" t="str">
        <f>VLOOKUP(N240,etat!$A$9:$P$905,16,FALSE)</f>
        <v>اخ2</v>
      </c>
      <c r="T240" s="755">
        <v>45784</v>
      </c>
      <c r="U240" s="1125">
        <v>1</v>
      </c>
      <c r="V240" s="784"/>
      <c r="W240" s="784"/>
      <c r="X240" s="784"/>
      <c r="Y240" s="1116"/>
      <c r="Z240" s="975"/>
      <c r="AA240" s="967">
        <v>4</v>
      </c>
    </row>
    <row r="241" spans="12:27" ht="15" customHeight="1">
      <c r="L241" s="777">
        <v>5</v>
      </c>
      <c r="M241" s="778"/>
      <c r="N241" s="976">
        <v>316</v>
      </c>
      <c r="O241" s="1020">
        <v>188</v>
      </c>
      <c r="P241" s="847">
        <f>VLOOKUP(N241,etat!$A$9:$N$1004,2,FALSE)</f>
        <v>0</v>
      </c>
      <c r="Q241" s="797" t="str">
        <f>VLOOKUP(N241,etat!$A$9:$N$963,7,FALSE)</f>
        <v>2أف1</v>
      </c>
      <c r="R241" s="954" t="str">
        <f>VLOOKUP(N241,etat!$A$9:$N$1003,9,FALSE)</f>
        <v>خ</v>
      </c>
      <c r="S241" s="866" t="str">
        <f>VLOOKUP(N241,etat!$A$9:$P$905,16,FALSE)</f>
        <v>اخ2</v>
      </c>
      <c r="T241" s="755">
        <v>45784</v>
      </c>
      <c r="U241" s="1125">
        <v>1</v>
      </c>
      <c r="V241" s="784"/>
      <c r="W241" s="784"/>
      <c r="X241" s="784"/>
      <c r="Y241" s="975"/>
      <c r="Z241" s="975"/>
      <c r="AA241" s="967">
        <v>4</v>
      </c>
    </row>
    <row r="242" spans="12:27" ht="15" customHeight="1">
      <c r="L242" s="777">
        <v>5</v>
      </c>
      <c r="M242" s="778"/>
      <c r="N242" s="976">
        <v>328</v>
      </c>
      <c r="O242" s="1020">
        <v>189</v>
      </c>
      <c r="P242" s="847">
        <f>VLOOKUP(N242,etat!$A$9:$N$1004,2,FALSE)</f>
        <v>0</v>
      </c>
      <c r="Q242" s="797" t="str">
        <f>VLOOKUP(N242,etat!$A$9:$N$963,7,FALSE)</f>
        <v>2أف1</v>
      </c>
      <c r="R242" s="954" t="str">
        <f>VLOOKUP(N242,etat!$A$9:$N$1003,9,FALSE)</f>
        <v>خ</v>
      </c>
      <c r="S242" s="866" t="str">
        <f>VLOOKUP(N242,etat!$A$9:$P$905,16,FALSE)</f>
        <v>اخ2</v>
      </c>
      <c r="T242" s="755">
        <v>45784</v>
      </c>
      <c r="U242" s="1125">
        <v>1</v>
      </c>
      <c r="V242" s="784"/>
      <c r="W242" s="784"/>
      <c r="X242" s="784"/>
      <c r="Y242" s="975"/>
      <c r="Z242" s="975"/>
      <c r="AA242" s="967">
        <v>4</v>
      </c>
    </row>
    <row r="243" spans="12:27" ht="15" customHeight="1">
      <c r="L243" s="777">
        <v>5</v>
      </c>
      <c r="M243" s="778"/>
      <c r="N243" s="976">
        <v>380</v>
      </c>
      <c r="O243" s="1020">
        <v>190</v>
      </c>
      <c r="P243" s="847">
        <f>VLOOKUP(N243,etat!$A$9:$N$1004,2,FALSE)</f>
        <v>0</v>
      </c>
      <c r="Q243" s="797" t="str">
        <f>VLOOKUP(N243,etat!$A$9:$N$963,7,FALSE)</f>
        <v>1ج م ع1</v>
      </c>
      <c r="R243" s="797" t="str">
        <f>VLOOKUP(N243,etat!$A$9:$N$1003,9,FALSE)</f>
        <v>خ</v>
      </c>
      <c r="S243" s="866" t="str">
        <f>VLOOKUP(N243,etat!$A$9:$P$905,16,FALSE)</f>
        <v>اخ2</v>
      </c>
      <c r="T243" s="755">
        <v>45784</v>
      </c>
      <c r="U243" s="1125">
        <v>1</v>
      </c>
      <c r="V243" s="784"/>
      <c r="W243" s="784"/>
      <c r="X243" s="784"/>
      <c r="Y243" s="1117"/>
      <c r="Z243" s="975" t="str">
        <f>VLOOKUP(L243,[2]اس!$S$3:$X$31,3,FALSE)</f>
        <v>.</v>
      </c>
      <c r="AA243" s="967">
        <v>3</v>
      </c>
    </row>
    <row r="244" spans="12:27" ht="15" customHeight="1">
      <c r="L244" s="777">
        <v>5</v>
      </c>
      <c r="M244" s="778"/>
      <c r="N244" s="976">
        <v>405</v>
      </c>
      <c r="O244" s="1020">
        <v>191</v>
      </c>
      <c r="P244" s="847">
        <f>VLOOKUP(N244,etat!$A$9:$N$1004,2,FALSE)</f>
        <v>0</v>
      </c>
      <c r="Q244" s="797" t="str">
        <f>VLOOKUP(N244,etat!$A$9:$N$963,7,FALSE)</f>
        <v>1ج م ع2</v>
      </c>
      <c r="R244" s="866" t="str">
        <f>VLOOKUP(N244,etat!$A$9:$N$1003,9,FALSE)</f>
        <v>خ</v>
      </c>
      <c r="S244" s="866" t="str">
        <f>VLOOKUP(N244,etat!$A$9:$P$905,16,FALSE)</f>
        <v>ان/د2</v>
      </c>
      <c r="T244" s="755">
        <v>45782</v>
      </c>
      <c r="U244" s="784" t="s">
        <v>393</v>
      </c>
      <c r="V244" s="784" t="s">
        <v>2287</v>
      </c>
      <c r="W244" s="784"/>
      <c r="X244" s="869"/>
      <c r="Y244" s="975"/>
      <c r="Z244" s="975"/>
      <c r="AA244" s="967">
        <v>6</v>
      </c>
    </row>
    <row r="245" spans="12:27" ht="15" customHeight="1">
      <c r="L245" s="777">
        <v>5</v>
      </c>
      <c r="M245" s="778"/>
      <c r="N245" s="976">
        <v>783</v>
      </c>
      <c r="O245" s="1020">
        <v>192</v>
      </c>
      <c r="P245" s="847">
        <f>VLOOKUP(N245,etat!$A$9:$N$1004,2,FALSE)</f>
        <v>0</v>
      </c>
      <c r="Q245" s="797">
        <f>VLOOKUP(N245,etat!$A$9:$N$963,7,FALSE)</f>
        <v>0</v>
      </c>
      <c r="R245" s="797">
        <f>VLOOKUP(N245,etat!$A$9:$N$1003,9,FALSE)</f>
        <v>0</v>
      </c>
      <c r="S245" s="866">
        <f>VLOOKUP(N245,etat!$A$9:$P$905,16,FALSE)</f>
        <v>0</v>
      </c>
      <c r="T245" s="755">
        <v>45784</v>
      </c>
      <c r="U245" s="1125">
        <v>1</v>
      </c>
      <c r="V245" s="784"/>
      <c r="W245" s="784"/>
      <c r="X245" s="784"/>
      <c r="Y245" s="1116"/>
      <c r="Z245" s="975"/>
      <c r="AA245" s="967">
        <v>3</v>
      </c>
    </row>
    <row r="246" spans="12:27" ht="15" customHeight="1">
      <c r="L246" s="777">
        <v>5</v>
      </c>
      <c r="M246" s="778"/>
      <c r="N246" s="976">
        <v>416</v>
      </c>
      <c r="O246" s="1020">
        <v>193</v>
      </c>
      <c r="P246" s="847">
        <f>VLOOKUP(N246,etat!$A$9:$N$1004,2,FALSE)</f>
        <v>0</v>
      </c>
      <c r="Q246" s="797" t="str">
        <f>VLOOKUP(N246,etat!$A$9:$N$963,7,FALSE)</f>
        <v>1ج م ع2</v>
      </c>
      <c r="R246" s="797" t="str">
        <f>VLOOKUP(N246,etat!$A$9:$N$1003,9,FALSE)</f>
        <v>خ</v>
      </c>
      <c r="S246" s="866" t="str">
        <f>VLOOKUP(N246,etat!$A$9:$P$905,16,FALSE)</f>
        <v>ذخ2</v>
      </c>
      <c r="T246" s="755">
        <v>45784</v>
      </c>
      <c r="U246" s="1125">
        <v>1</v>
      </c>
      <c r="V246" s="784"/>
      <c r="W246" s="784"/>
      <c r="X246" s="784"/>
      <c r="Y246" s="1116"/>
      <c r="Z246" s="975"/>
      <c r="AA246" s="967">
        <v>4</v>
      </c>
    </row>
    <row r="247" spans="12:27" ht="15" customHeight="1">
      <c r="L247" s="777">
        <v>5</v>
      </c>
      <c r="M247" s="778"/>
      <c r="N247" s="976">
        <v>421</v>
      </c>
      <c r="O247" s="1020">
        <v>194</v>
      </c>
      <c r="P247" s="847">
        <f>VLOOKUP(N247,etat!$A$9:$N$1004,2,FALSE)</f>
        <v>0</v>
      </c>
      <c r="Q247" s="797" t="str">
        <f>VLOOKUP(N247,etat!$A$9:$N$963,7,FALSE)</f>
        <v>1ج م ع3</v>
      </c>
      <c r="R247" s="797" t="str">
        <f>VLOOKUP(N247,etat!$A$9:$N$1003,9,FALSE)</f>
        <v>خ</v>
      </c>
      <c r="S247" s="866" t="str">
        <f>VLOOKUP(N247,etat!$A$9:$P$905,16,FALSE)</f>
        <v>ذخ2</v>
      </c>
      <c r="T247" s="755">
        <v>45782</v>
      </c>
      <c r="U247" s="784" t="s">
        <v>393</v>
      </c>
      <c r="V247" s="784" t="s">
        <v>2287</v>
      </c>
      <c r="W247" s="784"/>
      <c r="X247" s="784"/>
      <c r="Y247" s="975"/>
      <c r="Z247" s="975"/>
      <c r="AA247" s="967">
        <v>8</v>
      </c>
    </row>
    <row r="248" spans="12:27" ht="15" customHeight="1">
      <c r="L248" s="777">
        <v>5</v>
      </c>
      <c r="M248" s="778"/>
      <c r="N248" s="976">
        <v>429</v>
      </c>
      <c r="O248" s="1020">
        <v>195</v>
      </c>
      <c r="P248" s="847">
        <f>VLOOKUP(N248,etat!$A$9:$N$1004,2,FALSE)</f>
        <v>0</v>
      </c>
      <c r="Q248" s="797" t="str">
        <f>VLOOKUP(N248,etat!$A$9:$N$963,7,FALSE)</f>
        <v>1ج م ع3</v>
      </c>
      <c r="R248" s="954" t="str">
        <f>VLOOKUP(N248,etat!$A$9:$N$1003,9,FALSE)</f>
        <v>خ</v>
      </c>
      <c r="S248" s="866" t="str">
        <f>VLOOKUP(N248,etat!$A$9:$P$905,16,FALSE)</f>
        <v>ذخ2</v>
      </c>
      <c r="T248" s="755">
        <v>45782</v>
      </c>
      <c r="U248" s="784" t="s">
        <v>393</v>
      </c>
      <c r="V248" s="784" t="s">
        <v>2287</v>
      </c>
      <c r="W248" s="784"/>
      <c r="X248" s="784"/>
      <c r="Y248" s="975"/>
      <c r="Z248" s="975"/>
      <c r="AA248" s="967">
        <v>8</v>
      </c>
    </row>
    <row r="249" spans="12:27" ht="15" customHeight="1">
      <c r="L249" s="777">
        <v>5</v>
      </c>
      <c r="M249" s="778"/>
      <c r="N249" s="976">
        <v>430</v>
      </c>
      <c r="O249" s="1020">
        <v>196</v>
      </c>
      <c r="P249" s="847">
        <f>VLOOKUP(N249,etat!$A$9:$N$1004,2,FALSE)</f>
        <v>0</v>
      </c>
      <c r="Q249" s="797" t="str">
        <f>VLOOKUP(N249,etat!$A$9:$N$963,7,FALSE)</f>
        <v>1ج م ع3</v>
      </c>
      <c r="R249" s="954" t="str">
        <f>VLOOKUP(N249,etat!$A$9:$N$1003,9,FALSE)</f>
        <v>خ</v>
      </c>
      <c r="S249" s="866" t="str">
        <f>VLOOKUP(N249,etat!$A$9:$P$905,16,FALSE)</f>
        <v>ذخ2</v>
      </c>
      <c r="T249" s="755">
        <v>45782</v>
      </c>
      <c r="U249" s="1129" t="s">
        <v>393</v>
      </c>
      <c r="V249" s="784" t="s">
        <v>2287</v>
      </c>
      <c r="W249" s="784"/>
      <c r="X249" s="784"/>
      <c r="Y249" s="975"/>
      <c r="Z249" s="975"/>
      <c r="AA249" s="967">
        <v>8</v>
      </c>
    </row>
    <row r="250" spans="12:27" ht="15" customHeight="1">
      <c r="L250" s="777">
        <v>5</v>
      </c>
      <c r="M250" s="778"/>
      <c r="N250" s="976">
        <v>433</v>
      </c>
      <c r="O250" s="1020">
        <v>197</v>
      </c>
      <c r="P250" s="847">
        <f>VLOOKUP(N250,etat!$A$9:$N$1004,2,FALSE)</f>
        <v>0</v>
      </c>
      <c r="Q250" s="797" t="str">
        <f>VLOOKUP(N250,etat!$A$9:$N$963,7,FALSE)</f>
        <v>1ج م ع3</v>
      </c>
      <c r="R250" s="797" t="str">
        <f>VLOOKUP(N250,etat!$A$9:$N$1003,9,FALSE)</f>
        <v>خ</v>
      </c>
      <c r="S250" s="866" t="str">
        <f>VLOOKUP(N250,etat!$A$9:$P$905,16,FALSE)</f>
        <v>ان/د2</v>
      </c>
      <c r="T250" s="755">
        <v>45784</v>
      </c>
      <c r="U250" s="1125">
        <v>1</v>
      </c>
      <c r="V250" s="784"/>
      <c r="W250" s="784"/>
      <c r="X250" s="784"/>
      <c r="Y250" s="1116"/>
      <c r="Z250" s="975"/>
      <c r="AA250" s="967">
        <v>4</v>
      </c>
    </row>
    <row r="251" spans="12:27" ht="15" customHeight="1">
      <c r="L251" s="777">
        <v>5</v>
      </c>
      <c r="M251" s="778"/>
      <c r="N251" s="976">
        <v>437</v>
      </c>
      <c r="O251" s="1020">
        <v>198</v>
      </c>
      <c r="P251" s="847">
        <f>VLOOKUP(N251,etat!$A$9:$N$1004,2,FALSE)</f>
        <v>0</v>
      </c>
      <c r="Q251" s="797" t="str">
        <f>VLOOKUP(N251,etat!$A$9:$N$963,7,FALSE)</f>
        <v>1ج م ع3</v>
      </c>
      <c r="R251" s="797" t="str">
        <f>VLOOKUP(N251,etat!$A$9:$N$1003,9,FALSE)</f>
        <v>خ</v>
      </c>
      <c r="S251" s="866" t="str">
        <f>VLOOKUP(N251,etat!$A$9:$P$905,16,FALSE)</f>
        <v>ان/د2</v>
      </c>
      <c r="T251" s="755">
        <v>45781</v>
      </c>
      <c r="U251" s="1125">
        <v>4</v>
      </c>
      <c r="V251" s="784" t="s">
        <v>2285</v>
      </c>
      <c r="W251" s="784"/>
      <c r="X251" s="784"/>
      <c r="Y251" s="848"/>
      <c r="Z251" s="975" t="str">
        <f>VLOOKUP(L251,[2]اس!$S$3:$X$31,3,FALSE)</f>
        <v>.</v>
      </c>
      <c r="AA251" s="967">
        <v>8</v>
      </c>
    </row>
    <row r="252" spans="12:27" ht="15" customHeight="1">
      <c r="L252" s="777">
        <v>5</v>
      </c>
      <c r="M252" s="778"/>
      <c r="N252" s="976">
        <v>438</v>
      </c>
      <c r="O252" s="1020">
        <v>199</v>
      </c>
      <c r="P252" s="847">
        <f>VLOOKUP(N252,etat!$A$9:$N$1004,2,FALSE)</f>
        <v>0</v>
      </c>
      <c r="Q252" s="797" t="str">
        <f>VLOOKUP(N252,etat!$A$9:$N$963,7,FALSE)</f>
        <v>1ج م ع3</v>
      </c>
      <c r="R252" s="797" t="str">
        <f>VLOOKUP(N252,etat!$A$9:$N$1003,9,FALSE)</f>
        <v>خ</v>
      </c>
      <c r="S252" s="866" t="str">
        <f>VLOOKUP(N252,etat!$A$9:$P$905,16,FALSE)</f>
        <v>ان/د2</v>
      </c>
      <c r="T252" s="755">
        <v>45784</v>
      </c>
      <c r="U252" s="1125">
        <v>1</v>
      </c>
      <c r="V252" s="784"/>
      <c r="W252" s="784"/>
      <c r="X252" s="784"/>
      <c r="Y252" s="1116"/>
      <c r="Z252" s="967"/>
      <c r="AA252" s="967">
        <v>4</v>
      </c>
    </row>
    <row r="253" spans="12:27" ht="15" customHeight="1">
      <c r="L253" s="777">
        <v>5</v>
      </c>
      <c r="M253" s="778"/>
      <c r="N253" s="976">
        <v>462</v>
      </c>
      <c r="O253" s="1020">
        <v>200</v>
      </c>
      <c r="P253" s="847">
        <f>VLOOKUP(N253,etat!$A$9:$N$1004,2,FALSE)</f>
        <v>0</v>
      </c>
      <c r="Q253" s="797" t="str">
        <f>VLOOKUP(N253,etat!$A$9:$N$963,7,FALSE)</f>
        <v>1ج م ع4</v>
      </c>
      <c r="R253" s="866" t="str">
        <f>VLOOKUP(N253,etat!$A$9:$N$1003,9,FALSE)</f>
        <v>خ</v>
      </c>
      <c r="S253" s="866" t="str">
        <f>VLOOKUP(N253,etat!$A$9:$P$905,16,FALSE)</f>
        <v>اخ2</v>
      </c>
      <c r="T253" s="755">
        <v>45784</v>
      </c>
      <c r="U253" s="1125">
        <v>1</v>
      </c>
      <c r="V253" s="784"/>
      <c r="W253" s="784"/>
      <c r="X253" s="784"/>
      <c r="Y253" s="1116"/>
      <c r="Z253" s="967"/>
      <c r="AA253" s="967">
        <v>8</v>
      </c>
    </row>
    <row r="254" spans="12:27" ht="15" customHeight="1">
      <c r="L254" s="777">
        <v>5</v>
      </c>
      <c r="M254" s="778"/>
      <c r="N254" s="976">
        <v>488</v>
      </c>
      <c r="O254" s="1020">
        <v>201</v>
      </c>
      <c r="P254" s="847">
        <f>VLOOKUP(N254,etat!$A$9:$N$1004,2,FALSE)</f>
        <v>0</v>
      </c>
      <c r="Q254" s="797" t="str">
        <f>VLOOKUP(N254,etat!$A$9:$N$963,7,FALSE)</f>
        <v>1ج م أ1</v>
      </c>
      <c r="R254" s="866" t="str">
        <f>VLOOKUP(N254,etat!$A$9:$N$1003,9,FALSE)</f>
        <v>ن/د</v>
      </c>
      <c r="S254" s="866" t="str">
        <f>VLOOKUP(N254,etat!$A$9:$P$905,16,FALSE)</f>
        <v>اخ2</v>
      </c>
      <c r="T254" s="755">
        <v>45784</v>
      </c>
      <c r="U254" s="1125">
        <v>1</v>
      </c>
      <c r="V254" s="784"/>
      <c r="W254" s="784"/>
      <c r="X254" s="784"/>
      <c r="Y254" s="1116"/>
      <c r="Z254" s="967"/>
      <c r="AA254" s="967">
        <v>7</v>
      </c>
    </row>
    <row r="255" spans="12:27" ht="15" customHeight="1">
      <c r="L255" s="777">
        <v>5</v>
      </c>
      <c r="M255" s="778"/>
      <c r="N255" s="976">
        <v>506</v>
      </c>
      <c r="O255" s="1020">
        <v>202</v>
      </c>
      <c r="P255" s="847">
        <f>VLOOKUP(N255,etat!$A$9:$N$1004,2,FALSE)</f>
        <v>0</v>
      </c>
      <c r="Q255" s="797" t="str">
        <f>VLOOKUP(N255,etat!$A$9:$N$963,7,FALSE)</f>
        <v>1ج م أ1</v>
      </c>
      <c r="R255" s="797" t="str">
        <f>VLOOKUP(N255,etat!$A$9:$N$1003,9,FALSE)</f>
        <v>خ</v>
      </c>
      <c r="S255" s="866" t="str">
        <f>VLOOKUP(N255,etat!$A$9:$P$905,16,FALSE)</f>
        <v>ذخ1</v>
      </c>
      <c r="T255" s="755">
        <v>45782</v>
      </c>
      <c r="U255" s="784" t="s">
        <v>393</v>
      </c>
      <c r="V255" s="784" t="s">
        <v>2287</v>
      </c>
      <c r="W255" s="784"/>
      <c r="X255" s="784"/>
      <c r="Y255" s="975"/>
      <c r="Z255" s="975"/>
      <c r="AA255" s="967">
        <v>7</v>
      </c>
    </row>
    <row r="256" spans="12:27" ht="15" customHeight="1">
      <c r="L256" s="777">
        <v>5</v>
      </c>
      <c r="M256" s="778"/>
      <c r="N256" s="976">
        <v>519</v>
      </c>
      <c r="O256" s="1020">
        <v>203</v>
      </c>
      <c r="P256" s="847">
        <f>VLOOKUP(N256,etat!$A$9:$N$1004,2,FALSE)</f>
        <v>0</v>
      </c>
      <c r="Q256" s="797" t="str">
        <f>VLOOKUP(N256,etat!$A$9:$N$963,7,FALSE)</f>
        <v>1ج م أ1</v>
      </c>
      <c r="R256" s="797" t="str">
        <f>VLOOKUP(N256,etat!$A$9:$N$1003,9,FALSE)</f>
        <v>خ</v>
      </c>
      <c r="S256" s="866" t="str">
        <f>VLOOKUP(N256,etat!$A$9:$P$905,16,FALSE)</f>
        <v>اخ1</v>
      </c>
      <c r="T256" s="755">
        <v>45784</v>
      </c>
      <c r="U256" s="1125">
        <v>1</v>
      </c>
      <c r="V256" s="784"/>
      <c r="W256" s="784"/>
      <c r="X256" s="784"/>
      <c r="Y256" s="1116"/>
      <c r="Z256" s="967"/>
      <c r="AA256" s="967">
        <v>3</v>
      </c>
    </row>
    <row r="257" spans="12:27" ht="15" customHeight="1">
      <c r="L257" s="777">
        <v>5</v>
      </c>
      <c r="M257" s="778"/>
      <c r="N257" s="976">
        <v>528</v>
      </c>
      <c r="O257" s="1020">
        <v>204</v>
      </c>
      <c r="P257" s="847">
        <f>VLOOKUP(N257,etat!$A$9:$N$1004,2,FALSE)</f>
        <v>0</v>
      </c>
      <c r="Q257" s="797" t="str">
        <f>VLOOKUP(N257,etat!$A$9:$N$963,7,FALSE)</f>
        <v>1ج م أ2</v>
      </c>
      <c r="R257" s="797" t="str">
        <f>VLOOKUP(N257,etat!$A$9:$N$1003,9,FALSE)</f>
        <v>ن/د</v>
      </c>
      <c r="S257" s="866" t="str">
        <f>VLOOKUP(N257,etat!$A$9:$P$905,16,FALSE)</f>
        <v>اخ1</v>
      </c>
      <c r="T257" s="755">
        <v>45784</v>
      </c>
      <c r="U257" s="1125">
        <v>1</v>
      </c>
      <c r="V257" s="784"/>
      <c r="W257" s="784"/>
      <c r="X257" s="784"/>
      <c r="Y257" s="1116"/>
      <c r="Z257" s="967"/>
      <c r="AA257" s="967">
        <v>7</v>
      </c>
    </row>
    <row r="258" spans="12:27" ht="15" customHeight="1">
      <c r="L258" s="777">
        <v>5</v>
      </c>
      <c r="M258" s="778"/>
      <c r="N258" s="976">
        <v>553</v>
      </c>
      <c r="O258" s="1020">
        <v>205</v>
      </c>
      <c r="P258" s="847">
        <f>VLOOKUP(N258,etat!$A$9:$N$1004,2,FALSE)</f>
        <v>0</v>
      </c>
      <c r="Q258" s="797" t="str">
        <f>VLOOKUP(N258,etat!$A$9:$N$963,7,FALSE)</f>
        <v>1ج م أ2</v>
      </c>
      <c r="R258" s="797" t="str">
        <f>VLOOKUP(N258,etat!$A$9:$N$1003,9,FALSE)</f>
        <v>خ</v>
      </c>
      <c r="S258" s="866" t="str">
        <f>VLOOKUP(N258,etat!$A$9:$P$905,16,FALSE)</f>
        <v>اخ1</v>
      </c>
      <c r="T258" s="755">
        <v>45784</v>
      </c>
      <c r="U258" s="1125">
        <v>1</v>
      </c>
      <c r="V258" s="784"/>
      <c r="W258" s="784"/>
      <c r="X258" s="784"/>
      <c r="Y258" s="1116"/>
      <c r="Z258" s="975"/>
      <c r="AA258" s="967">
        <v>8</v>
      </c>
    </row>
    <row r="259" spans="12:27" ht="15" customHeight="1">
      <c r="L259" s="777">
        <v>5</v>
      </c>
      <c r="M259" s="778"/>
      <c r="N259" s="976">
        <v>551</v>
      </c>
      <c r="O259" s="1020">
        <v>206</v>
      </c>
      <c r="P259" s="847">
        <f>VLOOKUP(N259,etat!$A$9:$N$1004,2,FALSE)</f>
        <v>0</v>
      </c>
      <c r="Q259" s="797" t="str">
        <f>VLOOKUP(N259,etat!$A$9:$N$963,7,FALSE)</f>
        <v>1ج م أ2</v>
      </c>
      <c r="R259" s="797" t="str">
        <f>VLOOKUP(N259,etat!$A$9:$N$1003,9,FALSE)</f>
        <v>خ</v>
      </c>
      <c r="S259" s="866" t="str">
        <f>VLOOKUP(N259,etat!$A$9:$P$905,16,FALSE)</f>
        <v>اخ1</v>
      </c>
      <c r="T259" s="755">
        <v>45777</v>
      </c>
      <c r="U259" s="1129" t="s">
        <v>2288</v>
      </c>
      <c r="V259" s="784" t="s">
        <v>2283</v>
      </c>
      <c r="W259" s="784"/>
      <c r="X259" s="784"/>
      <c r="Y259" s="975"/>
      <c r="Z259" s="975"/>
      <c r="AA259" s="967">
        <v>8</v>
      </c>
    </row>
    <row r="260" spans="12:27" ht="15" customHeight="1">
      <c r="L260" s="777">
        <v>5</v>
      </c>
      <c r="M260" s="778"/>
      <c r="N260" s="976">
        <v>569</v>
      </c>
      <c r="O260" s="1020">
        <v>207</v>
      </c>
      <c r="P260" s="847">
        <f>VLOOKUP(N260,etat!$A$9:$N$1004,2,FALSE)</f>
        <v>0</v>
      </c>
      <c r="Q260" s="797">
        <f>VLOOKUP(N260,etat!$A$9:$N$963,7,FALSE)</f>
        <v>0</v>
      </c>
      <c r="R260" s="797">
        <f>VLOOKUP(N260,etat!$A$9:$N$1003,9,FALSE)</f>
        <v>0</v>
      </c>
      <c r="S260" s="866">
        <f>VLOOKUP(N260,etat!$A$9:$P$905,16,FALSE)</f>
        <v>0</v>
      </c>
      <c r="T260" s="755">
        <v>45781</v>
      </c>
      <c r="U260" s="791">
        <v>4</v>
      </c>
      <c r="V260" s="784" t="s">
        <v>2285</v>
      </c>
      <c r="W260" s="784"/>
      <c r="X260" s="784"/>
      <c r="Y260" s="975"/>
      <c r="Z260" s="967"/>
      <c r="AA260" s="967">
        <v>8</v>
      </c>
    </row>
    <row r="261" spans="12:27" ht="15" customHeight="1">
      <c r="L261" s="777">
        <v>5</v>
      </c>
      <c r="M261" s="778"/>
      <c r="N261" s="976">
        <v>616</v>
      </c>
      <c r="O261" s="1020">
        <v>208</v>
      </c>
      <c r="P261" s="847">
        <f>VLOOKUP(N261,etat!$A$9:$N$1004,2,FALSE)</f>
        <v>0</v>
      </c>
      <c r="Q261" s="797">
        <f>VLOOKUP(N261,etat!$A$9:$N$963,7,FALSE)</f>
        <v>0</v>
      </c>
      <c r="R261" s="866">
        <f>VLOOKUP(N261,etat!$A$9:$N$1003,9,FALSE)</f>
        <v>0</v>
      </c>
      <c r="S261" s="866">
        <f>VLOOKUP(N261,etat!$A$9:$P$905,16,FALSE)</f>
        <v>0</v>
      </c>
      <c r="T261" s="755">
        <v>45782</v>
      </c>
      <c r="U261" s="784" t="s">
        <v>393</v>
      </c>
      <c r="V261" s="784" t="s">
        <v>2287</v>
      </c>
      <c r="W261" s="869"/>
      <c r="X261" s="869"/>
      <c r="Y261" s="975"/>
      <c r="Z261" s="967"/>
      <c r="AA261" s="967">
        <v>8</v>
      </c>
    </row>
    <row r="262" spans="12:27" ht="15" customHeight="1">
      <c r="L262" s="777">
        <v>5</v>
      </c>
      <c r="M262" s="778"/>
      <c r="N262" s="976">
        <v>598</v>
      </c>
      <c r="O262" s="1020">
        <v>209</v>
      </c>
      <c r="P262" s="847">
        <f>VLOOKUP(N262,etat!$A$9:$N$1004,2,FALSE)</f>
        <v>0</v>
      </c>
      <c r="Q262" s="797">
        <f>VLOOKUP(N262,etat!$A$9:$N$963,7,FALSE)</f>
        <v>0</v>
      </c>
      <c r="R262" s="797">
        <f>VLOOKUP(N262,etat!$A$9:$N$1003,9,FALSE)</f>
        <v>0</v>
      </c>
      <c r="S262" s="866">
        <f>VLOOKUP(N262,etat!$A$9:$P$905,16,FALSE)</f>
        <v>0</v>
      </c>
      <c r="T262" s="755">
        <v>45771</v>
      </c>
      <c r="U262" s="791">
        <v>14</v>
      </c>
      <c r="V262" s="784" t="s">
        <v>2280</v>
      </c>
      <c r="W262" s="784" t="s">
        <v>2283</v>
      </c>
      <c r="X262" s="784"/>
      <c r="Y262" s="975"/>
      <c r="Z262" s="967"/>
      <c r="AA262" s="967">
        <v>8</v>
      </c>
    </row>
    <row r="263" spans="12:27" ht="15" customHeight="1">
      <c r="L263" s="777">
        <v>5</v>
      </c>
      <c r="M263" s="778"/>
      <c r="N263" s="976">
        <v>602</v>
      </c>
      <c r="O263" s="1020">
        <v>210</v>
      </c>
      <c r="P263" s="847">
        <f>VLOOKUP(N263,etat!$A$9:$N$1004,2,FALSE)</f>
        <v>0</v>
      </c>
      <c r="Q263" s="797">
        <f>VLOOKUP(N263,etat!$A$9:$N$963,7,FALSE)</f>
        <v>0</v>
      </c>
      <c r="R263" s="797">
        <f>VLOOKUP(N263,etat!$A$9:$N$1003,9,FALSE)</f>
        <v>0</v>
      </c>
      <c r="S263" s="866">
        <f>VLOOKUP(N263,etat!$A$9:$P$905,16,FALSE)</f>
        <v>0</v>
      </c>
      <c r="T263" s="755">
        <v>45777</v>
      </c>
      <c r="U263" s="1129" t="s">
        <v>2288</v>
      </c>
      <c r="V263" s="784" t="s">
        <v>2283</v>
      </c>
      <c r="W263" s="784"/>
      <c r="X263" s="784"/>
      <c r="Y263" s="975"/>
      <c r="Z263" s="967"/>
      <c r="AA263" s="967">
        <v>8</v>
      </c>
    </row>
    <row r="264" spans="12:27" ht="15" customHeight="1">
      <c r="L264" s="777">
        <v>5</v>
      </c>
      <c r="M264" s="778"/>
      <c r="N264" s="976">
        <v>624</v>
      </c>
      <c r="O264" s="1020">
        <v>211</v>
      </c>
      <c r="P264" s="847">
        <f>VLOOKUP(N264,etat!$A$9:$N$1004,2,FALSE)</f>
        <v>0</v>
      </c>
      <c r="Q264" s="797">
        <f>VLOOKUP(N264,etat!$A$9:$N$963,7,FALSE)</f>
        <v>0</v>
      </c>
      <c r="R264" s="797">
        <f>VLOOKUP(N264,etat!$A$9:$N$1003,9,FALSE)</f>
        <v>0</v>
      </c>
      <c r="S264" s="866">
        <f>VLOOKUP(N264,etat!$A$9:$P$905,16,FALSE)</f>
        <v>0</v>
      </c>
      <c r="T264" s="755">
        <v>45774</v>
      </c>
      <c r="U264" s="791">
        <v>11</v>
      </c>
      <c r="V264" s="784" t="s">
        <v>2281</v>
      </c>
      <c r="W264" s="784" t="s">
        <v>2285</v>
      </c>
      <c r="X264" s="784"/>
      <c r="Y264" s="975"/>
      <c r="Z264" s="975"/>
      <c r="AA264" s="967">
        <v>8</v>
      </c>
    </row>
    <row r="265" spans="12:27" ht="15" customHeight="1">
      <c r="L265" s="777">
        <v>5</v>
      </c>
      <c r="M265" s="778"/>
      <c r="N265" s="976">
        <v>631</v>
      </c>
      <c r="O265" s="1020">
        <v>212</v>
      </c>
      <c r="P265" s="847">
        <f>VLOOKUP(N265,etat!$A$9:$N$1004,2,FALSE)</f>
        <v>0</v>
      </c>
      <c r="Q265" s="797">
        <f>VLOOKUP(N265,etat!$A$9:$N$963,7,FALSE)</f>
        <v>0</v>
      </c>
      <c r="R265" s="797">
        <f>VLOOKUP(N265,etat!$A$9:$N$1003,9,FALSE)</f>
        <v>0</v>
      </c>
      <c r="S265" s="866">
        <f>VLOOKUP(N265,etat!$A$9:$P$905,16,FALSE)</f>
        <v>0</v>
      </c>
      <c r="T265" s="755">
        <v>45770</v>
      </c>
      <c r="U265" s="791">
        <v>15</v>
      </c>
      <c r="V265" s="784" t="s">
        <v>2280</v>
      </c>
      <c r="W265" s="784" t="s">
        <v>2283</v>
      </c>
      <c r="X265" s="784"/>
      <c r="Y265" s="975"/>
      <c r="Z265" s="975" t="str">
        <f>VLOOKUP(L287,[2]اس!$S$3:$X$31,3,FALSE)</f>
        <v>.</v>
      </c>
      <c r="AA265" s="967">
        <v>8</v>
      </c>
    </row>
    <row r="266" spans="12:27" ht="15" customHeight="1">
      <c r="L266" s="777">
        <v>5</v>
      </c>
      <c r="M266" s="778"/>
      <c r="N266" s="976">
        <v>606</v>
      </c>
      <c r="O266" s="1020">
        <v>213</v>
      </c>
      <c r="P266" s="847">
        <f>VLOOKUP(N266,etat!$A$9:$N$1004,2,FALSE)</f>
        <v>0</v>
      </c>
      <c r="Q266" s="797">
        <f>VLOOKUP(N266,etat!$A$9:$N$963,7,FALSE)</f>
        <v>0</v>
      </c>
      <c r="R266" s="866">
        <f>VLOOKUP(N266,etat!$A$9:$N$1003,9,FALSE)</f>
        <v>0</v>
      </c>
      <c r="S266" s="866">
        <f>VLOOKUP(N266,etat!$A$9:$P$905,16,FALSE)</f>
        <v>0</v>
      </c>
      <c r="T266" s="755">
        <v>45784</v>
      </c>
      <c r="U266" s="1125">
        <v>1</v>
      </c>
      <c r="V266" s="784"/>
      <c r="W266" s="784"/>
      <c r="X266" s="784"/>
      <c r="Y266" s="975"/>
      <c r="Z266" s="967"/>
      <c r="AA266" s="967">
        <v>6</v>
      </c>
    </row>
    <row r="267" spans="12:27" ht="15" customHeight="1">
      <c r="L267" s="777">
        <v>5</v>
      </c>
      <c r="M267" s="778"/>
      <c r="N267" s="976">
        <v>603</v>
      </c>
      <c r="O267" s="1020">
        <v>214</v>
      </c>
      <c r="P267" s="847">
        <f>VLOOKUP(N267,etat!$A$9:$N$1004,2,FALSE)</f>
        <v>0</v>
      </c>
      <c r="Q267" s="797">
        <f>VLOOKUP(N267,etat!$A$9:$N$963,7,FALSE)</f>
        <v>0</v>
      </c>
      <c r="R267" s="797">
        <f>VLOOKUP(N267,etat!$A$9:$N$1003,9,FALSE)</f>
        <v>0</v>
      </c>
      <c r="S267" s="866">
        <f>VLOOKUP(N267,etat!$A$9:$P$905,16,FALSE)</f>
        <v>0</v>
      </c>
      <c r="T267" s="755">
        <v>45784</v>
      </c>
      <c r="U267" s="1125">
        <v>1</v>
      </c>
      <c r="V267" s="784"/>
      <c r="W267" s="784"/>
      <c r="X267" s="784"/>
      <c r="Y267" s="975"/>
      <c r="Z267" s="967"/>
      <c r="AA267" s="967">
        <v>4</v>
      </c>
    </row>
    <row r="268" spans="12:27" ht="15" customHeight="1">
      <c r="L268" s="777">
        <v>5</v>
      </c>
      <c r="M268" s="778"/>
      <c r="N268" s="976">
        <v>593</v>
      </c>
      <c r="O268" s="1020">
        <v>215</v>
      </c>
      <c r="P268" s="847">
        <f>VLOOKUP(N268,etat!$A$9:$N$1004,2,FALSE)</f>
        <v>0</v>
      </c>
      <c r="Q268" s="797">
        <f>VLOOKUP(N268,etat!$A$9:$N$963,7,FALSE)</f>
        <v>0</v>
      </c>
      <c r="R268" s="797">
        <f>VLOOKUP(N268,etat!$A$9:$N$1003,9,FALSE)</f>
        <v>0</v>
      </c>
      <c r="S268" s="866">
        <f>VLOOKUP(N268,etat!$A$9:$P$905,16,FALSE)</f>
        <v>0</v>
      </c>
      <c r="T268" s="755">
        <v>45784</v>
      </c>
      <c r="U268" s="1125">
        <v>1</v>
      </c>
      <c r="V268" s="784"/>
      <c r="W268" s="784"/>
      <c r="X268" s="784"/>
      <c r="Y268" s="975"/>
      <c r="Z268" s="967"/>
      <c r="AA268" s="967">
        <v>4</v>
      </c>
    </row>
    <row r="269" spans="12:27" ht="15" customHeight="1">
      <c r="L269" s="777">
        <v>5</v>
      </c>
      <c r="M269" s="778"/>
      <c r="N269" s="976">
        <v>798</v>
      </c>
      <c r="O269" s="1020">
        <v>216</v>
      </c>
      <c r="P269" s="847">
        <f>VLOOKUP(N269,etat!$A$9:$N$1004,2,FALSE)</f>
        <v>0</v>
      </c>
      <c r="Q269" s="797">
        <f>VLOOKUP(N269,etat!$A$9:$N$963,7,FALSE)</f>
        <v>0</v>
      </c>
      <c r="R269" s="797">
        <f>VLOOKUP(N269,etat!$A$9:$N$1003,9,FALSE)</f>
        <v>0</v>
      </c>
      <c r="S269" s="866">
        <f>VLOOKUP(N269,etat!$A$9:$P$905,16,FALSE)</f>
        <v>0</v>
      </c>
      <c r="T269" s="755">
        <v>45784</v>
      </c>
      <c r="U269" s="1125">
        <v>1</v>
      </c>
      <c r="V269" s="784"/>
      <c r="W269" s="784"/>
      <c r="X269" s="784"/>
      <c r="Y269" s="975"/>
      <c r="Z269" s="975"/>
      <c r="AA269" s="967">
        <v>6</v>
      </c>
    </row>
    <row r="270" spans="12:27" ht="15" customHeight="1">
      <c r="L270" s="777">
        <v>5</v>
      </c>
      <c r="M270" s="778"/>
      <c r="N270" s="976">
        <v>600</v>
      </c>
      <c r="O270" s="1020">
        <v>217</v>
      </c>
      <c r="P270" s="847">
        <f>VLOOKUP(N270,etat!$A$9:$N$1004,2,FALSE)</f>
        <v>0</v>
      </c>
      <c r="Q270" s="797">
        <f>VLOOKUP(N270,etat!$A$9:$N$963,7,FALSE)</f>
        <v>0</v>
      </c>
      <c r="R270" s="797">
        <f>VLOOKUP(N270,etat!$A$9:$N$1003,9,FALSE)</f>
        <v>0</v>
      </c>
      <c r="S270" s="866">
        <f>VLOOKUP(N270,etat!$A$9:$P$905,16,FALSE)</f>
        <v>0</v>
      </c>
      <c r="T270" s="755">
        <v>45784</v>
      </c>
      <c r="U270" s="1125">
        <v>1</v>
      </c>
      <c r="V270" s="784"/>
      <c r="W270" s="784"/>
      <c r="X270" s="784"/>
      <c r="Y270" s="975"/>
      <c r="Z270" s="975"/>
      <c r="AA270" s="967">
        <v>4</v>
      </c>
    </row>
    <row r="271" spans="12:27" ht="15" customHeight="1">
      <c r="L271" s="777">
        <v>5</v>
      </c>
      <c r="M271" s="778"/>
      <c r="N271" s="976">
        <v>648</v>
      </c>
      <c r="O271" s="1020">
        <v>218</v>
      </c>
      <c r="P271" s="847">
        <f>VLOOKUP(N271,etat!$A$9:$N$1004,2,FALSE)</f>
        <v>0</v>
      </c>
      <c r="Q271" s="797">
        <f>VLOOKUP(N271,etat!$A$9:$N$963,7,FALSE)</f>
        <v>0</v>
      </c>
      <c r="R271" s="866">
        <f>VLOOKUP(N271,etat!$A$9:$N$1003,9,FALSE)</f>
        <v>0</v>
      </c>
      <c r="S271" s="866">
        <f>VLOOKUP(N271,etat!$A$9:$P$905,16,FALSE)</f>
        <v>0</v>
      </c>
      <c r="T271" s="755">
        <v>45781</v>
      </c>
      <c r="U271" s="1125">
        <v>4</v>
      </c>
      <c r="V271" s="784" t="s">
        <v>2285</v>
      </c>
      <c r="W271" s="784"/>
      <c r="X271" s="784"/>
      <c r="Y271" s="975"/>
      <c r="Z271" s="975"/>
      <c r="AA271" s="967">
        <v>8</v>
      </c>
    </row>
    <row r="272" spans="12:27" ht="15" customHeight="1">
      <c r="L272" s="777">
        <v>5</v>
      </c>
      <c r="M272" s="778"/>
      <c r="N272" s="976">
        <v>666</v>
      </c>
      <c r="O272" s="1020">
        <v>219</v>
      </c>
      <c r="P272" s="847">
        <f>VLOOKUP(N272,etat!$A$9:$N$1004,2,FALSE)</f>
        <v>0</v>
      </c>
      <c r="Q272" s="797">
        <f>VLOOKUP(N272,etat!$A$9:$N$963,7,FALSE)</f>
        <v>0</v>
      </c>
      <c r="R272" s="797">
        <f>VLOOKUP(N272,etat!$A$9:$N$1003,9,FALSE)</f>
        <v>0</v>
      </c>
      <c r="S272" s="866">
        <f>VLOOKUP(N272,etat!$A$9:$P$905,16,FALSE)</f>
        <v>0</v>
      </c>
      <c r="T272" s="755">
        <v>45784</v>
      </c>
      <c r="U272" s="1125">
        <v>1</v>
      </c>
      <c r="V272" s="784"/>
      <c r="W272" s="784"/>
      <c r="X272" s="784"/>
      <c r="Y272" s="975"/>
      <c r="Z272" s="975"/>
      <c r="AA272" s="967">
        <v>4</v>
      </c>
    </row>
    <row r="273" spans="12:27" ht="15" customHeight="1">
      <c r="L273" s="777">
        <v>5</v>
      </c>
      <c r="M273" s="778"/>
      <c r="N273" s="976">
        <v>668</v>
      </c>
      <c r="O273" s="1020">
        <v>220</v>
      </c>
      <c r="P273" s="847">
        <f>VLOOKUP(N273,etat!$A$9:$N$1004,2,FALSE)</f>
        <v>0</v>
      </c>
      <c r="Q273" s="797">
        <f>VLOOKUP(N273,etat!$A$9:$N$963,7,FALSE)</f>
        <v>0</v>
      </c>
      <c r="R273" s="866">
        <f>VLOOKUP(N273,etat!$A$9:$N$1003,9,FALSE)</f>
        <v>0</v>
      </c>
      <c r="S273" s="866">
        <f>VLOOKUP(N273,etat!$A$9:$P$905,16,FALSE)</f>
        <v>0</v>
      </c>
      <c r="T273" s="755">
        <v>45784</v>
      </c>
      <c r="U273" s="1125">
        <v>1</v>
      </c>
      <c r="V273" s="784"/>
      <c r="W273" s="784"/>
      <c r="X273" s="784"/>
      <c r="Y273" s="975"/>
      <c r="Z273" s="975"/>
      <c r="AA273" s="967">
        <v>8</v>
      </c>
    </row>
    <row r="274" spans="12:27" ht="15" customHeight="1">
      <c r="L274" s="777">
        <v>5</v>
      </c>
      <c r="M274" s="778"/>
      <c r="N274" s="976">
        <v>689</v>
      </c>
      <c r="O274" s="1020">
        <v>221</v>
      </c>
      <c r="P274" s="847">
        <f>VLOOKUP(N274,etat!$A$9:$N$1004,2,FALSE)</f>
        <v>0</v>
      </c>
      <c r="Q274" s="797">
        <f>VLOOKUP(N274,etat!$A$9:$N$963,7,FALSE)</f>
        <v>0</v>
      </c>
      <c r="R274" s="797">
        <f>VLOOKUP(N274,etat!$A$9:$N$1003,9,FALSE)</f>
        <v>0</v>
      </c>
      <c r="S274" s="866">
        <f>VLOOKUP(N274,etat!$A$9:$P$905,16,FALSE)</f>
        <v>0</v>
      </c>
      <c r="T274" s="755">
        <v>45777</v>
      </c>
      <c r="U274" s="1129" t="s">
        <v>2288</v>
      </c>
      <c r="V274" s="784" t="s">
        <v>2283</v>
      </c>
      <c r="W274" s="784"/>
      <c r="X274" s="784"/>
      <c r="Y274" s="975"/>
      <c r="Z274" s="975" t="str">
        <f>VLOOKUP(L276,[2]اس!$S$3:$X$31,3,FALSE)</f>
        <v>.</v>
      </c>
      <c r="AA274" s="967">
        <v>7</v>
      </c>
    </row>
    <row r="275" spans="12:27" ht="15" customHeight="1">
      <c r="L275" s="777">
        <v>5</v>
      </c>
      <c r="M275" s="778"/>
      <c r="N275" s="976">
        <v>683</v>
      </c>
      <c r="O275" s="1020">
        <v>222</v>
      </c>
      <c r="P275" s="847">
        <f>VLOOKUP(N275,etat!$A$9:$N$1004,2,FALSE)</f>
        <v>0</v>
      </c>
      <c r="Q275" s="797">
        <f>VLOOKUP(N275,etat!$A$9:$N$963,7,FALSE)</f>
        <v>0</v>
      </c>
      <c r="R275" s="797">
        <f>VLOOKUP(N275,etat!$A$9:$N$1003,9,FALSE)</f>
        <v>0</v>
      </c>
      <c r="S275" s="866">
        <f>VLOOKUP(N275,etat!$A$9:$P$905,16,FALSE)</f>
        <v>0</v>
      </c>
      <c r="T275" s="755">
        <v>45784</v>
      </c>
      <c r="U275" s="1125">
        <v>1</v>
      </c>
      <c r="V275" s="784"/>
      <c r="W275" s="784"/>
      <c r="X275" s="784"/>
      <c r="Y275" s="975"/>
      <c r="Z275" s="975" t="str">
        <f>VLOOKUP(L278,[2]اس!$S$3:$X$31,3,FALSE)</f>
        <v>.</v>
      </c>
      <c r="AA275" s="967">
        <v>7</v>
      </c>
    </row>
    <row r="276" spans="12:27" ht="15" customHeight="1">
      <c r="L276" s="777">
        <v>5</v>
      </c>
      <c r="M276" s="778"/>
      <c r="N276" s="976">
        <v>739</v>
      </c>
      <c r="O276" s="1020">
        <v>223</v>
      </c>
      <c r="P276" s="847">
        <f>VLOOKUP(N276,etat!$A$9:$N$1004,2,FALSE)</f>
        <v>0</v>
      </c>
      <c r="Q276" s="797">
        <f>VLOOKUP(N276,etat!$A$9:$N$963,7,FALSE)</f>
        <v>0</v>
      </c>
      <c r="R276" s="797">
        <f>VLOOKUP(N276,etat!$A$9:$N$1003,9,FALSE)</f>
        <v>0</v>
      </c>
      <c r="S276" s="866">
        <f>VLOOKUP(N276,etat!$A$9:$P$905,16,FALSE)</f>
        <v>0</v>
      </c>
      <c r="T276" s="755">
        <v>45782</v>
      </c>
      <c r="U276" s="784" t="s">
        <v>393</v>
      </c>
      <c r="V276" s="784" t="s">
        <v>2287</v>
      </c>
      <c r="W276" s="869"/>
      <c r="X276" s="869"/>
      <c r="Y276" s="975"/>
      <c r="Z276" s="975" t="str">
        <f>VLOOKUP(L279,[2]اس!$S$3:$X$31,3,FALSE)</f>
        <v>.</v>
      </c>
      <c r="AA276" s="967">
        <v>8</v>
      </c>
    </row>
    <row r="277" spans="12:27" ht="18.75">
      <c r="L277" s="777">
        <v>5</v>
      </c>
      <c r="M277" s="778"/>
      <c r="N277" s="976">
        <v>742</v>
      </c>
      <c r="O277" s="1020">
        <v>224</v>
      </c>
      <c r="P277" s="847">
        <f>VLOOKUP(N277,etat!$A$9:$N$1004,2,FALSE)</f>
        <v>0</v>
      </c>
      <c r="Q277" s="797">
        <f>VLOOKUP(N277,etat!$A$9:$N$963,7,FALSE)</f>
        <v>0</v>
      </c>
      <c r="R277" s="954">
        <f>VLOOKUP(N277,etat!$A$9:$N$1003,9,FALSE)</f>
        <v>0</v>
      </c>
      <c r="S277" s="866">
        <f>VLOOKUP(N277,etat!$A$9:$P$905,16,FALSE)</f>
        <v>0</v>
      </c>
      <c r="T277" s="755">
        <v>45782</v>
      </c>
      <c r="U277" s="784" t="s">
        <v>393</v>
      </c>
      <c r="V277" s="784" t="s">
        <v>2287</v>
      </c>
      <c r="W277" s="869"/>
      <c r="X277" s="869"/>
      <c r="Y277" s="975"/>
      <c r="Z277" s="975"/>
      <c r="AA277" s="967">
        <v>8</v>
      </c>
    </row>
    <row r="278" spans="12:27" ht="18.75">
      <c r="L278" s="777">
        <v>5</v>
      </c>
      <c r="M278" s="778"/>
      <c r="N278" s="976">
        <v>711</v>
      </c>
      <c r="O278" s="1020">
        <v>225</v>
      </c>
      <c r="P278" s="847">
        <f>VLOOKUP(N278,etat!$A$9:$N$1004,2,FALSE)</f>
        <v>0</v>
      </c>
      <c r="Q278" s="797">
        <f>VLOOKUP(N278,etat!$A$9:$N$963,7,FALSE)</f>
        <v>0</v>
      </c>
      <c r="R278" s="954">
        <f>VLOOKUP(N278,etat!$A$9:$N$1003,9,FALSE)</f>
        <v>0</v>
      </c>
      <c r="S278" s="866">
        <f>VLOOKUP(N278,etat!$A$9:$P$905,16,FALSE)</f>
        <v>0</v>
      </c>
      <c r="T278" s="755">
        <v>45784</v>
      </c>
      <c r="U278" s="1125">
        <v>1</v>
      </c>
      <c r="V278" s="784"/>
      <c r="W278" s="784"/>
      <c r="X278" s="784"/>
      <c r="Y278" s="975"/>
      <c r="Z278" s="975"/>
      <c r="AA278" s="967">
        <v>4</v>
      </c>
    </row>
    <row r="279" spans="12:27" ht="18.75">
      <c r="L279" s="777">
        <v>5</v>
      </c>
      <c r="M279" s="778"/>
      <c r="N279" s="976">
        <v>712</v>
      </c>
      <c r="O279" s="1020">
        <v>226</v>
      </c>
      <c r="P279" s="847">
        <f>VLOOKUP(N279,etat!$A$9:$N$1004,2,FALSE)</f>
        <v>0</v>
      </c>
      <c r="Q279" s="797">
        <f>VLOOKUP(N279,etat!$A$9:$N$963,7,FALSE)</f>
        <v>0</v>
      </c>
      <c r="R279" s="954">
        <f>VLOOKUP(N279,etat!$A$9:$N$1003,9,FALSE)</f>
        <v>0</v>
      </c>
      <c r="S279" s="866">
        <f>VLOOKUP(N279,etat!$A$9:$P$905,16,FALSE)</f>
        <v>0</v>
      </c>
      <c r="T279" s="755">
        <v>45784</v>
      </c>
      <c r="U279" s="1125">
        <v>1</v>
      </c>
      <c r="V279" s="784"/>
      <c r="W279" s="784"/>
      <c r="X279" s="784"/>
      <c r="Y279" s="975"/>
      <c r="Z279" s="975" t="str">
        <f>VLOOKUP(L302,[2]اس!$S$3:$X$31,3,FALSE)</f>
        <v>.</v>
      </c>
      <c r="AA279" s="967">
        <v>8</v>
      </c>
    </row>
    <row r="280" spans="12:27" ht="15.75">
      <c r="L280" s="777">
        <v>5</v>
      </c>
      <c r="M280" s="778"/>
      <c r="N280" s="976">
        <v>713</v>
      </c>
      <c r="O280" s="1020">
        <v>227</v>
      </c>
      <c r="P280" s="847">
        <f>VLOOKUP(N280,etat!$A$9:$N$1004,2,FALSE)</f>
        <v>0</v>
      </c>
      <c r="Q280" s="797">
        <f>VLOOKUP(N280,etat!$A$9:$N$963,7,FALSE)</f>
        <v>0</v>
      </c>
      <c r="R280" s="866">
        <f>VLOOKUP(N280,etat!$A$9:$N$1003,9,FALSE)</f>
        <v>0</v>
      </c>
      <c r="S280" s="866">
        <f>VLOOKUP(N280,etat!$A$9:$P$905,16,FALSE)</f>
        <v>0</v>
      </c>
      <c r="T280" s="755">
        <v>45784</v>
      </c>
      <c r="U280" s="1125">
        <v>1</v>
      </c>
      <c r="V280" s="784"/>
      <c r="W280" s="784"/>
      <c r="X280" s="784"/>
      <c r="Y280" s="975"/>
      <c r="Z280" s="975" t="str">
        <f>VLOOKUP(L309,[2]اس!$S$3:$X$31,3,FALSE)</f>
        <v>.</v>
      </c>
      <c r="AA280" s="967">
        <v>8</v>
      </c>
    </row>
    <row r="281" spans="12:27" ht="15.75">
      <c r="L281" s="777">
        <v>5</v>
      </c>
      <c r="M281" s="778"/>
      <c r="N281" s="976">
        <v>715</v>
      </c>
      <c r="O281" s="1020">
        <v>228</v>
      </c>
      <c r="P281" s="847">
        <f>VLOOKUP(N281,etat!$A$9:$N$1004,2,FALSE)</f>
        <v>0</v>
      </c>
      <c r="Q281" s="797">
        <f>VLOOKUP(N281,etat!$A$9:$N$963,7,FALSE)</f>
        <v>0</v>
      </c>
      <c r="R281" s="797">
        <f>VLOOKUP(N281,etat!$A$9:$N$1003,9,FALSE)</f>
        <v>0</v>
      </c>
      <c r="S281" s="866">
        <f>VLOOKUP(N281,etat!$A$9:$P$905,16,FALSE)</f>
        <v>0</v>
      </c>
      <c r="T281" s="755">
        <v>45784</v>
      </c>
      <c r="U281" s="1125">
        <v>1</v>
      </c>
      <c r="V281" s="784"/>
      <c r="W281" s="784"/>
      <c r="X281" s="784"/>
      <c r="Y281" s="975"/>
      <c r="Z281" s="975"/>
      <c r="AA281" s="967">
        <v>4</v>
      </c>
    </row>
    <row r="282" spans="12:27" ht="18.75">
      <c r="L282" s="777">
        <v>5</v>
      </c>
      <c r="M282" s="778"/>
      <c r="N282" s="976">
        <v>761</v>
      </c>
      <c r="O282" s="1020">
        <v>229</v>
      </c>
      <c r="P282" s="847">
        <f>VLOOKUP(N282,etat!$A$9:$N$1004,2,FALSE)</f>
        <v>0</v>
      </c>
      <c r="Q282" s="797">
        <f>VLOOKUP(N282,etat!$A$9:$N$963,7,FALSE)</f>
        <v>0</v>
      </c>
      <c r="R282" s="954">
        <f>VLOOKUP(N282,etat!$A$9:$N$1003,9,FALSE)</f>
        <v>0</v>
      </c>
      <c r="S282" s="866">
        <f>VLOOKUP(N282,etat!$A$9:$P$905,16,FALSE)</f>
        <v>0</v>
      </c>
      <c r="T282" s="755">
        <v>45781</v>
      </c>
      <c r="U282" s="791">
        <v>4</v>
      </c>
      <c r="V282" s="784" t="s">
        <v>2285</v>
      </c>
      <c r="W282" s="784"/>
      <c r="X282" s="784"/>
      <c r="Y282" s="975"/>
      <c r="Z282" s="975"/>
      <c r="AA282" s="967">
        <v>6</v>
      </c>
    </row>
    <row r="283" spans="12:27" ht="18.75">
      <c r="L283" s="777">
        <v>5</v>
      </c>
      <c r="M283" s="778"/>
      <c r="N283" s="976">
        <v>767</v>
      </c>
      <c r="O283" s="1020">
        <v>230</v>
      </c>
      <c r="P283" s="847">
        <f>VLOOKUP(N283,etat!$A$9:$N$1004,2,FALSE)</f>
        <v>0</v>
      </c>
      <c r="Q283" s="797">
        <f>VLOOKUP(N283,etat!$A$9:$N$963,7,FALSE)</f>
        <v>0</v>
      </c>
      <c r="R283" s="954">
        <f>VLOOKUP(N283,etat!$A$9:$N$1003,9,FALSE)</f>
        <v>0</v>
      </c>
      <c r="S283" s="866">
        <f>VLOOKUP(N283,etat!$A$9:$P$905,16,FALSE)</f>
        <v>0</v>
      </c>
      <c r="T283" s="755">
        <v>45781</v>
      </c>
      <c r="U283" s="791">
        <v>4</v>
      </c>
      <c r="V283" s="784" t="s">
        <v>2285</v>
      </c>
      <c r="W283" s="784"/>
      <c r="X283" s="784"/>
      <c r="Y283" s="975"/>
      <c r="Z283" s="975" t="str">
        <f>VLOOKUP(L306,[2]اس!$S$3:$X$31,3,FALSE)</f>
        <v>.</v>
      </c>
      <c r="AA283" s="967">
        <v>6</v>
      </c>
    </row>
    <row r="284" spans="12:27" ht="15.75">
      <c r="L284" s="777">
        <v>5</v>
      </c>
      <c r="M284" s="778"/>
      <c r="N284" s="976">
        <v>776</v>
      </c>
      <c r="O284" s="1020">
        <v>231</v>
      </c>
      <c r="P284" s="847">
        <f>VLOOKUP(N284,etat!$A$9:$N$1004,2,FALSE)</f>
        <v>0</v>
      </c>
      <c r="Q284" s="797">
        <f>VLOOKUP(N284,etat!$A$9:$N$963,7,FALSE)</f>
        <v>0</v>
      </c>
      <c r="R284" s="797">
        <f>VLOOKUP(N284,etat!$A$9:$N$1003,9,FALSE)</f>
        <v>0</v>
      </c>
      <c r="S284" s="866">
        <f>VLOOKUP(N284,etat!$A$9:$P$905,16,FALSE)</f>
        <v>0</v>
      </c>
      <c r="T284" s="755">
        <v>45784</v>
      </c>
      <c r="U284" s="1125">
        <v>1</v>
      </c>
      <c r="V284" s="784"/>
      <c r="W284" s="784"/>
      <c r="X284" s="784"/>
      <c r="Y284" s="975"/>
      <c r="Z284" s="975"/>
      <c r="AA284" s="967">
        <v>6</v>
      </c>
    </row>
    <row r="285" spans="12:27" ht="15.75">
      <c r="L285" s="777">
        <v>5</v>
      </c>
      <c r="M285" s="778"/>
      <c r="N285" s="976">
        <v>778</v>
      </c>
      <c r="O285" s="1020">
        <v>232</v>
      </c>
      <c r="P285" s="847">
        <f>VLOOKUP(N285,etat!$A$9:$N$1004,2,FALSE)</f>
        <v>0</v>
      </c>
      <c r="Q285" s="797">
        <f>VLOOKUP(N285,etat!$A$9:$N$963,7,FALSE)</f>
        <v>0</v>
      </c>
      <c r="R285" s="797">
        <f>VLOOKUP(N285,etat!$A$9:$N$1003,9,FALSE)</f>
        <v>0</v>
      </c>
      <c r="S285" s="866">
        <f>VLOOKUP(N285,etat!$A$9:$P$905,16,FALSE)</f>
        <v>0</v>
      </c>
      <c r="T285" s="755">
        <v>45784</v>
      </c>
      <c r="U285" s="1125">
        <v>1</v>
      </c>
      <c r="V285" s="784"/>
      <c r="W285" s="784"/>
      <c r="X285" s="784"/>
      <c r="Y285" s="975"/>
      <c r="Z285" s="975" t="e">
        <f>VLOOKUP(#REF!,[2]اس!$S$3:$X$31,3,FALSE)</f>
        <v>#REF!</v>
      </c>
      <c r="AA285" s="967">
        <v>6</v>
      </c>
    </row>
    <row r="286" spans="12:27" ht="15.75">
      <c r="L286" s="777">
        <v>5</v>
      </c>
      <c r="M286" s="778"/>
      <c r="N286" s="976"/>
      <c r="O286" s="1020">
        <v>233</v>
      </c>
      <c r="P286" s="847" t="e">
        <f>VLOOKUP(N286,etat!$A$9:$N$1004,2,FALSE)</f>
        <v>#N/A</v>
      </c>
      <c r="Q286" s="797" t="e">
        <f>VLOOKUP(N286,etat!$A$9:$N$963,7,FALSE)</f>
        <v>#N/A</v>
      </c>
      <c r="R286" s="797" t="e">
        <f>VLOOKUP(N286,etat!$A$9:$N$1003,9,FALSE)</f>
        <v>#N/A</v>
      </c>
      <c r="S286" s="866" t="e">
        <f>VLOOKUP(N286,etat!$A$9:$P$905,16,FALSE)</f>
        <v>#N/A</v>
      </c>
      <c r="T286" s="755"/>
      <c r="U286" s="791"/>
      <c r="V286" s="784"/>
      <c r="W286" s="784"/>
      <c r="X286" s="784"/>
      <c r="Y286" s="975"/>
      <c r="Z286" s="975"/>
      <c r="AA286" s="967"/>
    </row>
    <row r="287" spans="12:27" ht="15.75">
      <c r="L287" s="777">
        <v>5</v>
      </c>
      <c r="M287" s="778"/>
      <c r="N287" s="976"/>
      <c r="O287" s="1020">
        <v>234</v>
      </c>
      <c r="P287" s="847" t="e">
        <f>VLOOKUP(N287,etat!$A$9:$N$1004,2,FALSE)</f>
        <v>#N/A</v>
      </c>
      <c r="Q287" s="797" t="e">
        <f>VLOOKUP(N287,etat!$A$9:$N$963,7,FALSE)</f>
        <v>#N/A</v>
      </c>
      <c r="R287" s="797" t="e">
        <f>VLOOKUP(N287,etat!$A$9:$N$1003,9,FALSE)</f>
        <v>#N/A</v>
      </c>
      <c r="S287" s="866" t="e">
        <f>VLOOKUP(N287,etat!$A$9:$P$905,16,FALSE)</f>
        <v>#N/A</v>
      </c>
      <c r="T287" s="755"/>
      <c r="U287" s="791"/>
      <c r="V287" s="784"/>
      <c r="W287" s="784"/>
      <c r="X287" s="784"/>
      <c r="Y287" s="975"/>
      <c r="Z287" s="975" t="e">
        <f>VLOOKUP(#REF!,[2]اس!$S$3:$X$31,3,FALSE)</f>
        <v>#REF!</v>
      </c>
      <c r="AA287" s="967"/>
    </row>
    <row r="288" spans="12:27" ht="15.75">
      <c r="L288" s="777">
        <v>5</v>
      </c>
      <c r="M288" s="778"/>
      <c r="N288" s="976"/>
      <c r="O288" s="1020">
        <v>235</v>
      </c>
      <c r="P288" s="847" t="e">
        <f>VLOOKUP(N288,etat!$A$9:$N$1004,2,FALSE)</f>
        <v>#N/A</v>
      </c>
      <c r="Q288" s="797" t="e">
        <f>VLOOKUP(N288,etat!$A$9:$N$963,7,FALSE)</f>
        <v>#N/A</v>
      </c>
      <c r="R288" s="797" t="e">
        <f>VLOOKUP(N288,etat!$A$9:$N$1003,9,FALSE)</f>
        <v>#N/A</v>
      </c>
      <c r="S288" s="866" t="e">
        <f>VLOOKUP(N288,etat!$A$9:$P$905,16,FALSE)</f>
        <v>#N/A</v>
      </c>
      <c r="T288" s="755"/>
      <c r="U288" s="1129"/>
      <c r="V288" s="784"/>
      <c r="W288" s="784"/>
      <c r="X288" s="784"/>
      <c r="Y288" s="975"/>
      <c r="Z288" s="975" t="str">
        <f>VLOOKUP(L291,[2]اس!$S$3:$X$31,3,FALSE)</f>
        <v>.</v>
      </c>
      <c r="AA288" s="967"/>
    </row>
    <row r="289" spans="12:27" ht="18.75">
      <c r="L289" s="777">
        <v>5</v>
      </c>
      <c r="M289" s="778"/>
      <c r="N289" s="976"/>
      <c r="O289" s="1020">
        <v>236</v>
      </c>
      <c r="P289" s="847" t="e">
        <f>VLOOKUP(N289,etat!$A$9:$N$1004,2,FALSE)</f>
        <v>#N/A</v>
      </c>
      <c r="Q289" s="797" t="e">
        <f>VLOOKUP(N289,etat!$A$9:$N$963,7,FALSE)</f>
        <v>#N/A</v>
      </c>
      <c r="R289" s="954" t="e">
        <f>VLOOKUP(N289,etat!$A$9:$N$1003,9,FALSE)</f>
        <v>#N/A</v>
      </c>
      <c r="S289" s="866" t="e">
        <f>VLOOKUP(N289,etat!$A$9:$P$905,16,FALSE)</f>
        <v>#N/A</v>
      </c>
      <c r="T289" s="755"/>
      <c r="U289" s="791"/>
      <c r="V289" s="784"/>
      <c r="W289" s="784"/>
      <c r="X289" s="784"/>
      <c r="Y289" s="975"/>
      <c r="Z289" s="975"/>
      <c r="AA289" s="967"/>
    </row>
    <row r="290" spans="12:27" ht="18.75">
      <c r="L290" s="777">
        <v>5</v>
      </c>
      <c r="M290" s="778"/>
      <c r="N290" s="976"/>
      <c r="O290" s="1020">
        <v>237</v>
      </c>
      <c r="P290" s="847" t="e">
        <f>VLOOKUP(N290,etat!$A$9:$N$1004,2,FALSE)</f>
        <v>#N/A</v>
      </c>
      <c r="Q290" s="797" t="e">
        <f>VLOOKUP(N290,etat!$A$9:$N$963,7,FALSE)</f>
        <v>#N/A</v>
      </c>
      <c r="R290" s="954" t="e">
        <f>VLOOKUP(N290,etat!$A$9:$N$1003,9,FALSE)</f>
        <v>#N/A</v>
      </c>
      <c r="S290" s="866" t="e">
        <f>VLOOKUP(N290,etat!$A$9:$P$905,16,FALSE)</f>
        <v>#N/A</v>
      </c>
      <c r="T290" s="755"/>
      <c r="U290" s="791"/>
      <c r="V290" s="784"/>
      <c r="W290" s="784"/>
      <c r="X290" s="784"/>
      <c r="Y290" s="975"/>
      <c r="Z290" s="975" t="str">
        <f>VLOOKUP(L313,[2]اس!$S$3:$X$31,3,FALSE)</f>
        <v>.</v>
      </c>
      <c r="AA290" s="967"/>
    </row>
    <row r="291" spans="12:27" ht="15.75">
      <c r="L291" s="777">
        <v>5</v>
      </c>
      <c r="M291" s="778"/>
      <c r="N291" s="976"/>
      <c r="O291" s="1020">
        <v>238</v>
      </c>
      <c r="P291" s="847" t="e">
        <f>VLOOKUP(N291,etat!$A$9:$N$1004,2,FALSE)</f>
        <v>#N/A</v>
      </c>
      <c r="Q291" s="797" t="e">
        <f>VLOOKUP(N291,etat!$A$9:$N$963,7,FALSE)</f>
        <v>#N/A</v>
      </c>
      <c r="R291" s="866" t="e">
        <f>VLOOKUP(N291,etat!$A$9:$N$1003,9,FALSE)</f>
        <v>#N/A</v>
      </c>
      <c r="S291" s="866" t="e">
        <f>VLOOKUP(N291,etat!$A$9:$P$905,16,FALSE)</f>
        <v>#N/A</v>
      </c>
      <c r="T291" s="755"/>
      <c r="U291" s="784"/>
      <c r="V291" s="784"/>
      <c r="W291" s="869"/>
      <c r="X291" s="869"/>
      <c r="Y291" s="975"/>
      <c r="Z291" s="975" t="str">
        <f>VLOOKUP(L320,[2]اس!$S$3:$X$31,3,FALSE)</f>
        <v>.</v>
      </c>
      <c r="AA291" s="967"/>
    </row>
    <row r="292" spans="12:27" ht="15.75">
      <c r="L292" s="777">
        <v>5</v>
      </c>
      <c r="M292" s="778"/>
      <c r="N292" s="976"/>
      <c r="O292" s="1020">
        <v>239</v>
      </c>
      <c r="P292" s="847" t="e">
        <f>VLOOKUP(N292,etat!$A$9:$N$1004,2,FALSE)</f>
        <v>#N/A</v>
      </c>
      <c r="Q292" s="797" t="e">
        <f>VLOOKUP(N292,etat!$A$9:$N$963,7,FALSE)</f>
        <v>#N/A</v>
      </c>
      <c r="R292" s="797" t="e">
        <f>VLOOKUP(N292,etat!$A$9:$N$1003,9,FALSE)</f>
        <v>#N/A</v>
      </c>
      <c r="S292" s="866" t="e">
        <f>VLOOKUP(N292,etat!$A$9:$P$905,16,FALSE)</f>
        <v>#N/A</v>
      </c>
      <c r="T292" s="755"/>
      <c r="U292" s="791"/>
      <c r="V292" s="784"/>
      <c r="W292" s="784"/>
      <c r="X292" s="784"/>
      <c r="Y292" s="975"/>
      <c r="Z292" s="975"/>
      <c r="AA292" s="967"/>
    </row>
    <row r="293" spans="12:27" ht="15.75">
      <c r="L293" s="777">
        <v>5</v>
      </c>
      <c r="M293" s="778"/>
      <c r="N293" s="976"/>
      <c r="O293" s="1020">
        <v>240</v>
      </c>
      <c r="P293" s="847" t="e">
        <f>VLOOKUP(N293,etat!$A$9:$N$1004,2,FALSE)</f>
        <v>#N/A</v>
      </c>
      <c r="Q293" s="797" t="e">
        <f>VLOOKUP(N293,etat!$A$9:$N$963,7,FALSE)</f>
        <v>#N/A</v>
      </c>
      <c r="R293" s="797" t="e">
        <f>VLOOKUP(N293,etat!$A$9:$N$1003,9,FALSE)</f>
        <v>#N/A</v>
      </c>
      <c r="S293" s="866" t="e">
        <f>VLOOKUP(N293,etat!$A$9:$P$905,16,FALSE)</f>
        <v>#N/A</v>
      </c>
      <c r="T293" s="755"/>
      <c r="U293" s="1129"/>
      <c r="V293" s="784"/>
      <c r="W293" s="784"/>
      <c r="X293" s="784"/>
      <c r="Y293" s="975"/>
      <c r="Z293" s="975"/>
      <c r="AA293" s="967"/>
    </row>
    <row r="294" spans="12:27" ht="15.75">
      <c r="L294" s="777">
        <v>5</v>
      </c>
      <c r="M294" s="778"/>
      <c r="N294" s="976"/>
      <c r="O294" s="1020">
        <v>241</v>
      </c>
      <c r="P294" s="847" t="e">
        <f>VLOOKUP(N294,etat!$A$9:$N$1004,2,FALSE)</f>
        <v>#N/A</v>
      </c>
      <c r="Q294" s="797" t="e">
        <f>VLOOKUP(N294,etat!$A$9:$N$963,7,FALSE)</f>
        <v>#N/A</v>
      </c>
      <c r="R294" s="797" t="e">
        <f>VLOOKUP(N294,etat!$A$9:$N$1003,9,FALSE)</f>
        <v>#N/A</v>
      </c>
      <c r="S294" s="866" t="e">
        <f>VLOOKUP(N294,etat!$A$9:$P$905,16,FALSE)</f>
        <v>#N/A</v>
      </c>
      <c r="T294" s="755"/>
      <c r="U294" s="791"/>
      <c r="V294" s="784"/>
      <c r="W294" s="784"/>
      <c r="X294" s="784"/>
      <c r="Y294" s="975"/>
      <c r="Z294" s="975"/>
      <c r="AA294" s="967"/>
    </row>
    <row r="295" spans="12:27" ht="15.75">
      <c r="L295" s="777">
        <v>5</v>
      </c>
      <c r="M295" s="778"/>
      <c r="N295" s="976"/>
      <c r="O295" s="1020">
        <v>242</v>
      </c>
      <c r="P295" s="847" t="e">
        <f>VLOOKUP(N295,etat!$A$9:$N$1004,2,FALSE)</f>
        <v>#N/A</v>
      </c>
      <c r="Q295" s="797" t="e">
        <f>VLOOKUP(N295,etat!$A$9:$N$963,7,FALSE)</f>
        <v>#N/A</v>
      </c>
      <c r="R295" s="797" t="e">
        <f>VLOOKUP(N295,etat!$A$9:$N$1003,9,FALSE)</f>
        <v>#N/A</v>
      </c>
      <c r="S295" s="866" t="e">
        <f>VLOOKUP(N295,etat!$A$9:$P$905,16,FALSE)</f>
        <v>#N/A</v>
      </c>
      <c r="T295" s="755"/>
      <c r="U295" s="791"/>
      <c r="V295" s="784"/>
      <c r="W295" s="784"/>
      <c r="X295" s="784"/>
      <c r="Y295" s="975"/>
      <c r="Z295" s="975"/>
      <c r="AA295" s="967"/>
    </row>
    <row r="296" spans="12:27" ht="15.75">
      <c r="L296" s="777">
        <v>5</v>
      </c>
      <c r="M296" s="778"/>
      <c r="N296" s="976"/>
      <c r="O296" s="1020">
        <v>243</v>
      </c>
      <c r="P296" s="847" t="e">
        <f>VLOOKUP(N296,etat!$A$9:$N$1004,2,FALSE)</f>
        <v>#N/A</v>
      </c>
      <c r="Q296" s="797" t="e">
        <f>VLOOKUP(N296,etat!$A$9:$N$963,7,FALSE)</f>
        <v>#N/A</v>
      </c>
      <c r="R296" s="866" t="e">
        <f>VLOOKUP(N296,etat!$A$9:$N$1003,9,FALSE)</f>
        <v>#N/A</v>
      </c>
      <c r="S296" s="866" t="e">
        <f>VLOOKUP(N296,etat!$A$9:$P$905,16,FALSE)</f>
        <v>#N/A</v>
      </c>
      <c r="T296" s="755"/>
      <c r="U296" s="791"/>
      <c r="V296" s="784"/>
      <c r="W296" s="784"/>
      <c r="X296" s="784"/>
      <c r="Y296" s="975"/>
      <c r="Z296" s="967"/>
      <c r="AA296" s="967"/>
    </row>
    <row r="297" spans="12:27" ht="15.75">
      <c r="L297" s="777">
        <v>5</v>
      </c>
      <c r="M297" s="778"/>
      <c r="N297" s="976"/>
      <c r="O297" s="1020">
        <v>244</v>
      </c>
      <c r="P297" s="847" t="e">
        <f>VLOOKUP(N297,etat!$A$9:$N$1004,2,FALSE)</f>
        <v>#N/A</v>
      </c>
      <c r="Q297" s="797" t="e">
        <f>VLOOKUP(N297,etat!$A$9:$N$963,7,FALSE)</f>
        <v>#N/A</v>
      </c>
      <c r="R297" s="866" t="e">
        <f>VLOOKUP(N297,etat!$A$9:$N$1003,9,FALSE)</f>
        <v>#N/A</v>
      </c>
      <c r="S297" s="866" t="e">
        <f>VLOOKUP(N297,etat!$A$9:$P$905,16,FALSE)</f>
        <v>#N/A</v>
      </c>
      <c r="T297" s="755"/>
      <c r="U297" s="784"/>
      <c r="V297" s="784"/>
      <c r="W297" s="869"/>
      <c r="X297" s="869"/>
      <c r="Y297" s="975"/>
      <c r="Z297" s="975"/>
      <c r="AA297" s="967"/>
    </row>
    <row r="298" spans="12:27" ht="15.75">
      <c r="L298" s="777">
        <v>5</v>
      </c>
      <c r="M298" s="778"/>
      <c r="N298" s="976"/>
      <c r="O298" s="1020">
        <v>245</v>
      </c>
      <c r="P298" s="847" t="e">
        <f>VLOOKUP(N298,etat!$A$9:$N$1004,2,FALSE)</f>
        <v>#N/A</v>
      </c>
      <c r="Q298" s="797" t="e">
        <f>VLOOKUP(N298,etat!$A$9:$N$963,7,FALSE)</f>
        <v>#N/A</v>
      </c>
      <c r="R298" s="866" t="e">
        <f>VLOOKUP(N298,etat!$A$9:$N$1003,9,FALSE)</f>
        <v>#N/A</v>
      </c>
      <c r="S298" s="866" t="e">
        <f>VLOOKUP(N298,etat!$A$9:$P$905,16,FALSE)</f>
        <v>#N/A</v>
      </c>
      <c r="T298" s="755"/>
      <c r="U298" s="791"/>
      <c r="V298" s="784"/>
      <c r="W298" s="784"/>
      <c r="X298" s="784"/>
      <c r="Y298" s="975"/>
      <c r="Z298" s="967"/>
      <c r="AA298" s="967"/>
    </row>
    <row r="299" spans="12:27" ht="15.75">
      <c r="L299" s="777">
        <v>5</v>
      </c>
      <c r="M299" s="778"/>
      <c r="N299" s="976"/>
      <c r="O299" s="1020">
        <v>246</v>
      </c>
      <c r="P299" s="847" t="e">
        <f>VLOOKUP(N299,etat!$A$9:$N$1004,2,FALSE)</f>
        <v>#N/A</v>
      </c>
      <c r="Q299" s="797" t="e">
        <f>VLOOKUP(N299,etat!$A$9:$N$963,7,FALSE)</f>
        <v>#N/A</v>
      </c>
      <c r="R299" s="866" t="e">
        <f>VLOOKUP(N299,etat!$A$9:$N$1003,9,FALSE)</f>
        <v>#N/A</v>
      </c>
      <c r="S299" s="866" t="e">
        <f>VLOOKUP(N299,etat!$A$9:$P$905,16,FALSE)</f>
        <v>#N/A</v>
      </c>
      <c r="T299" s="755"/>
      <c r="U299" s="791"/>
      <c r="V299" s="784"/>
      <c r="W299" s="784"/>
      <c r="X299" s="784"/>
      <c r="Y299" s="975"/>
      <c r="Z299" s="967"/>
      <c r="AA299" s="967"/>
    </row>
    <row r="300" spans="12:27" ht="15.75">
      <c r="L300" s="777">
        <v>5</v>
      </c>
      <c r="M300" s="778"/>
      <c r="N300" s="976"/>
      <c r="O300" s="1020">
        <v>247</v>
      </c>
      <c r="P300" s="847" t="e">
        <f>VLOOKUP(N300,etat!$A$9:$N$1004,2,FALSE)</f>
        <v>#N/A</v>
      </c>
      <c r="Q300" s="797" t="e">
        <f>VLOOKUP(N300,etat!$A$9:$N$963,7,FALSE)</f>
        <v>#N/A</v>
      </c>
      <c r="R300" s="866" t="e">
        <f>VLOOKUP(N300,etat!$A$9:$N$1003,9,FALSE)</f>
        <v>#N/A</v>
      </c>
      <c r="S300" s="866" t="e">
        <f>VLOOKUP(N300,etat!$A$9:$P$905,16,FALSE)</f>
        <v>#N/A</v>
      </c>
      <c r="T300" s="755"/>
      <c r="U300" s="791"/>
      <c r="V300" s="784"/>
      <c r="W300" s="784"/>
      <c r="X300" s="784"/>
      <c r="Y300" s="975"/>
      <c r="Z300" s="967"/>
      <c r="AA300" s="967"/>
    </row>
    <row r="301" spans="12:27" ht="15.75">
      <c r="L301" s="777">
        <v>5</v>
      </c>
      <c r="M301" s="778"/>
      <c r="N301" s="976"/>
      <c r="O301" s="1020">
        <v>248</v>
      </c>
      <c r="P301" s="847" t="e">
        <f>VLOOKUP(N301,etat!$A$9:$N$1004,2,FALSE)</f>
        <v>#N/A</v>
      </c>
      <c r="Q301" s="797" t="e">
        <f>VLOOKUP(N301,etat!$A$9:$N$963,7,FALSE)</f>
        <v>#N/A</v>
      </c>
      <c r="R301" s="866" t="e">
        <f>VLOOKUP(N301,etat!$A$9:$N$1003,9,FALSE)</f>
        <v>#N/A</v>
      </c>
      <c r="S301" s="866" t="e">
        <f>VLOOKUP(N301,etat!$A$9:$P$905,16,FALSE)</f>
        <v>#N/A</v>
      </c>
      <c r="T301" s="755"/>
      <c r="U301" s="791"/>
      <c r="V301" s="784"/>
      <c r="W301" s="784"/>
      <c r="X301" s="784"/>
      <c r="Y301" s="975"/>
      <c r="Z301" s="967"/>
      <c r="AA301" s="967"/>
    </row>
    <row r="302" spans="12:27" ht="15.75">
      <c r="L302" s="777">
        <v>5</v>
      </c>
      <c r="M302" s="778"/>
      <c r="N302" s="976"/>
      <c r="O302" s="1020">
        <v>249</v>
      </c>
      <c r="P302" s="847" t="e">
        <f>VLOOKUP(N302,etat!$A$9:$N$1004,2,FALSE)</f>
        <v>#N/A</v>
      </c>
      <c r="Q302" s="797" t="e">
        <f>VLOOKUP(N302,etat!$A$9:$N$963,7,FALSE)</f>
        <v>#N/A</v>
      </c>
      <c r="R302" s="866" t="e">
        <f>VLOOKUP(N302,etat!$A$9:$N$1003,9,FALSE)</f>
        <v>#N/A</v>
      </c>
      <c r="S302" s="866" t="e">
        <f>VLOOKUP(N302,etat!$A$9:$P$905,16,FALSE)</f>
        <v>#N/A</v>
      </c>
      <c r="T302" s="755"/>
      <c r="U302" s="791"/>
      <c r="V302" s="784"/>
      <c r="W302" s="784"/>
      <c r="X302" s="784"/>
      <c r="Y302" s="975"/>
      <c r="Z302" s="967"/>
      <c r="AA302" s="967"/>
    </row>
    <row r="303" spans="12:27" ht="15.75">
      <c r="L303" s="777">
        <v>5</v>
      </c>
      <c r="M303" s="778"/>
      <c r="N303" s="976"/>
      <c r="O303" s="1020">
        <v>250</v>
      </c>
      <c r="P303" s="847" t="e">
        <f>VLOOKUP(N303,etat!$A$9:$N$1004,2,FALSE)</f>
        <v>#N/A</v>
      </c>
      <c r="Q303" s="797" t="e">
        <f>VLOOKUP(N303,etat!$A$9:$N$963,7,FALSE)</f>
        <v>#N/A</v>
      </c>
      <c r="R303" s="866" t="e">
        <f>VLOOKUP(N303,etat!$A$9:$N$1003,9,FALSE)</f>
        <v>#N/A</v>
      </c>
      <c r="S303" s="866" t="e">
        <f>VLOOKUP(N303,etat!$A$9:$P$905,16,FALSE)</f>
        <v>#N/A</v>
      </c>
      <c r="T303" s="755"/>
      <c r="U303" s="784"/>
      <c r="V303" s="784"/>
      <c r="W303" s="869"/>
      <c r="X303" s="869"/>
      <c r="Y303" s="975"/>
      <c r="Z303" s="975"/>
      <c r="AA303" s="967"/>
    </row>
    <row r="304" spans="12:27" ht="15.75">
      <c r="L304" s="777">
        <v>5</v>
      </c>
      <c r="M304" s="778"/>
      <c r="N304" s="976"/>
      <c r="O304" s="1020">
        <v>251</v>
      </c>
      <c r="P304" s="847" t="e">
        <f>VLOOKUP(N304,etat!$A$9:$N$1004,2,FALSE)</f>
        <v>#N/A</v>
      </c>
      <c r="Q304" s="797" t="e">
        <f>VLOOKUP(N304,etat!$A$9:$N$963,7,FALSE)</f>
        <v>#N/A</v>
      </c>
      <c r="R304" s="797" t="e">
        <f>VLOOKUP(N304,etat!$A$9:$N$1003,9,FALSE)</f>
        <v>#N/A</v>
      </c>
      <c r="S304" s="866" t="e">
        <f>VLOOKUP(N304,etat!$A$9:$P$905,16,FALSE)</f>
        <v>#N/A</v>
      </c>
      <c r="T304" s="755"/>
      <c r="U304" s="791"/>
      <c r="V304" s="784"/>
      <c r="W304" s="784"/>
      <c r="X304" s="784"/>
      <c r="Y304" s="975"/>
      <c r="Z304" s="975"/>
      <c r="AA304" s="967"/>
    </row>
    <row r="305" spans="12:27" ht="15.75">
      <c r="L305" s="777">
        <v>5</v>
      </c>
      <c r="M305" s="864"/>
      <c r="N305" s="976"/>
      <c r="O305" s="1020">
        <v>252</v>
      </c>
      <c r="P305" s="847" t="e">
        <f>VLOOKUP(N305,etat!$A$9:$N$1004,2,FALSE)</f>
        <v>#N/A</v>
      </c>
      <c r="Q305" s="797" t="e">
        <f>VLOOKUP(N305,etat!$A$9:$N$963,7,FALSE)</f>
        <v>#N/A</v>
      </c>
      <c r="R305" s="866" t="e">
        <f>VLOOKUP(N305,etat!$A$9:$N$1003,9,FALSE)</f>
        <v>#N/A</v>
      </c>
      <c r="S305" s="866" t="e">
        <f>VLOOKUP(N305,etat!$A$9:$P$905,16,FALSE)</f>
        <v>#N/A</v>
      </c>
      <c r="T305" s="755"/>
      <c r="U305" s="784"/>
      <c r="V305" s="784"/>
      <c r="W305" s="869"/>
      <c r="X305" s="869"/>
      <c r="Y305" s="975"/>
      <c r="Z305" s="975"/>
      <c r="AA305" s="967"/>
    </row>
    <row r="306" spans="12:27" ht="15.75">
      <c r="L306" s="777">
        <v>5</v>
      </c>
      <c r="M306" s="864"/>
      <c r="N306" s="976"/>
      <c r="O306" s="1020">
        <v>253</v>
      </c>
      <c r="P306" s="847" t="e">
        <f>VLOOKUP(N306,etat!$A$9:$N$1004,2,FALSE)</f>
        <v>#N/A</v>
      </c>
      <c r="Q306" s="797" t="e">
        <f>VLOOKUP(N306,etat!$A$9:$N$963,7,FALSE)</f>
        <v>#N/A</v>
      </c>
      <c r="R306" s="866" t="e">
        <f>VLOOKUP(N306,etat!$A$9:$N$1003,9,FALSE)</f>
        <v>#N/A</v>
      </c>
      <c r="S306" s="866" t="e">
        <f>VLOOKUP(N306,etat!$A$9:$P$905,16,FALSE)</f>
        <v>#N/A</v>
      </c>
      <c r="T306" s="755"/>
      <c r="U306" s="791"/>
      <c r="V306" s="784"/>
      <c r="W306" s="784"/>
      <c r="X306" s="784"/>
      <c r="Y306" s="975"/>
      <c r="Z306" s="975"/>
      <c r="AA306" s="967"/>
    </row>
    <row r="307" spans="12:27" ht="15.75">
      <c r="L307" s="777">
        <v>5</v>
      </c>
      <c r="M307" s="864"/>
      <c r="N307" s="976"/>
      <c r="O307" s="1020">
        <v>254</v>
      </c>
      <c r="P307" s="847" t="e">
        <f>VLOOKUP(N307,etat!$A$9:$N$1004,2,FALSE)</f>
        <v>#N/A</v>
      </c>
      <c r="Q307" s="797" t="e">
        <f>VLOOKUP(N307,etat!$A$9:$N$963,7,FALSE)</f>
        <v>#N/A</v>
      </c>
      <c r="R307" s="797" t="e">
        <f>VLOOKUP(N307,etat!$A$9:$N$1003,9,FALSE)</f>
        <v>#N/A</v>
      </c>
      <c r="S307" s="866" t="e">
        <f>VLOOKUP(N307,etat!$A$9:$P$905,16,FALSE)</f>
        <v>#N/A</v>
      </c>
      <c r="T307" s="755"/>
      <c r="U307" s="1129"/>
      <c r="V307" s="784"/>
      <c r="W307" s="784"/>
      <c r="X307" s="784"/>
      <c r="Y307" s="975"/>
      <c r="Z307" s="975"/>
      <c r="AA307" s="967"/>
    </row>
    <row r="308" spans="12:27" ht="15.75">
      <c r="L308" s="777">
        <v>5</v>
      </c>
      <c r="M308" s="778"/>
      <c r="N308" s="976"/>
      <c r="O308" s="1020">
        <v>255</v>
      </c>
      <c r="P308" s="847" t="e">
        <f>VLOOKUP(N308,etat!$A$9:$N$1004,2,FALSE)</f>
        <v>#N/A</v>
      </c>
      <c r="Q308" s="797" t="e">
        <f>VLOOKUP(N308,etat!$A$9:$N$963,7,FALSE)</f>
        <v>#N/A</v>
      </c>
      <c r="R308" s="797" t="e">
        <f>VLOOKUP(N308,etat!$A$9:$N$1003,9,FALSE)</f>
        <v>#N/A</v>
      </c>
      <c r="S308" s="866" t="e">
        <f>VLOOKUP(N308,etat!$A$9:$P$905,16,FALSE)</f>
        <v>#N/A</v>
      </c>
      <c r="T308" s="755"/>
      <c r="U308" s="784"/>
      <c r="V308" s="784"/>
      <c r="W308" s="869"/>
      <c r="X308" s="869"/>
      <c r="Y308" s="975"/>
      <c r="Z308" s="967"/>
      <c r="AA308" s="967"/>
    </row>
    <row r="309" spans="12:27" ht="15.75">
      <c r="L309" s="777">
        <v>5</v>
      </c>
      <c r="M309" s="778"/>
      <c r="N309" s="976"/>
      <c r="O309" s="1020">
        <v>256</v>
      </c>
      <c r="P309" s="847" t="e">
        <f>VLOOKUP(N309,etat!$A$9:$N$1004,2,FALSE)</f>
        <v>#N/A</v>
      </c>
      <c r="Q309" s="797" t="e">
        <f>VLOOKUP(N309,etat!$A$9:$N$963,7,FALSE)</f>
        <v>#N/A</v>
      </c>
      <c r="R309" s="797" t="e">
        <f>VLOOKUP(N309,etat!$A$9:$N$1003,9,FALSE)</f>
        <v>#N/A</v>
      </c>
      <c r="S309" s="866" t="e">
        <f>VLOOKUP(N309,etat!$A$9:$P$905,16,FALSE)</f>
        <v>#N/A</v>
      </c>
      <c r="T309" s="755"/>
      <c r="U309" s="791"/>
      <c r="V309" s="784"/>
      <c r="W309" s="784"/>
      <c r="X309" s="784"/>
      <c r="Y309" s="975"/>
      <c r="Z309" s="975"/>
      <c r="AA309" s="967"/>
    </row>
    <row r="310" spans="12:27" ht="15.75">
      <c r="L310" s="777">
        <v>5</v>
      </c>
      <c r="M310" s="778"/>
      <c r="N310" s="976"/>
      <c r="O310" s="1020">
        <v>257</v>
      </c>
      <c r="P310" s="847" t="e">
        <f>VLOOKUP(N310,etat!$A$9:$N$1004,2,FALSE)</f>
        <v>#N/A</v>
      </c>
      <c r="Q310" s="797" t="e">
        <f>VLOOKUP(N310,etat!$A$9:$N$963,7,FALSE)</f>
        <v>#N/A</v>
      </c>
      <c r="R310" s="797" t="e">
        <f>VLOOKUP(N310,etat!$A$9:$N$1003,9,FALSE)</f>
        <v>#N/A</v>
      </c>
      <c r="S310" s="866" t="e">
        <f>VLOOKUP(N310,etat!$A$9:$P$905,16,FALSE)</f>
        <v>#N/A</v>
      </c>
      <c r="T310" s="755"/>
      <c r="U310" s="1129"/>
      <c r="V310" s="784"/>
      <c r="W310" s="784"/>
      <c r="X310" s="784"/>
      <c r="Y310" s="975"/>
      <c r="Z310" s="967"/>
      <c r="AA310" s="967"/>
    </row>
    <row r="311" spans="12:27" ht="15.75">
      <c r="L311" s="777">
        <v>5</v>
      </c>
      <c r="M311" s="778"/>
      <c r="N311" s="976"/>
      <c r="O311" s="1020">
        <v>258</v>
      </c>
      <c r="P311" s="847" t="e">
        <f>VLOOKUP(N311,etat!$A$9:$N$1004,2,FALSE)</f>
        <v>#N/A</v>
      </c>
      <c r="Q311" s="797" t="e">
        <f>VLOOKUP(N311,etat!$A$9:$N$963,7,FALSE)</f>
        <v>#N/A</v>
      </c>
      <c r="R311" s="797" t="e">
        <f>VLOOKUP(N311,etat!$A$9:$N$1003,9,FALSE)</f>
        <v>#N/A</v>
      </c>
      <c r="S311" s="866" t="e">
        <f>VLOOKUP(N311,etat!$A$9:$P$905,16,FALSE)</f>
        <v>#N/A</v>
      </c>
      <c r="T311" s="755"/>
      <c r="U311" s="784"/>
      <c r="V311" s="784"/>
      <c r="W311" s="869"/>
      <c r="X311" s="869"/>
      <c r="Y311" s="975"/>
      <c r="Z311" s="975"/>
      <c r="AA311" s="967"/>
    </row>
    <row r="312" spans="12:27" ht="15.75">
      <c r="L312" s="777">
        <v>5</v>
      </c>
      <c r="M312" s="778"/>
      <c r="N312" s="976"/>
      <c r="O312" s="1020">
        <v>259</v>
      </c>
      <c r="P312" s="847" t="e">
        <f>VLOOKUP(N312,etat!$A$9:$N$1004,2,FALSE)</f>
        <v>#N/A</v>
      </c>
      <c r="Q312" s="797" t="e">
        <f>VLOOKUP(N312,etat!$A$9:$N$963,7,FALSE)</f>
        <v>#N/A</v>
      </c>
      <c r="R312" s="797" t="e">
        <f>VLOOKUP(N312,etat!$A$9:$N$1003,9,FALSE)</f>
        <v>#N/A</v>
      </c>
      <c r="S312" s="866" t="e">
        <f>VLOOKUP(N312,etat!$A$9:$P$905,16,FALSE)</f>
        <v>#N/A</v>
      </c>
      <c r="T312" s="755"/>
      <c r="U312" s="784"/>
      <c r="V312" s="784"/>
      <c r="W312" s="869"/>
      <c r="X312" s="869"/>
      <c r="Y312" s="975"/>
      <c r="Z312" s="975"/>
      <c r="AA312" s="967"/>
    </row>
    <row r="313" spans="12:27" ht="15.75">
      <c r="L313" s="777">
        <v>5</v>
      </c>
      <c r="M313" s="778"/>
      <c r="N313" s="976"/>
      <c r="O313" s="1020">
        <v>260</v>
      </c>
      <c r="P313" s="847" t="e">
        <f>VLOOKUP(N313,etat!$A$9:$N$1004,2,FALSE)</f>
        <v>#N/A</v>
      </c>
      <c r="Q313" s="797" t="e">
        <f>VLOOKUP(N313,etat!$A$9:$N$963,7,FALSE)</f>
        <v>#N/A</v>
      </c>
      <c r="R313" s="797" t="e">
        <f>VLOOKUP(N313,etat!$A$9:$N$1003,9,FALSE)</f>
        <v>#N/A</v>
      </c>
      <c r="S313" s="866" t="e">
        <f>VLOOKUP(N313,etat!$A$9:$P$905,16,FALSE)</f>
        <v>#N/A</v>
      </c>
      <c r="T313" s="755"/>
      <c r="U313" s="791"/>
      <c r="V313" s="784"/>
      <c r="W313" s="784"/>
      <c r="X313" s="784"/>
      <c r="Y313" s="975"/>
      <c r="Z313" s="975"/>
      <c r="AA313" s="967"/>
    </row>
    <row r="314" spans="12:27" ht="15.75">
      <c r="L314" s="777">
        <v>5</v>
      </c>
      <c r="M314" s="864"/>
      <c r="N314" s="976"/>
      <c r="O314" s="1020">
        <v>261</v>
      </c>
      <c r="P314" s="847" t="e">
        <f>VLOOKUP(N314,etat!$A$9:$N$1004,2,FALSE)</f>
        <v>#N/A</v>
      </c>
      <c r="Q314" s="797" t="e">
        <f>VLOOKUP(N314,etat!$A$9:$N$963,7,FALSE)</f>
        <v>#N/A</v>
      </c>
      <c r="R314" s="797" t="e">
        <f>VLOOKUP(N314,etat!$A$9:$N$1003,9,FALSE)</f>
        <v>#N/A</v>
      </c>
      <c r="S314" s="866" t="e">
        <f>VLOOKUP(N314,etat!$A$9:$P$905,16,FALSE)</f>
        <v>#N/A</v>
      </c>
      <c r="T314" s="755"/>
      <c r="U314" s="791"/>
      <c r="V314" s="784"/>
      <c r="W314" s="784"/>
      <c r="X314" s="784"/>
      <c r="Y314" s="975"/>
      <c r="Z314" s="975"/>
      <c r="AA314" s="967"/>
    </row>
    <row r="315" spans="12:27" ht="15.75">
      <c r="L315" s="777">
        <v>5</v>
      </c>
      <c r="M315" s="864"/>
      <c r="N315" s="976"/>
      <c r="O315" s="1020">
        <v>262</v>
      </c>
      <c r="P315" s="847" t="e">
        <f>VLOOKUP(N315,etat!$A$9:$N$1004,2,FALSE)</f>
        <v>#N/A</v>
      </c>
      <c r="Q315" s="797" t="e">
        <f>VLOOKUP(N315,etat!$A$9:$N$963,7,FALSE)</f>
        <v>#N/A</v>
      </c>
      <c r="R315" s="797" t="e">
        <f>VLOOKUP(N315,etat!$A$9:$N$1003,9,FALSE)</f>
        <v>#N/A</v>
      </c>
      <c r="S315" s="866" t="e">
        <f>VLOOKUP(N315,etat!$A$9:$P$905,16,FALSE)</f>
        <v>#N/A</v>
      </c>
      <c r="T315" s="755"/>
      <c r="U315" s="791"/>
      <c r="V315" s="784"/>
      <c r="W315" s="784"/>
      <c r="X315" s="784"/>
      <c r="Y315" s="975"/>
      <c r="Z315" s="975"/>
      <c r="AA315" s="967"/>
    </row>
    <row r="316" spans="12:27" ht="15.75">
      <c r="L316" s="777">
        <v>5</v>
      </c>
      <c r="M316" s="778"/>
      <c r="N316" s="976"/>
      <c r="O316" s="1020">
        <v>263</v>
      </c>
      <c r="P316" s="847" t="e">
        <f>VLOOKUP(N316,etat!$A$9:$N$1004,2,FALSE)</f>
        <v>#N/A</v>
      </c>
      <c r="Q316" s="797" t="e">
        <f>VLOOKUP(N316,etat!$A$9:$N$963,7,FALSE)</f>
        <v>#N/A</v>
      </c>
      <c r="R316" s="797" t="e">
        <f>VLOOKUP(N316,etat!$A$9:$N$1003,9,FALSE)</f>
        <v>#N/A</v>
      </c>
      <c r="S316" s="866" t="e">
        <f>VLOOKUP(N316,etat!$A$9:$P$905,16,FALSE)</f>
        <v>#N/A</v>
      </c>
      <c r="T316" s="755"/>
      <c r="U316" s="791"/>
      <c r="V316" s="784"/>
      <c r="W316" s="784"/>
      <c r="X316" s="784"/>
      <c r="Y316" s="975"/>
      <c r="Z316" s="975"/>
      <c r="AA316" s="967"/>
    </row>
    <row r="317" spans="12:27" ht="18.75">
      <c r="L317" s="777">
        <v>5</v>
      </c>
      <c r="M317" s="778"/>
      <c r="N317" s="976"/>
      <c r="O317" s="1020">
        <v>264</v>
      </c>
      <c r="P317" s="847" t="e">
        <f>VLOOKUP(N317,etat!$A$9:$N$1004,2,FALSE)</f>
        <v>#N/A</v>
      </c>
      <c r="Q317" s="797" t="e">
        <f>VLOOKUP(N317,etat!$A$9:$N$963,7,FALSE)</f>
        <v>#N/A</v>
      </c>
      <c r="R317" s="954" t="e">
        <f>VLOOKUP(N317,etat!$A$9:$N$1003,9,FALSE)</f>
        <v>#N/A</v>
      </c>
      <c r="S317" s="866" t="e">
        <f>VLOOKUP(N317,etat!$A$9:$P$905,16,FALSE)</f>
        <v>#N/A</v>
      </c>
      <c r="T317" s="755"/>
      <c r="U317" s="784"/>
      <c r="V317" s="784"/>
      <c r="W317" s="869"/>
      <c r="X317" s="869"/>
      <c r="Y317" s="975"/>
      <c r="Z317" s="975"/>
      <c r="AA317" s="967"/>
    </row>
    <row r="318" spans="12:27" ht="18.75">
      <c r="L318" s="777">
        <v>5</v>
      </c>
      <c r="M318" s="864"/>
      <c r="N318" s="976"/>
      <c r="O318" s="1020">
        <v>265</v>
      </c>
      <c r="P318" s="847" t="e">
        <f>VLOOKUP(N318,etat!$A$9:$N$1004,2,FALSE)</f>
        <v>#N/A</v>
      </c>
      <c r="Q318" s="797" t="e">
        <f>VLOOKUP(N318,etat!$A$9:$N$963,7,FALSE)</f>
        <v>#N/A</v>
      </c>
      <c r="R318" s="954" t="e">
        <f>VLOOKUP(N318,etat!$A$9:$N$1003,9,FALSE)</f>
        <v>#N/A</v>
      </c>
      <c r="S318" s="866" t="e">
        <f>VLOOKUP(N318,etat!$A$9:$P$905,16,FALSE)</f>
        <v>#N/A</v>
      </c>
      <c r="T318" s="755"/>
      <c r="U318" s="784"/>
      <c r="V318" s="784"/>
      <c r="W318" s="869"/>
      <c r="X318" s="869"/>
      <c r="Y318" s="975"/>
      <c r="Z318" s="975"/>
      <c r="AA318" s="967"/>
    </row>
    <row r="319" spans="12:27" ht="18.75">
      <c r="L319" s="777">
        <v>5</v>
      </c>
      <c r="M319" s="778"/>
      <c r="N319" s="976"/>
      <c r="O319" s="1020">
        <v>266</v>
      </c>
      <c r="P319" s="847" t="e">
        <f>VLOOKUP(N319,etat!$A$9:$N$1004,2,FALSE)</f>
        <v>#N/A</v>
      </c>
      <c r="Q319" s="797" t="e">
        <f>VLOOKUP(N319,etat!$A$9:$N$963,7,FALSE)</f>
        <v>#N/A</v>
      </c>
      <c r="R319" s="954" t="e">
        <f>VLOOKUP(N319,etat!$A$9:$N$1003,9,FALSE)</f>
        <v>#N/A</v>
      </c>
      <c r="S319" s="866" t="e">
        <f>VLOOKUP(N319,etat!$A$9:$P$905,16,FALSE)</f>
        <v>#N/A</v>
      </c>
      <c r="T319" s="755"/>
      <c r="U319" s="784"/>
      <c r="V319" s="784"/>
      <c r="W319" s="869"/>
      <c r="X319" s="869"/>
      <c r="Y319" s="975"/>
      <c r="Z319" s="975"/>
      <c r="AA319" s="967"/>
    </row>
    <row r="320" spans="12:27" ht="18.75">
      <c r="L320" s="777">
        <v>5</v>
      </c>
      <c r="M320" s="778"/>
      <c r="N320" s="976"/>
      <c r="O320" s="1020">
        <v>267</v>
      </c>
      <c r="P320" s="847" t="e">
        <f>VLOOKUP(N320,etat!$A$9:$N$1004,2,FALSE)</f>
        <v>#N/A</v>
      </c>
      <c r="Q320" s="797" t="e">
        <f>VLOOKUP(N320,etat!$A$9:$N$963,7,FALSE)</f>
        <v>#N/A</v>
      </c>
      <c r="R320" s="954" t="e">
        <f>VLOOKUP(N320,etat!$A$9:$N$1003,9,FALSE)</f>
        <v>#N/A</v>
      </c>
      <c r="S320" s="866" t="e">
        <f>VLOOKUP(N320,etat!$A$9:$P$905,16,FALSE)</f>
        <v>#N/A</v>
      </c>
      <c r="T320" s="755"/>
      <c r="U320" s="791"/>
      <c r="V320" s="784"/>
      <c r="W320" s="784"/>
      <c r="X320" s="784"/>
      <c r="Y320" s="975"/>
      <c r="Z320" s="967"/>
      <c r="AA320" s="967"/>
    </row>
    <row r="321" spans="12:27" ht="18.75">
      <c r="L321" s="777">
        <v>5</v>
      </c>
      <c r="M321" s="778"/>
      <c r="N321" s="976"/>
      <c r="O321" s="1020">
        <v>268</v>
      </c>
      <c r="P321" s="847" t="e">
        <f>VLOOKUP(N321,etat!$A$9:$N$1004,2,FALSE)</f>
        <v>#N/A</v>
      </c>
      <c r="Q321" s="797" t="e">
        <f>VLOOKUP(N321,etat!$A$9:$N$963,7,FALSE)</f>
        <v>#N/A</v>
      </c>
      <c r="R321" s="954" t="e">
        <f>VLOOKUP(N321,etat!$A$9:$N$1003,9,FALSE)</f>
        <v>#N/A</v>
      </c>
      <c r="S321" s="866" t="e">
        <f>VLOOKUP(N321,etat!$A$9:$P$905,16,FALSE)</f>
        <v>#N/A</v>
      </c>
      <c r="T321" s="755"/>
      <c r="U321" s="784"/>
      <c r="V321" s="784"/>
      <c r="W321" s="869"/>
      <c r="X321" s="869"/>
      <c r="Y321" s="975"/>
      <c r="Z321" s="967"/>
      <c r="AA321" s="967"/>
    </row>
    <row r="322" spans="12:27" ht="18.75">
      <c r="L322" s="777">
        <v>5</v>
      </c>
      <c r="M322" s="778"/>
      <c r="N322" s="976"/>
      <c r="O322" s="1020">
        <v>269</v>
      </c>
      <c r="P322" s="847" t="e">
        <f>VLOOKUP(N322,etat!$A$9:$N$1004,2,FALSE)</f>
        <v>#N/A</v>
      </c>
      <c r="Q322" s="797" t="e">
        <f>VLOOKUP(N322,etat!$A$9:$N$963,7,FALSE)</f>
        <v>#N/A</v>
      </c>
      <c r="R322" s="954" t="e">
        <f>VLOOKUP(N322,etat!$A$9:$N$1003,9,FALSE)</f>
        <v>#N/A</v>
      </c>
      <c r="S322" s="866" t="e">
        <f>VLOOKUP(N322,etat!$A$9:$P$905,16,FALSE)</f>
        <v>#N/A</v>
      </c>
      <c r="T322" s="755"/>
      <c r="U322" s="791"/>
      <c r="V322" s="784"/>
      <c r="W322" s="784"/>
      <c r="X322" s="784"/>
      <c r="Y322" s="975"/>
      <c r="Z322" s="967"/>
      <c r="AA322" s="967"/>
    </row>
    <row r="323" spans="12:27" ht="18.75">
      <c r="L323" s="777">
        <v>5</v>
      </c>
      <c r="M323" s="778"/>
      <c r="N323" s="976"/>
      <c r="O323" s="1020">
        <v>270</v>
      </c>
      <c r="P323" s="847" t="e">
        <f>VLOOKUP(N323,etat!$A$9:$N$1004,2,FALSE)</f>
        <v>#N/A</v>
      </c>
      <c r="Q323" s="797" t="e">
        <f>VLOOKUP(N323,etat!$A$9:$N$963,7,FALSE)</f>
        <v>#N/A</v>
      </c>
      <c r="R323" s="954" t="e">
        <f>VLOOKUP(N323,etat!$A$9:$N$1003,9,FALSE)</f>
        <v>#N/A</v>
      </c>
      <c r="S323" s="866" t="e">
        <f>VLOOKUP(N323,etat!$A$9:$P$905,16,FALSE)</f>
        <v>#N/A</v>
      </c>
      <c r="T323" s="755"/>
      <c r="U323" s="791"/>
      <c r="V323" s="784"/>
      <c r="W323" s="784"/>
      <c r="X323" s="784"/>
      <c r="Y323" s="975"/>
      <c r="Z323" s="975"/>
      <c r="AA323" s="967"/>
    </row>
    <row r="324" spans="12:27" ht="15.75">
      <c r="L324" s="777">
        <v>5</v>
      </c>
      <c r="M324" s="778"/>
      <c r="N324" s="976"/>
      <c r="O324" s="1020">
        <v>271</v>
      </c>
      <c r="P324" s="847" t="e">
        <f>VLOOKUP(N324,etat!$A$9:$N$1004,2,FALSE)</f>
        <v>#N/A</v>
      </c>
      <c r="Q324" s="797" t="e">
        <f>VLOOKUP(N324,etat!$A$9:$N$963,7,FALSE)</f>
        <v>#N/A</v>
      </c>
      <c r="R324" s="866" t="e">
        <f>VLOOKUP(N324,etat!$A$9:$N$1003,9,FALSE)</f>
        <v>#N/A</v>
      </c>
      <c r="S324" s="866" t="e">
        <f>VLOOKUP(N324,etat!$A$9:$P$905,16,FALSE)</f>
        <v>#N/A</v>
      </c>
      <c r="T324" s="755"/>
      <c r="U324" s="784"/>
      <c r="V324" s="784"/>
      <c r="W324" s="869"/>
      <c r="X324" s="869"/>
      <c r="Y324" s="975"/>
      <c r="Z324" s="975"/>
      <c r="AA324" s="967"/>
    </row>
    <row r="325" spans="12:27" ht="15.75">
      <c r="L325" s="777">
        <v>5</v>
      </c>
      <c r="M325" s="778"/>
      <c r="N325" s="976"/>
      <c r="O325" s="1020">
        <v>272</v>
      </c>
      <c r="P325" s="847" t="e">
        <f>VLOOKUP(N325,etat!$A$9:$N$1004,2,FALSE)</f>
        <v>#N/A</v>
      </c>
      <c r="Q325" s="797" t="e">
        <f>VLOOKUP(N325,etat!$A$9:$N$963,7,FALSE)</f>
        <v>#N/A</v>
      </c>
      <c r="R325" s="797" t="e">
        <f>VLOOKUP(N325,etat!$A$9:$N$1003,9,FALSE)</f>
        <v>#N/A</v>
      </c>
      <c r="S325" s="866" t="e">
        <f>VLOOKUP(N325,etat!$A$9:$P$905,16,FALSE)</f>
        <v>#N/A</v>
      </c>
      <c r="T325" s="755"/>
      <c r="U325" s="784"/>
      <c r="V325" s="784"/>
      <c r="W325" s="784"/>
      <c r="X325" s="784"/>
      <c r="Y325" s="975"/>
      <c r="Z325" s="975"/>
      <c r="AA325" s="967"/>
    </row>
    <row r="326" spans="12:27" ht="15.75">
      <c r="L326" s="777">
        <v>5</v>
      </c>
      <c r="M326" s="778"/>
      <c r="N326" s="976"/>
      <c r="O326" s="1020">
        <v>273</v>
      </c>
      <c r="P326" s="847" t="e">
        <f>VLOOKUP(N326,etat!$A$9:$N$1004,2,FALSE)</f>
        <v>#N/A</v>
      </c>
      <c r="Q326" s="797" t="e">
        <f>VLOOKUP(N326,etat!$A$9:$N$963,7,FALSE)</f>
        <v>#N/A</v>
      </c>
      <c r="R326" s="797" t="e">
        <f>VLOOKUP(N326,etat!$A$9:$N$1003,9,FALSE)</f>
        <v>#N/A</v>
      </c>
      <c r="S326" s="866" t="e">
        <f>VLOOKUP(N326,etat!$A$9:$P$905,16,FALSE)</f>
        <v>#N/A</v>
      </c>
      <c r="T326" s="755"/>
      <c r="U326" s="784"/>
      <c r="V326" s="784"/>
      <c r="W326" s="784"/>
      <c r="X326" s="784"/>
      <c r="Y326" s="975"/>
      <c r="Z326" s="975"/>
      <c r="AA326" s="967"/>
    </row>
    <row r="327" spans="12:27" ht="15.75">
      <c r="L327" s="777">
        <v>5</v>
      </c>
      <c r="M327" s="778"/>
      <c r="N327" s="976"/>
      <c r="O327" s="1020">
        <v>274</v>
      </c>
      <c r="P327" s="847" t="e">
        <f>VLOOKUP(N327,etat!$A$9:$N$1004,2,FALSE)</f>
        <v>#N/A</v>
      </c>
      <c r="Q327" s="797" t="e">
        <f>VLOOKUP(N327,etat!$A$9:$N$963,7,FALSE)</f>
        <v>#N/A</v>
      </c>
      <c r="R327" s="797" t="e">
        <f>VLOOKUP(N327,etat!$A$9:$N$1003,9,FALSE)</f>
        <v>#N/A</v>
      </c>
      <c r="S327" s="866" t="e">
        <f>VLOOKUP(N327,etat!$A$9:$P$905,16,FALSE)</f>
        <v>#N/A</v>
      </c>
      <c r="T327" s="755"/>
      <c r="U327" s="784"/>
      <c r="V327" s="784"/>
      <c r="W327" s="784"/>
      <c r="X327" s="784"/>
      <c r="Y327" s="975"/>
      <c r="Z327" s="975"/>
      <c r="AA327" s="967"/>
    </row>
    <row r="328" spans="12:27" ht="15.75">
      <c r="L328" s="777">
        <v>5</v>
      </c>
      <c r="M328" s="778"/>
      <c r="N328" s="976"/>
      <c r="O328" s="1020">
        <v>275</v>
      </c>
      <c r="P328" s="847" t="e">
        <f>VLOOKUP(N328,etat!$A$9:$N$1004,2,FALSE)</f>
        <v>#N/A</v>
      </c>
      <c r="Q328" s="797" t="e">
        <f>VLOOKUP(N328,etat!$A$9:$N$963,7,FALSE)</f>
        <v>#N/A</v>
      </c>
      <c r="R328" s="797" t="e">
        <f>VLOOKUP(N328,etat!$A$9:$N$1003,9,FALSE)</f>
        <v>#N/A</v>
      </c>
      <c r="S328" s="866" t="e">
        <f>VLOOKUP(N328,etat!$A$9:$P$905,16,FALSE)</f>
        <v>#N/A</v>
      </c>
      <c r="T328" s="755"/>
      <c r="U328" s="784"/>
      <c r="V328" s="784"/>
      <c r="W328" s="784"/>
      <c r="X328" s="784"/>
      <c r="Y328" s="975"/>
      <c r="Z328" s="975"/>
      <c r="AA328" s="967"/>
    </row>
    <row r="329" spans="12:27" ht="15.75">
      <c r="L329" s="777">
        <v>5</v>
      </c>
      <c r="M329" s="778"/>
      <c r="N329" s="976"/>
      <c r="O329" s="1020">
        <v>276</v>
      </c>
      <c r="P329" s="847" t="e">
        <f>VLOOKUP(N329,etat!$A$9:$N$1004,2,FALSE)</f>
        <v>#N/A</v>
      </c>
      <c r="Q329" s="797" t="e">
        <f>VLOOKUP(N329,etat!$A$9:$N$963,7,FALSE)</f>
        <v>#N/A</v>
      </c>
      <c r="R329" s="797" t="e">
        <f>VLOOKUP(N329,etat!$A$9:$N$1003,9,FALSE)</f>
        <v>#N/A</v>
      </c>
      <c r="S329" s="866" t="e">
        <f>VLOOKUP(N329,etat!$A$9:$P$905,16,FALSE)</f>
        <v>#N/A</v>
      </c>
      <c r="T329" s="755"/>
      <c r="U329" s="784"/>
      <c r="V329" s="784"/>
      <c r="W329" s="784"/>
      <c r="X329" s="784"/>
      <c r="Y329" s="975"/>
      <c r="Z329" s="975"/>
      <c r="AA329" s="967"/>
    </row>
    <row r="330" spans="12:27" ht="15.75">
      <c r="L330" s="777">
        <v>5</v>
      </c>
      <c r="M330" s="778"/>
      <c r="N330" s="976"/>
      <c r="O330" s="1020">
        <v>277</v>
      </c>
      <c r="P330" s="847" t="e">
        <f>VLOOKUP(N330,etat!$A$9:$N$1004,2,FALSE)</f>
        <v>#N/A</v>
      </c>
      <c r="Q330" s="797" t="e">
        <f>VLOOKUP(N330,etat!$A$9:$N$963,7,FALSE)</f>
        <v>#N/A</v>
      </c>
      <c r="R330" s="797" t="e">
        <f>VLOOKUP(N330,etat!$A$9:$N$1003,9,FALSE)</f>
        <v>#N/A</v>
      </c>
      <c r="S330" s="866" t="e">
        <f>VLOOKUP(N330,etat!$A$9:$P$905,16,FALSE)</f>
        <v>#N/A</v>
      </c>
      <c r="T330" s="755"/>
      <c r="U330" s="784"/>
      <c r="V330" s="784"/>
      <c r="W330" s="784"/>
      <c r="X330" s="784"/>
      <c r="Y330" s="975"/>
      <c r="Z330" s="975"/>
      <c r="AA330" s="967"/>
    </row>
    <row r="331" spans="12:27" ht="15.75">
      <c r="L331" s="777">
        <v>5</v>
      </c>
      <c r="M331" s="778"/>
      <c r="N331" s="976"/>
      <c r="O331" s="1020">
        <v>278</v>
      </c>
      <c r="P331" s="847" t="e">
        <f>VLOOKUP(N331,etat!$A$9:$N$1004,2,FALSE)</f>
        <v>#N/A</v>
      </c>
      <c r="Q331" s="797" t="e">
        <f>VLOOKUP(N331,etat!$A$9:$N$963,7,FALSE)</f>
        <v>#N/A</v>
      </c>
      <c r="R331" s="797" t="e">
        <f>VLOOKUP(N331,etat!$A$9:$N$1003,9,FALSE)</f>
        <v>#N/A</v>
      </c>
      <c r="S331" s="866" t="e">
        <f>VLOOKUP(N331,etat!$A$9:$P$905,16,FALSE)</f>
        <v>#N/A</v>
      </c>
      <c r="T331" s="755"/>
      <c r="U331" s="784"/>
      <c r="V331" s="784"/>
      <c r="W331" s="784"/>
      <c r="X331" s="784"/>
      <c r="Y331" s="975"/>
      <c r="Z331" s="975"/>
      <c r="AA331" s="967"/>
    </row>
    <row r="332" spans="12:27" ht="15.75">
      <c r="L332" s="777">
        <v>5</v>
      </c>
      <c r="M332" s="778"/>
      <c r="N332" s="976"/>
      <c r="O332" s="1020">
        <v>279</v>
      </c>
      <c r="P332" s="847" t="e">
        <f>VLOOKUP(N332,etat!$A$9:$N$1004,2,FALSE)</f>
        <v>#N/A</v>
      </c>
      <c r="Q332" s="797" t="e">
        <f>VLOOKUP(N332,etat!$A$9:$N$963,7,FALSE)</f>
        <v>#N/A</v>
      </c>
      <c r="R332" s="797" t="e">
        <f>VLOOKUP(N332,etat!$A$9:$N$1003,9,FALSE)</f>
        <v>#N/A</v>
      </c>
      <c r="S332" s="866" t="e">
        <f>VLOOKUP(N332,etat!$A$9:$P$905,16,FALSE)</f>
        <v>#N/A</v>
      </c>
      <c r="T332" s="755"/>
      <c r="U332" s="784"/>
      <c r="V332" s="784"/>
      <c r="W332" s="784"/>
      <c r="X332" s="784"/>
      <c r="Y332" s="975"/>
      <c r="Z332" s="932"/>
      <c r="AA332" s="967"/>
    </row>
    <row r="333" spans="12:27" ht="15.75">
      <c r="L333" s="777">
        <v>5</v>
      </c>
      <c r="M333" s="778"/>
      <c r="N333" s="976"/>
      <c r="O333" s="1020">
        <v>280</v>
      </c>
      <c r="P333" s="847" t="e">
        <f>VLOOKUP(N333,etat!$A$9:$N$1004,2,FALSE)</f>
        <v>#N/A</v>
      </c>
      <c r="Q333" s="797" t="e">
        <f>VLOOKUP(N333,etat!$A$9:$N$963,7,FALSE)</f>
        <v>#N/A</v>
      </c>
      <c r="R333" s="797" t="e">
        <f>VLOOKUP(N333,etat!$A$9:$N$1003,9,FALSE)</f>
        <v>#N/A</v>
      </c>
      <c r="S333" s="866" t="e">
        <f>VLOOKUP(N333,etat!$A$9:$P$905,16,FALSE)</f>
        <v>#N/A</v>
      </c>
      <c r="T333" s="755"/>
      <c r="U333" s="784"/>
      <c r="V333" s="784"/>
      <c r="W333" s="784"/>
      <c r="X333" s="784"/>
      <c r="Y333" s="975"/>
      <c r="Z333" s="932"/>
      <c r="AA333" s="967"/>
    </row>
    <row r="334" spans="12:27" ht="15.75">
      <c r="L334" s="777">
        <v>5</v>
      </c>
      <c r="M334" s="778"/>
      <c r="N334" s="976"/>
      <c r="O334" s="1020">
        <v>281</v>
      </c>
      <c r="P334" s="847" t="e">
        <f>VLOOKUP(N334,etat!$A$9:$N$1004,2,FALSE)</f>
        <v>#N/A</v>
      </c>
      <c r="Q334" s="797" t="e">
        <f>VLOOKUP(N334,etat!$A$9:$N$963,7,FALSE)</f>
        <v>#N/A</v>
      </c>
      <c r="R334" s="797" t="e">
        <f>VLOOKUP(N334,etat!$A$9:$N$1003,9,FALSE)</f>
        <v>#N/A</v>
      </c>
      <c r="S334" s="866" t="e">
        <f>VLOOKUP(N334,etat!$A$9:$P$905,16,FALSE)</f>
        <v>#N/A</v>
      </c>
      <c r="T334" s="755"/>
      <c r="U334" s="784"/>
      <c r="V334" s="784"/>
      <c r="W334" s="784"/>
      <c r="X334" s="784"/>
      <c r="Y334" s="975"/>
      <c r="Z334" s="932"/>
      <c r="AA334" s="967"/>
    </row>
    <row r="335" spans="12:27" ht="15.75">
      <c r="L335" s="777">
        <v>5</v>
      </c>
      <c r="M335" s="778"/>
      <c r="N335" s="976"/>
      <c r="O335" s="1020">
        <v>282</v>
      </c>
      <c r="P335" s="847" t="e">
        <f>VLOOKUP(N335,etat!$A$9:$N$1004,2,FALSE)</f>
        <v>#N/A</v>
      </c>
      <c r="Q335" s="797" t="e">
        <f>VLOOKUP(N335,etat!$A$9:$N$963,7,FALSE)</f>
        <v>#N/A</v>
      </c>
      <c r="R335" s="797" t="e">
        <f>VLOOKUP(N335,etat!$A$9:$N$1003,9,FALSE)</f>
        <v>#N/A</v>
      </c>
      <c r="S335" s="866" t="e">
        <f>VLOOKUP(N335,etat!$A$9:$P$905,16,FALSE)</f>
        <v>#N/A</v>
      </c>
      <c r="T335" s="755"/>
      <c r="U335" s="784"/>
      <c r="V335" s="784"/>
      <c r="W335" s="784"/>
      <c r="X335" s="784"/>
      <c r="Y335" s="975"/>
      <c r="Z335" s="932"/>
      <c r="AA335" s="967"/>
    </row>
    <row r="336" spans="12:27" ht="15.75">
      <c r="L336" s="777">
        <v>5</v>
      </c>
      <c r="M336" s="778"/>
      <c r="N336" s="976"/>
      <c r="O336" s="1020">
        <v>283</v>
      </c>
      <c r="P336" s="847" t="e">
        <f>VLOOKUP(N336,etat!$A$9:$N$1004,2,FALSE)</f>
        <v>#N/A</v>
      </c>
      <c r="Q336" s="797" t="e">
        <f>VLOOKUP(N336,etat!$A$9:$N$963,7,FALSE)</f>
        <v>#N/A</v>
      </c>
      <c r="R336" s="797" t="e">
        <f>VLOOKUP(N336,etat!$A$9:$N$1003,9,FALSE)</f>
        <v>#N/A</v>
      </c>
      <c r="S336" s="866" t="e">
        <f>VLOOKUP(N336,etat!$A$9:$P$905,16,FALSE)</f>
        <v>#N/A</v>
      </c>
      <c r="T336" s="755"/>
      <c r="U336" s="784"/>
      <c r="V336" s="784"/>
      <c r="W336" s="784"/>
      <c r="X336" s="784"/>
      <c r="Y336" s="975"/>
      <c r="Z336" s="932"/>
      <c r="AA336" s="967"/>
    </row>
    <row r="337" spans="12:27" ht="15.75">
      <c r="L337" s="777">
        <v>5</v>
      </c>
      <c r="M337" s="778"/>
      <c r="N337" s="976"/>
      <c r="O337" s="1020">
        <v>284</v>
      </c>
      <c r="P337" s="847" t="e">
        <f>VLOOKUP(N337,etat!$A$9:$N$1004,2,FALSE)</f>
        <v>#N/A</v>
      </c>
      <c r="Q337" s="797" t="e">
        <f>VLOOKUP(N337,etat!$A$9:$N$963,7,FALSE)</f>
        <v>#N/A</v>
      </c>
      <c r="R337" s="797" t="e">
        <f>VLOOKUP(N337,etat!$A$9:$N$1003,9,FALSE)</f>
        <v>#N/A</v>
      </c>
      <c r="S337" s="866" t="e">
        <f>VLOOKUP(N337,etat!$A$9:$P$905,16,FALSE)</f>
        <v>#N/A</v>
      </c>
      <c r="T337" s="755"/>
      <c r="U337" s="784"/>
      <c r="V337" s="784"/>
      <c r="W337" s="784"/>
      <c r="X337" s="784"/>
      <c r="Y337" s="975"/>
      <c r="Z337" s="932"/>
      <c r="AA337" s="967"/>
    </row>
    <row r="338" spans="12:27" ht="15.75">
      <c r="L338" s="777">
        <v>5</v>
      </c>
      <c r="M338" s="778"/>
      <c r="N338" s="976"/>
      <c r="O338" s="1020">
        <v>285</v>
      </c>
      <c r="P338" s="847" t="e">
        <f>VLOOKUP(N338,etat!$A$9:$N$1004,2,FALSE)</f>
        <v>#N/A</v>
      </c>
      <c r="Q338" s="797" t="e">
        <f>VLOOKUP(N338,etat!$A$9:$N$963,7,FALSE)</f>
        <v>#N/A</v>
      </c>
      <c r="R338" s="797" t="e">
        <f>VLOOKUP(N338,etat!$A$9:$N$1003,9,FALSE)</f>
        <v>#N/A</v>
      </c>
      <c r="S338" s="866" t="e">
        <f>VLOOKUP(N338,etat!$A$9:$P$905,16,FALSE)</f>
        <v>#N/A</v>
      </c>
      <c r="T338" s="755"/>
      <c r="U338" s="784"/>
      <c r="V338" s="784"/>
      <c r="W338" s="784"/>
      <c r="X338" s="784"/>
      <c r="Y338" s="975"/>
      <c r="Z338" s="932"/>
      <c r="AA338" s="967"/>
    </row>
    <row r="339" spans="12:27" ht="15.75">
      <c r="L339" s="777">
        <v>5</v>
      </c>
      <c r="M339" s="778"/>
      <c r="N339" s="976"/>
      <c r="O339" s="1020">
        <v>286</v>
      </c>
      <c r="P339" s="847" t="e">
        <f>VLOOKUP(N339,etat!$A$9:$N$1004,2,FALSE)</f>
        <v>#N/A</v>
      </c>
      <c r="Q339" s="797" t="e">
        <f>VLOOKUP(N339,etat!$A$9:$N$963,7,FALSE)</f>
        <v>#N/A</v>
      </c>
      <c r="R339" s="797" t="e">
        <f>VLOOKUP(N339,etat!$A$9:$N$1003,9,FALSE)</f>
        <v>#N/A</v>
      </c>
      <c r="S339" s="866" t="e">
        <f>VLOOKUP(N339,etat!$A$9:$P$905,16,FALSE)</f>
        <v>#N/A</v>
      </c>
      <c r="T339" s="755"/>
      <c r="U339" s="784"/>
      <c r="V339" s="784"/>
      <c r="W339" s="784"/>
      <c r="X339" s="784"/>
      <c r="Y339" s="975"/>
      <c r="Z339" s="932" t="str">
        <f>VLOOKUP(L339,[2]اس!$S$3:$X$31,3,FALSE)</f>
        <v>.</v>
      </c>
      <c r="AA339" s="967"/>
    </row>
    <row r="340" spans="12:27" ht="15.75">
      <c r="L340" s="777">
        <v>5</v>
      </c>
      <c r="M340" s="778"/>
      <c r="N340" s="976"/>
      <c r="O340" s="1020">
        <v>287</v>
      </c>
      <c r="P340" s="847" t="e">
        <f>VLOOKUP(N340,etat!$A$9:$N$1004,2,FALSE)</f>
        <v>#N/A</v>
      </c>
      <c r="Q340" s="797" t="e">
        <f>VLOOKUP(N340,etat!$A$9:$N$963,7,FALSE)</f>
        <v>#N/A</v>
      </c>
      <c r="R340" s="797" t="e">
        <f>VLOOKUP(N340,etat!$A$9:$N$1003,9,FALSE)</f>
        <v>#N/A</v>
      </c>
      <c r="S340" s="866" t="e">
        <f>VLOOKUP(N340,etat!$A$9:$P$905,16,FALSE)</f>
        <v>#N/A</v>
      </c>
      <c r="T340" s="755"/>
      <c r="U340" s="784"/>
      <c r="V340" s="784"/>
      <c r="W340" s="784"/>
      <c r="X340" s="784"/>
      <c r="Y340" s="975"/>
      <c r="Z340" s="932" t="str">
        <f>VLOOKUP(L340,[2]اس!$S$3:$X$31,3,FALSE)</f>
        <v>.</v>
      </c>
      <c r="AA340" s="967"/>
    </row>
    <row r="341" spans="12:27" ht="15.75">
      <c r="L341" s="777">
        <v>5</v>
      </c>
      <c r="M341" s="864"/>
      <c r="N341" s="976"/>
      <c r="O341" s="1020">
        <v>288</v>
      </c>
      <c r="P341" s="847" t="e">
        <f>VLOOKUP(N341,etat!$A$9:$N$1004,2,FALSE)</f>
        <v>#N/A</v>
      </c>
      <c r="Q341" s="797" t="e">
        <f>VLOOKUP(N341,etat!$A$9:$N$963,7,FALSE)</f>
        <v>#N/A</v>
      </c>
      <c r="R341" s="797" t="e">
        <f>VLOOKUP(N341,etat!$A$9:$N$1003,9,FALSE)</f>
        <v>#N/A</v>
      </c>
      <c r="S341" s="866" t="e">
        <f>VLOOKUP(N341,etat!$A$9:$P$905,16,FALSE)</f>
        <v>#N/A</v>
      </c>
      <c r="T341" s="755"/>
      <c r="U341" s="784"/>
      <c r="V341" s="784"/>
      <c r="W341" s="784"/>
      <c r="X341" s="784"/>
      <c r="Y341" s="975"/>
      <c r="Z341" s="932" t="str">
        <f>VLOOKUP(L341,[2]اس!$S$3:$X$31,3,FALSE)</f>
        <v>.</v>
      </c>
      <c r="AA341" s="967"/>
    </row>
    <row r="342" spans="12:27" ht="15.75">
      <c r="L342" s="777">
        <v>5</v>
      </c>
      <c r="M342" s="864"/>
      <c r="N342" s="976"/>
      <c r="O342" s="1020">
        <v>289</v>
      </c>
      <c r="P342" s="847" t="e">
        <f>VLOOKUP(N342,etat!$A$9:$N$1004,2,FALSE)</f>
        <v>#N/A</v>
      </c>
      <c r="Q342" s="797" t="e">
        <f>VLOOKUP(N342,etat!$A$9:$N$963,7,FALSE)</f>
        <v>#N/A</v>
      </c>
      <c r="R342" s="797" t="e">
        <f>VLOOKUP(N342,etat!$A$9:$N$1003,9,FALSE)</f>
        <v>#N/A</v>
      </c>
      <c r="S342" s="866" t="e">
        <f>VLOOKUP(N342,etat!$A$9:$P$905,16,FALSE)</f>
        <v>#N/A</v>
      </c>
      <c r="T342" s="755"/>
      <c r="U342" s="784"/>
      <c r="V342" s="784"/>
      <c r="W342" s="784"/>
      <c r="X342" s="784"/>
      <c r="Y342" s="975"/>
      <c r="Z342" s="932" t="str">
        <f>VLOOKUP(L342,[2]اس!$S$3:$X$31,3,FALSE)</f>
        <v>.</v>
      </c>
      <c r="AA342" s="967"/>
    </row>
    <row r="343" spans="12:27" ht="15.75">
      <c r="L343" s="777">
        <v>5</v>
      </c>
      <c r="M343" s="864"/>
      <c r="N343" s="976"/>
      <c r="O343" s="1020">
        <v>290</v>
      </c>
      <c r="P343" s="847" t="e">
        <f>VLOOKUP(N343,etat!$A$9:$N$1004,2,FALSE)</f>
        <v>#N/A</v>
      </c>
      <c r="Q343" s="797" t="e">
        <f>VLOOKUP(N343,etat!$A$9:$N$963,7,FALSE)</f>
        <v>#N/A</v>
      </c>
      <c r="R343" s="797" t="e">
        <f>VLOOKUP(N343,etat!$A$9:$N$1003,9,FALSE)</f>
        <v>#N/A</v>
      </c>
      <c r="S343" s="866" t="e">
        <f>VLOOKUP(N343,etat!$A$9:$P$905,16,FALSE)</f>
        <v>#N/A</v>
      </c>
      <c r="T343" s="755"/>
      <c r="U343" s="784"/>
      <c r="V343" s="784"/>
      <c r="W343" s="784"/>
      <c r="X343" s="784"/>
      <c r="Y343" s="975"/>
      <c r="Z343" s="932" t="str">
        <f>VLOOKUP(L343,[2]اس!$S$3:$X$31,3,FALSE)</f>
        <v>.</v>
      </c>
      <c r="AA343" s="967"/>
    </row>
    <row r="344" spans="12:27" ht="15.75">
      <c r="L344" s="777">
        <v>5</v>
      </c>
      <c r="M344" s="864"/>
      <c r="N344" s="976"/>
      <c r="O344" s="1020">
        <v>291</v>
      </c>
      <c r="P344" s="847" t="e">
        <f>VLOOKUP(N344,etat!$A$9:$N$1004,2,FALSE)</f>
        <v>#N/A</v>
      </c>
      <c r="Q344" s="797" t="e">
        <f>VLOOKUP(N344,etat!$A$9:$N$963,7,FALSE)</f>
        <v>#N/A</v>
      </c>
      <c r="R344" s="797" t="e">
        <f>VLOOKUP(N344,etat!$A$9:$N$1003,9,FALSE)</f>
        <v>#N/A</v>
      </c>
      <c r="S344" s="866" t="e">
        <f>VLOOKUP(N344,etat!$A$9:$P$905,16,FALSE)</f>
        <v>#N/A</v>
      </c>
      <c r="T344" s="755"/>
      <c r="U344" s="784"/>
      <c r="V344" s="784"/>
      <c r="W344" s="784"/>
      <c r="X344" s="784"/>
      <c r="Y344" s="975"/>
      <c r="Z344" s="932" t="str">
        <f>VLOOKUP(L344,[2]اس!$S$3:$X$31,3,FALSE)</f>
        <v>.</v>
      </c>
      <c r="AA344" s="967"/>
    </row>
    <row r="345" spans="12:27" ht="15.75">
      <c r="L345" s="777">
        <v>5</v>
      </c>
      <c r="M345" s="864"/>
      <c r="N345" s="976"/>
      <c r="O345" s="1020">
        <v>292</v>
      </c>
      <c r="P345" s="847" t="e">
        <f>VLOOKUP(N345,etat!$A$9:$N$1004,2,FALSE)</f>
        <v>#N/A</v>
      </c>
      <c r="Q345" s="797" t="e">
        <f>VLOOKUP(N345,etat!$A$9:$N$963,7,FALSE)</f>
        <v>#N/A</v>
      </c>
      <c r="R345" s="797" t="e">
        <f>VLOOKUP(N345,etat!$A$9:$N$1003,9,FALSE)</f>
        <v>#N/A</v>
      </c>
      <c r="S345" s="866" t="e">
        <f>VLOOKUP(N345,etat!$A$9:$P$905,16,FALSE)</f>
        <v>#N/A</v>
      </c>
      <c r="T345" s="755"/>
      <c r="U345" s="784"/>
      <c r="V345" s="784"/>
      <c r="W345" s="784"/>
      <c r="X345" s="784"/>
      <c r="Y345" s="975"/>
      <c r="Z345" s="932" t="str">
        <f>VLOOKUP(L345,[2]اس!$S$3:$X$31,3,FALSE)</f>
        <v>.</v>
      </c>
      <c r="AA345" s="967"/>
    </row>
    <row r="346" spans="12:27" ht="15.75">
      <c r="L346" s="777">
        <v>5</v>
      </c>
      <c r="M346" s="864"/>
      <c r="N346" s="976"/>
      <c r="O346" s="1020">
        <v>293</v>
      </c>
      <c r="P346" s="847" t="e">
        <f>VLOOKUP(N346,etat!$A$9:$N$1004,2,FALSE)</f>
        <v>#N/A</v>
      </c>
      <c r="Q346" s="797" t="e">
        <f>VLOOKUP(N346,etat!$A$9:$N$963,7,FALSE)</f>
        <v>#N/A</v>
      </c>
      <c r="R346" s="797" t="e">
        <f>VLOOKUP(N346,etat!$A$9:$N$1003,9,FALSE)</f>
        <v>#N/A</v>
      </c>
      <c r="S346" s="866" t="e">
        <f>VLOOKUP(N346,etat!$A$9:$P$905,16,FALSE)</f>
        <v>#N/A</v>
      </c>
      <c r="T346" s="755"/>
      <c r="U346" s="784"/>
      <c r="V346" s="784"/>
      <c r="W346" s="784"/>
      <c r="X346" s="784"/>
      <c r="Y346" s="975"/>
      <c r="Z346" s="932" t="str">
        <f>VLOOKUP(L346,[2]اس!$S$3:$X$31,3,FALSE)</f>
        <v>.</v>
      </c>
      <c r="AA346" s="967"/>
    </row>
    <row r="347" spans="12:27" ht="15.75">
      <c r="L347" s="777">
        <v>5</v>
      </c>
      <c r="M347" s="864"/>
      <c r="N347" s="976"/>
      <c r="O347" s="1020">
        <v>294</v>
      </c>
      <c r="P347" s="847" t="e">
        <f>VLOOKUP(N347,etat!$A$9:$N$1004,2,FALSE)</f>
        <v>#N/A</v>
      </c>
      <c r="Q347" s="797" t="e">
        <f>VLOOKUP(N347,etat!$A$9:$N$963,7,FALSE)</f>
        <v>#N/A</v>
      </c>
      <c r="R347" s="797" t="e">
        <f>VLOOKUP(N347,etat!$A$9:$N$1003,9,FALSE)</f>
        <v>#N/A</v>
      </c>
      <c r="S347" s="866" t="e">
        <f>VLOOKUP(N347,etat!$A$9:$P$905,16,FALSE)</f>
        <v>#N/A</v>
      </c>
      <c r="T347" s="755"/>
      <c r="U347" s="784"/>
      <c r="V347" s="784"/>
      <c r="W347" s="784"/>
      <c r="X347" s="784"/>
      <c r="Y347" s="784"/>
      <c r="Z347" s="932" t="str">
        <f>VLOOKUP(L347,[2]اس!$S$3:$X$31,3,FALSE)</f>
        <v>.</v>
      </c>
      <c r="AA347" s="967"/>
    </row>
    <row r="348" spans="12:27" ht="15.75">
      <c r="L348" s="777">
        <v>5</v>
      </c>
      <c r="M348" s="864"/>
      <c r="N348" s="976"/>
      <c r="O348" s="1020">
        <v>295</v>
      </c>
      <c r="P348" s="847" t="e">
        <f>VLOOKUP(N348,etat!$A$9:$N$1004,2,FALSE)</f>
        <v>#N/A</v>
      </c>
      <c r="Q348" s="797" t="e">
        <f>VLOOKUP(N348,etat!$A$9:$N$963,7,FALSE)</f>
        <v>#N/A</v>
      </c>
      <c r="R348" s="797" t="e">
        <f>VLOOKUP(N348,etat!$A$9:$N$1003,9,FALSE)</f>
        <v>#N/A</v>
      </c>
      <c r="S348" s="866" t="e">
        <f>VLOOKUP(N348,etat!$A$9:$P$905,16,FALSE)</f>
        <v>#N/A</v>
      </c>
      <c r="T348" s="755"/>
      <c r="U348" s="784"/>
      <c r="V348" s="784"/>
      <c r="W348" s="784"/>
      <c r="X348" s="784"/>
      <c r="Y348" s="784"/>
      <c r="Z348" s="932" t="str">
        <f>VLOOKUP(L348,[2]اس!$S$3:$X$31,3,FALSE)</f>
        <v>.</v>
      </c>
      <c r="AA348" s="967"/>
    </row>
    <row r="349" spans="12:27" ht="15.75">
      <c r="L349" s="777">
        <v>5</v>
      </c>
      <c r="M349" s="778"/>
      <c r="N349" s="976"/>
      <c r="O349" s="1020">
        <v>296</v>
      </c>
      <c r="P349" s="847" t="e">
        <f>VLOOKUP(N349,etat!$A$9:$N$1004,2,FALSE)</f>
        <v>#N/A</v>
      </c>
      <c r="Q349" s="797" t="e">
        <f>VLOOKUP(N349,etat!$A$9:$N$963,7,FALSE)</f>
        <v>#N/A</v>
      </c>
      <c r="R349" s="797" t="e">
        <f>VLOOKUP(N349,etat!$A$9:$N$1003,9,FALSE)</f>
        <v>#N/A</v>
      </c>
      <c r="S349" s="866" t="e">
        <f>VLOOKUP(N349,etat!$A$9:$P$905,16,FALSE)</f>
        <v>#N/A</v>
      </c>
      <c r="T349" s="755"/>
      <c r="U349" s="784"/>
      <c r="V349" s="784"/>
      <c r="W349" s="784"/>
      <c r="X349" s="784"/>
      <c r="Y349" s="784"/>
      <c r="Z349" s="932" t="str">
        <f>VLOOKUP(L349,[2]اس!$S$3:$X$31,3,FALSE)</f>
        <v>.</v>
      </c>
      <c r="AA349" s="967"/>
    </row>
    <row r="350" spans="12:27" ht="15.75">
      <c r="L350" s="777">
        <v>5</v>
      </c>
      <c r="M350" s="864"/>
      <c r="N350" s="976"/>
      <c r="O350" s="1020">
        <v>297</v>
      </c>
      <c r="P350" s="847" t="e">
        <f>VLOOKUP(N350,etat!$A$9:$N$1004,2,FALSE)</f>
        <v>#N/A</v>
      </c>
      <c r="Q350" s="797" t="e">
        <f>VLOOKUP(N350,etat!$A$9:$N$963,7,FALSE)</f>
        <v>#N/A</v>
      </c>
      <c r="R350" s="797" t="e">
        <f>VLOOKUP(N350,etat!$A$9:$N$1003,9,FALSE)</f>
        <v>#N/A</v>
      </c>
      <c r="S350" s="866" t="e">
        <f>VLOOKUP(N350,etat!$A$9:$P$905,16,FALSE)</f>
        <v>#N/A</v>
      </c>
      <c r="T350" s="755"/>
      <c r="U350" s="784"/>
      <c r="V350" s="784"/>
      <c r="W350" s="784"/>
      <c r="X350" s="784"/>
      <c r="Y350" s="784"/>
      <c r="Z350" s="932" t="str">
        <f>VLOOKUP(L350,[2]اس!$S$3:$X$31,3,FALSE)</f>
        <v>.</v>
      </c>
      <c r="AA350" s="967"/>
    </row>
    <row r="351" spans="12:27" ht="15.75">
      <c r="L351" s="777">
        <v>5</v>
      </c>
      <c r="M351" s="864"/>
      <c r="N351" s="976"/>
      <c r="O351" s="1020">
        <v>298</v>
      </c>
      <c r="P351" s="847" t="e">
        <f>VLOOKUP(N351,etat!$A$9:$N$1004,2,FALSE)</f>
        <v>#N/A</v>
      </c>
      <c r="Q351" s="797" t="e">
        <f>VLOOKUP(N351,etat!$A$9:$N$963,7,FALSE)</f>
        <v>#N/A</v>
      </c>
      <c r="R351" s="797" t="e">
        <f>VLOOKUP(N351,etat!$A$9:$N$1003,9,FALSE)</f>
        <v>#N/A</v>
      </c>
      <c r="S351" s="866" t="e">
        <f>VLOOKUP(N351,etat!$A$9:$P$905,16,FALSE)</f>
        <v>#N/A</v>
      </c>
      <c r="T351" s="755"/>
      <c r="U351" s="784"/>
      <c r="V351" s="784"/>
      <c r="W351" s="755"/>
      <c r="X351" s="784"/>
      <c r="Y351" s="975"/>
      <c r="Z351" s="932" t="str">
        <f>VLOOKUP(L351,[2]اس!$S$3:$X$31,3,FALSE)</f>
        <v>.</v>
      </c>
      <c r="AA351" s="967"/>
    </row>
    <row r="352" spans="12:27" ht="15.75">
      <c r="L352" s="777">
        <v>5</v>
      </c>
      <c r="M352" s="906"/>
      <c r="N352" s="976"/>
      <c r="O352" s="1020">
        <v>299</v>
      </c>
      <c r="P352" s="847" t="e">
        <f>VLOOKUP(N352,etat!$A$9:$N$1004,2,FALSE)</f>
        <v>#N/A</v>
      </c>
      <c r="Q352" s="797" t="e">
        <f>VLOOKUP(N352,etat!$A$9:$N$963,7,FALSE)</f>
        <v>#N/A</v>
      </c>
      <c r="R352" s="797" t="e">
        <f>VLOOKUP(N352,etat!$A$9:$N$1003,9,FALSE)</f>
        <v>#N/A</v>
      </c>
      <c r="S352" s="866" t="e">
        <f>VLOOKUP(N352,etat!$A$9:$P$905,16,FALSE)</f>
        <v>#N/A</v>
      </c>
      <c r="T352" s="755"/>
      <c r="U352" s="784"/>
      <c r="V352" s="784"/>
      <c r="W352" s="755"/>
      <c r="X352" s="784"/>
      <c r="Y352" s="975"/>
      <c r="Z352" s="932" t="str">
        <f>VLOOKUP(L352,[2]اس!$S$3:$X$31,3,FALSE)</f>
        <v>.</v>
      </c>
      <c r="AA352" s="967"/>
    </row>
    <row r="353" spans="12:27" ht="15.75">
      <c r="L353" s="777">
        <v>5</v>
      </c>
      <c r="M353" s="906"/>
      <c r="N353" s="976"/>
      <c r="O353" s="1020">
        <v>300</v>
      </c>
      <c r="P353" s="847" t="e">
        <f>VLOOKUP(N353,etat!$A$9:$N$1004,2,FALSE)</f>
        <v>#N/A</v>
      </c>
      <c r="Q353" s="797" t="e">
        <f>VLOOKUP(N353,etat!$A$9:$N$963,7,FALSE)</f>
        <v>#N/A</v>
      </c>
      <c r="R353" s="797" t="e">
        <f>VLOOKUP(N353,etat!$A$9:$N$1003,9,FALSE)</f>
        <v>#N/A</v>
      </c>
      <c r="S353" s="866" t="e">
        <f>VLOOKUP(N353,etat!$A$9:$P$905,16,FALSE)</f>
        <v>#N/A</v>
      </c>
      <c r="T353" s="755"/>
      <c r="U353" s="784"/>
      <c r="V353" s="784"/>
      <c r="W353" s="755"/>
      <c r="X353" s="784"/>
      <c r="Y353" s="975"/>
      <c r="Z353" s="932" t="str">
        <f>VLOOKUP(L353,[2]اس!$S$3:$X$31,3,FALSE)</f>
        <v>.</v>
      </c>
      <c r="AA353" s="967"/>
    </row>
    <row r="354" spans="12:27" ht="15.75">
      <c r="L354" s="777">
        <v>5</v>
      </c>
      <c r="M354" s="906"/>
      <c r="N354" s="976"/>
      <c r="O354" s="1020">
        <v>301</v>
      </c>
      <c r="P354" s="847" t="e">
        <f>VLOOKUP(N354,etat!$A$9:$N$1004,2,FALSE)</f>
        <v>#N/A</v>
      </c>
      <c r="Q354" s="797" t="e">
        <f>VLOOKUP(N354,etat!$A$9:$N$963,7,FALSE)</f>
        <v>#N/A</v>
      </c>
      <c r="R354" s="797" t="e">
        <f>VLOOKUP(N354,etat!$A$9:$N$1003,9,FALSE)</f>
        <v>#N/A</v>
      </c>
      <c r="S354" s="866" t="e">
        <f>VLOOKUP(N354,etat!$A$9:$P$905,16,FALSE)</f>
        <v>#N/A</v>
      </c>
      <c r="T354" s="755"/>
      <c r="U354" s="784"/>
      <c r="V354" s="784"/>
      <c r="W354" s="784"/>
      <c r="X354" s="784"/>
      <c r="Y354" s="784"/>
      <c r="Z354" s="932" t="str">
        <f>VLOOKUP(L354,[2]اس!$S$3:$X$31,3,FALSE)</f>
        <v>.</v>
      </c>
      <c r="AA354" s="967"/>
    </row>
    <row r="355" spans="12:27" ht="18.75">
      <c r="L355" s="777">
        <v>5</v>
      </c>
      <c r="M355" s="906"/>
      <c r="N355" s="976"/>
      <c r="O355" s="1020">
        <v>302</v>
      </c>
      <c r="P355" s="847" t="e">
        <f>VLOOKUP(N355,etat!$A$9:$N$1004,2,FALSE)</f>
        <v>#N/A</v>
      </c>
      <c r="Q355" s="797" t="e">
        <f>VLOOKUP(N355,etat!$A$9:$N$963,7,FALSE)</f>
        <v>#N/A</v>
      </c>
      <c r="R355" s="954" t="e">
        <f>VLOOKUP(N355,etat!$A$9:$N$1003,9,FALSE)</f>
        <v>#N/A</v>
      </c>
      <c r="S355" s="866" t="e">
        <f>VLOOKUP(N355,etat!$A$9:$P$905,16,FALSE)</f>
        <v>#N/A</v>
      </c>
      <c r="T355" s="755"/>
      <c r="U355" s="784"/>
      <c r="V355" s="784"/>
      <c r="W355" s="955"/>
      <c r="X355" s="955"/>
      <c r="Y355" s="956"/>
      <c r="Z355" s="932" t="str">
        <f>VLOOKUP(L355,[2]اس!$S$3:$X$31,3,FALSE)</f>
        <v>.</v>
      </c>
      <c r="AA355" s="967"/>
    </row>
    <row r="356" spans="12:27" ht="18.75">
      <c r="L356" s="777">
        <v>5</v>
      </c>
      <c r="M356" s="906"/>
      <c r="N356" s="1076"/>
      <c r="O356" s="1020">
        <v>303</v>
      </c>
      <c r="P356" s="847" t="e">
        <f>VLOOKUP(N356,etat!$A$9:$N$1004,2,FALSE)</f>
        <v>#N/A</v>
      </c>
      <c r="Q356" s="797" t="e">
        <f>VLOOKUP(N356,etat!$A$9:$N$963,7,FALSE)</f>
        <v>#N/A</v>
      </c>
      <c r="R356" s="954" t="e">
        <f>VLOOKUP(N356,etat!$A$9:$N$1003,9,FALSE)</f>
        <v>#N/A</v>
      </c>
      <c r="S356" s="866" t="e">
        <f>VLOOKUP(N356,etat!$A$9:$P$905,16,FALSE)</f>
        <v>#N/A</v>
      </c>
      <c r="T356" s="755"/>
      <c r="U356" s="784"/>
      <c r="V356" s="784"/>
      <c r="W356" s="955"/>
      <c r="X356" s="955"/>
      <c r="Y356" s="956"/>
      <c r="Z356" s="932" t="str">
        <f>VLOOKUP(L356,[2]اس!$S$3:$X$31,3,FALSE)</f>
        <v>.</v>
      </c>
      <c r="AA356" s="967"/>
    </row>
    <row r="357" spans="12:27" ht="18.75">
      <c r="L357" s="777">
        <v>5</v>
      </c>
      <c r="M357" s="906"/>
      <c r="N357" s="1076"/>
      <c r="O357" s="1020">
        <v>304</v>
      </c>
      <c r="P357" s="847" t="e">
        <f>VLOOKUP(N357,etat!$A$9:$N$1004,2,FALSE)</f>
        <v>#N/A</v>
      </c>
      <c r="Q357" s="797" t="e">
        <f>VLOOKUP(N357,etat!$A$9:$N$963,7,FALSE)</f>
        <v>#N/A</v>
      </c>
      <c r="R357" s="954" t="e">
        <f>VLOOKUP(N357,etat!$A$9:$N$1003,9,FALSE)</f>
        <v>#N/A</v>
      </c>
      <c r="S357" s="866" t="e">
        <f>VLOOKUP(N357,etat!$A$9:$P$905,16,FALSE)</f>
        <v>#N/A</v>
      </c>
      <c r="T357" s="755"/>
      <c r="U357" s="784"/>
      <c r="V357" s="784"/>
      <c r="W357" s="955"/>
      <c r="X357" s="955"/>
      <c r="Y357" s="956"/>
      <c r="Z357" s="932" t="str">
        <f>VLOOKUP(L357,[2]اس!$S$3:$X$31,3,FALSE)</f>
        <v>.</v>
      </c>
      <c r="AA357" s="967"/>
    </row>
    <row r="358" spans="12:27" ht="15.75">
      <c r="L358" s="777">
        <v>5</v>
      </c>
      <c r="M358" s="906"/>
      <c r="N358" s="976"/>
      <c r="O358" s="1020">
        <v>305</v>
      </c>
      <c r="P358" s="847" t="e">
        <f>VLOOKUP(N358,etat!$A$9:$N$1004,2,FALSE)</f>
        <v>#N/A</v>
      </c>
      <c r="Q358" s="797" t="e">
        <f>VLOOKUP(N358,etat!$A$9:$N$963,7,FALSE)</f>
        <v>#N/A</v>
      </c>
      <c r="R358" s="797" t="e">
        <f>VLOOKUP(N358,etat!$A$9:$N$1003,9,FALSE)</f>
        <v>#N/A</v>
      </c>
      <c r="S358" s="866" t="e">
        <f>VLOOKUP(N358,etat!$A$9:$P$905,16,FALSE)</f>
        <v>#N/A</v>
      </c>
      <c r="T358" s="755"/>
      <c r="U358" s="784"/>
      <c r="V358" s="784"/>
      <c r="W358" s="755"/>
      <c r="X358" s="784"/>
      <c r="Y358" s="975"/>
      <c r="Z358" s="932" t="str">
        <f>VLOOKUP(L358,[2]اس!$S$3:$X$31,3,FALSE)</f>
        <v>.</v>
      </c>
      <c r="AA358" s="967"/>
    </row>
    <row r="359" spans="12:27" ht="15.75">
      <c r="L359" s="777">
        <v>5</v>
      </c>
      <c r="M359" s="906"/>
      <c r="N359" s="976"/>
      <c r="O359" s="1020">
        <v>306</v>
      </c>
      <c r="P359" s="847" t="e">
        <f>VLOOKUP(N359,etat!$A$9:$N$1004,2,FALSE)</f>
        <v>#N/A</v>
      </c>
      <c r="Q359" s="797" t="e">
        <f>VLOOKUP(N359,etat!$A$9:$N$963,7,FALSE)</f>
        <v>#N/A</v>
      </c>
      <c r="R359" s="797" t="e">
        <f>VLOOKUP(N359,etat!$A$9:$N$1003,9,FALSE)</f>
        <v>#N/A</v>
      </c>
      <c r="S359" s="866" t="e">
        <f>VLOOKUP(N359,etat!$A$9:$P$905,16,FALSE)</f>
        <v>#N/A</v>
      </c>
      <c r="T359" s="755"/>
      <c r="U359" s="784"/>
      <c r="V359" s="784"/>
      <c r="W359" s="784"/>
      <c r="X359" s="784"/>
      <c r="Y359" s="784"/>
      <c r="Z359" s="932" t="str">
        <f>VLOOKUP(L359,[2]اس!$S$3:$X$31,3,FALSE)</f>
        <v>.</v>
      </c>
      <c r="AA359" s="967"/>
    </row>
    <row r="360" spans="12:27" ht="18.75">
      <c r="L360" s="777">
        <v>5</v>
      </c>
      <c r="M360" s="906"/>
      <c r="N360" s="976"/>
      <c r="O360" s="1020">
        <v>307</v>
      </c>
      <c r="P360" s="847" t="e">
        <f>VLOOKUP(N360,etat!$A$9:$N$1004,2,FALSE)</f>
        <v>#N/A</v>
      </c>
      <c r="Q360" s="797" t="e">
        <f>VLOOKUP(N360,etat!$A$9:$N$963,7,FALSE)</f>
        <v>#N/A</v>
      </c>
      <c r="R360" s="954" t="e">
        <f>VLOOKUP(N360,etat!$A$9:$N$1003,9,FALSE)</f>
        <v>#N/A</v>
      </c>
      <c r="S360" s="866" t="e">
        <f>VLOOKUP(N360,etat!$A$9:$P$905,16,FALSE)</f>
        <v>#N/A</v>
      </c>
      <c r="T360" s="755"/>
      <c r="U360" s="784"/>
      <c r="V360" s="784"/>
      <c r="W360" s="955"/>
      <c r="X360" s="955"/>
      <c r="Y360" s="956"/>
      <c r="Z360" s="932" t="str">
        <f>VLOOKUP(L360,[2]اس!$S$3:$X$31,3,FALSE)</f>
        <v>.</v>
      </c>
      <c r="AA360" s="967"/>
    </row>
    <row r="361" spans="12:27" ht="18.75">
      <c r="L361" s="777">
        <v>5</v>
      </c>
      <c r="M361" s="906"/>
      <c r="N361" s="1076"/>
      <c r="O361" s="1020">
        <v>308</v>
      </c>
      <c r="P361" s="847" t="e">
        <f>VLOOKUP(N361,etat!$A$9:$N$1004,2,FALSE)</f>
        <v>#N/A</v>
      </c>
      <c r="Q361" s="797" t="e">
        <f>VLOOKUP(N361,etat!$A$9:$N$963,7,FALSE)</f>
        <v>#N/A</v>
      </c>
      <c r="R361" s="954" t="e">
        <f>VLOOKUP(N361,etat!$A$9:$N$1003,9,FALSE)</f>
        <v>#N/A</v>
      </c>
      <c r="S361" s="866" t="e">
        <f>VLOOKUP(N361,etat!$A$9:$P$905,16,FALSE)</f>
        <v>#N/A</v>
      </c>
      <c r="T361" s="755"/>
      <c r="U361" s="784"/>
      <c r="V361" s="784"/>
      <c r="W361" s="955"/>
      <c r="X361" s="955"/>
      <c r="Y361" s="956"/>
      <c r="Z361" s="932" t="str">
        <f>VLOOKUP(L361,[2]اس!$S$3:$X$31,3,FALSE)</f>
        <v>.</v>
      </c>
      <c r="AA361" s="967"/>
    </row>
    <row r="362" spans="12:27" ht="18.75">
      <c r="L362" s="777">
        <v>5</v>
      </c>
      <c r="M362" s="906"/>
      <c r="N362" s="976"/>
      <c r="O362" s="1020">
        <v>309</v>
      </c>
      <c r="P362" s="847" t="e">
        <f>VLOOKUP(N362,etat!$A$9:$N$1004,2,FALSE)</f>
        <v>#N/A</v>
      </c>
      <c r="Q362" s="797" t="e">
        <f>VLOOKUP(N362,etat!$A$9:$N$963,7,FALSE)</f>
        <v>#N/A</v>
      </c>
      <c r="R362" s="954" t="e">
        <f>VLOOKUP(N362,etat!$A$9:$N$1003,9,FALSE)</f>
        <v>#N/A</v>
      </c>
      <c r="S362" s="866" t="e">
        <f>VLOOKUP(N362,etat!$A$9:$P$905,16,FALSE)</f>
        <v>#N/A</v>
      </c>
      <c r="T362" s="755"/>
      <c r="U362" s="784"/>
      <c r="V362" s="784"/>
      <c r="W362" s="784"/>
      <c r="X362" s="784"/>
      <c r="Y362" s="975"/>
      <c r="Z362" s="932" t="str">
        <f>VLOOKUP(L362,[2]اس!$S$3:$X$31,3,FALSE)</f>
        <v>.</v>
      </c>
      <c r="AA362" s="967"/>
    </row>
    <row r="363" spans="12:27" ht="18.75">
      <c r="L363" s="777">
        <v>5</v>
      </c>
      <c r="M363" s="906"/>
      <c r="N363" s="976"/>
      <c r="O363" s="1020">
        <v>310</v>
      </c>
      <c r="P363" s="847" t="e">
        <f>VLOOKUP(N363,etat!$A$9:$N$1004,2,FALSE)</f>
        <v>#N/A</v>
      </c>
      <c r="Q363" s="797" t="e">
        <f>VLOOKUP(N363,etat!$A$9:$N$963,7,FALSE)</f>
        <v>#N/A</v>
      </c>
      <c r="R363" s="954" t="e">
        <f>VLOOKUP(N363,etat!$A$9:$N$1003,9,FALSE)</f>
        <v>#N/A</v>
      </c>
      <c r="S363" s="866" t="e">
        <f>VLOOKUP(N363,etat!$A$9:$P$905,16,FALSE)</f>
        <v>#N/A</v>
      </c>
      <c r="T363" s="755"/>
      <c r="U363" s="784"/>
      <c r="V363" s="784"/>
      <c r="W363" s="784"/>
      <c r="X363" s="784"/>
      <c r="Y363" s="975"/>
      <c r="Z363" s="932" t="str">
        <f>VLOOKUP(L363,[2]اس!$S$3:$X$31,3,FALSE)</f>
        <v>.</v>
      </c>
      <c r="AA363" s="967"/>
    </row>
    <row r="364" spans="12:27" ht="18.75">
      <c r="L364" s="777">
        <v>5</v>
      </c>
      <c r="M364" s="906"/>
      <c r="N364" s="976"/>
      <c r="O364" s="1020">
        <v>311</v>
      </c>
      <c r="P364" s="847" t="e">
        <f>VLOOKUP(N364,etat!$A$9:$N$1004,2,FALSE)</f>
        <v>#N/A</v>
      </c>
      <c r="Q364" s="797" t="e">
        <f>VLOOKUP(N364,etat!$A$9:$N$963,7,FALSE)</f>
        <v>#N/A</v>
      </c>
      <c r="R364" s="954" t="e">
        <f>VLOOKUP(N364,etat!$A$9:$N$1003,9,FALSE)</f>
        <v>#N/A</v>
      </c>
      <c r="S364" s="866" t="e">
        <f>VLOOKUP(N364,etat!$A$9:$P$905,16,FALSE)</f>
        <v>#N/A</v>
      </c>
      <c r="T364" s="755"/>
      <c r="U364" s="784"/>
      <c r="V364" s="784"/>
      <c r="W364" s="955"/>
      <c r="X364" s="955"/>
      <c r="Y364" s="956"/>
      <c r="Z364" s="932" t="str">
        <f>VLOOKUP(L364,[2]اس!$S$3:$X$31,3,FALSE)</f>
        <v>.</v>
      </c>
      <c r="AA364" s="967"/>
    </row>
    <row r="365" spans="12:27" ht="15.75">
      <c r="L365" s="777">
        <v>5</v>
      </c>
      <c r="M365" s="906"/>
      <c r="N365" s="976"/>
      <c r="O365" s="1020">
        <v>312</v>
      </c>
      <c r="P365" s="847" t="e">
        <f>VLOOKUP(N365,etat!$A$9:$N$1004,2,FALSE)</f>
        <v>#N/A</v>
      </c>
      <c r="Q365" s="797" t="e">
        <f>VLOOKUP(N365,etat!$A$9:$N$963,7,FALSE)</f>
        <v>#N/A</v>
      </c>
      <c r="R365" s="797" t="e">
        <f>VLOOKUP(N365,etat!$A$9:$N$1003,9,FALSE)</f>
        <v>#N/A</v>
      </c>
      <c r="S365" s="866" t="e">
        <f>VLOOKUP(N365,etat!$A$9:$P$905,16,FALSE)</f>
        <v>#N/A</v>
      </c>
      <c r="T365" s="755"/>
      <c r="U365" s="784"/>
      <c r="V365" s="784"/>
      <c r="W365" s="784"/>
      <c r="X365" s="784"/>
      <c r="Y365" s="784"/>
      <c r="Z365" s="932" t="str">
        <f>VLOOKUP(L365,[2]اس!$S$3:$X$31,3,FALSE)</f>
        <v>.</v>
      </c>
      <c r="AA365" s="967"/>
    </row>
    <row r="366" spans="12:27" ht="15.75">
      <c r="L366" s="777">
        <v>5</v>
      </c>
      <c r="M366" s="906"/>
      <c r="N366" s="976"/>
      <c r="O366" s="1020">
        <v>313</v>
      </c>
      <c r="P366" s="847" t="e">
        <f>VLOOKUP(N366,etat!$A$9:$N$1004,2,FALSE)</f>
        <v>#N/A</v>
      </c>
      <c r="Q366" s="797" t="e">
        <f>VLOOKUP(N366,etat!$A$9:$N$963,7,FALSE)</f>
        <v>#N/A</v>
      </c>
      <c r="R366" s="797" t="e">
        <f>VLOOKUP(N366,etat!$A$9:$N$1003,9,FALSE)</f>
        <v>#N/A</v>
      </c>
      <c r="S366" s="866" t="e">
        <f>VLOOKUP(N366,etat!$A$9:$P$905,16,FALSE)</f>
        <v>#N/A</v>
      </c>
      <c r="T366" s="755"/>
      <c r="U366" s="784"/>
      <c r="V366" s="784"/>
      <c r="W366" s="784"/>
      <c r="X366" s="784"/>
      <c r="Y366" s="784"/>
      <c r="Z366" s="932" t="str">
        <f>VLOOKUP(L366,[2]اس!$S$3:$X$31,3,FALSE)</f>
        <v>.</v>
      </c>
      <c r="AA366" s="967"/>
    </row>
    <row r="367" spans="12:27" ht="15.75">
      <c r="L367" s="777">
        <v>5</v>
      </c>
      <c r="M367" s="906"/>
      <c r="N367" s="976"/>
      <c r="O367" s="1020">
        <v>314</v>
      </c>
      <c r="P367" s="847" t="e">
        <f>VLOOKUP(N367,etat!$A$9:$N$1004,2,FALSE)</f>
        <v>#N/A</v>
      </c>
      <c r="Q367" s="797" t="e">
        <f>VLOOKUP(N367,etat!$A$9:$N$963,7,FALSE)</f>
        <v>#N/A</v>
      </c>
      <c r="R367" s="797" t="e">
        <f>VLOOKUP(N367,etat!$A$9:$N$1003,9,FALSE)</f>
        <v>#N/A</v>
      </c>
      <c r="S367" s="866" t="e">
        <f>VLOOKUP(N367,etat!$A$9:$P$905,16,FALSE)</f>
        <v>#N/A</v>
      </c>
      <c r="T367" s="755"/>
      <c r="U367" s="784"/>
      <c r="V367" s="784"/>
      <c r="W367" s="784"/>
      <c r="X367" s="784"/>
      <c r="Y367" s="784"/>
      <c r="Z367" s="932" t="str">
        <f>VLOOKUP(L367,[2]اس!$S$3:$X$31,3,FALSE)</f>
        <v>.</v>
      </c>
      <c r="AA367" s="967"/>
    </row>
    <row r="368" spans="12:27" ht="15.75">
      <c r="L368" s="777">
        <v>5</v>
      </c>
      <c r="M368" s="906"/>
      <c r="N368" s="976"/>
      <c r="O368" s="1020">
        <v>315</v>
      </c>
      <c r="P368" s="847" t="e">
        <f>VLOOKUP(N368,etat!$A$9:$N$1004,2,FALSE)</f>
        <v>#N/A</v>
      </c>
      <c r="Q368" s="797" t="e">
        <f>VLOOKUP(N368,etat!$A$9:$N$963,7,FALSE)</f>
        <v>#N/A</v>
      </c>
      <c r="R368" s="797" t="e">
        <f>VLOOKUP(N368,etat!$A$9:$N$1003,9,FALSE)</f>
        <v>#N/A</v>
      </c>
      <c r="S368" s="866" t="e">
        <f>VLOOKUP(N368,etat!$A$9:$P$905,16,FALSE)</f>
        <v>#N/A</v>
      </c>
      <c r="T368" s="755"/>
      <c r="U368" s="784"/>
      <c r="V368" s="784"/>
      <c r="W368" s="784"/>
      <c r="X368" s="784"/>
      <c r="Y368" s="784"/>
      <c r="Z368" s="932" t="str">
        <f>VLOOKUP(L368,[2]اس!$S$3:$X$31,3,FALSE)</f>
        <v>.</v>
      </c>
      <c r="AA368" s="967"/>
    </row>
    <row r="369" spans="12:27" ht="15.75">
      <c r="L369" s="777">
        <v>5</v>
      </c>
      <c r="M369" s="906"/>
      <c r="N369" s="976"/>
      <c r="O369" s="1020">
        <v>316</v>
      </c>
      <c r="P369" s="847" t="e">
        <f>VLOOKUP(N369,etat!$A$9:$N$1004,2,FALSE)</f>
        <v>#N/A</v>
      </c>
      <c r="Q369" s="797" t="e">
        <f>VLOOKUP(N369,etat!$A$9:$N$963,7,FALSE)</f>
        <v>#N/A</v>
      </c>
      <c r="R369" s="797" t="e">
        <f>VLOOKUP(N369,etat!$A$9:$N$1003,9,FALSE)</f>
        <v>#N/A</v>
      </c>
      <c r="S369" s="866" t="e">
        <f>VLOOKUP(N369,etat!$A$9:$P$905,16,FALSE)</f>
        <v>#N/A</v>
      </c>
      <c r="T369" s="755"/>
      <c r="U369" s="784"/>
      <c r="V369" s="784"/>
      <c r="W369" s="784"/>
      <c r="X369" s="784"/>
      <c r="Y369" s="784"/>
      <c r="Z369" s="932" t="str">
        <f>VLOOKUP(L369,[2]اس!$S$3:$X$31,3,FALSE)</f>
        <v>.</v>
      </c>
      <c r="AA369" s="967"/>
    </row>
    <row r="370" spans="12:27" ht="15.75">
      <c r="L370" s="777">
        <v>5</v>
      </c>
      <c r="M370" s="906"/>
      <c r="N370" s="976"/>
      <c r="O370" s="1020">
        <v>317</v>
      </c>
      <c r="P370" s="847" t="e">
        <f>VLOOKUP(N370,etat!$A$9:$N$1004,2,FALSE)</f>
        <v>#N/A</v>
      </c>
      <c r="Q370" s="797" t="e">
        <f>VLOOKUP(N370,etat!$A$9:$N$963,7,FALSE)</f>
        <v>#N/A</v>
      </c>
      <c r="R370" s="797" t="e">
        <f>VLOOKUP(N370,etat!$A$9:$N$1003,9,FALSE)</f>
        <v>#N/A</v>
      </c>
      <c r="S370" s="866" t="e">
        <f>VLOOKUP(N370,etat!$A$9:$P$905,16,FALSE)</f>
        <v>#N/A</v>
      </c>
      <c r="T370" s="755"/>
      <c r="U370" s="784"/>
      <c r="V370" s="784"/>
      <c r="W370" s="784"/>
      <c r="X370" s="784"/>
      <c r="Y370" s="784"/>
      <c r="Z370" s="932" t="str">
        <f>VLOOKUP(L370,[2]اس!$S$3:$X$31,3,FALSE)</f>
        <v>.</v>
      </c>
      <c r="AA370" s="967"/>
    </row>
    <row r="371" spans="12:27" ht="18.75">
      <c r="L371" s="777">
        <v>5</v>
      </c>
      <c r="M371" s="906"/>
      <c r="N371" s="976"/>
      <c r="O371" s="1020">
        <v>318</v>
      </c>
      <c r="P371" s="847" t="e">
        <f>VLOOKUP(N371,etat!$A$9:$N$1004,2,FALSE)</f>
        <v>#N/A</v>
      </c>
      <c r="Q371" s="797" t="e">
        <f>VLOOKUP(N371,etat!$A$9:$N$963,7,FALSE)</f>
        <v>#N/A</v>
      </c>
      <c r="R371" s="954" t="e">
        <f>VLOOKUP(N371,etat!$A$9:$N$1003,9,FALSE)</f>
        <v>#N/A</v>
      </c>
      <c r="S371" s="866" t="e">
        <f>VLOOKUP(N371,etat!$A$9:$P$905,16,FALSE)</f>
        <v>#N/A</v>
      </c>
      <c r="T371" s="755"/>
      <c r="U371" s="784"/>
      <c r="V371" s="784"/>
      <c r="W371" s="784"/>
      <c r="X371" s="784"/>
      <c r="Y371" s="975"/>
      <c r="Z371" s="932" t="str">
        <f>VLOOKUP(L371,[2]اس!$S$3:$X$31,3,FALSE)</f>
        <v>.</v>
      </c>
      <c r="AA371" s="967"/>
    </row>
    <row r="372" spans="12:27" ht="18.75">
      <c r="L372" s="777">
        <v>5</v>
      </c>
      <c r="M372" s="906"/>
      <c r="N372" s="976"/>
      <c r="O372" s="1020">
        <v>319</v>
      </c>
      <c r="P372" s="847" t="e">
        <f>VLOOKUP(N372,etat!$A$9:$N$1004,2,FALSE)</f>
        <v>#N/A</v>
      </c>
      <c r="Q372" s="797" t="e">
        <f>VLOOKUP(N372,etat!$A$9:$N$963,7,FALSE)</f>
        <v>#N/A</v>
      </c>
      <c r="R372" s="954" t="e">
        <f>VLOOKUP(N372,etat!$A$9:$N$1003,9,FALSE)</f>
        <v>#N/A</v>
      </c>
      <c r="S372" s="866" t="e">
        <f>VLOOKUP(N372,etat!$A$9:$P$905,16,FALSE)</f>
        <v>#N/A</v>
      </c>
      <c r="T372" s="755"/>
      <c r="U372" s="784"/>
      <c r="V372" s="784"/>
      <c r="W372" s="784"/>
      <c r="X372" s="784"/>
      <c r="Y372" s="975"/>
      <c r="Z372" s="932" t="str">
        <f>VLOOKUP(L372,[2]اس!$S$3:$X$31,3,FALSE)</f>
        <v>.</v>
      </c>
      <c r="AA372" s="967"/>
    </row>
    <row r="373" spans="12:27" ht="18.75">
      <c r="L373" s="777">
        <v>5</v>
      </c>
      <c r="M373" s="906"/>
      <c r="N373" s="976"/>
      <c r="O373" s="1020">
        <v>320</v>
      </c>
      <c r="P373" s="847" t="e">
        <f>VLOOKUP(N373,etat!$A$9:$N$1004,2,FALSE)</f>
        <v>#N/A</v>
      </c>
      <c r="Q373" s="797" t="e">
        <f>VLOOKUP(N373,etat!$A$9:$N$963,7,FALSE)</f>
        <v>#N/A</v>
      </c>
      <c r="R373" s="954" t="e">
        <f>VLOOKUP(N373,etat!$A$9:$N$1003,9,FALSE)</f>
        <v>#N/A</v>
      </c>
      <c r="S373" s="866" t="e">
        <f>VLOOKUP(N373,etat!$A$9:$P$905,16,FALSE)</f>
        <v>#N/A</v>
      </c>
      <c r="T373" s="755"/>
      <c r="U373" s="784"/>
      <c r="V373" s="784"/>
      <c r="W373" s="784"/>
      <c r="X373" s="784"/>
      <c r="Y373" s="975"/>
      <c r="Z373" s="932" t="str">
        <f>VLOOKUP(L373,[2]اس!$S$3:$X$31,3,FALSE)</f>
        <v>.</v>
      </c>
      <c r="AA373" s="967"/>
    </row>
    <row r="374" spans="12:27" ht="18.75">
      <c r="L374" s="777">
        <v>5</v>
      </c>
      <c r="M374" s="906"/>
      <c r="N374" s="976"/>
      <c r="O374" s="1020">
        <v>321</v>
      </c>
      <c r="P374" s="847" t="e">
        <f>VLOOKUP(N374,etat!$A$9:$N$1004,2,FALSE)</f>
        <v>#N/A</v>
      </c>
      <c r="Q374" s="797" t="e">
        <f>VLOOKUP(N374,etat!$A$9:$N$963,7,FALSE)</f>
        <v>#N/A</v>
      </c>
      <c r="R374" s="954" t="e">
        <f>VLOOKUP(N374,etat!$A$9:$N$1003,9,FALSE)</f>
        <v>#N/A</v>
      </c>
      <c r="S374" s="866" t="e">
        <f>VLOOKUP(N374,etat!$A$9:$P$905,16,FALSE)</f>
        <v>#N/A</v>
      </c>
      <c r="T374" s="755"/>
      <c r="U374" s="784"/>
      <c r="V374" s="784"/>
      <c r="W374" s="784"/>
      <c r="X374" s="784"/>
      <c r="Y374" s="975"/>
      <c r="Z374" s="932" t="str">
        <f>VLOOKUP(L374,[2]اس!$S$3:$X$31,3,FALSE)</f>
        <v>.</v>
      </c>
      <c r="AA374" s="967"/>
    </row>
    <row r="375" spans="12:27" ht="18.75">
      <c r="L375" s="777">
        <v>5</v>
      </c>
      <c r="M375" s="906"/>
      <c r="N375" s="976"/>
      <c r="O375" s="1020">
        <v>322</v>
      </c>
      <c r="P375" s="847" t="e">
        <f>VLOOKUP(N375,etat!$A$9:$N$1004,2,FALSE)</f>
        <v>#N/A</v>
      </c>
      <c r="Q375" s="797" t="e">
        <f>VLOOKUP(N375,etat!$A$9:$N$963,7,FALSE)</f>
        <v>#N/A</v>
      </c>
      <c r="R375" s="954" t="e">
        <f>VLOOKUP(N375,etat!$A$9:$N$1003,9,FALSE)</f>
        <v>#N/A</v>
      </c>
      <c r="S375" s="866" t="e">
        <f>VLOOKUP(N375,etat!$A$9:$P$905,16,FALSE)</f>
        <v>#N/A</v>
      </c>
      <c r="T375" s="755"/>
      <c r="U375" s="784"/>
      <c r="V375" s="784"/>
      <c r="W375" s="784"/>
      <c r="X375" s="784"/>
      <c r="Y375" s="975"/>
      <c r="Z375" s="932" t="str">
        <f>VLOOKUP(L375,[2]اس!$S$3:$X$31,3,FALSE)</f>
        <v>.</v>
      </c>
      <c r="AA375" s="967"/>
    </row>
    <row r="376" spans="12:27" ht="18.75">
      <c r="L376" s="777">
        <v>5</v>
      </c>
      <c r="M376" s="906"/>
      <c r="N376" s="976"/>
      <c r="O376" s="1020">
        <v>323</v>
      </c>
      <c r="P376" s="847" t="e">
        <f>VLOOKUP(N376,etat!$A$9:$N$1004,2,FALSE)</f>
        <v>#N/A</v>
      </c>
      <c r="Q376" s="797" t="e">
        <f>VLOOKUP(N376,etat!$A$9:$N$963,7,FALSE)</f>
        <v>#N/A</v>
      </c>
      <c r="R376" s="954" t="e">
        <f>VLOOKUP(N376,etat!$A$9:$N$1003,9,FALSE)</f>
        <v>#N/A</v>
      </c>
      <c r="S376" s="866" t="e">
        <f>VLOOKUP(N376,etat!$A$9:$P$905,16,FALSE)</f>
        <v>#N/A</v>
      </c>
      <c r="T376" s="755"/>
      <c r="U376" s="784"/>
      <c r="V376" s="784"/>
      <c r="W376" s="784"/>
      <c r="X376" s="784"/>
      <c r="Y376" s="975"/>
      <c r="Z376" s="932" t="str">
        <f>VLOOKUP(L376,[2]اس!$S$3:$X$31,3,FALSE)</f>
        <v>.</v>
      </c>
      <c r="AA376" s="967"/>
    </row>
    <row r="377" spans="12:27" ht="18.75">
      <c r="L377" s="777">
        <v>5</v>
      </c>
      <c r="M377" s="906"/>
      <c r="N377" s="976"/>
      <c r="O377" s="1020">
        <v>324</v>
      </c>
      <c r="P377" s="847" t="e">
        <f>VLOOKUP(N377,etat!$A$9:$N$1004,2,FALSE)</f>
        <v>#N/A</v>
      </c>
      <c r="Q377" s="797" t="e">
        <f>VLOOKUP(N377,etat!$A$9:$N$963,7,FALSE)</f>
        <v>#N/A</v>
      </c>
      <c r="R377" s="954" t="e">
        <f>VLOOKUP(N377,etat!$A$9:$N$1003,9,FALSE)</f>
        <v>#N/A</v>
      </c>
      <c r="S377" s="866" t="e">
        <f>VLOOKUP(N377,etat!$A$9:$P$905,16,FALSE)</f>
        <v>#N/A</v>
      </c>
      <c r="T377" s="755"/>
      <c r="U377" s="784"/>
      <c r="V377" s="784"/>
      <c r="W377" s="784"/>
      <c r="X377" s="784"/>
      <c r="Y377" s="975"/>
      <c r="Z377" s="932" t="str">
        <f>VLOOKUP(L377,[2]اس!$S$3:$X$31,3,FALSE)</f>
        <v>.</v>
      </c>
      <c r="AA377" s="967"/>
    </row>
    <row r="378" spans="12:27" ht="15.75">
      <c r="L378" s="777">
        <v>5</v>
      </c>
      <c r="M378" s="906"/>
      <c r="N378" s="976"/>
      <c r="O378" s="1020">
        <v>325</v>
      </c>
      <c r="P378" s="847" t="e">
        <f>VLOOKUP(N378,etat!$A$9:$N$1004,2,FALSE)</f>
        <v>#N/A</v>
      </c>
      <c r="Q378" s="797" t="e">
        <f>VLOOKUP(N378,etat!$A$9:$N$963,7,FALSE)</f>
        <v>#N/A</v>
      </c>
      <c r="R378" s="797" t="e">
        <f>VLOOKUP(N378,etat!$A$9:$N$1003,9,FALSE)</f>
        <v>#N/A</v>
      </c>
      <c r="S378" s="866" t="e">
        <f>VLOOKUP(N378,etat!$A$9:$P$905,16,FALSE)</f>
        <v>#N/A</v>
      </c>
      <c r="T378" s="755"/>
      <c r="U378" s="784"/>
      <c r="V378" s="784"/>
      <c r="W378" s="784"/>
      <c r="X378" s="784"/>
      <c r="Y378" s="784"/>
      <c r="Z378" s="932" t="str">
        <f>VLOOKUP(L378,[2]اس!$S$3:$X$31,3,FALSE)</f>
        <v>.</v>
      </c>
      <c r="AA378" s="967"/>
    </row>
    <row r="379" spans="12:27" ht="18.75">
      <c r="L379" s="777">
        <v>5</v>
      </c>
      <c r="M379" s="906"/>
      <c r="N379" s="976"/>
      <c r="O379" s="1020">
        <v>326</v>
      </c>
      <c r="P379" s="847" t="e">
        <f>VLOOKUP(N379,etat!$A$9:$N$1004,2,FALSE)</f>
        <v>#N/A</v>
      </c>
      <c r="Q379" s="797" t="e">
        <f>VLOOKUP(N379,etat!$A$9:$N$963,7,FALSE)</f>
        <v>#N/A</v>
      </c>
      <c r="R379" s="954" t="e">
        <f>VLOOKUP(N379,etat!$A$9:$N$1003,9,FALSE)</f>
        <v>#N/A</v>
      </c>
      <c r="S379" s="866" t="e">
        <f>VLOOKUP(N379,etat!$A$9:$P$905,16,FALSE)</f>
        <v>#N/A</v>
      </c>
      <c r="T379" s="755"/>
      <c r="U379" s="784"/>
      <c r="V379" s="784"/>
      <c r="W379" s="784"/>
      <c r="X379" s="784"/>
      <c r="Y379" s="975"/>
      <c r="Z379" s="932" t="str">
        <f>VLOOKUP(L379,[2]اس!$S$3:$X$31,3,FALSE)</f>
        <v>.</v>
      </c>
      <c r="AA379" s="967"/>
    </row>
    <row r="380" spans="12:27" ht="18.75">
      <c r="L380" s="777">
        <v>5</v>
      </c>
      <c r="M380" s="906"/>
      <c r="N380" s="976"/>
      <c r="O380" s="1020">
        <v>327</v>
      </c>
      <c r="P380" s="847" t="e">
        <f>VLOOKUP(N380,etat!$A$9:$N$1004,2,FALSE)</f>
        <v>#N/A</v>
      </c>
      <c r="Q380" s="797" t="e">
        <f>VLOOKUP(N380,etat!$A$9:$N$963,7,FALSE)</f>
        <v>#N/A</v>
      </c>
      <c r="R380" s="954" t="e">
        <f>VLOOKUP(N380,etat!$A$9:$N$1003,9,FALSE)</f>
        <v>#N/A</v>
      </c>
      <c r="S380" s="866" t="e">
        <f>VLOOKUP(N380,etat!$A$9:$P$905,16,FALSE)</f>
        <v>#N/A</v>
      </c>
      <c r="T380" s="755"/>
      <c r="U380" s="784"/>
      <c r="V380" s="784"/>
      <c r="W380" s="784"/>
      <c r="X380" s="784"/>
      <c r="Y380" s="975"/>
      <c r="Z380" s="932" t="str">
        <f>VLOOKUP(L380,[2]اس!$S$3:$X$31,3,FALSE)</f>
        <v>.</v>
      </c>
      <c r="AA380" s="967"/>
    </row>
    <row r="381" spans="12:27" ht="18.75">
      <c r="L381" s="777">
        <v>5</v>
      </c>
      <c r="M381" s="906"/>
      <c r="N381" s="976"/>
      <c r="O381" s="1020">
        <v>328</v>
      </c>
      <c r="P381" s="847" t="e">
        <f>VLOOKUP(N381,etat!$A$9:$N$1004,2,FALSE)</f>
        <v>#N/A</v>
      </c>
      <c r="Q381" s="797" t="e">
        <f>VLOOKUP(N381,etat!$A$9:$N$963,7,FALSE)</f>
        <v>#N/A</v>
      </c>
      <c r="R381" s="954" t="e">
        <f>VLOOKUP(N381,etat!$A$9:$N$1003,9,FALSE)</f>
        <v>#N/A</v>
      </c>
      <c r="S381" s="866" t="e">
        <f>VLOOKUP(N381,etat!$A$9:$P$905,16,FALSE)</f>
        <v>#N/A</v>
      </c>
      <c r="T381" s="755"/>
      <c r="U381" s="784"/>
      <c r="V381" s="784"/>
      <c r="W381" s="784"/>
      <c r="X381" s="784"/>
      <c r="Y381" s="975"/>
      <c r="Z381" s="932" t="str">
        <f>VLOOKUP(L381,[2]اس!$S$3:$X$31,3,FALSE)</f>
        <v>.</v>
      </c>
      <c r="AA381" s="967"/>
    </row>
    <row r="382" spans="12:27" ht="18.75">
      <c r="L382" s="777">
        <v>5</v>
      </c>
      <c r="M382" s="906"/>
      <c r="N382" s="976"/>
      <c r="O382" s="1020">
        <v>329</v>
      </c>
      <c r="P382" s="847" t="e">
        <f>VLOOKUP(N382,etat!$A$9:$N$1004,2,FALSE)</f>
        <v>#N/A</v>
      </c>
      <c r="Q382" s="797" t="e">
        <f>VLOOKUP(N382,etat!$A$9:$N$963,7,FALSE)</f>
        <v>#N/A</v>
      </c>
      <c r="R382" s="954" t="e">
        <f>VLOOKUP(N382,etat!$A$9:$N$1003,9,FALSE)</f>
        <v>#N/A</v>
      </c>
      <c r="S382" s="866" t="e">
        <f>VLOOKUP(N382,etat!$A$9:$P$905,16,FALSE)</f>
        <v>#N/A</v>
      </c>
      <c r="T382" s="755"/>
      <c r="U382" s="784"/>
      <c r="V382" s="784"/>
      <c r="W382" s="784"/>
      <c r="X382" s="784"/>
      <c r="Y382" s="975"/>
      <c r="Z382" s="932" t="str">
        <f>VLOOKUP(L382,[2]اس!$S$3:$X$31,3,FALSE)</f>
        <v>.</v>
      </c>
      <c r="AA382" s="967"/>
    </row>
    <row r="383" spans="12:27" ht="18.75">
      <c r="L383" s="777">
        <v>5</v>
      </c>
      <c r="M383" s="906"/>
      <c r="N383" s="976"/>
      <c r="O383" s="1020">
        <v>330</v>
      </c>
      <c r="P383" s="847" t="e">
        <f>VLOOKUP(N383,etat!$A$9:$N$1004,2,FALSE)</f>
        <v>#N/A</v>
      </c>
      <c r="Q383" s="797" t="e">
        <f>VLOOKUP(N383,etat!$A$9:$N$963,7,FALSE)</f>
        <v>#N/A</v>
      </c>
      <c r="R383" s="954" t="e">
        <f>VLOOKUP(N383,etat!$A$9:$N$1003,9,FALSE)</f>
        <v>#N/A</v>
      </c>
      <c r="S383" s="866" t="e">
        <f>VLOOKUP(N383,etat!$A$9:$P$905,16,FALSE)</f>
        <v>#N/A</v>
      </c>
      <c r="T383" s="755"/>
      <c r="U383" s="784"/>
      <c r="V383" s="784"/>
      <c r="W383" s="784"/>
      <c r="X383" s="784"/>
      <c r="Y383" s="975"/>
      <c r="Z383" s="932" t="str">
        <f>VLOOKUP(L383,[2]اس!$S$3:$X$31,3,FALSE)</f>
        <v>.</v>
      </c>
      <c r="AA383" s="967"/>
    </row>
    <row r="384" spans="12:27" ht="18.75">
      <c r="L384" s="777">
        <v>5</v>
      </c>
      <c r="M384" s="906"/>
      <c r="N384" s="976"/>
      <c r="O384" s="1020">
        <v>331</v>
      </c>
      <c r="P384" s="847" t="e">
        <f>VLOOKUP(N384,etat!$A$9:$N$1004,2,FALSE)</f>
        <v>#N/A</v>
      </c>
      <c r="Q384" s="797" t="e">
        <f>VLOOKUP(N384,etat!$A$9:$N$963,7,FALSE)</f>
        <v>#N/A</v>
      </c>
      <c r="R384" s="954" t="e">
        <f>VLOOKUP(N384,etat!$A$9:$N$1003,9,FALSE)</f>
        <v>#N/A</v>
      </c>
      <c r="S384" s="866" t="e">
        <f>VLOOKUP(N384,etat!$A$9:$P$905,16,FALSE)</f>
        <v>#N/A</v>
      </c>
      <c r="T384" s="755"/>
      <c r="U384" s="784"/>
      <c r="V384" s="784"/>
      <c r="W384" s="784"/>
      <c r="X384" s="784"/>
      <c r="Y384" s="975"/>
      <c r="Z384" s="932" t="str">
        <f>VLOOKUP(L384,[2]اس!$S$3:$X$31,3,FALSE)</f>
        <v>.</v>
      </c>
      <c r="AA384" s="967"/>
    </row>
    <row r="385" spans="12:27" ht="18.75">
      <c r="L385" s="777">
        <v>5</v>
      </c>
      <c r="M385" s="906"/>
      <c r="N385" s="976"/>
      <c r="O385" s="1020">
        <v>332</v>
      </c>
      <c r="P385" s="847" t="e">
        <f>VLOOKUP(N385,etat!$A$9:$N$1004,2,FALSE)</f>
        <v>#N/A</v>
      </c>
      <c r="Q385" s="797" t="e">
        <f>VLOOKUP(N385,etat!$A$9:$N$963,7,FALSE)</f>
        <v>#N/A</v>
      </c>
      <c r="R385" s="954" t="e">
        <f>VLOOKUP(N385,etat!$A$9:$N$1003,9,FALSE)</f>
        <v>#N/A</v>
      </c>
      <c r="S385" s="866" t="e">
        <f>VLOOKUP(N385,etat!$A$9:$P$905,16,FALSE)</f>
        <v>#N/A</v>
      </c>
      <c r="T385" s="755"/>
      <c r="U385" s="784"/>
      <c r="V385" s="784"/>
      <c r="W385" s="784"/>
      <c r="X385" s="784"/>
      <c r="Y385" s="975"/>
      <c r="Z385" s="932" t="str">
        <f>VLOOKUP(L385,[2]اس!$S$3:$X$31,3,FALSE)</f>
        <v>.</v>
      </c>
      <c r="AA385" s="967"/>
    </row>
    <row r="386" spans="12:27" ht="18.75">
      <c r="L386" s="777">
        <v>5</v>
      </c>
      <c r="M386" s="906"/>
      <c r="N386" s="976"/>
      <c r="O386" s="1020">
        <v>333</v>
      </c>
      <c r="P386" s="847" t="e">
        <f>VLOOKUP(N386,etat!$A$9:$N$1004,2,FALSE)</f>
        <v>#N/A</v>
      </c>
      <c r="Q386" s="797" t="e">
        <f>VLOOKUP(N386,etat!$A$9:$N$963,7,FALSE)</f>
        <v>#N/A</v>
      </c>
      <c r="R386" s="954" t="e">
        <f>VLOOKUP(N386,etat!$A$9:$N$1003,9,FALSE)</f>
        <v>#N/A</v>
      </c>
      <c r="S386" s="866" t="e">
        <f>VLOOKUP(N386,etat!$A$9:$P$905,16,FALSE)</f>
        <v>#N/A</v>
      </c>
      <c r="T386" s="755"/>
      <c r="U386" s="784"/>
      <c r="V386" s="784"/>
      <c r="W386" s="784"/>
      <c r="X386" s="784"/>
      <c r="Y386" s="975"/>
      <c r="Z386" s="1022"/>
      <c r="AA386" s="967"/>
    </row>
    <row r="387" spans="12:27" ht="18.75">
      <c r="L387" s="777">
        <v>5</v>
      </c>
      <c r="M387" s="906"/>
      <c r="N387" s="976"/>
      <c r="O387" s="1020">
        <v>334</v>
      </c>
      <c r="P387" s="847" t="e">
        <f>VLOOKUP(N387,etat!$A$9:$N$1004,2,FALSE)</f>
        <v>#N/A</v>
      </c>
      <c r="Q387" s="797" t="e">
        <f>VLOOKUP(N387,etat!$A$9:$N$963,7,FALSE)</f>
        <v>#N/A</v>
      </c>
      <c r="R387" s="954" t="e">
        <f>VLOOKUP(N387,etat!$A$9:$N$1003,9,FALSE)</f>
        <v>#N/A</v>
      </c>
      <c r="S387" s="866" t="e">
        <f>VLOOKUP(N387,etat!$A$9:$P$905,16,FALSE)</f>
        <v>#N/A</v>
      </c>
      <c r="T387" s="755"/>
      <c r="U387" s="784"/>
      <c r="V387" s="784"/>
      <c r="W387" s="784"/>
      <c r="X387" s="784"/>
      <c r="Y387" s="975"/>
      <c r="Z387" s="1022"/>
      <c r="AA387" s="967"/>
    </row>
    <row r="388" spans="12:27" ht="18.75">
      <c r="L388" s="777">
        <v>5</v>
      </c>
      <c r="M388" s="906"/>
      <c r="N388" s="976"/>
      <c r="O388" s="1020">
        <v>335</v>
      </c>
      <c r="P388" s="847" t="e">
        <f>VLOOKUP(N388,etat!$A$9:$N$1004,2,FALSE)</f>
        <v>#N/A</v>
      </c>
      <c r="Q388" s="797" t="e">
        <f>VLOOKUP(N388,etat!$A$9:$N$963,7,FALSE)</f>
        <v>#N/A</v>
      </c>
      <c r="R388" s="954" t="e">
        <f>VLOOKUP(N388,etat!$A$9:$N$1003,9,FALSE)</f>
        <v>#N/A</v>
      </c>
      <c r="S388" s="866" t="e">
        <f>VLOOKUP(N388,etat!$A$9:$P$905,16,FALSE)</f>
        <v>#N/A</v>
      </c>
      <c r="T388" s="755"/>
      <c r="U388" s="784"/>
      <c r="V388" s="784"/>
      <c r="W388" s="784"/>
      <c r="X388" s="784"/>
      <c r="Y388" s="975"/>
      <c r="Z388" s="1022"/>
      <c r="AA388" s="967"/>
    </row>
    <row r="389" spans="12:27" ht="18.75">
      <c r="L389" s="777">
        <v>5</v>
      </c>
      <c r="M389" s="906"/>
      <c r="N389" s="976"/>
      <c r="O389" s="1020">
        <v>336</v>
      </c>
      <c r="P389" s="847" t="e">
        <f>VLOOKUP(N389,etat!$A$9:$N$1004,2,FALSE)</f>
        <v>#N/A</v>
      </c>
      <c r="Q389" s="797" t="e">
        <f>VLOOKUP(N389,etat!$A$9:$N$963,7,FALSE)</f>
        <v>#N/A</v>
      </c>
      <c r="R389" s="954" t="e">
        <f>VLOOKUP(N389,etat!$A$9:$N$1003,9,FALSE)</f>
        <v>#N/A</v>
      </c>
      <c r="S389" s="866" t="e">
        <f>VLOOKUP(N389,etat!$A$9:$P$905,16,FALSE)</f>
        <v>#N/A</v>
      </c>
      <c r="T389" s="755"/>
      <c r="U389" s="784"/>
      <c r="V389" s="784"/>
      <c r="W389" s="784"/>
      <c r="X389" s="784"/>
      <c r="Y389" s="975"/>
      <c r="Z389" s="1022"/>
      <c r="AA389" s="967"/>
    </row>
    <row r="390" spans="12:27" ht="18.75">
      <c r="L390" s="777">
        <v>5</v>
      </c>
      <c r="M390" s="906"/>
      <c r="N390" s="976"/>
      <c r="O390" s="1020">
        <v>337</v>
      </c>
      <c r="P390" s="847" t="e">
        <f>VLOOKUP(N390,etat!$A$9:$N$1004,2,FALSE)</f>
        <v>#N/A</v>
      </c>
      <c r="Q390" s="797" t="e">
        <f>VLOOKUP(N390,etat!$A$9:$N$963,7,FALSE)</f>
        <v>#N/A</v>
      </c>
      <c r="R390" s="954" t="e">
        <f>VLOOKUP(N390,etat!$A$9:$N$1003,9,FALSE)</f>
        <v>#N/A</v>
      </c>
      <c r="S390" s="866" t="e">
        <f>VLOOKUP(N390,etat!$A$9:$P$905,16,FALSE)</f>
        <v>#N/A</v>
      </c>
      <c r="T390" s="755"/>
      <c r="U390" s="784"/>
      <c r="V390" s="784"/>
      <c r="W390" s="784"/>
      <c r="X390" s="784"/>
      <c r="Y390" s="975"/>
      <c r="Z390" s="1022"/>
      <c r="AA390" s="967"/>
    </row>
    <row r="391" spans="12:27" ht="18.75">
      <c r="L391" s="777">
        <v>5</v>
      </c>
      <c r="M391" s="906"/>
      <c r="N391" s="976"/>
      <c r="O391" s="1020">
        <v>338</v>
      </c>
      <c r="P391" s="847" t="e">
        <f>VLOOKUP(N391,etat!$A$9:$N$1004,2,FALSE)</f>
        <v>#N/A</v>
      </c>
      <c r="Q391" s="797" t="e">
        <f>VLOOKUP(N391,etat!$A$9:$N$963,7,FALSE)</f>
        <v>#N/A</v>
      </c>
      <c r="R391" s="954" t="e">
        <f>VLOOKUP(N391,etat!$A$9:$N$1003,9,FALSE)</f>
        <v>#N/A</v>
      </c>
      <c r="S391" s="866" t="e">
        <f>VLOOKUP(N391,etat!$A$9:$P$905,16,FALSE)</f>
        <v>#N/A</v>
      </c>
      <c r="T391" s="755"/>
      <c r="U391" s="784"/>
      <c r="V391" s="784"/>
      <c r="W391" s="784"/>
      <c r="X391" s="784"/>
      <c r="Y391" s="975"/>
      <c r="Z391" s="1022"/>
      <c r="AA391" s="967"/>
    </row>
    <row r="392" spans="12:27" ht="18.75">
      <c r="L392" s="777">
        <v>5</v>
      </c>
      <c r="M392" s="906"/>
      <c r="N392" s="976"/>
      <c r="O392" s="1020">
        <v>339</v>
      </c>
      <c r="P392" s="847" t="e">
        <f>VLOOKUP(N392,etat!$A$9:$N$1004,2,FALSE)</f>
        <v>#N/A</v>
      </c>
      <c r="Q392" s="797" t="e">
        <f>VLOOKUP(N392,etat!$A$9:$N$963,7,FALSE)</f>
        <v>#N/A</v>
      </c>
      <c r="R392" s="954" t="e">
        <f>VLOOKUP(N392,etat!$A$9:$N$1003,9,FALSE)</f>
        <v>#N/A</v>
      </c>
      <c r="S392" s="866" t="e">
        <f>VLOOKUP(N392,etat!$A$9:$P$905,16,FALSE)</f>
        <v>#N/A</v>
      </c>
      <c r="T392" s="755"/>
      <c r="U392" s="784"/>
      <c r="V392" s="784"/>
      <c r="W392" s="784"/>
      <c r="X392" s="784"/>
      <c r="Y392" s="975"/>
      <c r="Z392" s="1022"/>
      <c r="AA392" s="967"/>
    </row>
    <row r="393" spans="12:27" ht="18.75">
      <c r="L393" s="777">
        <v>5</v>
      </c>
      <c r="M393" s="906"/>
      <c r="N393" s="976"/>
      <c r="O393" s="1020">
        <v>340</v>
      </c>
      <c r="P393" s="847" t="e">
        <f>VLOOKUP(N393,etat!$A$9:$N$1004,2,FALSE)</f>
        <v>#N/A</v>
      </c>
      <c r="Q393" s="797" t="e">
        <f>VLOOKUP(N393,etat!$A$9:$N$963,7,FALSE)</f>
        <v>#N/A</v>
      </c>
      <c r="R393" s="954" t="e">
        <f>VLOOKUP(N393,etat!$A$9:$N$1003,9,FALSE)</f>
        <v>#N/A</v>
      </c>
      <c r="S393" s="866" t="e">
        <f>VLOOKUP(N393,etat!$A$9:$P$905,16,FALSE)</f>
        <v>#N/A</v>
      </c>
      <c r="T393" s="755"/>
      <c r="U393" s="784"/>
      <c r="V393" s="784"/>
      <c r="W393" s="784"/>
      <c r="X393" s="784"/>
      <c r="Y393" s="956"/>
      <c r="Z393" s="1022"/>
      <c r="AA393" s="967"/>
    </row>
    <row r="394" spans="12:27" ht="18.75">
      <c r="L394" s="777">
        <v>5</v>
      </c>
      <c r="M394" s="906"/>
      <c r="N394" s="976"/>
      <c r="O394" s="1020">
        <v>341</v>
      </c>
      <c r="P394" s="847" t="e">
        <f>VLOOKUP(N394,etat!$A$9:$N$1004,2,FALSE)</f>
        <v>#N/A</v>
      </c>
      <c r="Q394" s="797" t="e">
        <f>VLOOKUP(N394,etat!$A$9:$N$963,7,FALSE)</f>
        <v>#N/A</v>
      </c>
      <c r="R394" s="954" t="e">
        <f>VLOOKUP(N394,etat!$A$9:$N$1003,9,FALSE)</f>
        <v>#N/A</v>
      </c>
      <c r="S394" s="866" t="e">
        <f>VLOOKUP(N394,etat!$A$9:$P$905,16,FALSE)</f>
        <v>#N/A</v>
      </c>
      <c r="T394" s="755"/>
      <c r="U394" s="784"/>
      <c r="V394" s="784"/>
      <c r="W394" s="784"/>
      <c r="X394" s="784"/>
      <c r="Y394" s="956"/>
      <c r="Z394" s="1022"/>
      <c r="AA394" s="967"/>
    </row>
    <row r="395" spans="12:27" ht="17.25">
      <c r="L395" s="777">
        <v>5</v>
      </c>
      <c r="M395" s="906"/>
      <c r="N395" s="976"/>
      <c r="O395" s="1020">
        <v>342</v>
      </c>
      <c r="P395" s="847" t="e">
        <f>VLOOKUP(N395,etat!$A$9:$N$1004,2,FALSE)</f>
        <v>#N/A</v>
      </c>
      <c r="Q395" s="797" t="e">
        <f>VLOOKUP(N395,etat!$A$9:$N$963,7,FALSE)</f>
        <v>#N/A</v>
      </c>
      <c r="R395" s="797" t="e">
        <f>VLOOKUP(N395,etat!$A$9:$N$1003,9,FALSE)</f>
        <v>#N/A</v>
      </c>
      <c r="S395" s="866" t="e">
        <f>VLOOKUP(N395,etat!$A$9:$P$905,16,FALSE)</f>
        <v>#N/A</v>
      </c>
      <c r="T395" s="755"/>
      <c r="U395" s="784"/>
      <c r="V395" s="784"/>
      <c r="W395" s="784"/>
      <c r="X395" s="784"/>
      <c r="Y395" s="975"/>
      <c r="Z395" s="1022"/>
      <c r="AA395" s="967"/>
    </row>
    <row r="396" spans="12:27" ht="17.25">
      <c r="L396" s="777">
        <v>5</v>
      </c>
      <c r="M396" s="906"/>
      <c r="N396" s="976"/>
      <c r="O396" s="1020">
        <v>343</v>
      </c>
      <c r="P396" s="847" t="e">
        <f>VLOOKUP(N396,etat!$A$9:$N$1004,2,FALSE)</f>
        <v>#N/A</v>
      </c>
      <c r="Q396" s="797" t="e">
        <f>VLOOKUP(N396,etat!$A$9:$N$963,7,FALSE)</f>
        <v>#N/A</v>
      </c>
      <c r="R396" s="797" t="e">
        <f>VLOOKUP(N396,etat!$A$9:$N$1003,9,FALSE)</f>
        <v>#N/A</v>
      </c>
      <c r="S396" s="866" t="e">
        <f>VLOOKUP(N396,etat!$A$9:$P$905,16,FALSE)</f>
        <v>#N/A</v>
      </c>
      <c r="T396" s="755"/>
      <c r="U396" s="784"/>
      <c r="V396" s="784"/>
      <c r="W396" s="755"/>
      <c r="X396" s="784"/>
      <c r="Y396" s="975"/>
      <c r="Z396" s="1022"/>
      <c r="AA396" s="967"/>
    </row>
    <row r="397" spans="12:27" ht="17.25">
      <c r="L397" s="777">
        <v>5</v>
      </c>
      <c r="M397" s="906"/>
      <c r="N397" s="976"/>
      <c r="O397" s="1020">
        <v>344</v>
      </c>
      <c r="P397" s="847" t="e">
        <f>VLOOKUP(N397,etat!$A$9:$N$1004,2,FALSE)</f>
        <v>#N/A</v>
      </c>
      <c r="Q397" s="797" t="e">
        <f>VLOOKUP(N397,etat!$A$9:$N$963,7,FALSE)</f>
        <v>#N/A</v>
      </c>
      <c r="R397" s="797" t="e">
        <f>VLOOKUP(N397,etat!$A$9:$N$1003,9,FALSE)</f>
        <v>#N/A</v>
      </c>
      <c r="S397" s="866" t="e">
        <f>VLOOKUP(N397,etat!$A$9:$P$905,16,FALSE)</f>
        <v>#N/A</v>
      </c>
      <c r="T397" s="755"/>
      <c r="U397" s="784"/>
      <c r="V397" s="784"/>
      <c r="W397" s="943"/>
      <c r="X397" s="944"/>
      <c r="Y397" s="975"/>
      <c r="Z397" s="1022"/>
      <c r="AA397" s="967"/>
    </row>
    <row r="398" spans="12:27" ht="17.25">
      <c r="L398" s="777">
        <v>5</v>
      </c>
      <c r="M398" s="906"/>
      <c r="N398" s="976"/>
      <c r="O398" s="1020">
        <v>345</v>
      </c>
      <c r="P398" s="847" t="e">
        <f>VLOOKUP(N398,etat!$A$9:$N$1004,2,FALSE)</f>
        <v>#N/A</v>
      </c>
      <c r="Q398" s="797" t="e">
        <f>VLOOKUP(N398,etat!$A$9:$N$963,7,FALSE)</f>
        <v>#N/A</v>
      </c>
      <c r="R398" s="797" t="e">
        <f>VLOOKUP(N398,etat!$A$9:$N$1003,9,FALSE)</f>
        <v>#N/A</v>
      </c>
      <c r="S398" s="866" t="e">
        <f>VLOOKUP(N398,etat!$A$9:$P$905,16,FALSE)</f>
        <v>#N/A</v>
      </c>
      <c r="T398" s="755"/>
      <c r="U398" s="784"/>
      <c r="V398" s="784"/>
      <c r="W398" s="943"/>
      <c r="X398" s="944"/>
      <c r="Y398" s="975"/>
      <c r="Z398" s="1022"/>
      <c r="AA398" s="967"/>
    </row>
    <row r="399" spans="12:27" ht="17.25">
      <c r="L399" s="777">
        <v>5</v>
      </c>
      <c r="M399" s="906"/>
      <c r="N399" s="976"/>
      <c r="O399" s="1020">
        <v>346</v>
      </c>
      <c r="P399" s="847" t="e">
        <f>VLOOKUP(N399,etat!$A$9:$N$1004,2,FALSE)</f>
        <v>#N/A</v>
      </c>
      <c r="Q399" s="797" t="e">
        <f>VLOOKUP(N399,etat!$A$9:$N$963,7,FALSE)</f>
        <v>#N/A</v>
      </c>
      <c r="R399" s="797" t="e">
        <f>VLOOKUP(N399,etat!$A$9:$N$1003,9,FALSE)</f>
        <v>#N/A</v>
      </c>
      <c r="S399" s="866" t="e">
        <f>VLOOKUP(N399,etat!$A$9:$P$905,16,FALSE)</f>
        <v>#N/A</v>
      </c>
      <c r="T399" s="755"/>
      <c r="U399" s="784"/>
      <c r="V399" s="784"/>
      <c r="W399" s="784"/>
      <c r="X399" s="784"/>
      <c r="Y399" s="975"/>
      <c r="Z399" s="1022"/>
      <c r="AA399" s="967"/>
    </row>
    <row r="400" spans="12:27" ht="15.75">
      <c r="L400" s="777">
        <v>5</v>
      </c>
      <c r="M400" s="906"/>
      <c r="N400" s="976"/>
      <c r="O400" s="1020">
        <v>347</v>
      </c>
      <c r="P400" s="847" t="e">
        <f>VLOOKUP(N400,etat!$A$9:$N$1004,2,FALSE)</f>
        <v>#N/A</v>
      </c>
      <c r="Q400" s="797" t="e">
        <f>VLOOKUP(N400,etat!$A$9:$N$963,7,FALSE)</f>
        <v>#N/A</v>
      </c>
      <c r="R400" s="797" t="e">
        <f>VLOOKUP(N400,etat!$A$9:$N$1003,9,FALSE)</f>
        <v>#N/A</v>
      </c>
      <c r="S400" s="866" t="e">
        <f>VLOOKUP(N400,etat!$A$9:$P$905,16,FALSE)</f>
        <v>#N/A</v>
      </c>
      <c r="T400" s="755"/>
      <c r="U400" s="784"/>
      <c r="V400" s="784"/>
      <c r="W400" s="784"/>
      <c r="X400" s="784"/>
      <c r="Y400" s="784"/>
      <c r="Z400" s="1112"/>
      <c r="AA400" s="967"/>
    </row>
    <row r="401" spans="12:27" ht="17.25">
      <c r="L401" s="777">
        <v>5</v>
      </c>
      <c r="M401" s="906"/>
      <c r="N401" s="976"/>
      <c r="O401" s="1020">
        <v>348</v>
      </c>
      <c r="P401" s="847" t="e">
        <f>VLOOKUP(N401,etat!$A$9:$N$1004,2,FALSE)</f>
        <v>#N/A</v>
      </c>
      <c r="Q401" s="797" t="e">
        <f>VLOOKUP(N401,etat!$A$9:$N$963,7,FALSE)</f>
        <v>#N/A</v>
      </c>
      <c r="R401" s="797" t="e">
        <f>VLOOKUP(N401,etat!$A$9:$N$1003,9,FALSE)</f>
        <v>#N/A</v>
      </c>
      <c r="S401" s="866" t="e">
        <f>VLOOKUP(N401,etat!$A$9:$P$905,16,FALSE)</f>
        <v>#N/A</v>
      </c>
      <c r="T401" s="755"/>
      <c r="U401" s="784"/>
      <c r="V401" s="784"/>
      <c r="W401" s="784"/>
      <c r="X401" s="784"/>
      <c r="Y401" s="975"/>
      <c r="Z401" s="1022"/>
      <c r="AA401" s="967"/>
    </row>
    <row r="402" spans="12:27" ht="17.25">
      <c r="L402" s="777">
        <v>5</v>
      </c>
      <c r="M402" s="906"/>
      <c r="N402" s="976"/>
      <c r="O402" s="1020">
        <v>349</v>
      </c>
      <c r="P402" s="847" t="e">
        <f>VLOOKUP(N402,etat!$A$9:$N$1004,2,FALSE)</f>
        <v>#N/A</v>
      </c>
      <c r="Q402" s="797" t="e">
        <f>VLOOKUP(N402,etat!$A$9:$N$963,7,FALSE)</f>
        <v>#N/A</v>
      </c>
      <c r="R402" s="797" t="e">
        <f>VLOOKUP(N402,etat!$A$9:$N$1003,9,FALSE)</f>
        <v>#N/A</v>
      </c>
      <c r="S402" s="866" t="e">
        <f>VLOOKUP(N402,etat!$A$9:$P$905,16,FALSE)</f>
        <v>#N/A</v>
      </c>
      <c r="T402" s="755"/>
      <c r="U402" s="784"/>
      <c r="V402" s="784"/>
      <c r="W402" s="784"/>
      <c r="X402" s="784"/>
      <c r="Y402" s="975"/>
      <c r="Z402" s="1022"/>
      <c r="AA402" s="967"/>
    </row>
    <row r="403" spans="12:27" ht="17.25">
      <c r="L403" s="777">
        <v>5</v>
      </c>
      <c r="M403" s="906"/>
      <c r="N403" s="976"/>
      <c r="O403" s="1020">
        <v>350</v>
      </c>
      <c r="P403" s="847" t="e">
        <f>VLOOKUP(N403,etat!$A$9:$N$1004,2,FALSE)</f>
        <v>#N/A</v>
      </c>
      <c r="Q403" s="797" t="e">
        <f>VLOOKUP(N403,etat!$A$9:$N$963,7,FALSE)</f>
        <v>#N/A</v>
      </c>
      <c r="R403" s="797" t="e">
        <f>VLOOKUP(N403,etat!$A$9:$N$1003,9,FALSE)</f>
        <v>#N/A</v>
      </c>
      <c r="S403" s="866" t="e">
        <f>VLOOKUP(N403,etat!$A$9:$P$905,16,FALSE)</f>
        <v>#N/A</v>
      </c>
      <c r="T403" s="755"/>
      <c r="U403" s="784"/>
      <c r="V403" s="784"/>
      <c r="W403" s="784"/>
      <c r="X403" s="784"/>
      <c r="Y403" s="784"/>
      <c r="Z403" s="1022"/>
      <c r="AA403" s="967"/>
    </row>
    <row r="404" spans="12:27" ht="17.25">
      <c r="L404" s="777">
        <v>5</v>
      </c>
      <c r="M404" s="906"/>
      <c r="N404" s="976"/>
      <c r="O404" s="1020">
        <v>351</v>
      </c>
      <c r="P404" s="847" t="e">
        <f>VLOOKUP(N404,etat!$A$9:$N$1004,2,FALSE)</f>
        <v>#N/A</v>
      </c>
      <c r="Q404" s="797" t="e">
        <f>VLOOKUP(N404,etat!$A$9:$N$963,7,FALSE)</f>
        <v>#N/A</v>
      </c>
      <c r="R404" s="797" t="e">
        <f>VLOOKUP(N404,etat!$A$9:$N$1003,9,FALSE)</f>
        <v>#N/A</v>
      </c>
      <c r="S404" s="866" t="e">
        <f>VLOOKUP(N404,etat!$A$9:$P$905,16,FALSE)</f>
        <v>#N/A</v>
      </c>
      <c r="T404" s="755"/>
      <c r="U404" s="784"/>
      <c r="V404" s="784"/>
      <c r="W404" s="784"/>
      <c r="X404" s="784"/>
      <c r="Y404" s="784"/>
      <c r="Z404" s="1022"/>
      <c r="AA404" s="967"/>
    </row>
    <row r="405" spans="12:27" ht="17.25">
      <c r="L405" s="777">
        <v>5</v>
      </c>
      <c r="M405" s="906"/>
      <c r="N405" s="976"/>
      <c r="O405" s="1020">
        <v>352</v>
      </c>
      <c r="P405" s="847" t="e">
        <f>VLOOKUP(N405,etat!$A$9:$N$1004,2,FALSE)</f>
        <v>#N/A</v>
      </c>
      <c r="Q405" s="797" t="e">
        <f>VLOOKUP(N405,etat!$A$9:$N$963,7,FALSE)</f>
        <v>#N/A</v>
      </c>
      <c r="R405" s="797" t="e">
        <f>VLOOKUP(N405,etat!$A$9:$N$1003,9,FALSE)</f>
        <v>#N/A</v>
      </c>
      <c r="S405" s="866" t="e">
        <f>VLOOKUP(N405,etat!$A$9:$P$905,16,FALSE)</f>
        <v>#N/A</v>
      </c>
      <c r="T405" s="755"/>
      <c r="U405" s="784"/>
      <c r="V405" s="784"/>
      <c r="W405" s="943"/>
      <c r="X405" s="944"/>
      <c r="Y405" s="975"/>
      <c r="Z405" s="1022"/>
      <c r="AA405" s="967"/>
    </row>
    <row r="406" spans="12:27" ht="17.25">
      <c r="L406" s="777">
        <v>5</v>
      </c>
      <c r="M406" s="906"/>
      <c r="N406" s="976"/>
      <c r="O406" s="1020">
        <v>353</v>
      </c>
      <c r="P406" s="847" t="e">
        <f>VLOOKUP(N406,etat!$A$9:$N$1004,2,FALSE)</f>
        <v>#N/A</v>
      </c>
      <c r="Q406" s="797" t="e">
        <f>VLOOKUP(N406,etat!$A$9:$N$963,7,FALSE)</f>
        <v>#N/A</v>
      </c>
      <c r="R406" s="797" t="e">
        <f>VLOOKUP(N406,etat!$A$9:$N$1003,9,FALSE)</f>
        <v>#N/A</v>
      </c>
      <c r="S406" s="866" t="e">
        <f>VLOOKUP(N406,etat!$A$9:$P$905,16,FALSE)</f>
        <v>#N/A</v>
      </c>
      <c r="T406" s="755"/>
      <c r="U406" s="784"/>
      <c r="V406" s="784"/>
      <c r="W406" s="943"/>
      <c r="X406" s="944"/>
      <c r="Y406" s="975"/>
      <c r="Z406" s="1022"/>
      <c r="AA406" s="967"/>
    </row>
    <row r="407" spans="12:27" ht="17.25">
      <c r="L407" s="777">
        <v>5</v>
      </c>
      <c r="M407" s="906"/>
      <c r="N407" s="976"/>
      <c r="O407" s="1020">
        <v>354</v>
      </c>
      <c r="P407" s="847" t="e">
        <f>VLOOKUP(N407,etat!$A$9:$N$1004,2,FALSE)</f>
        <v>#N/A</v>
      </c>
      <c r="Q407" s="797" t="e">
        <f>VLOOKUP(N407,etat!$A$9:$N$963,7,FALSE)</f>
        <v>#N/A</v>
      </c>
      <c r="R407" s="797" t="e">
        <f>VLOOKUP(N407,etat!$A$9:$N$1003,9,FALSE)</f>
        <v>#N/A</v>
      </c>
      <c r="S407" s="866" t="e">
        <f>VLOOKUP(N407,etat!$A$9:$P$905,16,FALSE)</f>
        <v>#N/A</v>
      </c>
      <c r="T407" s="755"/>
      <c r="U407" s="784"/>
      <c r="V407" s="784"/>
      <c r="W407" s="943"/>
      <c r="X407" s="944"/>
      <c r="Y407" s="975"/>
      <c r="Z407" s="1022"/>
      <c r="AA407" s="967"/>
    </row>
    <row r="408" spans="12:27" ht="17.25">
      <c r="L408" s="777">
        <v>5</v>
      </c>
      <c r="M408" s="906"/>
      <c r="N408" s="976"/>
      <c r="O408" s="1020">
        <v>355</v>
      </c>
      <c r="P408" s="847" t="e">
        <f>VLOOKUP(N408,etat!$A$9:$N$1004,2,FALSE)</f>
        <v>#N/A</v>
      </c>
      <c r="Q408" s="797" t="e">
        <f>VLOOKUP(N408,etat!$A$9:$N$963,7,FALSE)</f>
        <v>#N/A</v>
      </c>
      <c r="R408" s="797" t="e">
        <f>VLOOKUP(N408,etat!$A$9:$N$1003,9,FALSE)</f>
        <v>#N/A</v>
      </c>
      <c r="S408" s="866" t="e">
        <f>VLOOKUP(N408,etat!$A$9:$P$905,16,FALSE)</f>
        <v>#N/A</v>
      </c>
      <c r="T408" s="755"/>
      <c r="U408" s="784"/>
      <c r="V408" s="784"/>
      <c r="W408" s="784"/>
      <c r="X408" s="784"/>
      <c r="Y408" s="975"/>
      <c r="Z408" s="1022"/>
      <c r="AA408" s="967"/>
    </row>
    <row r="409" spans="12:27" ht="17.25">
      <c r="L409" s="777">
        <v>5</v>
      </c>
      <c r="M409" s="906"/>
      <c r="N409" s="976"/>
      <c r="O409" s="1020">
        <v>356</v>
      </c>
      <c r="P409" s="847" t="e">
        <f>VLOOKUP(N409,etat!$A$9:$N$1004,2,FALSE)</f>
        <v>#N/A</v>
      </c>
      <c r="Q409" s="797" t="e">
        <f>VLOOKUP(N409,etat!$A$9:$N$963,7,FALSE)</f>
        <v>#N/A</v>
      </c>
      <c r="R409" s="797" t="e">
        <f>VLOOKUP(N409,etat!$A$9:$N$1003,9,FALSE)</f>
        <v>#N/A</v>
      </c>
      <c r="S409" s="866" t="e">
        <f>VLOOKUP(N409,etat!$A$9:$P$905,16,FALSE)</f>
        <v>#N/A</v>
      </c>
      <c r="T409" s="755"/>
      <c r="U409" s="784"/>
      <c r="V409" s="784"/>
      <c r="W409" s="784"/>
      <c r="X409" s="784"/>
      <c r="Y409" s="975"/>
      <c r="Z409" s="1022"/>
      <c r="AA409" s="967"/>
    </row>
    <row r="410" spans="12:27" ht="17.25">
      <c r="L410" s="777">
        <v>5</v>
      </c>
      <c r="M410" s="906"/>
      <c r="N410" s="976"/>
      <c r="O410" s="1020">
        <v>357</v>
      </c>
      <c r="P410" s="847" t="e">
        <f>VLOOKUP(N410,etat!$A$9:$N$1004,2,FALSE)</f>
        <v>#N/A</v>
      </c>
      <c r="Q410" s="797" t="e">
        <f>VLOOKUP(N410,etat!$A$9:$N$963,7,FALSE)</f>
        <v>#N/A</v>
      </c>
      <c r="R410" s="797" t="e">
        <f>VLOOKUP(N410,etat!$A$9:$N$1003,9,FALSE)</f>
        <v>#N/A</v>
      </c>
      <c r="S410" s="866" t="e">
        <f>VLOOKUP(N410,etat!$A$9:$P$905,16,FALSE)</f>
        <v>#N/A</v>
      </c>
      <c r="T410" s="755"/>
      <c r="U410" s="784"/>
      <c r="V410" s="784"/>
      <c r="W410" s="784"/>
      <c r="X410" s="784"/>
      <c r="Y410" s="975"/>
      <c r="Z410" s="1022"/>
      <c r="AA410" s="967"/>
    </row>
    <row r="411" spans="12:27" ht="17.25">
      <c r="L411" s="777">
        <v>5</v>
      </c>
      <c r="M411" s="906"/>
      <c r="N411" s="976"/>
      <c r="O411" s="1020">
        <v>358</v>
      </c>
      <c r="P411" s="847" t="e">
        <f>VLOOKUP(N411,etat!$A$9:$N$1004,2,FALSE)</f>
        <v>#N/A</v>
      </c>
      <c r="Q411" s="797" t="e">
        <f>VLOOKUP(N411,etat!$A$9:$N$963,7,FALSE)</f>
        <v>#N/A</v>
      </c>
      <c r="R411" s="797" t="e">
        <f>VLOOKUP(N411,etat!$A$9:$N$1003,9,FALSE)</f>
        <v>#N/A</v>
      </c>
      <c r="S411" s="866" t="e">
        <f>VLOOKUP(N411,etat!$A$9:$P$905,16,FALSE)</f>
        <v>#N/A</v>
      </c>
      <c r="T411" s="755"/>
      <c r="U411" s="784"/>
      <c r="V411" s="784"/>
      <c r="W411" s="784"/>
      <c r="X411" s="784"/>
      <c r="Y411" s="975"/>
      <c r="Z411" s="1022"/>
      <c r="AA411" s="967"/>
    </row>
    <row r="412" spans="12:27" ht="17.25">
      <c r="L412" s="777">
        <v>5</v>
      </c>
      <c r="M412" s="906"/>
      <c r="N412" s="976"/>
      <c r="O412" s="1020">
        <v>359</v>
      </c>
      <c r="P412" s="847" t="e">
        <f>VLOOKUP(N412,etat!$A$9:$N$1004,2,FALSE)</f>
        <v>#N/A</v>
      </c>
      <c r="Q412" s="797" t="e">
        <f>VLOOKUP(N412,etat!$A$9:$N$963,7,FALSE)</f>
        <v>#N/A</v>
      </c>
      <c r="R412" s="797" t="e">
        <f>VLOOKUP(N412,etat!$A$9:$N$1003,9,FALSE)</f>
        <v>#N/A</v>
      </c>
      <c r="S412" s="866" t="e">
        <f>VLOOKUP(N412,etat!$A$9:$P$905,16,FALSE)</f>
        <v>#N/A</v>
      </c>
      <c r="T412" s="755"/>
      <c r="U412" s="784"/>
      <c r="V412" s="784"/>
      <c r="W412" s="784"/>
      <c r="X412" s="784"/>
      <c r="Y412" s="975"/>
      <c r="Z412" s="1022"/>
      <c r="AA412" s="967"/>
    </row>
    <row r="413" spans="12:27" ht="17.25">
      <c r="L413" s="777">
        <v>5</v>
      </c>
      <c r="M413" s="906"/>
      <c r="N413" s="976"/>
      <c r="O413" s="1020">
        <v>360</v>
      </c>
      <c r="P413" s="847" t="e">
        <f>VLOOKUP(N413,etat!$A$9:$N$1004,2,FALSE)</f>
        <v>#N/A</v>
      </c>
      <c r="Q413" s="797" t="e">
        <f>VLOOKUP(N413,etat!$A$9:$N$963,7,FALSE)</f>
        <v>#N/A</v>
      </c>
      <c r="R413" s="797" t="e">
        <f>VLOOKUP(N413,etat!$A$9:$N$1003,9,FALSE)</f>
        <v>#N/A</v>
      </c>
      <c r="S413" s="866" t="e">
        <f>VLOOKUP(N413,etat!$A$9:$P$905,16,FALSE)</f>
        <v>#N/A</v>
      </c>
      <c r="T413" s="755"/>
      <c r="U413" s="791"/>
      <c r="V413" s="784"/>
      <c r="W413" s="784"/>
      <c r="X413" s="784"/>
      <c r="Y413" s="975"/>
      <c r="Z413" s="1022"/>
      <c r="AA413" s="967"/>
    </row>
    <row r="414" spans="12:27" ht="15.75">
      <c r="L414" s="777">
        <v>5</v>
      </c>
      <c r="M414" s="906"/>
      <c r="N414" s="976"/>
      <c r="O414" s="1020">
        <v>361</v>
      </c>
      <c r="P414" s="847" t="e">
        <f>VLOOKUP(N414,etat!$A$9:$N$1004,2,FALSE)</f>
        <v>#N/A</v>
      </c>
      <c r="Q414" s="797" t="e">
        <f>VLOOKUP(N414,etat!$A$9:$N$963,7,FALSE)</f>
        <v>#N/A</v>
      </c>
      <c r="R414" s="797" t="e">
        <f>VLOOKUP(N414,etat!$A$9:$N$1003,9,FALSE)</f>
        <v>#N/A</v>
      </c>
      <c r="S414" s="866" t="e">
        <f>VLOOKUP(N414,etat!$A$9:$P$905,16,FALSE)</f>
        <v>#N/A</v>
      </c>
      <c r="T414" s="755"/>
      <c r="U414" s="791"/>
      <c r="V414" s="784"/>
      <c r="W414" s="784"/>
      <c r="X414" s="784"/>
      <c r="Y414" s="784"/>
      <c r="Z414" s="784"/>
      <c r="AA414" s="967"/>
    </row>
    <row r="415" spans="12:27" ht="17.25">
      <c r="L415" s="777">
        <v>5</v>
      </c>
      <c r="M415" s="906"/>
      <c r="N415" s="976"/>
      <c r="O415" s="1020">
        <v>362</v>
      </c>
      <c r="P415" s="847" t="e">
        <f>VLOOKUP(N415,etat!$A$9:$N$1004,2,FALSE)</f>
        <v>#N/A</v>
      </c>
      <c r="Q415" s="797" t="e">
        <f>VLOOKUP(N415,etat!$A$9:$N$963,7,FALSE)</f>
        <v>#N/A</v>
      </c>
      <c r="R415" s="797" t="e">
        <f>VLOOKUP(N415,etat!$A$9:$N$1003,9,FALSE)</f>
        <v>#N/A</v>
      </c>
      <c r="S415" s="866" t="e">
        <f>VLOOKUP(N415,etat!$A$9:$P$905,16,FALSE)</f>
        <v>#N/A</v>
      </c>
      <c r="T415" s="755"/>
      <c r="U415" s="791"/>
      <c r="V415" s="784"/>
      <c r="W415" s="784"/>
      <c r="X415" s="784"/>
      <c r="Y415" s="975"/>
      <c r="Z415" s="1022"/>
      <c r="AA415" s="967"/>
    </row>
    <row r="416" spans="12:27" ht="17.25">
      <c r="L416" s="777">
        <v>5</v>
      </c>
      <c r="M416" s="906"/>
      <c r="N416" s="976"/>
      <c r="O416" s="1020">
        <v>363</v>
      </c>
      <c r="P416" s="847" t="e">
        <f>VLOOKUP(N416,etat!$A$9:$N$1004,2,FALSE)</f>
        <v>#N/A</v>
      </c>
      <c r="Q416" s="797" t="e">
        <f>VLOOKUP(N416,etat!$A$9:$N$963,7,FALSE)</f>
        <v>#N/A</v>
      </c>
      <c r="R416" s="797" t="e">
        <f>VLOOKUP(N416,etat!$A$9:$N$1003,9,FALSE)</f>
        <v>#N/A</v>
      </c>
      <c r="S416" s="866" t="e">
        <f>VLOOKUP(N416,etat!$A$9:$P$905,16,FALSE)</f>
        <v>#N/A</v>
      </c>
      <c r="T416" s="755"/>
      <c r="U416" s="791"/>
      <c r="V416" s="784"/>
      <c r="W416" s="784"/>
      <c r="X416" s="784"/>
      <c r="Y416" s="975"/>
      <c r="Z416" s="1022"/>
      <c r="AA416" s="967"/>
    </row>
    <row r="417" spans="12:27" ht="15.75">
      <c r="L417" s="777">
        <v>5</v>
      </c>
      <c r="M417" s="906"/>
      <c r="N417" s="976"/>
      <c r="O417" s="1020">
        <v>364</v>
      </c>
      <c r="P417" s="847" t="e">
        <f>VLOOKUP(N417,etat!$A$9:$N$1004,2,FALSE)</f>
        <v>#N/A</v>
      </c>
      <c r="Q417" s="797" t="e">
        <f>VLOOKUP(N417,etat!$A$9:$N$963,7,FALSE)</f>
        <v>#N/A</v>
      </c>
      <c r="R417" s="797" t="e">
        <f>VLOOKUP(N417,etat!$A$9:$N$1003,9,FALSE)</f>
        <v>#N/A</v>
      </c>
      <c r="S417" s="866" t="e">
        <f>VLOOKUP(N417,etat!$A$9:$P$905,16,FALSE)</f>
        <v>#N/A</v>
      </c>
      <c r="T417" s="755"/>
      <c r="U417" s="791"/>
      <c r="V417" s="784"/>
      <c r="W417" s="784"/>
      <c r="X417" s="784"/>
      <c r="Y417" s="784"/>
      <c r="Z417" s="784"/>
      <c r="AA417" s="931"/>
    </row>
    <row r="418" spans="12:27" ht="17.25">
      <c r="L418" s="777">
        <v>5</v>
      </c>
      <c r="M418" s="906"/>
      <c r="N418" s="976"/>
      <c r="O418" s="1020">
        <v>365</v>
      </c>
      <c r="P418" s="847" t="e">
        <f>VLOOKUP(N418,etat!$A$9:$N$1004,2,FALSE)</f>
        <v>#N/A</v>
      </c>
      <c r="Q418" s="797" t="e">
        <f>VLOOKUP(N418,etat!$A$9:$N$963,7,FALSE)</f>
        <v>#N/A</v>
      </c>
      <c r="R418" s="797" t="e">
        <f>VLOOKUP(N418,etat!$A$9:$N$1003,9,FALSE)</f>
        <v>#N/A</v>
      </c>
      <c r="S418" s="866" t="e">
        <f>VLOOKUP(N418,etat!$A$9:$P$905,16,FALSE)</f>
        <v>#N/A</v>
      </c>
      <c r="T418" s="755"/>
      <c r="U418" s="791"/>
      <c r="V418" s="784"/>
      <c r="W418" s="784"/>
      <c r="X418" s="784"/>
      <c r="Y418" s="975"/>
      <c r="Z418" s="1022"/>
      <c r="AA418" s="931"/>
    </row>
    <row r="419" spans="12:27" ht="15.75">
      <c r="L419" s="777">
        <v>5</v>
      </c>
      <c r="M419" s="906"/>
      <c r="N419" s="976"/>
      <c r="O419" s="1020">
        <v>366</v>
      </c>
      <c r="P419" s="847" t="e">
        <f>VLOOKUP(N419,etat!$A$9:$N$1004,2,FALSE)</f>
        <v>#N/A</v>
      </c>
      <c r="Q419" s="797" t="e">
        <f>VLOOKUP(N419,etat!$A$9:$N$963,7,FALSE)</f>
        <v>#N/A</v>
      </c>
      <c r="R419" s="797" t="e">
        <f>VLOOKUP(N419,etat!$A$9:$N$1003,9,FALSE)</f>
        <v>#N/A</v>
      </c>
      <c r="S419" s="866" t="e">
        <f>VLOOKUP(N419,etat!$A$9:$P$905,16,FALSE)</f>
        <v>#N/A</v>
      </c>
      <c r="T419" s="755"/>
      <c r="U419" s="791"/>
      <c r="V419" s="784"/>
      <c r="W419" s="784"/>
      <c r="X419" s="784"/>
      <c r="Y419" s="975"/>
      <c r="Z419" s="784"/>
      <c r="AA419" s="931"/>
    </row>
    <row r="420" spans="12:27" ht="15.75">
      <c r="L420" s="777">
        <v>5</v>
      </c>
      <c r="M420" s="906"/>
      <c r="N420" s="976"/>
      <c r="O420" s="1020">
        <v>367</v>
      </c>
      <c r="P420" s="847" t="e">
        <f>VLOOKUP(N420,etat!$A$9:$N$1004,2,FALSE)</f>
        <v>#N/A</v>
      </c>
      <c r="Q420" s="797" t="e">
        <f>VLOOKUP(N420,etat!$A$9:$N$963,7,FALSE)</f>
        <v>#N/A</v>
      </c>
      <c r="R420" s="797" t="e">
        <f>VLOOKUP(N420,etat!$A$9:$N$1003,9,FALSE)</f>
        <v>#N/A</v>
      </c>
      <c r="S420" s="866" t="e">
        <f>VLOOKUP(N420,etat!$A$9:$P$905,16,FALSE)</f>
        <v>#N/A</v>
      </c>
      <c r="T420" s="755"/>
      <c r="U420" s="791"/>
      <c r="V420" s="784"/>
      <c r="W420" s="784"/>
      <c r="X420" s="784"/>
      <c r="Y420" s="784"/>
      <c r="Z420" s="784"/>
      <c r="AA420" s="931"/>
    </row>
    <row r="421" spans="12:27" ht="17.25">
      <c r="L421" s="777">
        <v>5</v>
      </c>
      <c r="M421" s="906"/>
      <c r="N421" s="976"/>
      <c r="O421" s="1020">
        <v>368</v>
      </c>
      <c r="P421" s="847" t="e">
        <f>VLOOKUP(N421,etat!$A$9:$N$1004,2,FALSE)</f>
        <v>#N/A</v>
      </c>
      <c r="Q421" s="797" t="e">
        <f>VLOOKUP(N421,etat!$A$9:$N$963,7,FALSE)</f>
        <v>#N/A</v>
      </c>
      <c r="R421" s="797" t="e">
        <f>VLOOKUP(N421,etat!$A$9:$N$1003,9,FALSE)</f>
        <v>#N/A</v>
      </c>
      <c r="S421" s="866" t="e">
        <f>VLOOKUP(N421,etat!$A$9:$P$905,16,FALSE)</f>
        <v>#N/A</v>
      </c>
      <c r="T421" s="755"/>
      <c r="U421" s="791"/>
      <c r="V421" s="784"/>
      <c r="W421" s="784"/>
      <c r="X421" s="784"/>
      <c r="Y421" s="975"/>
      <c r="Z421" s="1022"/>
      <c r="AA421" s="931"/>
    </row>
    <row r="422" spans="12:27" ht="17.25">
      <c r="L422" s="777">
        <v>5</v>
      </c>
      <c r="M422" s="906"/>
      <c r="N422" s="976"/>
      <c r="O422" s="1020">
        <v>369</v>
      </c>
      <c r="P422" s="847" t="e">
        <f>VLOOKUP(N422,etat!$A$9:$N$1004,2,FALSE)</f>
        <v>#N/A</v>
      </c>
      <c r="Q422" s="797" t="e">
        <f>VLOOKUP(N422,etat!$A$9:$N$963,7,FALSE)</f>
        <v>#N/A</v>
      </c>
      <c r="R422" s="797" t="e">
        <f>VLOOKUP(N422,etat!$A$9:$N$1003,9,FALSE)</f>
        <v>#N/A</v>
      </c>
      <c r="S422" s="866" t="e">
        <f>VLOOKUP(N422,etat!$A$9:$P$905,16,FALSE)</f>
        <v>#N/A</v>
      </c>
      <c r="T422" s="755"/>
      <c r="U422" s="791"/>
      <c r="V422" s="784"/>
      <c r="W422" s="784"/>
      <c r="X422" s="784"/>
      <c r="Y422" s="975"/>
      <c r="Z422" s="1022"/>
      <c r="AA422" s="931"/>
    </row>
    <row r="423" spans="12:27" ht="18.75">
      <c r="L423" s="777">
        <v>5</v>
      </c>
      <c r="M423" s="906"/>
      <c r="N423" s="976"/>
      <c r="O423" s="1020">
        <v>370</v>
      </c>
      <c r="P423" s="847" t="e">
        <f>VLOOKUP(N423,etat!$A$9:$N$1004,2,FALSE)</f>
        <v>#N/A</v>
      </c>
      <c r="Q423" s="797" t="e">
        <f>VLOOKUP(N423,etat!$A$9:$N$963,7,FALSE)</f>
        <v>#N/A</v>
      </c>
      <c r="R423" s="954" t="e">
        <f>VLOOKUP(N423,etat!$A$9:$N$1003,9,FALSE)</f>
        <v>#N/A</v>
      </c>
      <c r="S423" s="866" t="e">
        <f>VLOOKUP(N423,etat!$A$9:$P$905,16,FALSE)</f>
        <v>#N/A</v>
      </c>
      <c r="T423" s="755"/>
      <c r="U423" s="791"/>
      <c r="V423" s="784"/>
      <c r="W423" s="784"/>
      <c r="X423" s="784"/>
      <c r="Y423" s="975"/>
      <c r="Z423" s="932" t="str">
        <f>VLOOKUP(L423,[2]اس!$S$3:$X$31,3,FALSE)</f>
        <v>.</v>
      </c>
      <c r="AA423" s="931"/>
    </row>
    <row r="424" spans="12:27" ht="18.75">
      <c r="L424" s="777">
        <v>5</v>
      </c>
      <c r="M424" s="906"/>
      <c r="N424" s="976"/>
      <c r="O424" s="1020">
        <v>371</v>
      </c>
      <c r="P424" s="847" t="e">
        <f>VLOOKUP(N424,etat!$A$9:$N$1004,2,FALSE)</f>
        <v>#N/A</v>
      </c>
      <c r="Q424" s="797" t="e">
        <f>VLOOKUP(N424,etat!$A$9:$N$963,7,FALSE)</f>
        <v>#N/A</v>
      </c>
      <c r="R424" s="954" t="e">
        <f>VLOOKUP(N424,etat!$A$9:$N$1003,9,FALSE)</f>
        <v>#N/A</v>
      </c>
      <c r="S424" s="866" t="e">
        <f>VLOOKUP(N424,etat!$A$9:$P$905,16,FALSE)</f>
        <v>#N/A</v>
      </c>
      <c r="T424" s="755"/>
      <c r="U424" s="791"/>
      <c r="V424" s="784"/>
      <c r="W424" s="955"/>
      <c r="X424" s="955"/>
      <c r="Y424" s="956"/>
      <c r="Z424" s="932" t="str">
        <f>VLOOKUP(L424,[2]اس!$S$3:$X$31,3,FALSE)</f>
        <v>.</v>
      </c>
      <c r="AA424" s="931"/>
    </row>
    <row r="425" spans="12:27" ht="15.75">
      <c r="L425" s="777">
        <v>5</v>
      </c>
      <c r="M425" s="906"/>
      <c r="N425" s="976"/>
      <c r="O425" s="1020">
        <v>372</v>
      </c>
      <c r="P425" s="847" t="e">
        <f>VLOOKUP(N425,etat!$A$9:$N$1004,2,FALSE)</f>
        <v>#N/A</v>
      </c>
      <c r="Q425" s="797" t="e">
        <f>VLOOKUP(N425,etat!$A$9:$N$963,7,FALSE)</f>
        <v>#N/A</v>
      </c>
      <c r="R425" s="797" t="e">
        <f>VLOOKUP(N425,etat!$A$9:$N$1003,9,FALSE)</f>
        <v>#N/A</v>
      </c>
      <c r="S425" s="866" t="e">
        <f>VLOOKUP(N425,etat!$A$9:$P$905,16,FALSE)</f>
        <v>#N/A</v>
      </c>
      <c r="T425" s="755"/>
      <c r="U425" s="791"/>
      <c r="V425" s="784"/>
      <c r="W425" s="784"/>
      <c r="X425" s="784"/>
      <c r="Y425" s="784"/>
      <c r="Z425" s="932" t="str">
        <f>VLOOKUP(L425,[2]اس!$S$3:$X$31,3,FALSE)</f>
        <v>.</v>
      </c>
      <c r="AA425" s="931"/>
    </row>
    <row r="426" spans="12:27" ht="15.75">
      <c r="L426" s="777">
        <v>5</v>
      </c>
      <c r="M426" s="906"/>
      <c r="N426" s="976"/>
      <c r="O426" s="1020">
        <v>373</v>
      </c>
      <c r="P426" s="847" t="e">
        <f>VLOOKUP(N426,etat!$A$9:$N$1004,2,FALSE)</f>
        <v>#N/A</v>
      </c>
      <c r="Q426" s="797" t="e">
        <f>VLOOKUP(N426,etat!$A$9:$N$963,7,FALSE)</f>
        <v>#N/A</v>
      </c>
      <c r="R426" s="797" t="e">
        <f>VLOOKUP(N426,etat!$A$9:$N$1003,9,FALSE)</f>
        <v>#N/A</v>
      </c>
      <c r="S426" s="866" t="e">
        <f>VLOOKUP(N426,etat!$A$9:$P$905,16,FALSE)</f>
        <v>#N/A</v>
      </c>
      <c r="T426" s="755"/>
      <c r="U426" s="791"/>
      <c r="V426" s="784"/>
      <c r="W426" s="784"/>
      <c r="X426" s="784"/>
      <c r="Y426" s="784"/>
      <c r="Z426" s="932" t="str">
        <f>VLOOKUP(L426,[2]اس!$S$3:$X$31,3,FALSE)</f>
        <v>.</v>
      </c>
      <c r="AA426" s="931"/>
    </row>
    <row r="427" spans="12:27" ht="15.75">
      <c r="L427" s="777">
        <v>5</v>
      </c>
      <c r="M427" s="906"/>
      <c r="N427" s="976"/>
      <c r="O427" s="1020">
        <v>374</v>
      </c>
      <c r="P427" s="847" t="e">
        <f>VLOOKUP(N427,etat!$A$9:$N$1004,2,FALSE)</f>
        <v>#N/A</v>
      </c>
      <c r="Q427" s="797" t="e">
        <f>VLOOKUP(N427,etat!$A$9:$N$963,7,FALSE)</f>
        <v>#N/A</v>
      </c>
      <c r="R427" s="797" t="e">
        <f>VLOOKUP(N427,etat!$A$9:$N$1003,9,FALSE)</f>
        <v>#N/A</v>
      </c>
      <c r="S427" s="866" t="e">
        <f>VLOOKUP(N427,etat!$A$9:$P$905,16,FALSE)</f>
        <v>#N/A</v>
      </c>
      <c r="T427" s="755"/>
      <c r="U427" s="791"/>
      <c r="V427" s="784"/>
      <c r="W427" s="784"/>
      <c r="X427" s="784"/>
      <c r="Y427" s="784"/>
      <c r="Z427" s="932" t="str">
        <f>VLOOKUP(L427,[2]اس!$S$3:$X$31,3,FALSE)</f>
        <v>.</v>
      </c>
      <c r="AA427" s="931"/>
    </row>
    <row r="428" spans="12:27" ht="15.75">
      <c r="L428" s="777">
        <v>5</v>
      </c>
      <c r="M428" s="906"/>
      <c r="N428" s="976"/>
      <c r="O428" s="1020">
        <v>375</v>
      </c>
      <c r="P428" s="847" t="e">
        <f>VLOOKUP(N428,etat!$A$9:$N$1004,2,FALSE)</f>
        <v>#N/A</v>
      </c>
      <c r="Q428" s="797" t="e">
        <f>VLOOKUP(N428,etat!$A$9:$N$963,7,FALSE)</f>
        <v>#N/A</v>
      </c>
      <c r="R428" s="797" t="e">
        <f>VLOOKUP(N428,etat!$A$9:$N$1003,9,FALSE)</f>
        <v>#N/A</v>
      </c>
      <c r="S428" s="866" t="e">
        <f>VLOOKUP(N428,etat!$A$9:$P$905,16,FALSE)</f>
        <v>#N/A</v>
      </c>
      <c r="T428" s="755"/>
      <c r="U428" s="791"/>
      <c r="V428" s="784"/>
      <c r="W428" s="784"/>
      <c r="X428" s="784"/>
      <c r="Y428" s="784"/>
      <c r="Z428" s="932" t="str">
        <f>VLOOKUP(L428,[2]اس!$S$3:$X$31,3,FALSE)</f>
        <v>.</v>
      </c>
      <c r="AA428" s="931"/>
    </row>
    <row r="429" spans="12:27" ht="15.75">
      <c r="L429" s="777">
        <v>5</v>
      </c>
      <c r="M429" s="906"/>
      <c r="N429" s="976"/>
      <c r="O429" s="1020">
        <v>376</v>
      </c>
      <c r="P429" s="847" t="e">
        <f>VLOOKUP(N429,etat!$A$9:$N$1004,2,FALSE)</f>
        <v>#N/A</v>
      </c>
      <c r="Q429" s="797" t="e">
        <f>VLOOKUP(N429,etat!$A$9:$N$963,7,FALSE)</f>
        <v>#N/A</v>
      </c>
      <c r="R429" s="797" t="e">
        <f>VLOOKUP(N429,etat!$A$9:$N$1003,9,FALSE)</f>
        <v>#N/A</v>
      </c>
      <c r="S429" s="866" t="e">
        <f>VLOOKUP(N429,etat!$A$9:$P$905,16,FALSE)</f>
        <v>#N/A</v>
      </c>
      <c r="T429" s="755"/>
      <c r="U429" s="791"/>
      <c r="V429" s="784"/>
      <c r="W429" s="784"/>
      <c r="X429" s="784"/>
      <c r="Y429" s="784"/>
      <c r="Z429" s="932" t="str">
        <f>VLOOKUP(L429,[2]اس!$S$3:$X$31,3,FALSE)</f>
        <v>.</v>
      </c>
      <c r="AA429" s="931"/>
    </row>
    <row r="430" spans="12:27" ht="15.75">
      <c r="L430" s="777">
        <v>5</v>
      </c>
      <c r="M430" s="906"/>
      <c r="N430" s="976"/>
      <c r="O430" s="1020">
        <v>377</v>
      </c>
      <c r="P430" s="847" t="e">
        <f>VLOOKUP(N430,etat!$A$9:$N$1004,2,FALSE)</f>
        <v>#N/A</v>
      </c>
      <c r="Q430" s="797" t="e">
        <f>VLOOKUP(N430,etat!$A$9:$N$963,7,FALSE)</f>
        <v>#N/A</v>
      </c>
      <c r="R430" s="797" t="e">
        <f>VLOOKUP(N430,etat!$A$9:$N$1003,9,FALSE)</f>
        <v>#N/A</v>
      </c>
      <c r="S430" s="866" t="e">
        <f>VLOOKUP(N430,etat!$A$9:$P$905,16,FALSE)</f>
        <v>#N/A</v>
      </c>
      <c r="T430" s="755"/>
      <c r="U430" s="791"/>
      <c r="V430" s="784"/>
      <c r="W430" s="784"/>
      <c r="X430" s="784"/>
      <c r="Y430" s="784"/>
      <c r="Z430" s="932" t="str">
        <f>VLOOKUP(L430,[2]اس!$S$3:$X$31,3,FALSE)</f>
        <v>.</v>
      </c>
      <c r="AA430" s="931"/>
    </row>
    <row r="431" spans="12:27" ht="18.75">
      <c r="L431" s="777">
        <v>5</v>
      </c>
      <c r="M431" s="906"/>
      <c r="N431" s="976"/>
      <c r="O431" s="1020">
        <v>378</v>
      </c>
      <c r="P431" s="847" t="e">
        <f>VLOOKUP(N431,etat!$A$9:$N$1004,2,FALSE)</f>
        <v>#N/A</v>
      </c>
      <c r="Q431" s="797" t="e">
        <f>VLOOKUP(N431,etat!$A$9:$N$963,7,FALSE)</f>
        <v>#N/A</v>
      </c>
      <c r="R431" s="954" t="e">
        <f>VLOOKUP(N431,etat!$A$9:$N$1003,9,FALSE)</f>
        <v>#N/A</v>
      </c>
      <c r="S431" s="866" t="e">
        <f>VLOOKUP(N431,etat!$A$9:$P$905,16,FALSE)</f>
        <v>#N/A</v>
      </c>
      <c r="T431" s="755"/>
      <c r="U431" s="791"/>
      <c r="V431" s="784"/>
      <c r="W431" s="784"/>
      <c r="X431" s="784"/>
      <c r="Y431" s="975"/>
      <c r="Z431" s="932" t="str">
        <f>VLOOKUP(L431,[2]اس!$S$3:$X$31,3,FALSE)</f>
        <v>.</v>
      </c>
      <c r="AA431" s="931"/>
    </row>
    <row r="432" spans="12:27" ht="18.75">
      <c r="L432" s="777">
        <v>5</v>
      </c>
      <c r="M432" s="906"/>
      <c r="N432" s="976"/>
      <c r="O432" s="1020">
        <v>379</v>
      </c>
      <c r="P432" s="847" t="e">
        <f>VLOOKUP(N432,etat!$A$9:$N$1004,2,FALSE)</f>
        <v>#N/A</v>
      </c>
      <c r="Q432" s="797" t="e">
        <f>VLOOKUP(N432,etat!$A$9:$N$963,7,FALSE)</f>
        <v>#N/A</v>
      </c>
      <c r="R432" s="954" t="e">
        <f>VLOOKUP(N432,etat!$A$9:$N$1003,9,FALSE)</f>
        <v>#N/A</v>
      </c>
      <c r="S432" s="866" t="e">
        <f>VLOOKUP(N432,etat!$A$9:$P$905,16,FALSE)</f>
        <v>#N/A</v>
      </c>
      <c r="T432" s="755"/>
      <c r="U432" s="791"/>
      <c r="V432" s="784"/>
      <c r="W432" s="784"/>
      <c r="X432" s="784"/>
      <c r="Y432" s="975"/>
      <c r="Z432" s="932" t="str">
        <f>VLOOKUP(L432,[2]اس!$S$3:$X$31,3,FALSE)</f>
        <v>.</v>
      </c>
      <c r="AA432" s="931"/>
    </row>
    <row r="433" spans="12:27" ht="18.75">
      <c r="L433" s="777">
        <v>5</v>
      </c>
      <c r="M433" s="906"/>
      <c r="N433" s="976"/>
      <c r="O433" s="1020">
        <v>380</v>
      </c>
      <c r="P433" s="847" t="e">
        <f>VLOOKUP(N433,etat!$A$9:$N$1004,2,FALSE)</f>
        <v>#N/A</v>
      </c>
      <c r="Q433" s="797" t="e">
        <f>VLOOKUP(N433,etat!$A$9:$N$963,7,FALSE)</f>
        <v>#N/A</v>
      </c>
      <c r="R433" s="954" t="e">
        <f>VLOOKUP(N433,etat!$A$9:$N$1003,9,FALSE)</f>
        <v>#N/A</v>
      </c>
      <c r="S433" s="866" t="e">
        <f>VLOOKUP(N433,etat!$A$9:$P$905,16,FALSE)</f>
        <v>#N/A</v>
      </c>
      <c r="T433" s="755"/>
      <c r="U433" s="791"/>
      <c r="V433" s="784"/>
      <c r="W433" s="784"/>
      <c r="X433" s="784"/>
      <c r="Y433" s="975"/>
      <c r="Z433" s="932" t="str">
        <f>VLOOKUP(L433,[2]اس!$S$3:$X$31,3,FALSE)</f>
        <v>.</v>
      </c>
      <c r="AA433" s="931"/>
    </row>
    <row r="434" spans="12:27" ht="18.75">
      <c r="L434" s="777">
        <v>5</v>
      </c>
      <c r="M434" s="906"/>
      <c r="N434" s="976"/>
      <c r="O434" s="1020">
        <v>381</v>
      </c>
      <c r="P434" s="847" t="e">
        <f>VLOOKUP(N434,etat!$A$9:$N$1004,2,FALSE)</f>
        <v>#N/A</v>
      </c>
      <c r="Q434" s="797" t="e">
        <f>VLOOKUP(N434,etat!$A$9:$N$963,7,FALSE)</f>
        <v>#N/A</v>
      </c>
      <c r="R434" s="954" t="e">
        <f>VLOOKUP(N434,etat!$A$9:$N$1003,9,FALSE)</f>
        <v>#N/A</v>
      </c>
      <c r="S434" s="866" t="e">
        <f>VLOOKUP(N434,etat!$A$9:$P$905,16,FALSE)</f>
        <v>#N/A</v>
      </c>
      <c r="T434" s="755"/>
      <c r="U434" s="791"/>
      <c r="V434" s="784"/>
      <c r="W434" s="784"/>
      <c r="X434" s="784"/>
      <c r="Y434" s="975"/>
      <c r="Z434" s="932" t="str">
        <f>VLOOKUP(L434,[2]اس!$S$3:$X$31,3,FALSE)</f>
        <v>.</v>
      </c>
      <c r="AA434" s="931"/>
    </row>
    <row r="435" spans="12:27" ht="18.75">
      <c r="L435" s="777">
        <v>5</v>
      </c>
      <c r="M435" s="906"/>
      <c r="N435" s="976"/>
      <c r="O435" s="1020">
        <v>382</v>
      </c>
      <c r="P435" s="847" t="e">
        <f>VLOOKUP(N435,etat!$A$9:$N$1004,2,FALSE)</f>
        <v>#N/A</v>
      </c>
      <c r="Q435" s="797" t="e">
        <f>VLOOKUP(N435,etat!$A$9:$N$963,7,FALSE)</f>
        <v>#N/A</v>
      </c>
      <c r="R435" s="954" t="e">
        <f>VLOOKUP(N435,etat!$A$9:$N$1003,9,FALSE)</f>
        <v>#N/A</v>
      </c>
      <c r="S435" s="866" t="e">
        <f>VLOOKUP(N435,etat!$A$9:$P$905,16,FALSE)</f>
        <v>#N/A</v>
      </c>
      <c r="T435" s="755"/>
      <c r="U435" s="791"/>
      <c r="V435" s="784"/>
      <c r="W435" s="784"/>
      <c r="X435" s="784"/>
      <c r="Y435" s="975"/>
      <c r="Z435" s="932" t="str">
        <f>VLOOKUP(L435,[2]اس!$S$3:$X$31,3,FALSE)</f>
        <v>.</v>
      </c>
      <c r="AA435" s="931"/>
    </row>
    <row r="436" spans="12:27" ht="18.75">
      <c r="L436" s="777">
        <v>5</v>
      </c>
      <c r="M436" s="906"/>
      <c r="N436" s="976"/>
      <c r="O436" s="1020">
        <v>383</v>
      </c>
      <c r="P436" s="847" t="e">
        <f>VLOOKUP(N436,etat!$A$9:$N$1004,2,FALSE)</f>
        <v>#N/A</v>
      </c>
      <c r="Q436" s="797" t="e">
        <f>VLOOKUP(N436,etat!$A$9:$N$963,7,FALSE)</f>
        <v>#N/A</v>
      </c>
      <c r="R436" s="954" t="e">
        <f>VLOOKUP(N436,etat!$A$9:$N$1003,9,FALSE)</f>
        <v>#N/A</v>
      </c>
      <c r="S436" s="866" t="e">
        <f>VLOOKUP(N436,etat!$A$9:$P$905,16,FALSE)</f>
        <v>#N/A</v>
      </c>
      <c r="T436" s="755"/>
      <c r="U436" s="791"/>
      <c r="V436" s="784"/>
      <c r="W436" s="784"/>
      <c r="X436" s="784"/>
      <c r="Y436" s="975"/>
      <c r="Z436" s="932" t="str">
        <f>VLOOKUP(L436,[2]اس!$S$3:$X$31,3,FALSE)</f>
        <v>.</v>
      </c>
      <c r="AA436" s="931"/>
    </row>
    <row r="437" spans="12:27" ht="18.75">
      <c r="L437" s="777">
        <v>5</v>
      </c>
      <c r="M437" s="906"/>
      <c r="N437" s="976"/>
      <c r="O437" s="1020">
        <v>384</v>
      </c>
      <c r="P437" s="847" t="e">
        <f>VLOOKUP(N437,etat!$A$9:$N$1004,2,FALSE)</f>
        <v>#N/A</v>
      </c>
      <c r="Q437" s="797" t="e">
        <f>VLOOKUP(N437,etat!$A$9:$N$963,7,FALSE)</f>
        <v>#N/A</v>
      </c>
      <c r="R437" s="954" t="e">
        <f>VLOOKUP(N437,etat!$A$9:$N$1003,9,FALSE)</f>
        <v>#N/A</v>
      </c>
      <c r="S437" s="866" t="e">
        <f>VLOOKUP(N437,etat!$A$9:$P$905,16,FALSE)</f>
        <v>#N/A</v>
      </c>
      <c r="T437" s="755"/>
      <c r="U437" s="791"/>
      <c r="V437" s="784"/>
      <c r="W437" s="784"/>
      <c r="X437" s="784"/>
      <c r="Y437" s="975"/>
      <c r="Z437" s="1022"/>
      <c r="AA437" s="931"/>
    </row>
    <row r="438" spans="12:27" ht="18.75">
      <c r="L438" s="777">
        <v>5</v>
      </c>
      <c r="M438" s="906"/>
      <c r="N438" s="976"/>
      <c r="O438" s="1020">
        <v>385</v>
      </c>
      <c r="P438" s="847" t="e">
        <f>VLOOKUP(N438,etat!$A$9:$N$1004,2,FALSE)</f>
        <v>#N/A</v>
      </c>
      <c r="Q438" s="797" t="e">
        <f>VLOOKUP(N438,etat!$A$9:$N$963,7,FALSE)</f>
        <v>#N/A</v>
      </c>
      <c r="R438" s="954" t="e">
        <f>VLOOKUP(N438,etat!$A$9:$N$1003,9,FALSE)</f>
        <v>#N/A</v>
      </c>
      <c r="S438" s="866" t="e">
        <f>VLOOKUP(N438,etat!$A$9:$P$905,16,FALSE)</f>
        <v>#N/A</v>
      </c>
      <c r="T438" s="755"/>
      <c r="U438" s="791"/>
      <c r="V438" s="784"/>
      <c r="W438" s="784"/>
      <c r="X438" s="784"/>
      <c r="Y438" s="975"/>
      <c r="Z438" s="1022"/>
      <c r="AA438" s="931"/>
    </row>
    <row r="439" spans="12:27" ht="18.75">
      <c r="L439" s="777">
        <v>5</v>
      </c>
      <c r="M439" s="906"/>
      <c r="N439" s="976"/>
      <c r="O439" s="1020">
        <v>386</v>
      </c>
      <c r="P439" s="847" t="e">
        <f>VLOOKUP(N439,etat!$A$9:$N$1004,2,FALSE)</f>
        <v>#N/A</v>
      </c>
      <c r="Q439" s="797" t="e">
        <f>VLOOKUP(N439,etat!$A$9:$N$963,7,FALSE)</f>
        <v>#N/A</v>
      </c>
      <c r="R439" s="954" t="e">
        <f>VLOOKUP(N439,etat!$A$9:$N$1003,9,FALSE)</f>
        <v>#N/A</v>
      </c>
      <c r="S439" s="866" t="e">
        <f>VLOOKUP(N439,etat!$A$9:$P$905,16,FALSE)</f>
        <v>#N/A</v>
      </c>
      <c r="T439" s="755"/>
      <c r="U439" s="791"/>
      <c r="V439" s="784"/>
      <c r="W439" s="784"/>
      <c r="X439" s="784"/>
      <c r="Y439" s="956"/>
      <c r="Z439" s="1022"/>
      <c r="AA439" s="931"/>
    </row>
    <row r="440" spans="12:27" ht="18.75">
      <c r="L440" s="777">
        <v>5</v>
      </c>
      <c r="M440" s="906"/>
      <c r="N440" s="976"/>
      <c r="O440" s="1020">
        <v>387</v>
      </c>
      <c r="P440" s="847" t="e">
        <f>VLOOKUP(N440,etat!$A$9:$N$1004,2,FALSE)</f>
        <v>#N/A</v>
      </c>
      <c r="Q440" s="797" t="e">
        <f>VLOOKUP(N440,etat!$A$9:$N$963,7,FALSE)</f>
        <v>#N/A</v>
      </c>
      <c r="R440" s="954" t="e">
        <f>VLOOKUP(N440,etat!$A$9:$N$1003,9,FALSE)</f>
        <v>#N/A</v>
      </c>
      <c r="S440" s="866" t="e">
        <f>VLOOKUP(N440,etat!$A$9:$P$905,16,FALSE)</f>
        <v>#N/A</v>
      </c>
      <c r="T440" s="755"/>
      <c r="U440" s="791"/>
      <c r="V440" s="784"/>
      <c r="W440" s="784"/>
      <c r="X440" s="784"/>
      <c r="Y440" s="956"/>
      <c r="Z440" s="1022"/>
      <c r="AA440" s="931"/>
    </row>
    <row r="441" spans="12:27" ht="17.25">
      <c r="L441" s="777">
        <v>5</v>
      </c>
      <c r="M441" s="906"/>
      <c r="N441" s="976"/>
      <c r="O441" s="1020">
        <v>388</v>
      </c>
      <c r="P441" s="847" t="e">
        <f>VLOOKUP(N441,etat!$A$9:$N$1004,2,FALSE)</f>
        <v>#N/A</v>
      </c>
      <c r="Q441" s="797" t="e">
        <f>VLOOKUP(N441,etat!$A$9:$N$963,7,FALSE)</f>
        <v>#N/A</v>
      </c>
      <c r="R441" s="797" t="e">
        <f>VLOOKUP(N441,etat!$A$9:$N$1003,9,FALSE)</f>
        <v>#N/A</v>
      </c>
      <c r="S441" s="866" t="e">
        <f>VLOOKUP(N441,etat!$A$9:$P$905,16,FALSE)</f>
        <v>#N/A</v>
      </c>
      <c r="T441" s="755"/>
      <c r="U441" s="791"/>
      <c r="V441" s="784"/>
      <c r="W441" s="784"/>
      <c r="X441" s="784"/>
      <c r="Y441" s="975"/>
      <c r="Z441" s="1022"/>
      <c r="AA441" s="931"/>
    </row>
    <row r="442" spans="12:27" ht="17.25">
      <c r="L442" s="777">
        <v>5</v>
      </c>
      <c r="M442" s="906"/>
      <c r="N442" s="976"/>
      <c r="O442" s="1020">
        <v>389</v>
      </c>
      <c r="P442" s="847" t="e">
        <f>VLOOKUP(N442,etat!$A$9:$N$1004,2,FALSE)</f>
        <v>#N/A</v>
      </c>
      <c r="Q442" s="797" t="e">
        <f>VLOOKUP(N442,etat!$A$9:$N$963,7,FALSE)</f>
        <v>#N/A</v>
      </c>
      <c r="R442" s="797" t="e">
        <f>VLOOKUP(N442,etat!$A$9:$N$1003,9,FALSE)</f>
        <v>#N/A</v>
      </c>
      <c r="S442" s="866" t="e">
        <f>VLOOKUP(N442,etat!$A$9:$P$905,16,FALSE)</f>
        <v>#N/A</v>
      </c>
      <c r="T442" s="755"/>
      <c r="U442" s="791"/>
      <c r="V442" s="784"/>
      <c r="W442" s="755"/>
      <c r="X442" s="784"/>
      <c r="Y442" s="975"/>
      <c r="Z442" s="1022"/>
      <c r="AA442" s="931"/>
    </row>
    <row r="443" spans="12:27" ht="17.25">
      <c r="L443" s="777">
        <v>5</v>
      </c>
      <c r="M443" s="906"/>
      <c r="N443" s="976"/>
      <c r="O443" s="1020">
        <v>390</v>
      </c>
      <c r="P443" s="847" t="e">
        <f>VLOOKUP(N443,etat!$A$9:$N$1004,2,FALSE)</f>
        <v>#N/A</v>
      </c>
      <c r="Q443" s="797" t="e">
        <f>VLOOKUP(N443,etat!$A$9:$N$963,7,FALSE)</f>
        <v>#N/A</v>
      </c>
      <c r="R443" s="797" t="e">
        <f>VLOOKUP(N443,etat!$A$9:$N$1003,9,FALSE)</f>
        <v>#N/A</v>
      </c>
      <c r="S443" s="866" t="e">
        <f>VLOOKUP(N443,etat!$A$9:$P$905,16,FALSE)</f>
        <v>#N/A</v>
      </c>
      <c r="T443" s="755"/>
      <c r="U443" s="791"/>
      <c r="V443" s="784"/>
      <c r="W443" s="943"/>
      <c r="X443" s="944"/>
      <c r="Y443" s="975"/>
      <c r="Z443" s="1022"/>
      <c r="AA443" s="931"/>
    </row>
    <row r="444" spans="12:27" ht="17.25">
      <c r="L444" s="777">
        <v>5</v>
      </c>
      <c r="M444" s="906"/>
      <c r="N444" s="976"/>
      <c r="O444" s="1020">
        <v>391</v>
      </c>
      <c r="P444" s="847" t="e">
        <f>VLOOKUP(N444,etat!$A$9:$N$1004,2,FALSE)</f>
        <v>#N/A</v>
      </c>
      <c r="Q444" s="797" t="e">
        <f>VLOOKUP(N444,etat!$A$9:$N$963,7,FALSE)</f>
        <v>#N/A</v>
      </c>
      <c r="R444" s="797" t="e">
        <f>VLOOKUP(N444,etat!$A$9:$N$1003,9,FALSE)</f>
        <v>#N/A</v>
      </c>
      <c r="S444" s="866" t="e">
        <f>VLOOKUP(N444,etat!$A$9:$P$905,16,FALSE)</f>
        <v>#N/A</v>
      </c>
      <c r="T444" s="755"/>
      <c r="U444" s="791"/>
      <c r="V444" s="784"/>
      <c r="W444" s="943"/>
      <c r="X444" s="944"/>
      <c r="Y444" s="975"/>
      <c r="Z444" s="1022"/>
      <c r="AA444" s="931"/>
    </row>
    <row r="445" spans="12:27" ht="17.25">
      <c r="L445" s="777">
        <v>5</v>
      </c>
      <c r="M445" s="906"/>
      <c r="N445" s="976"/>
      <c r="O445" s="1020">
        <v>392</v>
      </c>
      <c r="P445" s="847" t="e">
        <f>VLOOKUP(N445,etat!$A$9:$N$1004,2,FALSE)</f>
        <v>#N/A</v>
      </c>
      <c r="Q445" s="797" t="e">
        <f>VLOOKUP(N445,etat!$A$9:$N$963,7,FALSE)</f>
        <v>#N/A</v>
      </c>
      <c r="R445" s="797" t="e">
        <f>VLOOKUP(N445,etat!$A$9:$N$1003,9,FALSE)</f>
        <v>#N/A</v>
      </c>
      <c r="S445" s="866" t="e">
        <f>VLOOKUP(N445,etat!$A$9:$P$905,16,FALSE)</f>
        <v>#N/A</v>
      </c>
      <c r="T445" s="755"/>
      <c r="U445" s="791"/>
      <c r="V445" s="784"/>
      <c r="W445" s="784"/>
      <c r="X445" s="784"/>
      <c r="Y445" s="975"/>
      <c r="Z445" s="1022"/>
      <c r="AA445" s="931"/>
    </row>
    <row r="446" spans="12:27" ht="15.75">
      <c r="L446" s="777">
        <v>5</v>
      </c>
      <c r="M446" s="906"/>
      <c r="N446" s="976"/>
      <c r="O446" s="1020">
        <v>393</v>
      </c>
      <c r="P446" s="847" t="e">
        <f>VLOOKUP(N446,etat!$A$9:$N$1004,2,FALSE)</f>
        <v>#N/A</v>
      </c>
      <c r="Q446" s="797" t="e">
        <f>VLOOKUP(N446,etat!$A$9:$N$963,7,FALSE)</f>
        <v>#N/A</v>
      </c>
      <c r="R446" s="797" t="e">
        <f>VLOOKUP(N446,etat!$A$9:$N$1003,9,FALSE)</f>
        <v>#N/A</v>
      </c>
      <c r="S446" s="866" t="e">
        <f>VLOOKUP(N446,etat!$A$9:$P$905,16,FALSE)</f>
        <v>#N/A</v>
      </c>
      <c r="T446" s="755"/>
      <c r="U446" s="791"/>
      <c r="V446" s="784"/>
      <c r="W446" s="784"/>
      <c r="X446" s="784"/>
      <c r="Y446" s="784"/>
      <c r="Z446" s="1112"/>
      <c r="AA446" s="931"/>
    </row>
    <row r="447" spans="12:27" ht="17.25">
      <c r="L447" s="777">
        <v>5</v>
      </c>
      <c r="M447" s="906"/>
      <c r="N447" s="976"/>
      <c r="O447" s="1020">
        <v>394</v>
      </c>
      <c r="P447" s="847" t="e">
        <f>VLOOKUP(N447,etat!$A$9:$N$1004,2,FALSE)</f>
        <v>#N/A</v>
      </c>
      <c r="Q447" s="797" t="e">
        <f>VLOOKUP(N447,etat!$A$9:$N$963,7,FALSE)</f>
        <v>#N/A</v>
      </c>
      <c r="R447" s="797" t="e">
        <f>VLOOKUP(N447,etat!$A$9:$N$1003,9,FALSE)</f>
        <v>#N/A</v>
      </c>
      <c r="S447" s="866" t="e">
        <f>VLOOKUP(N447,etat!$A$9:$P$905,16,FALSE)</f>
        <v>#N/A</v>
      </c>
      <c r="T447" s="755"/>
      <c r="U447" s="791"/>
      <c r="V447" s="784"/>
      <c r="W447" s="784"/>
      <c r="X447" s="784"/>
      <c r="Y447" s="975"/>
      <c r="Z447" s="1022"/>
      <c r="AA447" s="931"/>
    </row>
    <row r="448" spans="12:27" ht="17.25">
      <c r="L448" s="777">
        <v>5</v>
      </c>
      <c r="M448" s="906"/>
      <c r="N448" s="976"/>
      <c r="O448" s="1020">
        <v>395</v>
      </c>
      <c r="P448" s="847" t="e">
        <f>VLOOKUP(N448,etat!$A$9:$N$1004,2,FALSE)</f>
        <v>#N/A</v>
      </c>
      <c r="Q448" s="797" t="e">
        <f>VLOOKUP(N448,etat!$A$9:$N$963,7,FALSE)</f>
        <v>#N/A</v>
      </c>
      <c r="R448" s="797" t="e">
        <f>VLOOKUP(N448,etat!$A$9:$N$1003,9,FALSE)</f>
        <v>#N/A</v>
      </c>
      <c r="S448" s="866" t="e">
        <f>VLOOKUP(N448,etat!$A$9:$P$905,16,FALSE)</f>
        <v>#N/A</v>
      </c>
      <c r="T448" s="755"/>
      <c r="U448" s="791"/>
      <c r="V448" s="784"/>
      <c r="W448" s="784"/>
      <c r="X448" s="784"/>
      <c r="Y448" s="975"/>
      <c r="Z448" s="1022"/>
      <c r="AA448" s="931"/>
    </row>
    <row r="449" spans="12:27" ht="17.25">
      <c r="L449" s="777">
        <v>5</v>
      </c>
      <c r="M449" s="906"/>
      <c r="N449" s="976"/>
      <c r="O449" s="1020">
        <v>396</v>
      </c>
      <c r="P449" s="847" t="e">
        <f>VLOOKUP(N449,etat!$A$9:$N$1004,2,FALSE)</f>
        <v>#N/A</v>
      </c>
      <c r="Q449" s="797" t="e">
        <f>VLOOKUP(N449,etat!$A$9:$N$963,7,FALSE)</f>
        <v>#N/A</v>
      </c>
      <c r="R449" s="797" t="e">
        <f>VLOOKUP(N449,etat!$A$9:$N$1003,9,FALSE)</f>
        <v>#N/A</v>
      </c>
      <c r="S449" s="866" t="e">
        <f>VLOOKUP(N449,etat!$A$9:$P$905,16,FALSE)</f>
        <v>#N/A</v>
      </c>
      <c r="T449" s="755"/>
      <c r="U449" s="791"/>
      <c r="V449" s="784"/>
      <c r="W449" s="784"/>
      <c r="X449" s="784"/>
      <c r="Y449" s="784"/>
      <c r="Z449" s="1022"/>
      <c r="AA449" s="931"/>
    </row>
    <row r="450" spans="12:27" ht="17.25">
      <c r="L450" s="777">
        <v>5</v>
      </c>
      <c r="M450" s="906"/>
      <c r="N450" s="976"/>
      <c r="O450" s="1020">
        <v>397</v>
      </c>
      <c r="P450" s="847" t="e">
        <f>VLOOKUP(N450,etat!$A$9:$N$1004,2,FALSE)</f>
        <v>#N/A</v>
      </c>
      <c r="Q450" s="797" t="e">
        <f>VLOOKUP(N450,etat!$A$9:$N$963,7,FALSE)</f>
        <v>#N/A</v>
      </c>
      <c r="R450" s="797" t="e">
        <f>VLOOKUP(N450,etat!$A$9:$N$1003,9,FALSE)</f>
        <v>#N/A</v>
      </c>
      <c r="S450" s="866" t="e">
        <f>VLOOKUP(N450,etat!$A$9:$P$905,16,FALSE)</f>
        <v>#N/A</v>
      </c>
      <c r="T450" s="755"/>
      <c r="U450" s="791"/>
      <c r="V450" s="784"/>
      <c r="W450" s="784"/>
      <c r="X450" s="784"/>
      <c r="Y450" s="784"/>
      <c r="Z450" s="1022"/>
      <c r="AA450" s="931"/>
    </row>
    <row r="451" spans="12:27" ht="17.25">
      <c r="L451" s="777">
        <v>5</v>
      </c>
      <c r="M451" s="906"/>
      <c r="N451" s="976"/>
      <c r="O451" s="1020">
        <v>398</v>
      </c>
      <c r="P451" s="847" t="e">
        <f>VLOOKUP(N451,etat!$A$9:$N$1004,2,FALSE)</f>
        <v>#N/A</v>
      </c>
      <c r="Q451" s="797" t="e">
        <f>VLOOKUP(N451,etat!$A$9:$N$963,7,FALSE)</f>
        <v>#N/A</v>
      </c>
      <c r="R451" s="797" t="e">
        <f>VLOOKUP(N451,etat!$A$9:$N$1003,9,FALSE)</f>
        <v>#N/A</v>
      </c>
      <c r="S451" s="866" t="e">
        <f>VLOOKUP(N451,etat!$A$9:$P$905,16,FALSE)</f>
        <v>#N/A</v>
      </c>
      <c r="T451" s="755"/>
      <c r="U451" s="791"/>
      <c r="V451" s="784"/>
      <c r="W451" s="943"/>
      <c r="X451" s="944"/>
      <c r="Y451" s="975"/>
      <c r="Z451" s="1022"/>
      <c r="AA451" s="931"/>
    </row>
    <row r="452" spans="12:27" ht="17.25">
      <c r="L452" s="777">
        <v>5</v>
      </c>
      <c r="M452" s="906"/>
      <c r="N452" s="976"/>
      <c r="O452" s="1020">
        <v>399</v>
      </c>
      <c r="P452" s="847" t="e">
        <f>VLOOKUP(N452,etat!$A$9:$N$1004,2,FALSE)</f>
        <v>#N/A</v>
      </c>
      <c r="Q452" s="797" t="e">
        <f>VLOOKUP(N452,etat!$A$9:$N$963,7,FALSE)</f>
        <v>#N/A</v>
      </c>
      <c r="R452" s="797" t="e">
        <f>VLOOKUP(N452,etat!$A$9:$N$1003,9,FALSE)</f>
        <v>#N/A</v>
      </c>
      <c r="S452" s="866" t="e">
        <f>VLOOKUP(N452,etat!$A$9:$P$905,16,FALSE)</f>
        <v>#N/A</v>
      </c>
      <c r="T452" s="755"/>
      <c r="U452" s="791"/>
      <c r="V452" s="784"/>
      <c r="W452" s="943"/>
      <c r="X452" s="944"/>
      <c r="Y452" s="975"/>
      <c r="Z452" s="1022"/>
      <c r="AA452" s="931"/>
    </row>
    <row r="453" spans="12:27" ht="17.25">
      <c r="L453" s="777">
        <v>5</v>
      </c>
      <c r="M453" s="906"/>
      <c r="N453" s="976"/>
      <c r="O453" s="1020">
        <v>400</v>
      </c>
      <c r="P453" s="847" t="e">
        <f>VLOOKUP(N453,etat!$A$9:$N$1004,2,FALSE)</f>
        <v>#N/A</v>
      </c>
      <c r="Q453" s="797" t="e">
        <f>VLOOKUP(N453,etat!$A$9:$N$963,7,FALSE)</f>
        <v>#N/A</v>
      </c>
      <c r="R453" s="797" t="e">
        <f>VLOOKUP(N453,etat!$A$9:$N$1003,9,FALSE)</f>
        <v>#N/A</v>
      </c>
      <c r="S453" s="866" t="e">
        <f>VLOOKUP(N453,etat!$A$9:$P$905,16,FALSE)</f>
        <v>#N/A</v>
      </c>
      <c r="T453" s="755"/>
      <c r="U453" s="791"/>
      <c r="V453" s="784"/>
      <c r="W453" s="784"/>
      <c r="X453" s="784"/>
      <c r="Y453" s="975"/>
      <c r="Z453" s="1022"/>
      <c r="AA453" s="931"/>
    </row>
    <row r="454" spans="12:27" ht="17.25">
      <c r="L454" s="777">
        <v>5</v>
      </c>
      <c r="M454" s="906"/>
      <c r="N454" s="976"/>
      <c r="O454" s="1020">
        <v>401</v>
      </c>
      <c r="P454" s="847" t="e">
        <f>VLOOKUP(N454,etat!$A$9:$N$1004,2,FALSE)</f>
        <v>#N/A</v>
      </c>
      <c r="Q454" s="797" t="e">
        <f>VLOOKUP(N454,etat!$A$9:$N$963,7,FALSE)</f>
        <v>#N/A</v>
      </c>
      <c r="R454" s="797" t="e">
        <f>VLOOKUP(N454,etat!$A$9:$N$1003,9,FALSE)</f>
        <v>#N/A</v>
      </c>
      <c r="S454" s="866" t="e">
        <f>VLOOKUP(N454,etat!$A$9:$P$905,16,FALSE)</f>
        <v>#N/A</v>
      </c>
      <c r="T454" s="755"/>
      <c r="U454" s="791"/>
      <c r="V454" s="784"/>
      <c r="W454" s="784"/>
      <c r="X454" s="784"/>
      <c r="Y454" s="975"/>
      <c r="Z454" s="1022"/>
      <c r="AA454" s="931"/>
    </row>
    <row r="455" spans="12:27" ht="17.25">
      <c r="L455" s="777">
        <v>5</v>
      </c>
      <c r="M455" s="906"/>
      <c r="N455" s="976"/>
      <c r="O455" s="1020">
        <v>402</v>
      </c>
      <c r="P455" s="847" t="e">
        <f>VLOOKUP(N455,etat!$A$9:$N$1004,2,FALSE)</f>
        <v>#N/A</v>
      </c>
      <c r="Q455" s="797" t="e">
        <f>VLOOKUP(N455,etat!$A$9:$N$963,7,FALSE)</f>
        <v>#N/A</v>
      </c>
      <c r="R455" s="797" t="e">
        <f>VLOOKUP(N455,etat!$A$9:$N$1003,9,FALSE)</f>
        <v>#N/A</v>
      </c>
      <c r="S455" s="866" t="e">
        <f>VLOOKUP(N455,etat!$A$9:$P$905,16,FALSE)</f>
        <v>#N/A</v>
      </c>
      <c r="T455" s="755"/>
      <c r="U455" s="791"/>
      <c r="V455" s="784"/>
      <c r="W455" s="784"/>
      <c r="X455" s="784"/>
      <c r="Y455" s="975"/>
      <c r="Z455" s="1022"/>
      <c r="AA455" s="931"/>
    </row>
    <row r="456" spans="12:27" ht="17.25">
      <c r="L456" s="777">
        <v>5</v>
      </c>
      <c r="M456" s="906"/>
      <c r="N456" s="976"/>
      <c r="O456" s="1020">
        <v>403</v>
      </c>
      <c r="P456" s="847" t="e">
        <f>VLOOKUP(N456,etat!$A$9:$N$1004,2,FALSE)</f>
        <v>#N/A</v>
      </c>
      <c r="Q456" s="797" t="e">
        <f>VLOOKUP(N456,etat!$A$9:$N$963,7,FALSE)</f>
        <v>#N/A</v>
      </c>
      <c r="R456" s="797" t="e">
        <f>VLOOKUP(N456,etat!$A$9:$N$1003,9,FALSE)</f>
        <v>#N/A</v>
      </c>
      <c r="S456" s="866" t="e">
        <f>VLOOKUP(N456,etat!$A$9:$P$905,16,FALSE)</f>
        <v>#N/A</v>
      </c>
      <c r="T456" s="755"/>
      <c r="U456" s="791"/>
      <c r="V456" s="784"/>
      <c r="W456" s="784"/>
      <c r="X456" s="784"/>
      <c r="Y456" s="975"/>
      <c r="Z456" s="1022"/>
      <c r="AA456" s="931"/>
    </row>
    <row r="457" spans="12:27" ht="15.75">
      <c r="L457" s="777">
        <v>5</v>
      </c>
      <c r="M457" s="906"/>
      <c r="N457" s="976"/>
      <c r="O457" s="1020">
        <v>404</v>
      </c>
      <c r="P457" s="847" t="e">
        <f>VLOOKUP(N457,etat!$A$9:$N$1004,2,FALSE)</f>
        <v>#N/A</v>
      </c>
      <c r="Q457" s="797" t="e">
        <f>VLOOKUP(N457,etat!$A$9:$N$963,7,FALSE)</f>
        <v>#N/A</v>
      </c>
      <c r="R457" s="797" t="e">
        <f>VLOOKUP(N457,etat!$A$9:$N$1003,9,FALSE)</f>
        <v>#N/A</v>
      </c>
      <c r="S457" s="866" t="e">
        <f>VLOOKUP(N457,etat!$A$9:$P$905,16,FALSE)</f>
        <v>#N/A</v>
      </c>
      <c r="T457" s="755"/>
      <c r="U457" s="791"/>
      <c r="V457" s="784"/>
      <c r="W457" s="784"/>
      <c r="X457" s="784"/>
      <c r="Y457" s="784"/>
      <c r="Z457" s="784"/>
      <c r="AA457" s="931"/>
    </row>
    <row r="458" spans="12:27" ht="17.25">
      <c r="L458" s="777">
        <v>5</v>
      </c>
      <c r="M458" s="906"/>
      <c r="N458" s="976"/>
      <c r="O458" s="1020">
        <v>405</v>
      </c>
      <c r="P458" s="847" t="e">
        <f>VLOOKUP(N458,etat!$A$9:$N$1004,2,FALSE)</f>
        <v>#N/A</v>
      </c>
      <c r="Q458" s="797" t="e">
        <f>VLOOKUP(N458,etat!$A$9:$N$963,7,FALSE)</f>
        <v>#N/A</v>
      </c>
      <c r="R458" s="797" t="e">
        <f>VLOOKUP(N458,etat!$A$9:$N$1003,9,FALSE)</f>
        <v>#N/A</v>
      </c>
      <c r="S458" s="866" t="e">
        <f>VLOOKUP(N458,etat!$A$9:$P$905,16,FALSE)</f>
        <v>#N/A</v>
      </c>
      <c r="T458" s="755"/>
      <c r="U458" s="791"/>
      <c r="V458" s="784"/>
      <c r="W458" s="784"/>
      <c r="X458" s="784"/>
      <c r="Y458" s="975"/>
      <c r="Z458" s="1022"/>
      <c r="AA458" s="931"/>
    </row>
    <row r="459" spans="12:27" ht="15.75">
      <c r="L459" s="777">
        <v>5</v>
      </c>
      <c r="M459" s="906"/>
      <c r="N459" s="976"/>
      <c r="O459" s="1020">
        <v>406</v>
      </c>
      <c r="P459" s="847" t="e">
        <f>VLOOKUP(N459,etat!$A$9:$N$1004,2,FALSE)</f>
        <v>#N/A</v>
      </c>
      <c r="Q459" s="797" t="e">
        <f>VLOOKUP(N459,etat!$A$9:$N$963,7,FALSE)</f>
        <v>#N/A</v>
      </c>
      <c r="R459" s="797" t="e">
        <f>VLOOKUP(N459,etat!$A$9:$N$1003,9,FALSE)</f>
        <v>#N/A</v>
      </c>
      <c r="S459" s="866" t="e">
        <f>VLOOKUP(N459,etat!$A$9:$P$905,16,FALSE)</f>
        <v>#N/A</v>
      </c>
      <c r="T459" s="755"/>
      <c r="U459" s="791"/>
      <c r="V459" s="784"/>
      <c r="W459" s="784"/>
      <c r="X459" s="784"/>
      <c r="Y459" s="975"/>
      <c r="Z459" s="784"/>
      <c r="AA459" s="931"/>
    </row>
    <row r="460" spans="12:27" ht="15.75">
      <c r="L460" s="777">
        <v>5</v>
      </c>
      <c r="M460" s="906"/>
      <c r="N460" s="976"/>
      <c r="O460" s="1020">
        <v>407</v>
      </c>
      <c r="P460" s="847" t="e">
        <f>VLOOKUP(N460,etat!$A$9:$N$1004,2,FALSE)</f>
        <v>#N/A</v>
      </c>
      <c r="Q460" s="797" t="e">
        <f>VLOOKUP(N460,etat!$A$9:$N$963,7,FALSE)</f>
        <v>#N/A</v>
      </c>
      <c r="R460" s="797" t="e">
        <f>VLOOKUP(N460,etat!$A$9:$N$1003,9,FALSE)</f>
        <v>#N/A</v>
      </c>
      <c r="S460" s="866" t="e">
        <f>VLOOKUP(N460,etat!$A$9:$P$905,16,FALSE)</f>
        <v>#N/A</v>
      </c>
      <c r="T460" s="755"/>
      <c r="U460" s="791"/>
      <c r="V460" s="784"/>
      <c r="W460" s="784"/>
      <c r="X460" s="784"/>
      <c r="Y460" s="784"/>
      <c r="Z460" s="784"/>
      <c r="AA460" s="931"/>
    </row>
    <row r="461" spans="12:27" ht="17.25">
      <c r="L461" s="777">
        <v>5</v>
      </c>
      <c r="M461" s="906"/>
      <c r="N461" s="976"/>
      <c r="O461" s="1020">
        <v>408</v>
      </c>
      <c r="P461" s="847" t="e">
        <f>VLOOKUP(N461,etat!$A$9:$N$1004,2,FALSE)</f>
        <v>#N/A</v>
      </c>
      <c r="Q461" s="797" t="e">
        <f>VLOOKUP(N461,etat!$A$9:$N$963,7,FALSE)</f>
        <v>#N/A</v>
      </c>
      <c r="R461" s="797" t="e">
        <f>VLOOKUP(N461,etat!$A$9:$N$1003,9,FALSE)</f>
        <v>#N/A</v>
      </c>
      <c r="S461" s="866" t="e">
        <f>VLOOKUP(N461,etat!$A$9:$P$905,16,FALSE)</f>
        <v>#N/A</v>
      </c>
      <c r="T461" s="755"/>
      <c r="U461" s="791"/>
      <c r="V461" s="784"/>
      <c r="W461" s="784"/>
      <c r="X461" s="784"/>
      <c r="Y461" s="975"/>
      <c r="Z461" s="1022"/>
      <c r="AA461" s="931"/>
    </row>
    <row r="462" spans="12:27" ht="17.25">
      <c r="L462" s="777">
        <v>5</v>
      </c>
      <c r="M462" s="906"/>
      <c r="N462" s="976"/>
      <c r="O462" s="1020">
        <v>409</v>
      </c>
      <c r="P462" s="847" t="e">
        <f>VLOOKUP(N462,etat!$A$9:$N$1004,2,FALSE)</f>
        <v>#N/A</v>
      </c>
      <c r="Q462" s="797" t="e">
        <f>VLOOKUP(N462,etat!$A$9:$N$963,7,FALSE)</f>
        <v>#N/A</v>
      </c>
      <c r="R462" s="797" t="e">
        <f>VLOOKUP(N462,etat!$A$9:$N$1003,9,FALSE)</f>
        <v>#N/A</v>
      </c>
      <c r="S462" s="866" t="e">
        <f>VLOOKUP(N462,etat!$A$9:$P$905,16,FALSE)</f>
        <v>#N/A</v>
      </c>
      <c r="T462" s="755"/>
      <c r="U462" s="791"/>
      <c r="V462" s="784"/>
      <c r="W462" s="784"/>
      <c r="X462" s="784"/>
      <c r="Y462" s="975"/>
      <c r="Z462" s="1022"/>
      <c r="AA462" s="931"/>
    </row>
    <row r="463" spans="12:27" ht="17.25">
      <c r="L463" s="777">
        <v>5</v>
      </c>
      <c r="M463" s="906"/>
      <c r="N463" s="976"/>
      <c r="O463" s="1020">
        <v>410</v>
      </c>
      <c r="P463" s="847" t="e">
        <f>VLOOKUP(N463,etat!$A$9:$N$1004,2,FALSE)</f>
        <v>#N/A</v>
      </c>
      <c r="Q463" s="797" t="e">
        <f>VLOOKUP(N463,etat!$A$9:$N$963,7,FALSE)</f>
        <v>#N/A</v>
      </c>
      <c r="R463" s="797" t="e">
        <f>VLOOKUP(N463,etat!$A$9:$N$1003,9,FALSE)</f>
        <v>#N/A</v>
      </c>
      <c r="S463" s="866" t="e">
        <f>VLOOKUP(N463,etat!$A$9:$P$905,16,FALSE)</f>
        <v>#N/A</v>
      </c>
      <c r="T463" s="755"/>
      <c r="U463" s="791"/>
      <c r="V463" s="784"/>
      <c r="W463" s="784"/>
      <c r="X463" s="784"/>
      <c r="Y463" s="975"/>
      <c r="Z463" s="1022"/>
      <c r="AA463" s="931"/>
    </row>
    <row r="464" spans="12:27" ht="17.25">
      <c r="L464" s="777">
        <v>5</v>
      </c>
      <c r="M464" s="906"/>
      <c r="N464" s="976"/>
      <c r="O464" s="1020">
        <v>411</v>
      </c>
      <c r="P464" s="847" t="e">
        <f>VLOOKUP(N464,etat!$A$9:$N$1004,2,FALSE)</f>
        <v>#N/A</v>
      </c>
      <c r="Q464" s="797" t="e">
        <f>VLOOKUP(N464,etat!$A$9:$N$963,7,FALSE)</f>
        <v>#N/A</v>
      </c>
      <c r="R464" s="797" t="e">
        <f>VLOOKUP(N464,etat!$A$9:$N$1003,9,FALSE)</f>
        <v>#N/A</v>
      </c>
      <c r="S464" s="866" t="e">
        <f>VLOOKUP(N464,etat!$A$9:$P$905,16,FALSE)</f>
        <v>#N/A</v>
      </c>
      <c r="T464" s="755"/>
      <c r="U464" s="791"/>
      <c r="V464" s="784"/>
      <c r="W464" s="784"/>
      <c r="X464" s="848"/>
      <c r="Y464" s="975"/>
      <c r="Z464" s="1022"/>
      <c r="AA464" s="931"/>
    </row>
    <row r="465" spans="12:27" ht="17.25">
      <c r="L465" s="777">
        <v>5</v>
      </c>
      <c r="M465" s="906"/>
      <c r="N465" s="976"/>
      <c r="O465" s="1020">
        <v>412</v>
      </c>
      <c r="P465" s="847" t="e">
        <f>VLOOKUP(N465,etat!$A$9:$N$1004,2,FALSE)</f>
        <v>#N/A</v>
      </c>
      <c r="Q465" s="797" t="e">
        <f>VLOOKUP(N465,etat!$A$9:$N$963,7,FALSE)</f>
        <v>#N/A</v>
      </c>
      <c r="R465" s="797" t="e">
        <f>VLOOKUP(N465,etat!$A$9:$N$1003,9,FALSE)</f>
        <v>#N/A</v>
      </c>
      <c r="S465" s="866" t="e">
        <f>VLOOKUP(N465,etat!$A$9:$P$905,16,FALSE)</f>
        <v>#N/A</v>
      </c>
      <c r="T465" s="755"/>
      <c r="U465" s="791"/>
      <c r="V465" s="784"/>
      <c r="W465" s="784"/>
      <c r="X465" s="848"/>
      <c r="Y465" s="975"/>
      <c r="Z465" s="1022"/>
      <c r="AA465" s="931"/>
    </row>
    <row r="466" spans="12:27" ht="17.25">
      <c r="L466" s="777">
        <v>5</v>
      </c>
      <c r="M466" s="906"/>
      <c r="N466" s="976"/>
      <c r="O466" s="1020">
        <v>413</v>
      </c>
      <c r="P466" s="847" t="e">
        <f>VLOOKUP(N466,etat!$A$9:$N$1004,2,FALSE)</f>
        <v>#N/A</v>
      </c>
      <c r="Q466" s="797" t="e">
        <f>VLOOKUP(N466,etat!$A$9:$N$963,7,FALSE)</f>
        <v>#N/A</v>
      </c>
      <c r="R466" s="797" t="e">
        <f>VLOOKUP(N466,etat!$A$9:$N$1003,9,FALSE)</f>
        <v>#N/A</v>
      </c>
      <c r="S466" s="866" t="e">
        <f>VLOOKUP(N466,etat!$A$9:$P$905,16,FALSE)</f>
        <v>#N/A</v>
      </c>
      <c r="T466" s="755"/>
      <c r="U466" s="791"/>
      <c r="V466" s="784"/>
      <c r="W466" s="784"/>
      <c r="X466" s="848"/>
      <c r="Y466" s="975"/>
      <c r="Z466" s="1022"/>
      <c r="AA466" s="931"/>
    </row>
    <row r="467" spans="12:27" ht="17.25">
      <c r="L467" s="777">
        <v>5</v>
      </c>
      <c r="M467" s="906"/>
      <c r="N467" s="976"/>
      <c r="O467" s="1020">
        <v>414</v>
      </c>
      <c r="P467" s="847" t="e">
        <f>VLOOKUP(N467,etat!$A$9:$N$1004,2,FALSE)</f>
        <v>#N/A</v>
      </c>
      <c r="Q467" s="797" t="e">
        <f>VLOOKUP(N467,etat!$A$9:$N$963,7,FALSE)</f>
        <v>#N/A</v>
      </c>
      <c r="R467" s="797" t="e">
        <f>VLOOKUP(N467,etat!$A$9:$N$1003,9,FALSE)</f>
        <v>#N/A</v>
      </c>
      <c r="S467" s="866" t="e">
        <f>VLOOKUP(N467,etat!$A$9:$P$905,16,FALSE)</f>
        <v>#N/A</v>
      </c>
      <c r="T467" s="755"/>
      <c r="U467" s="791"/>
      <c r="V467" s="784"/>
      <c r="W467" s="784"/>
      <c r="X467" s="784"/>
      <c r="Y467" s="975"/>
      <c r="Z467" s="1022"/>
      <c r="AA467" s="931"/>
    </row>
    <row r="468" spans="12:27" ht="17.25">
      <c r="L468" s="777">
        <v>5</v>
      </c>
      <c r="M468" s="906"/>
      <c r="N468" s="976"/>
      <c r="O468" s="1020">
        <v>415</v>
      </c>
      <c r="P468" s="847" t="e">
        <f>VLOOKUP(N468,etat!$A$9:$N$1004,2,FALSE)</f>
        <v>#N/A</v>
      </c>
      <c r="Q468" s="797" t="e">
        <f>VLOOKUP(N468,etat!$A$9:$N$963,7,FALSE)</f>
        <v>#N/A</v>
      </c>
      <c r="R468" s="797" t="e">
        <f>VLOOKUP(N468,etat!$A$9:$N$1003,9,FALSE)</f>
        <v>#N/A</v>
      </c>
      <c r="S468" s="866" t="e">
        <f>VLOOKUP(N468,etat!$A$9:$P$905,16,FALSE)</f>
        <v>#N/A</v>
      </c>
      <c r="T468" s="755"/>
      <c r="U468" s="791"/>
      <c r="V468" s="784"/>
      <c r="W468" s="784"/>
      <c r="X468" s="784"/>
      <c r="Y468" s="975"/>
      <c r="Z468" s="1022"/>
      <c r="AA468" s="931"/>
    </row>
    <row r="469" spans="12:27" ht="17.25">
      <c r="L469" s="777">
        <v>5</v>
      </c>
      <c r="M469" s="906"/>
      <c r="N469" s="976"/>
      <c r="O469" s="1020">
        <v>416</v>
      </c>
      <c r="P469" s="847" t="e">
        <f>VLOOKUP(N469,etat!$A$9:$N$1004,2,FALSE)</f>
        <v>#N/A</v>
      </c>
      <c r="Q469" s="797" t="e">
        <f>VLOOKUP(N469,etat!$A$9:$N$963,7,FALSE)</f>
        <v>#N/A</v>
      </c>
      <c r="R469" s="797" t="e">
        <f>VLOOKUP(N469,etat!$A$9:$N$1003,9,FALSE)</f>
        <v>#N/A</v>
      </c>
      <c r="S469" s="866" t="e">
        <f>VLOOKUP(N469,etat!$A$9:$P$905,16,FALSE)</f>
        <v>#N/A</v>
      </c>
      <c r="T469" s="755"/>
      <c r="U469" s="791"/>
      <c r="V469" s="784"/>
      <c r="W469" s="784"/>
      <c r="X469" s="784"/>
      <c r="Y469" s="975"/>
      <c r="Z469" s="1022"/>
      <c r="AA469" s="931"/>
    </row>
    <row r="470" spans="12:27" ht="17.25">
      <c r="L470" s="777">
        <v>5</v>
      </c>
      <c r="M470" s="906"/>
      <c r="N470" s="976"/>
      <c r="O470" s="1020">
        <v>417</v>
      </c>
      <c r="P470" s="847" t="e">
        <f>VLOOKUP(N470,etat!$A$9:$N$1004,2,FALSE)</f>
        <v>#N/A</v>
      </c>
      <c r="Q470" s="797" t="e">
        <f>VLOOKUP(N470,etat!$A$9:$N$963,7,FALSE)</f>
        <v>#N/A</v>
      </c>
      <c r="R470" s="797" t="e">
        <f>VLOOKUP(N470,etat!$A$9:$N$1003,9,FALSE)</f>
        <v>#N/A</v>
      </c>
      <c r="S470" s="866" t="e">
        <f>VLOOKUP(N470,etat!$A$9:$P$905,16,FALSE)</f>
        <v>#N/A</v>
      </c>
      <c r="T470" s="755"/>
      <c r="U470" s="791"/>
      <c r="V470" s="784"/>
      <c r="W470" s="784"/>
      <c r="X470" s="784"/>
      <c r="Y470" s="975"/>
      <c r="Z470" s="1022"/>
      <c r="AA470" s="931"/>
    </row>
    <row r="471" spans="12:27" ht="15.75">
      <c r="L471" s="777">
        <v>5</v>
      </c>
      <c r="M471" s="906"/>
      <c r="N471" s="976"/>
      <c r="O471" s="1020">
        <v>418</v>
      </c>
      <c r="P471" s="847" t="e">
        <f>VLOOKUP(N471,etat!$A$9:$N$1004,2,FALSE)</f>
        <v>#N/A</v>
      </c>
      <c r="Q471" s="797" t="e">
        <f>VLOOKUP(N471,etat!$A$9:$N$963,7,FALSE)</f>
        <v>#N/A</v>
      </c>
      <c r="R471" s="797" t="e">
        <f>VLOOKUP(N471,etat!$A$9:$N$1003,9,FALSE)</f>
        <v>#N/A</v>
      </c>
      <c r="S471" s="866" t="e">
        <f>VLOOKUP(N471,etat!$A$9:$P$905,16,FALSE)</f>
        <v>#N/A</v>
      </c>
      <c r="T471" s="755"/>
      <c r="U471" s="791"/>
      <c r="V471" s="784"/>
      <c r="W471" s="784"/>
      <c r="X471" s="784"/>
      <c r="Y471" s="784"/>
      <c r="Z471" s="784"/>
      <c r="AA471" s="931"/>
    </row>
    <row r="472" spans="12:27" ht="17.25">
      <c r="L472" s="777">
        <v>5</v>
      </c>
      <c r="M472" s="906"/>
      <c r="N472" s="976"/>
      <c r="O472" s="1020">
        <v>419</v>
      </c>
      <c r="P472" s="847" t="e">
        <f>VLOOKUP(N472,etat!$A$9:$N$1004,2,FALSE)</f>
        <v>#N/A</v>
      </c>
      <c r="Q472" s="797" t="e">
        <f>VLOOKUP(N472,etat!$A$9:$N$963,7,FALSE)</f>
        <v>#N/A</v>
      </c>
      <c r="R472" s="797" t="e">
        <f>VLOOKUP(N472,etat!$A$9:$N$1003,9,FALSE)</f>
        <v>#N/A</v>
      </c>
      <c r="S472" s="866" t="e">
        <f>VLOOKUP(N472,etat!$A$9:$P$905,16,FALSE)</f>
        <v>#N/A</v>
      </c>
      <c r="T472" s="755"/>
      <c r="U472" s="791"/>
      <c r="V472" s="784"/>
      <c r="W472" s="784"/>
      <c r="X472" s="848"/>
      <c r="Y472" s="975"/>
      <c r="Z472" s="1022"/>
      <c r="AA472" s="931"/>
    </row>
    <row r="473" spans="12:27" ht="17.25">
      <c r="L473" s="777">
        <v>5</v>
      </c>
      <c r="M473" s="906"/>
      <c r="N473" s="976"/>
      <c r="O473" s="1020">
        <v>420</v>
      </c>
      <c r="P473" s="847" t="e">
        <f>VLOOKUP(N473,etat!$A$9:$N$1004,2,FALSE)</f>
        <v>#N/A</v>
      </c>
      <c r="Q473" s="797" t="e">
        <f>VLOOKUP(N473,etat!$A$9:$N$963,7,FALSE)</f>
        <v>#N/A</v>
      </c>
      <c r="R473" s="797" t="e">
        <f>VLOOKUP(N473,etat!$A$9:$N$1003,9,FALSE)</f>
        <v>#N/A</v>
      </c>
      <c r="S473" s="866" t="e">
        <f>VLOOKUP(N473,etat!$A$9:$P$905,16,FALSE)</f>
        <v>#N/A</v>
      </c>
      <c r="T473" s="755"/>
      <c r="U473" s="791"/>
      <c r="V473" s="784"/>
      <c r="W473" s="784"/>
      <c r="X473" s="848"/>
      <c r="Y473" s="975"/>
      <c r="Z473" s="1022"/>
      <c r="AA473" s="931"/>
    </row>
    <row r="474" spans="12:27" ht="17.25">
      <c r="L474" s="777">
        <v>5</v>
      </c>
      <c r="M474" s="906"/>
      <c r="N474" s="976"/>
      <c r="O474" s="1020">
        <v>421</v>
      </c>
      <c r="P474" s="847" t="e">
        <f>VLOOKUP(N474,etat!$A$9:$N$1004,2,FALSE)</f>
        <v>#N/A</v>
      </c>
      <c r="Q474" s="797" t="e">
        <f>VLOOKUP(N474,etat!$A$9:$N$963,7,FALSE)</f>
        <v>#N/A</v>
      </c>
      <c r="R474" s="797" t="e">
        <f>VLOOKUP(N474,etat!$A$9:$N$1003,9,FALSE)</f>
        <v>#N/A</v>
      </c>
      <c r="S474" s="866" t="e">
        <f>VLOOKUP(N474,etat!$A$9:$P$905,16,FALSE)</f>
        <v>#N/A</v>
      </c>
      <c r="T474" s="755"/>
      <c r="U474" s="791"/>
      <c r="V474" s="784"/>
      <c r="W474" s="755"/>
      <c r="X474" s="784"/>
      <c r="Y474" s="975"/>
      <c r="Z474" s="1022"/>
      <c r="AA474" s="931"/>
    </row>
    <row r="475" spans="12:27" ht="15.75">
      <c r="L475" s="777">
        <v>5</v>
      </c>
      <c r="M475" s="906"/>
      <c r="N475" s="976"/>
      <c r="O475" s="1020">
        <v>422</v>
      </c>
      <c r="P475" s="847" t="e">
        <f>VLOOKUP(N475,etat!$A$9:$N$1004,2,FALSE)</f>
        <v>#N/A</v>
      </c>
      <c r="Q475" s="797" t="e">
        <f>VLOOKUP(N475,etat!$A$9:$N$963,7,FALSE)</f>
        <v>#N/A</v>
      </c>
      <c r="R475" s="797" t="e">
        <f>VLOOKUP(N475,etat!$A$9:$N$1003,9,FALSE)</f>
        <v>#N/A</v>
      </c>
      <c r="S475" s="866" t="e">
        <f>VLOOKUP(N475,etat!$A$9:$P$905,16,FALSE)</f>
        <v>#N/A</v>
      </c>
      <c r="T475" s="755"/>
      <c r="U475" s="791"/>
      <c r="V475" s="784"/>
      <c r="W475" s="784"/>
      <c r="X475" s="784"/>
      <c r="Y475" s="784"/>
      <c r="Z475" s="784"/>
      <c r="AA475" s="931"/>
    </row>
    <row r="476" spans="12:27" ht="18.75">
      <c r="L476" s="777">
        <v>5</v>
      </c>
      <c r="M476" s="906"/>
      <c r="N476" s="976"/>
      <c r="O476" s="1020">
        <v>423</v>
      </c>
      <c r="P476" s="847" t="e">
        <f>VLOOKUP(N476,etat!$A$9:$N$1004,2,FALSE)</f>
        <v>#N/A</v>
      </c>
      <c r="Q476" s="797" t="e">
        <f>VLOOKUP(N476,etat!$A$9:$N$963,7,FALSE)</f>
        <v>#N/A</v>
      </c>
      <c r="R476" s="954" t="e">
        <f>VLOOKUP(N476,etat!$A$9:$N$1003,9,FALSE)</f>
        <v>#N/A</v>
      </c>
      <c r="S476" s="866" t="e">
        <f>VLOOKUP(N476,etat!$A$9:$P$905,16,FALSE)</f>
        <v>#N/A</v>
      </c>
      <c r="T476" s="755"/>
      <c r="U476" s="791"/>
      <c r="V476" s="784"/>
      <c r="W476" s="784"/>
      <c r="X476" s="784"/>
      <c r="Y476" s="975"/>
      <c r="Z476" s="1022"/>
      <c r="AA476" s="931"/>
    </row>
    <row r="477" spans="12:27" ht="15.75">
      <c r="L477" s="777">
        <v>5</v>
      </c>
      <c r="M477" s="906"/>
      <c r="N477" s="976">
        <v>0</v>
      </c>
      <c r="O477" s="1020">
        <v>424</v>
      </c>
      <c r="P477" s="865" t="e">
        <f>VLOOKUP(N477,etat!$A$9:$N$1004,2,FALSE)</f>
        <v>#N/A</v>
      </c>
      <c r="Q477" s="866" t="e">
        <f>VLOOKUP(N477,etat!$A$9:$N$963,7,FALSE)</f>
        <v>#N/A</v>
      </c>
      <c r="R477" s="866" t="e">
        <f>VLOOKUP(N477,etat!$A$9:$N$1003,9,FALSE)</f>
        <v>#N/A</v>
      </c>
      <c r="S477" s="866" t="e">
        <f>VLOOKUP(N477,etat!$A$9:$P$905,16,FALSE)</f>
        <v>#N/A</v>
      </c>
      <c r="T477" s="867"/>
      <c r="U477" s="868"/>
      <c r="V477" s="869"/>
      <c r="W477" s="869"/>
      <c r="X477" s="869"/>
      <c r="Y477" s="904"/>
      <c r="Z477" s="931"/>
      <c r="AA477" s="931"/>
    </row>
    <row r="478" spans="12:27" ht="15.75">
      <c r="L478" s="777">
        <v>5</v>
      </c>
      <c r="M478" s="906"/>
      <c r="N478" s="976">
        <v>0</v>
      </c>
      <c r="O478" s="1020">
        <v>425</v>
      </c>
      <c r="P478" s="865" t="e">
        <f>VLOOKUP(N478,etat!$A$9:$N$1004,2,FALSE)</f>
        <v>#N/A</v>
      </c>
      <c r="Q478" s="866" t="e">
        <f>VLOOKUP(N478,etat!$A$9:$N$963,7,FALSE)</f>
        <v>#N/A</v>
      </c>
      <c r="R478" s="866" t="e">
        <f>VLOOKUP(N478,etat!$A$9:$N$1003,9,FALSE)</f>
        <v>#N/A</v>
      </c>
      <c r="S478" s="866" t="e">
        <f>VLOOKUP(N478,etat!$A$9:$P$905,16,FALSE)</f>
        <v>#N/A</v>
      </c>
      <c r="T478" s="867"/>
      <c r="U478" s="868"/>
      <c r="V478" s="869"/>
      <c r="W478" s="869"/>
      <c r="X478" s="869"/>
      <c r="Y478" s="904"/>
      <c r="Z478" s="931" t="str">
        <f>VLOOKUP(L500,اس!$S$3:$X$31,3,FALSE)</f>
        <v>.</v>
      </c>
      <c r="AA478" s="931"/>
    </row>
    <row r="479" spans="12:27" ht="15.75">
      <c r="L479" s="777">
        <v>5</v>
      </c>
      <c r="M479" s="906"/>
      <c r="N479" s="976">
        <v>0</v>
      </c>
      <c r="O479" s="1020">
        <v>426</v>
      </c>
      <c r="P479" s="865" t="e">
        <f>VLOOKUP(N479,etat!$A$9:$N$1004,2,FALSE)</f>
        <v>#N/A</v>
      </c>
      <c r="Q479" s="866" t="e">
        <f>VLOOKUP(N479,etat!$A$9:$N$963,7,FALSE)</f>
        <v>#N/A</v>
      </c>
      <c r="R479" s="866" t="e">
        <f>VLOOKUP(N479,etat!$A$9:$N$1003,9,FALSE)</f>
        <v>#N/A</v>
      </c>
      <c r="S479" s="866" t="e">
        <f>VLOOKUP(N479,etat!$A$9:$P$905,16,FALSE)</f>
        <v>#N/A</v>
      </c>
      <c r="T479" s="867"/>
      <c r="U479" s="868"/>
      <c r="V479" s="869"/>
      <c r="W479" s="869"/>
      <c r="X479" s="869"/>
      <c r="Y479" s="904"/>
      <c r="Z479" s="931" t="str">
        <f>VLOOKUP(L501,اس!$S$3:$X$31,3,FALSE)</f>
        <v>.</v>
      </c>
      <c r="AA479" s="931"/>
    </row>
    <row r="480" spans="12:27" ht="15.75">
      <c r="L480" s="777">
        <v>5</v>
      </c>
      <c r="M480" s="906"/>
      <c r="N480" s="976">
        <v>0</v>
      </c>
      <c r="O480" s="1020">
        <v>427</v>
      </c>
      <c r="P480" s="865" t="e">
        <f>VLOOKUP(N480,etat!$A$9:$N$1004,2,FALSE)</f>
        <v>#N/A</v>
      </c>
      <c r="Q480" s="866" t="e">
        <f>VLOOKUP(N480,etat!$A$9:$N$963,7,FALSE)</f>
        <v>#N/A</v>
      </c>
      <c r="R480" s="866" t="e">
        <f>VLOOKUP(N480,etat!$A$9:$N$1003,9,FALSE)</f>
        <v>#N/A</v>
      </c>
      <c r="S480" s="866" t="e">
        <f>VLOOKUP(N480,etat!$A$9:$P$905,16,FALSE)</f>
        <v>#N/A</v>
      </c>
      <c r="T480" s="867"/>
      <c r="U480" s="868"/>
      <c r="V480" s="869"/>
      <c r="W480" s="869"/>
      <c r="X480" s="869"/>
      <c r="Y480" s="904"/>
      <c r="Z480" s="931" t="str">
        <f>VLOOKUP(L502,اس!$S$3:$X$31,3,FALSE)</f>
        <v>.</v>
      </c>
      <c r="AA480" s="931"/>
    </row>
    <row r="481" spans="12:27" ht="15.75">
      <c r="L481" s="777">
        <v>5</v>
      </c>
      <c r="M481" s="906"/>
      <c r="N481" s="976">
        <v>0</v>
      </c>
      <c r="O481" s="1020">
        <v>428</v>
      </c>
      <c r="P481" s="865" t="e">
        <f>VLOOKUP(N481,etat!$A$9:$N$1004,2,FALSE)</f>
        <v>#N/A</v>
      </c>
      <c r="Q481" s="866" t="e">
        <f>VLOOKUP(N481,etat!$A$9:$N$963,7,FALSE)</f>
        <v>#N/A</v>
      </c>
      <c r="R481" s="866" t="e">
        <f>VLOOKUP(N481,etat!$A$9:$N$1003,9,FALSE)</f>
        <v>#N/A</v>
      </c>
      <c r="S481" s="866" t="e">
        <f>VLOOKUP(N481,etat!$A$9:$P$905,16,FALSE)</f>
        <v>#N/A</v>
      </c>
      <c r="T481" s="867"/>
      <c r="U481" s="868"/>
      <c r="V481" s="869"/>
      <c r="W481" s="869"/>
      <c r="X481" s="869"/>
      <c r="Y481" s="904"/>
      <c r="Z481" s="931" t="str">
        <f>VLOOKUP(L503,اس!$S$3:$X$31,3,FALSE)</f>
        <v>.</v>
      </c>
      <c r="AA481" s="931"/>
    </row>
    <row r="482" spans="12:27" ht="15.75">
      <c r="L482" s="777">
        <v>5</v>
      </c>
      <c r="M482" s="906"/>
      <c r="N482" s="976">
        <v>0</v>
      </c>
      <c r="O482" s="1020">
        <v>429</v>
      </c>
      <c r="P482" s="865" t="e">
        <f>VLOOKUP(N482,etat!$A$9:$N$1004,2,FALSE)</f>
        <v>#N/A</v>
      </c>
      <c r="Q482" s="866" t="e">
        <f>VLOOKUP(N482,etat!$A$9:$N$963,7,FALSE)</f>
        <v>#N/A</v>
      </c>
      <c r="R482" s="866" t="e">
        <f>VLOOKUP(N482,etat!$A$9:$N$1003,9,FALSE)</f>
        <v>#N/A</v>
      </c>
      <c r="S482" s="866" t="e">
        <f>VLOOKUP(N482,etat!$A$9:$P$905,16,FALSE)</f>
        <v>#N/A</v>
      </c>
      <c r="T482" s="867"/>
      <c r="U482" s="868"/>
      <c r="V482" s="869"/>
      <c r="W482" s="869"/>
      <c r="X482" s="869"/>
      <c r="Y482" s="904"/>
      <c r="Z482" s="931" t="str">
        <f>VLOOKUP(L504,اس!$S$3:$X$31,3,FALSE)</f>
        <v>.</v>
      </c>
      <c r="AA482" s="931"/>
    </row>
    <row r="483" spans="12:27" ht="15.75">
      <c r="L483" s="777">
        <v>5</v>
      </c>
      <c r="M483" s="906"/>
      <c r="N483" s="976">
        <v>0</v>
      </c>
      <c r="O483" s="1020">
        <v>430</v>
      </c>
      <c r="P483" s="865" t="e">
        <f>VLOOKUP(N483,etat!$A$9:$N$1004,2,FALSE)</f>
        <v>#N/A</v>
      </c>
      <c r="Q483" s="866" t="e">
        <f>VLOOKUP(N483,etat!$A$9:$N$963,7,FALSE)</f>
        <v>#N/A</v>
      </c>
      <c r="R483" s="866" t="e">
        <f>VLOOKUP(N483,etat!$A$9:$N$1003,9,FALSE)</f>
        <v>#N/A</v>
      </c>
      <c r="S483" s="866" t="e">
        <f>VLOOKUP(N483,etat!$A$9:$P$905,16,FALSE)</f>
        <v>#N/A</v>
      </c>
      <c r="T483" s="867"/>
      <c r="U483" s="868"/>
      <c r="V483" s="869"/>
      <c r="W483" s="869"/>
      <c r="X483" s="869"/>
      <c r="Y483" s="904"/>
      <c r="Z483" s="931" t="str">
        <f>VLOOKUP(L505,اس!$S$3:$X$31,3,FALSE)</f>
        <v>.</v>
      </c>
      <c r="AA483" s="931"/>
    </row>
    <row r="484" spans="12:27" ht="15.75">
      <c r="L484" s="777">
        <v>5</v>
      </c>
      <c r="M484" s="906"/>
      <c r="N484" s="976">
        <v>0</v>
      </c>
      <c r="O484" s="1020">
        <v>431</v>
      </c>
      <c r="P484" s="865" t="e">
        <f>VLOOKUP(N484,etat!$A$9:$N$1004,2,FALSE)</f>
        <v>#N/A</v>
      </c>
      <c r="Q484" s="866" t="e">
        <f>VLOOKUP(N484,etat!$A$9:$N$963,7,FALSE)</f>
        <v>#N/A</v>
      </c>
      <c r="R484" s="866" t="e">
        <f>VLOOKUP(N484,etat!$A$9:$N$1003,9,FALSE)</f>
        <v>#N/A</v>
      </c>
      <c r="S484" s="866" t="e">
        <f>VLOOKUP(N484,etat!$A$9:$P$905,16,FALSE)</f>
        <v>#N/A</v>
      </c>
      <c r="T484" s="867"/>
      <c r="U484" s="868"/>
      <c r="V484" s="869"/>
      <c r="W484" s="869"/>
      <c r="X484" s="869"/>
      <c r="Y484" s="904"/>
      <c r="Z484" s="931" t="str">
        <f>VLOOKUP(L506,اس!$S$3:$X$31,3,FALSE)</f>
        <v>.</v>
      </c>
      <c r="AA484" s="931"/>
    </row>
    <row r="485" spans="12:27" ht="15.75">
      <c r="L485" s="777">
        <v>5</v>
      </c>
      <c r="M485" s="906"/>
      <c r="N485" s="976">
        <v>0</v>
      </c>
      <c r="O485" s="1020">
        <v>432</v>
      </c>
      <c r="P485" s="865" t="e">
        <f>VLOOKUP(N485,etat!$A$9:$N$1004,2,FALSE)</f>
        <v>#N/A</v>
      </c>
      <c r="Q485" s="866" t="e">
        <f>VLOOKUP(N485,etat!$A$9:$N$963,7,FALSE)</f>
        <v>#N/A</v>
      </c>
      <c r="R485" s="866" t="e">
        <f>VLOOKUP(N485,etat!$A$9:$N$1003,9,FALSE)</f>
        <v>#N/A</v>
      </c>
      <c r="S485" s="866" t="e">
        <f>VLOOKUP(N485,etat!$A$9:$P$905,16,FALSE)</f>
        <v>#N/A</v>
      </c>
      <c r="T485" s="867"/>
      <c r="U485" s="868"/>
      <c r="V485" s="869"/>
      <c r="W485" s="869"/>
      <c r="X485" s="869"/>
      <c r="Y485" s="904"/>
      <c r="Z485" s="931" t="str">
        <f>VLOOKUP(L507,اس!$S$3:$X$31,3,FALSE)</f>
        <v>.</v>
      </c>
      <c r="AA485" s="931"/>
    </row>
    <row r="486" spans="12:27" ht="15.75">
      <c r="L486" s="777">
        <v>5</v>
      </c>
      <c r="M486" s="906"/>
      <c r="N486" s="976">
        <v>0</v>
      </c>
      <c r="O486" s="1020">
        <v>433</v>
      </c>
      <c r="P486" s="865" t="e">
        <f>VLOOKUP(N486,etat!$A$9:$N$1004,2,FALSE)</f>
        <v>#N/A</v>
      </c>
      <c r="Q486" s="866" t="e">
        <f>VLOOKUP(N486,etat!$A$9:$N$963,7,FALSE)</f>
        <v>#N/A</v>
      </c>
      <c r="R486" s="866" t="e">
        <f>VLOOKUP(N486,etat!$A$9:$N$1003,9,FALSE)</f>
        <v>#N/A</v>
      </c>
      <c r="S486" s="866" t="e">
        <f>VLOOKUP(N486,etat!$A$9:$P$905,16,FALSE)</f>
        <v>#N/A</v>
      </c>
      <c r="T486" s="867"/>
      <c r="U486" s="868"/>
      <c r="V486" s="869"/>
      <c r="W486" s="869"/>
      <c r="X486" s="869"/>
      <c r="Y486" s="904"/>
      <c r="Z486" s="931" t="str">
        <f>VLOOKUP(L508,اس!$S$3:$X$31,3,FALSE)</f>
        <v>.</v>
      </c>
      <c r="AA486" s="931"/>
    </row>
    <row r="487" spans="12:27" ht="15.75">
      <c r="L487" s="777">
        <v>5</v>
      </c>
      <c r="M487" s="906"/>
      <c r="N487" s="976">
        <v>0</v>
      </c>
      <c r="O487" s="1020">
        <v>434</v>
      </c>
      <c r="P487" s="865" t="e">
        <f>VLOOKUP(N487,etat!$A$9:$N$1004,2,FALSE)</f>
        <v>#N/A</v>
      </c>
      <c r="Q487" s="866" t="e">
        <f>VLOOKUP(N487,etat!$A$9:$N$963,7,FALSE)</f>
        <v>#N/A</v>
      </c>
      <c r="R487" s="866" t="e">
        <f>VLOOKUP(N487,etat!$A$9:$N$1003,9,FALSE)</f>
        <v>#N/A</v>
      </c>
      <c r="S487" s="866" t="e">
        <f>VLOOKUP(N487,etat!$A$9:$P$905,16,FALSE)</f>
        <v>#N/A</v>
      </c>
      <c r="T487" s="867"/>
      <c r="U487" s="868"/>
      <c r="V487" s="869"/>
      <c r="W487" s="869"/>
      <c r="X487" s="869"/>
      <c r="Y487" s="904"/>
      <c r="Z487" s="931" t="str">
        <f>VLOOKUP(L509,اس!$S$3:$X$31,3,FALSE)</f>
        <v>.</v>
      </c>
      <c r="AA487" s="931"/>
    </row>
    <row r="488" spans="12:27" ht="15.75">
      <c r="L488" s="777">
        <v>5</v>
      </c>
      <c r="M488" s="906"/>
      <c r="N488" s="976">
        <v>0</v>
      </c>
      <c r="O488" s="1020">
        <v>435</v>
      </c>
      <c r="P488" s="865" t="e">
        <f>VLOOKUP(N488,etat!$A$9:$N$1004,2,FALSE)</f>
        <v>#N/A</v>
      </c>
      <c r="Q488" s="866" t="e">
        <f>VLOOKUP(N488,etat!$A$9:$N$963,7,FALSE)</f>
        <v>#N/A</v>
      </c>
      <c r="R488" s="866" t="e">
        <f>VLOOKUP(N488,etat!$A$9:$N$1003,9,FALSE)</f>
        <v>#N/A</v>
      </c>
      <c r="S488" s="866" t="e">
        <f>VLOOKUP(N488,etat!$A$9:$P$905,16,FALSE)</f>
        <v>#N/A</v>
      </c>
      <c r="T488" s="867"/>
      <c r="U488" s="868"/>
      <c r="V488" s="869"/>
      <c r="W488" s="869"/>
      <c r="X488" s="869"/>
      <c r="Y488" s="904"/>
      <c r="Z488" s="931" t="str">
        <f>VLOOKUP(L510,اس!$S$3:$X$31,3,FALSE)</f>
        <v>.</v>
      </c>
      <c r="AA488" s="931"/>
    </row>
    <row r="489" spans="12:27" ht="15.75">
      <c r="L489" s="777">
        <v>5</v>
      </c>
      <c r="M489" s="906"/>
      <c r="N489" s="976">
        <v>0</v>
      </c>
      <c r="O489" s="1020">
        <v>436</v>
      </c>
      <c r="P489" s="865" t="e">
        <f>VLOOKUP(N489,etat!$A$9:$N$1004,2,FALSE)</f>
        <v>#N/A</v>
      </c>
      <c r="Q489" s="866" t="e">
        <f>VLOOKUP(N489,etat!$A$9:$N$963,7,FALSE)</f>
        <v>#N/A</v>
      </c>
      <c r="R489" s="866" t="e">
        <f>VLOOKUP(N489,etat!$A$9:$N$1003,9,FALSE)</f>
        <v>#N/A</v>
      </c>
      <c r="S489" s="866" t="e">
        <f>VLOOKUP(N489,etat!$A$9:$P$905,16,FALSE)</f>
        <v>#N/A</v>
      </c>
      <c r="T489" s="867"/>
      <c r="U489" s="868"/>
      <c r="V489" s="869"/>
      <c r="W489" s="869"/>
      <c r="X489" s="869"/>
      <c r="Y489" s="904"/>
      <c r="Z489" s="931" t="str">
        <f>VLOOKUP(L511,اس!$S$3:$X$31,3,FALSE)</f>
        <v>.</v>
      </c>
      <c r="AA489" s="931"/>
    </row>
    <row r="490" spans="12:27" ht="15.75">
      <c r="L490" s="777">
        <v>5</v>
      </c>
      <c r="M490" s="906"/>
      <c r="N490" s="976">
        <v>0</v>
      </c>
      <c r="O490" s="1020">
        <v>437</v>
      </c>
      <c r="P490" s="865" t="e">
        <f>VLOOKUP(N490,etat!$A$9:$N$1004,2,FALSE)</f>
        <v>#N/A</v>
      </c>
      <c r="Q490" s="866" t="e">
        <f>VLOOKUP(N490,etat!$A$9:$N$963,7,FALSE)</f>
        <v>#N/A</v>
      </c>
      <c r="R490" s="866" t="e">
        <f>VLOOKUP(N490,etat!$A$9:$N$1003,9,FALSE)</f>
        <v>#N/A</v>
      </c>
      <c r="S490" s="866" t="e">
        <f>VLOOKUP(N490,etat!$A$9:$P$905,16,FALSE)</f>
        <v>#N/A</v>
      </c>
      <c r="T490" s="867"/>
      <c r="U490" s="868"/>
      <c r="V490" s="869"/>
      <c r="W490" s="869"/>
      <c r="X490" s="869"/>
      <c r="Y490" s="904"/>
      <c r="Z490" s="931" t="str">
        <f>VLOOKUP(L512,اس!$S$3:$X$31,3,FALSE)</f>
        <v>.</v>
      </c>
      <c r="AA490" s="931"/>
    </row>
    <row r="491" spans="12:27" ht="15.75">
      <c r="L491" s="777">
        <v>5</v>
      </c>
      <c r="M491" s="906"/>
      <c r="N491" s="976">
        <v>0</v>
      </c>
      <c r="O491" s="1020">
        <v>438</v>
      </c>
      <c r="P491" s="865" t="e">
        <f>VLOOKUP(N491,etat!$A$9:$N$1004,2,FALSE)</f>
        <v>#N/A</v>
      </c>
      <c r="Q491" s="866" t="e">
        <f>VLOOKUP(N491,etat!$A$9:$N$963,7,FALSE)</f>
        <v>#N/A</v>
      </c>
      <c r="R491" s="866" t="e">
        <f>VLOOKUP(N491,etat!$A$9:$N$1003,9,FALSE)</f>
        <v>#N/A</v>
      </c>
      <c r="S491" s="866" t="e">
        <f>VLOOKUP(N491,etat!$A$9:$P$905,16,FALSE)</f>
        <v>#N/A</v>
      </c>
      <c r="T491" s="867"/>
      <c r="U491" s="868"/>
      <c r="V491" s="869"/>
      <c r="W491" s="869"/>
      <c r="X491" s="869"/>
      <c r="Y491" s="904"/>
      <c r="Z491" s="931" t="str">
        <f>VLOOKUP(L513,اس!$S$3:$X$31,3,FALSE)</f>
        <v>.</v>
      </c>
      <c r="AA491" s="931"/>
    </row>
    <row r="492" spans="12:27" ht="15.75">
      <c r="L492" s="777">
        <v>5</v>
      </c>
      <c r="M492" s="906"/>
      <c r="N492" s="976">
        <v>0</v>
      </c>
      <c r="O492" s="1020">
        <v>439</v>
      </c>
      <c r="P492" s="865" t="e">
        <f>VLOOKUP(N492,etat!$A$9:$N$1004,2,FALSE)</f>
        <v>#N/A</v>
      </c>
      <c r="Q492" s="866" t="e">
        <f>VLOOKUP(N492,etat!$A$9:$N$963,7,FALSE)</f>
        <v>#N/A</v>
      </c>
      <c r="R492" s="866" t="e">
        <f>VLOOKUP(N492,etat!$A$9:$N$1003,9,FALSE)</f>
        <v>#N/A</v>
      </c>
      <c r="S492" s="866" t="e">
        <f>VLOOKUP(N492,etat!$A$9:$P$905,16,FALSE)</f>
        <v>#N/A</v>
      </c>
      <c r="T492" s="867"/>
      <c r="U492" s="868"/>
      <c r="V492" s="869"/>
      <c r="W492" s="869"/>
      <c r="X492" s="869"/>
      <c r="Y492" s="904"/>
      <c r="Z492" s="931" t="str">
        <f>VLOOKUP(L514,اس!$S$3:$X$31,3,FALSE)</f>
        <v>.</v>
      </c>
      <c r="AA492" s="931"/>
    </row>
    <row r="493" spans="12:27" ht="15.75">
      <c r="L493" s="777">
        <v>5</v>
      </c>
      <c r="M493" s="906"/>
      <c r="N493" s="976">
        <v>0</v>
      </c>
      <c r="O493" s="1020">
        <v>440</v>
      </c>
      <c r="P493" s="865" t="e">
        <f>VLOOKUP(N493,etat!$A$9:$N$1004,2,FALSE)</f>
        <v>#N/A</v>
      </c>
      <c r="Q493" s="866" t="e">
        <f>VLOOKUP(N493,etat!$A$9:$N$963,7,FALSE)</f>
        <v>#N/A</v>
      </c>
      <c r="R493" s="866" t="e">
        <f>VLOOKUP(N493,etat!$A$9:$N$1003,9,FALSE)</f>
        <v>#N/A</v>
      </c>
      <c r="S493" s="866" t="e">
        <f>VLOOKUP(N493,etat!$A$9:$P$905,16,FALSE)</f>
        <v>#N/A</v>
      </c>
      <c r="T493" s="867"/>
      <c r="U493" s="868"/>
      <c r="V493" s="869"/>
      <c r="W493" s="869"/>
      <c r="X493" s="869"/>
      <c r="Y493" s="904"/>
      <c r="Z493" s="931" t="str">
        <f>VLOOKUP(L515,اس!$S$3:$X$31,3,FALSE)</f>
        <v>.</v>
      </c>
      <c r="AA493" s="931"/>
    </row>
    <row r="494" spans="12:27" ht="15.75">
      <c r="L494" s="777">
        <v>5</v>
      </c>
      <c r="M494" s="906"/>
      <c r="N494" s="976">
        <v>0</v>
      </c>
      <c r="O494" s="1020">
        <v>441</v>
      </c>
      <c r="P494" s="865" t="e">
        <f>VLOOKUP(N494,etat!$A$9:$N$1004,2,FALSE)</f>
        <v>#N/A</v>
      </c>
      <c r="Q494" s="866" t="e">
        <f>VLOOKUP(N494,etat!$A$9:$N$963,7,FALSE)</f>
        <v>#N/A</v>
      </c>
      <c r="R494" s="866" t="e">
        <f>VLOOKUP(N494,etat!$A$9:$N$1003,9,FALSE)</f>
        <v>#N/A</v>
      </c>
      <c r="S494" s="866" t="e">
        <f>VLOOKUP(N494,etat!$A$9:$P$905,16,FALSE)</f>
        <v>#N/A</v>
      </c>
      <c r="T494" s="867"/>
      <c r="U494" s="868"/>
      <c r="V494" s="869"/>
      <c r="W494" s="869"/>
      <c r="X494" s="869"/>
      <c r="Y494" s="904"/>
      <c r="Z494" s="931" t="str">
        <f>VLOOKUP(L516,اس!$S$3:$X$31,3,FALSE)</f>
        <v>.</v>
      </c>
      <c r="AA494" s="931"/>
    </row>
    <row r="495" spans="12:27" ht="15.75">
      <c r="L495" s="777">
        <v>5</v>
      </c>
      <c r="M495" s="906"/>
      <c r="N495" s="976">
        <v>0</v>
      </c>
      <c r="O495" s="1020">
        <v>442</v>
      </c>
      <c r="P495" s="865" t="e">
        <f>VLOOKUP(N495,etat!$A$9:$N$1004,2,FALSE)</f>
        <v>#N/A</v>
      </c>
      <c r="Q495" s="866" t="e">
        <f>VLOOKUP(N495,etat!$A$9:$N$963,7,FALSE)</f>
        <v>#N/A</v>
      </c>
      <c r="R495" s="866" t="e">
        <f>VLOOKUP(N495,etat!$A$9:$N$1003,9,FALSE)</f>
        <v>#N/A</v>
      </c>
      <c r="S495" s="866" t="e">
        <f>VLOOKUP(N495,etat!$A$9:$P$905,16,FALSE)</f>
        <v>#N/A</v>
      </c>
      <c r="T495" s="867"/>
      <c r="U495" s="868"/>
      <c r="V495" s="869"/>
      <c r="W495" s="869"/>
      <c r="X495" s="869"/>
      <c r="Y495" s="904"/>
      <c r="Z495" s="931" t="str">
        <f>VLOOKUP(L517,اس!$S$3:$X$31,3,FALSE)</f>
        <v>.</v>
      </c>
      <c r="AA495" s="931"/>
    </row>
    <row r="496" spans="12:27" ht="15.75">
      <c r="L496" s="777">
        <v>5</v>
      </c>
      <c r="M496" s="906"/>
      <c r="N496" s="976">
        <v>0</v>
      </c>
      <c r="O496" s="1020">
        <v>443</v>
      </c>
      <c r="P496" s="865" t="e">
        <f>VLOOKUP(N496,etat!$A$9:$N$1004,2,FALSE)</f>
        <v>#N/A</v>
      </c>
      <c r="Q496" s="866" t="e">
        <f>VLOOKUP(N496,etat!$A$9:$N$963,7,FALSE)</f>
        <v>#N/A</v>
      </c>
      <c r="R496" s="866" t="e">
        <f>VLOOKUP(N496,etat!$A$9:$N$1003,9,FALSE)</f>
        <v>#N/A</v>
      </c>
      <c r="S496" s="797" t="e">
        <f>VLOOKUP(N496,etat!$A$9:$P$905,16,FALSE)</f>
        <v>#N/A</v>
      </c>
      <c r="T496" s="867"/>
      <c r="U496" s="868"/>
      <c r="V496" s="869"/>
      <c r="W496" s="869"/>
      <c r="X496" s="869"/>
      <c r="Y496" s="904"/>
      <c r="Z496" s="931" t="str">
        <f>VLOOKUP(L518,اس!$S$3:$X$31,3,FALSE)</f>
        <v>.</v>
      </c>
      <c r="AA496" s="931"/>
    </row>
    <row r="497" spans="12:27" ht="15.75">
      <c r="L497" s="777">
        <v>5</v>
      </c>
      <c r="M497" s="906"/>
      <c r="N497" s="976">
        <v>0</v>
      </c>
      <c r="O497" s="1020">
        <v>444</v>
      </c>
      <c r="P497" s="865" t="e">
        <f>VLOOKUP(N497,etat!$A$9:$N$1004,2,FALSE)</f>
        <v>#N/A</v>
      </c>
      <c r="Q497" s="866" t="e">
        <f>VLOOKUP(N497,etat!$A$9:$N$963,7,FALSE)</f>
        <v>#N/A</v>
      </c>
      <c r="R497" s="866" t="e">
        <f>VLOOKUP(N497,etat!$A$9:$N$1003,9,FALSE)</f>
        <v>#N/A</v>
      </c>
      <c r="S497" s="797" t="e">
        <f>VLOOKUP(N497,etat!$A$9:$P$905,16,FALSE)</f>
        <v>#N/A</v>
      </c>
      <c r="T497" s="867"/>
      <c r="U497" s="868"/>
      <c r="V497" s="869"/>
      <c r="W497" s="869"/>
      <c r="X497" s="869"/>
      <c r="Y497" s="904"/>
      <c r="Z497" s="931" t="str">
        <f>VLOOKUP(L519,اس!$S$3:$X$31,3,FALSE)</f>
        <v>.</v>
      </c>
      <c r="AA497" s="931"/>
    </row>
    <row r="498" spans="12:27" ht="15.75">
      <c r="L498" s="777">
        <v>5</v>
      </c>
      <c r="M498" s="906"/>
      <c r="N498" s="976">
        <v>0</v>
      </c>
      <c r="O498" s="1020">
        <v>445</v>
      </c>
      <c r="P498" s="865" t="e">
        <f>VLOOKUP(N498,etat!$A$9:$N$1004,2,FALSE)</f>
        <v>#N/A</v>
      </c>
      <c r="Q498" s="866" t="e">
        <f>VLOOKUP(N498,etat!$A$9:$N$963,7,FALSE)</f>
        <v>#N/A</v>
      </c>
      <c r="R498" s="866" t="e">
        <f>VLOOKUP(N498,etat!$A$9:$N$1003,9,FALSE)</f>
        <v>#N/A</v>
      </c>
      <c r="S498" s="797" t="e">
        <f>VLOOKUP(N498,etat!$A$9:$P$905,16,FALSE)</f>
        <v>#N/A</v>
      </c>
      <c r="T498" s="867"/>
      <c r="U498" s="868"/>
      <c r="V498" s="869"/>
      <c r="W498" s="869"/>
      <c r="X498" s="869"/>
      <c r="Y498" s="904"/>
      <c r="Z498" s="931" t="str">
        <f>VLOOKUP(L520,اس!$S$3:$X$31,3,FALSE)</f>
        <v>.</v>
      </c>
      <c r="AA498" s="931"/>
    </row>
    <row r="499" spans="12:27" ht="15.75">
      <c r="L499" s="777">
        <v>5</v>
      </c>
      <c r="M499" s="906"/>
      <c r="N499" s="976">
        <v>0</v>
      </c>
      <c r="O499" s="1020">
        <v>446</v>
      </c>
      <c r="P499" s="865" t="e">
        <f>VLOOKUP(N499,etat!$A$9:$N$1004,2,FALSE)</f>
        <v>#N/A</v>
      </c>
      <c r="Q499" s="866" t="e">
        <f>VLOOKUP(N499,etat!$A$9:$N$963,7,FALSE)</f>
        <v>#N/A</v>
      </c>
      <c r="R499" s="866" t="e">
        <f>VLOOKUP(N499,etat!$A$9:$N$1003,9,FALSE)</f>
        <v>#N/A</v>
      </c>
      <c r="S499" s="797" t="e">
        <f>VLOOKUP(N499,etat!$A$9:$P$905,16,FALSE)</f>
        <v>#N/A</v>
      </c>
      <c r="T499" s="867"/>
      <c r="U499" s="868"/>
      <c r="V499" s="869"/>
      <c r="W499" s="869"/>
      <c r="X499" s="869"/>
      <c r="Y499" s="904"/>
      <c r="Z499" s="931" t="str">
        <f>VLOOKUP(L521,اس!$S$3:$X$31,3,FALSE)</f>
        <v>.</v>
      </c>
      <c r="AA499" s="931"/>
    </row>
    <row r="500" spans="12:27" ht="15.75">
      <c r="L500" s="777">
        <v>5</v>
      </c>
      <c r="M500" s="906"/>
      <c r="N500" s="976">
        <v>0</v>
      </c>
      <c r="O500" s="1020">
        <v>447</v>
      </c>
      <c r="P500" s="865" t="e">
        <f>VLOOKUP(N500,etat!$A$9:$N$1004,2,FALSE)</f>
        <v>#N/A</v>
      </c>
      <c r="Q500" s="866" t="e">
        <f>VLOOKUP(N500,etat!$A$9:$N$963,7,FALSE)</f>
        <v>#N/A</v>
      </c>
      <c r="R500" s="866" t="e">
        <f>VLOOKUP(N500,etat!$A$9:$N$1003,9,FALSE)</f>
        <v>#N/A</v>
      </c>
      <c r="S500" s="797" t="e">
        <f>VLOOKUP(N500,etat!$A$9:$P$905,16,FALSE)</f>
        <v>#N/A</v>
      </c>
      <c r="T500" s="867"/>
      <c r="U500" s="868"/>
      <c r="V500" s="869"/>
      <c r="W500" s="869"/>
      <c r="X500" s="869"/>
      <c r="Y500" s="904"/>
      <c r="Z500" s="931" t="str">
        <f>VLOOKUP(L500,اس!$S$3:$X$31,3,FALSE)</f>
        <v>.</v>
      </c>
      <c r="AA500" s="931"/>
    </row>
    <row r="501" spans="12:27" ht="15.75">
      <c r="L501" s="777">
        <v>5</v>
      </c>
      <c r="M501" s="906"/>
      <c r="N501" s="976">
        <v>0</v>
      </c>
      <c r="O501" s="1020">
        <v>448</v>
      </c>
      <c r="P501" s="865" t="e">
        <f>VLOOKUP(N501,etat!$A$9:$N$1004,2,FALSE)</f>
        <v>#N/A</v>
      </c>
      <c r="Q501" s="866" t="e">
        <f>VLOOKUP(N501,etat!$A$9:$N$963,7,FALSE)</f>
        <v>#N/A</v>
      </c>
      <c r="R501" s="866" t="e">
        <f>VLOOKUP(N501,etat!$A$9:$N$1003,9,FALSE)</f>
        <v>#N/A</v>
      </c>
      <c r="S501" s="797" t="e">
        <f>VLOOKUP(N501,etat!$A$9:$P$905,16,FALSE)</f>
        <v>#N/A</v>
      </c>
      <c r="T501" s="867"/>
      <c r="U501" s="868"/>
      <c r="V501" s="869"/>
      <c r="W501" s="869"/>
      <c r="X501" s="869"/>
      <c r="Y501" s="904"/>
      <c r="Z501" s="931" t="str">
        <f>VLOOKUP(L501,اس!$S$3:$X$31,3,FALSE)</f>
        <v>.</v>
      </c>
      <c r="AA501" s="931"/>
    </row>
    <row r="502" spans="12:27" ht="15.75">
      <c r="L502" s="777">
        <v>5</v>
      </c>
      <c r="M502" s="906"/>
      <c r="N502" s="976">
        <v>0</v>
      </c>
      <c r="O502" s="1020">
        <v>449</v>
      </c>
      <c r="P502" s="865" t="e">
        <f>VLOOKUP(N502,etat!$A$9:$N$1004,2,FALSE)</f>
        <v>#N/A</v>
      </c>
      <c r="Q502" s="866" t="e">
        <f>VLOOKUP(N502,etat!$A$9:$N$963,7,FALSE)</f>
        <v>#N/A</v>
      </c>
      <c r="R502" s="866" t="e">
        <f>VLOOKUP(N502,etat!$A$9:$N$1003,9,FALSE)</f>
        <v>#N/A</v>
      </c>
      <c r="S502" s="797" t="e">
        <f>VLOOKUP(N502,etat!$A$9:$P$905,16,FALSE)</f>
        <v>#N/A</v>
      </c>
      <c r="T502" s="867"/>
      <c r="U502" s="868"/>
      <c r="V502" s="869"/>
      <c r="W502" s="869"/>
      <c r="X502" s="869"/>
      <c r="Y502" s="904"/>
      <c r="Z502" s="931" t="str">
        <f>VLOOKUP(L502,اس!$S$3:$X$31,3,FALSE)</f>
        <v>.</v>
      </c>
      <c r="AA502" s="931"/>
    </row>
    <row r="503" spans="12:27" ht="15.75">
      <c r="L503" s="777">
        <v>5</v>
      </c>
      <c r="M503" s="906"/>
      <c r="N503" s="976">
        <v>0</v>
      </c>
      <c r="O503" s="1020">
        <v>450</v>
      </c>
      <c r="P503" s="865" t="e">
        <f>VLOOKUP(N503,etat!$A$9:$N$1004,2,FALSE)</f>
        <v>#N/A</v>
      </c>
      <c r="Q503" s="866" t="e">
        <f>VLOOKUP(N503,etat!$A$9:$N$963,7,FALSE)</f>
        <v>#N/A</v>
      </c>
      <c r="R503" s="866" t="e">
        <f>VLOOKUP(N503,etat!$A$9:$N$1003,9,FALSE)</f>
        <v>#N/A</v>
      </c>
      <c r="S503" s="797" t="e">
        <f>VLOOKUP(N503,etat!$A$9:$P$905,16,FALSE)</f>
        <v>#N/A</v>
      </c>
      <c r="T503" s="867"/>
      <c r="U503" s="868"/>
      <c r="V503" s="869"/>
      <c r="W503" s="869"/>
      <c r="X503" s="869"/>
      <c r="Y503" s="904"/>
      <c r="Z503" s="931" t="str">
        <f>VLOOKUP(L503,اس!$S$3:$X$31,3,FALSE)</f>
        <v>.</v>
      </c>
      <c r="AA503" s="931"/>
    </row>
    <row r="504" spans="12:27" ht="15.75">
      <c r="L504" s="777">
        <v>5</v>
      </c>
      <c r="M504" s="906"/>
      <c r="N504" s="976">
        <v>0</v>
      </c>
      <c r="O504" s="1020">
        <v>451</v>
      </c>
      <c r="P504" s="865" t="e">
        <f>VLOOKUP(N504,etat!$A$9:$N$1004,2,FALSE)</f>
        <v>#N/A</v>
      </c>
      <c r="Q504" s="866" t="e">
        <f>VLOOKUP(N504,etat!$A$9:$N$963,7,FALSE)</f>
        <v>#N/A</v>
      </c>
      <c r="R504" s="866" t="e">
        <f>VLOOKUP(N504,etat!$A$9:$N$1003,9,FALSE)</f>
        <v>#N/A</v>
      </c>
      <c r="S504" s="797" t="e">
        <f>VLOOKUP(N504,etat!$A$9:$P$905,16,FALSE)</f>
        <v>#N/A</v>
      </c>
      <c r="T504" s="867"/>
      <c r="U504" s="868"/>
      <c r="V504" s="869"/>
      <c r="W504" s="869"/>
      <c r="X504" s="869"/>
      <c r="Y504" s="904"/>
      <c r="Z504" s="931" t="str">
        <f>VLOOKUP(L504,اس!$S$3:$X$31,3,FALSE)</f>
        <v>.</v>
      </c>
      <c r="AA504" s="931"/>
    </row>
    <row r="505" spans="12:27" ht="15.75">
      <c r="L505" s="777">
        <v>5</v>
      </c>
      <c r="M505" s="906"/>
      <c r="N505" s="976">
        <v>0</v>
      </c>
      <c r="O505" s="1020">
        <v>452</v>
      </c>
      <c r="P505" s="865" t="e">
        <f>VLOOKUP(N505,etat!$A$9:$N$1004,2,FALSE)</f>
        <v>#N/A</v>
      </c>
      <c r="Q505" s="866" t="e">
        <f>VLOOKUP(N505,etat!$A$9:$N$963,7,FALSE)</f>
        <v>#N/A</v>
      </c>
      <c r="R505" s="866" t="e">
        <f>VLOOKUP(N505,etat!$A$9:$N$1003,9,FALSE)</f>
        <v>#N/A</v>
      </c>
      <c r="S505" s="797" t="e">
        <f>VLOOKUP(N505,etat!$A$9:$P$905,16,FALSE)</f>
        <v>#N/A</v>
      </c>
      <c r="T505" s="867"/>
      <c r="U505" s="868"/>
      <c r="V505" s="869"/>
      <c r="W505" s="869"/>
      <c r="X505" s="869"/>
      <c r="Y505" s="904"/>
      <c r="Z505" s="931" t="str">
        <f>VLOOKUP(L505,اس!$S$3:$X$31,3,FALSE)</f>
        <v>.</v>
      </c>
      <c r="AA505" s="931"/>
    </row>
    <row r="506" spans="12:27" ht="15.75">
      <c r="L506" s="777">
        <v>5</v>
      </c>
      <c r="M506" s="906"/>
      <c r="N506" s="976">
        <v>0</v>
      </c>
      <c r="O506" s="1020">
        <v>453</v>
      </c>
      <c r="P506" s="865" t="e">
        <f>VLOOKUP(N506,etat!$A$9:$N$1004,2,FALSE)</f>
        <v>#N/A</v>
      </c>
      <c r="Q506" s="866" t="e">
        <f>VLOOKUP(N506,etat!$A$9:$N$963,7,FALSE)</f>
        <v>#N/A</v>
      </c>
      <c r="R506" s="866" t="e">
        <f>VLOOKUP(N506,etat!$A$9:$N$1003,9,FALSE)</f>
        <v>#N/A</v>
      </c>
      <c r="S506" s="797" t="e">
        <f>VLOOKUP(N506,etat!$A$9:$P$905,16,FALSE)</f>
        <v>#N/A</v>
      </c>
      <c r="T506" s="867"/>
      <c r="U506" s="868"/>
      <c r="V506" s="869"/>
      <c r="W506" s="869"/>
      <c r="X506" s="869"/>
      <c r="Y506" s="904"/>
      <c r="Z506" s="931" t="str">
        <f>VLOOKUP(L506,اس!$S$3:$X$31,3,FALSE)</f>
        <v>.</v>
      </c>
      <c r="AA506" s="931"/>
    </row>
    <row r="507" spans="12:27" ht="15.75">
      <c r="L507" s="777">
        <v>5</v>
      </c>
      <c r="M507" s="906"/>
      <c r="N507" s="976">
        <v>0</v>
      </c>
      <c r="O507" s="1020">
        <v>454</v>
      </c>
      <c r="P507" s="865" t="e">
        <f>VLOOKUP(N507,etat!$A$9:$N$1004,2,FALSE)</f>
        <v>#N/A</v>
      </c>
      <c r="Q507" s="866" t="e">
        <f>VLOOKUP(N507,etat!$A$9:$N$963,7,FALSE)</f>
        <v>#N/A</v>
      </c>
      <c r="R507" s="866" t="e">
        <f>VLOOKUP(N507,etat!$A$9:$N$1003,9,FALSE)</f>
        <v>#N/A</v>
      </c>
      <c r="S507" s="797" t="e">
        <f>VLOOKUP(N507,etat!$A$9:$P$905,16,FALSE)</f>
        <v>#N/A</v>
      </c>
      <c r="T507" s="867"/>
      <c r="U507" s="868"/>
      <c r="V507" s="869"/>
      <c r="W507" s="869"/>
      <c r="X507" s="869"/>
      <c r="Y507" s="904"/>
      <c r="Z507" s="931" t="str">
        <f>VLOOKUP(L507,اس!$S$3:$X$31,3,FALSE)</f>
        <v>.</v>
      </c>
      <c r="AA507" s="931"/>
    </row>
    <row r="508" spans="12:27" ht="15.75">
      <c r="L508" s="777">
        <v>5</v>
      </c>
      <c r="M508" s="906"/>
      <c r="N508" s="976">
        <v>0</v>
      </c>
      <c r="O508" s="1020">
        <v>455</v>
      </c>
      <c r="P508" s="865" t="e">
        <f>VLOOKUP(N508,etat!$A$9:$N$1004,2,FALSE)</f>
        <v>#N/A</v>
      </c>
      <c r="Q508" s="866" t="e">
        <f>VLOOKUP(N508,etat!$A$9:$N$963,7,FALSE)</f>
        <v>#N/A</v>
      </c>
      <c r="R508" s="866" t="e">
        <f>VLOOKUP(N508,etat!$A$9:$N$1003,9,FALSE)</f>
        <v>#N/A</v>
      </c>
      <c r="S508" s="797" t="e">
        <f>VLOOKUP(N508,etat!$A$9:$P$905,16,FALSE)</f>
        <v>#N/A</v>
      </c>
      <c r="T508" s="867"/>
      <c r="U508" s="868"/>
      <c r="V508" s="869"/>
      <c r="W508" s="869"/>
      <c r="X508" s="869"/>
      <c r="Y508" s="904"/>
      <c r="Z508" s="931" t="str">
        <f>VLOOKUP(L508,اس!$S$3:$X$31,3,FALSE)</f>
        <v>.</v>
      </c>
      <c r="AA508" s="1140"/>
    </row>
    <row r="509" spans="12:27" ht="15.75">
      <c r="L509" s="777">
        <v>5</v>
      </c>
      <c r="M509" s="906"/>
      <c r="N509" s="976">
        <v>0</v>
      </c>
      <c r="O509" s="1020">
        <v>456</v>
      </c>
      <c r="P509" s="865" t="e">
        <f>VLOOKUP(N509,etat!$A$9:$N$1004,2,FALSE)</f>
        <v>#N/A</v>
      </c>
      <c r="Q509" s="866" t="e">
        <f>VLOOKUP(N509,etat!$A$9:$N$963,7,FALSE)</f>
        <v>#N/A</v>
      </c>
      <c r="R509" s="866" t="e">
        <f>VLOOKUP(N509,etat!$A$9:$N$1003,9,FALSE)</f>
        <v>#N/A</v>
      </c>
      <c r="S509" s="797" t="e">
        <f>VLOOKUP(N509,etat!$A$9:$P$905,16,FALSE)</f>
        <v>#N/A</v>
      </c>
      <c r="T509" s="867"/>
      <c r="U509" s="868"/>
      <c r="V509" s="869"/>
      <c r="W509" s="869"/>
      <c r="X509" s="869"/>
      <c r="Y509" s="904"/>
      <c r="Z509" s="931" t="str">
        <f>VLOOKUP(L509,اس!$S$3:$X$31,3,FALSE)</f>
        <v>.</v>
      </c>
      <c r="AA509" s="1140"/>
    </row>
    <row r="510" spans="12:27" ht="15.75">
      <c r="L510" s="777">
        <v>5</v>
      </c>
      <c r="M510" s="906"/>
      <c r="N510" s="976">
        <v>0</v>
      </c>
      <c r="O510" s="1020">
        <v>457</v>
      </c>
      <c r="P510" s="865" t="e">
        <f>VLOOKUP(N510,etat!$A$9:$N$1004,2,FALSE)</f>
        <v>#N/A</v>
      </c>
      <c r="Q510" s="866" t="e">
        <f>VLOOKUP(N510,etat!$A$9:$N$963,7,FALSE)</f>
        <v>#N/A</v>
      </c>
      <c r="R510" s="866" t="e">
        <f>VLOOKUP(N510,etat!$A$9:$N$1003,9,FALSE)</f>
        <v>#N/A</v>
      </c>
      <c r="S510" s="866" t="e">
        <f>VLOOKUP(N510,etat!$A$9:$P$905,16,FALSE)</f>
        <v>#N/A</v>
      </c>
      <c r="T510" s="867"/>
      <c r="U510" s="868"/>
      <c r="V510" s="869"/>
      <c r="W510" s="869"/>
      <c r="X510" s="869"/>
      <c r="Y510" s="904"/>
      <c r="Z510" s="931" t="str">
        <f>VLOOKUP(L532,اس!$S$3:$X$31,3,FALSE)</f>
        <v>.</v>
      </c>
      <c r="AA510" s="931"/>
    </row>
    <row r="511" spans="12:27" ht="15.75">
      <c r="L511" s="777">
        <v>5</v>
      </c>
      <c r="M511" s="906"/>
      <c r="N511" s="976">
        <v>0</v>
      </c>
      <c r="O511" s="1020">
        <v>458</v>
      </c>
      <c r="P511" s="865" t="e">
        <f>VLOOKUP(N511,etat!$A$9:$N$1004,2,FALSE)</f>
        <v>#N/A</v>
      </c>
      <c r="Q511" s="866" t="e">
        <f>VLOOKUP(N511,etat!$A$9:$N$963,7,FALSE)</f>
        <v>#N/A</v>
      </c>
      <c r="R511" s="866" t="e">
        <f>VLOOKUP(N511,etat!$A$9:$N$1003,9,FALSE)</f>
        <v>#N/A</v>
      </c>
      <c r="S511" s="866" t="e">
        <f>VLOOKUP(N511,etat!$A$9:$P$905,16,FALSE)</f>
        <v>#N/A</v>
      </c>
      <c r="T511" s="867"/>
      <c r="U511" s="868"/>
      <c r="V511" s="869"/>
      <c r="W511" s="869"/>
      <c r="X511" s="869"/>
      <c r="Y511" s="904"/>
      <c r="Z511" s="931" t="str">
        <f>VLOOKUP(L533,اس!$S$3:$X$31,3,FALSE)</f>
        <v>.</v>
      </c>
      <c r="AA511" s="931"/>
    </row>
    <row r="512" spans="12:27" ht="15.75">
      <c r="L512" s="777">
        <v>5</v>
      </c>
      <c r="M512" s="906"/>
      <c r="N512" s="976">
        <v>0</v>
      </c>
      <c r="O512" s="1020">
        <v>459</v>
      </c>
      <c r="P512" s="865" t="e">
        <f>VLOOKUP(N512,etat!$A$9:$N$1004,2,FALSE)</f>
        <v>#N/A</v>
      </c>
      <c r="Q512" s="866" t="e">
        <f>VLOOKUP(N512,etat!$A$9:$N$963,7,FALSE)</f>
        <v>#N/A</v>
      </c>
      <c r="R512" s="866" t="e">
        <f>VLOOKUP(N512,etat!$A$9:$N$1003,9,FALSE)</f>
        <v>#N/A</v>
      </c>
      <c r="S512" s="866" t="e">
        <f>VLOOKUP(N512,etat!$A$9:$P$905,16,FALSE)</f>
        <v>#N/A</v>
      </c>
      <c r="T512" s="867"/>
      <c r="U512" s="868"/>
      <c r="V512" s="869"/>
      <c r="W512" s="869"/>
      <c r="X512" s="869"/>
      <c r="Y512" s="904"/>
      <c r="Z512" s="931" t="str">
        <f>VLOOKUP(L534,اس!$S$3:$X$31,3,FALSE)</f>
        <v>.</v>
      </c>
      <c r="AA512" s="931"/>
    </row>
    <row r="513" spans="12:27" ht="15.75">
      <c r="L513" s="777">
        <v>5</v>
      </c>
      <c r="M513" s="906"/>
      <c r="N513" s="976">
        <v>0</v>
      </c>
      <c r="O513" s="1020">
        <v>460</v>
      </c>
      <c r="P513" s="865" t="e">
        <f>VLOOKUP(N513,etat!$A$9:$N$1004,2,FALSE)</f>
        <v>#N/A</v>
      </c>
      <c r="Q513" s="866" t="e">
        <f>VLOOKUP(N513,etat!$A$9:$N$963,7,FALSE)</f>
        <v>#N/A</v>
      </c>
      <c r="R513" s="866" t="e">
        <f>VLOOKUP(N513,etat!$A$9:$N$1003,9,FALSE)</f>
        <v>#N/A</v>
      </c>
      <c r="S513" s="866" t="e">
        <f>VLOOKUP(N513,etat!$A$9:$P$905,16,FALSE)</f>
        <v>#N/A</v>
      </c>
      <c r="T513" s="867"/>
      <c r="U513" s="868"/>
      <c r="V513" s="869"/>
      <c r="W513" s="869"/>
      <c r="X513" s="869"/>
      <c r="Y513" s="904"/>
      <c r="Z513" s="931" t="str">
        <f>VLOOKUP(L535,اس!$S$3:$X$31,3,FALSE)</f>
        <v>.</v>
      </c>
      <c r="AA513" s="931"/>
    </row>
    <row r="514" spans="12:27" ht="15.75">
      <c r="L514" s="777">
        <v>5</v>
      </c>
      <c r="M514" s="906"/>
      <c r="N514" s="976">
        <v>0</v>
      </c>
      <c r="O514" s="1020">
        <v>461</v>
      </c>
      <c r="P514" s="865" t="e">
        <f>VLOOKUP(N514,etat!$A$9:$N$1004,2,FALSE)</f>
        <v>#N/A</v>
      </c>
      <c r="Q514" s="866" t="e">
        <f>VLOOKUP(N514,etat!$A$9:$N$963,7,FALSE)</f>
        <v>#N/A</v>
      </c>
      <c r="R514" s="866" t="e">
        <f>VLOOKUP(N514,etat!$A$9:$N$1003,9,FALSE)</f>
        <v>#N/A</v>
      </c>
      <c r="S514" s="866" t="e">
        <f>VLOOKUP(N514,etat!$A$9:$P$905,16,FALSE)</f>
        <v>#N/A</v>
      </c>
      <c r="T514" s="867"/>
      <c r="U514" s="868"/>
      <c r="V514" s="869"/>
      <c r="W514" s="869"/>
      <c r="X514" s="869"/>
      <c r="Y514" s="904"/>
      <c r="Z514" s="931" t="str">
        <f>VLOOKUP(L536,اس!$S$3:$X$31,3,FALSE)</f>
        <v>.</v>
      </c>
      <c r="AA514" s="931"/>
    </row>
    <row r="515" spans="12:27" ht="15.75">
      <c r="L515" s="777">
        <v>5</v>
      </c>
      <c r="M515" s="906"/>
      <c r="N515" s="976">
        <v>0</v>
      </c>
      <c r="O515" s="1020">
        <v>462</v>
      </c>
      <c r="P515" s="865" t="e">
        <f>VLOOKUP(N515,etat!$A$9:$N$1004,2,FALSE)</f>
        <v>#N/A</v>
      </c>
      <c r="Q515" s="866" t="e">
        <f>VLOOKUP(N515,etat!$A$9:$N$963,7,FALSE)</f>
        <v>#N/A</v>
      </c>
      <c r="R515" s="866" t="e">
        <f>VLOOKUP(N515,etat!$A$9:$N$1003,9,FALSE)</f>
        <v>#N/A</v>
      </c>
      <c r="S515" s="866" t="e">
        <f>VLOOKUP(N515,etat!$A$9:$P$905,16,FALSE)</f>
        <v>#N/A</v>
      </c>
      <c r="T515" s="867"/>
      <c r="U515" s="868"/>
      <c r="V515" s="869"/>
      <c r="W515" s="869"/>
      <c r="X515" s="869"/>
      <c r="Y515" s="904"/>
      <c r="Z515" s="931" t="str">
        <f>VLOOKUP(L537,اس!$S$3:$X$31,3,FALSE)</f>
        <v>.</v>
      </c>
      <c r="AA515" s="931"/>
    </row>
    <row r="516" spans="12:27" ht="15.75">
      <c r="L516" s="777">
        <v>5</v>
      </c>
      <c r="M516" s="906"/>
      <c r="N516" s="976">
        <v>0</v>
      </c>
      <c r="O516" s="1020">
        <v>463</v>
      </c>
      <c r="P516" s="865" t="e">
        <f>VLOOKUP(N516,etat!$A$9:$N$1004,2,FALSE)</f>
        <v>#N/A</v>
      </c>
      <c r="Q516" s="866" t="e">
        <f>VLOOKUP(N516,etat!$A$9:$N$963,7,FALSE)</f>
        <v>#N/A</v>
      </c>
      <c r="R516" s="866" t="e">
        <f>VLOOKUP(N516,etat!$A$9:$N$1003,9,FALSE)</f>
        <v>#N/A</v>
      </c>
      <c r="S516" s="866" t="e">
        <f>VLOOKUP(N516,etat!$A$9:$P$905,16,FALSE)</f>
        <v>#N/A</v>
      </c>
      <c r="T516" s="867"/>
      <c r="U516" s="868"/>
      <c r="V516" s="869"/>
      <c r="W516" s="869"/>
      <c r="X516" s="869"/>
      <c r="Y516" s="904"/>
      <c r="Z516" s="931" t="str">
        <f>VLOOKUP(L538,اس!$S$3:$X$31,3,FALSE)</f>
        <v>.</v>
      </c>
      <c r="AA516" s="931"/>
    </row>
    <row r="517" spans="12:27" ht="15.75">
      <c r="L517" s="777">
        <v>5</v>
      </c>
      <c r="M517" s="906"/>
      <c r="N517" s="976">
        <v>0</v>
      </c>
      <c r="O517" s="1020">
        <v>464</v>
      </c>
      <c r="P517" s="865" t="e">
        <f>VLOOKUP(N517,etat!$A$9:$N$1004,2,FALSE)</f>
        <v>#N/A</v>
      </c>
      <c r="Q517" s="866" t="e">
        <f>VLOOKUP(N517,etat!$A$9:$N$963,7,FALSE)</f>
        <v>#N/A</v>
      </c>
      <c r="R517" s="866" t="e">
        <f>VLOOKUP(N517,etat!$A$9:$N$1003,9,FALSE)</f>
        <v>#N/A</v>
      </c>
      <c r="S517" s="866" t="e">
        <f>VLOOKUP(N517,etat!$A$9:$P$905,16,FALSE)</f>
        <v>#N/A</v>
      </c>
      <c r="T517" s="867"/>
      <c r="U517" s="868"/>
      <c r="V517" s="869"/>
      <c r="W517" s="869"/>
      <c r="X517" s="869"/>
      <c r="Y517" s="904"/>
      <c r="Z517" s="931" t="str">
        <f>VLOOKUP(L539,اس!$S$3:$X$31,3,FALSE)</f>
        <v>.</v>
      </c>
      <c r="AA517" s="931"/>
    </row>
    <row r="518" spans="12:27" ht="15.75">
      <c r="L518" s="777">
        <v>5</v>
      </c>
      <c r="M518" s="906"/>
      <c r="N518" s="976">
        <v>0</v>
      </c>
      <c r="O518" s="1020">
        <v>465</v>
      </c>
      <c r="P518" s="865" t="e">
        <f>VLOOKUP(N518,etat!$A$9:$N$1004,2,FALSE)</f>
        <v>#N/A</v>
      </c>
      <c r="Q518" s="866" t="e">
        <f>VLOOKUP(N518,etat!$A$9:$N$963,7,FALSE)</f>
        <v>#N/A</v>
      </c>
      <c r="R518" s="866" t="e">
        <f>VLOOKUP(N518,etat!$A$9:$N$1003,9,FALSE)</f>
        <v>#N/A</v>
      </c>
      <c r="S518" s="866" t="e">
        <f>VLOOKUP(N518,etat!$A$9:$P$905,16,FALSE)</f>
        <v>#N/A</v>
      </c>
      <c r="T518" s="867"/>
      <c r="U518" s="868"/>
      <c r="V518" s="869"/>
      <c r="W518" s="869"/>
      <c r="X518" s="869"/>
      <c r="Y518" s="904"/>
      <c r="Z518" s="931" t="str">
        <f>VLOOKUP(L540,اس!$S$3:$X$31,3,FALSE)</f>
        <v>.</v>
      </c>
      <c r="AA518" s="931"/>
    </row>
    <row r="519" spans="12:27" ht="15.75">
      <c r="L519" s="777">
        <v>5</v>
      </c>
      <c r="M519" s="906"/>
      <c r="N519" s="976">
        <v>0</v>
      </c>
      <c r="O519" s="1020">
        <v>466</v>
      </c>
      <c r="P519" s="865" t="e">
        <f>VLOOKUP(N519,etat!$A$9:$N$1004,2,FALSE)</f>
        <v>#N/A</v>
      </c>
      <c r="Q519" s="866" t="e">
        <f>VLOOKUP(N519,etat!$A$9:$N$963,7,FALSE)</f>
        <v>#N/A</v>
      </c>
      <c r="R519" s="866" t="e">
        <f>VLOOKUP(N519,etat!$A$9:$N$1003,9,FALSE)</f>
        <v>#N/A</v>
      </c>
      <c r="S519" s="866" t="e">
        <f>VLOOKUP(N519,etat!$A$9:$P$905,16,FALSE)</f>
        <v>#N/A</v>
      </c>
      <c r="T519" s="867"/>
      <c r="U519" s="868"/>
      <c r="V519" s="869"/>
      <c r="W519" s="869"/>
      <c r="X519" s="869"/>
      <c r="Y519" s="904"/>
      <c r="Z519" s="931" t="str">
        <f>VLOOKUP(L541,اس!$S$3:$X$31,3,FALSE)</f>
        <v>.</v>
      </c>
      <c r="AA519" s="931"/>
    </row>
    <row r="520" spans="12:27" ht="15.75">
      <c r="L520" s="777">
        <v>5</v>
      </c>
      <c r="M520" s="906"/>
      <c r="N520" s="976">
        <v>0</v>
      </c>
      <c r="O520" s="1020">
        <v>467</v>
      </c>
      <c r="P520" s="865" t="e">
        <f>VLOOKUP(N520,etat!$A$9:$N$1004,2,FALSE)</f>
        <v>#N/A</v>
      </c>
      <c r="Q520" s="866" t="e">
        <f>VLOOKUP(N520,etat!$A$9:$N$963,7,FALSE)</f>
        <v>#N/A</v>
      </c>
      <c r="R520" s="866" t="e">
        <f>VLOOKUP(N520,etat!$A$9:$N$1003,9,FALSE)</f>
        <v>#N/A</v>
      </c>
      <c r="S520" s="866" t="e">
        <f>VLOOKUP(N520,etat!$A$9:$P$905,16,FALSE)</f>
        <v>#N/A</v>
      </c>
      <c r="T520" s="867"/>
      <c r="U520" s="868"/>
      <c r="V520" s="869"/>
      <c r="W520" s="869"/>
      <c r="X520" s="869"/>
      <c r="Y520" s="904"/>
      <c r="Z520" s="931" t="str">
        <f>VLOOKUP(L542,اس!$S$3:$X$31,3,FALSE)</f>
        <v>.</v>
      </c>
      <c r="AA520" s="931"/>
    </row>
    <row r="521" spans="12:27" ht="15.75">
      <c r="L521" s="777">
        <v>5</v>
      </c>
      <c r="M521" s="906"/>
      <c r="N521" s="976">
        <v>0</v>
      </c>
      <c r="O521" s="1020">
        <v>468</v>
      </c>
      <c r="P521" s="865" t="e">
        <f>VLOOKUP(N521,etat!$A$9:$N$1004,2,FALSE)</f>
        <v>#N/A</v>
      </c>
      <c r="Q521" s="866" t="e">
        <f>VLOOKUP(N521,etat!$A$9:$N$963,7,FALSE)</f>
        <v>#N/A</v>
      </c>
      <c r="R521" s="866" t="e">
        <f>VLOOKUP(N521,etat!$A$9:$N$1003,9,FALSE)</f>
        <v>#N/A</v>
      </c>
      <c r="S521" s="866" t="e">
        <f>VLOOKUP(N521,etat!$A$9:$P$905,16,FALSE)</f>
        <v>#N/A</v>
      </c>
      <c r="T521" s="867"/>
      <c r="U521" s="868"/>
      <c r="V521" s="869"/>
      <c r="W521" s="869"/>
      <c r="X521" s="869"/>
      <c r="Y521" s="904"/>
      <c r="Z521" s="931" t="str">
        <f>VLOOKUP(L543,اس!$S$3:$X$31,3,FALSE)</f>
        <v>.</v>
      </c>
      <c r="AA521" s="931"/>
    </row>
    <row r="522" spans="12:27" ht="15.75">
      <c r="L522" s="777">
        <v>5</v>
      </c>
      <c r="M522" s="906"/>
      <c r="N522" s="976">
        <v>0</v>
      </c>
      <c r="O522" s="1020">
        <v>469</v>
      </c>
      <c r="P522" s="865" t="e">
        <f>VLOOKUP(N522,etat!$A$9:$N$1004,2,FALSE)</f>
        <v>#N/A</v>
      </c>
      <c r="Q522" s="866" t="e">
        <f>VLOOKUP(N522,etat!$A$9:$N$963,7,FALSE)</f>
        <v>#N/A</v>
      </c>
      <c r="R522" s="866" t="e">
        <f>VLOOKUP(N522,etat!$A$9:$N$1003,9,FALSE)</f>
        <v>#N/A</v>
      </c>
      <c r="S522" s="797" t="e">
        <f>VLOOKUP(N522,etat!$A$9:$P$905,16,FALSE)</f>
        <v>#N/A</v>
      </c>
      <c r="T522" s="867"/>
      <c r="U522" s="868"/>
      <c r="V522" s="869"/>
      <c r="W522" s="869"/>
      <c r="X522" s="869"/>
      <c r="Y522" s="904"/>
      <c r="Z522" s="931" t="str">
        <f>VLOOKUP(L544,اس!$S$3:$X$31,3,FALSE)</f>
        <v>.</v>
      </c>
      <c r="AA522" s="931"/>
    </row>
    <row r="523" spans="12:27" ht="15.75">
      <c r="L523" s="777">
        <v>5</v>
      </c>
      <c r="M523" s="906"/>
      <c r="N523" s="976">
        <v>0</v>
      </c>
      <c r="O523" s="1020">
        <v>470</v>
      </c>
      <c r="P523" s="865" t="e">
        <f>VLOOKUP(N523,etat!$A$9:$N$1004,2,FALSE)</f>
        <v>#N/A</v>
      </c>
      <c r="Q523" s="866" t="e">
        <f>VLOOKUP(N523,etat!$A$9:$N$963,7,FALSE)</f>
        <v>#N/A</v>
      </c>
      <c r="R523" s="866" t="e">
        <f>VLOOKUP(N523,etat!$A$9:$N$1003,9,FALSE)</f>
        <v>#N/A</v>
      </c>
      <c r="S523" s="797" t="e">
        <f>VLOOKUP(N523,etat!$A$9:$P$905,16,FALSE)</f>
        <v>#N/A</v>
      </c>
      <c r="T523" s="867"/>
      <c r="U523" s="868"/>
      <c r="V523" s="869"/>
      <c r="W523" s="869"/>
      <c r="X523" s="869"/>
      <c r="Y523" s="904"/>
      <c r="Z523" s="931" t="str">
        <f>VLOOKUP(L545,اس!$S$3:$X$31,3,FALSE)</f>
        <v>.</v>
      </c>
      <c r="AA523" s="931"/>
    </row>
    <row r="524" spans="12:27" ht="15.75">
      <c r="L524" s="777">
        <v>5</v>
      </c>
      <c r="M524" s="906"/>
      <c r="N524" s="976">
        <v>0</v>
      </c>
      <c r="O524" s="1020">
        <v>471</v>
      </c>
      <c r="P524" s="865" t="e">
        <f>VLOOKUP(N524,etat!$A$9:$N$1004,2,FALSE)</f>
        <v>#N/A</v>
      </c>
      <c r="Q524" s="866" t="e">
        <f>VLOOKUP(N524,etat!$A$9:$N$963,7,FALSE)</f>
        <v>#N/A</v>
      </c>
      <c r="R524" s="866" t="e">
        <f>VLOOKUP(N524,etat!$A$9:$N$1003,9,FALSE)</f>
        <v>#N/A</v>
      </c>
      <c r="S524" s="797" t="e">
        <f>VLOOKUP(N524,etat!$A$9:$P$905,16,FALSE)</f>
        <v>#N/A</v>
      </c>
      <c r="T524" s="867"/>
      <c r="U524" s="868"/>
      <c r="V524" s="869"/>
      <c r="W524" s="869"/>
      <c r="X524" s="869"/>
      <c r="Y524" s="904"/>
      <c r="Z524" s="931" t="str">
        <f>VLOOKUP(L546,اس!$S$3:$X$31,3,FALSE)</f>
        <v>.</v>
      </c>
      <c r="AA524" s="931"/>
    </row>
    <row r="525" spans="12:27" ht="15.75">
      <c r="L525" s="777">
        <v>5</v>
      </c>
      <c r="M525" s="906"/>
      <c r="N525" s="976">
        <v>0</v>
      </c>
      <c r="O525" s="1020">
        <v>472</v>
      </c>
      <c r="P525" s="865" t="e">
        <f>VLOOKUP(N525,etat!$A$9:$N$1004,2,FALSE)</f>
        <v>#N/A</v>
      </c>
      <c r="Q525" s="866" t="e">
        <f>VLOOKUP(N525,etat!$A$9:$N$963,7,FALSE)</f>
        <v>#N/A</v>
      </c>
      <c r="R525" s="866" t="e">
        <f>VLOOKUP(N525,etat!$A$9:$N$1003,9,FALSE)</f>
        <v>#N/A</v>
      </c>
      <c r="S525" s="797" t="e">
        <f>VLOOKUP(N525,etat!$A$9:$P$905,16,FALSE)</f>
        <v>#N/A</v>
      </c>
      <c r="T525" s="867"/>
      <c r="U525" s="868"/>
      <c r="V525" s="869"/>
      <c r="W525" s="869"/>
      <c r="X525" s="869"/>
      <c r="Y525" s="904"/>
      <c r="Z525" s="931" t="str">
        <f>VLOOKUP(L547,اس!$S$3:$X$31,3,FALSE)</f>
        <v>.</v>
      </c>
      <c r="AA525" s="931"/>
    </row>
    <row r="526" spans="12:27" ht="15.75">
      <c r="L526" s="777">
        <v>5</v>
      </c>
      <c r="M526" s="906"/>
      <c r="N526" s="976">
        <v>0</v>
      </c>
      <c r="O526" s="1020">
        <v>473</v>
      </c>
      <c r="P526" s="865" t="e">
        <f>VLOOKUP(N526,etat!$A$9:$N$1004,2,FALSE)</f>
        <v>#N/A</v>
      </c>
      <c r="Q526" s="866" t="e">
        <f>VLOOKUP(N526,etat!$A$9:$N$963,7,FALSE)</f>
        <v>#N/A</v>
      </c>
      <c r="R526" s="866" t="e">
        <f>VLOOKUP(N526,etat!$A$9:$N$1003,9,FALSE)</f>
        <v>#N/A</v>
      </c>
      <c r="S526" s="797" t="e">
        <f>VLOOKUP(N526,etat!$A$9:$P$905,16,FALSE)</f>
        <v>#N/A</v>
      </c>
      <c r="T526" s="867"/>
      <c r="U526" s="868"/>
      <c r="V526" s="869"/>
      <c r="W526" s="869"/>
      <c r="X526" s="869"/>
      <c r="Y526" s="904"/>
      <c r="Z526" s="931" t="str">
        <f>VLOOKUP(L526,اس!$S$3:$X$31,3,FALSE)</f>
        <v>.</v>
      </c>
      <c r="AA526" s="931"/>
    </row>
    <row r="527" spans="12:27" ht="15.75">
      <c r="L527" s="777">
        <v>5</v>
      </c>
      <c r="M527" s="906"/>
      <c r="N527" s="976">
        <v>0</v>
      </c>
      <c r="O527" s="1020">
        <v>474</v>
      </c>
      <c r="P527" s="865" t="e">
        <f>VLOOKUP(N527,etat!$A$9:$N$1004,2,FALSE)</f>
        <v>#N/A</v>
      </c>
      <c r="Q527" s="866" t="e">
        <f>VLOOKUP(N527,etat!$A$9:$N$963,7,FALSE)</f>
        <v>#N/A</v>
      </c>
      <c r="R527" s="866" t="e">
        <f>VLOOKUP(N527,etat!$A$9:$N$1003,9,FALSE)</f>
        <v>#N/A</v>
      </c>
      <c r="S527" s="797" t="e">
        <f>VLOOKUP(N527,etat!$A$9:$P$905,16,FALSE)</f>
        <v>#N/A</v>
      </c>
      <c r="T527" s="867"/>
      <c r="U527" s="868"/>
      <c r="V527" s="869"/>
      <c r="W527" s="869"/>
      <c r="X527" s="869"/>
      <c r="Y527" s="904"/>
      <c r="Z527" s="931" t="str">
        <f>VLOOKUP(L527,اس!$S$3:$X$31,3,FALSE)</f>
        <v>.</v>
      </c>
      <c r="AA527" s="931"/>
    </row>
    <row r="528" spans="12:27" ht="15.75">
      <c r="L528" s="777">
        <v>5</v>
      </c>
      <c r="M528" s="906"/>
      <c r="N528" s="976">
        <v>0</v>
      </c>
      <c r="O528" s="1020">
        <v>475</v>
      </c>
      <c r="P528" s="865" t="e">
        <f>VLOOKUP(N528,etat!$A$9:$N$1004,2,FALSE)</f>
        <v>#N/A</v>
      </c>
      <c r="Q528" s="866" t="e">
        <f>VLOOKUP(N528,etat!$A$9:$N$963,7,FALSE)</f>
        <v>#N/A</v>
      </c>
      <c r="R528" s="866" t="e">
        <f>VLOOKUP(N528,etat!$A$9:$N$1003,9,FALSE)</f>
        <v>#N/A</v>
      </c>
      <c r="S528" s="797" t="e">
        <f>VLOOKUP(N528,etat!$A$9:$P$905,16,FALSE)</f>
        <v>#N/A</v>
      </c>
      <c r="T528" s="867"/>
      <c r="U528" s="868"/>
      <c r="V528" s="869"/>
      <c r="W528" s="869"/>
      <c r="X528" s="869"/>
      <c r="Y528" s="904"/>
      <c r="Z528" s="931" t="str">
        <f>VLOOKUP(L528,اس!$S$3:$X$31,3,FALSE)</f>
        <v>.</v>
      </c>
      <c r="AA528" s="931"/>
    </row>
    <row r="529" spans="12:27" ht="15.75">
      <c r="L529" s="777">
        <v>5</v>
      </c>
      <c r="M529" s="906"/>
      <c r="N529" s="976">
        <v>0</v>
      </c>
      <c r="O529" s="1020">
        <v>476</v>
      </c>
      <c r="P529" s="865" t="e">
        <f>VLOOKUP(N529,etat!$A$9:$N$1004,2,FALSE)</f>
        <v>#N/A</v>
      </c>
      <c r="Q529" s="866" t="e">
        <f>VLOOKUP(N529,etat!$A$9:$N$963,7,FALSE)</f>
        <v>#N/A</v>
      </c>
      <c r="R529" s="866" t="e">
        <f>VLOOKUP(N529,etat!$A$9:$N$1003,9,FALSE)</f>
        <v>#N/A</v>
      </c>
      <c r="S529" s="797" t="e">
        <f>VLOOKUP(N529,etat!$A$9:$P$905,16,FALSE)</f>
        <v>#N/A</v>
      </c>
      <c r="T529" s="867"/>
      <c r="U529" s="868"/>
      <c r="V529" s="869"/>
      <c r="W529" s="869"/>
      <c r="X529" s="869"/>
      <c r="Y529" s="904"/>
      <c r="Z529" s="931" t="str">
        <f>VLOOKUP(L529,اس!$S$3:$X$31,3,FALSE)</f>
        <v>.</v>
      </c>
      <c r="AA529" s="931"/>
    </row>
    <row r="530" spans="12:27" ht="15.75">
      <c r="L530" s="777">
        <v>5</v>
      </c>
      <c r="M530" s="906"/>
      <c r="N530" s="976">
        <v>0</v>
      </c>
      <c r="O530" s="1020">
        <v>477</v>
      </c>
      <c r="P530" s="865" t="e">
        <f>VLOOKUP(N530,etat!$A$9:$N$1004,2,FALSE)</f>
        <v>#N/A</v>
      </c>
      <c r="Q530" s="866" t="e">
        <f>VLOOKUP(N530,etat!$A$9:$N$963,7,FALSE)</f>
        <v>#N/A</v>
      </c>
      <c r="R530" s="866" t="e">
        <f>VLOOKUP(N530,etat!$A$9:$N$1003,9,FALSE)</f>
        <v>#N/A</v>
      </c>
      <c r="S530" s="797" t="e">
        <f>VLOOKUP(N530,etat!$A$9:$P$905,16,FALSE)</f>
        <v>#N/A</v>
      </c>
      <c r="T530" s="867"/>
      <c r="U530" s="868"/>
      <c r="V530" s="869"/>
      <c r="W530" s="869"/>
      <c r="X530" s="869"/>
      <c r="Y530" s="904"/>
      <c r="Z530" s="931" t="str">
        <f>VLOOKUP(L530,اس!$S$3:$X$31,3,FALSE)</f>
        <v>.</v>
      </c>
      <c r="AA530" s="931"/>
    </row>
    <row r="531" spans="12:27" ht="15.75">
      <c r="L531" s="777">
        <v>5</v>
      </c>
      <c r="M531" s="906"/>
      <c r="N531" s="976">
        <v>0</v>
      </c>
      <c r="O531" s="1020">
        <v>478</v>
      </c>
      <c r="P531" s="865" t="e">
        <f>VLOOKUP(N531,etat!$A$9:$N$1004,2,FALSE)</f>
        <v>#N/A</v>
      </c>
      <c r="Q531" s="866" t="e">
        <f>VLOOKUP(N531,etat!$A$9:$N$963,7,FALSE)</f>
        <v>#N/A</v>
      </c>
      <c r="R531" s="866" t="e">
        <f>VLOOKUP(N531,etat!$A$9:$N$1003,9,FALSE)</f>
        <v>#N/A</v>
      </c>
      <c r="S531" s="797" t="e">
        <f>VLOOKUP(N531,etat!$A$9:$P$905,16,FALSE)</f>
        <v>#N/A</v>
      </c>
      <c r="T531" s="867"/>
      <c r="U531" s="868"/>
      <c r="V531" s="869"/>
      <c r="W531" s="869"/>
      <c r="X531" s="869"/>
      <c r="Y531" s="904"/>
      <c r="Z531" s="931" t="str">
        <f>VLOOKUP(L531,اس!$S$3:$X$31,3,FALSE)</f>
        <v>.</v>
      </c>
      <c r="AA531" s="931"/>
    </row>
    <row r="532" spans="12:27" ht="15.75">
      <c r="L532" s="777">
        <v>5</v>
      </c>
      <c r="M532" s="906"/>
      <c r="N532" s="976">
        <v>0</v>
      </c>
      <c r="O532" s="1020">
        <v>479</v>
      </c>
      <c r="P532" s="865" t="e">
        <f>VLOOKUP(N532,etat!$A$9:$N$1004,2,FALSE)</f>
        <v>#N/A</v>
      </c>
      <c r="Q532" s="866" t="e">
        <f>VLOOKUP(N532,etat!$A$9:$N$963,7,FALSE)</f>
        <v>#N/A</v>
      </c>
      <c r="R532" s="866" t="e">
        <f>VLOOKUP(N532,etat!$A$9:$N$1003,9,FALSE)</f>
        <v>#N/A</v>
      </c>
      <c r="S532" s="797" t="e">
        <f>VLOOKUP(N532,etat!$A$9:$P$905,16,FALSE)</f>
        <v>#N/A</v>
      </c>
      <c r="T532" s="867"/>
      <c r="U532" s="868"/>
      <c r="V532" s="869"/>
      <c r="W532" s="869"/>
      <c r="X532" s="869"/>
      <c r="Y532" s="904"/>
      <c r="Z532" s="931" t="str">
        <f>VLOOKUP(L532,اس!$S$3:$X$31,3,FALSE)</f>
        <v>.</v>
      </c>
      <c r="AA532" s="931"/>
    </row>
    <row r="533" spans="12:27" ht="15.75">
      <c r="L533" s="777">
        <v>5</v>
      </c>
      <c r="M533" s="906"/>
      <c r="N533" s="976">
        <v>0</v>
      </c>
      <c r="O533" s="1020">
        <v>480</v>
      </c>
      <c r="P533" s="865" t="e">
        <f>VLOOKUP(N533,etat!$A$9:$N$1004,2,FALSE)</f>
        <v>#N/A</v>
      </c>
      <c r="Q533" s="866" t="e">
        <f>VLOOKUP(N533,etat!$A$9:$N$963,7,FALSE)</f>
        <v>#N/A</v>
      </c>
      <c r="R533" s="866" t="e">
        <f>VLOOKUP(N533,etat!$A$9:$N$1003,9,FALSE)</f>
        <v>#N/A</v>
      </c>
      <c r="S533" s="797" t="e">
        <f>VLOOKUP(N533,etat!$A$9:$P$905,16,FALSE)</f>
        <v>#N/A</v>
      </c>
      <c r="T533" s="867"/>
      <c r="U533" s="868"/>
      <c r="V533" s="869"/>
      <c r="W533" s="869"/>
      <c r="X533" s="869"/>
      <c r="Y533" s="904"/>
      <c r="Z533" s="931" t="str">
        <f>VLOOKUP(L533,اس!$S$3:$X$31,3,FALSE)</f>
        <v>.</v>
      </c>
      <c r="AA533" s="931"/>
    </row>
    <row r="534" spans="12:27" ht="15.75">
      <c r="L534" s="777">
        <v>5</v>
      </c>
      <c r="M534" s="906"/>
      <c r="N534" s="976">
        <v>0</v>
      </c>
      <c r="O534" s="1020">
        <v>481</v>
      </c>
      <c r="P534" s="865" t="e">
        <f>VLOOKUP(N534,etat!$A$9:$N$1004,2,FALSE)</f>
        <v>#N/A</v>
      </c>
      <c r="Q534" s="866" t="e">
        <f>VLOOKUP(N534,etat!$A$9:$N$963,7,FALSE)</f>
        <v>#N/A</v>
      </c>
      <c r="R534" s="866" t="e">
        <f>VLOOKUP(N534,etat!$A$9:$N$1003,9,FALSE)</f>
        <v>#N/A</v>
      </c>
      <c r="S534" s="797" t="e">
        <f>VLOOKUP(N534,etat!$A$9:$P$905,16,FALSE)</f>
        <v>#N/A</v>
      </c>
      <c r="T534" s="867"/>
      <c r="U534" s="868"/>
      <c r="V534" s="869"/>
      <c r="W534" s="869"/>
      <c r="X534" s="869"/>
      <c r="Y534" s="904"/>
      <c r="Z534" s="931" t="str">
        <f>VLOOKUP(L534,اس!$S$3:$X$31,3,FALSE)</f>
        <v>.</v>
      </c>
      <c r="AA534" s="1099"/>
    </row>
    <row r="535" spans="12:27" ht="15.75">
      <c r="L535" s="777">
        <v>5</v>
      </c>
      <c r="M535" s="906"/>
      <c r="N535" s="976">
        <v>0</v>
      </c>
      <c r="O535" s="1020">
        <v>482</v>
      </c>
      <c r="P535" s="865" t="e">
        <f>VLOOKUP(N535,etat!$A$9:$N$1004,2,FALSE)</f>
        <v>#N/A</v>
      </c>
      <c r="Q535" s="866" t="e">
        <f>VLOOKUP(N535,etat!$A$9:$N$963,7,FALSE)</f>
        <v>#N/A</v>
      </c>
      <c r="R535" s="866" t="e">
        <f>VLOOKUP(N535,etat!$A$9:$N$1003,9,FALSE)</f>
        <v>#N/A</v>
      </c>
      <c r="S535" s="797" t="e">
        <f>VLOOKUP(N535,etat!$A$9:$P$905,16,FALSE)</f>
        <v>#N/A</v>
      </c>
      <c r="T535" s="867"/>
      <c r="U535" s="868"/>
      <c r="V535" s="869"/>
      <c r="W535" s="869"/>
      <c r="X535" s="869"/>
      <c r="Y535" s="904"/>
      <c r="Z535" s="931" t="str">
        <f>VLOOKUP(L535,اس!$S$3:$X$31,3,FALSE)</f>
        <v>.</v>
      </c>
      <c r="AA535" s="1099"/>
    </row>
    <row r="536" spans="12:27" ht="15.75">
      <c r="L536" s="777">
        <v>5</v>
      </c>
      <c r="M536" s="906"/>
      <c r="N536" s="976">
        <v>0</v>
      </c>
      <c r="O536" s="1020">
        <v>483</v>
      </c>
      <c r="P536" s="865" t="s">
        <v>2262</v>
      </c>
      <c r="Q536" s="866" t="e">
        <f>VLOOKUP(N536,etat!$A$9:$N$963,7,FALSE)</f>
        <v>#N/A</v>
      </c>
      <c r="R536" s="866" t="e">
        <f>VLOOKUP(N536,etat!$A$9:$N$1003,9,FALSE)</f>
        <v>#N/A</v>
      </c>
      <c r="S536" s="797" t="e">
        <f>VLOOKUP(N536,etat!$A$9:$P$905,16,FALSE)</f>
        <v>#N/A</v>
      </c>
      <c r="T536" s="867"/>
      <c r="U536" s="868"/>
      <c r="V536" s="869"/>
      <c r="W536" s="869"/>
      <c r="X536" s="869"/>
      <c r="Y536" s="904"/>
      <c r="Z536" s="931" t="str">
        <f>VLOOKUP(L536,اس!$S$3:$X$31,3,FALSE)</f>
        <v>.</v>
      </c>
      <c r="AA536" s="1099"/>
    </row>
    <row r="537" spans="12:27" ht="15.75">
      <c r="L537" s="777">
        <v>5</v>
      </c>
      <c r="M537" s="906"/>
      <c r="N537" s="976">
        <v>0</v>
      </c>
      <c r="O537" s="1020">
        <v>484</v>
      </c>
      <c r="P537" s="865" t="e">
        <f>VLOOKUP(N537,etat!$A$9:$N$1004,2,FALSE)</f>
        <v>#N/A</v>
      </c>
      <c r="Q537" s="866" t="e">
        <f>VLOOKUP(N537,etat!$A$9:$N$963,7,FALSE)</f>
        <v>#N/A</v>
      </c>
      <c r="R537" s="866" t="e">
        <f>VLOOKUP(N537,etat!$A$9:$N$1003,9,FALSE)</f>
        <v>#N/A</v>
      </c>
      <c r="S537" s="797" t="e">
        <f>VLOOKUP(N537,etat!$A$9:$P$905,16,FALSE)</f>
        <v>#N/A</v>
      </c>
      <c r="T537" s="867"/>
      <c r="U537" s="868"/>
      <c r="V537" s="869"/>
      <c r="W537" s="869"/>
      <c r="X537" s="869"/>
      <c r="Y537" s="904"/>
      <c r="Z537" s="931" t="str">
        <f>VLOOKUP(L537,اس!$S$3:$X$31,3,FALSE)</f>
        <v>.</v>
      </c>
      <c r="AA537" s="1099"/>
    </row>
    <row r="538" spans="12:27" ht="15.75">
      <c r="L538" s="777">
        <v>5</v>
      </c>
      <c r="M538" s="906"/>
      <c r="N538" s="976">
        <v>0</v>
      </c>
      <c r="O538" s="1020">
        <v>485</v>
      </c>
      <c r="P538" s="865" t="e">
        <f>VLOOKUP(N538,etat!$A$9:$N$1004,2,FALSE)</f>
        <v>#N/A</v>
      </c>
      <c r="Q538" s="866" t="e">
        <f>VLOOKUP(N538,etat!$A$9:$N$963,7,FALSE)</f>
        <v>#N/A</v>
      </c>
      <c r="R538" s="866" t="e">
        <f>VLOOKUP(N538,etat!$A$9:$N$1003,9,FALSE)</f>
        <v>#N/A</v>
      </c>
      <c r="S538" s="797" t="e">
        <f>VLOOKUP(N538,etat!$A$9:$P$905,16,FALSE)</f>
        <v>#N/A</v>
      </c>
      <c r="T538" s="867"/>
      <c r="U538" s="868"/>
      <c r="V538" s="869"/>
      <c r="W538" s="869"/>
      <c r="X538" s="869"/>
      <c r="Y538" s="904"/>
      <c r="Z538" s="931" t="str">
        <f>VLOOKUP(L538,اس!$S$3:$X$31,3,FALSE)</f>
        <v>.</v>
      </c>
      <c r="AA538" s="1099"/>
    </row>
    <row r="539" spans="12:27" ht="15.75">
      <c r="L539" s="777">
        <v>5</v>
      </c>
      <c r="M539" s="906"/>
      <c r="N539" s="976">
        <v>0</v>
      </c>
      <c r="O539" s="1020">
        <v>486</v>
      </c>
      <c r="P539" s="865" t="e">
        <f>VLOOKUP(N539,etat!$A$9:$N$1004,2,FALSE)</f>
        <v>#N/A</v>
      </c>
      <c r="Q539" s="866" t="e">
        <f>VLOOKUP(N539,etat!$A$9:$N$963,7,FALSE)</f>
        <v>#N/A</v>
      </c>
      <c r="R539" s="866" t="e">
        <f>VLOOKUP(N539,etat!$A$9:$N$1003,9,FALSE)</f>
        <v>#N/A</v>
      </c>
      <c r="S539" s="797" t="e">
        <f>VLOOKUP(N539,etat!$A$9:$P$905,16,FALSE)</f>
        <v>#N/A</v>
      </c>
      <c r="T539" s="867"/>
      <c r="U539" s="868"/>
      <c r="V539" s="869"/>
      <c r="W539" s="869"/>
      <c r="X539" s="869"/>
      <c r="Y539" s="904"/>
      <c r="Z539" s="931" t="str">
        <f>VLOOKUP(L539,اس!$S$3:$X$31,3,FALSE)</f>
        <v>.</v>
      </c>
      <c r="AA539" s="1099"/>
    </row>
    <row r="540" spans="12:27" ht="15.75">
      <c r="L540" s="777">
        <v>5</v>
      </c>
      <c r="M540" s="906"/>
      <c r="N540" s="976">
        <v>0</v>
      </c>
      <c r="O540" s="1020">
        <v>487</v>
      </c>
      <c r="P540" s="865" t="e">
        <f>VLOOKUP(N540,etat!$A$9:$N$1004,2,FALSE)</f>
        <v>#N/A</v>
      </c>
      <c r="Q540" s="866" t="e">
        <f>VLOOKUP(N540,etat!$A$9:$N$963,7,FALSE)</f>
        <v>#N/A</v>
      </c>
      <c r="R540" s="866" t="e">
        <f>VLOOKUP(N540,etat!$A$9:$N$1003,9,FALSE)</f>
        <v>#N/A</v>
      </c>
      <c r="S540" s="797" t="e">
        <f>VLOOKUP(N540,etat!$A$9:$P$905,16,FALSE)</f>
        <v>#N/A</v>
      </c>
      <c r="T540" s="867"/>
      <c r="U540" s="868"/>
      <c r="V540" s="869"/>
      <c r="W540" s="869"/>
      <c r="X540" s="869"/>
      <c r="Y540" s="904"/>
      <c r="Z540" s="931" t="str">
        <f>VLOOKUP(L540,اس!$S$3:$X$31,3,FALSE)</f>
        <v>.</v>
      </c>
      <c r="AA540" s="1099"/>
    </row>
    <row r="541" spans="12:27" ht="15.75">
      <c r="L541" s="777">
        <v>5</v>
      </c>
      <c r="M541" s="906"/>
      <c r="N541" s="976">
        <v>0</v>
      </c>
      <c r="O541" s="1020">
        <v>488</v>
      </c>
      <c r="P541" s="865" t="e">
        <f>VLOOKUP(N541,etat!$A$9:$N$1004,2,FALSE)</f>
        <v>#N/A</v>
      </c>
      <c r="Q541" s="866" t="e">
        <f>VLOOKUP(N541,etat!$A$9:$N$963,7,FALSE)</f>
        <v>#N/A</v>
      </c>
      <c r="R541" s="866" t="e">
        <f>VLOOKUP(N541,etat!$A$9:$N$1003,9,FALSE)</f>
        <v>#N/A</v>
      </c>
      <c r="S541" s="797" t="e">
        <f>VLOOKUP(N541,etat!$A$9:$P$905,16,FALSE)</f>
        <v>#N/A</v>
      </c>
      <c r="T541" s="867"/>
      <c r="U541" s="868"/>
      <c r="V541" s="869"/>
      <c r="W541" s="869"/>
      <c r="X541" s="869"/>
      <c r="Y541" s="904"/>
      <c r="Z541" s="931" t="str">
        <f>VLOOKUP(L541,اس!$S$3:$X$31,3,FALSE)</f>
        <v>.</v>
      </c>
      <c r="AA541" s="1099"/>
    </row>
    <row r="542" spans="12:27" ht="15.75">
      <c r="L542" s="777">
        <v>5</v>
      </c>
      <c r="M542" s="906"/>
      <c r="N542" s="976">
        <v>0</v>
      </c>
      <c r="O542" s="1020">
        <v>489</v>
      </c>
      <c r="P542" s="865" t="e">
        <f>VLOOKUP(N542,etat!$A$9:$N$1004,2,FALSE)</f>
        <v>#N/A</v>
      </c>
      <c r="Q542" s="866" t="e">
        <f>VLOOKUP(N542,etat!$A$9:$N$963,7,FALSE)</f>
        <v>#N/A</v>
      </c>
      <c r="R542" s="866" t="e">
        <f>VLOOKUP(N542,etat!$A$9:$N$1003,9,FALSE)</f>
        <v>#N/A</v>
      </c>
      <c r="S542" s="797" t="e">
        <f>VLOOKUP(N542,etat!$A$9:$P$905,16,FALSE)</f>
        <v>#N/A</v>
      </c>
      <c r="T542" s="867"/>
      <c r="U542" s="868"/>
      <c r="V542" s="869"/>
      <c r="W542" s="869"/>
      <c r="X542" s="869"/>
      <c r="Y542" s="904"/>
      <c r="Z542" s="931" t="str">
        <f>VLOOKUP(L542,اس!$S$3:$X$31,3,FALSE)</f>
        <v>.</v>
      </c>
      <c r="AA542" s="1099"/>
    </row>
    <row r="543" spans="12:27" ht="15.75">
      <c r="L543" s="777">
        <v>5</v>
      </c>
      <c r="M543" s="906"/>
      <c r="N543" s="976">
        <v>0</v>
      </c>
      <c r="O543" s="1020">
        <v>490</v>
      </c>
      <c r="P543" s="865" t="e">
        <f>VLOOKUP(N543,etat!$A$9:$N$1004,2,FALSE)</f>
        <v>#N/A</v>
      </c>
      <c r="Q543" s="866" t="e">
        <f>VLOOKUP(N543,etat!$A$9:$N$963,7,FALSE)</f>
        <v>#N/A</v>
      </c>
      <c r="R543" s="866" t="e">
        <f>VLOOKUP(N543,etat!$A$9:$N$1003,9,FALSE)</f>
        <v>#N/A</v>
      </c>
      <c r="S543" s="797" t="e">
        <f>VLOOKUP(N543,etat!$A$9:$P$905,16,FALSE)</f>
        <v>#N/A</v>
      </c>
      <c r="T543" s="867"/>
      <c r="U543" s="868"/>
      <c r="V543" s="869"/>
      <c r="W543" s="869"/>
      <c r="X543" s="869"/>
      <c r="Y543" s="904"/>
      <c r="Z543" s="931" t="str">
        <f>VLOOKUP(L543,اس!$S$3:$X$31,3,FALSE)</f>
        <v>.</v>
      </c>
      <c r="AA543" s="1099"/>
    </row>
    <row r="544" spans="12:27" ht="15.75">
      <c r="L544" s="777">
        <v>5</v>
      </c>
      <c r="M544" s="906"/>
      <c r="N544" s="976">
        <v>0</v>
      </c>
      <c r="O544" s="1020">
        <v>491</v>
      </c>
      <c r="P544" s="865" t="e">
        <f>VLOOKUP(N544,etat!$A$9:$N$1004,2,FALSE)</f>
        <v>#N/A</v>
      </c>
      <c r="Q544" s="866" t="e">
        <f>VLOOKUP(N544,etat!$A$9:$N$963,7,FALSE)</f>
        <v>#N/A</v>
      </c>
      <c r="R544" s="866" t="e">
        <f>VLOOKUP(N544,etat!$A$9:$N$1003,9,FALSE)</f>
        <v>#N/A</v>
      </c>
      <c r="S544" s="797" t="e">
        <f>VLOOKUP(N544,etat!$A$9:$P$905,16,FALSE)</f>
        <v>#N/A</v>
      </c>
      <c r="T544" s="867"/>
      <c r="U544" s="868"/>
      <c r="V544" s="869"/>
      <c r="W544" s="869"/>
      <c r="X544" s="869"/>
      <c r="Y544" s="904"/>
      <c r="Z544" s="931" t="str">
        <f>VLOOKUP(L544,اس!$S$3:$X$31,3,FALSE)</f>
        <v>.</v>
      </c>
      <c r="AA544" s="1099"/>
    </row>
    <row r="545" spans="12:27" ht="15.75">
      <c r="L545" s="777">
        <v>5</v>
      </c>
      <c r="M545" s="906"/>
      <c r="N545" s="976">
        <v>0</v>
      </c>
      <c r="O545" s="1020">
        <v>492</v>
      </c>
      <c r="P545" s="865" t="e">
        <f>VLOOKUP(N545,etat!$A$9:$N$1004,2,FALSE)</f>
        <v>#N/A</v>
      </c>
      <c r="Q545" s="866" t="e">
        <f>VLOOKUP(N545,etat!$A$9:$N$963,7,FALSE)</f>
        <v>#N/A</v>
      </c>
      <c r="R545" s="866" t="e">
        <f>VLOOKUP(N545,etat!$A$9:$N$1003,9,FALSE)</f>
        <v>#N/A</v>
      </c>
      <c r="S545" s="797" t="e">
        <f>VLOOKUP(N545,etat!$A$9:$P$905,16,FALSE)</f>
        <v>#N/A</v>
      </c>
      <c r="T545" s="867"/>
      <c r="U545" s="868"/>
      <c r="V545" s="869"/>
      <c r="W545" s="869"/>
      <c r="X545" s="869"/>
      <c r="Y545" s="904"/>
      <c r="Z545" s="931" t="str">
        <f>VLOOKUP(L545,اس!$S$3:$X$31,3,FALSE)</f>
        <v>.</v>
      </c>
      <c r="AA545" s="1099"/>
    </row>
    <row r="546" spans="12:27" ht="15.75">
      <c r="L546" s="777">
        <v>5</v>
      </c>
      <c r="M546" s="906"/>
      <c r="N546" s="976">
        <v>0</v>
      </c>
      <c r="O546" s="1020">
        <v>493</v>
      </c>
      <c r="P546" s="865" t="e">
        <f>VLOOKUP(N546,etat!$A$9:$N$1004,2,FALSE)</f>
        <v>#N/A</v>
      </c>
      <c r="Q546" s="866" t="e">
        <f>VLOOKUP(N546,etat!$A$9:$N$963,7,FALSE)</f>
        <v>#N/A</v>
      </c>
      <c r="R546" s="866" t="e">
        <f>VLOOKUP(N546,etat!$A$9:$N$1003,9,FALSE)</f>
        <v>#N/A</v>
      </c>
      <c r="S546" s="797" t="e">
        <f>VLOOKUP(N546,etat!$A$9:$P$905,16,FALSE)</f>
        <v>#N/A</v>
      </c>
      <c r="T546" s="867"/>
      <c r="U546" s="868"/>
      <c r="V546" s="869"/>
      <c r="W546" s="869"/>
      <c r="X546" s="869"/>
      <c r="Y546" s="904"/>
      <c r="Z546" s="931" t="str">
        <f>VLOOKUP(L546,اس!$S$3:$X$31,3,FALSE)</f>
        <v>.</v>
      </c>
      <c r="AA546" s="1099"/>
    </row>
    <row r="547" spans="12:27" ht="15.75">
      <c r="L547" s="777">
        <v>5</v>
      </c>
      <c r="M547" s="906"/>
      <c r="N547" s="976">
        <v>0</v>
      </c>
      <c r="O547" s="1020">
        <v>494</v>
      </c>
      <c r="P547" s="865" t="e">
        <f>VLOOKUP(N547,etat!$A$9:$N$1004,2,FALSE)</f>
        <v>#N/A</v>
      </c>
      <c r="Q547" s="866" t="e">
        <f>VLOOKUP(N547,etat!$A$9:$N$963,7,FALSE)</f>
        <v>#N/A</v>
      </c>
      <c r="R547" s="866" t="e">
        <f>VLOOKUP(N547,etat!$A$9:$N$1003,9,FALSE)</f>
        <v>#N/A</v>
      </c>
      <c r="S547" s="797" t="e">
        <f>VLOOKUP(N547,etat!$A$9:$P$905,16,FALSE)</f>
        <v>#N/A</v>
      </c>
      <c r="T547" s="867"/>
      <c r="U547" s="868"/>
      <c r="V547" s="869"/>
      <c r="W547" s="869"/>
      <c r="X547" s="869"/>
      <c r="Y547" s="904"/>
      <c r="Z547" s="931" t="str">
        <f>VLOOKUP(L547,اس!$S$3:$X$31,3,FALSE)</f>
        <v>.</v>
      </c>
      <c r="AA547" s="1099"/>
    </row>
    <row r="548" spans="12:27" ht="15.75">
      <c r="L548" s="777">
        <v>5</v>
      </c>
      <c r="M548" s="906"/>
      <c r="N548" s="976">
        <v>0</v>
      </c>
      <c r="O548" s="1020">
        <v>495</v>
      </c>
      <c r="P548" s="865" t="e">
        <f>VLOOKUP(N548,etat!$A$9:$N$1004,2,FALSE)</f>
        <v>#N/A</v>
      </c>
      <c r="Q548" s="866" t="e">
        <f>VLOOKUP(N548,etat!$A$9:$N$963,7,FALSE)</f>
        <v>#N/A</v>
      </c>
      <c r="R548" s="866" t="e">
        <f>VLOOKUP(N548,etat!$A$9:$N$1003,9,FALSE)</f>
        <v>#N/A</v>
      </c>
      <c r="S548" s="797" t="e">
        <f>VLOOKUP(N548,etat!$A$9:$P$905,16,FALSE)</f>
        <v>#N/A</v>
      </c>
      <c r="T548" s="867"/>
      <c r="U548" s="868"/>
      <c r="V548" s="869"/>
      <c r="W548" s="869"/>
      <c r="X548" s="869"/>
      <c r="Y548" s="904"/>
      <c r="Z548" s="931" t="str">
        <f>VLOOKUP(L548,اس!$S$3:$X$31,3,FALSE)</f>
        <v>.</v>
      </c>
      <c r="AA548" s="1099"/>
    </row>
    <row r="549" spans="12:27" ht="15.75">
      <c r="L549" s="777">
        <v>5</v>
      </c>
      <c r="M549" s="906"/>
      <c r="N549" s="976">
        <v>0</v>
      </c>
      <c r="O549" s="1020">
        <v>496</v>
      </c>
      <c r="P549" s="865" t="e">
        <f>VLOOKUP(N549,etat!$A$9:$N$1004,2,FALSE)</f>
        <v>#N/A</v>
      </c>
      <c r="Q549" s="866" t="e">
        <f>VLOOKUP(N549,etat!$A$9:$N$963,7,FALSE)</f>
        <v>#N/A</v>
      </c>
      <c r="R549" s="866" t="e">
        <f>VLOOKUP(N549,etat!$A$9:$N$1003,9,FALSE)</f>
        <v>#N/A</v>
      </c>
      <c r="S549" s="797" t="e">
        <f>VLOOKUP(N549,etat!$A$9:$P$905,16,FALSE)</f>
        <v>#N/A</v>
      </c>
      <c r="T549" s="867"/>
      <c r="U549" s="868"/>
      <c r="V549" s="869"/>
      <c r="W549" s="869"/>
      <c r="X549" s="869"/>
      <c r="Y549" s="904"/>
      <c r="Z549" s="931" t="str">
        <f>VLOOKUP(L549,اس!$S$3:$X$31,3,FALSE)</f>
        <v>.</v>
      </c>
      <c r="AA549" s="1099"/>
    </row>
    <row r="550" spans="12:27" ht="15.75">
      <c r="L550" s="777">
        <v>5</v>
      </c>
      <c r="M550" s="906"/>
      <c r="N550" s="976">
        <v>0</v>
      </c>
      <c r="O550" s="1020">
        <v>497</v>
      </c>
      <c r="P550" s="865" t="e">
        <f>VLOOKUP(N550,etat!$A$9:$N$1004,2,FALSE)</f>
        <v>#N/A</v>
      </c>
      <c r="Q550" s="866" t="e">
        <f>VLOOKUP(N550,etat!$A$9:$N$963,7,FALSE)</f>
        <v>#N/A</v>
      </c>
      <c r="R550" s="866" t="e">
        <f>VLOOKUP(N550,etat!$A$9:$N$1003,9,FALSE)</f>
        <v>#N/A</v>
      </c>
      <c r="S550" s="797" t="e">
        <f>VLOOKUP(N550,etat!$A$9:$P$905,16,FALSE)</f>
        <v>#N/A</v>
      </c>
      <c r="T550" s="867"/>
      <c r="U550" s="868"/>
      <c r="V550" s="869"/>
      <c r="W550" s="869"/>
      <c r="X550" s="869"/>
      <c r="Y550" s="904"/>
      <c r="Z550" s="931" t="str">
        <f>VLOOKUP(L550,اس!$S$3:$X$31,3,FALSE)</f>
        <v>.</v>
      </c>
      <c r="AA550" s="1099"/>
    </row>
    <row r="551" spans="12:27" ht="15.75">
      <c r="L551" s="777">
        <v>5</v>
      </c>
      <c r="M551" s="906"/>
      <c r="N551" s="976">
        <v>0</v>
      </c>
      <c r="O551" s="1020">
        <v>498</v>
      </c>
      <c r="P551" s="865" t="e">
        <f>VLOOKUP(N551,etat!$A$9:$N$1004,2,FALSE)</f>
        <v>#N/A</v>
      </c>
      <c r="Q551" s="866" t="e">
        <f>VLOOKUP(N551,etat!$A$9:$N$963,7,FALSE)</f>
        <v>#N/A</v>
      </c>
      <c r="R551" s="866" t="e">
        <f>VLOOKUP(N551,etat!$A$9:$N$1003,9,FALSE)</f>
        <v>#N/A</v>
      </c>
      <c r="S551" s="797" t="e">
        <f>VLOOKUP(N551,etat!$A$9:$P$905,16,FALSE)</f>
        <v>#N/A</v>
      </c>
      <c r="T551" s="867"/>
      <c r="U551" s="868"/>
      <c r="V551" s="869"/>
      <c r="W551" s="869"/>
      <c r="X551" s="869"/>
      <c r="Y551" s="904"/>
      <c r="Z551" s="931" t="str">
        <f>VLOOKUP(L551,اس!$S$3:$X$31,3,FALSE)</f>
        <v>.</v>
      </c>
      <c r="AA551" s="1099"/>
    </row>
    <row r="552" spans="12:27" ht="15.75">
      <c r="L552" s="777">
        <v>5</v>
      </c>
      <c r="M552" s="906"/>
      <c r="N552" s="976">
        <v>0</v>
      </c>
      <c r="O552" s="1020">
        <v>499</v>
      </c>
      <c r="P552" s="865" t="e">
        <f>VLOOKUP(N552,etat!$A$9:$N$1004,2,FALSE)</f>
        <v>#N/A</v>
      </c>
      <c r="Q552" s="866" t="e">
        <f>VLOOKUP(N552,etat!$A$9:$N$963,7,FALSE)</f>
        <v>#N/A</v>
      </c>
      <c r="R552" s="866" t="e">
        <f>VLOOKUP(N552,etat!$A$9:$N$1003,9,FALSE)</f>
        <v>#N/A</v>
      </c>
      <c r="S552" s="797" t="e">
        <f>VLOOKUP(N552,etat!$A$9:$P$905,16,FALSE)</f>
        <v>#N/A</v>
      </c>
      <c r="T552" s="867"/>
      <c r="U552" s="868"/>
      <c r="V552" s="869"/>
      <c r="W552" s="869"/>
      <c r="X552" s="869"/>
      <c r="Y552" s="904"/>
      <c r="Z552" s="931" t="str">
        <f>VLOOKUP(L552,اس!$S$3:$X$31,3,FALSE)</f>
        <v>.</v>
      </c>
      <c r="AA552" s="1099"/>
    </row>
    <row r="553" spans="12:27" ht="15.75">
      <c r="L553" s="777">
        <v>5</v>
      </c>
      <c r="M553" s="906"/>
      <c r="N553" s="976">
        <v>0</v>
      </c>
      <c r="O553" s="1020">
        <v>500</v>
      </c>
      <c r="P553" s="865" t="e">
        <f>VLOOKUP(N553,etat!$A$9:$N$1004,2,FALSE)</f>
        <v>#N/A</v>
      </c>
      <c r="Q553" s="866" t="e">
        <f>VLOOKUP(N553,etat!$A$9:$N$963,7,FALSE)</f>
        <v>#N/A</v>
      </c>
      <c r="R553" s="866" t="e">
        <f>VLOOKUP(N553,etat!$A$9:$N$1003,9,FALSE)</f>
        <v>#N/A</v>
      </c>
      <c r="S553" s="797" t="e">
        <f>VLOOKUP(N553,etat!$A$9:$P$905,16,FALSE)</f>
        <v>#N/A</v>
      </c>
      <c r="T553" s="867"/>
      <c r="U553" s="868"/>
      <c r="V553" s="869"/>
      <c r="W553" s="869"/>
      <c r="X553" s="869"/>
      <c r="Y553" s="904"/>
      <c r="Z553" s="931" t="str">
        <f>VLOOKUP(L553,اس!$S$3:$X$31,3,FALSE)</f>
        <v>.</v>
      </c>
      <c r="AA553" s="1099"/>
    </row>
    <row r="554" spans="12:27" ht="15.75">
      <c r="L554" s="777">
        <v>5</v>
      </c>
      <c r="M554" s="906"/>
      <c r="N554" s="976">
        <v>0</v>
      </c>
      <c r="O554" s="1020">
        <v>501</v>
      </c>
      <c r="P554" s="865" t="e">
        <f>VLOOKUP(N554,etat!$A$9:$N$1004,2,FALSE)</f>
        <v>#N/A</v>
      </c>
      <c r="Q554" s="866" t="e">
        <f>VLOOKUP(N554,etat!$A$9:$N$963,7,FALSE)</f>
        <v>#N/A</v>
      </c>
      <c r="R554" s="866" t="e">
        <f>VLOOKUP(N554,etat!$A$9:$N$1003,9,FALSE)</f>
        <v>#N/A</v>
      </c>
      <c r="S554" s="797" t="e">
        <f>VLOOKUP(N554,etat!$A$9:$P$905,16,FALSE)</f>
        <v>#N/A</v>
      </c>
      <c r="T554" s="867"/>
      <c r="U554" s="868"/>
      <c r="V554" s="869"/>
      <c r="W554" s="869"/>
      <c r="X554" s="869"/>
      <c r="Y554" s="904"/>
      <c r="Z554" s="931" t="str">
        <f>VLOOKUP(L554,اس!$S$3:$X$31,3,FALSE)</f>
        <v>.</v>
      </c>
      <c r="AA554" s="1099"/>
    </row>
    <row r="555" spans="12:27" ht="15.75">
      <c r="L555" s="777">
        <v>5</v>
      </c>
      <c r="M555" s="906"/>
      <c r="N555" s="976">
        <v>0</v>
      </c>
      <c r="O555" s="1020">
        <v>502</v>
      </c>
      <c r="P555" s="865" t="e">
        <f>VLOOKUP(N555,etat!$A$9:$N$1004,2,FALSE)</f>
        <v>#N/A</v>
      </c>
      <c r="Q555" s="866" t="e">
        <f>VLOOKUP(N555,etat!$A$9:$N$963,7,FALSE)</f>
        <v>#N/A</v>
      </c>
      <c r="R555" s="866" t="e">
        <f>VLOOKUP(N555,etat!$A$9:$N$1003,9,FALSE)</f>
        <v>#N/A</v>
      </c>
      <c r="S555" s="797" t="e">
        <f>VLOOKUP(N555,etat!$A$9:$P$905,16,FALSE)</f>
        <v>#N/A</v>
      </c>
      <c r="T555" s="867"/>
      <c r="U555" s="868"/>
      <c r="V555" s="869"/>
      <c r="W555" s="869"/>
      <c r="X555" s="869"/>
      <c r="Y555" s="904"/>
      <c r="Z555" s="931" t="str">
        <f>VLOOKUP(L555,اس!$S$3:$X$31,3,FALSE)</f>
        <v>.</v>
      </c>
      <c r="AA555" s="1099"/>
    </row>
    <row r="556" spans="12:27" ht="15.75">
      <c r="L556" s="777">
        <v>5</v>
      </c>
      <c r="M556" s="906"/>
      <c r="N556" s="976">
        <v>0</v>
      </c>
      <c r="O556" s="1020">
        <v>503</v>
      </c>
      <c r="P556" s="865" t="e">
        <f>VLOOKUP(N556,etat!$A$9:$N$1004,2,FALSE)</f>
        <v>#N/A</v>
      </c>
      <c r="Q556" s="866" t="e">
        <f>VLOOKUP(N556,etat!$A$9:$N$963,7,FALSE)</f>
        <v>#N/A</v>
      </c>
      <c r="R556" s="866" t="e">
        <f>VLOOKUP(N556,etat!$A$9:$N$1003,9,FALSE)</f>
        <v>#N/A</v>
      </c>
      <c r="S556" s="797" t="e">
        <f>VLOOKUP(N556,etat!$A$9:$P$905,16,FALSE)</f>
        <v>#N/A</v>
      </c>
      <c r="T556" s="867"/>
      <c r="U556" s="868"/>
      <c r="V556" s="869"/>
      <c r="W556" s="869"/>
      <c r="X556" s="869"/>
      <c r="Y556" s="904"/>
      <c r="Z556" s="931" t="str">
        <f>VLOOKUP(L556,اس!$S$3:$X$31,3,FALSE)</f>
        <v>.</v>
      </c>
      <c r="AA556" s="1099"/>
    </row>
    <row r="557" spans="12:27" ht="15.75">
      <c r="L557" s="777">
        <v>5</v>
      </c>
      <c r="M557" s="906"/>
      <c r="N557" s="976">
        <v>0</v>
      </c>
      <c r="O557" s="1020">
        <v>504</v>
      </c>
      <c r="P557" s="865" t="e">
        <f>VLOOKUP(N557,etat!$A$9:$N$1004,2,FALSE)</f>
        <v>#N/A</v>
      </c>
      <c r="Q557" s="866" t="e">
        <f>VLOOKUP(N557,etat!$A$9:$N$963,7,FALSE)</f>
        <v>#N/A</v>
      </c>
      <c r="R557" s="866" t="e">
        <f>VLOOKUP(N557,etat!$A$9:$N$1003,9,FALSE)</f>
        <v>#N/A</v>
      </c>
      <c r="S557" s="797" t="e">
        <f>VLOOKUP(N557,etat!$A$9:$P$905,16,FALSE)</f>
        <v>#N/A</v>
      </c>
      <c r="T557" s="867"/>
      <c r="U557" s="868"/>
      <c r="V557" s="869"/>
      <c r="W557" s="869"/>
      <c r="X557" s="869"/>
      <c r="Y557" s="904"/>
      <c r="Z557" s="931" t="str">
        <f>VLOOKUP(L557,اس!$S$3:$X$31,3,FALSE)</f>
        <v>.</v>
      </c>
      <c r="AA557" s="1099"/>
    </row>
    <row r="558" spans="12:27" ht="15.75">
      <c r="L558" s="777">
        <v>5</v>
      </c>
      <c r="M558" s="906"/>
      <c r="N558" s="976">
        <v>0</v>
      </c>
      <c r="O558" s="1020">
        <v>505</v>
      </c>
      <c r="P558" s="865" t="e">
        <f>VLOOKUP(N558,etat!$A$9:$N$1004,2,FALSE)</f>
        <v>#N/A</v>
      </c>
      <c r="Q558" s="866" t="e">
        <f>VLOOKUP(N558,etat!$A$9:$N$963,7,FALSE)</f>
        <v>#N/A</v>
      </c>
      <c r="R558" s="866" t="e">
        <f>VLOOKUP(N558,etat!$A$9:$N$1003,9,FALSE)</f>
        <v>#N/A</v>
      </c>
      <c r="S558" s="797" t="e">
        <f>VLOOKUP(N558,etat!$A$9:$P$905,16,FALSE)</f>
        <v>#N/A</v>
      </c>
      <c r="T558" s="867"/>
      <c r="U558" s="868"/>
      <c r="V558" s="869"/>
      <c r="W558" s="869"/>
      <c r="X558" s="869"/>
      <c r="Y558" s="904"/>
      <c r="Z558" s="931" t="str">
        <f>VLOOKUP(L558,اس!$S$3:$X$31,3,FALSE)</f>
        <v>.</v>
      </c>
      <c r="AA558" s="1099"/>
    </row>
    <row r="559" spans="12:27" ht="15.75">
      <c r="L559" s="777">
        <v>5</v>
      </c>
      <c r="M559" s="906"/>
      <c r="N559" s="976">
        <v>0</v>
      </c>
      <c r="O559" s="1020">
        <v>506</v>
      </c>
      <c r="P559" s="865" t="e">
        <f>VLOOKUP(N559,etat!$A$9:$N$1004,2,FALSE)</f>
        <v>#N/A</v>
      </c>
      <c r="Q559" s="866" t="e">
        <f>VLOOKUP(N559,etat!$A$9:$N$963,7,FALSE)</f>
        <v>#N/A</v>
      </c>
      <c r="R559" s="866" t="e">
        <f>VLOOKUP(N559,etat!$A$9:$N$1003,9,FALSE)</f>
        <v>#N/A</v>
      </c>
      <c r="S559" s="797" t="e">
        <f>VLOOKUP(N559,etat!$A$9:$P$905,16,FALSE)</f>
        <v>#N/A</v>
      </c>
      <c r="T559" s="867"/>
      <c r="U559" s="868"/>
      <c r="V559" s="869"/>
      <c r="W559" s="869"/>
      <c r="X559" s="869"/>
      <c r="Y559" s="904"/>
      <c r="Z559" s="931" t="str">
        <f>VLOOKUP(L559,اس!$S$3:$X$31,3,FALSE)</f>
        <v>.</v>
      </c>
      <c r="AA559" s="1099"/>
    </row>
    <row r="560" spans="12:27" ht="15.75">
      <c r="L560" s="777">
        <v>5</v>
      </c>
      <c r="M560" s="906"/>
      <c r="N560" s="976">
        <v>0</v>
      </c>
      <c r="O560" s="1020">
        <v>507</v>
      </c>
      <c r="P560" s="865" t="e">
        <f>VLOOKUP(N560,etat!$A$9:$N$1004,2,FALSE)</f>
        <v>#N/A</v>
      </c>
      <c r="Q560" s="866" t="e">
        <f>VLOOKUP(N560,etat!$A$9:$N$963,7,FALSE)</f>
        <v>#N/A</v>
      </c>
      <c r="R560" s="866" t="e">
        <f>VLOOKUP(N560,etat!$A$9:$N$1003,9,FALSE)</f>
        <v>#N/A</v>
      </c>
      <c r="S560" s="797" t="e">
        <f>VLOOKUP(N560,etat!$A$9:$P$905,16,FALSE)</f>
        <v>#N/A</v>
      </c>
      <c r="T560" s="867"/>
      <c r="U560" s="868"/>
      <c r="V560" s="869"/>
      <c r="W560" s="869"/>
      <c r="X560" s="869"/>
      <c r="Y560" s="904"/>
      <c r="Z560" s="931" t="str">
        <f>VLOOKUP(L560,اس!$S$3:$X$31,3,FALSE)</f>
        <v>.</v>
      </c>
      <c r="AA560" s="1099"/>
    </row>
    <row r="561" spans="12:27" ht="15.75">
      <c r="L561" s="777">
        <v>5</v>
      </c>
      <c r="M561" s="906"/>
      <c r="N561" s="976">
        <v>0</v>
      </c>
      <c r="O561" s="1020">
        <v>508</v>
      </c>
      <c r="P561" s="865" t="e">
        <f>VLOOKUP(N561,etat!$A$9:$N$1004,2,FALSE)</f>
        <v>#N/A</v>
      </c>
      <c r="Q561" s="866" t="e">
        <f>VLOOKUP(N561,etat!$A$9:$N$963,7,FALSE)</f>
        <v>#N/A</v>
      </c>
      <c r="R561" s="866" t="e">
        <f>VLOOKUP(N561,etat!$A$9:$N$1003,9,FALSE)</f>
        <v>#N/A</v>
      </c>
      <c r="S561" s="797" t="e">
        <f>VLOOKUP(N561,etat!$A$9:$P$905,16,FALSE)</f>
        <v>#N/A</v>
      </c>
      <c r="T561" s="867"/>
      <c r="U561" s="868"/>
      <c r="V561" s="869"/>
      <c r="W561" s="869"/>
      <c r="X561" s="869"/>
      <c r="Y561" s="904"/>
      <c r="Z561" s="931" t="str">
        <f>VLOOKUP(L561,اس!$S$3:$X$31,3,FALSE)</f>
        <v>.</v>
      </c>
      <c r="AA561" s="1099"/>
    </row>
    <row r="562" spans="12:27" ht="15.75">
      <c r="L562" s="777">
        <v>5</v>
      </c>
      <c r="M562" s="906"/>
      <c r="N562" s="976">
        <v>0</v>
      </c>
      <c r="O562" s="1020">
        <v>509</v>
      </c>
      <c r="P562" s="865" t="e">
        <f>VLOOKUP(N562,etat!$A$9:$N$1004,2,FALSE)</f>
        <v>#N/A</v>
      </c>
      <c r="Q562" s="866" t="e">
        <f>VLOOKUP(N562,etat!$A$9:$N$963,7,FALSE)</f>
        <v>#N/A</v>
      </c>
      <c r="R562" s="866" t="e">
        <f>VLOOKUP(N562,etat!$A$9:$N$1003,9,FALSE)</f>
        <v>#N/A</v>
      </c>
      <c r="S562" s="797" t="e">
        <f>VLOOKUP(N562,etat!$A$9:$P$905,16,FALSE)</f>
        <v>#N/A</v>
      </c>
      <c r="T562" s="867"/>
      <c r="U562" s="868"/>
      <c r="V562" s="869"/>
      <c r="W562" s="869"/>
      <c r="X562" s="869"/>
      <c r="Y562" s="904"/>
      <c r="Z562" s="931" t="str">
        <f>VLOOKUP(L562,اس!$S$3:$X$31,3,FALSE)</f>
        <v>.</v>
      </c>
      <c r="AA562" s="1099"/>
    </row>
    <row r="563" spans="12:27" ht="15.75">
      <c r="L563" s="777">
        <v>5</v>
      </c>
      <c r="M563" s="906"/>
      <c r="N563" s="976">
        <v>0</v>
      </c>
      <c r="O563" s="1020">
        <v>510</v>
      </c>
      <c r="P563" s="865" t="e">
        <f>VLOOKUP(N563,etat!$A$9:$N$1004,2,FALSE)</f>
        <v>#N/A</v>
      </c>
      <c r="Q563" s="866" t="e">
        <f>VLOOKUP(N563,etat!$A$9:$N$963,7,FALSE)</f>
        <v>#N/A</v>
      </c>
      <c r="R563" s="866" t="e">
        <f>VLOOKUP(N563,etat!$A$9:$N$1003,9,FALSE)</f>
        <v>#N/A</v>
      </c>
      <c r="S563" s="797" t="e">
        <f>VLOOKUP(N563,etat!$A$9:$P$905,16,FALSE)</f>
        <v>#N/A</v>
      </c>
      <c r="T563" s="867"/>
      <c r="U563" s="868"/>
      <c r="V563" s="869"/>
      <c r="W563" s="869"/>
      <c r="X563" s="869"/>
      <c r="Y563" s="904"/>
      <c r="Z563" s="931" t="str">
        <f>VLOOKUP(L563,اس!$S$3:$X$31,3,FALSE)</f>
        <v>.</v>
      </c>
      <c r="AA563" s="1099"/>
    </row>
    <row r="564" spans="12:27" ht="15.75">
      <c r="L564" s="777">
        <v>5</v>
      </c>
      <c r="M564" s="906"/>
      <c r="N564" s="976">
        <v>0</v>
      </c>
      <c r="O564" s="1020">
        <v>511</v>
      </c>
      <c r="P564" s="865" t="e">
        <f>VLOOKUP(N564,etat!$A$9:$N$1004,2,FALSE)</f>
        <v>#N/A</v>
      </c>
      <c r="Q564" s="866" t="e">
        <f>VLOOKUP(N564,etat!$A$9:$N$963,7,FALSE)</f>
        <v>#N/A</v>
      </c>
      <c r="R564" s="866" t="e">
        <f>VLOOKUP(N564,etat!$A$9:$N$1003,9,FALSE)</f>
        <v>#N/A</v>
      </c>
      <c r="S564" s="797" t="e">
        <f>VLOOKUP(N564,etat!$A$9:$P$905,16,FALSE)</f>
        <v>#N/A</v>
      </c>
      <c r="T564" s="867"/>
      <c r="U564" s="868"/>
      <c r="V564" s="869"/>
      <c r="W564" s="869"/>
      <c r="X564" s="869"/>
      <c r="Y564" s="904"/>
      <c r="Z564" s="931" t="str">
        <f>VLOOKUP(L564,اس!$S$3:$X$31,3,FALSE)</f>
        <v>.</v>
      </c>
      <c r="AA564" s="1099"/>
    </row>
    <row r="565" spans="12:27" ht="15.75">
      <c r="L565" s="777">
        <v>5</v>
      </c>
      <c r="M565" s="906"/>
      <c r="N565" s="976">
        <v>0</v>
      </c>
      <c r="O565" s="1020">
        <v>512</v>
      </c>
      <c r="P565" s="865" t="e">
        <f>VLOOKUP(N565,etat!$A$9:$N$1004,2,FALSE)</f>
        <v>#N/A</v>
      </c>
      <c r="Q565" s="866" t="e">
        <f>VLOOKUP(N565,etat!$A$9:$N$963,7,FALSE)</f>
        <v>#N/A</v>
      </c>
      <c r="R565" s="866" t="e">
        <f>VLOOKUP(N565,etat!$A$9:$N$1003,9,FALSE)</f>
        <v>#N/A</v>
      </c>
      <c r="S565" s="797" t="e">
        <f>VLOOKUP(N565,etat!$A$9:$P$905,16,FALSE)</f>
        <v>#N/A</v>
      </c>
      <c r="T565" s="867"/>
      <c r="U565" s="868"/>
      <c r="V565" s="869"/>
      <c r="W565" s="869"/>
      <c r="X565" s="869"/>
      <c r="Y565" s="904"/>
      <c r="Z565" s="931" t="str">
        <f>VLOOKUP(L565,اس!$S$3:$X$31,3,FALSE)</f>
        <v>.</v>
      </c>
      <c r="AA565" s="1099"/>
    </row>
    <row r="566" spans="12:27" ht="15.75">
      <c r="L566" s="777">
        <v>5</v>
      </c>
      <c r="M566" s="906"/>
      <c r="N566" s="976">
        <v>0</v>
      </c>
      <c r="O566" s="1020">
        <v>513</v>
      </c>
      <c r="P566" s="865" t="e">
        <f>VLOOKUP(N566,etat!$A$9:$N$1004,2,FALSE)</f>
        <v>#N/A</v>
      </c>
      <c r="Q566" s="866" t="e">
        <f>VLOOKUP(N566,etat!$A$9:$N$963,7,FALSE)</f>
        <v>#N/A</v>
      </c>
      <c r="R566" s="866" t="e">
        <f>VLOOKUP(N566,etat!$A$9:$N$1003,9,FALSE)</f>
        <v>#N/A</v>
      </c>
      <c r="S566" s="797" t="e">
        <f>VLOOKUP(N566,etat!$A$9:$P$905,16,FALSE)</f>
        <v>#N/A</v>
      </c>
      <c r="T566" s="867"/>
      <c r="U566" s="868"/>
      <c r="V566" s="869"/>
      <c r="W566" s="869"/>
      <c r="X566" s="869"/>
      <c r="Y566" s="904"/>
      <c r="Z566" s="931" t="str">
        <f>VLOOKUP(L566,اس!$S$3:$X$31,3,FALSE)</f>
        <v>.</v>
      </c>
      <c r="AA566" s="1099"/>
    </row>
    <row r="567" spans="12:27" ht="15.75">
      <c r="L567" s="777">
        <v>5</v>
      </c>
      <c r="M567" s="906"/>
      <c r="N567" s="976">
        <v>0</v>
      </c>
      <c r="O567" s="1020">
        <v>514</v>
      </c>
      <c r="P567" s="865" t="e">
        <f>VLOOKUP(N567,etat!$A$9:$N$1004,2,FALSE)</f>
        <v>#N/A</v>
      </c>
      <c r="Q567" s="866" t="e">
        <f>VLOOKUP(N567,etat!$A$9:$N$963,7,FALSE)</f>
        <v>#N/A</v>
      </c>
      <c r="R567" s="866" t="e">
        <f>VLOOKUP(N567,etat!$A$9:$N$1003,9,FALSE)</f>
        <v>#N/A</v>
      </c>
      <c r="S567" s="797" t="e">
        <f>VLOOKUP(N567,etat!$A$9:$P$905,16,FALSE)</f>
        <v>#N/A</v>
      </c>
      <c r="T567" s="867"/>
      <c r="U567" s="868"/>
      <c r="V567" s="869"/>
      <c r="W567" s="869"/>
      <c r="X567" s="869"/>
      <c r="Y567" s="904"/>
      <c r="Z567" s="931" t="str">
        <f>VLOOKUP(L567,اس!$S$3:$X$31,3,FALSE)</f>
        <v>.</v>
      </c>
      <c r="AA567" s="1099"/>
    </row>
    <row r="568" spans="12:27" ht="15.75">
      <c r="L568" s="777">
        <v>5</v>
      </c>
      <c r="M568" s="906"/>
      <c r="N568" s="976">
        <v>0</v>
      </c>
      <c r="O568" s="1020">
        <v>515</v>
      </c>
      <c r="P568" s="865" t="e">
        <f>VLOOKUP(N568,etat!$A$9:$N$1004,2,FALSE)</f>
        <v>#N/A</v>
      </c>
      <c r="Q568" s="866" t="e">
        <f>VLOOKUP(N568,etat!$A$9:$N$963,7,FALSE)</f>
        <v>#N/A</v>
      </c>
      <c r="R568" s="866" t="e">
        <f>VLOOKUP(N568,etat!$A$9:$N$1003,9,FALSE)</f>
        <v>#N/A</v>
      </c>
      <c r="S568" s="797" t="e">
        <f>VLOOKUP(N568,etat!$A$9:$P$905,16,FALSE)</f>
        <v>#N/A</v>
      </c>
      <c r="T568" s="867"/>
      <c r="U568" s="868"/>
      <c r="V568" s="869"/>
      <c r="W568" s="869"/>
      <c r="X568" s="869"/>
      <c r="Y568" s="904"/>
      <c r="Z568" s="931" t="str">
        <f>VLOOKUP(L568,اس!$S$3:$X$31,3,FALSE)</f>
        <v>.</v>
      </c>
      <c r="AA568" s="1099"/>
    </row>
    <row r="569" spans="12:27" ht="15.75">
      <c r="L569" s="777">
        <v>5</v>
      </c>
      <c r="M569" s="906"/>
      <c r="N569" s="976">
        <v>0</v>
      </c>
      <c r="O569" s="1020">
        <v>516</v>
      </c>
      <c r="P569" s="865" t="e">
        <f>VLOOKUP(N569,etat!$A$9:$N$1004,2,FALSE)</f>
        <v>#N/A</v>
      </c>
      <c r="Q569" s="866" t="e">
        <f>VLOOKUP(N569,etat!$A$9:$N$963,7,FALSE)</f>
        <v>#N/A</v>
      </c>
      <c r="R569" s="866" t="e">
        <f>VLOOKUP(N569,etat!$A$9:$N$1003,9,FALSE)</f>
        <v>#N/A</v>
      </c>
      <c r="S569" s="797" t="e">
        <f>VLOOKUP(N569,etat!$A$9:$P$905,16,FALSE)</f>
        <v>#N/A</v>
      </c>
      <c r="T569" s="867"/>
      <c r="U569" s="868"/>
      <c r="V569" s="869"/>
      <c r="W569" s="869"/>
      <c r="X569" s="869"/>
      <c r="Y569" s="904"/>
      <c r="Z569" s="931" t="str">
        <f>VLOOKUP(L569,اس!$S$3:$X$31,3,FALSE)</f>
        <v>.</v>
      </c>
      <c r="AA569" s="1099"/>
    </row>
    <row r="570" spans="12:27" ht="15.75">
      <c r="L570" s="777">
        <v>5</v>
      </c>
      <c r="M570" s="906"/>
      <c r="N570" s="976">
        <v>0</v>
      </c>
      <c r="O570" s="1020">
        <v>517</v>
      </c>
      <c r="P570" s="865" t="e">
        <f>VLOOKUP(N570,etat!$A$9:$N$1004,2,FALSE)</f>
        <v>#N/A</v>
      </c>
      <c r="Q570" s="866" t="e">
        <f>VLOOKUP(N570,etat!$A$9:$N$963,7,FALSE)</f>
        <v>#N/A</v>
      </c>
      <c r="R570" s="866" t="e">
        <f>VLOOKUP(N570,etat!$A$9:$N$1003,9,FALSE)</f>
        <v>#N/A</v>
      </c>
      <c r="S570" s="797" t="e">
        <f>VLOOKUP(N570,etat!$A$9:$P$905,16,FALSE)</f>
        <v>#N/A</v>
      </c>
      <c r="T570" s="867"/>
      <c r="U570" s="868"/>
      <c r="V570" s="869"/>
      <c r="W570" s="869"/>
      <c r="X570" s="869"/>
      <c r="Y570" s="904"/>
      <c r="Z570" s="931" t="str">
        <f>VLOOKUP(L570,اس!$S$3:$X$31,3,FALSE)</f>
        <v>.</v>
      </c>
      <c r="AA570" s="1099"/>
    </row>
    <row r="571" spans="12:27" ht="15.75">
      <c r="L571" s="777">
        <v>5</v>
      </c>
      <c r="M571" s="906"/>
      <c r="N571" s="976">
        <v>0</v>
      </c>
      <c r="O571" s="1020">
        <v>518</v>
      </c>
      <c r="P571" s="865" t="e">
        <f>VLOOKUP(N571,etat!$A$9:$N$1004,2,FALSE)</f>
        <v>#N/A</v>
      </c>
      <c r="Q571" s="866" t="e">
        <f>VLOOKUP(N571,etat!$A$9:$N$963,7,FALSE)</f>
        <v>#N/A</v>
      </c>
      <c r="R571" s="866" t="e">
        <f>VLOOKUP(N571,etat!$A$9:$N$1003,9,FALSE)</f>
        <v>#N/A</v>
      </c>
      <c r="S571" s="797" t="e">
        <f>VLOOKUP(N571,etat!$A$9:$P$905,16,FALSE)</f>
        <v>#N/A</v>
      </c>
      <c r="T571" s="867"/>
      <c r="U571" s="868"/>
      <c r="V571" s="869"/>
      <c r="W571" s="869"/>
      <c r="X571" s="869"/>
      <c r="Y571" s="904"/>
      <c r="Z571" s="931" t="str">
        <f>VLOOKUP(L571,اس!$S$3:$X$31,3,FALSE)</f>
        <v>.</v>
      </c>
      <c r="AA571" s="1099"/>
    </row>
    <row r="572" spans="12:27" ht="15.75">
      <c r="L572" s="777">
        <v>5</v>
      </c>
      <c r="M572" s="906"/>
      <c r="N572" s="976">
        <v>0</v>
      </c>
      <c r="O572" s="1020">
        <v>519</v>
      </c>
      <c r="P572" s="865" t="e">
        <f>VLOOKUP(N572,etat!$A$9:$N$1004,2,FALSE)</f>
        <v>#N/A</v>
      </c>
      <c r="Q572" s="866" t="e">
        <f>VLOOKUP(N572,etat!$A$9:$N$963,7,FALSE)</f>
        <v>#N/A</v>
      </c>
      <c r="R572" s="866" t="e">
        <f>VLOOKUP(N572,etat!$A$9:$N$1003,9,FALSE)</f>
        <v>#N/A</v>
      </c>
      <c r="S572" s="797" t="e">
        <f>VLOOKUP(N572,etat!$A$9:$P$905,16,FALSE)</f>
        <v>#N/A</v>
      </c>
      <c r="T572" s="867"/>
      <c r="U572" s="868"/>
      <c r="V572" s="869"/>
      <c r="W572" s="869"/>
      <c r="X572" s="869"/>
      <c r="Y572" s="904"/>
      <c r="Z572" s="931" t="str">
        <f>VLOOKUP(L572,اس!$S$3:$X$31,3,FALSE)</f>
        <v>.</v>
      </c>
      <c r="AA572" s="1099"/>
    </row>
    <row r="573" spans="12:27" ht="15.75">
      <c r="L573" s="777">
        <v>5</v>
      </c>
      <c r="M573" s="906"/>
      <c r="N573" s="976">
        <v>0</v>
      </c>
      <c r="O573" s="1020">
        <v>520</v>
      </c>
      <c r="P573" s="847" t="e">
        <f>VLOOKUP(N573,etat!$A$9:$N$1004,2,FALSE)</f>
        <v>#N/A</v>
      </c>
      <c r="Q573" s="797" t="e">
        <f>VLOOKUP(N573,etat!$A$9:$N$963,7,FALSE)</f>
        <v>#N/A</v>
      </c>
      <c r="R573" s="797" t="e">
        <f>VLOOKUP(N573,etat!$A$9:$N$1003,9,FALSE)</f>
        <v>#N/A</v>
      </c>
      <c r="S573" s="797" t="e">
        <f>VLOOKUP(N573,etat!$A$9:$P$905,16,FALSE)</f>
        <v>#N/A</v>
      </c>
      <c r="T573" s="755"/>
      <c r="U573" s="791"/>
      <c r="V573" s="784"/>
      <c r="W573" s="784"/>
      <c r="X573" s="784"/>
      <c r="Y573" s="848"/>
      <c r="Z573" s="931" t="str">
        <f>VLOOKUP(L573,اس!$S$3:$X$31,3,FALSE)</f>
        <v>.</v>
      </c>
      <c r="AA573" s="1099"/>
    </row>
    <row r="574" spans="12:27" ht="15.75">
      <c r="L574" s="777">
        <v>5</v>
      </c>
      <c r="M574" s="906"/>
      <c r="N574" s="976">
        <v>0</v>
      </c>
      <c r="O574" s="1020">
        <v>521</v>
      </c>
      <c r="P574" s="847" t="e">
        <f>VLOOKUP(N574,etat!$A$9:$N$1004,2,FALSE)</f>
        <v>#N/A</v>
      </c>
      <c r="Q574" s="797" t="e">
        <f>VLOOKUP(N574,etat!$A$9:$N$963,7,FALSE)</f>
        <v>#N/A</v>
      </c>
      <c r="R574" s="797" t="e">
        <f>VLOOKUP(N574,etat!$A$9:$N$1003,9,FALSE)</f>
        <v>#N/A</v>
      </c>
      <c r="S574" s="797" t="e">
        <f>VLOOKUP(N574,etat!$A$9:$P$905,16,FALSE)</f>
        <v>#N/A</v>
      </c>
      <c r="T574" s="755"/>
      <c r="U574" s="791"/>
      <c r="V574" s="784"/>
      <c r="W574" s="784"/>
      <c r="X574" s="784"/>
      <c r="Y574" s="848"/>
      <c r="Z574" s="931" t="str">
        <f>VLOOKUP(L574,اس!$S$3:$X$31,3,FALSE)</f>
        <v>.</v>
      </c>
      <c r="AA574" s="1099"/>
    </row>
    <row r="575" spans="12:27" ht="15.75">
      <c r="L575" s="777">
        <v>5</v>
      </c>
      <c r="M575" s="906"/>
      <c r="N575" s="976">
        <v>0</v>
      </c>
      <c r="O575" s="1020">
        <v>522</v>
      </c>
      <c r="P575" s="847" t="e">
        <f>VLOOKUP(N575,etat!$A$9:$N$1004,2,FALSE)</f>
        <v>#N/A</v>
      </c>
      <c r="Q575" s="797" t="e">
        <f>VLOOKUP(N575,etat!$A$9:$N$963,7,FALSE)</f>
        <v>#N/A</v>
      </c>
      <c r="R575" s="797" t="e">
        <f>VLOOKUP(N575,etat!$A$9:$N$1003,9,FALSE)</f>
        <v>#N/A</v>
      </c>
      <c r="S575" s="797" t="e">
        <f>VLOOKUP(N575,etat!$A$9:$P$905,16,FALSE)</f>
        <v>#N/A</v>
      </c>
      <c r="T575" s="755"/>
      <c r="U575" s="791"/>
      <c r="V575" s="784"/>
      <c r="W575" s="784"/>
      <c r="X575" s="784"/>
      <c r="Y575" s="848"/>
      <c r="Z575" s="931" t="str">
        <f>VLOOKUP(L575,اس!$S$3:$X$31,3,FALSE)</f>
        <v>.</v>
      </c>
      <c r="AA575" s="1099"/>
    </row>
    <row r="576" spans="12:27" ht="15.75">
      <c r="L576" s="777">
        <v>5</v>
      </c>
      <c r="M576" s="906"/>
      <c r="N576" s="976">
        <v>0</v>
      </c>
      <c r="O576" s="1020">
        <v>523</v>
      </c>
      <c r="P576" s="847" t="e">
        <f>VLOOKUP(N576,etat!$A$9:$N$1004,2,FALSE)</f>
        <v>#N/A</v>
      </c>
      <c r="Q576" s="797" t="e">
        <f>VLOOKUP(N576,etat!$A$9:$N$963,7,FALSE)</f>
        <v>#N/A</v>
      </c>
      <c r="R576" s="797" t="e">
        <f>VLOOKUP(N576,etat!$A$9:$N$1003,9,FALSE)</f>
        <v>#N/A</v>
      </c>
      <c r="S576" s="797" t="e">
        <f>VLOOKUP(N576,etat!$A$9:$P$905,16,FALSE)</f>
        <v>#N/A</v>
      </c>
      <c r="T576" s="755"/>
      <c r="U576" s="791"/>
      <c r="V576" s="784"/>
      <c r="W576" s="784"/>
      <c r="X576" s="784"/>
      <c r="Y576" s="848"/>
      <c r="Z576" s="931" t="str">
        <f>VLOOKUP(L576,اس!$S$3:$X$31,3,FALSE)</f>
        <v>.</v>
      </c>
      <c r="AA576" s="1099"/>
    </row>
    <row r="577" spans="12:27" ht="15.75">
      <c r="L577" s="777">
        <v>5</v>
      </c>
      <c r="M577" s="906"/>
      <c r="N577" s="976">
        <v>0</v>
      </c>
      <c r="O577" s="1020">
        <v>524</v>
      </c>
      <c r="P577" s="847" t="e">
        <f>VLOOKUP(N577,etat!$A$9:$N$1004,2,FALSE)</f>
        <v>#N/A</v>
      </c>
      <c r="Q577" s="797" t="e">
        <f>VLOOKUP(N577,etat!$A$9:$N$963,7,FALSE)</f>
        <v>#N/A</v>
      </c>
      <c r="R577" s="797" t="e">
        <f>VLOOKUP(N577,etat!$A$9:$N$1003,9,FALSE)</f>
        <v>#N/A</v>
      </c>
      <c r="S577" s="797" t="e">
        <f>VLOOKUP(N577,etat!$A$9:$P$905,16,FALSE)</f>
        <v>#N/A</v>
      </c>
      <c r="T577" s="755"/>
      <c r="U577" s="791"/>
      <c r="V577" s="784"/>
      <c r="W577" s="784"/>
      <c r="X577" s="784"/>
      <c r="Y577" s="848"/>
      <c r="Z577" s="931" t="str">
        <f>VLOOKUP(L577,اس!$S$3:$X$31,3,FALSE)</f>
        <v>.</v>
      </c>
      <c r="AA577" s="1099"/>
    </row>
    <row r="578" spans="12:27" ht="15.75">
      <c r="L578" s="777">
        <v>5</v>
      </c>
      <c r="M578" s="906"/>
      <c r="N578" s="976">
        <v>0</v>
      </c>
      <c r="O578" s="1020">
        <v>525</v>
      </c>
      <c r="P578" s="847" t="e">
        <f>VLOOKUP(N578,etat!$A$9:$N$1004,2,FALSE)</f>
        <v>#N/A</v>
      </c>
      <c r="Q578" s="797" t="e">
        <f>VLOOKUP(N578,etat!$A$9:$N$963,7,FALSE)</f>
        <v>#N/A</v>
      </c>
      <c r="R578" s="797" t="e">
        <f>VLOOKUP(N578,etat!$A$9:$N$1003,9,FALSE)</f>
        <v>#N/A</v>
      </c>
      <c r="S578" s="797" t="e">
        <f>VLOOKUP(N578,etat!$A$9:$P$905,16,FALSE)</f>
        <v>#N/A</v>
      </c>
      <c r="T578" s="755"/>
      <c r="U578" s="791"/>
      <c r="V578" s="784"/>
      <c r="W578" s="784"/>
      <c r="X578" s="784"/>
      <c r="Y578" s="848"/>
      <c r="Z578" s="931" t="str">
        <f>VLOOKUP(L578,اس!$S$3:$X$31,3,FALSE)</f>
        <v>.</v>
      </c>
      <c r="AA578" s="1099"/>
    </row>
    <row r="579" spans="12:27" ht="15.75">
      <c r="L579" s="777">
        <v>5</v>
      </c>
      <c r="M579" s="906"/>
      <c r="N579" s="976">
        <v>0</v>
      </c>
      <c r="O579" s="1020">
        <v>526</v>
      </c>
      <c r="P579" s="847" t="e">
        <f>VLOOKUP(N579,etat!$A$9:$N$1004,2,FALSE)</f>
        <v>#N/A</v>
      </c>
      <c r="Q579" s="797" t="e">
        <f>VLOOKUP(N579,etat!$A$9:$N$963,7,FALSE)</f>
        <v>#N/A</v>
      </c>
      <c r="R579" s="797" t="e">
        <f>VLOOKUP(N579,etat!$A$9:$N$1003,9,FALSE)</f>
        <v>#N/A</v>
      </c>
      <c r="S579" s="797" t="e">
        <f>VLOOKUP(N579,etat!$A$9:$P$905,16,FALSE)</f>
        <v>#N/A</v>
      </c>
      <c r="T579" s="755"/>
      <c r="U579" s="791"/>
      <c r="V579" s="784"/>
      <c r="W579" s="784"/>
      <c r="X579" s="784"/>
      <c r="Y579" s="848"/>
      <c r="Z579" s="931" t="str">
        <f>VLOOKUP(L579,اس!$S$3:$X$31,3,FALSE)</f>
        <v>.</v>
      </c>
      <c r="AA579" s="1099"/>
    </row>
    <row r="580" spans="12:27" ht="15.75">
      <c r="L580" s="777">
        <v>5</v>
      </c>
      <c r="M580" s="906"/>
      <c r="N580" s="976">
        <v>0</v>
      </c>
      <c r="O580" s="1020">
        <v>527</v>
      </c>
      <c r="P580" s="847" t="e">
        <f>VLOOKUP(N580,etat!$A$9:$N$1004,2,FALSE)</f>
        <v>#N/A</v>
      </c>
      <c r="Q580" s="797" t="e">
        <f>VLOOKUP(N580,etat!$A$9:$N$963,7,FALSE)</f>
        <v>#N/A</v>
      </c>
      <c r="R580" s="797" t="e">
        <f>VLOOKUP(N580,etat!$A$9:$N$1003,9,FALSE)</f>
        <v>#N/A</v>
      </c>
      <c r="S580" s="797" t="e">
        <f>VLOOKUP(N580,etat!$A$9:$P$905,16,FALSE)</f>
        <v>#N/A</v>
      </c>
      <c r="T580" s="755"/>
      <c r="U580" s="791"/>
      <c r="V580" s="784"/>
      <c r="W580" s="784"/>
      <c r="X580" s="784"/>
      <c r="Y580" s="848"/>
      <c r="Z580" s="931" t="str">
        <f>VLOOKUP(L580,اس!$S$3:$X$31,3,FALSE)</f>
        <v>.</v>
      </c>
      <c r="AA580" s="1099"/>
    </row>
    <row r="581" spans="12:27" ht="15.75">
      <c r="L581" s="777">
        <v>5</v>
      </c>
      <c r="M581" s="906"/>
      <c r="N581" s="976">
        <v>0</v>
      </c>
      <c r="O581" s="1020">
        <v>528</v>
      </c>
      <c r="P581" s="847" t="e">
        <f>VLOOKUP(N581,etat!$A$9:$N$1004,2,FALSE)</f>
        <v>#N/A</v>
      </c>
      <c r="Q581" s="797" t="e">
        <f>VLOOKUP(N581,etat!$A$9:$N$963,7,FALSE)</f>
        <v>#N/A</v>
      </c>
      <c r="R581" s="797" t="e">
        <f>VLOOKUP(N581,etat!$A$9:$N$1003,9,FALSE)</f>
        <v>#N/A</v>
      </c>
      <c r="S581" s="797" t="e">
        <f>VLOOKUP(N581,etat!$A$9:$P$905,16,FALSE)</f>
        <v>#N/A</v>
      </c>
      <c r="T581" s="755"/>
      <c r="U581" s="791"/>
      <c r="V581" s="784"/>
      <c r="W581" s="784"/>
      <c r="X581" s="784"/>
      <c r="Y581" s="848"/>
      <c r="Z581" s="931" t="str">
        <f>VLOOKUP(L581,اس!$S$3:$X$31,3,FALSE)</f>
        <v>.</v>
      </c>
      <c r="AA581" s="1099"/>
    </row>
    <row r="582" spans="12:27" ht="15.75">
      <c r="L582" s="777">
        <v>5</v>
      </c>
      <c r="M582" s="906"/>
      <c r="N582" s="976">
        <v>0</v>
      </c>
      <c r="O582" s="1020">
        <v>529</v>
      </c>
      <c r="P582" s="847" t="e">
        <f>VLOOKUP(N582,etat!$A$9:$N$1004,2,FALSE)</f>
        <v>#N/A</v>
      </c>
      <c r="Q582" s="797" t="e">
        <f>VLOOKUP(N582,etat!$A$9:$N$963,7,FALSE)</f>
        <v>#N/A</v>
      </c>
      <c r="R582" s="797" t="e">
        <f>VLOOKUP(N582,etat!$A$9:$N$1003,9,FALSE)</f>
        <v>#N/A</v>
      </c>
      <c r="S582" s="797" t="e">
        <f>VLOOKUP(N582,etat!$A$9:$P$905,16,FALSE)</f>
        <v>#N/A</v>
      </c>
      <c r="T582" s="755"/>
      <c r="U582" s="791"/>
      <c r="V582" s="784"/>
      <c r="W582" s="784"/>
      <c r="X582" s="784"/>
      <c r="Y582" s="848"/>
      <c r="Z582" s="931" t="str">
        <f>VLOOKUP(L582,اس!$S$3:$X$31,3,FALSE)</f>
        <v>.</v>
      </c>
      <c r="AA582" s="1099"/>
    </row>
    <row r="583" spans="12:27" ht="15.75">
      <c r="L583" s="777">
        <v>5</v>
      </c>
      <c r="M583" s="906"/>
      <c r="N583" s="976">
        <v>0</v>
      </c>
      <c r="O583" s="1020">
        <v>530</v>
      </c>
      <c r="P583" s="847" t="e">
        <f>VLOOKUP(N583,etat!$A$9:$N$1004,2,FALSE)</f>
        <v>#N/A</v>
      </c>
      <c r="Q583" s="797" t="e">
        <f>VLOOKUP(N583,etat!$A$9:$N$963,7,FALSE)</f>
        <v>#N/A</v>
      </c>
      <c r="R583" s="797" t="e">
        <f>VLOOKUP(N583,etat!$A$9:$N$1003,9,FALSE)</f>
        <v>#N/A</v>
      </c>
      <c r="S583" s="797" t="e">
        <f>VLOOKUP(N583,etat!$A$9:$P$905,16,FALSE)</f>
        <v>#N/A</v>
      </c>
      <c r="T583" s="755"/>
      <c r="U583" s="791"/>
      <c r="V583" s="784"/>
      <c r="W583" s="784"/>
      <c r="X583" s="784"/>
      <c r="Y583" s="848"/>
      <c r="Z583" s="931" t="str">
        <f>VLOOKUP(L583,اس!$S$3:$X$31,3,FALSE)</f>
        <v>.</v>
      </c>
      <c r="AA583" s="1099"/>
    </row>
    <row r="584" spans="12:27" ht="18.75">
      <c r="L584" s="777">
        <v>5</v>
      </c>
      <c r="M584" s="906"/>
      <c r="N584" s="976">
        <v>0</v>
      </c>
      <c r="O584" s="1020">
        <v>531</v>
      </c>
      <c r="P584" s="860" t="e">
        <f>VLOOKUP(N584,etat!$A$9:$N$1004,2,FALSE)</f>
        <v>#N/A</v>
      </c>
      <c r="Q584" s="797" t="e">
        <f>VLOOKUP(N584,etat!$A$9:$N$963,7,FALSE)</f>
        <v>#N/A</v>
      </c>
      <c r="R584" s="905" t="e">
        <f>VLOOKUP(N584,etat!$A$9:$N$1003,9,FALSE)</f>
        <v>#N/A</v>
      </c>
      <c r="S584" s="797" t="e">
        <f>VLOOKUP(N584,etat!$A$9:$P$905,16,FALSE)</f>
        <v>#N/A</v>
      </c>
      <c r="T584" s="755"/>
      <c r="U584" s="791"/>
      <c r="V584" s="784"/>
      <c r="W584" s="784"/>
      <c r="X584" s="784"/>
      <c r="Y584" s="784"/>
      <c r="Z584" s="965" t="str">
        <f>VLOOKUP(L584,اس!$S$3:$X$31,3,FALSE)</f>
        <v>.</v>
      </c>
      <c r="AA584" s="1099"/>
    </row>
    <row r="585" spans="12:27" ht="18.75">
      <c r="L585" s="777">
        <v>5</v>
      </c>
      <c r="M585" s="906"/>
      <c r="N585" s="976">
        <v>0</v>
      </c>
      <c r="O585" s="1020">
        <v>532</v>
      </c>
      <c r="P585" s="860" t="e">
        <f>VLOOKUP(N585,etat!$A$9:$N$1004,2,FALSE)</f>
        <v>#N/A</v>
      </c>
      <c r="Q585" s="797" t="e">
        <f>VLOOKUP(N585,etat!$A$9:$N$963,7,FALSE)</f>
        <v>#N/A</v>
      </c>
      <c r="R585" s="905" t="e">
        <f>VLOOKUP(N585,etat!$A$9:$N$1003,9,FALSE)</f>
        <v>#N/A</v>
      </c>
      <c r="S585" s="797" t="e">
        <f>VLOOKUP(N585,etat!$A$9:$P$905,16,FALSE)</f>
        <v>#N/A</v>
      </c>
      <c r="T585" s="755"/>
      <c r="U585" s="791"/>
      <c r="V585" s="784"/>
      <c r="W585" s="784"/>
      <c r="X585" s="784"/>
      <c r="Y585" s="784"/>
      <c r="Z585" s="965" t="str">
        <f>VLOOKUP(L585,اس!$S$3:$X$31,3,FALSE)</f>
        <v>.</v>
      </c>
      <c r="AA585" s="1099"/>
    </row>
    <row r="586" spans="12:27" ht="18.75">
      <c r="L586" s="777">
        <v>5</v>
      </c>
      <c r="M586" s="906"/>
      <c r="N586" s="976">
        <v>0</v>
      </c>
      <c r="O586" s="1020">
        <v>533</v>
      </c>
      <c r="P586" s="860" t="e">
        <f>VLOOKUP(N586,etat!$A$9:$N$1004,2,FALSE)</f>
        <v>#N/A</v>
      </c>
      <c r="Q586" s="797" t="e">
        <f>VLOOKUP(N586,etat!$A$9:$N$963,7,FALSE)</f>
        <v>#N/A</v>
      </c>
      <c r="R586" s="905" t="e">
        <f>VLOOKUP(N586,etat!$A$9:$N$1003,9,FALSE)</f>
        <v>#N/A</v>
      </c>
      <c r="S586" s="797" t="e">
        <f>VLOOKUP(N586,etat!$A$9:$P$905,16,FALSE)</f>
        <v>#N/A</v>
      </c>
      <c r="T586" s="755"/>
      <c r="U586" s="791"/>
      <c r="V586" s="784"/>
      <c r="W586" s="784"/>
      <c r="X586" s="784"/>
      <c r="Y586" s="784"/>
      <c r="Z586" s="965" t="str">
        <f>VLOOKUP(L586,اس!$S$3:$X$31,3,FALSE)</f>
        <v>.</v>
      </c>
      <c r="AA586" s="1099"/>
    </row>
    <row r="587" spans="12:27" ht="18.75">
      <c r="L587" s="777">
        <v>5</v>
      </c>
      <c r="M587" s="906"/>
      <c r="N587" s="976">
        <v>0</v>
      </c>
      <c r="O587" s="1020">
        <v>534</v>
      </c>
      <c r="P587" s="860" t="e">
        <f>VLOOKUP(N587,etat!$A$9:$N$1004,2,FALSE)</f>
        <v>#N/A</v>
      </c>
      <c r="Q587" s="797" t="e">
        <f>VLOOKUP(N587,etat!$A$9:$N$963,7,FALSE)</f>
        <v>#N/A</v>
      </c>
      <c r="R587" s="905" t="e">
        <f>VLOOKUP(N587,etat!$A$9:$N$1003,9,FALSE)</f>
        <v>#N/A</v>
      </c>
      <c r="S587" s="797" t="e">
        <f>VLOOKUP(N587,etat!$A$9:$P$905,16,FALSE)</f>
        <v>#N/A</v>
      </c>
      <c r="T587" s="755"/>
      <c r="U587" s="791"/>
      <c r="V587" s="784"/>
      <c r="W587" s="784"/>
      <c r="X587" s="784"/>
      <c r="Y587" s="784"/>
      <c r="Z587" s="965" t="str">
        <f>VLOOKUP(L587,اس!$S$3:$X$31,3,FALSE)</f>
        <v>.</v>
      </c>
      <c r="AA587" s="1099"/>
    </row>
    <row r="588" spans="12:27" ht="18.75">
      <c r="L588" s="777">
        <v>5</v>
      </c>
      <c r="M588" s="906"/>
      <c r="N588" s="976">
        <v>0</v>
      </c>
      <c r="O588" s="1020">
        <v>535</v>
      </c>
      <c r="P588" s="860" t="e">
        <f>VLOOKUP(N588,etat!$A$9:$N$1004,2,FALSE)</f>
        <v>#N/A</v>
      </c>
      <c r="Q588" s="797" t="e">
        <f>VLOOKUP(N588,etat!$A$9:$N$963,7,FALSE)</f>
        <v>#N/A</v>
      </c>
      <c r="R588" s="905" t="e">
        <f>VLOOKUP(N588,etat!$A$9:$N$1003,9,FALSE)</f>
        <v>#N/A</v>
      </c>
      <c r="S588" s="797" t="e">
        <f>VLOOKUP(N588,etat!$A$9:$P$905,16,FALSE)</f>
        <v>#N/A</v>
      </c>
      <c r="T588" s="755"/>
      <c r="U588" s="791"/>
      <c r="V588" s="784"/>
      <c r="W588" s="784"/>
      <c r="X588" s="784"/>
      <c r="Y588" s="784"/>
      <c r="Z588" s="965" t="str">
        <f>VLOOKUP(L588,اس!$S$3:$X$31,3,FALSE)</f>
        <v>.</v>
      </c>
      <c r="AA588" s="1099"/>
    </row>
    <row r="589" spans="12:27" ht="18.75">
      <c r="L589" s="777">
        <v>5</v>
      </c>
      <c r="M589" s="906"/>
      <c r="N589" s="976">
        <v>0</v>
      </c>
      <c r="O589" s="1020">
        <v>536</v>
      </c>
      <c r="P589" s="860" t="e">
        <f>VLOOKUP(N589,etat!$A$9:$N$1004,2,FALSE)</f>
        <v>#N/A</v>
      </c>
      <c r="Q589" s="797" t="e">
        <f>VLOOKUP(N589,etat!$A$9:$N$963,7,FALSE)</f>
        <v>#N/A</v>
      </c>
      <c r="R589" s="905" t="e">
        <f>VLOOKUP(N589,etat!$A$9:$N$1003,9,FALSE)</f>
        <v>#N/A</v>
      </c>
      <c r="S589" s="797" t="e">
        <f>VLOOKUP(N589,etat!$A$9:$P$905,16,FALSE)</f>
        <v>#N/A</v>
      </c>
      <c r="T589" s="755"/>
      <c r="U589" s="791"/>
      <c r="V589" s="784"/>
      <c r="W589" s="784"/>
      <c r="X589" s="784"/>
      <c r="Y589" s="784"/>
      <c r="Z589" s="965" t="str">
        <f>VLOOKUP(L589,اس!$S$3:$X$31,3,FALSE)</f>
        <v>.</v>
      </c>
      <c r="AA589" s="1099"/>
    </row>
    <row r="590" spans="12:27" ht="18.75">
      <c r="L590" s="777">
        <v>5</v>
      </c>
      <c r="M590" s="906"/>
      <c r="N590" s="976">
        <v>0</v>
      </c>
      <c r="O590" s="1020">
        <v>537</v>
      </c>
      <c r="P590" s="860" t="e">
        <f>VLOOKUP(N590,etat!$A$9:$N$1004,2,FALSE)</f>
        <v>#N/A</v>
      </c>
      <c r="Q590" s="797" t="e">
        <f>VLOOKUP(N590,etat!$A$9:$N$963,7,FALSE)</f>
        <v>#N/A</v>
      </c>
      <c r="R590" s="905" t="e">
        <f>VLOOKUP(N590,etat!$A$9:$N$1003,9,FALSE)</f>
        <v>#N/A</v>
      </c>
      <c r="S590" s="797" t="e">
        <f>VLOOKUP(N590,etat!$A$9:$P$905,16,FALSE)</f>
        <v>#N/A</v>
      </c>
      <c r="T590" s="755"/>
      <c r="U590" s="791"/>
      <c r="V590" s="784"/>
      <c r="W590" s="784"/>
      <c r="X590" s="784"/>
      <c r="Y590" s="784"/>
      <c r="Z590" s="965" t="str">
        <f>VLOOKUP(L590,اس!$S$3:$X$31,3,FALSE)</f>
        <v>.</v>
      </c>
      <c r="AA590" s="1099"/>
    </row>
    <row r="591" spans="12:27" ht="18.75">
      <c r="L591" s="777">
        <v>5</v>
      </c>
      <c r="M591" s="906"/>
      <c r="N591" s="976">
        <v>0</v>
      </c>
      <c r="O591" s="1020">
        <v>538</v>
      </c>
      <c r="P591" s="860" t="e">
        <f>VLOOKUP(N591,etat!$A$9:$N$1004,2,FALSE)</f>
        <v>#N/A</v>
      </c>
      <c r="Q591" s="797" t="e">
        <f>VLOOKUP(N591,etat!$A$9:$N$963,7,FALSE)</f>
        <v>#N/A</v>
      </c>
      <c r="R591" s="905" t="e">
        <f>VLOOKUP(N591,etat!$A$9:$N$1003,9,FALSE)</f>
        <v>#N/A</v>
      </c>
      <c r="S591" s="797" t="e">
        <f>VLOOKUP(N591,etat!$A$9:$P$905,16,FALSE)</f>
        <v>#N/A</v>
      </c>
      <c r="T591" s="755"/>
      <c r="U591" s="791"/>
      <c r="V591" s="784"/>
      <c r="W591" s="784"/>
      <c r="X591" s="784"/>
      <c r="Y591" s="784"/>
      <c r="Z591" s="965" t="str">
        <f>VLOOKUP(L591,اس!$S$3:$X$31,3,FALSE)</f>
        <v>.</v>
      </c>
      <c r="AA591" s="1099"/>
    </row>
    <row r="592" spans="12:27" ht="18.75">
      <c r="L592" s="777">
        <v>5</v>
      </c>
      <c r="M592" s="906"/>
      <c r="N592" s="976">
        <v>0</v>
      </c>
      <c r="O592" s="1020">
        <v>539</v>
      </c>
      <c r="P592" s="860" t="e">
        <f>VLOOKUP(N592,etat!$A$9:$N$1004,2,FALSE)</f>
        <v>#N/A</v>
      </c>
      <c r="Q592" s="797" t="e">
        <f>VLOOKUP(N592,etat!$A$9:$N$963,7,FALSE)</f>
        <v>#N/A</v>
      </c>
      <c r="R592" s="905" t="e">
        <f>VLOOKUP(N592,etat!$A$9:$N$1003,9,FALSE)</f>
        <v>#N/A</v>
      </c>
      <c r="S592" s="797" t="e">
        <f>VLOOKUP(N592,etat!$A$9:$P$905,16,FALSE)</f>
        <v>#N/A</v>
      </c>
      <c r="T592" s="755"/>
      <c r="U592" s="791"/>
      <c r="V592" s="784"/>
      <c r="W592" s="784"/>
      <c r="X592" s="784"/>
      <c r="Y592" s="784"/>
      <c r="Z592" s="965" t="str">
        <f>VLOOKUP(L592,اس!$S$3:$X$31,3,FALSE)</f>
        <v>.</v>
      </c>
      <c r="AA592" s="1099"/>
    </row>
    <row r="593" spans="12:27" ht="18.75">
      <c r="L593" s="777">
        <v>5</v>
      </c>
      <c r="M593" s="906"/>
      <c r="N593" s="976">
        <v>0</v>
      </c>
      <c r="O593" s="1020">
        <v>540</v>
      </c>
      <c r="P593" s="860" t="e">
        <f>VLOOKUP(N593,etat!$A$9:$N$1004,2,FALSE)</f>
        <v>#N/A</v>
      </c>
      <c r="Q593" s="797" t="e">
        <f>VLOOKUP(N593,etat!$A$9:$N$963,7,FALSE)</f>
        <v>#N/A</v>
      </c>
      <c r="R593" s="905" t="e">
        <f>VLOOKUP(N593,etat!$A$9:$N$1003,9,FALSE)</f>
        <v>#N/A</v>
      </c>
      <c r="S593" s="797" t="e">
        <f>VLOOKUP(N593,etat!$A$9:$P$905,16,FALSE)</f>
        <v>#N/A</v>
      </c>
      <c r="T593" s="755"/>
      <c r="U593" s="791"/>
      <c r="V593" s="784"/>
      <c r="W593" s="784"/>
      <c r="X593" s="784"/>
      <c r="Y593" s="784"/>
      <c r="Z593" s="965" t="str">
        <f>VLOOKUP(L593,اس!$S$3:$X$31,3,FALSE)</f>
        <v>.</v>
      </c>
      <c r="AA593" s="1099"/>
    </row>
    <row r="594" spans="12:27" ht="18.75">
      <c r="L594" s="777">
        <v>5</v>
      </c>
      <c r="M594" s="906"/>
      <c r="N594" s="976">
        <v>0</v>
      </c>
      <c r="O594" s="1020">
        <v>541</v>
      </c>
      <c r="P594" s="860" t="e">
        <f>VLOOKUP(N594,etat!$A$9:$N$1004,2,FALSE)</f>
        <v>#N/A</v>
      </c>
      <c r="Q594" s="797" t="e">
        <f>VLOOKUP(N594,etat!$A$9:$N$963,7,FALSE)</f>
        <v>#N/A</v>
      </c>
      <c r="R594" s="905" t="e">
        <f>VLOOKUP(N594,etat!$A$9:$N$1003,9,FALSE)</f>
        <v>#N/A</v>
      </c>
      <c r="S594" s="797" t="e">
        <f>VLOOKUP(N594,etat!$A$9:$P$905,16,FALSE)</f>
        <v>#N/A</v>
      </c>
      <c r="T594" s="755"/>
      <c r="U594" s="791"/>
      <c r="V594" s="784"/>
      <c r="W594" s="784"/>
      <c r="X594" s="784"/>
      <c r="Y594" s="784"/>
      <c r="Z594" s="965" t="str">
        <f>VLOOKUP(L594,اس!$S$3:$X$31,3,FALSE)</f>
        <v>.</v>
      </c>
      <c r="AA594" s="1099"/>
    </row>
    <row r="595" spans="12:27" ht="18.75">
      <c r="L595" s="777">
        <v>5</v>
      </c>
      <c r="M595" s="906"/>
      <c r="N595" s="976">
        <v>0</v>
      </c>
      <c r="O595" s="1020">
        <v>542</v>
      </c>
      <c r="P595" s="860" t="e">
        <f>VLOOKUP(N595,etat!$A$9:$N$1004,2,FALSE)</f>
        <v>#N/A</v>
      </c>
      <c r="Q595" s="797" t="e">
        <f>VLOOKUP(N595,etat!$A$9:$N$963,7,FALSE)</f>
        <v>#N/A</v>
      </c>
      <c r="R595" s="905" t="e">
        <f>VLOOKUP(N595,etat!$A$9:$N$1003,9,FALSE)</f>
        <v>#N/A</v>
      </c>
      <c r="S595" s="797" t="e">
        <f>VLOOKUP(N595,etat!$A$9:$P$905,16,FALSE)</f>
        <v>#N/A</v>
      </c>
      <c r="T595" s="755"/>
      <c r="U595" s="791"/>
      <c r="V595" s="784"/>
      <c r="W595" s="784"/>
      <c r="X595" s="784"/>
      <c r="Y595" s="784"/>
      <c r="Z595" s="965" t="str">
        <f>VLOOKUP(L595,اس!$S$3:$X$31,3,FALSE)</f>
        <v>.</v>
      </c>
      <c r="AA595" s="1099"/>
    </row>
    <row r="596" spans="12:27" ht="18.75">
      <c r="L596" s="777">
        <v>5</v>
      </c>
      <c r="M596" s="906"/>
      <c r="N596" s="976">
        <v>0</v>
      </c>
      <c r="O596" s="1020">
        <v>543</v>
      </c>
      <c r="P596" s="860" t="e">
        <f>VLOOKUP(N596,etat!$A$9:$N$1004,2,FALSE)</f>
        <v>#N/A</v>
      </c>
      <c r="Q596" s="797" t="e">
        <f>VLOOKUP(N596,etat!$A$9:$N$963,7,FALSE)</f>
        <v>#N/A</v>
      </c>
      <c r="R596" s="905" t="e">
        <f>VLOOKUP(N596,etat!$A$9:$N$1003,9,FALSE)</f>
        <v>#N/A</v>
      </c>
      <c r="S596" s="797" t="e">
        <f>VLOOKUP(N596,etat!$A$9:$P$905,16,FALSE)</f>
        <v>#N/A</v>
      </c>
      <c r="T596" s="755"/>
      <c r="U596" s="791"/>
      <c r="V596" s="784"/>
      <c r="W596" s="784"/>
      <c r="X596" s="784"/>
      <c r="Y596" s="784"/>
      <c r="Z596" s="965" t="str">
        <f>VLOOKUP(L596,اس!$S$3:$X$31,3,FALSE)</f>
        <v>.</v>
      </c>
      <c r="AA596" s="1099"/>
    </row>
    <row r="597" spans="12:27" ht="18.75">
      <c r="L597" s="777">
        <v>5</v>
      </c>
      <c r="M597" s="906"/>
      <c r="N597" s="976">
        <v>0</v>
      </c>
      <c r="O597" s="1020">
        <v>544</v>
      </c>
      <c r="P597" s="860" t="e">
        <f>VLOOKUP(N597,etat!$A$9:$N$1004,2,FALSE)</f>
        <v>#N/A</v>
      </c>
      <c r="Q597" s="797" t="e">
        <f>VLOOKUP(N597,etat!$A$9:$N$963,7,FALSE)</f>
        <v>#N/A</v>
      </c>
      <c r="R597" s="905" t="e">
        <f>VLOOKUP(N597,etat!$A$9:$N$1003,9,FALSE)</f>
        <v>#N/A</v>
      </c>
      <c r="S597" s="797" t="e">
        <f>VLOOKUP(N597,etat!$A$9:$P$905,16,FALSE)</f>
        <v>#N/A</v>
      </c>
      <c r="T597" s="755"/>
      <c r="U597" s="791"/>
      <c r="V597" s="784"/>
      <c r="W597" s="784"/>
      <c r="X597" s="784"/>
      <c r="Y597" s="784"/>
      <c r="Z597" s="965" t="str">
        <f>VLOOKUP(L597,اس!$S$3:$X$31,3,FALSE)</f>
        <v>.</v>
      </c>
      <c r="AA597" s="1099"/>
    </row>
    <row r="598" spans="12:27" ht="18.75">
      <c r="L598" s="777">
        <v>5</v>
      </c>
      <c r="M598" s="906"/>
      <c r="N598" s="976">
        <v>0</v>
      </c>
      <c r="O598" s="1020">
        <v>545</v>
      </c>
      <c r="P598" s="860" t="e">
        <f>VLOOKUP(N598,etat!$A$9:$N$1004,2,FALSE)</f>
        <v>#N/A</v>
      </c>
      <c r="Q598" s="797" t="e">
        <f>VLOOKUP(N598,etat!$A$9:$N$963,7,FALSE)</f>
        <v>#N/A</v>
      </c>
      <c r="R598" s="905" t="e">
        <f>VLOOKUP(N598,etat!$A$9:$N$1003,9,FALSE)</f>
        <v>#N/A</v>
      </c>
      <c r="S598" s="797" t="e">
        <f>VLOOKUP(N598,etat!$A$9:$P$905,16,FALSE)</f>
        <v>#N/A</v>
      </c>
      <c r="T598" s="755"/>
      <c r="U598" s="791"/>
      <c r="V598" s="784"/>
      <c r="W598" s="784"/>
      <c r="X598" s="784"/>
      <c r="Y598" s="784"/>
      <c r="Z598" s="965" t="str">
        <f>VLOOKUP(L598,اس!$S$3:$X$31,3,FALSE)</f>
        <v>.</v>
      </c>
      <c r="AA598" s="1099"/>
    </row>
    <row r="599" spans="12:27" ht="18.75">
      <c r="L599" s="777">
        <v>5</v>
      </c>
      <c r="M599" s="906"/>
      <c r="N599" s="976">
        <v>0</v>
      </c>
      <c r="O599" s="1020">
        <v>546</v>
      </c>
      <c r="P599" s="860" t="e">
        <f>VLOOKUP(N599,etat!$A$9:$N$1004,2,FALSE)</f>
        <v>#N/A</v>
      </c>
      <c r="Q599" s="797" t="e">
        <f>VLOOKUP(N599,etat!$A$9:$N$963,7,FALSE)</f>
        <v>#N/A</v>
      </c>
      <c r="R599" s="905" t="e">
        <f>VLOOKUP(N599,etat!$A$9:$N$1003,9,FALSE)</f>
        <v>#N/A</v>
      </c>
      <c r="S599" s="797" t="e">
        <f>VLOOKUP(N599,etat!$A$9:$P$905,16,FALSE)</f>
        <v>#N/A</v>
      </c>
      <c r="T599" s="755"/>
      <c r="U599" s="791"/>
      <c r="V599" s="784"/>
      <c r="W599" s="784"/>
      <c r="X599" s="784"/>
      <c r="Y599" s="784"/>
      <c r="Z599" s="965" t="str">
        <f>VLOOKUP(L599,اس!$S$3:$X$31,3,FALSE)</f>
        <v>.</v>
      </c>
      <c r="AA599" s="1099"/>
    </row>
    <row r="600" spans="12:27" ht="18.75">
      <c r="L600" s="777">
        <v>5</v>
      </c>
      <c r="M600" s="906"/>
      <c r="N600" s="976">
        <v>0</v>
      </c>
      <c r="O600" s="1020">
        <v>547</v>
      </c>
      <c r="P600" s="860" t="e">
        <f>VLOOKUP(N600,etat!$A$9:$N$1004,2,FALSE)</f>
        <v>#N/A</v>
      </c>
      <c r="Q600" s="797" t="e">
        <f>VLOOKUP(N600,etat!$A$9:$N$963,7,FALSE)</f>
        <v>#N/A</v>
      </c>
      <c r="R600" s="905" t="e">
        <f>VLOOKUP(N600,etat!$A$9:$N$1003,9,FALSE)</f>
        <v>#N/A</v>
      </c>
      <c r="S600" s="797" t="e">
        <f>VLOOKUP(N600,etat!$A$9:$P$905,16,FALSE)</f>
        <v>#N/A</v>
      </c>
      <c r="T600" s="755"/>
      <c r="U600" s="791"/>
      <c r="V600" s="784"/>
      <c r="W600" s="784"/>
      <c r="X600" s="784"/>
      <c r="Y600" s="784"/>
      <c r="Z600" s="965" t="str">
        <f>VLOOKUP(L600,اس!$S$3:$X$31,3,FALSE)</f>
        <v>.</v>
      </c>
      <c r="AA600" s="1099"/>
    </row>
    <row r="601" spans="12:27" ht="18.75">
      <c r="L601" s="777">
        <v>5</v>
      </c>
      <c r="M601" s="906"/>
      <c r="N601" s="976">
        <v>0</v>
      </c>
      <c r="O601" s="1020">
        <v>548</v>
      </c>
      <c r="P601" s="860" t="e">
        <f>VLOOKUP(N601,etat!$A$9:$N$1004,2,FALSE)</f>
        <v>#N/A</v>
      </c>
      <c r="Q601" s="797" t="e">
        <f>VLOOKUP(N601,etat!$A$9:$N$963,7,FALSE)</f>
        <v>#N/A</v>
      </c>
      <c r="R601" s="905" t="e">
        <f>VLOOKUP(N601,etat!$A$9:$N$1003,9,FALSE)</f>
        <v>#N/A</v>
      </c>
      <c r="S601" s="797" t="e">
        <f>VLOOKUP(N601,etat!$A$9:$P$905,16,FALSE)</f>
        <v>#N/A</v>
      </c>
      <c r="T601" s="755"/>
      <c r="U601" s="791"/>
      <c r="V601" s="784"/>
      <c r="W601" s="784"/>
      <c r="X601" s="784"/>
      <c r="Y601" s="784"/>
      <c r="Z601" s="965" t="str">
        <f>VLOOKUP(L601,اس!$S$3:$X$31,3,FALSE)</f>
        <v>.</v>
      </c>
      <c r="AA601" s="1099"/>
    </row>
    <row r="602" spans="12:27" ht="18.75">
      <c r="L602" s="777">
        <v>5</v>
      </c>
      <c r="M602" s="906"/>
      <c r="N602" s="976">
        <v>0</v>
      </c>
      <c r="O602" s="1020">
        <v>549</v>
      </c>
      <c r="P602" s="860" t="e">
        <f>VLOOKUP(N602,etat!$A$9:$N$1004,2,FALSE)</f>
        <v>#N/A</v>
      </c>
      <c r="Q602" s="797" t="e">
        <f>VLOOKUP(N602,etat!$A$9:$N$963,7,FALSE)</f>
        <v>#N/A</v>
      </c>
      <c r="R602" s="905" t="e">
        <f>VLOOKUP(N602,etat!$A$9:$N$1003,9,FALSE)</f>
        <v>#N/A</v>
      </c>
      <c r="S602" s="797" t="e">
        <f>VLOOKUP(N602,etat!$A$9:$P$905,16,FALSE)</f>
        <v>#N/A</v>
      </c>
      <c r="T602" s="755"/>
      <c r="U602" s="791"/>
      <c r="V602" s="784"/>
      <c r="W602" s="784"/>
      <c r="X602" s="784"/>
      <c r="Y602" s="784"/>
      <c r="Z602" s="965" t="str">
        <f>VLOOKUP(L602,اس!$S$3:$X$31,3,FALSE)</f>
        <v>.</v>
      </c>
      <c r="AA602" s="1099"/>
    </row>
    <row r="603" spans="12:27" ht="18.75">
      <c r="L603" s="777">
        <v>5</v>
      </c>
      <c r="M603" s="906"/>
      <c r="N603" s="976">
        <v>0</v>
      </c>
      <c r="O603" s="1020">
        <v>550</v>
      </c>
      <c r="P603" s="860" t="e">
        <f>VLOOKUP(N603,etat!$A$9:$N$1004,2,FALSE)</f>
        <v>#N/A</v>
      </c>
      <c r="Q603" s="797" t="e">
        <f>VLOOKUP(N603,etat!$A$9:$N$963,7,FALSE)</f>
        <v>#N/A</v>
      </c>
      <c r="R603" s="905" t="e">
        <f>VLOOKUP(N603,etat!$A$9:$N$1003,9,FALSE)</f>
        <v>#N/A</v>
      </c>
      <c r="S603" s="797" t="e">
        <f>VLOOKUP(N603,etat!$A$9:$P$905,16,FALSE)</f>
        <v>#N/A</v>
      </c>
      <c r="T603" s="755"/>
      <c r="U603" s="791"/>
      <c r="V603" s="784"/>
      <c r="W603" s="784"/>
      <c r="X603" s="784"/>
      <c r="Y603" s="784"/>
      <c r="Z603" s="965" t="str">
        <f>VLOOKUP(L603,اس!$S$3:$X$31,3,FALSE)</f>
        <v>.</v>
      </c>
      <c r="AA603" s="1099"/>
    </row>
    <row r="604" spans="12:27" ht="18.75">
      <c r="L604" s="777">
        <v>5</v>
      </c>
      <c r="M604" s="906"/>
      <c r="N604" s="976">
        <v>0</v>
      </c>
      <c r="O604" s="1020">
        <v>551</v>
      </c>
      <c r="P604" s="860" t="e">
        <f>VLOOKUP(N604,etat!$A$9:$N$1004,2,FALSE)</f>
        <v>#N/A</v>
      </c>
      <c r="Q604" s="797" t="e">
        <f>VLOOKUP(N604,etat!$A$9:$N$963,7,FALSE)</f>
        <v>#N/A</v>
      </c>
      <c r="R604" s="905" t="e">
        <f>VLOOKUP(N604,etat!$A$9:$N$1003,9,FALSE)</f>
        <v>#N/A</v>
      </c>
      <c r="S604" s="797" t="e">
        <f>VLOOKUP(N604,etat!$A$9:$P$905,16,FALSE)</f>
        <v>#N/A</v>
      </c>
      <c r="T604" s="755"/>
      <c r="U604" s="791"/>
      <c r="V604" s="784"/>
      <c r="W604" s="784"/>
      <c r="X604" s="784"/>
      <c r="Y604" s="784"/>
      <c r="Z604" s="965" t="str">
        <f>VLOOKUP(L604,اس!$S$3:$X$31,3,FALSE)</f>
        <v>.</v>
      </c>
      <c r="AA604" s="1099"/>
    </row>
    <row r="605" spans="12:27" ht="18.75">
      <c r="L605" s="777">
        <v>5</v>
      </c>
      <c r="M605" s="906"/>
      <c r="N605" s="976">
        <v>0</v>
      </c>
      <c r="O605" s="1020">
        <v>552</v>
      </c>
      <c r="P605" s="860" t="e">
        <f>VLOOKUP(N605,etat!$A$9:$N$1004,2,FALSE)</f>
        <v>#N/A</v>
      </c>
      <c r="Q605" s="797" t="e">
        <f>VLOOKUP(N605,etat!$A$9:$N$963,7,FALSE)</f>
        <v>#N/A</v>
      </c>
      <c r="R605" s="905" t="e">
        <f>VLOOKUP(N605,etat!$A$9:$N$1003,9,FALSE)</f>
        <v>#N/A</v>
      </c>
      <c r="S605" s="797" t="e">
        <f>VLOOKUP(N605,etat!$A$9:$P$905,16,FALSE)</f>
        <v>#N/A</v>
      </c>
      <c r="T605" s="755"/>
      <c r="U605" s="791"/>
      <c r="V605" s="784"/>
      <c r="W605" s="784"/>
      <c r="X605" s="784"/>
      <c r="Y605" s="784"/>
      <c r="Z605" s="965" t="str">
        <f>VLOOKUP(L605,اس!$S$3:$X$31,3,FALSE)</f>
        <v>.</v>
      </c>
      <c r="AA605" s="1099"/>
    </row>
    <row r="606" spans="12:27" ht="18.75">
      <c r="L606" s="777">
        <v>5</v>
      </c>
      <c r="M606" s="906"/>
      <c r="N606" s="976">
        <v>0</v>
      </c>
      <c r="O606" s="1020">
        <v>553</v>
      </c>
      <c r="P606" s="860" t="e">
        <f>VLOOKUP(N606,etat!$A$9:$N$1004,2,FALSE)</f>
        <v>#N/A</v>
      </c>
      <c r="Q606" s="797" t="e">
        <f>VLOOKUP(N606,etat!$A$9:$N$963,7,FALSE)</f>
        <v>#N/A</v>
      </c>
      <c r="R606" s="905" t="e">
        <f>VLOOKUP(N606,etat!$A$9:$N$1003,9,FALSE)</f>
        <v>#N/A</v>
      </c>
      <c r="S606" s="797" t="e">
        <f>VLOOKUP(N606,etat!$A$9:$P$905,16,FALSE)</f>
        <v>#N/A</v>
      </c>
      <c r="T606" s="755"/>
      <c r="U606" s="791"/>
      <c r="V606" s="784"/>
      <c r="W606" s="784"/>
      <c r="X606" s="784"/>
      <c r="Y606" s="784"/>
      <c r="Z606" s="965" t="str">
        <f>VLOOKUP(L606,اس!$S$3:$X$31,3,FALSE)</f>
        <v>.</v>
      </c>
      <c r="AA606" s="1099"/>
    </row>
    <row r="607" spans="12:27" ht="18.75">
      <c r="L607" s="777">
        <v>5</v>
      </c>
      <c r="M607" s="906"/>
      <c r="N607" s="976">
        <v>0</v>
      </c>
      <c r="O607" s="1020">
        <v>554</v>
      </c>
      <c r="P607" s="860" t="e">
        <f>VLOOKUP(N607,etat!$A$9:$N$1004,2,FALSE)</f>
        <v>#N/A</v>
      </c>
      <c r="Q607" s="797" t="e">
        <f>VLOOKUP(N607,etat!$A$9:$N$963,7,FALSE)</f>
        <v>#N/A</v>
      </c>
      <c r="R607" s="905" t="e">
        <f>VLOOKUP(N607,etat!$A$9:$N$1003,9,FALSE)</f>
        <v>#N/A</v>
      </c>
      <c r="S607" s="797" t="e">
        <f>VLOOKUP(N607,etat!$A$9:$P$905,16,FALSE)</f>
        <v>#N/A</v>
      </c>
      <c r="T607" s="755"/>
      <c r="U607" s="791"/>
      <c r="V607" s="784"/>
      <c r="W607" s="784"/>
      <c r="X607" s="784"/>
      <c r="Y607" s="784"/>
      <c r="Z607" s="965" t="str">
        <f>VLOOKUP(L607,اس!$S$3:$X$31,3,FALSE)</f>
        <v>.</v>
      </c>
      <c r="AA607" s="1099"/>
    </row>
    <row r="608" spans="12:27" ht="18.75">
      <c r="L608" s="777">
        <v>5</v>
      </c>
      <c r="M608" s="906"/>
      <c r="N608" s="976">
        <v>0</v>
      </c>
      <c r="O608" s="1020">
        <v>555</v>
      </c>
      <c r="P608" s="860" t="e">
        <f>VLOOKUP(N608,etat!$A$9:$N$1004,2,FALSE)</f>
        <v>#N/A</v>
      </c>
      <c r="Q608" s="797" t="e">
        <f>VLOOKUP(N608,etat!$A$9:$N$963,7,FALSE)</f>
        <v>#N/A</v>
      </c>
      <c r="R608" s="905" t="e">
        <f>VLOOKUP(N608,etat!$A$9:$N$1003,9,FALSE)</f>
        <v>#N/A</v>
      </c>
      <c r="S608" s="797" t="e">
        <f>VLOOKUP(N608,etat!$A$9:$P$905,16,FALSE)</f>
        <v>#N/A</v>
      </c>
      <c r="T608" s="755"/>
      <c r="U608" s="791"/>
      <c r="V608" s="784"/>
      <c r="W608" s="784"/>
      <c r="X608" s="784"/>
      <c r="Y608" s="784"/>
      <c r="Z608" s="965" t="str">
        <f>VLOOKUP(L608,اس!$S$3:$X$31,3,FALSE)</f>
        <v>.</v>
      </c>
      <c r="AA608" s="1099"/>
    </row>
    <row r="609" spans="12:27" ht="18.75">
      <c r="L609" s="777">
        <v>5</v>
      </c>
      <c r="M609" s="906"/>
      <c r="N609" s="976">
        <v>0</v>
      </c>
      <c r="O609" s="1020">
        <v>556</v>
      </c>
      <c r="P609" s="860" t="e">
        <f>VLOOKUP(N609,etat!$A$9:$N$1004,2,FALSE)</f>
        <v>#N/A</v>
      </c>
      <c r="Q609" s="797" t="e">
        <f>VLOOKUP(N609,etat!$A$9:$N$963,7,FALSE)</f>
        <v>#N/A</v>
      </c>
      <c r="R609" s="905" t="e">
        <f>VLOOKUP(N609,etat!$A$9:$N$1003,9,FALSE)</f>
        <v>#N/A</v>
      </c>
      <c r="S609" s="797" t="e">
        <f>VLOOKUP(N609,etat!$A$9:$P$905,16,FALSE)</f>
        <v>#N/A</v>
      </c>
      <c r="T609" s="755"/>
      <c r="U609" s="791"/>
      <c r="V609" s="784"/>
      <c r="W609" s="784"/>
      <c r="X609" s="784"/>
      <c r="Y609" s="784"/>
      <c r="Z609" s="965" t="str">
        <f>VLOOKUP(L609,اس!$S$3:$X$31,3,FALSE)</f>
        <v>.</v>
      </c>
      <c r="AA609" s="1099"/>
    </row>
    <row r="610" spans="12:27" ht="18.75">
      <c r="L610" s="777">
        <v>5</v>
      </c>
      <c r="M610" s="906"/>
      <c r="N610" s="976">
        <v>0</v>
      </c>
      <c r="O610" s="1020">
        <v>557</v>
      </c>
      <c r="P610" s="860" t="e">
        <f>VLOOKUP(N610,etat!$A$9:$N$1004,2,FALSE)</f>
        <v>#N/A</v>
      </c>
      <c r="Q610" s="797" t="e">
        <f>VLOOKUP(N610,etat!$A$9:$N$963,7,FALSE)</f>
        <v>#N/A</v>
      </c>
      <c r="R610" s="905" t="e">
        <f>VLOOKUP(N610,etat!$A$9:$N$1003,9,FALSE)</f>
        <v>#N/A</v>
      </c>
      <c r="S610" s="797" t="e">
        <f>VLOOKUP(N610,etat!$A$9:$P$905,16,FALSE)</f>
        <v>#N/A</v>
      </c>
      <c r="T610" s="755"/>
      <c r="U610" s="791"/>
      <c r="V610" s="784"/>
      <c r="W610" s="784"/>
      <c r="X610" s="784"/>
      <c r="Y610" s="784"/>
      <c r="Z610" s="965" t="str">
        <f>VLOOKUP(L610,اس!$S$3:$X$31,3,FALSE)</f>
        <v>.</v>
      </c>
      <c r="AA610" s="1099"/>
    </row>
    <row r="611" spans="12:27" ht="18.75">
      <c r="L611" s="777">
        <v>5</v>
      </c>
      <c r="M611" s="906"/>
      <c r="N611" s="976">
        <v>0</v>
      </c>
      <c r="O611" s="1020">
        <v>558</v>
      </c>
      <c r="P611" s="860" t="e">
        <f>VLOOKUP(N611,etat!$A$9:$N$1004,2,FALSE)</f>
        <v>#N/A</v>
      </c>
      <c r="Q611" s="797" t="e">
        <f>VLOOKUP(N611,etat!$A$9:$N$963,7,FALSE)</f>
        <v>#N/A</v>
      </c>
      <c r="R611" s="905" t="e">
        <f>VLOOKUP(N611,etat!$A$9:$N$1003,9,FALSE)</f>
        <v>#N/A</v>
      </c>
      <c r="S611" s="797" t="e">
        <f>VLOOKUP(N611,etat!$A$9:$P$905,16,FALSE)</f>
        <v>#N/A</v>
      </c>
      <c r="T611" s="755"/>
      <c r="U611" s="791"/>
      <c r="V611" s="784"/>
      <c r="W611" s="784"/>
      <c r="X611" s="784"/>
      <c r="Y611" s="784"/>
      <c r="Z611" s="965" t="str">
        <f>VLOOKUP(L611,اس!$S$3:$X$31,3,FALSE)</f>
        <v>.</v>
      </c>
      <c r="AA611" s="1099"/>
    </row>
    <row r="612" spans="12:27" ht="18.75">
      <c r="L612" s="777">
        <v>5</v>
      </c>
      <c r="M612" s="906"/>
      <c r="N612" s="976">
        <v>0</v>
      </c>
      <c r="O612" s="1020">
        <v>559</v>
      </c>
      <c r="P612" s="860" t="e">
        <f>VLOOKUP(N612,etat!$A$9:$N$1004,2,FALSE)</f>
        <v>#N/A</v>
      </c>
      <c r="Q612" s="797" t="e">
        <f>VLOOKUP(N612,etat!$A$9:$N$963,7,FALSE)</f>
        <v>#N/A</v>
      </c>
      <c r="R612" s="905" t="e">
        <f>VLOOKUP(N612,etat!$A$9:$N$1003,9,FALSE)</f>
        <v>#N/A</v>
      </c>
      <c r="S612" s="797" t="e">
        <f>VLOOKUP(N612,etat!$A$9:$P$905,16,FALSE)</f>
        <v>#N/A</v>
      </c>
      <c r="T612" s="755"/>
      <c r="U612" s="791"/>
      <c r="V612" s="784"/>
      <c r="W612" s="784"/>
      <c r="X612" s="784"/>
      <c r="Y612" s="784"/>
      <c r="Z612" s="965" t="str">
        <f>VLOOKUP(L612,اس!$S$3:$X$31,3,FALSE)</f>
        <v>.</v>
      </c>
      <c r="AA612" s="1099"/>
    </row>
    <row r="613" spans="12:27" ht="18.75">
      <c r="L613" s="777">
        <v>5</v>
      </c>
      <c r="M613" s="906"/>
      <c r="N613" s="976">
        <v>0</v>
      </c>
      <c r="O613" s="1020">
        <v>560</v>
      </c>
      <c r="P613" s="860" t="e">
        <f>VLOOKUP(N613,etat!$A$9:$N$1004,2,FALSE)</f>
        <v>#N/A</v>
      </c>
      <c r="Q613" s="797" t="e">
        <f>VLOOKUP(N613,etat!$A$9:$N$963,7,FALSE)</f>
        <v>#N/A</v>
      </c>
      <c r="R613" s="905" t="e">
        <f>VLOOKUP(N613,etat!$A$9:$N$1003,9,FALSE)</f>
        <v>#N/A</v>
      </c>
      <c r="S613" s="797" t="e">
        <f>VLOOKUP(N613,etat!$A$9:$P$905,16,FALSE)</f>
        <v>#N/A</v>
      </c>
      <c r="T613" s="755"/>
      <c r="U613" s="791"/>
      <c r="V613" s="784"/>
      <c r="W613" s="784"/>
      <c r="X613" s="784"/>
      <c r="Y613" s="784"/>
      <c r="Z613" s="965" t="str">
        <f>VLOOKUP(L613,اس!$S$3:$X$31,3,FALSE)</f>
        <v>.</v>
      </c>
      <c r="AA613" s="1099"/>
    </row>
    <row r="614" spans="12:27" ht="18.75">
      <c r="L614" s="777">
        <v>5</v>
      </c>
      <c r="M614" s="906"/>
      <c r="N614" s="976">
        <v>0</v>
      </c>
      <c r="O614" s="1020">
        <v>561</v>
      </c>
      <c r="P614" s="860" t="e">
        <f>VLOOKUP(N614,etat!$A$9:$N$1004,2,FALSE)</f>
        <v>#N/A</v>
      </c>
      <c r="Q614" s="797" t="e">
        <f>VLOOKUP(N614,etat!$A$9:$N$963,7,FALSE)</f>
        <v>#N/A</v>
      </c>
      <c r="R614" s="905" t="e">
        <f>VLOOKUP(N614,etat!$A$9:$N$1003,9,FALSE)</f>
        <v>#N/A</v>
      </c>
      <c r="S614" s="797" t="e">
        <f>VLOOKUP(N614,etat!$A$9:$P$905,16,FALSE)</f>
        <v>#N/A</v>
      </c>
      <c r="T614" s="755"/>
      <c r="U614" s="791"/>
      <c r="V614" s="784"/>
      <c r="W614" s="784"/>
      <c r="X614" s="784"/>
      <c r="Y614" s="784"/>
      <c r="Z614" s="965" t="str">
        <f>VLOOKUP(L614,اس!$S$3:$X$31,3,FALSE)</f>
        <v>.</v>
      </c>
      <c r="AA614" s="1099"/>
    </row>
    <row r="615" spans="12:27" ht="18.75">
      <c r="L615" s="777">
        <v>5</v>
      </c>
      <c r="M615" s="906"/>
      <c r="N615" s="976">
        <v>0</v>
      </c>
      <c r="O615" s="1020">
        <v>562</v>
      </c>
      <c r="P615" s="860" t="e">
        <f>VLOOKUP(N615,etat!$A$9:$N$1004,2,FALSE)</f>
        <v>#N/A</v>
      </c>
      <c r="Q615" s="797" t="e">
        <f>VLOOKUP(N615,etat!$A$9:$N$963,7,FALSE)</f>
        <v>#N/A</v>
      </c>
      <c r="R615" s="905" t="e">
        <f>VLOOKUP(N615,etat!$A$9:$N$1003,9,FALSE)</f>
        <v>#N/A</v>
      </c>
      <c r="S615" s="797" t="e">
        <f>VLOOKUP(N615,etat!$A$9:$P$905,16,FALSE)</f>
        <v>#N/A</v>
      </c>
      <c r="T615" s="755"/>
      <c r="U615" s="791"/>
      <c r="V615" s="784"/>
      <c r="W615" s="784"/>
      <c r="X615" s="784"/>
      <c r="Y615" s="784"/>
      <c r="Z615" s="965" t="str">
        <f>VLOOKUP(L615,اس!$S$3:$X$31,3,FALSE)</f>
        <v>.</v>
      </c>
      <c r="AA615" s="1099"/>
    </row>
    <row r="616" spans="12:27" ht="18.75">
      <c r="L616" s="777">
        <v>5</v>
      </c>
      <c r="M616" s="906"/>
      <c r="N616" s="976">
        <v>0</v>
      </c>
      <c r="O616" s="1020">
        <v>563</v>
      </c>
      <c r="P616" s="860" t="e">
        <f>VLOOKUP(N616,etat!$A$9:$N$1004,2,FALSE)</f>
        <v>#N/A</v>
      </c>
      <c r="Q616" s="797" t="e">
        <f>VLOOKUP(N616,etat!$A$9:$N$963,7,FALSE)</f>
        <v>#N/A</v>
      </c>
      <c r="R616" s="905" t="e">
        <f>VLOOKUP(N616,etat!$A$9:$N$1003,9,FALSE)</f>
        <v>#N/A</v>
      </c>
      <c r="S616" s="797" t="e">
        <f>VLOOKUP(N616,etat!$A$9:$P$905,16,FALSE)</f>
        <v>#N/A</v>
      </c>
      <c r="T616" s="755"/>
      <c r="U616" s="791"/>
      <c r="V616" s="784"/>
      <c r="W616" s="784"/>
      <c r="X616" s="784"/>
      <c r="Y616" s="784"/>
      <c r="Z616" s="965" t="str">
        <f>VLOOKUP(L616,اس!$S$3:$X$31,3,FALSE)</f>
        <v>.</v>
      </c>
      <c r="AA616" s="1099"/>
    </row>
    <row r="617" spans="12:27" ht="18.75">
      <c r="L617" s="777">
        <v>5</v>
      </c>
      <c r="M617" s="906"/>
      <c r="N617" s="976">
        <v>0</v>
      </c>
      <c r="O617" s="1020">
        <v>564</v>
      </c>
      <c r="P617" s="860" t="e">
        <f>VLOOKUP(N617,etat!$A$9:$N$1004,2,FALSE)</f>
        <v>#N/A</v>
      </c>
      <c r="Q617" s="797" t="e">
        <f>VLOOKUP(N617,etat!$A$9:$N$963,7,FALSE)</f>
        <v>#N/A</v>
      </c>
      <c r="R617" s="905" t="e">
        <f>VLOOKUP(N617,etat!$A$9:$N$1003,9,FALSE)</f>
        <v>#N/A</v>
      </c>
      <c r="S617" s="797" t="e">
        <f>VLOOKUP(N617,etat!$A$9:$P$905,16,FALSE)</f>
        <v>#N/A</v>
      </c>
      <c r="T617" s="755"/>
      <c r="U617" s="791"/>
      <c r="V617" s="784"/>
      <c r="W617" s="784"/>
      <c r="X617" s="784"/>
      <c r="Y617" s="784"/>
      <c r="Z617" s="965" t="str">
        <f>VLOOKUP(L617,اس!$S$3:$X$31,3,FALSE)</f>
        <v>.</v>
      </c>
      <c r="AA617" s="1099"/>
    </row>
    <row r="618" spans="12:27" ht="18.75">
      <c r="L618" s="777">
        <v>5</v>
      </c>
      <c r="M618" s="906"/>
      <c r="N618" s="976">
        <v>0</v>
      </c>
      <c r="O618" s="1020">
        <v>565</v>
      </c>
      <c r="P618" s="860" t="e">
        <f>VLOOKUP(N618,etat!$A$9:$N$1004,2,FALSE)</f>
        <v>#N/A</v>
      </c>
      <c r="Q618" s="797" t="e">
        <f>VLOOKUP(N618,etat!$A$9:$N$963,7,FALSE)</f>
        <v>#N/A</v>
      </c>
      <c r="R618" s="905" t="e">
        <f>VLOOKUP(N618,etat!$A$9:$N$1003,9,FALSE)</f>
        <v>#N/A</v>
      </c>
      <c r="S618" s="797" t="e">
        <f>VLOOKUP(N618,etat!$A$9:$P$905,16,FALSE)</f>
        <v>#N/A</v>
      </c>
      <c r="T618" s="755"/>
      <c r="U618" s="791"/>
      <c r="V618" s="784"/>
      <c r="W618" s="784"/>
      <c r="X618" s="784"/>
      <c r="Y618" s="784"/>
      <c r="Z618" s="965" t="str">
        <f>VLOOKUP(L618,اس!$S$3:$X$31,3,FALSE)</f>
        <v>.</v>
      </c>
      <c r="AA618" s="1099"/>
    </row>
    <row r="619" spans="12:27" ht="18.75">
      <c r="L619" s="777">
        <v>5</v>
      </c>
      <c r="M619" s="906"/>
      <c r="N619" s="976">
        <v>0</v>
      </c>
      <c r="O619" s="1020">
        <v>566</v>
      </c>
      <c r="P619" s="860" t="e">
        <f>VLOOKUP(N619,etat!$A$9:$N$1004,2,FALSE)</f>
        <v>#N/A</v>
      </c>
      <c r="Q619" s="797" t="e">
        <f>VLOOKUP(N619,etat!$A$9:$N$963,7,FALSE)</f>
        <v>#N/A</v>
      </c>
      <c r="R619" s="905" t="e">
        <f>VLOOKUP(N619,etat!$A$9:$N$1003,9,FALSE)</f>
        <v>#N/A</v>
      </c>
      <c r="S619" s="797" t="e">
        <f>VLOOKUP(N619,etat!$A$9:$P$905,16,FALSE)</f>
        <v>#N/A</v>
      </c>
      <c r="T619" s="755"/>
      <c r="U619" s="791"/>
      <c r="V619" s="784"/>
      <c r="W619" s="784"/>
      <c r="X619" s="784"/>
      <c r="Y619" s="784"/>
      <c r="Z619" s="965" t="str">
        <f>VLOOKUP(L619,اس!$S$3:$X$31,3,FALSE)</f>
        <v>.</v>
      </c>
      <c r="AA619" s="1099"/>
    </row>
    <row r="620" spans="12:27" ht="18.75">
      <c r="L620" s="777">
        <v>5</v>
      </c>
      <c r="M620" s="906"/>
      <c r="N620" s="976">
        <v>0</v>
      </c>
      <c r="O620" s="1020">
        <v>567</v>
      </c>
      <c r="P620" s="860" t="e">
        <f>VLOOKUP(N620,etat!$A$9:$N$1004,2,FALSE)</f>
        <v>#N/A</v>
      </c>
      <c r="Q620" s="797" t="e">
        <f>VLOOKUP(N620,etat!$A$9:$N$963,7,FALSE)</f>
        <v>#N/A</v>
      </c>
      <c r="R620" s="905" t="e">
        <f>VLOOKUP(N620,etat!$A$9:$N$1003,9,FALSE)</f>
        <v>#N/A</v>
      </c>
      <c r="S620" s="797" t="e">
        <f>VLOOKUP(N620,etat!$A$9:$P$905,16,FALSE)</f>
        <v>#N/A</v>
      </c>
      <c r="T620" s="755"/>
      <c r="U620" s="791"/>
      <c r="V620" s="784"/>
      <c r="W620" s="784"/>
      <c r="X620" s="784"/>
      <c r="Y620" s="784"/>
      <c r="Z620" s="965" t="str">
        <f>VLOOKUP(L620,اس!$S$3:$X$31,3,FALSE)</f>
        <v>.</v>
      </c>
      <c r="AA620" s="1099"/>
    </row>
    <row r="621" spans="12:27" ht="18.75">
      <c r="L621" s="777">
        <v>5</v>
      </c>
      <c r="M621" s="906"/>
      <c r="N621" s="976">
        <v>0</v>
      </c>
      <c r="O621" s="1020">
        <v>568</v>
      </c>
      <c r="P621" s="860" t="e">
        <f>VLOOKUP(N621,etat!$A$9:$N$1004,2,FALSE)</f>
        <v>#N/A</v>
      </c>
      <c r="Q621" s="797" t="e">
        <f>VLOOKUP(N621,etat!$A$9:$N$963,7,FALSE)</f>
        <v>#N/A</v>
      </c>
      <c r="R621" s="905" t="e">
        <f>VLOOKUP(N621,etat!$A$9:$N$1003,9,FALSE)</f>
        <v>#N/A</v>
      </c>
      <c r="S621" s="797" t="e">
        <f>VLOOKUP(N621,etat!$A$9:$P$905,16,FALSE)</f>
        <v>#N/A</v>
      </c>
      <c r="T621" s="755"/>
      <c r="U621" s="791"/>
      <c r="V621" s="784"/>
      <c r="W621" s="784"/>
      <c r="X621" s="784"/>
      <c r="Y621" s="784"/>
      <c r="Z621" s="965" t="str">
        <f>VLOOKUP(L621,اس!$S$3:$X$31,3,FALSE)</f>
        <v>.</v>
      </c>
      <c r="AA621" s="1099"/>
    </row>
    <row r="622" spans="12:27" ht="18.75">
      <c r="L622" s="777">
        <v>5</v>
      </c>
      <c r="M622" s="906"/>
      <c r="N622" s="976">
        <v>0</v>
      </c>
      <c r="O622" s="1020">
        <v>569</v>
      </c>
      <c r="P622" s="860" t="e">
        <f>VLOOKUP(N622,etat!$A$9:$N$1004,2,FALSE)</f>
        <v>#N/A</v>
      </c>
      <c r="Q622" s="797" t="e">
        <f>VLOOKUP(N622,etat!$A$9:$N$963,7,FALSE)</f>
        <v>#N/A</v>
      </c>
      <c r="R622" s="905" t="e">
        <f>VLOOKUP(N622,etat!$A$9:$N$1003,9,FALSE)</f>
        <v>#N/A</v>
      </c>
      <c r="S622" s="797" t="e">
        <f>VLOOKUP(N622,etat!$A$9:$P$905,16,FALSE)</f>
        <v>#N/A</v>
      </c>
      <c r="T622" s="755"/>
      <c r="U622" s="791"/>
      <c r="V622" s="784"/>
      <c r="W622" s="784"/>
      <c r="X622" s="784"/>
      <c r="Y622" s="784"/>
      <c r="Z622" s="965" t="str">
        <f>VLOOKUP(L622,اس!$S$3:$X$31,3,FALSE)</f>
        <v>.</v>
      </c>
      <c r="AA622" s="1099"/>
    </row>
    <row r="623" spans="12:27" ht="18.75">
      <c r="L623" s="777">
        <v>5</v>
      </c>
      <c r="M623" s="906"/>
      <c r="N623" s="976">
        <v>0</v>
      </c>
      <c r="O623" s="1020">
        <v>570</v>
      </c>
      <c r="P623" s="860" t="e">
        <f>VLOOKUP(N623,etat!$A$9:$N$1004,2,FALSE)</f>
        <v>#N/A</v>
      </c>
      <c r="Q623" s="797" t="e">
        <f>VLOOKUP(N623,etat!$A$9:$N$963,7,FALSE)</f>
        <v>#N/A</v>
      </c>
      <c r="R623" s="905" t="e">
        <f>VLOOKUP(N623,etat!$A$9:$N$1003,9,FALSE)</f>
        <v>#N/A</v>
      </c>
      <c r="S623" s="797" t="e">
        <f>VLOOKUP(N623,etat!$A$9:$P$905,16,FALSE)</f>
        <v>#N/A</v>
      </c>
      <c r="T623" s="755"/>
      <c r="U623" s="791"/>
      <c r="V623" s="784"/>
      <c r="W623" s="784"/>
      <c r="X623" s="784"/>
      <c r="Y623" s="784"/>
      <c r="Z623" s="965" t="str">
        <f>VLOOKUP(L623,اس!$S$3:$X$31,3,FALSE)</f>
        <v>.</v>
      </c>
      <c r="AA623" s="1099"/>
    </row>
    <row r="624" spans="12:27" ht="18.75">
      <c r="L624" s="777">
        <v>5</v>
      </c>
      <c r="M624" s="906"/>
      <c r="N624" s="976">
        <v>0</v>
      </c>
      <c r="O624" s="1020">
        <v>571</v>
      </c>
      <c r="P624" s="860" t="e">
        <f>VLOOKUP(N624,etat!$A$9:$N$1004,2,FALSE)</f>
        <v>#N/A</v>
      </c>
      <c r="Q624" s="797" t="e">
        <f>VLOOKUP(N624,etat!$A$9:$N$963,7,FALSE)</f>
        <v>#N/A</v>
      </c>
      <c r="R624" s="905" t="e">
        <f>VLOOKUP(N624,etat!$A$9:$N$1003,9,FALSE)</f>
        <v>#N/A</v>
      </c>
      <c r="S624" s="797" t="e">
        <f>VLOOKUP(N624,etat!$A$9:$P$905,16,FALSE)</f>
        <v>#N/A</v>
      </c>
      <c r="T624" s="755"/>
      <c r="U624" s="791"/>
      <c r="V624" s="784"/>
      <c r="W624" s="784"/>
      <c r="X624" s="784"/>
      <c r="Y624" s="784"/>
      <c r="Z624" s="965" t="str">
        <f>VLOOKUP(L624,اس!$S$3:$X$31,3,FALSE)</f>
        <v>.</v>
      </c>
      <c r="AA624" s="1099"/>
    </row>
    <row r="625" spans="12:27" ht="18.75">
      <c r="L625" s="777">
        <v>5</v>
      </c>
      <c r="M625" s="906"/>
      <c r="N625" s="976">
        <v>0</v>
      </c>
      <c r="O625" s="1020">
        <v>572</v>
      </c>
      <c r="P625" s="860" t="e">
        <f>VLOOKUP(N625,etat!$A$9:$N$1004,2,FALSE)</f>
        <v>#N/A</v>
      </c>
      <c r="Q625" s="797" t="e">
        <f>VLOOKUP(N625,etat!$A$9:$N$963,7,FALSE)</f>
        <v>#N/A</v>
      </c>
      <c r="R625" s="905" t="e">
        <f>VLOOKUP(N625,etat!$A$9:$N$1003,9,FALSE)</f>
        <v>#N/A</v>
      </c>
      <c r="S625" s="797" t="e">
        <f>VLOOKUP(N625,etat!$A$9:$P$905,16,FALSE)</f>
        <v>#N/A</v>
      </c>
      <c r="T625" s="755"/>
      <c r="U625" s="791"/>
      <c r="V625" s="784"/>
      <c r="W625" s="784"/>
      <c r="X625" s="784"/>
      <c r="Y625" s="784"/>
      <c r="Z625" s="965" t="str">
        <f>VLOOKUP(L625,اس!$S$3:$X$31,3,FALSE)</f>
        <v>.</v>
      </c>
      <c r="AA625" s="1099"/>
    </row>
    <row r="626" spans="12:27" ht="18.75">
      <c r="L626" s="777">
        <v>5</v>
      </c>
      <c r="M626" s="906"/>
      <c r="N626" s="976">
        <v>0</v>
      </c>
      <c r="O626" s="1020">
        <v>573</v>
      </c>
      <c r="P626" s="860" t="e">
        <f>VLOOKUP(N626,etat!$A$9:$N$1004,2,FALSE)</f>
        <v>#N/A</v>
      </c>
      <c r="Q626" s="797" t="e">
        <f>VLOOKUP(N626,etat!$A$9:$N$963,7,FALSE)</f>
        <v>#N/A</v>
      </c>
      <c r="R626" s="905" t="e">
        <f>VLOOKUP(N626,etat!$A$9:$N$1003,9,FALSE)</f>
        <v>#N/A</v>
      </c>
      <c r="S626" s="797" t="e">
        <f>VLOOKUP(N626,etat!$A$9:$P$905,16,FALSE)</f>
        <v>#N/A</v>
      </c>
      <c r="T626" s="755"/>
      <c r="U626" s="791"/>
      <c r="V626" s="784"/>
      <c r="W626" s="784"/>
      <c r="X626" s="784"/>
      <c r="Y626" s="784"/>
      <c r="Z626" s="965" t="str">
        <f>VLOOKUP(L626,اس!$S$3:$X$31,3,FALSE)</f>
        <v>.</v>
      </c>
      <c r="AA626" s="1099"/>
    </row>
    <row r="627" spans="12:27" ht="18.75">
      <c r="L627" s="777">
        <v>5</v>
      </c>
      <c r="M627" s="906"/>
      <c r="N627" s="976">
        <v>0</v>
      </c>
      <c r="O627" s="1020">
        <v>574</v>
      </c>
      <c r="P627" s="860" t="e">
        <f>VLOOKUP(N627,etat!$A$9:$N$1004,2,FALSE)</f>
        <v>#N/A</v>
      </c>
      <c r="Q627" s="797" t="e">
        <f>VLOOKUP(N627,etat!$A$9:$N$963,7,FALSE)</f>
        <v>#N/A</v>
      </c>
      <c r="R627" s="905" t="e">
        <f>VLOOKUP(N627,etat!$A$9:$N$1003,9,FALSE)</f>
        <v>#N/A</v>
      </c>
      <c r="S627" s="797" t="e">
        <f>VLOOKUP(N627,etat!$A$9:$P$905,16,FALSE)</f>
        <v>#N/A</v>
      </c>
      <c r="T627" s="755"/>
      <c r="U627" s="791"/>
      <c r="V627" s="784"/>
      <c r="W627" s="784"/>
      <c r="X627" s="784"/>
      <c r="Y627" s="784"/>
      <c r="Z627" s="965" t="str">
        <f>VLOOKUP(L627,اس!$S$3:$X$31,3,FALSE)</f>
        <v>.</v>
      </c>
      <c r="AA627" s="1099"/>
    </row>
    <row r="628" spans="12:27" ht="18.75">
      <c r="L628" s="777">
        <v>5</v>
      </c>
      <c r="M628" s="906"/>
      <c r="N628" s="976">
        <v>0</v>
      </c>
      <c r="O628" s="1020">
        <v>575</v>
      </c>
      <c r="P628" s="860" t="e">
        <f>VLOOKUP(N628,etat!$A$9:$N$1004,2,FALSE)</f>
        <v>#N/A</v>
      </c>
      <c r="Q628" s="797" t="e">
        <f>VLOOKUP(N628,etat!$A$9:$N$963,7,FALSE)</f>
        <v>#N/A</v>
      </c>
      <c r="R628" s="905" t="e">
        <f>VLOOKUP(N628,etat!$A$9:$N$1003,9,FALSE)</f>
        <v>#N/A</v>
      </c>
      <c r="S628" s="797" t="e">
        <f>VLOOKUP(N628,etat!$A$9:$P$905,16,FALSE)</f>
        <v>#N/A</v>
      </c>
      <c r="T628" s="755"/>
      <c r="U628" s="791"/>
      <c r="V628" s="784"/>
      <c r="W628" s="784"/>
      <c r="X628" s="784"/>
      <c r="Y628" s="784"/>
      <c r="Z628" s="965" t="str">
        <f>VLOOKUP(L628,اس!$S$3:$X$31,3,FALSE)</f>
        <v>.</v>
      </c>
      <c r="AA628" s="1099"/>
    </row>
    <row r="629" spans="12:27" ht="18.75">
      <c r="L629" s="777">
        <v>5</v>
      </c>
      <c r="M629" s="906"/>
      <c r="N629" s="976">
        <v>0</v>
      </c>
      <c r="O629" s="1020">
        <v>576</v>
      </c>
      <c r="P629" s="860" t="e">
        <f>VLOOKUP(N629,etat!$A$9:$N$1004,2,FALSE)</f>
        <v>#N/A</v>
      </c>
      <c r="Q629" s="797" t="e">
        <f>VLOOKUP(N629,etat!$A$9:$N$963,7,FALSE)</f>
        <v>#N/A</v>
      </c>
      <c r="R629" s="905" t="e">
        <f>VLOOKUP(N629,etat!$A$9:$N$1003,9,FALSE)</f>
        <v>#N/A</v>
      </c>
      <c r="S629" s="797" t="e">
        <f>VLOOKUP(N629,etat!$A$9:$P$905,16,FALSE)</f>
        <v>#N/A</v>
      </c>
      <c r="T629" s="755"/>
      <c r="U629" s="791"/>
      <c r="V629" s="784"/>
      <c r="W629" s="784"/>
      <c r="X629" s="784"/>
      <c r="Y629" s="784"/>
      <c r="Z629" s="965" t="str">
        <f>VLOOKUP(L629,اس!$S$3:$X$31,3,FALSE)</f>
        <v>.</v>
      </c>
      <c r="AA629" s="1099"/>
    </row>
    <row r="630" spans="12:27" ht="18.75">
      <c r="L630" s="777">
        <v>5</v>
      </c>
      <c r="M630" s="906"/>
      <c r="N630" s="976">
        <v>0</v>
      </c>
      <c r="O630" s="1020">
        <v>577</v>
      </c>
      <c r="P630" s="860" t="e">
        <f>VLOOKUP(N630,etat!$A$9:$N$1004,2,FALSE)</f>
        <v>#N/A</v>
      </c>
      <c r="Q630" s="797" t="e">
        <f>VLOOKUP(N630,etat!$A$9:$N$963,7,FALSE)</f>
        <v>#N/A</v>
      </c>
      <c r="R630" s="905" t="e">
        <f>VLOOKUP(N630,etat!$A$9:$N$1003,9,FALSE)</f>
        <v>#N/A</v>
      </c>
      <c r="S630" s="797" t="e">
        <f>VLOOKUP(N630,etat!$A$9:$P$905,16,FALSE)</f>
        <v>#N/A</v>
      </c>
      <c r="T630" s="755"/>
      <c r="U630" s="791"/>
      <c r="V630" s="784"/>
      <c r="W630" s="784"/>
      <c r="X630" s="784"/>
      <c r="Y630" s="784"/>
      <c r="Z630" s="965" t="str">
        <f>VLOOKUP(L630,اس!$S$3:$X$31,3,FALSE)</f>
        <v>.</v>
      </c>
      <c r="AA630" s="1099"/>
    </row>
    <row r="631" spans="12:27" ht="18.75">
      <c r="L631" s="777">
        <v>5</v>
      </c>
      <c r="M631" s="906"/>
      <c r="N631" s="976">
        <v>0</v>
      </c>
      <c r="O631" s="1020">
        <v>578</v>
      </c>
      <c r="P631" s="860" t="e">
        <f>VLOOKUP(N631,etat!$A$9:$N$1004,2,FALSE)</f>
        <v>#N/A</v>
      </c>
      <c r="Q631" s="797" t="e">
        <f>VLOOKUP(N631,etat!$A$9:$N$963,7,FALSE)</f>
        <v>#N/A</v>
      </c>
      <c r="R631" s="905" t="e">
        <f>VLOOKUP(N631,etat!$A$9:$N$1003,9,FALSE)</f>
        <v>#N/A</v>
      </c>
      <c r="S631" s="797" t="e">
        <f>VLOOKUP(N631,etat!$A$9:$P$905,16,FALSE)</f>
        <v>#N/A</v>
      </c>
      <c r="T631" s="755"/>
      <c r="U631" s="791"/>
      <c r="V631" s="784"/>
      <c r="W631" s="784"/>
      <c r="X631" s="784"/>
      <c r="Y631" s="784"/>
      <c r="Z631" s="965" t="str">
        <f>VLOOKUP(L631,اس!$S$3:$X$31,3,FALSE)</f>
        <v>.</v>
      </c>
      <c r="AA631" s="1099"/>
    </row>
    <row r="632" spans="12:27" ht="18.75">
      <c r="L632" s="777">
        <v>5</v>
      </c>
      <c r="M632" s="906"/>
      <c r="N632" s="976">
        <v>0</v>
      </c>
      <c r="O632" s="1020">
        <v>579</v>
      </c>
      <c r="P632" s="860" t="e">
        <f>VLOOKUP(N632,etat!$A$9:$N$1004,2,FALSE)</f>
        <v>#N/A</v>
      </c>
      <c r="Q632" s="797" t="e">
        <f>VLOOKUP(N632,etat!$A$9:$N$963,7,FALSE)</f>
        <v>#N/A</v>
      </c>
      <c r="R632" s="905" t="e">
        <f>VLOOKUP(N632,etat!$A$9:$N$1003,9,FALSE)</f>
        <v>#N/A</v>
      </c>
      <c r="S632" s="797" t="e">
        <f>VLOOKUP(N632,etat!$A$9:$P$905,16,FALSE)</f>
        <v>#N/A</v>
      </c>
      <c r="T632" s="755"/>
      <c r="U632" s="791"/>
      <c r="V632" s="784"/>
      <c r="W632" s="784"/>
      <c r="X632" s="784"/>
      <c r="Y632" s="784"/>
      <c r="Z632" s="965" t="str">
        <f>VLOOKUP(L632,اس!$S$3:$X$31,3,FALSE)</f>
        <v>.</v>
      </c>
      <c r="AA632" s="1099"/>
    </row>
    <row r="633" spans="12:27" ht="18.75">
      <c r="L633" s="777">
        <v>5</v>
      </c>
      <c r="M633" s="906"/>
      <c r="N633" s="976">
        <v>0</v>
      </c>
      <c r="O633" s="1020">
        <v>580</v>
      </c>
      <c r="P633" s="860" t="e">
        <f>VLOOKUP(N633,etat!$A$9:$N$1004,2,FALSE)</f>
        <v>#N/A</v>
      </c>
      <c r="Q633" s="797" t="e">
        <f>VLOOKUP(N633,etat!$A$9:$N$963,7,FALSE)</f>
        <v>#N/A</v>
      </c>
      <c r="R633" s="905" t="e">
        <f>VLOOKUP(N633,etat!$A$9:$N$1003,9,FALSE)</f>
        <v>#N/A</v>
      </c>
      <c r="S633" s="797" t="e">
        <f>VLOOKUP(N633,etat!$A$9:$P$905,16,FALSE)</f>
        <v>#N/A</v>
      </c>
      <c r="T633" s="755"/>
      <c r="U633" s="791"/>
      <c r="V633" s="784"/>
      <c r="W633" s="784"/>
      <c r="X633" s="784"/>
      <c r="Y633" s="784"/>
      <c r="Z633" s="965" t="str">
        <f>VLOOKUP(L633,اس!$S$3:$X$31,3,FALSE)</f>
        <v>.</v>
      </c>
      <c r="AA633" s="1099"/>
    </row>
    <row r="634" spans="12:27" ht="18.75">
      <c r="L634" s="777">
        <v>5</v>
      </c>
      <c r="M634" s="906"/>
      <c r="N634" s="976">
        <v>0</v>
      </c>
      <c r="O634" s="1020">
        <v>581</v>
      </c>
      <c r="P634" s="860" t="e">
        <f>VLOOKUP(N634,etat!$A$9:$N$1004,2,FALSE)</f>
        <v>#N/A</v>
      </c>
      <c r="Q634" s="797" t="e">
        <f>VLOOKUP(N634,etat!$A$9:$N$963,7,FALSE)</f>
        <v>#N/A</v>
      </c>
      <c r="R634" s="905" t="e">
        <f>VLOOKUP(N634,etat!$A$9:$N$1003,9,FALSE)</f>
        <v>#N/A</v>
      </c>
      <c r="S634" s="797" t="e">
        <f>VLOOKUP(N634,etat!$A$9:$P$905,16,FALSE)</f>
        <v>#N/A</v>
      </c>
      <c r="T634" s="755"/>
      <c r="U634" s="791"/>
      <c r="V634" s="784"/>
      <c r="W634" s="784"/>
      <c r="X634" s="784"/>
      <c r="Y634" s="784"/>
      <c r="Z634" s="965" t="str">
        <f>VLOOKUP(L634,اس!$S$3:$X$31,3,FALSE)</f>
        <v>.</v>
      </c>
      <c r="AA634" s="1099"/>
    </row>
    <row r="635" spans="12:27" ht="18.75">
      <c r="L635" s="777">
        <v>5</v>
      </c>
      <c r="M635" s="906"/>
      <c r="N635" s="976">
        <v>0</v>
      </c>
      <c r="O635" s="1020">
        <v>582</v>
      </c>
      <c r="P635" s="860" t="e">
        <f>VLOOKUP(N635,etat!$A$9:$N$1004,2,FALSE)</f>
        <v>#N/A</v>
      </c>
      <c r="Q635" s="797" t="e">
        <f>VLOOKUP(N635,etat!$A$9:$N$963,7,FALSE)</f>
        <v>#N/A</v>
      </c>
      <c r="R635" s="905" t="e">
        <f>VLOOKUP(N635,etat!$A$9:$N$1003,9,FALSE)</f>
        <v>#N/A</v>
      </c>
      <c r="S635" s="797" t="e">
        <f>VLOOKUP(N635,etat!$A$9:$P$905,16,FALSE)</f>
        <v>#N/A</v>
      </c>
      <c r="T635" s="755"/>
      <c r="U635" s="791"/>
      <c r="V635" s="784"/>
      <c r="W635" s="784"/>
      <c r="X635" s="784"/>
      <c r="Y635" s="784"/>
      <c r="Z635" s="965" t="str">
        <f>VLOOKUP(L635,اس!$S$3:$X$31,3,FALSE)</f>
        <v>.</v>
      </c>
      <c r="AA635" s="1090"/>
    </row>
    <row r="636" spans="12:27" ht="18.75">
      <c r="L636" s="777">
        <v>5</v>
      </c>
      <c r="M636" s="906"/>
      <c r="N636" s="976">
        <v>0</v>
      </c>
      <c r="O636" s="1020">
        <v>583</v>
      </c>
      <c r="P636" s="860" t="e">
        <f>VLOOKUP(N636,etat!$A$9:$N$1004,2,FALSE)</f>
        <v>#N/A</v>
      </c>
      <c r="Q636" s="797" t="e">
        <f>VLOOKUP(N636,etat!$A$9:$N$963,7,FALSE)</f>
        <v>#N/A</v>
      </c>
      <c r="R636" s="905" t="e">
        <f>VLOOKUP(N636,etat!$A$9:$N$1003,9,FALSE)</f>
        <v>#N/A</v>
      </c>
      <c r="S636" s="797" t="e">
        <f>VLOOKUP(N636,etat!$A$9:$P$905,16,FALSE)</f>
        <v>#N/A</v>
      </c>
      <c r="T636" s="755"/>
      <c r="U636" s="791"/>
      <c r="V636" s="784"/>
      <c r="W636" s="784"/>
      <c r="X636" s="784"/>
      <c r="Y636" s="784"/>
      <c r="Z636" s="965" t="str">
        <f>VLOOKUP(L636,اس!$S$3:$X$31,3,FALSE)</f>
        <v>.</v>
      </c>
      <c r="AA636" s="1090"/>
    </row>
    <row r="637" spans="12:27" ht="18.75">
      <c r="L637" s="777">
        <v>5</v>
      </c>
      <c r="M637" s="906"/>
      <c r="N637" s="976">
        <v>0</v>
      </c>
      <c r="O637" s="1020">
        <v>584</v>
      </c>
      <c r="P637" s="860" t="e">
        <f>VLOOKUP(N637,etat!$A$9:$N$1004,2,FALSE)</f>
        <v>#N/A</v>
      </c>
      <c r="Q637" s="797" t="e">
        <f>VLOOKUP(N637,etat!$A$9:$N$963,7,FALSE)</f>
        <v>#N/A</v>
      </c>
      <c r="R637" s="905" t="e">
        <f>VLOOKUP(N637,etat!$A$9:$N$1003,9,FALSE)</f>
        <v>#N/A</v>
      </c>
      <c r="S637" s="797" t="e">
        <f>VLOOKUP(N637,etat!$A$9:$P$905,16,FALSE)</f>
        <v>#N/A</v>
      </c>
      <c r="T637" s="755"/>
      <c r="U637" s="791"/>
      <c r="V637" s="784"/>
      <c r="W637" s="784"/>
      <c r="X637" s="784"/>
      <c r="Y637" s="784"/>
      <c r="Z637" s="965" t="str">
        <f>VLOOKUP(L637,اس!$S$3:$X$31,3,FALSE)</f>
        <v>.</v>
      </c>
      <c r="AA637" s="1090"/>
    </row>
    <row r="638" spans="12:27" ht="18.75">
      <c r="L638" s="777">
        <v>5</v>
      </c>
      <c r="M638" s="906"/>
      <c r="N638" s="976">
        <v>0</v>
      </c>
      <c r="O638" s="1020">
        <v>585</v>
      </c>
      <c r="P638" s="860" t="e">
        <f>VLOOKUP(N638,etat!$A$9:$N$1004,2,FALSE)</f>
        <v>#N/A</v>
      </c>
      <c r="Q638" s="797" t="e">
        <f>VLOOKUP(N638,etat!$A$9:$N$963,7,FALSE)</f>
        <v>#N/A</v>
      </c>
      <c r="R638" s="905" t="e">
        <f>VLOOKUP(N638,etat!$A$9:$N$1003,9,FALSE)</f>
        <v>#N/A</v>
      </c>
      <c r="S638" s="797" t="e">
        <f>VLOOKUP(N638,etat!$A$9:$P$905,16,FALSE)</f>
        <v>#N/A</v>
      </c>
      <c r="T638" s="755"/>
      <c r="U638" s="791"/>
      <c r="V638" s="784"/>
      <c r="W638" s="784"/>
      <c r="X638" s="784"/>
      <c r="Y638" s="784"/>
      <c r="Z638" s="965" t="str">
        <f>VLOOKUP(L638,اس!$S$3:$X$31,3,FALSE)</f>
        <v>.</v>
      </c>
    </row>
    <row r="639" spans="12:27" ht="18.75">
      <c r="L639" s="777">
        <v>5</v>
      </c>
      <c r="M639" s="906"/>
      <c r="N639" s="976">
        <v>0</v>
      </c>
      <c r="O639" s="1020">
        <v>586</v>
      </c>
      <c r="P639" s="860" t="e">
        <f>VLOOKUP(N639,etat!$A$9:$N$1004,2,FALSE)</f>
        <v>#N/A</v>
      </c>
      <c r="Q639" s="797" t="e">
        <f>VLOOKUP(N639,etat!$A$9:$N$963,7,FALSE)</f>
        <v>#N/A</v>
      </c>
      <c r="R639" s="905" t="e">
        <f>VLOOKUP(N639,etat!$A$9:$N$1003,9,FALSE)</f>
        <v>#N/A</v>
      </c>
      <c r="S639" s="797" t="e">
        <f>VLOOKUP(N639,etat!$A$9:$P$905,16,FALSE)</f>
        <v>#N/A</v>
      </c>
      <c r="T639" s="755"/>
      <c r="U639" s="791"/>
      <c r="V639" s="784"/>
      <c r="W639" s="784"/>
      <c r="X639" s="784"/>
      <c r="Y639" s="784"/>
      <c r="Z639" s="965" t="str">
        <f>VLOOKUP(L639,اس!$S$3:$X$31,3,FALSE)</f>
        <v>.</v>
      </c>
    </row>
    <row r="640" spans="12:27" ht="18.75">
      <c r="L640" s="777">
        <v>5</v>
      </c>
      <c r="M640" s="906"/>
      <c r="N640" s="976">
        <v>0</v>
      </c>
      <c r="O640" s="1020">
        <v>587</v>
      </c>
      <c r="P640" s="860" t="e">
        <f>VLOOKUP(N640,etat!$A$9:$N$1004,2,FALSE)</f>
        <v>#N/A</v>
      </c>
      <c r="Q640" s="797" t="e">
        <f>VLOOKUP(N640,etat!$A$9:$N$963,7,FALSE)</f>
        <v>#N/A</v>
      </c>
      <c r="R640" s="905" t="e">
        <f>VLOOKUP(N640,etat!$A$9:$N$1003,9,FALSE)</f>
        <v>#N/A</v>
      </c>
      <c r="S640" s="797" t="e">
        <f>VLOOKUP(N640,etat!$A$9:$P$905,16,FALSE)</f>
        <v>#N/A</v>
      </c>
      <c r="T640" s="755"/>
      <c r="U640" s="791"/>
      <c r="V640" s="784"/>
      <c r="W640" s="784"/>
      <c r="X640" s="784"/>
      <c r="Y640" s="784"/>
      <c r="Z640" s="965" t="str">
        <f>VLOOKUP(L640,اس!$S$3:$X$31,3,FALSE)</f>
        <v>.</v>
      </c>
    </row>
    <row r="641" spans="12:26" ht="18.75">
      <c r="L641" s="777">
        <v>5</v>
      </c>
      <c r="M641" s="906"/>
      <c r="N641" s="976">
        <v>0</v>
      </c>
      <c r="O641" s="1020">
        <v>588</v>
      </c>
      <c r="P641" s="860" t="e">
        <f>VLOOKUP(N641,etat!$A$9:$N$1004,2,FALSE)</f>
        <v>#N/A</v>
      </c>
      <c r="Q641" s="797" t="e">
        <f>VLOOKUP(N641,etat!$A$9:$N$963,7,FALSE)</f>
        <v>#N/A</v>
      </c>
      <c r="R641" s="905" t="e">
        <f>VLOOKUP(N641,etat!$A$9:$N$1003,9,FALSE)</f>
        <v>#N/A</v>
      </c>
      <c r="S641" s="797" t="e">
        <f>VLOOKUP(N641,etat!$A$9:$P$905,16,FALSE)</f>
        <v>#N/A</v>
      </c>
      <c r="T641" s="755"/>
      <c r="U641" s="791"/>
      <c r="V641" s="784"/>
      <c r="W641" s="784"/>
      <c r="X641" s="784"/>
      <c r="Y641" s="784"/>
      <c r="Z641" s="965" t="str">
        <f>VLOOKUP(L641,اس!$S$3:$X$31,3,FALSE)</f>
        <v>.</v>
      </c>
    </row>
    <row r="642" spans="12:26" ht="18.75">
      <c r="L642" s="777">
        <v>5</v>
      </c>
      <c r="M642" s="906"/>
      <c r="N642" s="976">
        <v>0</v>
      </c>
      <c r="O642" s="1020">
        <v>589</v>
      </c>
      <c r="P642" s="860" t="e">
        <f>VLOOKUP(N642,etat!$A$9:$N$1004,2,FALSE)</f>
        <v>#N/A</v>
      </c>
      <c r="Q642" s="797" t="e">
        <f>VLOOKUP(N642,etat!$A$9:$N$963,7,FALSE)</f>
        <v>#N/A</v>
      </c>
      <c r="R642" s="905" t="e">
        <f>VLOOKUP(N642,etat!$A$9:$N$1003,9,FALSE)</f>
        <v>#N/A</v>
      </c>
      <c r="S642" s="797" t="e">
        <f>VLOOKUP(N642,etat!$A$9:$P$905,16,FALSE)</f>
        <v>#N/A</v>
      </c>
      <c r="T642" s="755"/>
      <c r="U642" s="791"/>
      <c r="V642" s="784"/>
      <c r="W642" s="784"/>
      <c r="X642" s="784"/>
      <c r="Y642" s="784"/>
      <c r="Z642" s="965" t="str">
        <f>VLOOKUP(L642,اس!$S$3:$X$31,3,FALSE)</f>
        <v>.</v>
      </c>
    </row>
    <row r="643" spans="12:26" ht="18.75">
      <c r="L643" s="777">
        <v>5</v>
      </c>
      <c r="M643" s="906"/>
      <c r="N643" s="976">
        <v>0</v>
      </c>
      <c r="O643" s="1020">
        <v>590</v>
      </c>
      <c r="P643" s="860" t="e">
        <f>VLOOKUP(N643,etat!$A$9:$N$1004,2,FALSE)</f>
        <v>#N/A</v>
      </c>
      <c r="Q643" s="797" t="e">
        <f>VLOOKUP(N643,etat!$A$9:$N$963,7,FALSE)</f>
        <v>#N/A</v>
      </c>
      <c r="R643" s="905" t="e">
        <f>VLOOKUP(N643,etat!$A$9:$N$1003,9,FALSE)</f>
        <v>#N/A</v>
      </c>
      <c r="S643" s="797" t="e">
        <f>VLOOKUP(N643,etat!$A$9:$P$905,16,FALSE)</f>
        <v>#N/A</v>
      </c>
      <c r="T643" s="755"/>
      <c r="U643" s="791"/>
      <c r="V643" s="784"/>
      <c r="W643" s="784"/>
      <c r="X643" s="784"/>
      <c r="Y643" s="784"/>
      <c r="Z643" s="965" t="str">
        <f>VLOOKUP(L643,اس!$S$3:$X$31,3,FALSE)</f>
        <v>.</v>
      </c>
    </row>
    <row r="644" spans="12:26" ht="18.75">
      <c r="L644" s="777">
        <v>5</v>
      </c>
      <c r="M644" s="906"/>
      <c r="N644" s="976">
        <v>0</v>
      </c>
      <c r="O644" s="1020">
        <v>591</v>
      </c>
      <c r="P644" s="860" t="e">
        <f>VLOOKUP(N644,etat!$A$9:$N$1004,2,FALSE)</f>
        <v>#N/A</v>
      </c>
      <c r="Q644" s="797" t="e">
        <f>VLOOKUP(N644,etat!$A$9:$N$963,7,FALSE)</f>
        <v>#N/A</v>
      </c>
      <c r="R644" s="905" t="e">
        <f>VLOOKUP(N644,etat!$A$9:$N$1003,9,FALSE)</f>
        <v>#N/A</v>
      </c>
      <c r="S644" s="797" t="e">
        <f>VLOOKUP(N644,etat!$A$9:$P$905,16,FALSE)</f>
        <v>#N/A</v>
      </c>
      <c r="T644" s="755"/>
      <c r="U644" s="791"/>
      <c r="V644" s="784"/>
      <c r="W644" s="784"/>
      <c r="X644" s="784"/>
      <c r="Y644" s="784"/>
      <c r="Z644" s="965" t="str">
        <f>VLOOKUP(L644,اس!$S$3:$X$31,3,FALSE)</f>
        <v>.</v>
      </c>
    </row>
    <row r="645" spans="12:26" ht="18.75">
      <c r="L645" s="777">
        <v>5</v>
      </c>
      <c r="M645" s="906"/>
      <c r="N645" s="976">
        <v>0</v>
      </c>
      <c r="O645" s="1020">
        <v>592</v>
      </c>
      <c r="P645" s="860" t="e">
        <f>VLOOKUP(N645,etat!$A$9:$N$1004,2,FALSE)</f>
        <v>#N/A</v>
      </c>
      <c r="Q645" s="797" t="e">
        <f>VLOOKUP(N645,etat!$A$9:$N$963,7,FALSE)</f>
        <v>#N/A</v>
      </c>
      <c r="R645" s="905" t="e">
        <f>VLOOKUP(N645,etat!$A$9:$N$1003,9,FALSE)</f>
        <v>#N/A</v>
      </c>
      <c r="S645" s="797" t="e">
        <f>VLOOKUP(N645,etat!$A$9:$P$905,16,FALSE)</f>
        <v>#N/A</v>
      </c>
      <c r="T645" s="755"/>
      <c r="U645" s="791"/>
      <c r="V645" s="784"/>
      <c r="W645" s="784"/>
      <c r="X645" s="784"/>
      <c r="Y645" s="784"/>
      <c r="Z645" s="965" t="str">
        <f>VLOOKUP(L645,اس!$S$3:$X$31,3,FALSE)</f>
        <v>.</v>
      </c>
    </row>
    <row r="646" spans="12:26" ht="18.75">
      <c r="L646" s="777">
        <v>5</v>
      </c>
      <c r="M646" s="906"/>
      <c r="N646" s="976">
        <v>0</v>
      </c>
      <c r="O646" s="1020">
        <v>593</v>
      </c>
      <c r="P646" s="860" t="e">
        <f>VLOOKUP(N646,etat!$A$9:$N$1004,2,FALSE)</f>
        <v>#N/A</v>
      </c>
      <c r="Q646" s="797" t="e">
        <f>VLOOKUP(N646,etat!$A$9:$N$963,7,FALSE)</f>
        <v>#N/A</v>
      </c>
      <c r="R646" s="905" t="e">
        <f>VLOOKUP(N646,etat!$A$9:$N$1003,9,FALSE)</f>
        <v>#N/A</v>
      </c>
      <c r="S646" s="797" t="e">
        <f>VLOOKUP(N646,etat!$A$9:$P$905,16,FALSE)</f>
        <v>#N/A</v>
      </c>
      <c r="T646" s="755"/>
      <c r="U646" s="791"/>
      <c r="V646" s="784"/>
      <c r="W646" s="784"/>
      <c r="X646" s="784"/>
      <c r="Y646" s="784"/>
      <c r="Z646" s="965" t="str">
        <f>VLOOKUP(L646,اس!$S$3:$X$31,3,FALSE)</f>
        <v>.</v>
      </c>
    </row>
    <row r="647" spans="12:26" ht="18.75">
      <c r="L647" s="777">
        <v>5</v>
      </c>
      <c r="M647" s="906"/>
      <c r="N647" s="976">
        <v>0</v>
      </c>
      <c r="O647" s="1020">
        <v>594</v>
      </c>
      <c r="P647" s="860" t="e">
        <f>VLOOKUP(N647,etat!$A$9:$N$1004,2,FALSE)</f>
        <v>#N/A</v>
      </c>
      <c r="Q647" s="797" t="e">
        <f>VLOOKUP(N647,etat!$A$9:$N$963,7,FALSE)</f>
        <v>#N/A</v>
      </c>
      <c r="R647" s="905" t="e">
        <f>VLOOKUP(N647,etat!$A$9:$N$1003,9,FALSE)</f>
        <v>#N/A</v>
      </c>
      <c r="S647" s="797" t="e">
        <f>VLOOKUP(N647,etat!$A$9:$P$905,16,FALSE)</f>
        <v>#N/A</v>
      </c>
      <c r="T647" s="755"/>
      <c r="U647" s="791"/>
      <c r="V647" s="784"/>
      <c r="W647" s="784"/>
      <c r="X647" s="784"/>
      <c r="Y647" s="784"/>
      <c r="Z647" s="965" t="str">
        <f>VLOOKUP(L647,اس!$S$3:$X$31,3,FALSE)</f>
        <v>.</v>
      </c>
    </row>
    <row r="648" spans="12:26" ht="18.75">
      <c r="L648" s="777">
        <v>5</v>
      </c>
      <c r="M648" s="906"/>
      <c r="N648" s="976">
        <v>0</v>
      </c>
      <c r="O648" s="1020">
        <v>595</v>
      </c>
      <c r="P648" s="860" t="e">
        <f>VLOOKUP(N648,etat!$A$9:$N$1004,2,FALSE)</f>
        <v>#N/A</v>
      </c>
      <c r="Q648" s="797" t="e">
        <f>VLOOKUP(N648,etat!$A$9:$N$963,7,FALSE)</f>
        <v>#N/A</v>
      </c>
      <c r="R648" s="905" t="e">
        <f>VLOOKUP(N648,etat!$A$9:$N$1003,9,FALSE)</f>
        <v>#N/A</v>
      </c>
      <c r="S648" s="797" t="e">
        <f>VLOOKUP(N648,etat!$A$9:$P$905,16,FALSE)</f>
        <v>#N/A</v>
      </c>
      <c r="T648" s="755"/>
      <c r="U648" s="791"/>
      <c r="V648" s="784"/>
      <c r="W648" s="784"/>
      <c r="X648" s="784"/>
      <c r="Y648" s="784"/>
      <c r="Z648" s="965" t="str">
        <f>VLOOKUP(L648,اس!$S$3:$X$31,3,FALSE)</f>
        <v>.</v>
      </c>
    </row>
    <row r="649" spans="12:26" ht="18.75">
      <c r="L649" s="777">
        <v>5</v>
      </c>
      <c r="M649" s="906"/>
      <c r="N649" s="976">
        <v>0</v>
      </c>
      <c r="O649" s="1020">
        <v>596</v>
      </c>
      <c r="P649" s="860" t="e">
        <f>VLOOKUP(N649,etat!$A$9:$N$1004,2,FALSE)</f>
        <v>#N/A</v>
      </c>
      <c r="Q649" s="797" t="e">
        <f>VLOOKUP(N649,etat!$A$9:$N$963,7,FALSE)</f>
        <v>#N/A</v>
      </c>
      <c r="R649" s="905" t="e">
        <f>VLOOKUP(N649,etat!$A$9:$N$1003,9,FALSE)</f>
        <v>#N/A</v>
      </c>
      <c r="S649" s="797" t="e">
        <f>VLOOKUP(N649,etat!$A$9:$P$905,16,FALSE)</f>
        <v>#N/A</v>
      </c>
      <c r="T649" s="755"/>
      <c r="U649" s="791"/>
      <c r="V649" s="784"/>
      <c r="W649" s="784"/>
      <c r="X649" s="784"/>
      <c r="Y649" s="784"/>
      <c r="Z649" s="965" t="str">
        <f>VLOOKUP(L649,اس!$S$3:$X$31,3,FALSE)</f>
        <v>.</v>
      </c>
    </row>
    <row r="650" spans="12:26" ht="18.75">
      <c r="L650" s="777">
        <v>5</v>
      </c>
      <c r="M650" s="906"/>
      <c r="N650" s="976">
        <v>0</v>
      </c>
      <c r="O650" s="1020">
        <v>597</v>
      </c>
      <c r="P650" s="860" t="e">
        <f>VLOOKUP(N650,etat!$A$9:$N$1004,2,FALSE)</f>
        <v>#N/A</v>
      </c>
      <c r="Q650" s="797" t="e">
        <f>VLOOKUP(N650,etat!$A$9:$N$963,7,FALSE)</f>
        <v>#N/A</v>
      </c>
      <c r="R650" s="905" t="e">
        <f>VLOOKUP(N650,etat!$A$9:$N$1003,9,FALSE)</f>
        <v>#N/A</v>
      </c>
      <c r="S650" s="797" t="e">
        <f>VLOOKUP(N650,etat!$A$9:$P$905,16,FALSE)</f>
        <v>#N/A</v>
      </c>
      <c r="T650" s="755"/>
      <c r="U650" s="791"/>
      <c r="V650" s="784"/>
      <c r="W650" s="784"/>
      <c r="X650" s="784"/>
      <c r="Y650" s="784"/>
      <c r="Z650" s="965" t="str">
        <f>VLOOKUP(L650,اس!$S$3:$X$31,3,FALSE)</f>
        <v>.</v>
      </c>
    </row>
    <row r="651" spans="12:26" ht="18.75">
      <c r="L651" s="777">
        <v>5</v>
      </c>
      <c r="M651" s="906"/>
      <c r="N651" s="976">
        <v>0</v>
      </c>
      <c r="O651" s="1020">
        <v>598</v>
      </c>
      <c r="P651" s="860" t="e">
        <f>VLOOKUP(N651,etat!$A$9:$N$1004,2,FALSE)</f>
        <v>#N/A</v>
      </c>
      <c r="Q651" s="797" t="e">
        <f>VLOOKUP(N651,etat!$A$9:$N$963,7,FALSE)</f>
        <v>#N/A</v>
      </c>
      <c r="R651" s="905" t="e">
        <f>VLOOKUP(N651,etat!$A$9:$N$1003,9,FALSE)</f>
        <v>#N/A</v>
      </c>
      <c r="S651" s="797" t="e">
        <f>VLOOKUP(N651,etat!$A$9:$P$905,16,FALSE)</f>
        <v>#N/A</v>
      </c>
      <c r="T651" s="755"/>
      <c r="U651" s="791"/>
      <c r="V651" s="784"/>
      <c r="W651" s="784"/>
      <c r="X651" s="784"/>
      <c r="Y651" s="784"/>
      <c r="Z651" s="965" t="str">
        <f>VLOOKUP(L651,اس!$S$3:$X$31,3,FALSE)</f>
        <v>.</v>
      </c>
    </row>
    <row r="652" spans="12:26" ht="18.75">
      <c r="L652" s="777">
        <v>5</v>
      </c>
      <c r="M652" s="906"/>
      <c r="N652" s="976">
        <v>0</v>
      </c>
      <c r="O652" s="1020">
        <v>599</v>
      </c>
      <c r="P652" s="860" t="e">
        <f>VLOOKUP(N652,etat!$A$9:$N$1004,2,FALSE)</f>
        <v>#N/A</v>
      </c>
      <c r="Q652" s="797" t="e">
        <f>VLOOKUP(N652,etat!$A$9:$N$963,7,FALSE)</f>
        <v>#N/A</v>
      </c>
      <c r="R652" s="905" t="e">
        <f>VLOOKUP(N652,etat!$A$9:$N$1003,9,FALSE)</f>
        <v>#N/A</v>
      </c>
      <c r="S652" s="797" t="e">
        <f>VLOOKUP(N652,etat!$A$9:$P$905,16,FALSE)</f>
        <v>#N/A</v>
      </c>
      <c r="T652" s="755"/>
      <c r="U652" s="791"/>
      <c r="V652" s="784"/>
      <c r="W652" s="784"/>
      <c r="X652" s="784"/>
      <c r="Y652" s="784"/>
      <c r="Z652" s="965" t="str">
        <f>VLOOKUP(L652,اس!$S$3:$X$31,3,FALSE)</f>
        <v>.</v>
      </c>
    </row>
    <row r="653" spans="12:26" ht="18.75">
      <c r="L653" s="777">
        <v>5</v>
      </c>
      <c r="M653" s="906"/>
      <c r="N653" s="976">
        <v>0</v>
      </c>
      <c r="O653" s="1020">
        <v>600</v>
      </c>
      <c r="P653" s="860" t="e">
        <f>VLOOKUP(N653,etat!$A$9:$N$1004,2,FALSE)</f>
        <v>#N/A</v>
      </c>
      <c r="Q653" s="797" t="e">
        <f>VLOOKUP(N653,etat!$A$9:$N$963,7,FALSE)</f>
        <v>#N/A</v>
      </c>
      <c r="R653" s="905" t="e">
        <f>VLOOKUP(N653,etat!$A$9:$N$1003,9,FALSE)</f>
        <v>#N/A</v>
      </c>
      <c r="S653" s="797" t="e">
        <f>VLOOKUP(N653,etat!$A$9:$P$905,16,FALSE)</f>
        <v>#N/A</v>
      </c>
      <c r="T653" s="755"/>
      <c r="U653" s="791"/>
      <c r="V653" s="784"/>
      <c r="W653" s="784"/>
      <c r="X653" s="784"/>
      <c r="Y653" s="784"/>
      <c r="Z653" s="965" t="str">
        <f>VLOOKUP(L653,اس!$S$3:$X$31,3,FALSE)</f>
        <v>.</v>
      </c>
    </row>
    <row r="654" spans="12:26" ht="18.75">
      <c r="L654" s="777">
        <v>5</v>
      </c>
      <c r="M654" s="906"/>
      <c r="N654" s="976">
        <v>0</v>
      </c>
      <c r="O654" s="1020">
        <v>601</v>
      </c>
      <c r="P654" s="860" t="e">
        <f>VLOOKUP(N654,etat!$A$9:$N$1004,2,FALSE)</f>
        <v>#N/A</v>
      </c>
      <c r="Q654" s="797" t="e">
        <f>VLOOKUP(N654,etat!$A$9:$N$963,7,FALSE)</f>
        <v>#N/A</v>
      </c>
      <c r="R654" s="905" t="e">
        <f>VLOOKUP(N654,etat!$A$9:$N$1003,9,FALSE)</f>
        <v>#N/A</v>
      </c>
      <c r="S654" s="797" t="e">
        <f>VLOOKUP(N654,etat!$A$9:$P$905,16,FALSE)</f>
        <v>#N/A</v>
      </c>
      <c r="T654" s="755"/>
      <c r="U654" s="791"/>
      <c r="V654" s="784"/>
      <c r="W654" s="784"/>
      <c r="X654" s="784"/>
      <c r="Y654" s="784"/>
      <c r="Z654" s="965" t="str">
        <f>VLOOKUP(L654,اس!$S$3:$X$31,3,FALSE)</f>
        <v>.</v>
      </c>
    </row>
    <row r="655" spans="12:26" ht="18.75">
      <c r="L655" s="777">
        <v>5</v>
      </c>
      <c r="M655" s="906"/>
      <c r="N655" s="976">
        <v>0</v>
      </c>
      <c r="O655" s="1020">
        <v>602</v>
      </c>
      <c r="P655" s="860" t="e">
        <f>VLOOKUP(N655,etat!$A$9:$N$1004,2,FALSE)</f>
        <v>#N/A</v>
      </c>
      <c r="Q655" s="797" t="e">
        <f>VLOOKUP(N655,etat!$A$9:$N$963,7,FALSE)</f>
        <v>#N/A</v>
      </c>
      <c r="R655" s="905" t="e">
        <f>VLOOKUP(N655,etat!$A$9:$N$1003,9,FALSE)</f>
        <v>#N/A</v>
      </c>
      <c r="S655" s="797" t="e">
        <f>VLOOKUP(N655,etat!$A$9:$P$905,16,FALSE)</f>
        <v>#N/A</v>
      </c>
      <c r="T655" s="755"/>
      <c r="U655" s="791"/>
      <c r="V655" s="784"/>
      <c r="W655" s="784"/>
      <c r="X655" s="784"/>
      <c r="Y655" s="784"/>
      <c r="Z655" s="965" t="str">
        <f>VLOOKUP(L655,اس!$S$3:$X$31,3,FALSE)</f>
        <v>.</v>
      </c>
    </row>
    <row r="656" spans="12:26" ht="18.75">
      <c r="L656" s="777">
        <v>5</v>
      </c>
      <c r="M656" s="906"/>
      <c r="N656" s="976">
        <v>0</v>
      </c>
      <c r="O656" s="1020">
        <v>603</v>
      </c>
      <c r="P656" s="860" t="e">
        <f>VLOOKUP(N656,etat!$A$9:$N$1004,2,FALSE)</f>
        <v>#N/A</v>
      </c>
      <c r="Q656" s="797" t="e">
        <f>VLOOKUP(N656,etat!$A$9:$N$963,7,FALSE)</f>
        <v>#N/A</v>
      </c>
      <c r="R656" s="905" t="e">
        <f>VLOOKUP(N656,etat!$A$9:$N$1003,9,FALSE)</f>
        <v>#N/A</v>
      </c>
      <c r="S656" s="797" t="e">
        <f>VLOOKUP(N656,etat!$A$9:$P$905,16,FALSE)</f>
        <v>#N/A</v>
      </c>
      <c r="T656" s="755"/>
      <c r="U656" s="791"/>
      <c r="V656" s="784"/>
      <c r="W656" s="784"/>
      <c r="X656" s="784"/>
      <c r="Y656" s="784"/>
      <c r="Z656" s="965" t="str">
        <f>VLOOKUP(L656,اس!$S$3:$X$31,3,FALSE)</f>
        <v>.</v>
      </c>
    </row>
    <row r="657" spans="12:26" ht="18.75">
      <c r="L657" s="777">
        <v>5</v>
      </c>
      <c r="M657" s="906"/>
      <c r="N657" s="976">
        <v>0</v>
      </c>
      <c r="O657" s="1020">
        <v>604</v>
      </c>
      <c r="P657" s="860" t="e">
        <f>VLOOKUP(N657,etat!$A$9:$N$1004,2,FALSE)</f>
        <v>#N/A</v>
      </c>
      <c r="Q657" s="797" t="e">
        <f>VLOOKUP(N657,etat!$A$9:$N$963,7,FALSE)</f>
        <v>#N/A</v>
      </c>
      <c r="R657" s="905" t="e">
        <f>VLOOKUP(N657,etat!$A$9:$N$1003,9,FALSE)</f>
        <v>#N/A</v>
      </c>
      <c r="S657" s="797" t="e">
        <f>VLOOKUP(N657,etat!$A$9:$P$905,16,FALSE)</f>
        <v>#N/A</v>
      </c>
      <c r="T657" s="755"/>
      <c r="U657" s="791"/>
      <c r="V657" s="784"/>
      <c r="W657" s="784"/>
      <c r="X657" s="784"/>
      <c r="Y657" s="784"/>
      <c r="Z657" s="965" t="str">
        <f>VLOOKUP(L657,اس!$S$3:$X$31,3,FALSE)</f>
        <v>.</v>
      </c>
    </row>
    <row r="658" spans="12:26" ht="18.75">
      <c r="L658" s="777">
        <v>5</v>
      </c>
      <c r="M658" s="906"/>
      <c r="N658" s="976">
        <v>0</v>
      </c>
      <c r="O658" s="1020">
        <v>605</v>
      </c>
      <c r="P658" s="860" t="e">
        <f>VLOOKUP(N658,etat!$A$9:$N$1004,2,FALSE)</f>
        <v>#N/A</v>
      </c>
      <c r="Q658" s="797" t="e">
        <f>VLOOKUP(N658,etat!$A$9:$N$963,7,FALSE)</f>
        <v>#N/A</v>
      </c>
      <c r="R658" s="905" t="e">
        <f>VLOOKUP(N658,etat!$A$9:$N$1003,9,FALSE)</f>
        <v>#N/A</v>
      </c>
      <c r="S658" s="797" t="e">
        <f>VLOOKUP(N658,etat!$A$9:$P$905,16,FALSE)</f>
        <v>#N/A</v>
      </c>
      <c r="T658" s="755"/>
      <c r="U658" s="791"/>
      <c r="V658" s="784"/>
      <c r="W658" s="784"/>
      <c r="X658" s="784"/>
      <c r="Y658" s="784"/>
      <c r="Z658" s="965" t="str">
        <f>VLOOKUP(L658,اس!$S$3:$X$31,3,FALSE)</f>
        <v>.</v>
      </c>
    </row>
    <row r="659" spans="12:26" ht="18.75">
      <c r="L659" s="777">
        <v>5</v>
      </c>
      <c r="M659" s="906"/>
      <c r="N659" s="976">
        <v>0</v>
      </c>
      <c r="O659" s="1020">
        <v>606</v>
      </c>
      <c r="P659" s="860" t="e">
        <f>VLOOKUP(N659,etat!$A$9:$N$1004,2,FALSE)</f>
        <v>#N/A</v>
      </c>
      <c r="Q659" s="797" t="e">
        <f>VLOOKUP(N659,etat!$A$9:$N$963,7,FALSE)</f>
        <v>#N/A</v>
      </c>
      <c r="R659" s="905" t="e">
        <f>VLOOKUP(N659,etat!$A$9:$N$1003,9,FALSE)</f>
        <v>#N/A</v>
      </c>
      <c r="S659" s="797" t="e">
        <f>VLOOKUP(N659,etat!$A$9:$P$905,16,FALSE)</f>
        <v>#N/A</v>
      </c>
      <c r="T659" s="755"/>
      <c r="U659" s="791"/>
      <c r="V659" s="784"/>
      <c r="W659" s="784"/>
      <c r="X659" s="784"/>
      <c r="Y659" s="784"/>
      <c r="Z659" s="965" t="str">
        <f>VLOOKUP(L659,اس!$S$3:$X$31,3,FALSE)</f>
        <v>.</v>
      </c>
    </row>
    <row r="660" spans="12:26" ht="18.75">
      <c r="L660" s="777">
        <v>5</v>
      </c>
      <c r="M660" s="906"/>
      <c r="N660" s="976">
        <v>0</v>
      </c>
      <c r="O660" s="1020">
        <v>607</v>
      </c>
      <c r="P660" s="860" t="e">
        <f>VLOOKUP(N660,etat!$A$9:$N$1004,2,FALSE)</f>
        <v>#N/A</v>
      </c>
      <c r="Q660" s="797" t="e">
        <f>VLOOKUP(N660,etat!$A$9:$N$963,7,FALSE)</f>
        <v>#N/A</v>
      </c>
      <c r="R660" s="905" t="e">
        <f>VLOOKUP(N660,etat!$A$9:$N$1003,9,FALSE)</f>
        <v>#N/A</v>
      </c>
      <c r="S660" s="797" t="e">
        <f>VLOOKUP(N660,etat!$A$9:$P$905,16,FALSE)</f>
        <v>#N/A</v>
      </c>
      <c r="T660" s="755"/>
      <c r="U660" s="791"/>
      <c r="V660" s="784"/>
      <c r="W660" s="784"/>
      <c r="X660" s="784"/>
      <c r="Y660" s="784"/>
      <c r="Z660" s="965" t="str">
        <f>VLOOKUP(L660,اس!$S$3:$X$31,3,FALSE)</f>
        <v>.</v>
      </c>
    </row>
    <row r="661" spans="12:26" ht="18.75">
      <c r="L661" s="777">
        <v>5</v>
      </c>
      <c r="M661" s="906"/>
      <c r="N661" s="976">
        <v>0</v>
      </c>
      <c r="O661" s="1020">
        <v>608</v>
      </c>
      <c r="P661" s="860" t="e">
        <f>VLOOKUP(N661,etat!$A$9:$N$1004,2,FALSE)</f>
        <v>#N/A</v>
      </c>
      <c r="Q661" s="797" t="e">
        <f>VLOOKUP(N661,etat!$A$9:$N$963,7,FALSE)</f>
        <v>#N/A</v>
      </c>
      <c r="R661" s="905" t="e">
        <f>VLOOKUP(N661,etat!$A$9:$N$1003,9,FALSE)</f>
        <v>#N/A</v>
      </c>
      <c r="S661" s="797" t="e">
        <f>VLOOKUP(N661,etat!$A$9:$P$905,16,FALSE)</f>
        <v>#N/A</v>
      </c>
      <c r="T661" s="755"/>
      <c r="U661" s="791"/>
      <c r="V661" s="784"/>
      <c r="W661" s="784"/>
      <c r="X661" s="784"/>
      <c r="Y661" s="784"/>
      <c r="Z661" s="965" t="str">
        <f>VLOOKUP(L661,اس!$S$3:$X$31,3,FALSE)</f>
        <v>.</v>
      </c>
    </row>
    <row r="662" spans="12:26" ht="18.75">
      <c r="L662" s="777">
        <v>5</v>
      </c>
      <c r="M662" s="906"/>
      <c r="N662" s="976">
        <v>0</v>
      </c>
      <c r="O662" s="1020">
        <v>609</v>
      </c>
      <c r="P662" s="860" t="e">
        <f>VLOOKUP(N662,etat!$A$9:$N$1004,2,FALSE)</f>
        <v>#N/A</v>
      </c>
      <c r="Q662" s="797" t="e">
        <f>VLOOKUP(N662,etat!$A$9:$N$963,7,FALSE)</f>
        <v>#N/A</v>
      </c>
      <c r="R662" s="905" t="e">
        <f>VLOOKUP(N662,etat!$A$9:$N$1003,9,FALSE)</f>
        <v>#N/A</v>
      </c>
      <c r="S662" s="797" t="e">
        <f>VLOOKUP(N662,etat!$A$9:$P$905,16,FALSE)</f>
        <v>#N/A</v>
      </c>
      <c r="T662" s="755"/>
      <c r="U662" s="791"/>
      <c r="V662" s="784"/>
      <c r="W662" s="784"/>
      <c r="X662" s="784"/>
      <c r="Y662" s="784"/>
      <c r="Z662" s="965" t="str">
        <f>VLOOKUP(L662,اس!$S$3:$X$31,3,FALSE)</f>
        <v>.</v>
      </c>
    </row>
    <row r="663" spans="12:26" ht="18.75">
      <c r="L663" s="777">
        <v>5</v>
      </c>
      <c r="M663" s="906"/>
      <c r="N663" s="976">
        <v>0</v>
      </c>
      <c r="O663" s="1020">
        <v>610</v>
      </c>
      <c r="P663" s="860" t="e">
        <f>VLOOKUP(N663,etat!$A$9:$N$1004,2,FALSE)</f>
        <v>#N/A</v>
      </c>
      <c r="Q663" s="797" t="e">
        <f>VLOOKUP(N663,etat!$A$9:$N$963,7,FALSE)</f>
        <v>#N/A</v>
      </c>
      <c r="R663" s="905" t="e">
        <f>VLOOKUP(N663,etat!$A$9:$N$1003,9,FALSE)</f>
        <v>#N/A</v>
      </c>
      <c r="S663" s="797" t="e">
        <f>VLOOKUP(N663,etat!$A$9:$P$905,16,FALSE)</f>
        <v>#N/A</v>
      </c>
      <c r="T663" s="755"/>
      <c r="U663" s="791"/>
      <c r="V663" s="784"/>
      <c r="W663" s="784"/>
      <c r="X663" s="784"/>
      <c r="Y663" s="784"/>
      <c r="Z663" s="965" t="str">
        <f>VLOOKUP(L663,اس!$S$3:$X$31,3,FALSE)</f>
        <v>.</v>
      </c>
    </row>
    <row r="664" spans="12:26" ht="18.75">
      <c r="L664" s="777">
        <v>5</v>
      </c>
      <c r="M664" s="906"/>
      <c r="N664" s="976">
        <v>0</v>
      </c>
      <c r="O664" s="1020">
        <v>611</v>
      </c>
      <c r="P664" s="860" t="e">
        <f>VLOOKUP(N664,etat!$A$9:$N$1004,2,FALSE)</f>
        <v>#N/A</v>
      </c>
      <c r="Q664" s="797" t="e">
        <f>VLOOKUP(N664,etat!$A$9:$N$963,7,FALSE)</f>
        <v>#N/A</v>
      </c>
      <c r="R664" s="905" t="e">
        <f>VLOOKUP(N664,etat!$A$9:$N$1003,9,FALSE)</f>
        <v>#N/A</v>
      </c>
      <c r="S664" s="797" t="e">
        <f>VLOOKUP(N664,etat!$A$9:$P$905,16,FALSE)</f>
        <v>#N/A</v>
      </c>
      <c r="T664" s="755"/>
      <c r="U664" s="791"/>
      <c r="V664" s="784"/>
      <c r="W664" s="784"/>
      <c r="X664" s="784"/>
      <c r="Y664" s="784"/>
      <c r="Z664" s="965" t="str">
        <f>VLOOKUP(L664,اس!$S$3:$X$31,3,FALSE)</f>
        <v>.</v>
      </c>
    </row>
    <row r="665" spans="12:26" ht="18.75">
      <c r="L665" s="777">
        <v>5</v>
      </c>
      <c r="M665" s="906"/>
      <c r="N665" s="976">
        <v>0</v>
      </c>
      <c r="O665" s="1020">
        <v>612</v>
      </c>
      <c r="P665" s="860" t="e">
        <f>VLOOKUP(N665,etat!$A$9:$N$1004,2,FALSE)</f>
        <v>#N/A</v>
      </c>
      <c r="Q665" s="797" t="e">
        <f>VLOOKUP(N665,etat!$A$9:$N$963,7,FALSE)</f>
        <v>#N/A</v>
      </c>
      <c r="R665" s="905" t="e">
        <f>VLOOKUP(N665,etat!$A$9:$N$1003,9,FALSE)</f>
        <v>#N/A</v>
      </c>
      <c r="S665" s="797" t="e">
        <f>VLOOKUP(N665,etat!$A$9:$P$905,16,FALSE)</f>
        <v>#N/A</v>
      </c>
      <c r="T665" s="755"/>
      <c r="U665" s="791"/>
      <c r="V665" s="784"/>
      <c r="W665" s="784"/>
      <c r="X665" s="784"/>
      <c r="Y665" s="784"/>
      <c r="Z665" s="965" t="str">
        <f>VLOOKUP(L665,اس!$S$3:$X$31,3,FALSE)</f>
        <v>.</v>
      </c>
    </row>
    <row r="666" spans="12:26" ht="18.75">
      <c r="L666" s="777">
        <v>5</v>
      </c>
      <c r="M666" s="906"/>
      <c r="N666" s="976">
        <v>0</v>
      </c>
      <c r="O666" s="1020">
        <v>613</v>
      </c>
      <c r="P666" s="860" t="e">
        <f>VLOOKUP(N666,etat!$A$9:$N$1004,2,FALSE)</f>
        <v>#N/A</v>
      </c>
      <c r="Q666" s="797" t="e">
        <f>VLOOKUP(N666,etat!$A$9:$N$963,7,FALSE)</f>
        <v>#N/A</v>
      </c>
      <c r="R666" s="905" t="e">
        <f>VLOOKUP(N666,etat!$A$9:$N$1003,9,FALSE)</f>
        <v>#N/A</v>
      </c>
      <c r="S666" s="797" t="e">
        <f>VLOOKUP(N666,etat!$A$9:$P$905,16,FALSE)</f>
        <v>#N/A</v>
      </c>
      <c r="T666" s="755"/>
      <c r="U666" s="791"/>
      <c r="V666" s="784"/>
      <c r="W666" s="784"/>
      <c r="X666" s="784"/>
      <c r="Y666" s="784"/>
      <c r="Z666" s="965" t="str">
        <f>VLOOKUP(L666,اس!$S$3:$X$31,3,FALSE)</f>
        <v>.</v>
      </c>
    </row>
    <row r="667" spans="12:26" ht="18.75">
      <c r="L667" s="777">
        <v>5</v>
      </c>
      <c r="M667" s="906"/>
      <c r="N667" s="976">
        <v>0</v>
      </c>
      <c r="O667" s="1020">
        <v>614</v>
      </c>
      <c r="P667" s="860" t="e">
        <f>VLOOKUP(N667,etat!$A$9:$N$1004,2,FALSE)</f>
        <v>#N/A</v>
      </c>
      <c r="Q667" s="797" t="e">
        <f>VLOOKUP(N667,etat!$A$9:$N$963,7,FALSE)</f>
        <v>#N/A</v>
      </c>
      <c r="R667" s="905" t="e">
        <f>VLOOKUP(N667,etat!$A$9:$N$1003,9,FALSE)</f>
        <v>#N/A</v>
      </c>
      <c r="S667" s="797" t="e">
        <f>VLOOKUP(N667,etat!$A$9:$P$905,16,FALSE)</f>
        <v>#N/A</v>
      </c>
      <c r="T667" s="755"/>
      <c r="U667" s="791"/>
      <c r="V667" s="784"/>
      <c r="W667" s="784"/>
      <c r="X667" s="784"/>
      <c r="Y667" s="784"/>
      <c r="Z667" s="965" t="str">
        <f>VLOOKUP(L667,اس!$S$3:$X$31,3,FALSE)</f>
        <v>.</v>
      </c>
    </row>
    <row r="668" spans="12:26" ht="18.75">
      <c r="L668" s="777">
        <v>5</v>
      </c>
      <c r="M668" s="906"/>
      <c r="N668" s="976">
        <v>0</v>
      </c>
      <c r="O668" s="1020">
        <v>615</v>
      </c>
      <c r="P668" s="860" t="e">
        <f>VLOOKUP(N668,etat!$A$9:$N$1004,2,FALSE)</f>
        <v>#N/A</v>
      </c>
      <c r="Q668" s="797" t="e">
        <f>VLOOKUP(N668,etat!$A$9:$N$963,7,FALSE)</f>
        <v>#N/A</v>
      </c>
      <c r="R668" s="905" t="e">
        <f>VLOOKUP(N668,etat!$A$9:$N$1003,9,FALSE)</f>
        <v>#N/A</v>
      </c>
      <c r="S668" s="797" t="e">
        <f>VLOOKUP(N668,etat!$A$9:$P$905,16,FALSE)</f>
        <v>#N/A</v>
      </c>
      <c r="T668" s="755"/>
      <c r="U668" s="791"/>
      <c r="V668" s="784"/>
      <c r="W668" s="784"/>
      <c r="X668" s="784"/>
      <c r="Y668" s="784"/>
      <c r="Z668" s="965" t="str">
        <f>VLOOKUP(L668,اس!$S$3:$X$31,3,FALSE)</f>
        <v>.</v>
      </c>
    </row>
    <row r="669" spans="12:26" ht="18.75">
      <c r="L669" s="777">
        <v>5</v>
      </c>
      <c r="M669" s="906"/>
      <c r="N669" s="976">
        <v>0</v>
      </c>
      <c r="O669" s="1020">
        <v>616</v>
      </c>
      <c r="P669" s="860" t="e">
        <f>VLOOKUP(N669,etat!$A$9:$N$1004,2,FALSE)</f>
        <v>#N/A</v>
      </c>
      <c r="Q669" s="797" t="e">
        <f>VLOOKUP(N669,etat!$A$9:$N$963,7,FALSE)</f>
        <v>#N/A</v>
      </c>
      <c r="R669" s="905" t="e">
        <f>VLOOKUP(N669,etat!$A$9:$N$1003,9,FALSE)</f>
        <v>#N/A</v>
      </c>
      <c r="S669" s="797" t="e">
        <f>VLOOKUP(N669,etat!$A$9:$P$905,16,FALSE)</f>
        <v>#N/A</v>
      </c>
      <c r="T669" s="755"/>
      <c r="U669" s="791"/>
      <c r="V669" s="784"/>
      <c r="W669" s="784"/>
      <c r="X669" s="784"/>
      <c r="Y669" s="784"/>
      <c r="Z669" s="965" t="str">
        <f>VLOOKUP(L669,اس!$S$3:$X$31,3,FALSE)</f>
        <v>.</v>
      </c>
    </row>
    <row r="670" spans="12:26" ht="18.75">
      <c r="L670" s="777">
        <v>5</v>
      </c>
      <c r="M670" s="906"/>
      <c r="N670" s="976">
        <v>0</v>
      </c>
      <c r="O670" s="1020">
        <v>617</v>
      </c>
      <c r="P670" s="860" t="e">
        <f>VLOOKUP(N670,etat!$A$9:$N$1004,2,FALSE)</f>
        <v>#N/A</v>
      </c>
      <c r="Q670" s="797" t="e">
        <f>VLOOKUP(N670,etat!$A$9:$N$963,7,FALSE)</f>
        <v>#N/A</v>
      </c>
      <c r="R670" s="905" t="e">
        <f>VLOOKUP(N670,etat!$A$9:$N$1003,9,FALSE)</f>
        <v>#N/A</v>
      </c>
      <c r="S670" s="797" t="e">
        <f>VLOOKUP(N670,etat!$A$9:$P$905,16,FALSE)</f>
        <v>#N/A</v>
      </c>
      <c r="T670" s="755"/>
      <c r="U670" s="791"/>
      <c r="V670" s="784"/>
      <c r="W670" s="784"/>
      <c r="X670" s="784"/>
      <c r="Y670" s="784"/>
      <c r="Z670" s="965" t="str">
        <f>VLOOKUP(L670,اس!$S$3:$X$31,3,FALSE)</f>
        <v>.</v>
      </c>
    </row>
    <row r="671" spans="12:26" ht="18.75">
      <c r="L671" s="777">
        <v>5</v>
      </c>
      <c r="M671" s="906"/>
      <c r="N671" s="976">
        <v>0</v>
      </c>
      <c r="O671" s="1020">
        <v>618</v>
      </c>
      <c r="P671" s="860" t="e">
        <f>VLOOKUP(N671,etat!$A$9:$N$1004,2,FALSE)</f>
        <v>#N/A</v>
      </c>
      <c r="Q671" s="797" t="e">
        <f>VLOOKUP(N671,etat!$A$9:$N$963,7,FALSE)</f>
        <v>#N/A</v>
      </c>
      <c r="R671" s="905" t="e">
        <f>VLOOKUP(N671,etat!$A$9:$N$1003,9,FALSE)</f>
        <v>#N/A</v>
      </c>
      <c r="S671" s="797" t="e">
        <f>VLOOKUP(N671,etat!$A$9:$P$905,16,FALSE)</f>
        <v>#N/A</v>
      </c>
      <c r="T671" s="755"/>
      <c r="U671" s="791"/>
      <c r="V671" s="784"/>
      <c r="W671" s="784"/>
      <c r="X671" s="784"/>
      <c r="Y671" s="784"/>
      <c r="Z671" s="965" t="str">
        <f>VLOOKUP(L671,اس!$S$3:$X$31,3,FALSE)</f>
        <v>.</v>
      </c>
    </row>
    <row r="672" spans="12:26" ht="18.75">
      <c r="L672" s="777">
        <v>5</v>
      </c>
      <c r="M672" s="906"/>
      <c r="N672" s="976">
        <v>0</v>
      </c>
      <c r="O672" s="1020">
        <v>619</v>
      </c>
      <c r="P672" s="860" t="e">
        <f>VLOOKUP(N672,etat!$A$9:$N$1004,2,FALSE)</f>
        <v>#N/A</v>
      </c>
      <c r="Q672" s="797" t="e">
        <f>VLOOKUP(N672,etat!$A$9:$N$963,7,FALSE)</f>
        <v>#N/A</v>
      </c>
      <c r="R672" s="905" t="e">
        <f>VLOOKUP(N672,etat!$A$9:$N$1003,9,FALSE)</f>
        <v>#N/A</v>
      </c>
      <c r="S672" s="797" t="e">
        <f>VLOOKUP(N672,etat!$A$9:$P$905,16,FALSE)</f>
        <v>#N/A</v>
      </c>
      <c r="T672" s="755"/>
      <c r="U672" s="791"/>
      <c r="V672" s="784"/>
      <c r="W672" s="784"/>
      <c r="X672" s="784"/>
      <c r="Y672" s="784"/>
      <c r="Z672" s="965" t="str">
        <f>VLOOKUP(L672,اس!$S$3:$X$31,3,FALSE)</f>
        <v>.</v>
      </c>
    </row>
    <row r="673" spans="12:26" ht="18.75">
      <c r="L673" s="777">
        <v>5</v>
      </c>
      <c r="M673" s="906"/>
      <c r="N673" s="976">
        <v>0</v>
      </c>
      <c r="O673" s="1020">
        <v>620</v>
      </c>
      <c r="P673" s="860" t="e">
        <f>VLOOKUP(N673,etat!$A$9:$N$1004,2,FALSE)</f>
        <v>#N/A</v>
      </c>
      <c r="Q673" s="797" t="e">
        <f>VLOOKUP(N673,etat!$A$9:$N$963,7,FALSE)</f>
        <v>#N/A</v>
      </c>
      <c r="R673" s="905" t="e">
        <f>VLOOKUP(N673,etat!$A$9:$N$1003,9,FALSE)</f>
        <v>#N/A</v>
      </c>
      <c r="S673" s="797" t="e">
        <f>VLOOKUP(N673,etat!$A$9:$P$905,16,FALSE)</f>
        <v>#N/A</v>
      </c>
      <c r="T673" s="755"/>
      <c r="U673" s="791"/>
      <c r="V673" s="784"/>
      <c r="W673" s="784"/>
      <c r="X673" s="784"/>
      <c r="Y673" s="784"/>
      <c r="Z673" s="965" t="str">
        <f>VLOOKUP(L673,اس!$S$3:$X$31,3,FALSE)</f>
        <v>.</v>
      </c>
    </row>
    <row r="674" spans="12:26" ht="18.75">
      <c r="L674" s="777">
        <v>5</v>
      </c>
      <c r="M674" s="906"/>
      <c r="N674" s="976">
        <v>0</v>
      </c>
      <c r="O674" s="1020">
        <v>621</v>
      </c>
      <c r="P674" s="860" t="e">
        <f>VLOOKUP(N674,etat!$A$9:$N$1004,2,FALSE)</f>
        <v>#N/A</v>
      </c>
      <c r="Q674" s="797" t="e">
        <f>VLOOKUP(N674,etat!$A$9:$N$963,7,FALSE)</f>
        <v>#N/A</v>
      </c>
      <c r="R674" s="905" t="e">
        <f>VLOOKUP(N674,etat!$A$9:$N$1003,9,FALSE)</f>
        <v>#N/A</v>
      </c>
      <c r="S674" s="797" t="e">
        <f>VLOOKUP(N674,etat!$A$9:$P$905,16,FALSE)</f>
        <v>#N/A</v>
      </c>
      <c r="T674" s="755"/>
      <c r="U674" s="791"/>
      <c r="V674" s="784"/>
      <c r="W674" s="784"/>
      <c r="X674" s="784"/>
      <c r="Y674" s="784"/>
      <c r="Z674" s="965" t="str">
        <f>VLOOKUP(L674,اس!$S$3:$X$31,3,FALSE)</f>
        <v>.</v>
      </c>
    </row>
    <row r="675" spans="12:26" ht="18.75">
      <c r="L675" s="777">
        <v>5</v>
      </c>
      <c r="M675" s="906"/>
      <c r="N675" s="976">
        <v>0</v>
      </c>
      <c r="O675" s="1020">
        <v>622</v>
      </c>
      <c r="P675" s="860" t="e">
        <f>VLOOKUP(N675,etat!$A$9:$N$1004,2,FALSE)</f>
        <v>#N/A</v>
      </c>
      <c r="Q675" s="797" t="e">
        <f>VLOOKUP(N675,etat!$A$9:$N$963,7,FALSE)</f>
        <v>#N/A</v>
      </c>
      <c r="R675" s="905" t="e">
        <f>VLOOKUP(N675,etat!$A$9:$N$1003,9,FALSE)</f>
        <v>#N/A</v>
      </c>
      <c r="S675" s="797" t="e">
        <f>VLOOKUP(N675,etat!$A$9:$P$905,16,FALSE)</f>
        <v>#N/A</v>
      </c>
      <c r="T675" s="755"/>
      <c r="U675" s="791"/>
      <c r="V675" s="784"/>
      <c r="W675" s="784"/>
      <c r="X675" s="784"/>
      <c r="Y675" s="784"/>
      <c r="Z675" s="965" t="str">
        <f>VLOOKUP(L675,اس!$S$3:$X$31,3,FALSE)</f>
        <v>.</v>
      </c>
    </row>
    <row r="676" spans="12:26" ht="18.75">
      <c r="L676" s="777">
        <v>5</v>
      </c>
      <c r="M676" s="906"/>
      <c r="N676" s="976">
        <v>0</v>
      </c>
      <c r="O676" s="1020">
        <v>623</v>
      </c>
      <c r="P676" s="860" t="e">
        <f>VLOOKUP(N676,etat!$A$9:$N$1004,2,FALSE)</f>
        <v>#N/A</v>
      </c>
      <c r="Q676" s="797" t="e">
        <f>VLOOKUP(N676,etat!$A$9:$N$963,7,FALSE)</f>
        <v>#N/A</v>
      </c>
      <c r="R676" s="905" t="e">
        <f>VLOOKUP(N676,etat!$A$9:$N$1003,9,FALSE)</f>
        <v>#N/A</v>
      </c>
      <c r="S676" s="797" t="e">
        <f>VLOOKUP(N676,etat!$A$9:$P$905,16,FALSE)</f>
        <v>#N/A</v>
      </c>
      <c r="T676" s="755"/>
      <c r="U676" s="791"/>
      <c r="V676" s="784"/>
      <c r="W676" s="784"/>
      <c r="X676" s="784"/>
      <c r="Y676" s="784"/>
      <c r="Z676" s="965" t="str">
        <f>VLOOKUP(L676,اس!$S$3:$X$31,3,FALSE)</f>
        <v>.</v>
      </c>
    </row>
    <row r="677" spans="12:26" ht="18.75">
      <c r="L677" s="777">
        <v>5</v>
      </c>
      <c r="M677" s="906"/>
      <c r="N677" s="976">
        <v>0</v>
      </c>
      <c r="O677" s="1020">
        <v>624</v>
      </c>
      <c r="P677" s="860" t="e">
        <f>VLOOKUP(N677,etat!$A$9:$N$1004,2,FALSE)</f>
        <v>#N/A</v>
      </c>
      <c r="Q677" s="797" t="e">
        <f>VLOOKUP(N677,etat!$A$9:$N$963,7,FALSE)</f>
        <v>#N/A</v>
      </c>
      <c r="R677" s="905" t="e">
        <f>VLOOKUP(N677,etat!$A$9:$N$1003,9,FALSE)</f>
        <v>#N/A</v>
      </c>
      <c r="S677" s="797" t="e">
        <f>VLOOKUP(N677,etat!$A$9:$P$905,16,FALSE)</f>
        <v>#N/A</v>
      </c>
      <c r="T677" s="755"/>
      <c r="U677" s="791"/>
      <c r="V677" s="784"/>
      <c r="W677" s="784"/>
      <c r="X677" s="784"/>
      <c r="Y677" s="784"/>
      <c r="Z677" s="965" t="str">
        <f>VLOOKUP(L677,اس!$S$3:$X$31,3,FALSE)</f>
        <v>.</v>
      </c>
    </row>
    <row r="678" spans="12:26" ht="18.75">
      <c r="L678" s="777">
        <v>5</v>
      </c>
      <c r="M678" s="906"/>
      <c r="N678" s="976">
        <v>0</v>
      </c>
      <c r="O678" s="1020">
        <v>625</v>
      </c>
      <c r="P678" s="860" t="e">
        <f>VLOOKUP(N678,etat!$A$9:$N$1004,2,FALSE)</f>
        <v>#N/A</v>
      </c>
      <c r="Q678" s="797" t="e">
        <f>VLOOKUP(N678,etat!$A$9:$N$963,7,FALSE)</f>
        <v>#N/A</v>
      </c>
      <c r="R678" s="905" t="e">
        <f>VLOOKUP(N678,etat!$A$9:$N$1003,9,FALSE)</f>
        <v>#N/A</v>
      </c>
      <c r="S678" s="797" t="e">
        <f>VLOOKUP(N678,etat!$A$9:$P$905,16,FALSE)</f>
        <v>#N/A</v>
      </c>
      <c r="T678" s="755"/>
      <c r="U678" s="791"/>
      <c r="V678" s="784"/>
      <c r="W678" s="784"/>
      <c r="X678" s="784"/>
      <c r="Y678" s="784"/>
      <c r="Z678" s="965" t="str">
        <f>VLOOKUP(L678,اس!$S$3:$X$31,3,FALSE)</f>
        <v>.</v>
      </c>
    </row>
    <row r="679" spans="12:26" ht="18.75">
      <c r="L679" s="777">
        <v>5</v>
      </c>
      <c r="M679" s="906"/>
      <c r="N679" s="976">
        <v>0</v>
      </c>
      <c r="O679" s="1020">
        <v>626</v>
      </c>
      <c r="P679" s="860" t="e">
        <f>VLOOKUP(N679,etat!$A$9:$N$1004,2,FALSE)</f>
        <v>#N/A</v>
      </c>
      <c r="Q679" s="797" t="e">
        <f>VLOOKUP(N679,etat!$A$9:$N$963,7,FALSE)</f>
        <v>#N/A</v>
      </c>
      <c r="R679" s="905" t="e">
        <f>VLOOKUP(N679,etat!$A$9:$N$1003,9,FALSE)</f>
        <v>#N/A</v>
      </c>
      <c r="S679" s="797" t="e">
        <f>VLOOKUP(N679,etat!$A$9:$P$905,16,FALSE)</f>
        <v>#N/A</v>
      </c>
      <c r="T679" s="755"/>
      <c r="U679" s="791"/>
      <c r="V679" s="784"/>
      <c r="W679" s="784"/>
      <c r="X679" s="784"/>
      <c r="Y679" s="784"/>
      <c r="Z679" s="965" t="str">
        <f>VLOOKUP(L679,اس!$S$3:$X$31,3,FALSE)</f>
        <v>.</v>
      </c>
    </row>
    <row r="680" spans="12:26" ht="18.75">
      <c r="L680" s="777">
        <v>5</v>
      </c>
      <c r="M680" s="906"/>
      <c r="N680" s="976">
        <v>0</v>
      </c>
      <c r="O680" s="1020">
        <v>627</v>
      </c>
      <c r="P680" s="860" t="e">
        <f>VLOOKUP(N680,etat!$A$9:$N$1004,2,FALSE)</f>
        <v>#N/A</v>
      </c>
      <c r="Q680" s="797" t="e">
        <f>VLOOKUP(N680,etat!$A$9:$N$963,7,FALSE)</f>
        <v>#N/A</v>
      </c>
      <c r="R680" s="905" t="e">
        <f>VLOOKUP(N680,etat!$A$9:$N$1003,9,FALSE)</f>
        <v>#N/A</v>
      </c>
      <c r="S680" s="797" t="e">
        <f>VLOOKUP(N680,etat!$A$9:$P$905,16,FALSE)</f>
        <v>#N/A</v>
      </c>
      <c r="T680" s="755"/>
      <c r="U680" s="791"/>
      <c r="V680" s="784"/>
      <c r="W680" s="784"/>
      <c r="X680" s="784"/>
      <c r="Y680" s="784"/>
      <c r="Z680" s="965" t="str">
        <f>VLOOKUP(L680,اس!$S$3:$X$31,3,FALSE)</f>
        <v>.</v>
      </c>
    </row>
    <row r="681" spans="12:26" ht="18.75">
      <c r="L681" s="777">
        <v>5</v>
      </c>
      <c r="M681" s="906"/>
      <c r="N681" s="976">
        <v>0</v>
      </c>
      <c r="O681" s="1020">
        <v>628</v>
      </c>
      <c r="P681" s="860" t="e">
        <f>VLOOKUP(N681,etat!$A$9:$N$1004,2,FALSE)</f>
        <v>#N/A</v>
      </c>
      <c r="Q681" s="797" t="e">
        <f>VLOOKUP(N681,etat!$A$9:$N$963,7,FALSE)</f>
        <v>#N/A</v>
      </c>
      <c r="R681" s="905" t="e">
        <f>VLOOKUP(N681,etat!$A$9:$N$1003,9,FALSE)</f>
        <v>#N/A</v>
      </c>
      <c r="S681" s="797" t="e">
        <f>VLOOKUP(N681,etat!$A$9:$P$905,16,FALSE)</f>
        <v>#N/A</v>
      </c>
      <c r="T681" s="755"/>
      <c r="U681" s="791"/>
      <c r="V681" s="784"/>
      <c r="W681" s="784"/>
      <c r="X681" s="784"/>
      <c r="Y681" s="784"/>
      <c r="Z681" s="965" t="str">
        <f>VLOOKUP(L681,اس!$S$3:$X$31,3,FALSE)</f>
        <v>.</v>
      </c>
    </row>
    <row r="682" spans="12:26" ht="18.75">
      <c r="L682" s="777">
        <v>5</v>
      </c>
      <c r="M682" s="906"/>
      <c r="N682" s="976">
        <v>0</v>
      </c>
      <c r="O682" s="1020">
        <v>629</v>
      </c>
      <c r="P682" s="860" t="e">
        <f>VLOOKUP(N682,etat!$A$9:$N$1004,2,FALSE)</f>
        <v>#N/A</v>
      </c>
      <c r="Q682" s="797" t="e">
        <f>VLOOKUP(N682,etat!$A$9:$N$963,7,FALSE)</f>
        <v>#N/A</v>
      </c>
      <c r="R682" s="905" t="e">
        <f>VLOOKUP(N682,etat!$A$9:$N$1003,9,FALSE)</f>
        <v>#N/A</v>
      </c>
      <c r="S682" s="797" t="e">
        <f>VLOOKUP(N682,etat!$A$9:$P$905,16,FALSE)</f>
        <v>#N/A</v>
      </c>
      <c r="T682" s="755"/>
      <c r="U682" s="791"/>
      <c r="V682" s="784"/>
      <c r="W682" s="784"/>
      <c r="X682" s="784"/>
      <c r="Y682" s="784"/>
      <c r="Z682" s="965" t="str">
        <f>VLOOKUP(L682,اس!$S$3:$X$31,3,FALSE)</f>
        <v>.</v>
      </c>
    </row>
    <row r="683" spans="12:26" ht="18.75">
      <c r="L683" s="777">
        <v>5</v>
      </c>
      <c r="M683" s="906"/>
      <c r="N683" s="976">
        <v>0</v>
      </c>
      <c r="O683" s="1020">
        <v>630</v>
      </c>
      <c r="P683" s="860" t="e">
        <f>VLOOKUP(N683,etat!$A$9:$N$1004,2,FALSE)</f>
        <v>#N/A</v>
      </c>
      <c r="Q683" s="797" t="e">
        <f>VLOOKUP(N683,etat!$A$9:$N$963,7,FALSE)</f>
        <v>#N/A</v>
      </c>
      <c r="R683" s="905" t="e">
        <f>VLOOKUP(N683,etat!$A$9:$N$1003,9,FALSE)</f>
        <v>#N/A</v>
      </c>
      <c r="S683" s="797" t="e">
        <f>VLOOKUP(N683,etat!$A$9:$P$905,16,FALSE)</f>
        <v>#N/A</v>
      </c>
      <c r="T683" s="755"/>
      <c r="U683" s="791"/>
      <c r="V683" s="784"/>
      <c r="W683" s="784"/>
      <c r="X683" s="784"/>
      <c r="Y683" s="784"/>
      <c r="Z683" s="965" t="str">
        <f>VLOOKUP(L683,اس!$S$3:$X$31,3,FALSE)</f>
        <v>.</v>
      </c>
    </row>
    <row r="684" spans="12:26" ht="18.75">
      <c r="L684" s="777">
        <v>5</v>
      </c>
      <c r="M684" s="906"/>
      <c r="N684" s="976">
        <v>0</v>
      </c>
      <c r="O684" s="1020">
        <v>631</v>
      </c>
      <c r="P684" s="860" t="e">
        <f>VLOOKUP(N684,etat!$A$9:$N$1004,2,FALSE)</f>
        <v>#N/A</v>
      </c>
      <c r="Q684" s="797" t="e">
        <f>VLOOKUP(N684,etat!$A$9:$N$963,7,FALSE)</f>
        <v>#N/A</v>
      </c>
      <c r="R684" s="905" t="e">
        <f>VLOOKUP(N684,etat!$A$9:$N$1003,9,FALSE)</f>
        <v>#N/A</v>
      </c>
      <c r="S684" s="797" t="e">
        <f>VLOOKUP(N684,etat!$A$9:$P$905,16,FALSE)</f>
        <v>#N/A</v>
      </c>
      <c r="T684" s="755"/>
      <c r="U684" s="791"/>
      <c r="V684" s="784"/>
      <c r="W684" s="784"/>
      <c r="X684" s="784"/>
      <c r="Y684" s="784"/>
      <c r="Z684" s="965" t="str">
        <f>VLOOKUP(L684,اس!$S$3:$X$31,3,FALSE)</f>
        <v>.</v>
      </c>
    </row>
    <row r="685" spans="12:26" ht="18.75">
      <c r="L685" s="777">
        <v>5</v>
      </c>
      <c r="M685" s="906"/>
      <c r="N685" s="976">
        <v>0</v>
      </c>
      <c r="O685" s="1020">
        <v>632</v>
      </c>
      <c r="P685" s="860" t="e">
        <f>VLOOKUP(N685,etat!$A$9:$N$1004,2,FALSE)</f>
        <v>#N/A</v>
      </c>
      <c r="Q685" s="797" t="e">
        <f>VLOOKUP(N685,etat!$A$9:$N$963,7,FALSE)</f>
        <v>#N/A</v>
      </c>
      <c r="R685" s="905" t="e">
        <f>VLOOKUP(N685,etat!$A$9:$N$1003,9,FALSE)</f>
        <v>#N/A</v>
      </c>
      <c r="S685" s="797" t="e">
        <f>VLOOKUP(N685,etat!$A$9:$P$905,16,FALSE)</f>
        <v>#N/A</v>
      </c>
      <c r="T685" s="755"/>
      <c r="U685" s="791"/>
      <c r="V685" s="784"/>
      <c r="W685" s="784"/>
      <c r="X685" s="784"/>
      <c r="Y685" s="784"/>
      <c r="Z685" s="965" t="str">
        <f>VLOOKUP(L685,اس!$S$3:$X$31,3,FALSE)</f>
        <v>.</v>
      </c>
    </row>
    <row r="686" spans="12:26" ht="18.75">
      <c r="L686" s="777">
        <v>5</v>
      </c>
      <c r="M686" s="906"/>
      <c r="N686" s="976">
        <v>0</v>
      </c>
      <c r="O686" s="1020">
        <v>633</v>
      </c>
      <c r="P686" s="860" t="e">
        <f>VLOOKUP(N686,etat!$A$9:$N$1004,2,FALSE)</f>
        <v>#N/A</v>
      </c>
      <c r="Q686" s="797" t="e">
        <f>VLOOKUP(N686,etat!$A$9:$N$963,7,FALSE)</f>
        <v>#N/A</v>
      </c>
      <c r="R686" s="905" t="e">
        <f>VLOOKUP(N686,etat!$A$9:$N$1003,9,FALSE)</f>
        <v>#N/A</v>
      </c>
      <c r="S686" s="797" t="e">
        <f>VLOOKUP(N686,etat!$A$9:$P$905,16,FALSE)</f>
        <v>#N/A</v>
      </c>
      <c r="T686" s="755"/>
      <c r="U686" s="791"/>
      <c r="V686" s="784"/>
      <c r="W686" s="784"/>
      <c r="X686" s="784"/>
      <c r="Y686" s="784"/>
      <c r="Z686" s="965" t="str">
        <f>VLOOKUP(L686,اس!$S$3:$X$31,3,FALSE)</f>
        <v>.</v>
      </c>
    </row>
    <row r="687" spans="12:26" ht="18.75">
      <c r="L687" s="777">
        <v>5</v>
      </c>
      <c r="M687" s="906"/>
      <c r="N687" s="976">
        <v>0</v>
      </c>
      <c r="O687" s="1020">
        <v>634</v>
      </c>
      <c r="P687" s="860" t="e">
        <f>VLOOKUP(N687,etat!$A$9:$N$1004,2,FALSE)</f>
        <v>#N/A</v>
      </c>
      <c r="Q687" s="797" t="e">
        <f>VLOOKUP(N687,etat!$A$9:$N$963,7,FALSE)</f>
        <v>#N/A</v>
      </c>
      <c r="R687" s="905" t="e">
        <f>VLOOKUP(N687,etat!$A$9:$N$1003,9,FALSE)</f>
        <v>#N/A</v>
      </c>
      <c r="S687" s="797" t="e">
        <f>VLOOKUP(N687,etat!$A$9:$P$905,16,FALSE)</f>
        <v>#N/A</v>
      </c>
      <c r="T687" s="755"/>
      <c r="U687" s="791"/>
      <c r="V687" s="784"/>
      <c r="W687" s="784"/>
      <c r="X687" s="784"/>
      <c r="Y687" s="784"/>
      <c r="Z687" s="965" t="str">
        <f>VLOOKUP(L687,اس!$S$3:$X$31,3,FALSE)</f>
        <v>.</v>
      </c>
    </row>
    <row r="688" spans="12:26" ht="18.75">
      <c r="L688" s="777">
        <v>5</v>
      </c>
      <c r="M688" s="906"/>
      <c r="N688" s="976">
        <v>0</v>
      </c>
      <c r="O688" s="1020">
        <v>635</v>
      </c>
      <c r="P688" s="860" t="e">
        <f>VLOOKUP(N688,etat!$A$9:$N$1004,2,FALSE)</f>
        <v>#N/A</v>
      </c>
      <c r="Q688" s="797" t="e">
        <f>VLOOKUP(N688,etat!$A$9:$N$963,7,FALSE)</f>
        <v>#N/A</v>
      </c>
      <c r="R688" s="905" t="e">
        <f>VLOOKUP(N688,etat!$A$9:$N$1003,9,FALSE)</f>
        <v>#N/A</v>
      </c>
      <c r="S688" s="797" t="e">
        <f>VLOOKUP(N688,etat!$A$9:$P$905,16,FALSE)</f>
        <v>#N/A</v>
      </c>
      <c r="T688" s="755"/>
      <c r="U688" s="791"/>
      <c r="V688" s="784"/>
      <c r="W688" s="784"/>
      <c r="X688" s="784"/>
      <c r="Y688" s="784"/>
      <c r="Z688" s="965" t="str">
        <f>VLOOKUP(L688,اس!$S$3:$X$31,3,FALSE)</f>
        <v>.</v>
      </c>
    </row>
    <row r="689" spans="12:26" ht="18.75">
      <c r="L689" s="777">
        <v>5</v>
      </c>
      <c r="M689" s="906"/>
      <c r="N689" s="976">
        <v>0</v>
      </c>
      <c r="O689" s="1020">
        <v>636</v>
      </c>
      <c r="P689" s="860" t="e">
        <f>VLOOKUP(N689,etat!$A$9:$N$1004,2,FALSE)</f>
        <v>#N/A</v>
      </c>
      <c r="Q689" s="797" t="e">
        <f>VLOOKUP(N689,etat!$A$9:$N$963,7,FALSE)</f>
        <v>#N/A</v>
      </c>
      <c r="R689" s="905" t="e">
        <f>VLOOKUP(N689,etat!$A$9:$N$1003,9,FALSE)</f>
        <v>#N/A</v>
      </c>
      <c r="S689" s="797" t="e">
        <f>VLOOKUP(N689,etat!$A$9:$P$905,16,FALSE)</f>
        <v>#N/A</v>
      </c>
      <c r="T689" s="755"/>
      <c r="U689" s="791"/>
      <c r="V689" s="784"/>
      <c r="W689" s="784"/>
      <c r="X689" s="784"/>
      <c r="Y689" s="784"/>
      <c r="Z689" s="965" t="str">
        <f>VLOOKUP(L689,اس!$S$3:$X$31,3,FALSE)</f>
        <v>.</v>
      </c>
    </row>
    <row r="690" spans="12:26" ht="18.75">
      <c r="L690" s="777">
        <v>5</v>
      </c>
      <c r="M690" s="906"/>
      <c r="N690" s="976">
        <v>0</v>
      </c>
      <c r="O690" s="1020">
        <v>637</v>
      </c>
      <c r="P690" s="860" t="e">
        <f>VLOOKUP(N690,etat!$A$9:$N$1004,2,FALSE)</f>
        <v>#N/A</v>
      </c>
      <c r="Q690" s="797" t="e">
        <f>VLOOKUP(N690,etat!$A$9:$N$963,7,FALSE)</f>
        <v>#N/A</v>
      </c>
      <c r="R690" s="905" t="e">
        <f>VLOOKUP(N690,etat!$A$9:$N$1003,9,FALSE)</f>
        <v>#N/A</v>
      </c>
      <c r="S690" s="797" t="e">
        <f>VLOOKUP(N690,etat!$A$9:$P$905,16,FALSE)</f>
        <v>#N/A</v>
      </c>
      <c r="T690" s="755"/>
      <c r="U690" s="791"/>
      <c r="V690" s="784"/>
      <c r="W690" s="784"/>
      <c r="X690" s="784"/>
      <c r="Y690" s="784"/>
      <c r="Z690" s="965" t="str">
        <f>VLOOKUP(L690,اس!$S$3:$X$31,3,FALSE)</f>
        <v>.</v>
      </c>
    </row>
    <row r="691" spans="12:26" ht="18.75">
      <c r="L691" s="777">
        <v>5</v>
      </c>
      <c r="M691" s="906"/>
      <c r="N691" s="976">
        <v>0</v>
      </c>
      <c r="O691" s="1020">
        <v>638</v>
      </c>
      <c r="P691" s="860" t="e">
        <f>VLOOKUP(N691,etat!$A$9:$N$1004,2,FALSE)</f>
        <v>#N/A</v>
      </c>
      <c r="Q691" s="797" t="e">
        <f>VLOOKUP(N691,etat!$A$9:$N$963,7,FALSE)</f>
        <v>#N/A</v>
      </c>
      <c r="R691" s="905" t="e">
        <f>VLOOKUP(N691,etat!$A$9:$N$1003,9,FALSE)</f>
        <v>#N/A</v>
      </c>
      <c r="S691" s="797" t="e">
        <f>VLOOKUP(N691,etat!$A$9:$P$905,16,FALSE)</f>
        <v>#N/A</v>
      </c>
      <c r="T691" s="755"/>
      <c r="U691" s="791"/>
      <c r="V691" s="784"/>
      <c r="W691" s="784"/>
      <c r="X691" s="784"/>
      <c r="Y691" s="784"/>
      <c r="Z691" s="965" t="str">
        <f>VLOOKUP(L691,اس!$S$3:$X$31,3,FALSE)</f>
        <v>.</v>
      </c>
    </row>
    <row r="692" spans="12:26" ht="18.75">
      <c r="L692" s="777">
        <v>5</v>
      </c>
      <c r="M692" s="906"/>
      <c r="N692" s="976">
        <v>0</v>
      </c>
      <c r="O692" s="1020">
        <v>639</v>
      </c>
      <c r="P692" s="860" t="e">
        <f>VLOOKUP(N692,etat!$A$9:$N$1004,2,FALSE)</f>
        <v>#N/A</v>
      </c>
      <c r="Q692" s="797" t="e">
        <f>VLOOKUP(N692,etat!$A$9:$N$963,7,FALSE)</f>
        <v>#N/A</v>
      </c>
      <c r="R692" s="905" t="e">
        <f>VLOOKUP(N692,etat!$A$9:$N$1003,9,FALSE)</f>
        <v>#N/A</v>
      </c>
      <c r="S692" s="797" t="e">
        <f>VLOOKUP(N692,etat!$A$9:$P$905,16,FALSE)</f>
        <v>#N/A</v>
      </c>
      <c r="T692" s="755"/>
      <c r="U692" s="791"/>
      <c r="V692" s="784"/>
      <c r="W692" s="784"/>
      <c r="X692" s="784"/>
      <c r="Y692" s="784"/>
      <c r="Z692" s="965" t="str">
        <f>VLOOKUP(L692,اس!$S$3:$X$31,3,FALSE)</f>
        <v>.</v>
      </c>
    </row>
    <row r="693" spans="12:26" ht="18.75">
      <c r="L693" s="777">
        <v>5</v>
      </c>
      <c r="M693" s="906"/>
      <c r="N693" s="976">
        <v>0</v>
      </c>
      <c r="O693" s="1020">
        <v>640</v>
      </c>
      <c r="P693" s="860" t="e">
        <f>VLOOKUP(N693,etat!$A$9:$N$1004,2,FALSE)</f>
        <v>#N/A</v>
      </c>
      <c r="Q693" s="797" t="e">
        <f>VLOOKUP(N693,etat!$A$9:$N$963,7,FALSE)</f>
        <v>#N/A</v>
      </c>
      <c r="R693" s="905" t="e">
        <f>VLOOKUP(N693,etat!$A$9:$N$1003,9,FALSE)</f>
        <v>#N/A</v>
      </c>
      <c r="S693" s="797" t="e">
        <f>VLOOKUP(N693,etat!$A$9:$P$905,16,FALSE)</f>
        <v>#N/A</v>
      </c>
      <c r="T693" s="755"/>
      <c r="U693" s="791"/>
      <c r="V693" s="784"/>
      <c r="W693" s="784"/>
      <c r="X693" s="784"/>
      <c r="Y693" s="784"/>
      <c r="Z693" s="965" t="str">
        <f>VLOOKUP(L693,اس!$S$3:$X$31,3,FALSE)</f>
        <v>.</v>
      </c>
    </row>
    <row r="694" spans="12:26" ht="18.75">
      <c r="L694" s="777">
        <v>5</v>
      </c>
      <c r="M694" s="906"/>
      <c r="N694" s="976">
        <v>0</v>
      </c>
      <c r="O694" s="1020">
        <v>641</v>
      </c>
      <c r="P694" s="860" t="e">
        <f>VLOOKUP(N694,etat!$A$9:$N$1004,2,FALSE)</f>
        <v>#N/A</v>
      </c>
      <c r="Q694" s="797" t="e">
        <f>VLOOKUP(N694,etat!$A$9:$N$963,7,FALSE)</f>
        <v>#N/A</v>
      </c>
      <c r="R694" s="905" t="e">
        <f>VLOOKUP(N694,etat!$A$9:$N$1003,9,FALSE)</f>
        <v>#N/A</v>
      </c>
      <c r="S694" s="797" t="e">
        <f>VLOOKUP(N694,etat!$A$9:$P$905,16,FALSE)</f>
        <v>#N/A</v>
      </c>
      <c r="T694" s="755"/>
      <c r="U694" s="791"/>
      <c r="V694" s="784"/>
      <c r="W694" s="784"/>
      <c r="X694" s="784"/>
      <c r="Y694" s="784"/>
      <c r="Z694" s="965" t="str">
        <f>VLOOKUP(L694,اس!$S$3:$X$31,3,FALSE)</f>
        <v>.</v>
      </c>
    </row>
    <row r="695" spans="12:26" ht="18.75">
      <c r="L695" s="777">
        <v>5</v>
      </c>
      <c r="M695" s="906"/>
      <c r="N695" s="976">
        <v>0</v>
      </c>
      <c r="O695" s="1020">
        <v>642</v>
      </c>
      <c r="P695" s="860" t="e">
        <f>VLOOKUP(N695,etat!$A$9:$N$1004,2,FALSE)</f>
        <v>#N/A</v>
      </c>
      <c r="Q695" s="797" t="e">
        <f>VLOOKUP(N695,etat!$A$9:$N$963,7,FALSE)</f>
        <v>#N/A</v>
      </c>
      <c r="R695" s="905" t="e">
        <f>VLOOKUP(N695,etat!$A$9:$N$1003,9,FALSE)</f>
        <v>#N/A</v>
      </c>
      <c r="S695" s="797" t="e">
        <f>VLOOKUP(N695,etat!$A$9:$P$905,16,FALSE)</f>
        <v>#N/A</v>
      </c>
      <c r="T695" s="755"/>
      <c r="U695" s="791"/>
      <c r="V695" s="784"/>
      <c r="W695" s="784"/>
      <c r="X695" s="784"/>
      <c r="Y695" s="784"/>
      <c r="Z695" s="965" t="str">
        <f>VLOOKUP(L695,اس!$S$3:$X$31,3,FALSE)</f>
        <v>.</v>
      </c>
    </row>
    <row r="696" spans="12:26" ht="18.75">
      <c r="L696" s="777">
        <v>5</v>
      </c>
      <c r="M696" s="906"/>
      <c r="N696" s="976">
        <v>0</v>
      </c>
      <c r="O696" s="1020">
        <v>643</v>
      </c>
      <c r="P696" s="860" t="e">
        <f>VLOOKUP(N696,etat!$A$9:$N$1004,2,FALSE)</f>
        <v>#N/A</v>
      </c>
      <c r="Q696" s="797" t="e">
        <f>VLOOKUP(N696,etat!$A$9:$N$963,7,FALSE)</f>
        <v>#N/A</v>
      </c>
      <c r="R696" s="905" t="e">
        <f>VLOOKUP(N696,etat!$A$9:$N$1003,9,FALSE)</f>
        <v>#N/A</v>
      </c>
      <c r="S696" s="797" t="e">
        <f>VLOOKUP(N696,etat!$A$9:$P$905,16,FALSE)</f>
        <v>#N/A</v>
      </c>
      <c r="T696" s="755"/>
      <c r="U696" s="791"/>
      <c r="V696" s="784"/>
      <c r="W696" s="784"/>
      <c r="X696" s="784"/>
      <c r="Y696" s="784"/>
      <c r="Z696" s="965" t="str">
        <f>VLOOKUP(L696,اس!$S$3:$X$31,3,FALSE)</f>
        <v>.</v>
      </c>
    </row>
    <row r="697" spans="12:26" ht="18.75">
      <c r="L697" s="777">
        <v>5</v>
      </c>
      <c r="M697" s="906"/>
      <c r="N697" s="976">
        <v>0</v>
      </c>
      <c r="O697" s="1020">
        <v>644</v>
      </c>
      <c r="P697" s="860" t="e">
        <f>VLOOKUP(N697,etat!$A$9:$N$1004,2,FALSE)</f>
        <v>#N/A</v>
      </c>
      <c r="Q697" s="797" t="e">
        <f>VLOOKUP(N697,etat!$A$9:$N$963,7,FALSE)</f>
        <v>#N/A</v>
      </c>
      <c r="R697" s="905" t="e">
        <f>VLOOKUP(N697,etat!$A$9:$N$1003,9,FALSE)</f>
        <v>#N/A</v>
      </c>
      <c r="S697" s="797" t="e">
        <f>VLOOKUP(N697,etat!$A$9:$P$905,16,FALSE)</f>
        <v>#N/A</v>
      </c>
      <c r="T697" s="755"/>
      <c r="U697" s="791"/>
      <c r="V697" s="784"/>
      <c r="W697" s="784"/>
      <c r="X697" s="784"/>
      <c r="Y697" s="784"/>
      <c r="Z697" s="965" t="str">
        <f>VLOOKUP(L697,اس!$S$3:$X$31,3,FALSE)</f>
        <v>.</v>
      </c>
    </row>
    <row r="698" spans="12:26" ht="18.75">
      <c r="L698" s="777">
        <v>5</v>
      </c>
      <c r="M698" s="906"/>
      <c r="N698" s="976">
        <v>0</v>
      </c>
      <c r="O698" s="1020">
        <v>645</v>
      </c>
      <c r="P698" s="860" t="e">
        <f>VLOOKUP(N698,etat!$A$9:$N$1004,2,FALSE)</f>
        <v>#N/A</v>
      </c>
      <c r="Q698" s="797" t="e">
        <f>VLOOKUP(N698,etat!$A$9:$N$963,7,FALSE)</f>
        <v>#N/A</v>
      </c>
      <c r="R698" s="905" t="e">
        <f>VLOOKUP(N698,etat!$A$9:$N$1003,9,FALSE)</f>
        <v>#N/A</v>
      </c>
      <c r="S698" s="797" t="e">
        <f>VLOOKUP(N698,etat!$A$9:$P$905,16,FALSE)</f>
        <v>#N/A</v>
      </c>
      <c r="T698" s="755"/>
      <c r="U698" s="791"/>
      <c r="V698" s="784"/>
      <c r="W698" s="784"/>
      <c r="X698" s="784"/>
      <c r="Y698" s="784"/>
      <c r="Z698" s="965" t="str">
        <f>VLOOKUP(L698,اس!$S$3:$X$31,3,FALSE)</f>
        <v>.</v>
      </c>
    </row>
    <row r="699" spans="12:26" ht="18.75">
      <c r="L699" s="777">
        <v>5</v>
      </c>
      <c r="M699" s="906"/>
      <c r="N699" s="976">
        <v>0</v>
      </c>
      <c r="O699" s="1020">
        <v>646</v>
      </c>
      <c r="P699" s="860" t="e">
        <f>VLOOKUP(N699,etat!$A$9:$N$1004,2,FALSE)</f>
        <v>#N/A</v>
      </c>
      <c r="Q699" s="797" t="e">
        <f>VLOOKUP(N699,etat!$A$9:$N$963,7,FALSE)</f>
        <v>#N/A</v>
      </c>
      <c r="R699" s="905" t="e">
        <f>VLOOKUP(N699,etat!$A$9:$N$1003,9,FALSE)</f>
        <v>#N/A</v>
      </c>
      <c r="S699" s="797" t="e">
        <f>VLOOKUP(N699,etat!$A$9:$P$905,16,FALSE)</f>
        <v>#N/A</v>
      </c>
      <c r="T699" s="755"/>
      <c r="U699" s="791"/>
      <c r="V699" s="784"/>
      <c r="W699" s="784"/>
      <c r="X699" s="784"/>
      <c r="Y699" s="784"/>
      <c r="Z699" s="965" t="str">
        <f>VLOOKUP(L699,اس!$S$3:$X$31,3,FALSE)</f>
        <v>.</v>
      </c>
    </row>
    <row r="700" spans="12:26" ht="18.75">
      <c r="L700" s="777">
        <v>5</v>
      </c>
      <c r="M700" s="906"/>
      <c r="N700" s="976">
        <v>0</v>
      </c>
      <c r="O700" s="1020">
        <v>647</v>
      </c>
      <c r="P700" s="860" t="e">
        <f>VLOOKUP(N700,etat!$A$9:$N$1004,2,FALSE)</f>
        <v>#N/A</v>
      </c>
      <c r="Q700" s="797" t="e">
        <f>VLOOKUP(N700,etat!$A$9:$N$963,7,FALSE)</f>
        <v>#N/A</v>
      </c>
      <c r="R700" s="905" t="e">
        <f>VLOOKUP(N700,etat!$A$9:$N$1003,9,FALSE)</f>
        <v>#N/A</v>
      </c>
      <c r="S700" s="797" t="e">
        <f>VLOOKUP(N700,etat!$A$9:$P$905,16,FALSE)</f>
        <v>#N/A</v>
      </c>
      <c r="T700" s="755"/>
      <c r="U700" s="791"/>
      <c r="V700" s="784"/>
      <c r="W700" s="784"/>
      <c r="X700" s="784"/>
      <c r="Y700" s="784"/>
      <c r="Z700" s="965" t="str">
        <f>VLOOKUP(L700,اس!$S$3:$X$31,3,FALSE)</f>
        <v>.</v>
      </c>
    </row>
    <row r="701" spans="12:26" ht="18.75">
      <c r="L701" s="777">
        <v>5</v>
      </c>
      <c r="M701" s="906"/>
      <c r="N701" s="976">
        <v>0</v>
      </c>
      <c r="O701" s="1020">
        <v>648</v>
      </c>
      <c r="P701" s="860" t="e">
        <f>VLOOKUP(N701,etat!$A$9:$N$1004,2,FALSE)</f>
        <v>#N/A</v>
      </c>
      <c r="Q701" s="797" t="e">
        <f>VLOOKUP(N701,etat!$A$9:$N$963,7,FALSE)</f>
        <v>#N/A</v>
      </c>
      <c r="R701" s="905" t="e">
        <f>VLOOKUP(N701,etat!$A$9:$N$1003,9,FALSE)</f>
        <v>#N/A</v>
      </c>
      <c r="S701" s="797" t="e">
        <f>VLOOKUP(N701,etat!$A$9:$P$905,16,FALSE)</f>
        <v>#N/A</v>
      </c>
      <c r="T701" s="755"/>
      <c r="U701" s="791"/>
      <c r="V701" s="784"/>
      <c r="W701" s="784"/>
      <c r="X701" s="784"/>
      <c r="Y701" s="784"/>
      <c r="Z701" s="965" t="str">
        <f>VLOOKUP(L701,اس!$S$3:$X$31,3,FALSE)</f>
        <v>.</v>
      </c>
    </row>
    <row r="702" spans="12:26" ht="18.75">
      <c r="L702" s="777">
        <v>5</v>
      </c>
      <c r="M702" s="906"/>
      <c r="N702" s="976">
        <v>0</v>
      </c>
      <c r="O702" s="1020">
        <v>649</v>
      </c>
      <c r="P702" s="860" t="e">
        <f>VLOOKUP(N702,etat!$A$9:$N$1004,2,FALSE)</f>
        <v>#N/A</v>
      </c>
      <c r="Q702" s="797" t="e">
        <f>VLOOKUP(N702,etat!$A$9:$N$963,7,FALSE)</f>
        <v>#N/A</v>
      </c>
      <c r="R702" s="905" t="e">
        <f>VLOOKUP(N702,etat!$A$9:$N$1003,9,FALSE)</f>
        <v>#N/A</v>
      </c>
      <c r="S702" s="797" t="e">
        <f>VLOOKUP(N702,etat!$A$9:$P$905,16,FALSE)</f>
        <v>#N/A</v>
      </c>
      <c r="T702" s="755"/>
      <c r="U702" s="791"/>
      <c r="V702" s="784"/>
      <c r="W702" s="784"/>
      <c r="X702" s="784"/>
      <c r="Y702" s="784"/>
      <c r="Z702" s="965" t="str">
        <f>VLOOKUP(L702,اس!$S$3:$X$31,3,FALSE)</f>
        <v>.</v>
      </c>
    </row>
    <row r="703" spans="12:26" ht="18.75">
      <c r="L703" s="777">
        <v>5</v>
      </c>
      <c r="M703" s="906"/>
      <c r="N703" s="976">
        <v>0</v>
      </c>
      <c r="O703" s="1020">
        <v>650</v>
      </c>
      <c r="P703" s="860" t="e">
        <f>VLOOKUP(N703,etat!$A$9:$N$1004,2,FALSE)</f>
        <v>#N/A</v>
      </c>
      <c r="Q703" s="797" t="e">
        <f>VLOOKUP(N703,etat!$A$9:$N$963,7,FALSE)</f>
        <v>#N/A</v>
      </c>
      <c r="R703" s="905" t="e">
        <f>VLOOKUP(N703,etat!$A$9:$N$1003,9,FALSE)</f>
        <v>#N/A</v>
      </c>
      <c r="S703" s="797" t="e">
        <f>VLOOKUP(N703,etat!$A$9:$P$905,16,FALSE)</f>
        <v>#N/A</v>
      </c>
      <c r="T703" s="755"/>
      <c r="U703" s="791"/>
      <c r="V703" s="784"/>
      <c r="W703" s="784"/>
      <c r="X703" s="784"/>
      <c r="Y703" s="784"/>
      <c r="Z703" s="965" t="str">
        <f>VLOOKUP(L703,اس!$S$3:$X$31,3,FALSE)</f>
        <v>.</v>
      </c>
    </row>
    <row r="704" spans="12:26" ht="18.75">
      <c r="L704" s="777">
        <v>5</v>
      </c>
      <c r="M704" s="906"/>
      <c r="N704" s="976">
        <v>0</v>
      </c>
      <c r="O704" s="1020">
        <v>651</v>
      </c>
      <c r="P704" s="860" t="e">
        <f>VLOOKUP(N704,etat!$A$9:$N$1004,2,FALSE)</f>
        <v>#N/A</v>
      </c>
      <c r="Q704" s="797" t="e">
        <f>VLOOKUP(N704,etat!$A$9:$N$963,7,FALSE)</f>
        <v>#N/A</v>
      </c>
      <c r="R704" s="905" t="e">
        <f>VLOOKUP(N704,etat!$A$9:$N$1003,9,FALSE)</f>
        <v>#N/A</v>
      </c>
      <c r="S704" s="797" t="e">
        <f>VLOOKUP(N704,etat!$A$9:$P$905,16,FALSE)</f>
        <v>#N/A</v>
      </c>
      <c r="T704" s="755"/>
      <c r="U704" s="791"/>
      <c r="V704" s="784"/>
      <c r="W704" s="784"/>
      <c r="X704" s="784"/>
      <c r="Y704" s="784"/>
      <c r="Z704" s="965" t="str">
        <f>VLOOKUP(L704,اس!$S$3:$X$31,3,FALSE)</f>
        <v>.</v>
      </c>
    </row>
    <row r="705" spans="12:26" ht="18.75">
      <c r="L705" s="777">
        <v>5</v>
      </c>
      <c r="M705" s="906"/>
      <c r="N705" s="976">
        <v>0</v>
      </c>
      <c r="O705" s="1020">
        <v>652</v>
      </c>
      <c r="P705" s="860" t="e">
        <f>VLOOKUP(N705,etat!$A$9:$N$1004,2,FALSE)</f>
        <v>#N/A</v>
      </c>
      <c r="Q705" s="797" t="e">
        <f>VLOOKUP(N705,etat!$A$9:$N$963,7,FALSE)</f>
        <v>#N/A</v>
      </c>
      <c r="R705" s="905" t="e">
        <f>VLOOKUP(N705,etat!$A$9:$N$1003,9,FALSE)</f>
        <v>#N/A</v>
      </c>
      <c r="S705" s="797" t="e">
        <f>VLOOKUP(N705,etat!$A$9:$P$905,16,FALSE)</f>
        <v>#N/A</v>
      </c>
      <c r="T705" s="755"/>
      <c r="U705" s="791"/>
      <c r="V705" s="784"/>
      <c r="W705" s="784"/>
      <c r="X705" s="784"/>
      <c r="Y705" s="784"/>
      <c r="Z705" s="965" t="str">
        <f>VLOOKUP(L705,اس!$S$3:$X$31,3,FALSE)</f>
        <v>.</v>
      </c>
    </row>
    <row r="706" spans="12:26" ht="18.75">
      <c r="L706" s="777">
        <v>5</v>
      </c>
      <c r="M706" s="906"/>
      <c r="N706" s="976">
        <v>0</v>
      </c>
      <c r="O706" s="1020">
        <v>653</v>
      </c>
      <c r="P706" s="860" t="e">
        <f>VLOOKUP(N706,etat!$A$9:$N$1004,2,FALSE)</f>
        <v>#N/A</v>
      </c>
      <c r="Q706" s="797" t="e">
        <f>VLOOKUP(N706,etat!$A$9:$N$963,7,FALSE)</f>
        <v>#N/A</v>
      </c>
      <c r="R706" s="905" t="e">
        <f>VLOOKUP(N706,etat!$A$9:$N$1003,9,FALSE)</f>
        <v>#N/A</v>
      </c>
      <c r="S706" s="797" t="e">
        <f>VLOOKUP(N706,etat!$A$9:$P$905,16,FALSE)</f>
        <v>#N/A</v>
      </c>
      <c r="T706" s="755"/>
      <c r="U706" s="791"/>
      <c r="V706" s="784"/>
      <c r="W706" s="784"/>
      <c r="X706" s="784"/>
      <c r="Y706" s="784"/>
      <c r="Z706" s="965" t="str">
        <f>VLOOKUP(L706,اس!$S$3:$X$31,3,FALSE)</f>
        <v>.</v>
      </c>
    </row>
    <row r="707" spans="12:26" ht="18.75">
      <c r="L707" s="777">
        <v>5</v>
      </c>
      <c r="M707" s="906"/>
      <c r="N707" s="976">
        <v>0</v>
      </c>
      <c r="O707" s="1020">
        <v>654</v>
      </c>
      <c r="P707" s="860" t="e">
        <f>VLOOKUP(N707,etat!$A$9:$N$1004,2,FALSE)</f>
        <v>#N/A</v>
      </c>
      <c r="Q707" s="797" t="e">
        <f>VLOOKUP(N707,etat!$A$9:$N$963,7,FALSE)</f>
        <v>#N/A</v>
      </c>
      <c r="R707" s="905" t="e">
        <f>VLOOKUP(N707,etat!$A$9:$N$1003,9,FALSE)</f>
        <v>#N/A</v>
      </c>
      <c r="S707" s="797" t="e">
        <f>VLOOKUP(N707,etat!$A$9:$P$905,16,FALSE)</f>
        <v>#N/A</v>
      </c>
      <c r="T707" s="755"/>
      <c r="U707" s="791"/>
      <c r="V707" s="784"/>
      <c r="W707" s="784"/>
      <c r="X707" s="784"/>
      <c r="Y707" s="784"/>
      <c r="Z707" s="965" t="str">
        <f>VLOOKUP(L707,اس!$S$3:$X$31,3,FALSE)</f>
        <v>.</v>
      </c>
    </row>
    <row r="708" spans="12:26" ht="18.75">
      <c r="L708" s="777">
        <v>5</v>
      </c>
      <c r="M708" s="906"/>
      <c r="N708" s="976">
        <v>0</v>
      </c>
      <c r="O708" s="1020">
        <v>655</v>
      </c>
      <c r="P708" s="860" t="e">
        <f>VLOOKUP(N708,etat!$A$9:$N$1004,2,FALSE)</f>
        <v>#N/A</v>
      </c>
      <c r="Q708" s="797" t="e">
        <f>VLOOKUP(N708,etat!$A$9:$N$963,7,FALSE)</f>
        <v>#N/A</v>
      </c>
      <c r="R708" s="905" t="e">
        <f>VLOOKUP(N708,etat!$A$9:$N$1003,9,FALSE)</f>
        <v>#N/A</v>
      </c>
      <c r="S708" s="797" t="e">
        <f>VLOOKUP(N708,etat!$A$9:$P$905,16,FALSE)</f>
        <v>#N/A</v>
      </c>
      <c r="T708" s="755"/>
      <c r="U708" s="791"/>
      <c r="V708" s="784"/>
      <c r="W708" s="784"/>
      <c r="X708" s="784"/>
      <c r="Y708" s="784"/>
      <c r="Z708" s="965" t="str">
        <f>VLOOKUP(L708,اس!$S$3:$X$31,3,FALSE)</f>
        <v>.</v>
      </c>
    </row>
    <row r="709" spans="12:26" ht="18.75">
      <c r="L709" s="777">
        <v>5</v>
      </c>
      <c r="M709" s="906"/>
      <c r="N709" s="976">
        <v>0</v>
      </c>
      <c r="O709" s="1020">
        <v>656</v>
      </c>
      <c r="P709" s="860" t="e">
        <f>VLOOKUP(N709,etat!$A$9:$N$1004,2,FALSE)</f>
        <v>#N/A</v>
      </c>
      <c r="Q709" s="797" t="e">
        <f>VLOOKUP(N709,etat!$A$9:$N$963,7,FALSE)</f>
        <v>#N/A</v>
      </c>
      <c r="R709" s="905" t="e">
        <f>VLOOKUP(N709,etat!$A$9:$N$1003,9,FALSE)</f>
        <v>#N/A</v>
      </c>
      <c r="S709" s="797" t="e">
        <f>VLOOKUP(N709,etat!$A$9:$P$905,16,FALSE)</f>
        <v>#N/A</v>
      </c>
      <c r="T709" s="755"/>
      <c r="U709" s="791"/>
      <c r="V709" s="784"/>
      <c r="W709" s="784"/>
      <c r="X709" s="784"/>
      <c r="Y709" s="784"/>
      <c r="Z709" s="965" t="str">
        <f>VLOOKUP(L709,اس!$S$3:$X$31,3,FALSE)</f>
        <v>.</v>
      </c>
    </row>
    <row r="710" spans="12:26" ht="18.75">
      <c r="L710" s="777">
        <v>5</v>
      </c>
      <c r="M710" s="906"/>
      <c r="N710" s="976">
        <v>0</v>
      </c>
      <c r="O710" s="1020">
        <v>657</v>
      </c>
      <c r="P710" s="860" t="e">
        <f>VLOOKUP(N710,etat!$A$9:$N$1004,2,FALSE)</f>
        <v>#N/A</v>
      </c>
      <c r="Q710" s="797" t="e">
        <f>VLOOKUP(N710,etat!$A$9:$N$963,7,FALSE)</f>
        <v>#N/A</v>
      </c>
      <c r="R710" s="905" t="e">
        <f>VLOOKUP(N710,etat!$A$9:$N$1003,9,FALSE)</f>
        <v>#N/A</v>
      </c>
      <c r="S710" s="797" t="e">
        <f>VLOOKUP(N710,etat!$A$9:$P$905,16,FALSE)</f>
        <v>#N/A</v>
      </c>
      <c r="T710" s="755"/>
      <c r="U710" s="791"/>
      <c r="V710" s="784"/>
      <c r="W710" s="784"/>
      <c r="X710" s="784"/>
      <c r="Y710" s="784"/>
      <c r="Z710" s="965" t="str">
        <f>VLOOKUP(L710,اس!$S$3:$X$31,3,FALSE)</f>
        <v>.</v>
      </c>
    </row>
    <row r="711" spans="12:26" ht="18.75">
      <c r="L711" s="777">
        <v>5</v>
      </c>
      <c r="M711" s="906"/>
      <c r="N711" s="976">
        <v>0</v>
      </c>
      <c r="O711" s="1020">
        <v>658</v>
      </c>
      <c r="P711" s="860" t="e">
        <f>VLOOKUP(N711,etat!$A$9:$N$1004,2,FALSE)</f>
        <v>#N/A</v>
      </c>
      <c r="Q711" s="797" t="e">
        <f>VLOOKUP(N711,etat!$A$9:$N$963,7,FALSE)</f>
        <v>#N/A</v>
      </c>
      <c r="R711" s="905" t="e">
        <f>VLOOKUP(N711,etat!$A$9:$N$1003,9,FALSE)</f>
        <v>#N/A</v>
      </c>
      <c r="S711" s="797" t="e">
        <f>VLOOKUP(N711,etat!$A$9:$P$905,16,FALSE)</f>
        <v>#N/A</v>
      </c>
      <c r="T711" s="755"/>
      <c r="U711" s="791"/>
      <c r="V711" s="784"/>
      <c r="W711" s="784"/>
      <c r="X711" s="784"/>
      <c r="Y711" s="784"/>
      <c r="Z711" s="965" t="str">
        <f>VLOOKUP(L711,اس!$S$3:$X$31,3,FALSE)</f>
        <v>.</v>
      </c>
    </row>
    <row r="712" spans="12:26" ht="18.75">
      <c r="L712" s="777">
        <v>5</v>
      </c>
      <c r="M712" s="906"/>
      <c r="N712" s="976">
        <v>0</v>
      </c>
      <c r="O712" s="1020">
        <v>659</v>
      </c>
      <c r="P712" s="860" t="e">
        <f>VLOOKUP(N712,etat!$A$9:$N$1004,2,FALSE)</f>
        <v>#N/A</v>
      </c>
      <c r="Q712" s="797" t="e">
        <f>VLOOKUP(N712,etat!$A$9:$N$963,7,FALSE)</f>
        <v>#N/A</v>
      </c>
      <c r="R712" s="905" t="e">
        <f>VLOOKUP(N712,etat!$A$9:$N$1003,9,FALSE)</f>
        <v>#N/A</v>
      </c>
      <c r="S712" s="797" t="e">
        <f>VLOOKUP(N712,etat!$A$9:$P$905,16,FALSE)</f>
        <v>#N/A</v>
      </c>
      <c r="T712" s="755"/>
      <c r="U712" s="791"/>
      <c r="V712" s="784"/>
      <c r="W712" s="784"/>
      <c r="X712" s="784"/>
      <c r="Y712" s="784"/>
      <c r="Z712" s="965" t="str">
        <f>VLOOKUP(L712,اس!$S$3:$X$31,3,FALSE)</f>
        <v>.</v>
      </c>
    </row>
    <row r="713" spans="12:26" ht="18.75">
      <c r="L713" s="777">
        <v>5</v>
      </c>
      <c r="M713" s="906"/>
      <c r="N713" s="976">
        <v>0</v>
      </c>
      <c r="O713" s="1020">
        <v>660</v>
      </c>
      <c r="P713" s="860" t="e">
        <f>VLOOKUP(N713,etat!$A$9:$N$1004,2,FALSE)</f>
        <v>#N/A</v>
      </c>
      <c r="Q713" s="797" t="e">
        <f>VLOOKUP(N713,etat!$A$9:$N$963,7,FALSE)</f>
        <v>#N/A</v>
      </c>
      <c r="R713" s="905" t="e">
        <f>VLOOKUP(N713,etat!$A$9:$N$1003,9,FALSE)</f>
        <v>#N/A</v>
      </c>
      <c r="S713" s="797" t="e">
        <f>VLOOKUP(N713,etat!$A$9:$P$905,16,FALSE)</f>
        <v>#N/A</v>
      </c>
      <c r="T713" s="755"/>
      <c r="U713" s="791"/>
      <c r="V713" s="784"/>
      <c r="W713" s="784"/>
      <c r="X713" s="784"/>
      <c r="Y713" s="784"/>
      <c r="Z713" s="965" t="str">
        <f>VLOOKUP(L713,اس!$S$3:$X$31,3,FALSE)</f>
        <v>.</v>
      </c>
    </row>
    <row r="714" spans="12:26" ht="18.75">
      <c r="L714" s="777">
        <v>5</v>
      </c>
      <c r="M714" s="906"/>
      <c r="N714" s="976">
        <v>0</v>
      </c>
      <c r="O714" s="1020">
        <v>661</v>
      </c>
      <c r="P714" s="860" t="e">
        <f>VLOOKUP(N714,etat!$A$9:$N$1004,2,FALSE)</f>
        <v>#N/A</v>
      </c>
      <c r="Q714" s="797" t="e">
        <f>VLOOKUP(N714,etat!$A$9:$N$963,7,FALSE)</f>
        <v>#N/A</v>
      </c>
      <c r="R714" s="905" t="e">
        <f>VLOOKUP(N714,etat!$A$9:$N$1003,9,FALSE)</f>
        <v>#N/A</v>
      </c>
      <c r="S714" s="797" t="e">
        <f>VLOOKUP(N714,etat!$A$9:$P$905,16,FALSE)</f>
        <v>#N/A</v>
      </c>
      <c r="T714" s="755"/>
      <c r="U714" s="791"/>
      <c r="V714" s="784"/>
      <c r="W714" s="784"/>
      <c r="X714" s="784"/>
      <c r="Y714" s="784"/>
      <c r="Z714" s="965" t="str">
        <f>VLOOKUP(L714,اس!$S$3:$X$31,3,FALSE)</f>
        <v>.</v>
      </c>
    </row>
    <row r="715" spans="12:26" ht="18.75">
      <c r="L715" s="777">
        <v>5</v>
      </c>
      <c r="M715" s="906"/>
      <c r="N715" s="976">
        <v>0</v>
      </c>
      <c r="O715" s="1020">
        <v>662</v>
      </c>
      <c r="P715" s="860" t="e">
        <f>VLOOKUP(N715,etat!$A$9:$N$1004,2,FALSE)</f>
        <v>#N/A</v>
      </c>
      <c r="Q715" s="797" t="e">
        <f>VLOOKUP(N715,etat!$A$9:$N$963,7,FALSE)</f>
        <v>#N/A</v>
      </c>
      <c r="R715" s="905" t="e">
        <f>VLOOKUP(N715,etat!$A$9:$N$1003,9,FALSE)</f>
        <v>#N/A</v>
      </c>
      <c r="S715" s="797" t="e">
        <f>VLOOKUP(N715,etat!$A$9:$P$905,16,FALSE)</f>
        <v>#N/A</v>
      </c>
      <c r="T715" s="755"/>
      <c r="U715" s="791"/>
      <c r="V715" s="784"/>
      <c r="W715" s="784"/>
      <c r="X715" s="784"/>
      <c r="Y715" s="784"/>
      <c r="Z715" s="965" t="str">
        <f>VLOOKUP(L715,اس!$S$3:$X$31,3,FALSE)</f>
        <v>.</v>
      </c>
    </row>
    <row r="716" spans="12:26" ht="18.75">
      <c r="L716" s="777">
        <v>5</v>
      </c>
      <c r="M716" s="906"/>
      <c r="N716" s="976">
        <v>0</v>
      </c>
      <c r="O716" s="1020">
        <v>663</v>
      </c>
      <c r="P716" s="860" t="e">
        <f>VLOOKUP(N716,etat!$A$9:$N$1004,2,FALSE)</f>
        <v>#N/A</v>
      </c>
      <c r="Q716" s="797" t="e">
        <f>VLOOKUP(N716,etat!$A$9:$N$963,7,FALSE)</f>
        <v>#N/A</v>
      </c>
      <c r="R716" s="905" t="e">
        <f>VLOOKUP(N716,etat!$A$9:$N$1003,9,FALSE)</f>
        <v>#N/A</v>
      </c>
      <c r="S716" s="797" t="e">
        <f>VLOOKUP(N716,etat!$A$9:$P$905,16,FALSE)</f>
        <v>#N/A</v>
      </c>
      <c r="T716" s="755"/>
      <c r="U716" s="791"/>
      <c r="V716" s="784"/>
      <c r="W716" s="784"/>
      <c r="X716" s="784"/>
      <c r="Y716" s="784"/>
      <c r="Z716" s="965" t="str">
        <f>VLOOKUP(L716,اس!$S$3:$X$31,3,FALSE)</f>
        <v>.</v>
      </c>
    </row>
    <row r="717" spans="12:26" ht="18.75">
      <c r="L717" s="777">
        <v>5</v>
      </c>
      <c r="M717" s="906"/>
      <c r="N717" s="976">
        <v>0</v>
      </c>
      <c r="O717" s="1020">
        <v>664</v>
      </c>
      <c r="P717" s="860" t="e">
        <f>VLOOKUP(N717,etat!$A$9:$N$1004,2,FALSE)</f>
        <v>#N/A</v>
      </c>
      <c r="Q717" s="797" t="e">
        <f>VLOOKUP(N717,etat!$A$9:$N$963,7,FALSE)</f>
        <v>#N/A</v>
      </c>
      <c r="R717" s="905" t="e">
        <f>VLOOKUP(N717,etat!$A$9:$N$1003,9,FALSE)</f>
        <v>#N/A</v>
      </c>
      <c r="S717" s="797" t="e">
        <f>VLOOKUP(N717,etat!$A$9:$P$905,16,FALSE)</f>
        <v>#N/A</v>
      </c>
      <c r="T717" s="755"/>
      <c r="U717" s="791"/>
      <c r="V717" s="784"/>
      <c r="W717" s="784"/>
      <c r="X717" s="784"/>
      <c r="Y717" s="784"/>
      <c r="Z717" s="965" t="str">
        <f>VLOOKUP(L717,اس!$S$3:$X$31,3,FALSE)</f>
        <v>.</v>
      </c>
    </row>
    <row r="718" spans="12:26" ht="18.75">
      <c r="L718" s="777">
        <v>5</v>
      </c>
      <c r="M718" s="906"/>
      <c r="N718" s="976">
        <v>0</v>
      </c>
      <c r="O718" s="1020">
        <v>665</v>
      </c>
      <c r="P718" s="860" t="e">
        <f>VLOOKUP(N718,etat!$A$9:$N$1004,2,FALSE)</f>
        <v>#N/A</v>
      </c>
      <c r="Q718" s="797" t="e">
        <f>VLOOKUP(N718,etat!$A$9:$N$963,7,FALSE)</f>
        <v>#N/A</v>
      </c>
      <c r="R718" s="905" t="e">
        <f>VLOOKUP(N718,etat!$A$9:$N$1003,9,FALSE)</f>
        <v>#N/A</v>
      </c>
      <c r="S718" s="797" t="e">
        <f>VLOOKUP(N718,etat!$A$9:$P$905,16,FALSE)</f>
        <v>#N/A</v>
      </c>
      <c r="T718" s="755"/>
      <c r="U718" s="791"/>
      <c r="V718" s="784"/>
      <c r="W718" s="784"/>
      <c r="X718" s="784"/>
      <c r="Y718" s="784"/>
      <c r="Z718" s="965" t="str">
        <f>VLOOKUP(L718,اس!$S$3:$X$31,3,FALSE)</f>
        <v>.</v>
      </c>
    </row>
    <row r="719" spans="12:26" ht="18.75">
      <c r="L719" s="777">
        <v>5</v>
      </c>
      <c r="M719" s="906"/>
      <c r="N719" s="976">
        <v>0</v>
      </c>
      <c r="O719" s="1020">
        <v>666</v>
      </c>
      <c r="P719" s="860" t="e">
        <f>VLOOKUP(N719,etat!$A$9:$N$1004,2,FALSE)</f>
        <v>#N/A</v>
      </c>
      <c r="Q719" s="797" t="e">
        <f>VLOOKUP(N719,etat!$A$9:$N$963,7,FALSE)</f>
        <v>#N/A</v>
      </c>
      <c r="R719" s="905" t="e">
        <f>VLOOKUP(N719,etat!$A$9:$N$1003,9,FALSE)</f>
        <v>#N/A</v>
      </c>
      <c r="S719" s="797" t="e">
        <f>VLOOKUP(N719,etat!$A$9:$P$905,16,FALSE)</f>
        <v>#N/A</v>
      </c>
      <c r="T719" s="755"/>
      <c r="U719" s="791"/>
      <c r="V719" s="784"/>
      <c r="W719" s="784"/>
      <c r="X719" s="784"/>
      <c r="Y719" s="784"/>
      <c r="Z719" s="965" t="str">
        <f>VLOOKUP(L719,اس!$S$3:$X$31,3,FALSE)</f>
        <v>.</v>
      </c>
    </row>
    <row r="720" spans="12:26" ht="18.75">
      <c r="L720" s="777">
        <v>5</v>
      </c>
      <c r="M720" s="906"/>
      <c r="N720" s="976">
        <v>0</v>
      </c>
      <c r="O720" s="1020">
        <v>667</v>
      </c>
      <c r="P720" s="860" t="e">
        <f>VLOOKUP(N720,etat!$A$9:$N$1004,2,FALSE)</f>
        <v>#N/A</v>
      </c>
      <c r="Q720" s="797" t="e">
        <f>VLOOKUP(N720,etat!$A$9:$N$963,7,FALSE)</f>
        <v>#N/A</v>
      </c>
      <c r="R720" s="905" t="e">
        <f>VLOOKUP(N720,etat!$A$9:$N$1003,9,FALSE)</f>
        <v>#N/A</v>
      </c>
      <c r="S720" s="797" t="e">
        <f>VLOOKUP(N720,etat!$A$9:$P$905,16,FALSE)</f>
        <v>#N/A</v>
      </c>
      <c r="T720" s="755"/>
      <c r="U720" s="791"/>
      <c r="V720" s="784"/>
      <c r="W720" s="784"/>
      <c r="X720" s="784"/>
      <c r="Y720" s="784"/>
      <c r="Z720" s="965" t="str">
        <f>VLOOKUP(L720,اس!$S$3:$X$31,3,FALSE)</f>
        <v>.</v>
      </c>
    </row>
    <row r="721" spans="12:26" ht="18.75">
      <c r="L721" s="777">
        <v>5</v>
      </c>
      <c r="M721" s="906"/>
      <c r="N721" s="976">
        <v>0</v>
      </c>
      <c r="O721" s="1020">
        <v>668</v>
      </c>
      <c r="P721" s="860" t="e">
        <f>VLOOKUP(N721,etat!$A$9:$N$1004,2,FALSE)</f>
        <v>#N/A</v>
      </c>
      <c r="Q721" s="797" t="e">
        <f>VLOOKUP(N721,etat!$A$9:$N$963,7,FALSE)</f>
        <v>#N/A</v>
      </c>
      <c r="R721" s="905" t="e">
        <f>VLOOKUP(N721,etat!$A$9:$N$1003,9,FALSE)</f>
        <v>#N/A</v>
      </c>
      <c r="S721" s="797" t="e">
        <f>VLOOKUP(N721,etat!$A$9:$P$905,16,FALSE)</f>
        <v>#N/A</v>
      </c>
      <c r="T721" s="755"/>
      <c r="U721" s="791"/>
      <c r="V721" s="784"/>
      <c r="W721" s="784"/>
      <c r="X721" s="784"/>
      <c r="Y721" s="784"/>
      <c r="Z721" s="965" t="str">
        <f>VLOOKUP(L721,اس!$S$3:$X$31,3,FALSE)</f>
        <v>.</v>
      </c>
    </row>
    <row r="722" spans="12:26" ht="18.75">
      <c r="L722" s="777">
        <v>5</v>
      </c>
      <c r="M722" s="906"/>
      <c r="N722" s="976">
        <v>0</v>
      </c>
      <c r="O722" s="1020">
        <v>669</v>
      </c>
      <c r="P722" s="860" t="e">
        <f>VLOOKUP(N722,etat!$A$9:$N$1004,2,FALSE)</f>
        <v>#N/A</v>
      </c>
      <c r="Q722" s="797" t="e">
        <f>VLOOKUP(N722,etat!$A$9:$N$963,7,FALSE)</f>
        <v>#N/A</v>
      </c>
      <c r="R722" s="905" t="e">
        <f>VLOOKUP(N722,etat!$A$9:$N$1003,9,FALSE)</f>
        <v>#N/A</v>
      </c>
      <c r="S722" s="797" t="e">
        <f>VLOOKUP(N722,etat!$A$9:$P$905,16,FALSE)</f>
        <v>#N/A</v>
      </c>
      <c r="T722" s="755"/>
      <c r="U722" s="791"/>
      <c r="V722" s="784"/>
      <c r="W722" s="784"/>
      <c r="X722" s="784"/>
      <c r="Y722" s="784"/>
      <c r="Z722" s="965" t="str">
        <f>VLOOKUP(L722,اس!$S$3:$X$31,3,FALSE)</f>
        <v>.</v>
      </c>
    </row>
    <row r="723" spans="12:26" ht="18.75">
      <c r="L723" s="777">
        <v>5</v>
      </c>
      <c r="M723" s="906"/>
      <c r="N723" s="976">
        <v>0</v>
      </c>
      <c r="O723" s="1020">
        <v>670</v>
      </c>
      <c r="P723" s="860" t="e">
        <f>VLOOKUP(N723,etat!$A$9:$N$1004,2,FALSE)</f>
        <v>#N/A</v>
      </c>
      <c r="Q723" s="797" t="e">
        <f>VLOOKUP(N723,etat!$A$9:$N$963,7,FALSE)</f>
        <v>#N/A</v>
      </c>
      <c r="R723" s="905" t="e">
        <f>VLOOKUP(N723,etat!$A$9:$N$1003,9,FALSE)</f>
        <v>#N/A</v>
      </c>
      <c r="S723" s="797" t="e">
        <f>VLOOKUP(N723,etat!$A$9:$P$905,16,FALSE)</f>
        <v>#N/A</v>
      </c>
      <c r="T723" s="755"/>
      <c r="U723" s="791"/>
      <c r="V723" s="784"/>
      <c r="W723" s="784"/>
      <c r="X723" s="784"/>
      <c r="Y723" s="784"/>
      <c r="Z723" s="965" t="str">
        <f>VLOOKUP(L723,اس!$S$3:$X$31,3,FALSE)</f>
        <v>.</v>
      </c>
    </row>
    <row r="724" spans="12:26" ht="18.75">
      <c r="L724" s="777">
        <v>5</v>
      </c>
      <c r="M724" s="906"/>
      <c r="N724" s="976">
        <v>0</v>
      </c>
      <c r="O724" s="1020">
        <v>671</v>
      </c>
      <c r="P724" s="860" t="e">
        <f>VLOOKUP(N724,etat!$A$9:$N$1004,2,FALSE)</f>
        <v>#N/A</v>
      </c>
      <c r="Q724" s="797" t="e">
        <f>VLOOKUP(N724,etat!$A$9:$N$963,7,FALSE)</f>
        <v>#N/A</v>
      </c>
      <c r="R724" s="905" t="e">
        <f>VLOOKUP(N724,etat!$A$9:$N$1003,9,FALSE)</f>
        <v>#N/A</v>
      </c>
      <c r="S724" s="797" t="e">
        <f>VLOOKUP(N724,etat!$A$9:$P$905,16,FALSE)</f>
        <v>#N/A</v>
      </c>
      <c r="T724" s="755"/>
      <c r="U724" s="791"/>
      <c r="V724" s="784"/>
      <c r="W724" s="784"/>
      <c r="X724" s="784"/>
      <c r="Y724" s="784"/>
      <c r="Z724" s="965" t="str">
        <f>VLOOKUP(L724,اس!$S$3:$X$31,3,FALSE)</f>
        <v>.</v>
      </c>
    </row>
    <row r="725" spans="12:26" ht="18.75">
      <c r="L725" s="777">
        <v>5</v>
      </c>
      <c r="M725" s="906"/>
      <c r="N725" s="976">
        <v>0</v>
      </c>
      <c r="O725" s="1020">
        <v>672</v>
      </c>
      <c r="P725" s="860" t="e">
        <f>VLOOKUP(N725,etat!$A$9:$N$1004,2,FALSE)</f>
        <v>#N/A</v>
      </c>
      <c r="Q725" s="797" t="e">
        <f>VLOOKUP(N725,etat!$A$9:$N$963,7,FALSE)</f>
        <v>#N/A</v>
      </c>
      <c r="R725" s="905" t="e">
        <f>VLOOKUP(N725,etat!$A$9:$N$1003,9,FALSE)</f>
        <v>#N/A</v>
      </c>
      <c r="S725" s="797" t="e">
        <f>VLOOKUP(N725,etat!$A$9:$P$905,16,FALSE)</f>
        <v>#N/A</v>
      </c>
      <c r="T725" s="755"/>
      <c r="U725" s="791"/>
      <c r="V725" s="784"/>
      <c r="W725" s="784"/>
      <c r="X725" s="784"/>
      <c r="Y725" s="784"/>
      <c r="Z725" s="965" t="str">
        <f>VLOOKUP(L725,اس!$S$3:$X$31,3,FALSE)</f>
        <v>.</v>
      </c>
    </row>
    <row r="726" spans="12:26" ht="18.75">
      <c r="L726" s="777">
        <v>5</v>
      </c>
      <c r="M726" s="906"/>
      <c r="N726" s="976">
        <v>0</v>
      </c>
      <c r="O726" s="1020">
        <v>673</v>
      </c>
      <c r="P726" s="860" t="e">
        <f>VLOOKUP(N726,etat!$A$9:$N$1004,2,FALSE)</f>
        <v>#N/A</v>
      </c>
      <c r="Q726" s="797" t="e">
        <f>VLOOKUP(N726,etat!$A$9:$N$963,7,FALSE)</f>
        <v>#N/A</v>
      </c>
      <c r="R726" s="905" t="e">
        <f>VLOOKUP(N726,etat!$A$9:$N$1003,9,FALSE)</f>
        <v>#N/A</v>
      </c>
      <c r="S726" s="797" t="e">
        <f>VLOOKUP(N726,etat!$A$9:$P$905,16,FALSE)</f>
        <v>#N/A</v>
      </c>
      <c r="T726" s="755"/>
      <c r="U726" s="791"/>
      <c r="V726" s="784"/>
      <c r="W726" s="784"/>
      <c r="X726" s="784"/>
      <c r="Y726" s="784"/>
      <c r="Z726" s="965" t="str">
        <f>VLOOKUP(L726,اس!$S$3:$X$31,3,FALSE)</f>
        <v>.</v>
      </c>
    </row>
    <row r="727" spans="12:26" ht="18.75">
      <c r="L727" s="777">
        <v>5</v>
      </c>
      <c r="M727" s="906"/>
      <c r="N727" s="976">
        <v>0</v>
      </c>
      <c r="O727" s="1020">
        <v>674</v>
      </c>
      <c r="P727" s="860" t="e">
        <f>VLOOKUP(N727,etat!$A$9:$N$1004,2,FALSE)</f>
        <v>#N/A</v>
      </c>
      <c r="Q727" s="797" t="e">
        <f>VLOOKUP(N727,etat!$A$9:$N$963,7,FALSE)</f>
        <v>#N/A</v>
      </c>
      <c r="R727" s="905" t="e">
        <f>VLOOKUP(N727,etat!$A$9:$N$1003,9,FALSE)</f>
        <v>#N/A</v>
      </c>
      <c r="S727" s="797" t="e">
        <f>VLOOKUP(N727,etat!$A$9:$P$905,16,FALSE)</f>
        <v>#N/A</v>
      </c>
      <c r="T727" s="755"/>
      <c r="U727" s="791"/>
      <c r="V727" s="784"/>
      <c r="W727" s="784"/>
      <c r="X727" s="784"/>
      <c r="Y727" s="784"/>
      <c r="Z727" s="965" t="str">
        <f>VLOOKUP(L727,اس!$S$3:$X$31,3,FALSE)</f>
        <v>.</v>
      </c>
    </row>
    <row r="728" spans="12:26" ht="18.75">
      <c r="L728" s="777">
        <v>5</v>
      </c>
      <c r="M728" s="906"/>
      <c r="N728" s="976">
        <v>0</v>
      </c>
      <c r="O728" s="1020">
        <v>675</v>
      </c>
      <c r="P728" s="860" t="e">
        <f>VLOOKUP(N728,etat!$A$9:$N$1004,2,FALSE)</f>
        <v>#N/A</v>
      </c>
      <c r="Q728" s="797" t="e">
        <f>VLOOKUP(N728,etat!$A$9:$N$963,7,FALSE)</f>
        <v>#N/A</v>
      </c>
      <c r="R728" s="905" t="e">
        <f>VLOOKUP(N728,etat!$A$9:$N$1003,9,FALSE)</f>
        <v>#N/A</v>
      </c>
      <c r="S728" s="797" t="e">
        <f>VLOOKUP(N728,etat!$A$9:$P$905,16,FALSE)</f>
        <v>#N/A</v>
      </c>
      <c r="T728" s="755"/>
      <c r="U728" s="791"/>
      <c r="V728" s="784"/>
      <c r="W728" s="784"/>
      <c r="X728" s="784"/>
      <c r="Y728" s="784"/>
      <c r="Z728" s="965" t="str">
        <f>VLOOKUP(L728,اس!$S$3:$X$31,3,FALSE)</f>
        <v>.</v>
      </c>
    </row>
    <row r="729" spans="12:26" ht="18.75">
      <c r="L729" s="777">
        <v>5</v>
      </c>
      <c r="M729" s="906"/>
      <c r="N729" s="976">
        <v>0</v>
      </c>
      <c r="O729" s="1020">
        <v>676</v>
      </c>
      <c r="P729" s="860" t="e">
        <f>VLOOKUP(N729,etat!$A$9:$N$1004,2,FALSE)</f>
        <v>#N/A</v>
      </c>
      <c r="Q729" s="797" t="e">
        <f>VLOOKUP(N729,etat!$A$9:$N$963,7,FALSE)</f>
        <v>#N/A</v>
      </c>
      <c r="R729" s="905" t="e">
        <f>VLOOKUP(N729,etat!$A$9:$N$1003,9,FALSE)</f>
        <v>#N/A</v>
      </c>
      <c r="S729" s="797" t="e">
        <f>VLOOKUP(N729,etat!$A$9:$P$905,16,FALSE)</f>
        <v>#N/A</v>
      </c>
      <c r="T729" s="755"/>
      <c r="U729" s="791"/>
      <c r="V729" s="784"/>
      <c r="W729" s="784"/>
      <c r="X729" s="784"/>
      <c r="Y729" s="784"/>
      <c r="Z729" s="965" t="str">
        <f>VLOOKUP(L729,اس!$S$3:$X$31,3,FALSE)</f>
        <v>.</v>
      </c>
    </row>
    <row r="730" spans="12:26" ht="18.75">
      <c r="L730" s="777">
        <v>5</v>
      </c>
      <c r="M730" s="906"/>
      <c r="N730" s="976">
        <v>0</v>
      </c>
      <c r="O730" s="1020">
        <v>677</v>
      </c>
      <c r="P730" s="860" t="e">
        <f>VLOOKUP(N730,etat!$A$9:$N$1004,2,FALSE)</f>
        <v>#N/A</v>
      </c>
      <c r="Q730" s="797" t="e">
        <f>VLOOKUP(N730,etat!$A$9:$N$963,7,FALSE)</f>
        <v>#N/A</v>
      </c>
      <c r="R730" s="905" t="e">
        <f>VLOOKUP(N730,etat!$A$9:$N$1003,9,FALSE)</f>
        <v>#N/A</v>
      </c>
      <c r="S730" s="797" t="e">
        <f>VLOOKUP(N730,etat!$A$9:$P$905,16,FALSE)</f>
        <v>#N/A</v>
      </c>
      <c r="T730" s="755"/>
      <c r="U730" s="791"/>
      <c r="V730" s="784"/>
      <c r="W730" s="784"/>
      <c r="X730" s="784"/>
      <c r="Y730" s="784"/>
      <c r="Z730" s="965" t="str">
        <f>VLOOKUP(L730,اس!$S$3:$X$31,3,FALSE)</f>
        <v>.</v>
      </c>
    </row>
    <row r="731" spans="12:26" ht="18.75">
      <c r="L731" s="777">
        <v>5</v>
      </c>
      <c r="M731" s="906"/>
      <c r="N731" s="976">
        <v>0</v>
      </c>
      <c r="O731" s="1020">
        <v>678</v>
      </c>
      <c r="P731" s="860" t="e">
        <f>VLOOKUP(N731,etat!$A$9:$N$1004,2,FALSE)</f>
        <v>#N/A</v>
      </c>
      <c r="Q731" s="797" t="e">
        <f>VLOOKUP(N731,etat!$A$9:$N$963,7,FALSE)</f>
        <v>#N/A</v>
      </c>
      <c r="R731" s="905" t="e">
        <f>VLOOKUP(N731,etat!$A$9:$N$1003,9,FALSE)</f>
        <v>#N/A</v>
      </c>
      <c r="S731" s="797" t="e">
        <f>VLOOKUP(N731,etat!$A$9:$P$905,16,FALSE)</f>
        <v>#N/A</v>
      </c>
      <c r="T731" s="755"/>
      <c r="U731" s="791"/>
      <c r="V731" s="784"/>
      <c r="W731" s="784"/>
      <c r="X731" s="784"/>
      <c r="Y731" s="784"/>
      <c r="Z731" s="965" t="str">
        <f>VLOOKUP(L731,اس!$S$3:$X$31,3,FALSE)</f>
        <v>.</v>
      </c>
    </row>
    <row r="732" spans="12:26" ht="18.75">
      <c r="L732" s="777">
        <v>5</v>
      </c>
      <c r="M732" s="906"/>
      <c r="N732" s="976">
        <v>0</v>
      </c>
      <c r="O732" s="1020">
        <v>679</v>
      </c>
      <c r="P732" s="860" t="e">
        <f>VLOOKUP(N732,etat!$A$9:$N$1004,2,FALSE)</f>
        <v>#N/A</v>
      </c>
      <c r="Q732" s="797" t="e">
        <f>VLOOKUP(N732,etat!$A$9:$N$963,7,FALSE)</f>
        <v>#N/A</v>
      </c>
      <c r="R732" s="905" t="e">
        <f>VLOOKUP(N732,etat!$A$9:$N$1003,9,FALSE)</f>
        <v>#N/A</v>
      </c>
      <c r="S732" s="797" t="e">
        <f>VLOOKUP(N732,etat!$A$9:$P$905,16,FALSE)</f>
        <v>#N/A</v>
      </c>
      <c r="T732" s="755"/>
      <c r="U732" s="791"/>
      <c r="V732" s="784"/>
      <c r="W732" s="784"/>
      <c r="X732" s="784"/>
      <c r="Y732" s="784"/>
      <c r="Z732" s="965" t="str">
        <f>VLOOKUP(L732,اس!$S$3:$X$31,3,FALSE)</f>
        <v>.</v>
      </c>
    </row>
    <row r="733" spans="12:26" ht="18.75">
      <c r="L733" s="777">
        <v>5</v>
      </c>
      <c r="M733" s="906"/>
      <c r="N733" s="976">
        <v>0</v>
      </c>
      <c r="O733" s="1020">
        <v>680</v>
      </c>
      <c r="P733" s="860" t="e">
        <f>VLOOKUP(N733,etat!$A$9:$N$1004,2,FALSE)</f>
        <v>#N/A</v>
      </c>
      <c r="Q733" s="797" t="e">
        <f>VLOOKUP(N733,etat!$A$9:$N$963,7,FALSE)</f>
        <v>#N/A</v>
      </c>
      <c r="R733" s="905" t="e">
        <f>VLOOKUP(N733,etat!$A$9:$N$1003,9,FALSE)</f>
        <v>#N/A</v>
      </c>
      <c r="S733" s="797" t="e">
        <f>VLOOKUP(N733,etat!$A$9:$P$905,16,FALSE)</f>
        <v>#N/A</v>
      </c>
      <c r="T733" s="755"/>
      <c r="U733" s="791"/>
      <c r="V733" s="784"/>
      <c r="W733" s="784"/>
      <c r="X733" s="784"/>
      <c r="Y733" s="784"/>
      <c r="Z733" s="965" t="str">
        <f>VLOOKUP(L733,اس!$S$3:$X$31,3,FALSE)</f>
        <v>.</v>
      </c>
    </row>
    <row r="734" spans="12:26" ht="18.75">
      <c r="L734" s="777">
        <v>5</v>
      </c>
      <c r="M734" s="906"/>
      <c r="N734" s="976">
        <v>0</v>
      </c>
      <c r="O734" s="1020">
        <v>681</v>
      </c>
      <c r="P734" s="860" t="e">
        <f>VLOOKUP(N734,etat!$A$9:$N$1004,2,FALSE)</f>
        <v>#N/A</v>
      </c>
      <c r="Q734" s="797" t="e">
        <f>VLOOKUP(N734,etat!$A$9:$N$963,7,FALSE)</f>
        <v>#N/A</v>
      </c>
      <c r="R734" s="905" t="e">
        <f>VLOOKUP(N734,etat!$A$9:$N$1003,9,FALSE)</f>
        <v>#N/A</v>
      </c>
      <c r="S734" s="797" t="e">
        <f>VLOOKUP(N734,etat!$A$9:$P$905,16,FALSE)</f>
        <v>#N/A</v>
      </c>
      <c r="T734" s="755"/>
      <c r="U734" s="791"/>
      <c r="V734" s="784"/>
      <c r="W734" s="784"/>
      <c r="X734" s="784"/>
      <c r="Y734" s="784"/>
      <c r="Z734" s="965" t="str">
        <f>VLOOKUP(L734,اس!$S$3:$X$31,3,FALSE)</f>
        <v>.</v>
      </c>
    </row>
    <row r="735" spans="12:26" ht="18.75">
      <c r="L735" s="777">
        <v>5</v>
      </c>
      <c r="M735" s="906"/>
      <c r="N735" s="976">
        <v>0</v>
      </c>
      <c r="O735" s="1020">
        <v>682</v>
      </c>
      <c r="P735" s="860" t="e">
        <f>VLOOKUP(N735,etat!$A$9:$N$1004,2,FALSE)</f>
        <v>#N/A</v>
      </c>
      <c r="Q735" s="797" t="e">
        <f>VLOOKUP(N735,etat!$A$9:$N$963,7,FALSE)</f>
        <v>#N/A</v>
      </c>
      <c r="R735" s="905" t="e">
        <f>VLOOKUP(N735,etat!$A$9:$N$1003,9,FALSE)</f>
        <v>#N/A</v>
      </c>
      <c r="S735" s="797" t="e">
        <f>VLOOKUP(N735,etat!$A$9:$P$905,16,FALSE)</f>
        <v>#N/A</v>
      </c>
      <c r="T735" s="755"/>
      <c r="U735" s="791"/>
      <c r="V735" s="784"/>
      <c r="W735" s="784"/>
      <c r="X735" s="784"/>
      <c r="Y735" s="784"/>
      <c r="Z735" s="965" t="str">
        <f>VLOOKUP(L735,اس!$S$3:$X$31,3,FALSE)</f>
        <v>.</v>
      </c>
    </row>
    <row r="736" spans="12:26" ht="18.75">
      <c r="L736" s="777">
        <v>5</v>
      </c>
      <c r="M736" s="906"/>
      <c r="N736" s="976">
        <v>0</v>
      </c>
      <c r="O736" s="1020">
        <v>683</v>
      </c>
      <c r="P736" s="860" t="e">
        <f>VLOOKUP(N736,etat!$A$9:$N$1004,2,FALSE)</f>
        <v>#N/A</v>
      </c>
      <c r="Q736" s="797" t="e">
        <f>VLOOKUP(N736,etat!$A$9:$N$963,7,FALSE)</f>
        <v>#N/A</v>
      </c>
      <c r="R736" s="905" t="e">
        <f>VLOOKUP(N736,etat!$A$9:$N$1003,9,FALSE)</f>
        <v>#N/A</v>
      </c>
      <c r="S736" s="797" t="e">
        <f>VLOOKUP(N736,etat!$A$9:$P$905,16,FALSE)</f>
        <v>#N/A</v>
      </c>
      <c r="T736" s="755"/>
      <c r="U736" s="791"/>
      <c r="V736" s="784"/>
      <c r="W736" s="784"/>
      <c r="X736" s="784"/>
      <c r="Y736" s="784"/>
      <c r="Z736" s="965" t="str">
        <f>VLOOKUP(L736,اس!$S$3:$X$31,3,FALSE)</f>
        <v>.</v>
      </c>
    </row>
    <row r="737" spans="12:26" ht="18.75">
      <c r="L737" s="777">
        <v>5</v>
      </c>
      <c r="M737" s="906"/>
      <c r="N737" s="976">
        <v>0</v>
      </c>
      <c r="O737" s="1020">
        <v>684</v>
      </c>
      <c r="P737" s="860" t="e">
        <f>VLOOKUP(N737,etat!$A$9:$N$1004,2,FALSE)</f>
        <v>#N/A</v>
      </c>
      <c r="Q737" s="797" t="e">
        <f>VLOOKUP(N737,etat!$A$9:$N$963,7,FALSE)</f>
        <v>#N/A</v>
      </c>
      <c r="R737" s="905" t="e">
        <f>VLOOKUP(N737,etat!$A$9:$N$1003,9,FALSE)</f>
        <v>#N/A</v>
      </c>
      <c r="S737" s="797" t="e">
        <f>VLOOKUP(N737,etat!$A$9:$P$905,16,FALSE)</f>
        <v>#N/A</v>
      </c>
      <c r="T737" s="755"/>
      <c r="U737" s="791"/>
      <c r="V737" s="784"/>
      <c r="W737" s="784"/>
      <c r="X737" s="784"/>
      <c r="Y737" s="784"/>
      <c r="Z737" s="965" t="str">
        <f>VLOOKUP(L737,اس!$S$3:$X$31,3,FALSE)</f>
        <v>.</v>
      </c>
    </row>
    <row r="738" spans="12:26" ht="18.75">
      <c r="L738" s="777">
        <v>5</v>
      </c>
      <c r="M738" s="906"/>
      <c r="N738" s="976">
        <v>0</v>
      </c>
      <c r="O738" s="1020">
        <v>685</v>
      </c>
      <c r="P738" s="860" t="e">
        <f>VLOOKUP(N738,etat!$A$9:$N$1004,2,FALSE)</f>
        <v>#N/A</v>
      </c>
      <c r="Q738" s="797" t="e">
        <f>VLOOKUP(N738,etat!$A$9:$N$963,7,FALSE)</f>
        <v>#N/A</v>
      </c>
      <c r="R738" s="905" t="e">
        <f>VLOOKUP(N738,etat!$A$9:$N$1003,9,FALSE)</f>
        <v>#N/A</v>
      </c>
      <c r="S738" s="797" t="e">
        <f>VLOOKUP(N738,etat!$A$9:$P$905,16,FALSE)</f>
        <v>#N/A</v>
      </c>
      <c r="T738" s="755"/>
      <c r="U738" s="791"/>
      <c r="V738" s="784"/>
      <c r="W738" s="784"/>
      <c r="X738" s="784"/>
      <c r="Y738" s="784"/>
      <c r="Z738" s="965" t="str">
        <f>VLOOKUP(L738,اس!$S$3:$X$31,3,FALSE)</f>
        <v>.</v>
      </c>
    </row>
    <row r="739" spans="12:26" ht="18.75">
      <c r="L739" s="777">
        <v>5</v>
      </c>
      <c r="M739" s="906"/>
      <c r="N739" s="976">
        <v>0</v>
      </c>
      <c r="O739" s="1020">
        <v>686</v>
      </c>
      <c r="P739" s="860" t="e">
        <f>VLOOKUP(N739,etat!$A$9:$N$1004,2,FALSE)</f>
        <v>#N/A</v>
      </c>
      <c r="Q739" s="797" t="e">
        <f>VLOOKUP(N739,etat!$A$9:$N$963,7,FALSE)</f>
        <v>#N/A</v>
      </c>
      <c r="R739" s="905" t="e">
        <f>VLOOKUP(N739,etat!$A$9:$N$1003,9,FALSE)</f>
        <v>#N/A</v>
      </c>
      <c r="S739" s="797" t="e">
        <f>VLOOKUP(N739,etat!$A$9:$P$905,16,FALSE)</f>
        <v>#N/A</v>
      </c>
      <c r="T739" s="755"/>
      <c r="U739" s="791"/>
      <c r="V739" s="784"/>
      <c r="W739" s="784"/>
      <c r="X739" s="784"/>
      <c r="Y739" s="784"/>
      <c r="Z739" s="965" t="str">
        <f>VLOOKUP(L739,اس!$S$3:$X$31,3,FALSE)</f>
        <v>.</v>
      </c>
    </row>
    <row r="740" spans="12:26" ht="18.75">
      <c r="L740" s="777">
        <v>5</v>
      </c>
      <c r="M740" s="906"/>
      <c r="N740" s="976">
        <v>0</v>
      </c>
      <c r="O740" s="1020">
        <v>687</v>
      </c>
      <c r="P740" s="860" t="e">
        <f>VLOOKUP(N740,etat!$A$9:$N$1004,2,FALSE)</f>
        <v>#N/A</v>
      </c>
      <c r="Q740" s="797" t="e">
        <f>VLOOKUP(N740,etat!$A$9:$N$963,7,FALSE)</f>
        <v>#N/A</v>
      </c>
      <c r="R740" s="905" t="e">
        <f>VLOOKUP(N740,etat!$A$9:$N$1003,9,FALSE)</f>
        <v>#N/A</v>
      </c>
      <c r="S740" s="797" t="e">
        <f>VLOOKUP(N740,etat!$A$9:$P$905,16,FALSE)</f>
        <v>#N/A</v>
      </c>
      <c r="T740" s="755"/>
      <c r="U740" s="791"/>
      <c r="V740" s="784"/>
      <c r="W740" s="784"/>
      <c r="X740" s="784"/>
      <c r="Y740" s="784"/>
      <c r="Z740" s="965" t="str">
        <f>VLOOKUP(L740,اس!$S$3:$X$31,3,FALSE)</f>
        <v>.</v>
      </c>
    </row>
    <row r="741" spans="12:26" ht="18.75">
      <c r="L741" s="777">
        <v>5</v>
      </c>
      <c r="M741" s="906"/>
      <c r="N741" s="976">
        <v>0</v>
      </c>
      <c r="O741" s="1020">
        <v>688</v>
      </c>
      <c r="P741" s="860" t="e">
        <f>VLOOKUP(N741,etat!$A$9:$N$1004,2,FALSE)</f>
        <v>#N/A</v>
      </c>
      <c r="Q741" s="797" t="e">
        <f>VLOOKUP(N741,etat!$A$9:$N$963,7,FALSE)</f>
        <v>#N/A</v>
      </c>
      <c r="R741" s="905" t="e">
        <f>VLOOKUP(N741,etat!$A$9:$N$1003,9,FALSE)</f>
        <v>#N/A</v>
      </c>
      <c r="S741" s="797" t="e">
        <f>VLOOKUP(N741,etat!$A$9:$P$905,16,FALSE)</f>
        <v>#N/A</v>
      </c>
      <c r="T741" s="755"/>
      <c r="U741" s="791"/>
      <c r="V741" s="784"/>
      <c r="W741" s="784"/>
      <c r="X741" s="784"/>
      <c r="Y741" s="784"/>
      <c r="Z741" s="965" t="str">
        <f>VLOOKUP(L741,اس!$S$3:$X$31,3,FALSE)</f>
        <v>.</v>
      </c>
    </row>
    <row r="742" spans="12:26" ht="18.75">
      <c r="L742" s="777">
        <v>5</v>
      </c>
      <c r="M742" s="906"/>
      <c r="N742" s="976">
        <v>0</v>
      </c>
      <c r="O742" s="1020">
        <v>689</v>
      </c>
      <c r="P742" s="860" t="e">
        <f>VLOOKUP(N742,etat!$A$9:$N$1004,2,FALSE)</f>
        <v>#N/A</v>
      </c>
      <c r="Q742" s="797" t="e">
        <f>VLOOKUP(N742,etat!$A$9:$N$963,7,FALSE)</f>
        <v>#N/A</v>
      </c>
      <c r="R742" s="905" t="e">
        <f>VLOOKUP(N742,etat!$A$9:$N$1003,9,FALSE)</f>
        <v>#N/A</v>
      </c>
      <c r="S742" s="797" t="e">
        <f>VLOOKUP(N742,etat!$A$9:$P$905,16,FALSE)</f>
        <v>#N/A</v>
      </c>
      <c r="T742" s="755"/>
      <c r="U742" s="791"/>
      <c r="V742" s="784"/>
      <c r="W742" s="784"/>
      <c r="X742" s="784"/>
      <c r="Y742" s="784"/>
      <c r="Z742" s="965" t="str">
        <f>VLOOKUP(L742,اس!$S$3:$X$31,3,FALSE)</f>
        <v>.</v>
      </c>
    </row>
    <row r="743" spans="12:26" ht="18.75">
      <c r="L743" s="777">
        <v>5</v>
      </c>
      <c r="M743" s="906"/>
      <c r="N743" s="976">
        <v>0</v>
      </c>
      <c r="O743" s="1020">
        <v>690</v>
      </c>
      <c r="P743" s="860" t="e">
        <f>VLOOKUP(N743,etat!$A$9:$N$1004,2,FALSE)</f>
        <v>#N/A</v>
      </c>
      <c r="Q743" s="797" t="e">
        <f>VLOOKUP(N743,etat!$A$9:$N$963,7,FALSE)</f>
        <v>#N/A</v>
      </c>
      <c r="R743" s="905" t="e">
        <f>VLOOKUP(N743,etat!$A$9:$N$1003,9,FALSE)</f>
        <v>#N/A</v>
      </c>
      <c r="S743" s="797" t="e">
        <f>VLOOKUP(N743,etat!$A$9:$P$905,16,FALSE)</f>
        <v>#N/A</v>
      </c>
      <c r="T743" s="755"/>
      <c r="U743" s="791"/>
      <c r="V743" s="784"/>
      <c r="W743" s="784"/>
      <c r="X743" s="784"/>
      <c r="Y743" s="784"/>
      <c r="Z743" s="965" t="str">
        <f>VLOOKUP(L743,اس!$S$3:$X$31,3,FALSE)</f>
        <v>.</v>
      </c>
    </row>
    <row r="744" spans="12:26" ht="18.75">
      <c r="L744" s="777">
        <v>5</v>
      </c>
      <c r="M744" s="906"/>
      <c r="N744" s="976">
        <v>0</v>
      </c>
      <c r="O744" s="1020">
        <v>691</v>
      </c>
      <c r="P744" s="860" t="e">
        <f>VLOOKUP(N744,etat!$A$9:$N$1004,2,FALSE)</f>
        <v>#N/A</v>
      </c>
      <c r="Q744" s="797" t="e">
        <f>VLOOKUP(N744,etat!$A$9:$N$963,7,FALSE)</f>
        <v>#N/A</v>
      </c>
      <c r="R744" s="905" t="e">
        <f>VLOOKUP(N744,etat!$A$9:$N$1003,9,FALSE)</f>
        <v>#N/A</v>
      </c>
      <c r="S744" s="797" t="e">
        <f>VLOOKUP(N744,etat!$A$9:$P$905,16,FALSE)</f>
        <v>#N/A</v>
      </c>
      <c r="T744" s="755"/>
      <c r="U744" s="791"/>
      <c r="V744" s="784"/>
      <c r="W744" s="784"/>
      <c r="X744" s="784"/>
      <c r="Y744" s="784"/>
      <c r="Z744" s="965" t="str">
        <f>VLOOKUP(L744,اس!$S$3:$X$31,3,FALSE)</f>
        <v>.</v>
      </c>
    </row>
    <row r="745" spans="12:26" ht="18.75">
      <c r="L745" s="777">
        <v>5</v>
      </c>
      <c r="M745" s="906"/>
      <c r="N745" s="976">
        <v>0</v>
      </c>
      <c r="O745" s="1020">
        <v>692</v>
      </c>
      <c r="P745" s="860" t="e">
        <f>VLOOKUP(N745,etat!$A$9:$N$1004,2,FALSE)</f>
        <v>#N/A</v>
      </c>
      <c r="Q745" s="797" t="e">
        <f>VLOOKUP(N745,etat!$A$9:$N$963,7,FALSE)</f>
        <v>#N/A</v>
      </c>
      <c r="R745" s="905" t="e">
        <f>VLOOKUP(N745,etat!$A$9:$N$1003,9,FALSE)</f>
        <v>#N/A</v>
      </c>
      <c r="S745" s="797" t="e">
        <f>VLOOKUP(N745,etat!$A$9:$P$905,16,FALSE)</f>
        <v>#N/A</v>
      </c>
      <c r="T745" s="755"/>
      <c r="U745" s="791"/>
      <c r="V745" s="784"/>
      <c r="W745" s="784"/>
      <c r="X745" s="784"/>
      <c r="Y745" s="784"/>
      <c r="Z745" s="965" t="str">
        <f>VLOOKUP(L745,اس!$S$3:$X$31,3,FALSE)</f>
        <v>.</v>
      </c>
    </row>
    <row r="746" spans="12:26" ht="18.75">
      <c r="L746" s="777">
        <v>5</v>
      </c>
      <c r="M746" s="906"/>
      <c r="N746" s="976">
        <v>0</v>
      </c>
      <c r="O746" s="1020">
        <v>693</v>
      </c>
      <c r="P746" s="860" t="e">
        <f>VLOOKUP(N746,etat!$A$9:$N$1004,2,FALSE)</f>
        <v>#N/A</v>
      </c>
      <c r="Q746" s="797" t="e">
        <f>VLOOKUP(N746,etat!$A$9:$N$963,7,FALSE)</f>
        <v>#N/A</v>
      </c>
      <c r="R746" s="905" t="e">
        <f>VLOOKUP(N746,etat!$A$9:$N$1003,9,FALSE)</f>
        <v>#N/A</v>
      </c>
      <c r="S746" s="797" t="e">
        <f>VLOOKUP(N746,etat!$A$9:$P$905,16,FALSE)</f>
        <v>#N/A</v>
      </c>
      <c r="T746" s="755"/>
      <c r="U746" s="791"/>
      <c r="V746" s="784"/>
      <c r="W746" s="784"/>
      <c r="X746" s="784"/>
      <c r="Y746" s="784"/>
      <c r="Z746" s="965" t="str">
        <f>VLOOKUP(L746,اس!$S$3:$X$31,3,FALSE)</f>
        <v>.</v>
      </c>
    </row>
    <row r="747" spans="12:26" ht="18.75">
      <c r="L747" s="777">
        <v>5</v>
      </c>
      <c r="M747" s="906"/>
      <c r="N747" s="976">
        <v>0</v>
      </c>
      <c r="O747" s="1020">
        <v>694</v>
      </c>
      <c r="P747" s="860" t="e">
        <f>VLOOKUP(N747,etat!$A$9:$N$1004,2,FALSE)</f>
        <v>#N/A</v>
      </c>
      <c r="Q747" s="797" t="e">
        <f>VLOOKUP(N747,etat!$A$9:$N$963,7,FALSE)</f>
        <v>#N/A</v>
      </c>
      <c r="R747" s="905" t="e">
        <f>VLOOKUP(N747,etat!$A$9:$N$1003,9,FALSE)</f>
        <v>#N/A</v>
      </c>
      <c r="S747" s="797" t="e">
        <f>VLOOKUP(N747,etat!$A$9:$P$905,16,FALSE)</f>
        <v>#N/A</v>
      </c>
      <c r="T747" s="755"/>
      <c r="U747" s="791"/>
      <c r="V747" s="784"/>
      <c r="W747" s="784"/>
      <c r="X747" s="784"/>
      <c r="Y747" s="784"/>
      <c r="Z747" s="965" t="str">
        <f>VLOOKUP(L747,اس!$S$3:$X$31,3,FALSE)</f>
        <v>.</v>
      </c>
    </row>
    <row r="748" spans="12:26" ht="18.75">
      <c r="L748" s="777">
        <v>5</v>
      </c>
      <c r="M748" s="906"/>
      <c r="N748" s="976">
        <v>0</v>
      </c>
      <c r="O748" s="1020">
        <v>695</v>
      </c>
      <c r="P748" s="860" t="e">
        <f>VLOOKUP(N748,etat!$A$9:$N$1004,2,FALSE)</f>
        <v>#N/A</v>
      </c>
      <c r="Q748" s="797" t="e">
        <f>VLOOKUP(N748,etat!$A$9:$N$963,7,FALSE)</f>
        <v>#N/A</v>
      </c>
      <c r="R748" s="905" t="e">
        <f>VLOOKUP(N748,etat!$A$9:$N$1003,9,FALSE)</f>
        <v>#N/A</v>
      </c>
      <c r="S748" s="797" t="e">
        <f>VLOOKUP(N748,etat!$A$9:$P$905,16,FALSE)</f>
        <v>#N/A</v>
      </c>
      <c r="T748" s="755"/>
      <c r="U748" s="791"/>
      <c r="V748" s="784"/>
      <c r="W748" s="784"/>
      <c r="X748" s="784"/>
      <c r="Y748" s="784"/>
      <c r="Z748" s="965" t="str">
        <f>VLOOKUP(L748,اس!$S$3:$X$31,3,FALSE)</f>
        <v>.</v>
      </c>
    </row>
    <row r="749" spans="12:26" ht="18.75">
      <c r="L749" s="777">
        <v>5</v>
      </c>
      <c r="M749" s="906"/>
      <c r="N749" s="976">
        <v>0</v>
      </c>
      <c r="O749" s="1020">
        <v>696</v>
      </c>
      <c r="P749" s="860" t="e">
        <f>VLOOKUP(N749,etat!$A$9:$N$1004,2,FALSE)</f>
        <v>#N/A</v>
      </c>
      <c r="Q749" s="797" t="e">
        <f>VLOOKUP(N749,etat!$A$9:$N$963,7,FALSE)</f>
        <v>#N/A</v>
      </c>
      <c r="R749" s="905" t="e">
        <f>VLOOKUP(N749,etat!$A$9:$N$1003,9,FALSE)</f>
        <v>#N/A</v>
      </c>
      <c r="S749" s="797" t="e">
        <f>VLOOKUP(N749,etat!$A$9:$P$905,16,FALSE)</f>
        <v>#N/A</v>
      </c>
      <c r="T749" s="755"/>
      <c r="U749" s="791"/>
      <c r="V749" s="784"/>
      <c r="W749" s="784"/>
      <c r="X749" s="784"/>
      <c r="Y749" s="784"/>
      <c r="Z749" s="965" t="str">
        <f>VLOOKUP(L749,اس!$S$3:$X$31,3,FALSE)</f>
        <v>.</v>
      </c>
    </row>
    <row r="750" spans="12:26" ht="18.75">
      <c r="L750" s="777">
        <v>5</v>
      </c>
      <c r="M750" s="906"/>
      <c r="N750" s="976">
        <v>0</v>
      </c>
      <c r="O750" s="1020">
        <v>697</v>
      </c>
      <c r="P750" s="860" t="e">
        <f>VLOOKUP(N750,etat!$A$9:$N$1004,2,FALSE)</f>
        <v>#N/A</v>
      </c>
      <c r="Q750" s="797" t="e">
        <f>VLOOKUP(N750,etat!$A$9:$N$963,7,FALSE)</f>
        <v>#N/A</v>
      </c>
      <c r="R750" s="905" t="e">
        <f>VLOOKUP(N750,etat!$A$9:$N$1003,9,FALSE)</f>
        <v>#N/A</v>
      </c>
      <c r="S750" s="797" t="e">
        <f>VLOOKUP(N750,etat!$A$9:$P$905,16,FALSE)</f>
        <v>#N/A</v>
      </c>
      <c r="T750" s="755"/>
      <c r="U750" s="791"/>
      <c r="V750" s="784"/>
      <c r="W750" s="784"/>
      <c r="X750" s="784"/>
      <c r="Y750" s="784"/>
      <c r="Z750" s="965" t="str">
        <f>VLOOKUP(L750,اس!$S$3:$X$31,3,FALSE)</f>
        <v>.</v>
      </c>
    </row>
    <row r="751" spans="12:26" ht="18.75">
      <c r="L751" s="777">
        <v>5</v>
      </c>
      <c r="M751" s="906"/>
      <c r="N751" s="976">
        <v>0</v>
      </c>
      <c r="O751" s="1020">
        <v>698</v>
      </c>
      <c r="P751" s="860" t="e">
        <f>VLOOKUP(N751,etat!$A$9:$N$1004,2,FALSE)</f>
        <v>#N/A</v>
      </c>
      <c r="Q751" s="797" t="e">
        <f>VLOOKUP(N751,etat!$A$9:$N$963,7,FALSE)</f>
        <v>#N/A</v>
      </c>
      <c r="R751" s="905" t="e">
        <f>VLOOKUP(N751,etat!$A$9:$N$1003,9,FALSE)</f>
        <v>#N/A</v>
      </c>
      <c r="S751" s="797" t="e">
        <f>VLOOKUP(N751,etat!$A$9:$P$905,16,FALSE)</f>
        <v>#N/A</v>
      </c>
      <c r="T751" s="755"/>
      <c r="U751" s="791"/>
      <c r="V751" s="784"/>
      <c r="W751" s="784"/>
      <c r="X751" s="784"/>
      <c r="Y751" s="784"/>
      <c r="Z751" s="965" t="str">
        <f>VLOOKUP(L751,اس!$S$3:$X$31,3,FALSE)</f>
        <v>.</v>
      </c>
    </row>
    <row r="752" spans="12:26" ht="18.75">
      <c r="L752" s="777">
        <v>5</v>
      </c>
      <c r="M752" s="906"/>
      <c r="N752" s="976">
        <v>0</v>
      </c>
      <c r="O752" s="1020">
        <v>699</v>
      </c>
      <c r="P752" s="860" t="e">
        <f>VLOOKUP(N752,etat!$A$9:$N$1004,2,FALSE)</f>
        <v>#N/A</v>
      </c>
      <c r="Q752" s="797" t="e">
        <f>VLOOKUP(N752,etat!$A$9:$N$963,7,FALSE)</f>
        <v>#N/A</v>
      </c>
      <c r="R752" s="905" t="e">
        <f>VLOOKUP(N752,etat!$A$9:$N$1003,9,FALSE)</f>
        <v>#N/A</v>
      </c>
      <c r="S752" s="797" t="e">
        <f>VLOOKUP(N752,etat!$A$9:$P$905,16,FALSE)</f>
        <v>#N/A</v>
      </c>
      <c r="T752" s="755"/>
      <c r="U752" s="791"/>
      <c r="V752" s="784"/>
      <c r="W752" s="784"/>
      <c r="X752" s="784"/>
      <c r="Y752" s="784"/>
      <c r="Z752" s="965" t="str">
        <f>VLOOKUP(L752,اس!$S$3:$X$31,3,FALSE)</f>
        <v>.</v>
      </c>
    </row>
    <row r="753" spans="12:26" ht="18.75">
      <c r="L753" s="777">
        <v>5</v>
      </c>
      <c r="M753" s="906"/>
      <c r="N753" s="976">
        <v>0</v>
      </c>
      <c r="O753" s="1020">
        <v>700</v>
      </c>
      <c r="P753" s="860" t="e">
        <f>VLOOKUP(N753,etat!$A$9:$N$1004,2,FALSE)</f>
        <v>#N/A</v>
      </c>
      <c r="Q753" s="797" t="e">
        <f>VLOOKUP(N753,etat!$A$9:$N$963,7,FALSE)</f>
        <v>#N/A</v>
      </c>
      <c r="R753" s="905" t="e">
        <f>VLOOKUP(N753,etat!$A$9:$N$1003,9,FALSE)</f>
        <v>#N/A</v>
      </c>
      <c r="S753" s="797" t="e">
        <f>VLOOKUP(N753,etat!$A$9:$P$905,16,FALSE)</f>
        <v>#N/A</v>
      </c>
      <c r="T753" s="755"/>
      <c r="U753" s="791"/>
      <c r="V753" s="784"/>
      <c r="W753" s="784"/>
      <c r="X753" s="784"/>
      <c r="Y753" s="784"/>
      <c r="Z753" s="965" t="str">
        <f>VLOOKUP(L753,اس!$S$3:$X$31,3,FALSE)</f>
        <v>.</v>
      </c>
    </row>
    <row r="754" spans="12:26" ht="18.75">
      <c r="L754" s="777">
        <v>5</v>
      </c>
      <c r="M754" s="906"/>
      <c r="N754" s="976">
        <v>0</v>
      </c>
      <c r="O754" s="1020">
        <v>701</v>
      </c>
      <c r="P754" s="860" t="e">
        <f>VLOOKUP(N754,etat!$A$9:$N$1004,2,FALSE)</f>
        <v>#N/A</v>
      </c>
      <c r="Q754" s="797" t="e">
        <f>VLOOKUP(N754,etat!$A$9:$N$963,7,FALSE)</f>
        <v>#N/A</v>
      </c>
      <c r="R754" s="905" t="e">
        <f>VLOOKUP(N754,etat!$A$9:$N$1003,9,FALSE)</f>
        <v>#N/A</v>
      </c>
      <c r="S754" s="797" t="e">
        <f>VLOOKUP(N754,etat!$A$9:$P$905,16,FALSE)</f>
        <v>#N/A</v>
      </c>
      <c r="T754" s="755"/>
      <c r="U754" s="791"/>
      <c r="V754" s="784"/>
      <c r="W754" s="784"/>
      <c r="X754" s="784"/>
      <c r="Y754" s="784"/>
      <c r="Z754" s="965" t="str">
        <f>VLOOKUP(L754,اس!$S$3:$X$31,3,FALSE)</f>
        <v>.</v>
      </c>
    </row>
    <row r="755" spans="12:26" ht="18.75">
      <c r="L755" s="777">
        <v>5</v>
      </c>
      <c r="M755" s="906"/>
      <c r="N755" s="976">
        <v>0</v>
      </c>
      <c r="O755" s="1020">
        <v>702</v>
      </c>
      <c r="P755" s="860" t="e">
        <f>VLOOKUP(N755,etat!$A$9:$N$1004,2,FALSE)</f>
        <v>#N/A</v>
      </c>
      <c r="Q755" s="797" t="e">
        <f>VLOOKUP(N755,etat!$A$9:$N$963,7,FALSE)</f>
        <v>#N/A</v>
      </c>
      <c r="R755" s="905" t="e">
        <f>VLOOKUP(N755,etat!$A$9:$N$1003,9,FALSE)</f>
        <v>#N/A</v>
      </c>
      <c r="S755" s="797" t="e">
        <f>VLOOKUP(N755,etat!$A$9:$P$905,16,FALSE)</f>
        <v>#N/A</v>
      </c>
      <c r="T755" s="755"/>
      <c r="U755" s="791"/>
      <c r="V755" s="784"/>
      <c r="W755" s="784"/>
      <c r="X755" s="784"/>
      <c r="Y755" s="784"/>
      <c r="Z755" s="965" t="str">
        <f>VLOOKUP(L755,اس!$S$3:$X$31,3,FALSE)</f>
        <v>.</v>
      </c>
    </row>
    <row r="756" spans="12:26" ht="18.75">
      <c r="L756" s="777">
        <v>5</v>
      </c>
      <c r="M756" s="906"/>
      <c r="N756" s="976">
        <v>0</v>
      </c>
      <c r="O756" s="1020">
        <v>703</v>
      </c>
      <c r="P756" s="860" t="e">
        <f>VLOOKUP(N756,etat!$A$9:$N$1004,2,FALSE)</f>
        <v>#N/A</v>
      </c>
      <c r="Q756" s="797" t="e">
        <f>VLOOKUP(N756,etat!$A$9:$N$963,7,FALSE)</f>
        <v>#N/A</v>
      </c>
      <c r="R756" s="905" t="e">
        <f>VLOOKUP(N756,etat!$A$9:$N$1003,9,FALSE)</f>
        <v>#N/A</v>
      </c>
      <c r="S756" s="797" t="e">
        <f>VLOOKUP(N756,etat!$A$9:$P$905,16,FALSE)</f>
        <v>#N/A</v>
      </c>
      <c r="T756" s="755"/>
      <c r="U756" s="791"/>
      <c r="V756" s="784"/>
      <c r="W756" s="784"/>
      <c r="X756" s="784"/>
      <c r="Y756" s="784"/>
      <c r="Z756" s="965" t="str">
        <f>VLOOKUP(L756,اس!$S$3:$X$31,3,FALSE)</f>
        <v>.</v>
      </c>
    </row>
    <row r="757" spans="12:26" ht="18.75">
      <c r="L757" s="777">
        <v>5</v>
      </c>
      <c r="M757" s="906"/>
      <c r="N757" s="976">
        <v>0</v>
      </c>
      <c r="O757" s="1020">
        <v>704</v>
      </c>
      <c r="P757" s="860" t="e">
        <f>VLOOKUP(N757,etat!$A$9:$N$1004,2,FALSE)</f>
        <v>#N/A</v>
      </c>
      <c r="Q757" s="797" t="e">
        <f>VLOOKUP(N757,etat!$A$9:$N$963,7,FALSE)</f>
        <v>#N/A</v>
      </c>
      <c r="R757" s="905" t="e">
        <f>VLOOKUP(N757,etat!$A$9:$N$1003,9,FALSE)</f>
        <v>#N/A</v>
      </c>
      <c r="S757" s="797" t="e">
        <f>VLOOKUP(N757,etat!$A$9:$P$905,16,FALSE)</f>
        <v>#N/A</v>
      </c>
      <c r="T757" s="755"/>
      <c r="U757" s="791"/>
      <c r="V757" s="784"/>
      <c r="W757" s="784"/>
      <c r="X757" s="784"/>
      <c r="Y757" s="784"/>
      <c r="Z757" s="965" t="str">
        <f>VLOOKUP(L757,اس!$S$3:$X$31,3,FALSE)</f>
        <v>.</v>
      </c>
    </row>
    <row r="758" spans="12:26" ht="18.75">
      <c r="L758" s="777">
        <v>5</v>
      </c>
      <c r="M758" s="906"/>
      <c r="N758" s="976">
        <v>0</v>
      </c>
      <c r="O758" s="1020">
        <v>705</v>
      </c>
      <c r="P758" s="860" t="e">
        <f>VLOOKUP(N758,etat!$A$9:$N$1004,2,FALSE)</f>
        <v>#N/A</v>
      </c>
      <c r="Q758" s="797" t="e">
        <f>VLOOKUP(N758,etat!$A$9:$N$963,7,FALSE)</f>
        <v>#N/A</v>
      </c>
      <c r="R758" s="905" t="e">
        <f>VLOOKUP(N758,etat!$A$9:$N$1003,9,FALSE)</f>
        <v>#N/A</v>
      </c>
      <c r="S758" s="797" t="e">
        <f>VLOOKUP(N758,etat!$A$9:$P$905,16,FALSE)</f>
        <v>#N/A</v>
      </c>
      <c r="T758" s="755"/>
      <c r="U758" s="791"/>
      <c r="V758" s="784"/>
      <c r="W758" s="784"/>
      <c r="X758" s="784"/>
      <c r="Y758" s="784"/>
      <c r="Z758" s="965" t="str">
        <f>VLOOKUP(L758,اس!$S$3:$X$31,3,FALSE)</f>
        <v>.</v>
      </c>
    </row>
    <row r="759" spans="12:26" ht="18.75">
      <c r="L759" s="777">
        <v>5</v>
      </c>
      <c r="M759" s="906"/>
      <c r="N759" s="976">
        <v>0</v>
      </c>
      <c r="O759" s="1020">
        <v>706</v>
      </c>
      <c r="P759" s="860" t="e">
        <f>VLOOKUP(N759,etat!$A$9:$N$1004,2,FALSE)</f>
        <v>#N/A</v>
      </c>
      <c r="Q759" s="797" t="e">
        <f>VLOOKUP(N759,etat!$A$9:$N$963,7,FALSE)</f>
        <v>#N/A</v>
      </c>
      <c r="R759" s="905" t="e">
        <f>VLOOKUP(N759,etat!$A$9:$N$1003,9,FALSE)</f>
        <v>#N/A</v>
      </c>
      <c r="S759" s="797" t="e">
        <f>VLOOKUP(N759,etat!$A$9:$P$905,16,FALSE)</f>
        <v>#N/A</v>
      </c>
      <c r="T759" s="755"/>
      <c r="U759" s="791"/>
      <c r="V759" s="784"/>
      <c r="W759" s="784"/>
      <c r="X759" s="784"/>
      <c r="Y759" s="784"/>
      <c r="Z759" s="965" t="str">
        <f>VLOOKUP(L759,اس!$S$3:$X$31,3,FALSE)</f>
        <v>.</v>
      </c>
    </row>
    <row r="760" spans="12:26" ht="18.75">
      <c r="L760" s="777">
        <v>5</v>
      </c>
      <c r="M760" s="906"/>
      <c r="N760" s="976">
        <v>0</v>
      </c>
      <c r="O760" s="1020">
        <v>707</v>
      </c>
      <c r="P760" s="860" t="e">
        <f>VLOOKUP(N760,etat!$A$9:$N$1004,2,FALSE)</f>
        <v>#N/A</v>
      </c>
      <c r="Q760" s="797" t="e">
        <f>VLOOKUP(N760,etat!$A$9:$N$963,7,FALSE)</f>
        <v>#N/A</v>
      </c>
      <c r="R760" s="905" t="e">
        <f>VLOOKUP(N760,etat!$A$9:$N$1003,9,FALSE)</f>
        <v>#N/A</v>
      </c>
      <c r="S760" s="797" t="e">
        <f>VLOOKUP(N760,etat!$A$9:$P$905,16,FALSE)</f>
        <v>#N/A</v>
      </c>
      <c r="T760" s="755"/>
      <c r="U760" s="791"/>
      <c r="V760" s="784"/>
      <c r="W760" s="784"/>
      <c r="X760" s="784"/>
      <c r="Y760" s="784"/>
      <c r="Z760" s="965" t="str">
        <f>VLOOKUP(L760,اس!$S$3:$X$31,3,FALSE)</f>
        <v>.</v>
      </c>
    </row>
    <row r="761" spans="12:26" ht="18.75">
      <c r="L761" s="777">
        <v>5</v>
      </c>
      <c r="M761" s="906"/>
      <c r="N761" s="976">
        <v>0</v>
      </c>
      <c r="O761" s="1020">
        <v>708</v>
      </c>
      <c r="P761" s="860" t="e">
        <f>VLOOKUP(N761,etat!$A$9:$N$1004,2,FALSE)</f>
        <v>#N/A</v>
      </c>
      <c r="Q761" s="797" t="e">
        <f>VLOOKUP(N761,etat!$A$9:$N$963,7,FALSE)</f>
        <v>#N/A</v>
      </c>
      <c r="R761" s="905" t="e">
        <f>VLOOKUP(N761,etat!$A$9:$N$1003,9,FALSE)</f>
        <v>#N/A</v>
      </c>
      <c r="S761" s="797" t="e">
        <f>VLOOKUP(N761,etat!$A$9:$P$905,16,FALSE)</f>
        <v>#N/A</v>
      </c>
      <c r="T761" s="755"/>
      <c r="U761" s="791"/>
      <c r="V761" s="784"/>
      <c r="W761" s="784"/>
      <c r="X761" s="784"/>
      <c r="Y761" s="784"/>
      <c r="Z761" s="965" t="str">
        <f>VLOOKUP(L761,اس!$S$3:$X$31,3,FALSE)</f>
        <v>.</v>
      </c>
    </row>
    <row r="762" spans="12:26" ht="18.75">
      <c r="L762" s="777">
        <v>5</v>
      </c>
      <c r="M762" s="906"/>
      <c r="N762" s="976">
        <v>0</v>
      </c>
      <c r="O762" s="1020">
        <v>709</v>
      </c>
      <c r="P762" s="860" t="e">
        <f>VLOOKUP(N762,etat!$A$9:$N$1004,2,FALSE)</f>
        <v>#N/A</v>
      </c>
      <c r="Q762" s="797" t="e">
        <f>VLOOKUP(N762,etat!$A$9:$N$963,7,FALSE)</f>
        <v>#N/A</v>
      </c>
      <c r="R762" s="905" t="e">
        <f>VLOOKUP(N762,etat!$A$9:$N$1003,9,FALSE)</f>
        <v>#N/A</v>
      </c>
      <c r="S762" s="797" t="e">
        <f>VLOOKUP(N762,etat!$A$9:$P$905,16,FALSE)</f>
        <v>#N/A</v>
      </c>
      <c r="T762" s="755"/>
      <c r="U762" s="791"/>
      <c r="V762" s="784"/>
      <c r="W762" s="784"/>
      <c r="X762" s="784"/>
      <c r="Y762" s="784"/>
      <c r="Z762" s="965" t="str">
        <f>VLOOKUP(L762,اس!$S$3:$X$31,3,FALSE)</f>
        <v>.</v>
      </c>
    </row>
    <row r="763" spans="12:26" ht="18.75">
      <c r="L763" s="777">
        <v>5</v>
      </c>
      <c r="M763" s="906"/>
      <c r="N763" s="976">
        <v>0</v>
      </c>
      <c r="O763" s="1020">
        <v>710</v>
      </c>
      <c r="P763" s="860" t="e">
        <f>VLOOKUP(N763,etat!$A$9:$N$1004,2,FALSE)</f>
        <v>#N/A</v>
      </c>
      <c r="Q763" s="797" t="e">
        <f>VLOOKUP(N763,etat!$A$9:$N$963,7,FALSE)</f>
        <v>#N/A</v>
      </c>
      <c r="R763" s="905" t="e">
        <f>VLOOKUP(N763,etat!$A$9:$N$1003,9,FALSE)</f>
        <v>#N/A</v>
      </c>
      <c r="S763" s="797" t="e">
        <f>VLOOKUP(N763,etat!$A$9:$P$905,16,FALSE)</f>
        <v>#N/A</v>
      </c>
      <c r="T763" s="755"/>
      <c r="U763" s="791"/>
      <c r="V763" s="784"/>
      <c r="W763" s="784"/>
      <c r="X763" s="784"/>
      <c r="Y763" s="784"/>
      <c r="Z763" s="965" t="str">
        <f>VLOOKUP(L763,اس!$S$3:$X$31,3,FALSE)</f>
        <v>.</v>
      </c>
    </row>
    <row r="764" spans="12:26" ht="18.75">
      <c r="L764" s="777">
        <v>5</v>
      </c>
      <c r="M764" s="906"/>
      <c r="N764" s="976">
        <v>0</v>
      </c>
      <c r="O764" s="1020">
        <v>711</v>
      </c>
      <c r="P764" s="860" t="e">
        <f>VLOOKUP(N764,etat!$A$9:$N$1004,2,FALSE)</f>
        <v>#N/A</v>
      </c>
      <c r="Q764" s="797" t="e">
        <f>VLOOKUP(N764,etat!$A$9:$N$963,7,FALSE)</f>
        <v>#N/A</v>
      </c>
      <c r="R764" s="905" t="e">
        <f>VLOOKUP(N764,etat!$A$9:$N$1003,9,FALSE)</f>
        <v>#N/A</v>
      </c>
      <c r="S764" s="797" t="e">
        <f>VLOOKUP(N764,etat!$A$9:$P$905,16,FALSE)</f>
        <v>#N/A</v>
      </c>
      <c r="T764" s="755"/>
      <c r="U764" s="791"/>
      <c r="V764" s="784"/>
      <c r="W764" s="784"/>
      <c r="X764" s="784"/>
      <c r="Y764" s="784"/>
      <c r="Z764" s="965" t="str">
        <f>VLOOKUP(L764,اس!$S$3:$X$31,3,FALSE)</f>
        <v>.</v>
      </c>
    </row>
    <row r="765" spans="12:26" ht="18.75">
      <c r="L765" s="777">
        <v>5</v>
      </c>
      <c r="M765" s="906"/>
      <c r="N765" s="976">
        <v>0</v>
      </c>
      <c r="O765" s="1020">
        <v>712</v>
      </c>
      <c r="P765" s="860" t="e">
        <f>VLOOKUP(N765,etat!$A$9:$N$1004,2,FALSE)</f>
        <v>#N/A</v>
      </c>
      <c r="Q765" s="797" t="e">
        <f>VLOOKUP(N765,etat!$A$9:$N$963,7,FALSE)</f>
        <v>#N/A</v>
      </c>
      <c r="R765" s="905" t="e">
        <f>VLOOKUP(N765,etat!$A$9:$N$1003,9,FALSE)</f>
        <v>#N/A</v>
      </c>
      <c r="S765" s="797" t="e">
        <f>VLOOKUP(N765,etat!$A$9:$P$905,16,FALSE)</f>
        <v>#N/A</v>
      </c>
      <c r="T765" s="755"/>
      <c r="U765" s="791"/>
      <c r="V765" s="784"/>
      <c r="W765" s="784"/>
      <c r="X765" s="784"/>
      <c r="Y765" s="784"/>
      <c r="Z765" s="965" t="str">
        <f>VLOOKUP(L765,اس!$S$3:$X$31,3,FALSE)</f>
        <v>.</v>
      </c>
    </row>
    <row r="766" spans="12:26" ht="18.75">
      <c r="L766" s="777">
        <v>5</v>
      </c>
      <c r="M766" s="906"/>
      <c r="N766" s="976">
        <v>0</v>
      </c>
      <c r="O766" s="1020">
        <v>713</v>
      </c>
      <c r="P766" s="860" t="e">
        <f>VLOOKUP(N766,etat!$A$9:$N$1004,2,FALSE)</f>
        <v>#N/A</v>
      </c>
      <c r="Q766" s="797" t="e">
        <f>VLOOKUP(N766,etat!$A$9:$N$963,7,FALSE)</f>
        <v>#N/A</v>
      </c>
      <c r="R766" s="905" t="e">
        <f>VLOOKUP(N766,etat!$A$9:$N$1003,9,FALSE)</f>
        <v>#N/A</v>
      </c>
      <c r="S766" s="797" t="e">
        <f>VLOOKUP(N766,etat!$A$9:$P$905,16,FALSE)</f>
        <v>#N/A</v>
      </c>
      <c r="T766" s="755"/>
      <c r="U766" s="791"/>
      <c r="V766" s="784"/>
      <c r="W766" s="784"/>
      <c r="X766" s="784"/>
      <c r="Y766" s="784"/>
      <c r="Z766" s="965" t="str">
        <f>VLOOKUP(L766,اس!$S$3:$X$31,3,FALSE)</f>
        <v>.</v>
      </c>
    </row>
    <row r="767" spans="12:26" ht="18.75">
      <c r="L767" s="777">
        <v>5</v>
      </c>
      <c r="M767" s="906"/>
      <c r="N767" s="976">
        <v>0</v>
      </c>
      <c r="O767" s="1020">
        <v>714</v>
      </c>
      <c r="P767" s="860" t="e">
        <f>VLOOKUP(N767,etat!$A$9:$N$1004,2,FALSE)</f>
        <v>#N/A</v>
      </c>
      <c r="Q767" s="797" t="e">
        <f>VLOOKUP(N767,etat!$A$9:$N$963,7,FALSE)</f>
        <v>#N/A</v>
      </c>
      <c r="R767" s="905" t="e">
        <f>VLOOKUP(N767,etat!$A$9:$N$1003,9,FALSE)</f>
        <v>#N/A</v>
      </c>
      <c r="S767" s="797" t="e">
        <f>VLOOKUP(N767,etat!$A$9:$P$905,16,FALSE)</f>
        <v>#N/A</v>
      </c>
      <c r="T767" s="755"/>
      <c r="U767" s="791"/>
      <c r="V767" s="784"/>
      <c r="W767" s="784"/>
      <c r="X767" s="784"/>
      <c r="Y767" s="784"/>
      <c r="Z767" s="965" t="str">
        <f>VLOOKUP(L767,اس!$S$3:$X$31,3,FALSE)</f>
        <v>.</v>
      </c>
    </row>
    <row r="768" spans="12:26" ht="18.75">
      <c r="L768" s="777">
        <v>5</v>
      </c>
      <c r="M768" s="906"/>
      <c r="N768" s="976">
        <v>0</v>
      </c>
      <c r="O768" s="1020">
        <v>715</v>
      </c>
      <c r="P768" s="860" t="e">
        <f>VLOOKUP(N768,etat!$A$9:$N$1004,2,FALSE)</f>
        <v>#N/A</v>
      </c>
      <c r="Q768" s="797" t="e">
        <f>VLOOKUP(N768,etat!$A$9:$N$963,7,FALSE)</f>
        <v>#N/A</v>
      </c>
      <c r="R768" s="905" t="e">
        <f>VLOOKUP(N768,etat!$A$9:$N$1003,9,FALSE)</f>
        <v>#N/A</v>
      </c>
      <c r="S768" s="797" t="e">
        <f>VLOOKUP(N768,etat!$A$9:$P$905,16,FALSE)</f>
        <v>#N/A</v>
      </c>
      <c r="T768" s="755"/>
      <c r="U768" s="791"/>
      <c r="V768" s="784"/>
      <c r="W768" s="784"/>
      <c r="X768" s="784"/>
      <c r="Y768" s="784"/>
      <c r="Z768" s="965" t="str">
        <f>VLOOKUP(L768,اس!$S$3:$X$31,3,FALSE)</f>
        <v>.</v>
      </c>
    </row>
    <row r="769" spans="12:26" ht="18.75">
      <c r="L769" s="777">
        <v>5</v>
      </c>
      <c r="M769" s="906"/>
      <c r="N769" s="976">
        <v>0</v>
      </c>
      <c r="O769" s="1020">
        <v>716</v>
      </c>
      <c r="P769" s="860" t="e">
        <f>VLOOKUP(N769,etat!$A$9:$N$1004,2,FALSE)</f>
        <v>#N/A</v>
      </c>
      <c r="Q769" s="797" t="e">
        <f>VLOOKUP(N769,etat!$A$9:$N$963,7,FALSE)</f>
        <v>#N/A</v>
      </c>
      <c r="R769" s="905" t="e">
        <f>VLOOKUP(N769,etat!$A$9:$N$1003,9,FALSE)</f>
        <v>#N/A</v>
      </c>
      <c r="S769" s="797" t="e">
        <f>VLOOKUP(N769,etat!$A$9:$P$905,16,FALSE)</f>
        <v>#N/A</v>
      </c>
      <c r="T769" s="755"/>
      <c r="U769" s="791"/>
      <c r="V769" s="784"/>
      <c r="W769" s="784"/>
      <c r="X769" s="784"/>
      <c r="Y769" s="784"/>
      <c r="Z769" s="965" t="str">
        <f>VLOOKUP(L769,اس!$S$3:$X$31,3,FALSE)</f>
        <v>.</v>
      </c>
    </row>
    <row r="770" spans="12:26" ht="18.75">
      <c r="L770" s="777">
        <v>5</v>
      </c>
      <c r="M770" s="906"/>
      <c r="N770" s="976">
        <v>0</v>
      </c>
      <c r="O770" s="1020">
        <v>717</v>
      </c>
      <c r="P770" s="860" t="e">
        <f>VLOOKUP(N770,etat!$A$9:$N$1004,2,FALSE)</f>
        <v>#N/A</v>
      </c>
      <c r="Q770" s="797" t="e">
        <f>VLOOKUP(N770,etat!$A$9:$N$963,7,FALSE)</f>
        <v>#N/A</v>
      </c>
      <c r="R770" s="905" t="e">
        <f>VLOOKUP(N770,etat!$A$9:$N$1003,9,FALSE)</f>
        <v>#N/A</v>
      </c>
      <c r="S770" s="797" t="e">
        <f>VLOOKUP(N770,etat!$A$9:$P$905,16,FALSE)</f>
        <v>#N/A</v>
      </c>
      <c r="T770" s="755"/>
      <c r="U770" s="791"/>
      <c r="V770" s="784"/>
      <c r="W770" s="784"/>
      <c r="X770" s="784"/>
      <c r="Y770" s="784"/>
      <c r="Z770" s="965" t="str">
        <f>VLOOKUP(L770,اس!$S$3:$X$31,3,FALSE)</f>
        <v>.</v>
      </c>
    </row>
    <row r="771" spans="12:26" ht="18.75">
      <c r="L771" s="777">
        <v>5</v>
      </c>
      <c r="M771" s="906"/>
      <c r="N771" s="976">
        <v>0</v>
      </c>
      <c r="O771" s="1020">
        <v>718</v>
      </c>
      <c r="P771" s="860" t="e">
        <f>VLOOKUP(N771,etat!$A$9:$N$1004,2,FALSE)</f>
        <v>#N/A</v>
      </c>
      <c r="Q771" s="797" t="e">
        <f>VLOOKUP(N771,etat!$A$9:$N$963,7,FALSE)</f>
        <v>#N/A</v>
      </c>
      <c r="R771" s="905" t="e">
        <f>VLOOKUP(N771,etat!$A$9:$N$1003,9,FALSE)</f>
        <v>#N/A</v>
      </c>
      <c r="S771" s="797" t="e">
        <f>VLOOKUP(N771,etat!$A$9:$P$905,16,FALSE)</f>
        <v>#N/A</v>
      </c>
      <c r="T771" s="755"/>
      <c r="U771" s="791"/>
      <c r="V771" s="784"/>
      <c r="W771" s="784"/>
      <c r="X771" s="784"/>
      <c r="Y771" s="784"/>
      <c r="Z771" s="965" t="str">
        <f>VLOOKUP(L771,اس!$S$3:$X$31,3,FALSE)</f>
        <v>.</v>
      </c>
    </row>
    <row r="772" spans="12:26" ht="18.75">
      <c r="L772" s="777">
        <v>5</v>
      </c>
      <c r="M772" s="906"/>
      <c r="N772" s="976">
        <v>0</v>
      </c>
      <c r="O772" s="1020">
        <v>719</v>
      </c>
      <c r="P772" s="860" t="e">
        <f>VLOOKUP(N772,etat!$A$9:$N$1004,2,FALSE)</f>
        <v>#N/A</v>
      </c>
      <c r="Q772" s="797" t="e">
        <f>VLOOKUP(N772,etat!$A$9:$N$963,7,FALSE)</f>
        <v>#N/A</v>
      </c>
      <c r="R772" s="905" t="e">
        <f>VLOOKUP(N772,etat!$A$9:$N$1003,9,FALSE)</f>
        <v>#N/A</v>
      </c>
      <c r="S772" s="797" t="e">
        <f>VLOOKUP(N772,etat!$A$9:$P$905,16,FALSE)</f>
        <v>#N/A</v>
      </c>
      <c r="T772" s="755"/>
      <c r="U772" s="791"/>
      <c r="V772" s="784"/>
      <c r="W772" s="784"/>
      <c r="X772" s="784"/>
      <c r="Y772" s="784"/>
      <c r="Z772" s="965" t="str">
        <f>VLOOKUP(L772,اس!$S$3:$X$31,3,FALSE)</f>
        <v>.</v>
      </c>
    </row>
    <row r="773" spans="12:26" ht="18.75">
      <c r="L773" s="777">
        <v>5</v>
      </c>
      <c r="M773" s="906"/>
      <c r="N773" s="976">
        <v>0</v>
      </c>
      <c r="O773" s="1020">
        <v>720</v>
      </c>
      <c r="P773" s="860" t="e">
        <f>VLOOKUP(N773,etat!$A$9:$N$1004,2,FALSE)</f>
        <v>#N/A</v>
      </c>
      <c r="Q773" s="797" t="e">
        <f>VLOOKUP(N773,etat!$A$9:$N$963,7,FALSE)</f>
        <v>#N/A</v>
      </c>
      <c r="R773" s="905" t="e">
        <f>VLOOKUP(N773,etat!$A$9:$N$1003,9,FALSE)</f>
        <v>#N/A</v>
      </c>
      <c r="S773" s="797" t="e">
        <f>VLOOKUP(N773,etat!$A$9:$P$905,16,FALSE)</f>
        <v>#N/A</v>
      </c>
      <c r="T773" s="755"/>
      <c r="U773" s="791"/>
      <c r="V773" s="784"/>
      <c r="W773" s="784"/>
      <c r="X773" s="784"/>
      <c r="Y773" s="784"/>
      <c r="Z773" s="965" t="str">
        <f>VLOOKUP(L773,اس!$S$3:$X$31,3,FALSE)</f>
        <v>.</v>
      </c>
    </row>
    <row r="774" spans="12:26" ht="18.75">
      <c r="L774" s="777">
        <v>5</v>
      </c>
      <c r="M774" s="906"/>
      <c r="N774" s="976">
        <v>0</v>
      </c>
      <c r="O774" s="1020">
        <v>721</v>
      </c>
      <c r="P774" s="860" t="e">
        <f>VLOOKUP(N774,etat!$A$9:$N$1004,2,FALSE)</f>
        <v>#N/A</v>
      </c>
      <c r="Q774" s="797" t="e">
        <f>VLOOKUP(N774,etat!$A$9:$N$963,7,FALSE)</f>
        <v>#N/A</v>
      </c>
      <c r="R774" s="905" t="e">
        <f>VLOOKUP(N774,etat!$A$9:$N$1003,9,FALSE)</f>
        <v>#N/A</v>
      </c>
      <c r="S774" s="797" t="e">
        <f>VLOOKUP(N774,etat!$A$9:$P$905,16,FALSE)</f>
        <v>#N/A</v>
      </c>
      <c r="T774" s="755"/>
      <c r="U774" s="791"/>
      <c r="V774" s="784"/>
      <c r="W774" s="784"/>
      <c r="X774" s="784"/>
      <c r="Y774" s="784"/>
      <c r="Z774" s="965" t="str">
        <f>VLOOKUP(L774,اس!$S$3:$X$31,3,FALSE)</f>
        <v>.</v>
      </c>
    </row>
    <row r="775" spans="12:26" ht="18.75">
      <c r="L775" s="777">
        <v>5</v>
      </c>
      <c r="M775" s="906"/>
      <c r="N775" s="976">
        <v>0</v>
      </c>
      <c r="O775" s="1020">
        <v>722</v>
      </c>
      <c r="P775" s="860" t="e">
        <f>VLOOKUP(N775,etat!$A$9:$N$1004,2,FALSE)</f>
        <v>#N/A</v>
      </c>
      <c r="Q775" s="797" t="e">
        <f>VLOOKUP(N775,etat!$A$9:$N$963,7,FALSE)</f>
        <v>#N/A</v>
      </c>
      <c r="R775" s="905" t="e">
        <f>VLOOKUP(N775,etat!$A$9:$N$1003,9,FALSE)</f>
        <v>#N/A</v>
      </c>
      <c r="S775" s="797" t="e">
        <f>VLOOKUP(N775,etat!$A$9:$P$905,16,FALSE)</f>
        <v>#N/A</v>
      </c>
      <c r="T775" s="755"/>
      <c r="U775" s="791"/>
      <c r="V775" s="784"/>
      <c r="W775" s="784"/>
      <c r="X775" s="784"/>
      <c r="Y775" s="784"/>
      <c r="Z775" s="965" t="str">
        <f>VLOOKUP(L775,اس!$S$3:$X$31,3,FALSE)</f>
        <v>.</v>
      </c>
    </row>
    <row r="776" spans="12:26" ht="18.75">
      <c r="L776" s="777">
        <v>5</v>
      </c>
      <c r="M776" s="906"/>
      <c r="N776" s="976">
        <v>0</v>
      </c>
      <c r="O776" s="1020">
        <v>723</v>
      </c>
      <c r="P776" s="860" t="e">
        <f>VLOOKUP(N776,etat!$A$9:$N$1004,2,FALSE)</f>
        <v>#N/A</v>
      </c>
      <c r="Q776" s="797" t="e">
        <f>VLOOKUP(N776,etat!$A$9:$N$963,7,FALSE)</f>
        <v>#N/A</v>
      </c>
      <c r="R776" s="905" t="e">
        <f>VLOOKUP(N776,etat!$A$9:$N$1003,9,FALSE)</f>
        <v>#N/A</v>
      </c>
      <c r="S776" s="797" t="e">
        <f>VLOOKUP(N776,etat!$A$9:$P$905,16,FALSE)</f>
        <v>#N/A</v>
      </c>
      <c r="T776" s="755"/>
      <c r="U776" s="791"/>
      <c r="V776" s="784"/>
      <c r="W776" s="784"/>
      <c r="X776" s="784"/>
      <c r="Y776" s="784"/>
      <c r="Z776" s="965" t="str">
        <f>VLOOKUP(L776,اس!$S$3:$X$31,3,FALSE)</f>
        <v>.</v>
      </c>
    </row>
    <row r="777" spans="12:26" ht="18.75">
      <c r="L777" s="777">
        <v>5</v>
      </c>
      <c r="M777" s="906"/>
      <c r="N777" s="976">
        <v>0</v>
      </c>
      <c r="O777" s="1020">
        <v>724</v>
      </c>
      <c r="P777" s="860" t="e">
        <f>VLOOKUP(N777,etat!$A$9:$N$1004,2,FALSE)</f>
        <v>#N/A</v>
      </c>
      <c r="Q777" s="797" t="e">
        <f>VLOOKUP(N777,etat!$A$9:$N$963,7,FALSE)</f>
        <v>#N/A</v>
      </c>
      <c r="R777" s="905" t="e">
        <f>VLOOKUP(N777,etat!$A$9:$N$1003,9,FALSE)</f>
        <v>#N/A</v>
      </c>
      <c r="S777" s="797" t="e">
        <f>VLOOKUP(N777,etat!$A$9:$P$905,16,FALSE)</f>
        <v>#N/A</v>
      </c>
      <c r="T777" s="755"/>
      <c r="U777" s="791"/>
      <c r="V777" s="784"/>
      <c r="W777" s="784"/>
      <c r="X777" s="784"/>
      <c r="Y777" s="784"/>
      <c r="Z777" s="965" t="str">
        <f>VLOOKUP(L777,اس!$S$3:$X$31,3,FALSE)</f>
        <v>.</v>
      </c>
    </row>
    <row r="778" spans="12:26" ht="18.75">
      <c r="L778" s="777">
        <v>5</v>
      </c>
      <c r="M778" s="906"/>
      <c r="N778" s="976">
        <v>0</v>
      </c>
      <c r="O778" s="1020">
        <v>725</v>
      </c>
      <c r="P778" s="860" t="e">
        <f>VLOOKUP(N778,etat!$A$9:$N$1004,2,FALSE)</f>
        <v>#N/A</v>
      </c>
      <c r="Q778" s="797" t="e">
        <f>VLOOKUP(N778,etat!$A$9:$N$963,7,FALSE)</f>
        <v>#N/A</v>
      </c>
      <c r="R778" s="905" t="e">
        <f>VLOOKUP(N778,etat!$A$9:$N$1003,9,FALSE)</f>
        <v>#N/A</v>
      </c>
      <c r="S778" s="797" t="e">
        <f>VLOOKUP(N778,etat!$A$9:$P$905,16,FALSE)</f>
        <v>#N/A</v>
      </c>
      <c r="T778" s="755"/>
      <c r="U778" s="791"/>
      <c r="V778" s="784"/>
      <c r="W778" s="784"/>
      <c r="X778" s="784"/>
      <c r="Y778" s="784"/>
      <c r="Z778" s="965" t="str">
        <f>VLOOKUP(L778,اس!$S$3:$X$31,3,FALSE)</f>
        <v>.</v>
      </c>
    </row>
    <row r="779" spans="12:26" ht="18.75">
      <c r="L779" s="777">
        <v>5</v>
      </c>
      <c r="M779" s="906"/>
      <c r="N779" s="976">
        <v>0</v>
      </c>
      <c r="O779" s="1020">
        <v>726</v>
      </c>
      <c r="P779" s="860" t="e">
        <f>VLOOKUP(N779,etat!$A$9:$N$1004,2,FALSE)</f>
        <v>#N/A</v>
      </c>
      <c r="Q779" s="797" t="e">
        <f>VLOOKUP(N779,etat!$A$9:$N$963,7,FALSE)</f>
        <v>#N/A</v>
      </c>
      <c r="R779" s="905" t="e">
        <f>VLOOKUP(N779,etat!$A$9:$N$1003,9,FALSE)</f>
        <v>#N/A</v>
      </c>
      <c r="S779" s="797" t="e">
        <f>VLOOKUP(N779,etat!$A$9:$P$905,16,FALSE)</f>
        <v>#N/A</v>
      </c>
      <c r="T779" s="755"/>
      <c r="U779" s="791"/>
      <c r="V779" s="784"/>
      <c r="W779" s="784"/>
      <c r="X779" s="784"/>
      <c r="Y779" s="784"/>
      <c r="Z779" s="965" t="str">
        <f>VLOOKUP(L779,اس!$S$3:$X$31,3,FALSE)</f>
        <v>.</v>
      </c>
    </row>
    <row r="780" spans="12:26" ht="18.75">
      <c r="L780" s="777">
        <v>5</v>
      </c>
      <c r="M780" s="906"/>
      <c r="N780" s="976">
        <v>0</v>
      </c>
      <c r="O780" s="1020">
        <v>727</v>
      </c>
      <c r="P780" s="860" t="e">
        <f>VLOOKUP(N780,etat!$A$9:$N$1004,2,FALSE)</f>
        <v>#N/A</v>
      </c>
      <c r="Q780" s="797" t="e">
        <f>VLOOKUP(N780,etat!$A$9:$N$963,7,FALSE)</f>
        <v>#N/A</v>
      </c>
      <c r="R780" s="905" t="e">
        <f>VLOOKUP(N780,etat!$A$9:$N$1003,9,FALSE)</f>
        <v>#N/A</v>
      </c>
      <c r="S780" s="797" t="e">
        <f>VLOOKUP(N780,etat!$A$9:$P$905,16,FALSE)</f>
        <v>#N/A</v>
      </c>
      <c r="T780" s="755"/>
      <c r="U780" s="791"/>
      <c r="V780" s="784"/>
      <c r="W780" s="784"/>
      <c r="X780" s="784"/>
      <c r="Y780" s="784"/>
      <c r="Z780" s="965" t="str">
        <f>VLOOKUP(L780,اس!$S$3:$X$31,3,FALSE)</f>
        <v>.</v>
      </c>
    </row>
    <row r="781" spans="12:26" ht="18.75">
      <c r="L781" s="777">
        <v>5</v>
      </c>
      <c r="M781" s="906"/>
      <c r="N781" s="976">
        <v>0</v>
      </c>
      <c r="O781" s="1020">
        <v>728</v>
      </c>
      <c r="P781" s="860" t="e">
        <f>VLOOKUP(N781,etat!$A$9:$N$1004,2,FALSE)</f>
        <v>#N/A</v>
      </c>
      <c r="Q781" s="797" t="e">
        <f>VLOOKUP(N781,etat!$A$9:$N$963,7,FALSE)</f>
        <v>#N/A</v>
      </c>
      <c r="R781" s="905" t="e">
        <f>VLOOKUP(N781,etat!$A$9:$N$1003,9,FALSE)</f>
        <v>#N/A</v>
      </c>
      <c r="S781" s="797" t="e">
        <f>VLOOKUP(N781,etat!$A$9:$P$905,16,FALSE)</f>
        <v>#N/A</v>
      </c>
      <c r="T781" s="755"/>
      <c r="U781" s="791"/>
      <c r="V781" s="784"/>
      <c r="W781" s="784"/>
      <c r="X781" s="784"/>
      <c r="Y781" s="784"/>
      <c r="Z781" s="965" t="str">
        <f>VLOOKUP(L781,اس!$S$3:$X$31,3,FALSE)</f>
        <v>.</v>
      </c>
    </row>
    <row r="782" spans="12:26" ht="18.75">
      <c r="L782" s="777">
        <v>5</v>
      </c>
      <c r="M782" s="906"/>
      <c r="N782" s="976">
        <v>0</v>
      </c>
      <c r="O782" s="1020">
        <v>729</v>
      </c>
      <c r="P782" s="860" t="e">
        <f>VLOOKUP(N782,etat!$A$9:$N$1004,2,FALSE)</f>
        <v>#N/A</v>
      </c>
      <c r="Q782" s="797" t="e">
        <f>VLOOKUP(N782,etat!$A$9:$N$963,7,FALSE)</f>
        <v>#N/A</v>
      </c>
      <c r="R782" s="905" t="e">
        <f>VLOOKUP(N782,etat!$A$9:$N$1003,9,FALSE)</f>
        <v>#N/A</v>
      </c>
      <c r="S782" s="797" t="e">
        <f>VLOOKUP(N782,etat!$A$9:$P$905,16,FALSE)</f>
        <v>#N/A</v>
      </c>
      <c r="T782" s="755"/>
      <c r="U782" s="791"/>
      <c r="V782" s="784"/>
      <c r="W782" s="784"/>
      <c r="X782" s="784"/>
      <c r="Y782" s="784"/>
      <c r="Z782" s="965" t="str">
        <f>VLOOKUP(L782,اس!$S$3:$X$31,3,FALSE)</f>
        <v>.</v>
      </c>
    </row>
    <row r="783" spans="12:26" ht="18.75">
      <c r="L783" s="777">
        <v>5</v>
      </c>
      <c r="M783" s="906"/>
      <c r="N783" s="976">
        <v>0</v>
      </c>
      <c r="O783" s="1020">
        <v>730</v>
      </c>
      <c r="P783" s="860" t="e">
        <f>VLOOKUP(N783,etat!$A$9:$N$1004,2,FALSE)</f>
        <v>#N/A</v>
      </c>
      <c r="Q783" s="797" t="e">
        <f>VLOOKUP(N783,etat!$A$9:$N$963,7,FALSE)</f>
        <v>#N/A</v>
      </c>
      <c r="R783" s="905" t="e">
        <f>VLOOKUP(N783,etat!$A$9:$N$1003,9,FALSE)</f>
        <v>#N/A</v>
      </c>
      <c r="S783" s="797" t="e">
        <f>VLOOKUP(N783,etat!$A$9:$P$905,16,FALSE)</f>
        <v>#N/A</v>
      </c>
      <c r="T783" s="755"/>
      <c r="U783" s="791"/>
      <c r="V783" s="784"/>
      <c r="W783" s="784"/>
      <c r="X783" s="784"/>
      <c r="Y783" s="784"/>
      <c r="Z783" s="965" t="str">
        <f>VLOOKUP(L783,اس!$S$3:$X$31,3,FALSE)</f>
        <v>.</v>
      </c>
    </row>
    <row r="784" spans="12:26" ht="18.75">
      <c r="L784" s="777">
        <v>5</v>
      </c>
      <c r="M784" s="906"/>
      <c r="N784" s="976">
        <v>0</v>
      </c>
      <c r="O784" s="1020">
        <v>731</v>
      </c>
      <c r="P784" s="860" t="e">
        <f>VLOOKUP(N784,etat!$A$9:$N$1004,2,FALSE)</f>
        <v>#N/A</v>
      </c>
      <c r="Q784" s="797" t="e">
        <f>VLOOKUP(N784,etat!$A$9:$N$963,7,FALSE)</f>
        <v>#N/A</v>
      </c>
      <c r="R784" s="905" t="e">
        <f>VLOOKUP(N784,etat!$A$9:$N$1003,9,FALSE)</f>
        <v>#N/A</v>
      </c>
      <c r="S784" s="797" t="e">
        <f>VLOOKUP(N784,etat!$A$9:$P$905,16,FALSE)</f>
        <v>#N/A</v>
      </c>
      <c r="T784" s="755"/>
      <c r="U784" s="791"/>
      <c r="V784" s="784"/>
      <c r="W784" s="784"/>
      <c r="X784" s="784"/>
      <c r="Y784" s="784"/>
      <c r="Z784" s="965" t="str">
        <f>VLOOKUP(L784,اس!$S$3:$X$31,3,FALSE)</f>
        <v>.</v>
      </c>
    </row>
    <row r="785" spans="12:26" ht="18.75">
      <c r="L785" s="777">
        <v>5</v>
      </c>
      <c r="M785" s="906"/>
      <c r="N785" s="976">
        <v>0</v>
      </c>
      <c r="O785" s="1020">
        <v>732</v>
      </c>
      <c r="P785" s="860" t="e">
        <f>VLOOKUP(N785,etat!$A$9:$N$1004,2,FALSE)</f>
        <v>#N/A</v>
      </c>
      <c r="Q785" s="797" t="e">
        <f>VLOOKUP(N785,etat!$A$9:$N$963,7,FALSE)</f>
        <v>#N/A</v>
      </c>
      <c r="R785" s="905" t="e">
        <f>VLOOKUP(N785,etat!$A$9:$N$1003,9,FALSE)</f>
        <v>#N/A</v>
      </c>
      <c r="S785" s="797" t="e">
        <f>VLOOKUP(N785,etat!$A$9:$P$905,16,FALSE)</f>
        <v>#N/A</v>
      </c>
      <c r="T785" s="755"/>
      <c r="U785" s="791"/>
      <c r="V785" s="784"/>
      <c r="W785" s="784"/>
      <c r="X785" s="784"/>
      <c r="Y785" s="784"/>
      <c r="Z785" s="965" t="str">
        <f>VLOOKUP(L785,اس!$S$3:$X$31,3,FALSE)</f>
        <v>.</v>
      </c>
    </row>
    <row r="786" spans="12:26" ht="18.75">
      <c r="L786" s="777">
        <v>5</v>
      </c>
      <c r="M786" s="906"/>
      <c r="N786" s="976">
        <v>0</v>
      </c>
      <c r="O786" s="1020">
        <v>733</v>
      </c>
      <c r="P786" s="860" t="e">
        <f>VLOOKUP(N786,etat!$A$9:$N$1004,2,FALSE)</f>
        <v>#N/A</v>
      </c>
      <c r="Q786" s="797" t="e">
        <f>VLOOKUP(N786,etat!$A$9:$N$963,7,FALSE)</f>
        <v>#N/A</v>
      </c>
      <c r="R786" s="905" t="e">
        <f>VLOOKUP(N786,etat!$A$9:$N$1003,9,FALSE)</f>
        <v>#N/A</v>
      </c>
      <c r="S786" s="797" t="e">
        <f>VLOOKUP(N786,etat!$A$9:$P$905,16,FALSE)</f>
        <v>#N/A</v>
      </c>
      <c r="T786" s="755"/>
      <c r="U786" s="791"/>
      <c r="V786" s="784"/>
      <c r="W786" s="784"/>
      <c r="X786" s="784"/>
      <c r="Y786" s="784"/>
      <c r="Z786" s="965" t="str">
        <f>VLOOKUP(L786,اس!$S$3:$X$31,3,FALSE)</f>
        <v>.</v>
      </c>
    </row>
    <row r="787" spans="12:26" ht="18.75">
      <c r="L787" s="777">
        <v>5</v>
      </c>
      <c r="M787" s="906"/>
      <c r="N787" s="976">
        <v>0</v>
      </c>
      <c r="O787" s="1020">
        <v>734</v>
      </c>
      <c r="P787" s="860" t="e">
        <f>VLOOKUP(N787,etat!$A$9:$N$1004,2,FALSE)</f>
        <v>#N/A</v>
      </c>
      <c r="Q787" s="797" t="e">
        <f>VLOOKUP(N787,etat!$A$9:$N$963,7,FALSE)</f>
        <v>#N/A</v>
      </c>
      <c r="R787" s="905" t="e">
        <f>VLOOKUP(N787,etat!$A$9:$N$1003,9,FALSE)</f>
        <v>#N/A</v>
      </c>
      <c r="S787" s="797" t="e">
        <f>VLOOKUP(N787,etat!$A$9:$P$905,16,FALSE)</f>
        <v>#N/A</v>
      </c>
      <c r="T787" s="755"/>
      <c r="U787" s="791"/>
      <c r="V787" s="784"/>
      <c r="W787" s="784"/>
      <c r="X787" s="784"/>
      <c r="Y787" s="784"/>
      <c r="Z787" s="965" t="str">
        <f>VLOOKUP(L787,اس!$S$3:$X$31,3,FALSE)</f>
        <v>.</v>
      </c>
    </row>
    <row r="788" spans="12:26" ht="18.75">
      <c r="L788" s="777">
        <v>5</v>
      </c>
      <c r="M788" s="906"/>
      <c r="N788" s="976">
        <v>0</v>
      </c>
      <c r="O788" s="1020">
        <v>735</v>
      </c>
      <c r="P788" s="860" t="e">
        <f>VLOOKUP(N788,etat!$A$9:$N$1004,2,FALSE)</f>
        <v>#N/A</v>
      </c>
      <c r="Q788" s="797" t="e">
        <f>VLOOKUP(N788,etat!$A$9:$N$963,7,FALSE)</f>
        <v>#N/A</v>
      </c>
      <c r="R788" s="905" t="e">
        <f>VLOOKUP(N788,etat!$A$9:$N$1003,9,FALSE)</f>
        <v>#N/A</v>
      </c>
      <c r="S788" s="797" t="e">
        <f>VLOOKUP(N788,etat!$A$9:$P$905,16,FALSE)</f>
        <v>#N/A</v>
      </c>
      <c r="T788" s="755"/>
      <c r="U788" s="791"/>
      <c r="V788" s="784"/>
      <c r="W788" s="784"/>
      <c r="X788" s="784"/>
      <c r="Y788" s="784"/>
      <c r="Z788" s="965" t="str">
        <f>VLOOKUP(L788,اس!$S$3:$X$31,3,FALSE)</f>
        <v>.</v>
      </c>
    </row>
    <row r="789" spans="12:26" ht="18.75">
      <c r="L789" s="777">
        <v>5</v>
      </c>
      <c r="M789" s="906"/>
      <c r="N789" s="976">
        <v>0</v>
      </c>
      <c r="O789" s="1020">
        <v>736</v>
      </c>
      <c r="P789" s="860" t="e">
        <f>VLOOKUP(N789,etat!$A$9:$N$1004,2,FALSE)</f>
        <v>#N/A</v>
      </c>
      <c r="Q789" s="797" t="e">
        <f>VLOOKUP(N789,etat!$A$9:$N$963,7,FALSE)</f>
        <v>#N/A</v>
      </c>
      <c r="R789" s="905" t="e">
        <f>VLOOKUP(N789,etat!$A$9:$N$1003,9,FALSE)</f>
        <v>#N/A</v>
      </c>
      <c r="S789" s="797" t="e">
        <f>VLOOKUP(N789,etat!$A$9:$P$905,16,FALSE)</f>
        <v>#N/A</v>
      </c>
      <c r="T789" s="755"/>
      <c r="U789" s="791"/>
      <c r="V789" s="784"/>
      <c r="W789" s="784"/>
      <c r="X789" s="784"/>
      <c r="Y789" s="784"/>
      <c r="Z789" s="965" t="str">
        <f>VLOOKUP(L789,اس!$S$3:$X$31,3,FALSE)</f>
        <v>.</v>
      </c>
    </row>
    <row r="790" spans="12:26" ht="18.75">
      <c r="L790" s="777">
        <v>5</v>
      </c>
      <c r="M790" s="906"/>
      <c r="N790" s="976">
        <v>0</v>
      </c>
      <c r="O790" s="1020">
        <v>737</v>
      </c>
      <c r="P790" s="860" t="e">
        <f>VLOOKUP(N790,etat!$A$9:$N$1004,2,FALSE)</f>
        <v>#N/A</v>
      </c>
      <c r="Q790" s="797" t="e">
        <f>VLOOKUP(N790,etat!$A$9:$N$963,7,FALSE)</f>
        <v>#N/A</v>
      </c>
      <c r="R790" s="905" t="e">
        <f>VLOOKUP(N790,etat!$A$9:$N$1003,9,FALSE)</f>
        <v>#N/A</v>
      </c>
      <c r="S790" s="797" t="e">
        <f>VLOOKUP(N790,etat!$A$9:$P$905,16,FALSE)</f>
        <v>#N/A</v>
      </c>
      <c r="T790" s="755"/>
      <c r="U790" s="791"/>
      <c r="V790" s="784"/>
      <c r="W790" s="784"/>
      <c r="X790" s="784"/>
      <c r="Y790" s="784"/>
      <c r="Z790" s="965" t="str">
        <f>VLOOKUP(L790,اس!$S$3:$X$31,3,FALSE)</f>
        <v>.</v>
      </c>
    </row>
    <row r="791" spans="12:26" ht="18.75">
      <c r="L791" s="777">
        <v>5</v>
      </c>
      <c r="M791" s="906"/>
      <c r="N791" s="976">
        <v>0</v>
      </c>
      <c r="O791" s="1020">
        <v>738</v>
      </c>
      <c r="P791" s="860" t="e">
        <f>VLOOKUP(N791,etat!$A$9:$N$1004,2,FALSE)</f>
        <v>#N/A</v>
      </c>
      <c r="Q791" s="797" t="e">
        <f>VLOOKUP(N791,etat!$A$9:$N$963,7,FALSE)</f>
        <v>#N/A</v>
      </c>
      <c r="R791" s="905" t="e">
        <f>VLOOKUP(N791,etat!$A$9:$N$1003,9,FALSE)</f>
        <v>#N/A</v>
      </c>
      <c r="S791" s="797" t="e">
        <f>VLOOKUP(N791,etat!$A$9:$P$905,16,FALSE)</f>
        <v>#N/A</v>
      </c>
      <c r="T791" s="755"/>
      <c r="U791" s="791"/>
      <c r="V791" s="784"/>
      <c r="W791" s="784"/>
      <c r="X791" s="784"/>
      <c r="Y791" s="784"/>
      <c r="Z791" s="965" t="str">
        <f>VLOOKUP(L791,اس!$S$3:$X$31,3,FALSE)</f>
        <v>.</v>
      </c>
    </row>
    <row r="792" spans="12:26" ht="18.75">
      <c r="L792" s="777">
        <v>5</v>
      </c>
      <c r="M792" s="906"/>
      <c r="N792" s="976">
        <v>0</v>
      </c>
      <c r="O792" s="1020">
        <v>739</v>
      </c>
      <c r="P792" s="860" t="e">
        <f>VLOOKUP(N792,etat!$A$9:$N$1004,2,FALSE)</f>
        <v>#N/A</v>
      </c>
      <c r="Q792" s="797" t="e">
        <f>VLOOKUP(N792,etat!$A$9:$N$963,7,FALSE)</f>
        <v>#N/A</v>
      </c>
      <c r="R792" s="905" t="e">
        <f>VLOOKUP(N792,etat!$A$9:$N$1003,9,FALSE)</f>
        <v>#N/A</v>
      </c>
      <c r="S792" s="797" t="e">
        <f>VLOOKUP(N792,etat!$A$9:$P$905,16,FALSE)</f>
        <v>#N/A</v>
      </c>
      <c r="T792" s="755"/>
      <c r="U792" s="791"/>
      <c r="V792" s="784"/>
      <c r="W792" s="784"/>
      <c r="X792" s="784"/>
      <c r="Y792" s="784"/>
      <c r="Z792" s="965" t="str">
        <f>VLOOKUP(L792,اس!$S$3:$X$31,3,FALSE)</f>
        <v>.</v>
      </c>
    </row>
    <row r="793" spans="12:26" ht="18.75">
      <c r="L793" s="777">
        <v>5</v>
      </c>
      <c r="M793" s="906"/>
      <c r="N793" s="976">
        <v>0</v>
      </c>
      <c r="O793" s="1020">
        <v>740</v>
      </c>
      <c r="P793" s="860" t="e">
        <f>VLOOKUP(N793,etat!$A$9:$N$1004,2,FALSE)</f>
        <v>#N/A</v>
      </c>
      <c r="Q793" s="797" t="e">
        <f>VLOOKUP(N793,etat!$A$9:$N$963,7,FALSE)</f>
        <v>#N/A</v>
      </c>
      <c r="R793" s="905" t="e">
        <f>VLOOKUP(N793,etat!$A$9:$N$1003,9,FALSE)</f>
        <v>#N/A</v>
      </c>
      <c r="S793" s="797" t="e">
        <f>VLOOKUP(N793,etat!$A$9:$P$905,16,FALSE)</f>
        <v>#N/A</v>
      </c>
      <c r="T793" s="755"/>
      <c r="U793" s="791"/>
      <c r="V793" s="784"/>
      <c r="W793" s="784"/>
      <c r="X793" s="784"/>
      <c r="Y793" s="784"/>
      <c r="Z793" s="965" t="str">
        <f>VLOOKUP(L793,اس!$S$3:$X$31,3,FALSE)</f>
        <v>.</v>
      </c>
    </row>
    <row r="794" spans="12:26" ht="18.75">
      <c r="L794" s="777">
        <v>5</v>
      </c>
      <c r="M794" s="906"/>
      <c r="N794" s="976">
        <v>0</v>
      </c>
      <c r="O794" s="1020">
        <v>741</v>
      </c>
      <c r="P794" s="860" t="e">
        <f>VLOOKUP(N794,etat!$A$9:$N$1004,2,FALSE)</f>
        <v>#N/A</v>
      </c>
      <c r="Q794" s="797" t="e">
        <f>VLOOKUP(N794,etat!$A$9:$N$963,7,FALSE)</f>
        <v>#N/A</v>
      </c>
      <c r="R794" s="905" t="e">
        <f>VLOOKUP(N794,etat!$A$9:$N$1003,9,FALSE)</f>
        <v>#N/A</v>
      </c>
      <c r="S794" s="797" t="e">
        <f>VLOOKUP(N794,etat!$A$9:$P$905,16,FALSE)</f>
        <v>#N/A</v>
      </c>
      <c r="T794" s="755"/>
      <c r="U794" s="791"/>
      <c r="V794" s="784"/>
      <c r="W794" s="784"/>
      <c r="X794" s="784"/>
      <c r="Y794" s="784"/>
      <c r="Z794" s="965" t="str">
        <f>VLOOKUP(L794,اس!$S$3:$X$31,3,FALSE)</f>
        <v>.</v>
      </c>
    </row>
    <row r="795" spans="12:26" ht="18.75">
      <c r="L795" s="777">
        <v>5</v>
      </c>
      <c r="M795" s="906"/>
      <c r="N795" s="976">
        <v>0</v>
      </c>
      <c r="O795" s="1020">
        <v>742</v>
      </c>
      <c r="P795" s="860" t="e">
        <f>VLOOKUP(N795,etat!$A$9:$N$1004,2,FALSE)</f>
        <v>#N/A</v>
      </c>
      <c r="Q795" s="797" t="e">
        <f>VLOOKUP(N795,etat!$A$9:$N$963,7,FALSE)</f>
        <v>#N/A</v>
      </c>
      <c r="R795" s="905" t="e">
        <f>VLOOKUP(N795,etat!$A$9:$N$1003,9,FALSE)</f>
        <v>#N/A</v>
      </c>
      <c r="S795" s="797" t="e">
        <f>VLOOKUP(N795,etat!$A$9:$P$905,16,FALSE)</f>
        <v>#N/A</v>
      </c>
      <c r="T795" s="755"/>
      <c r="U795" s="791"/>
      <c r="V795" s="784"/>
      <c r="W795" s="784"/>
      <c r="X795" s="784"/>
      <c r="Y795" s="784"/>
      <c r="Z795" s="965" t="str">
        <f>VLOOKUP(L795,اس!$S$3:$X$31,3,FALSE)</f>
        <v>.</v>
      </c>
    </row>
    <row r="796" spans="12:26" ht="18.75">
      <c r="L796" s="777">
        <v>5</v>
      </c>
      <c r="M796" s="906"/>
      <c r="N796" s="976">
        <v>0</v>
      </c>
      <c r="O796" s="1020">
        <v>743</v>
      </c>
      <c r="P796" s="860" t="e">
        <f>VLOOKUP(N796,etat!$A$9:$N$1004,2,FALSE)</f>
        <v>#N/A</v>
      </c>
      <c r="Q796" s="797" t="e">
        <f>VLOOKUP(N796,etat!$A$9:$N$963,7,FALSE)</f>
        <v>#N/A</v>
      </c>
      <c r="R796" s="905" t="e">
        <f>VLOOKUP(N796,etat!$A$9:$N$1003,9,FALSE)</f>
        <v>#N/A</v>
      </c>
      <c r="S796" s="797" t="e">
        <f>VLOOKUP(N796,etat!$A$9:$P$905,16,FALSE)</f>
        <v>#N/A</v>
      </c>
      <c r="T796" s="755"/>
      <c r="U796" s="791"/>
      <c r="V796" s="784"/>
      <c r="W796" s="784"/>
      <c r="X796" s="784"/>
      <c r="Y796" s="784"/>
      <c r="Z796" s="965" t="str">
        <f>VLOOKUP(L796,اس!$S$3:$X$31,3,FALSE)</f>
        <v>.</v>
      </c>
    </row>
    <row r="797" spans="12:26" ht="18.75">
      <c r="L797" s="777">
        <v>5</v>
      </c>
      <c r="M797" s="906"/>
      <c r="N797" s="976">
        <v>0</v>
      </c>
      <c r="O797" s="1020">
        <v>744</v>
      </c>
      <c r="P797" s="860" t="e">
        <f>VLOOKUP(N797,etat!$A$9:$N$1004,2,FALSE)</f>
        <v>#N/A</v>
      </c>
      <c r="Q797" s="797" t="e">
        <f>VLOOKUP(N797,etat!$A$9:$N$963,7,FALSE)</f>
        <v>#N/A</v>
      </c>
      <c r="R797" s="905" t="e">
        <f>VLOOKUP(N797,etat!$A$9:$N$1003,9,FALSE)</f>
        <v>#N/A</v>
      </c>
      <c r="S797" s="797" t="e">
        <f>VLOOKUP(N797,etat!$A$9:$P$905,16,FALSE)</f>
        <v>#N/A</v>
      </c>
      <c r="T797" s="755"/>
      <c r="U797" s="791"/>
      <c r="V797" s="784"/>
      <c r="W797" s="784"/>
      <c r="X797" s="784"/>
      <c r="Y797" s="784"/>
      <c r="Z797" s="965" t="str">
        <f>VLOOKUP(L797,اس!$S$3:$X$31,3,FALSE)</f>
        <v>.</v>
      </c>
    </row>
    <row r="798" spans="12:26" ht="18.75">
      <c r="L798" s="777">
        <v>5</v>
      </c>
      <c r="M798" s="906"/>
      <c r="N798" s="976">
        <v>0</v>
      </c>
      <c r="O798" s="1020">
        <v>745</v>
      </c>
      <c r="P798" s="860" t="e">
        <f>VLOOKUP(N798,etat!$A$9:$N$1004,2,FALSE)</f>
        <v>#N/A</v>
      </c>
      <c r="Q798" s="797" t="e">
        <f>VLOOKUP(N798,etat!$A$9:$N$963,7,FALSE)</f>
        <v>#N/A</v>
      </c>
      <c r="R798" s="905" t="e">
        <f>VLOOKUP(N798,etat!$A$9:$N$1003,9,FALSE)</f>
        <v>#N/A</v>
      </c>
      <c r="S798" s="797" t="e">
        <f>VLOOKUP(N798,etat!$A$9:$P$905,16,FALSE)</f>
        <v>#N/A</v>
      </c>
      <c r="T798" s="755"/>
      <c r="U798" s="791"/>
      <c r="V798" s="784"/>
      <c r="W798" s="784"/>
      <c r="X798" s="784"/>
      <c r="Y798" s="784"/>
      <c r="Z798" s="965" t="str">
        <f>VLOOKUP(L798,اس!$S$3:$X$31,3,FALSE)</f>
        <v>.</v>
      </c>
    </row>
    <row r="799" spans="12:26" ht="18.75">
      <c r="L799" s="777">
        <v>5</v>
      </c>
      <c r="M799" s="906"/>
      <c r="N799" s="976">
        <v>0</v>
      </c>
      <c r="O799" s="1020">
        <v>746</v>
      </c>
      <c r="P799" s="860" t="e">
        <f>VLOOKUP(N799,etat!$A$9:$N$1004,2,FALSE)</f>
        <v>#N/A</v>
      </c>
      <c r="Q799" s="797" t="e">
        <f>VLOOKUP(N799,etat!$A$9:$N$963,7,FALSE)</f>
        <v>#N/A</v>
      </c>
      <c r="R799" s="905" t="e">
        <f>VLOOKUP(N799,etat!$A$9:$N$1003,9,FALSE)</f>
        <v>#N/A</v>
      </c>
      <c r="S799" s="797" t="e">
        <f>VLOOKUP(N799,etat!$A$9:$P$905,16,FALSE)</f>
        <v>#N/A</v>
      </c>
      <c r="T799" s="755"/>
      <c r="U799" s="791"/>
      <c r="V799" s="784"/>
      <c r="W799" s="784"/>
      <c r="X799" s="784"/>
      <c r="Y799" s="784"/>
      <c r="Z799" s="965" t="str">
        <f>VLOOKUP(L799,اس!$S$3:$X$31,3,FALSE)</f>
        <v>.</v>
      </c>
    </row>
    <row r="800" spans="12:26" ht="18.75">
      <c r="L800" s="777">
        <v>5</v>
      </c>
      <c r="M800" s="906"/>
      <c r="N800" s="976">
        <v>0</v>
      </c>
      <c r="O800" s="1020">
        <v>747</v>
      </c>
      <c r="P800" s="860" t="e">
        <f>VLOOKUP(N800,etat!$A$9:$N$1004,2,FALSE)</f>
        <v>#N/A</v>
      </c>
      <c r="Q800" s="797" t="e">
        <f>VLOOKUP(N800,etat!$A$9:$N$963,7,FALSE)</f>
        <v>#N/A</v>
      </c>
      <c r="R800" s="905" t="e">
        <f>VLOOKUP(N800,etat!$A$9:$N$1003,9,FALSE)</f>
        <v>#N/A</v>
      </c>
      <c r="S800" s="797" t="e">
        <f>VLOOKUP(N800,etat!$A$9:$P$905,16,FALSE)</f>
        <v>#N/A</v>
      </c>
      <c r="T800" s="755"/>
      <c r="U800" s="791"/>
      <c r="V800" s="784"/>
      <c r="W800" s="784"/>
      <c r="X800" s="784"/>
      <c r="Y800" s="784"/>
      <c r="Z800" s="965" t="str">
        <f>VLOOKUP(L800,اس!$S$3:$X$31,3,FALSE)</f>
        <v>.</v>
      </c>
    </row>
    <row r="801" spans="12:26" ht="18.75">
      <c r="L801" s="777">
        <v>5</v>
      </c>
      <c r="M801" s="906"/>
      <c r="N801" s="976">
        <v>0</v>
      </c>
      <c r="O801" s="1020">
        <v>748</v>
      </c>
      <c r="P801" s="860" t="e">
        <f>VLOOKUP(N801,etat!$A$9:$N$1004,2,FALSE)</f>
        <v>#N/A</v>
      </c>
      <c r="Q801" s="797" t="e">
        <f>VLOOKUP(N801,etat!$A$9:$N$963,7,FALSE)</f>
        <v>#N/A</v>
      </c>
      <c r="R801" s="905" t="e">
        <f>VLOOKUP(N801,etat!$A$9:$N$1003,9,FALSE)</f>
        <v>#N/A</v>
      </c>
      <c r="S801" s="797" t="e">
        <f>VLOOKUP(N801,etat!$A$9:$P$905,16,FALSE)</f>
        <v>#N/A</v>
      </c>
      <c r="T801" s="755"/>
      <c r="U801" s="791"/>
      <c r="V801" s="784"/>
      <c r="W801" s="784"/>
      <c r="X801" s="784"/>
      <c r="Y801" s="784"/>
      <c r="Z801" s="965" t="str">
        <f>VLOOKUP(L801,اس!$S$3:$X$31,3,FALSE)</f>
        <v>.</v>
      </c>
    </row>
    <row r="802" spans="12:26" ht="18.75">
      <c r="L802" s="777">
        <v>5</v>
      </c>
      <c r="M802" s="906"/>
      <c r="N802" s="976">
        <v>0</v>
      </c>
      <c r="O802" s="1020">
        <v>749</v>
      </c>
      <c r="P802" s="860" t="e">
        <f>VLOOKUP(N802,etat!$A$9:$N$1004,2,FALSE)</f>
        <v>#N/A</v>
      </c>
      <c r="Q802" s="797" t="e">
        <f>VLOOKUP(N802,etat!$A$9:$N$963,7,FALSE)</f>
        <v>#N/A</v>
      </c>
      <c r="R802" s="905" t="e">
        <f>VLOOKUP(N802,etat!$A$9:$N$1003,9,FALSE)</f>
        <v>#N/A</v>
      </c>
      <c r="S802" s="797" t="e">
        <f>VLOOKUP(N802,etat!$A$9:$P$905,16,FALSE)</f>
        <v>#N/A</v>
      </c>
      <c r="T802" s="755"/>
      <c r="U802" s="791"/>
      <c r="V802" s="784"/>
      <c r="W802" s="784"/>
      <c r="X802" s="784"/>
      <c r="Y802" s="784"/>
      <c r="Z802" s="965" t="str">
        <f>VLOOKUP(L802,اس!$S$3:$X$31,3,FALSE)</f>
        <v>.</v>
      </c>
    </row>
    <row r="803" spans="12:26" ht="18.75">
      <c r="L803" s="777">
        <v>5</v>
      </c>
      <c r="M803" s="906"/>
      <c r="N803" s="976">
        <v>0</v>
      </c>
      <c r="O803" s="1020">
        <v>750</v>
      </c>
      <c r="P803" s="860" t="e">
        <f>VLOOKUP(N803,etat!$A$9:$N$1004,2,FALSE)</f>
        <v>#N/A</v>
      </c>
      <c r="Q803" s="797" t="e">
        <f>VLOOKUP(N803,etat!$A$9:$N$963,7,FALSE)</f>
        <v>#N/A</v>
      </c>
      <c r="R803" s="905" t="e">
        <f>VLOOKUP(N803,etat!$A$9:$N$1003,9,FALSE)</f>
        <v>#N/A</v>
      </c>
      <c r="S803" s="797" t="e">
        <f>VLOOKUP(N803,etat!$A$9:$P$905,16,FALSE)</f>
        <v>#N/A</v>
      </c>
      <c r="T803" s="755"/>
      <c r="U803" s="791"/>
      <c r="V803" s="784"/>
      <c r="W803" s="784"/>
      <c r="X803" s="784"/>
      <c r="Y803" s="784"/>
      <c r="Z803" s="965" t="str">
        <f>VLOOKUP(L803,اس!$S$3:$X$31,3,FALSE)</f>
        <v>.</v>
      </c>
    </row>
    <row r="804" spans="12:26" ht="18.75">
      <c r="L804" s="777">
        <v>5</v>
      </c>
      <c r="M804" s="906"/>
      <c r="N804" s="976">
        <v>0</v>
      </c>
      <c r="O804" s="1020">
        <v>751</v>
      </c>
      <c r="P804" s="860" t="e">
        <f>VLOOKUP(N804,etat!$A$9:$N$1004,2,FALSE)</f>
        <v>#N/A</v>
      </c>
      <c r="Q804" s="797" t="e">
        <f>VLOOKUP(N804,etat!$A$9:$N$963,7,FALSE)</f>
        <v>#N/A</v>
      </c>
      <c r="R804" s="905" t="e">
        <f>VLOOKUP(N804,etat!$A$9:$N$1003,9,FALSE)</f>
        <v>#N/A</v>
      </c>
      <c r="S804" s="797" t="e">
        <f>VLOOKUP(N804,etat!$A$9:$P$905,16,FALSE)</f>
        <v>#N/A</v>
      </c>
      <c r="T804" s="755"/>
      <c r="U804" s="791"/>
      <c r="V804" s="784"/>
      <c r="W804" s="784"/>
      <c r="X804" s="784"/>
      <c r="Y804" s="784"/>
      <c r="Z804" s="965" t="str">
        <f>VLOOKUP(L804,اس!$S$3:$X$31,3,FALSE)</f>
        <v>.</v>
      </c>
    </row>
    <row r="805" spans="12:26" ht="18.75">
      <c r="L805" s="777">
        <v>5</v>
      </c>
      <c r="M805" s="906"/>
      <c r="N805" s="976">
        <v>0</v>
      </c>
      <c r="O805" s="1020">
        <v>752</v>
      </c>
      <c r="P805" s="860" t="e">
        <f>VLOOKUP(N805,etat!$A$9:$N$1004,2,FALSE)</f>
        <v>#N/A</v>
      </c>
      <c r="Q805" s="797" t="e">
        <f>VLOOKUP(N805,etat!$A$9:$N$963,7,FALSE)</f>
        <v>#N/A</v>
      </c>
      <c r="R805" s="905" t="e">
        <f>VLOOKUP(N805,etat!$A$9:$N$1003,9,FALSE)</f>
        <v>#N/A</v>
      </c>
      <c r="S805" s="797" t="e">
        <f>VLOOKUP(N805,etat!$A$9:$P$905,16,FALSE)</f>
        <v>#N/A</v>
      </c>
      <c r="T805" s="755"/>
      <c r="U805" s="791"/>
      <c r="V805" s="784"/>
      <c r="W805" s="784"/>
      <c r="X805" s="784"/>
      <c r="Y805" s="784"/>
      <c r="Z805" s="965" t="str">
        <f>VLOOKUP(L805,اس!$S$3:$X$31,3,FALSE)</f>
        <v>.</v>
      </c>
    </row>
    <row r="806" spans="12:26" ht="18.75">
      <c r="L806" s="777">
        <v>5</v>
      </c>
      <c r="M806" s="906"/>
      <c r="N806" s="976">
        <v>0</v>
      </c>
      <c r="O806" s="1020">
        <v>753</v>
      </c>
      <c r="P806" s="860" t="e">
        <f>VLOOKUP(N806,etat!$A$9:$N$1004,2,FALSE)</f>
        <v>#N/A</v>
      </c>
      <c r="Q806" s="797" t="e">
        <f>VLOOKUP(N806,etat!$A$9:$N$963,7,FALSE)</f>
        <v>#N/A</v>
      </c>
      <c r="R806" s="905" t="e">
        <f>VLOOKUP(N806,etat!$A$9:$N$1003,9,FALSE)</f>
        <v>#N/A</v>
      </c>
      <c r="S806" s="797" t="e">
        <f>VLOOKUP(N806,etat!$A$9:$P$905,16,FALSE)</f>
        <v>#N/A</v>
      </c>
      <c r="T806" s="755"/>
      <c r="U806" s="791"/>
      <c r="V806" s="784"/>
      <c r="W806" s="784"/>
      <c r="X806" s="784"/>
      <c r="Y806" s="784"/>
      <c r="Z806" s="965" t="str">
        <f>VLOOKUP(L806,اس!$S$3:$X$31,3,FALSE)</f>
        <v>.</v>
      </c>
    </row>
    <row r="807" spans="12:26" ht="18.75">
      <c r="L807" s="777">
        <v>5</v>
      </c>
      <c r="M807" s="906"/>
      <c r="N807" s="976">
        <v>0</v>
      </c>
      <c r="O807" s="1020">
        <v>754</v>
      </c>
      <c r="P807" s="860" t="e">
        <f>VLOOKUP(N807,etat!$A$9:$N$1004,2,FALSE)</f>
        <v>#N/A</v>
      </c>
      <c r="Q807" s="797" t="e">
        <f>VLOOKUP(N807,etat!$A$9:$N$963,7,FALSE)</f>
        <v>#N/A</v>
      </c>
      <c r="R807" s="905" t="e">
        <f>VLOOKUP(N807,etat!$A$9:$N$1003,9,FALSE)</f>
        <v>#N/A</v>
      </c>
      <c r="S807" s="797" t="e">
        <f>VLOOKUP(N807,etat!$A$9:$P$905,16,FALSE)</f>
        <v>#N/A</v>
      </c>
      <c r="T807" s="755"/>
      <c r="U807" s="791"/>
      <c r="V807" s="784"/>
      <c r="W807" s="784"/>
      <c r="X807" s="784"/>
      <c r="Y807" s="784"/>
      <c r="Z807" s="965" t="str">
        <f>VLOOKUP(L807,اس!$S$3:$X$31,3,FALSE)</f>
        <v>.</v>
      </c>
    </row>
    <row r="808" spans="12:26" ht="18.75">
      <c r="L808" s="777">
        <v>5</v>
      </c>
      <c r="M808" s="906"/>
      <c r="N808" s="976">
        <v>0</v>
      </c>
      <c r="O808" s="1020">
        <v>755</v>
      </c>
      <c r="P808" s="860" t="e">
        <f>VLOOKUP(N808,etat!$A$9:$N$1004,2,FALSE)</f>
        <v>#N/A</v>
      </c>
      <c r="Q808" s="797" t="e">
        <f>VLOOKUP(N808,etat!$A$9:$N$963,7,FALSE)</f>
        <v>#N/A</v>
      </c>
      <c r="R808" s="905" t="e">
        <f>VLOOKUP(N808,etat!$A$9:$N$1003,9,FALSE)</f>
        <v>#N/A</v>
      </c>
      <c r="S808" s="797" t="e">
        <f>VLOOKUP(N808,etat!$A$9:$P$905,16,FALSE)</f>
        <v>#N/A</v>
      </c>
      <c r="T808" s="755"/>
      <c r="U808" s="791"/>
      <c r="V808" s="784"/>
      <c r="W808" s="784"/>
      <c r="X808" s="784"/>
      <c r="Y808" s="784"/>
      <c r="Z808" s="965" t="str">
        <f>VLOOKUP(L808,اس!$S$3:$X$31,3,FALSE)</f>
        <v>.</v>
      </c>
    </row>
    <row r="809" spans="12:26" ht="18.75">
      <c r="L809" s="777">
        <v>5</v>
      </c>
      <c r="M809" s="906"/>
      <c r="N809" s="976">
        <v>0</v>
      </c>
      <c r="O809" s="1020">
        <v>756</v>
      </c>
      <c r="P809" s="860" t="e">
        <f>VLOOKUP(N809,etat!$A$9:$N$1004,2,FALSE)</f>
        <v>#N/A</v>
      </c>
      <c r="Q809" s="797" t="e">
        <f>VLOOKUP(N809,etat!$A$9:$N$963,7,FALSE)</f>
        <v>#N/A</v>
      </c>
      <c r="R809" s="905" t="e">
        <f>VLOOKUP(N809,etat!$A$9:$N$1003,9,FALSE)</f>
        <v>#N/A</v>
      </c>
      <c r="S809" s="797" t="e">
        <f>VLOOKUP(N809,etat!$A$9:$P$905,16,FALSE)</f>
        <v>#N/A</v>
      </c>
      <c r="T809" s="755"/>
      <c r="U809" s="791"/>
      <c r="V809" s="784"/>
      <c r="W809" s="784"/>
      <c r="X809" s="784"/>
      <c r="Y809" s="784"/>
      <c r="Z809" s="965" t="str">
        <f>VLOOKUP(L809,اس!$S$3:$X$31,3,FALSE)</f>
        <v>.</v>
      </c>
    </row>
    <row r="810" spans="12:26" ht="18.75">
      <c r="L810" s="777">
        <v>5</v>
      </c>
      <c r="M810" s="906"/>
      <c r="N810" s="976">
        <v>0</v>
      </c>
      <c r="O810" s="1020">
        <v>757</v>
      </c>
      <c r="P810" s="860" t="e">
        <f>VLOOKUP(N810,etat!$A$9:$N$1004,2,FALSE)</f>
        <v>#N/A</v>
      </c>
      <c r="Q810" s="797" t="e">
        <f>VLOOKUP(N810,etat!$A$9:$N$963,7,FALSE)</f>
        <v>#N/A</v>
      </c>
      <c r="R810" s="905" t="e">
        <f>VLOOKUP(N810,etat!$A$9:$N$1003,9,FALSE)</f>
        <v>#N/A</v>
      </c>
      <c r="S810" s="797" t="e">
        <f>VLOOKUP(N810,etat!$A$9:$P$905,16,FALSE)</f>
        <v>#N/A</v>
      </c>
      <c r="T810" s="755"/>
      <c r="U810" s="791"/>
      <c r="V810" s="784"/>
      <c r="W810" s="784"/>
      <c r="X810" s="784"/>
      <c r="Y810" s="784"/>
      <c r="Z810" s="965" t="str">
        <f>VLOOKUP(L810,اس!$S$3:$X$31,3,FALSE)</f>
        <v>.</v>
      </c>
    </row>
    <row r="811" spans="12:26" ht="18.75">
      <c r="L811" s="777">
        <v>5</v>
      </c>
      <c r="M811" s="906"/>
      <c r="N811" s="976">
        <v>0</v>
      </c>
      <c r="O811" s="1020">
        <v>758</v>
      </c>
      <c r="P811" s="860" t="e">
        <f>VLOOKUP(N811,etat!$A$9:$N$1004,2,FALSE)</f>
        <v>#N/A</v>
      </c>
      <c r="Q811" s="797" t="e">
        <f>VLOOKUP(N811,etat!$A$9:$N$963,7,FALSE)</f>
        <v>#N/A</v>
      </c>
      <c r="R811" s="905" t="e">
        <f>VLOOKUP(N811,etat!$A$9:$N$1003,9,FALSE)</f>
        <v>#N/A</v>
      </c>
      <c r="S811" s="797" t="e">
        <f>VLOOKUP(N811,etat!$A$9:$P$905,16,FALSE)</f>
        <v>#N/A</v>
      </c>
      <c r="T811" s="755"/>
      <c r="U811" s="791"/>
      <c r="V811" s="784"/>
      <c r="W811" s="784"/>
      <c r="X811" s="784"/>
      <c r="Y811" s="784"/>
      <c r="Z811" s="965" t="str">
        <f>VLOOKUP(L811,اس!$S$3:$X$31,3,FALSE)</f>
        <v>.</v>
      </c>
    </row>
    <row r="812" spans="12:26" ht="18.75">
      <c r="L812" s="777">
        <v>5</v>
      </c>
      <c r="M812" s="906"/>
      <c r="N812" s="976">
        <v>0</v>
      </c>
      <c r="O812" s="1020">
        <v>759</v>
      </c>
      <c r="P812" s="860" t="e">
        <f>VLOOKUP(N812,etat!$A$9:$N$1004,2,FALSE)</f>
        <v>#N/A</v>
      </c>
      <c r="Q812" s="797" t="e">
        <f>VLOOKUP(N812,etat!$A$9:$N$963,7,FALSE)</f>
        <v>#N/A</v>
      </c>
      <c r="R812" s="905" t="e">
        <f>VLOOKUP(N812,etat!$A$9:$N$1003,9,FALSE)</f>
        <v>#N/A</v>
      </c>
      <c r="S812" s="797" t="e">
        <f>VLOOKUP(N812,etat!$A$9:$P$905,16,FALSE)</f>
        <v>#N/A</v>
      </c>
      <c r="T812" s="755"/>
      <c r="U812" s="791"/>
      <c r="V812" s="784"/>
      <c r="W812" s="784"/>
      <c r="X812" s="784"/>
      <c r="Y812" s="784"/>
      <c r="Z812" s="965" t="str">
        <f>VLOOKUP(L812,اس!$S$3:$X$31,3,FALSE)</f>
        <v>.</v>
      </c>
    </row>
    <row r="813" spans="12:26" ht="18.75">
      <c r="L813" s="777">
        <v>5</v>
      </c>
      <c r="M813" s="906"/>
      <c r="N813" s="976">
        <v>0</v>
      </c>
      <c r="O813" s="1020">
        <v>760</v>
      </c>
      <c r="P813" s="860" t="e">
        <f>VLOOKUP(N813,etat!$A$9:$N$1004,2,FALSE)</f>
        <v>#N/A</v>
      </c>
      <c r="Q813" s="797" t="e">
        <f>VLOOKUP(N813,etat!$A$9:$N$963,7,FALSE)</f>
        <v>#N/A</v>
      </c>
      <c r="R813" s="905" t="e">
        <f>VLOOKUP(N813,etat!$A$9:$N$1003,9,FALSE)</f>
        <v>#N/A</v>
      </c>
      <c r="S813" s="797" t="e">
        <f>VLOOKUP(N813,etat!$A$9:$P$905,16,FALSE)</f>
        <v>#N/A</v>
      </c>
      <c r="T813" s="755"/>
      <c r="U813" s="791"/>
      <c r="V813" s="784"/>
      <c r="W813" s="784"/>
      <c r="X813" s="784"/>
      <c r="Y813" s="784"/>
      <c r="Z813" s="965" t="str">
        <f>VLOOKUP(L813,اس!$S$3:$X$31,3,FALSE)</f>
        <v>.</v>
      </c>
    </row>
    <row r="814" spans="12:26" ht="18.75">
      <c r="L814" s="777">
        <v>5</v>
      </c>
      <c r="M814" s="906"/>
      <c r="N814" s="976">
        <v>0</v>
      </c>
      <c r="O814" s="1020">
        <v>761</v>
      </c>
      <c r="P814" s="860" t="e">
        <f>VLOOKUP(N814,etat!$A$9:$N$1004,2,FALSE)</f>
        <v>#N/A</v>
      </c>
      <c r="Q814" s="797" t="e">
        <f>VLOOKUP(N814,etat!$A$9:$N$963,7,FALSE)</f>
        <v>#N/A</v>
      </c>
      <c r="R814" s="905" t="e">
        <f>VLOOKUP(N814,etat!$A$9:$N$1003,9,FALSE)</f>
        <v>#N/A</v>
      </c>
      <c r="S814" s="797" t="e">
        <f>VLOOKUP(N814,etat!$A$9:$P$905,16,FALSE)</f>
        <v>#N/A</v>
      </c>
      <c r="T814" s="755"/>
      <c r="U814" s="791"/>
      <c r="V814" s="784"/>
      <c r="W814" s="784"/>
      <c r="X814" s="784"/>
      <c r="Y814" s="784"/>
      <c r="Z814" s="965" t="str">
        <f>VLOOKUP(L814,اس!$S$3:$X$31,3,FALSE)</f>
        <v>.</v>
      </c>
    </row>
    <row r="815" spans="12:26" ht="18.75">
      <c r="L815" s="777">
        <v>5</v>
      </c>
      <c r="M815" s="906"/>
      <c r="N815" s="976">
        <v>0</v>
      </c>
      <c r="O815" s="1020">
        <v>762</v>
      </c>
      <c r="P815" s="860" t="e">
        <f>VLOOKUP(N815,etat!$A$9:$N$1004,2,FALSE)</f>
        <v>#N/A</v>
      </c>
      <c r="Q815" s="797" t="e">
        <f>VLOOKUP(N815,etat!$A$9:$N$963,7,FALSE)</f>
        <v>#N/A</v>
      </c>
      <c r="R815" s="905" t="e">
        <f>VLOOKUP(N815,etat!$A$9:$N$1003,9,FALSE)</f>
        <v>#N/A</v>
      </c>
      <c r="S815" s="797" t="e">
        <f>VLOOKUP(N815,etat!$A$9:$P$905,16,FALSE)</f>
        <v>#N/A</v>
      </c>
      <c r="T815" s="755"/>
      <c r="U815" s="791"/>
      <c r="V815" s="784"/>
      <c r="W815" s="784"/>
      <c r="X815" s="784"/>
      <c r="Y815" s="784"/>
      <c r="Z815" s="965" t="str">
        <f>VLOOKUP(L815,اس!$S$3:$X$31,3,FALSE)</f>
        <v>.</v>
      </c>
    </row>
    <row r="816" spans="12:26" ht="18.75">
      <c r="L816" s="777">
        <v>5</v>
      </c>
      <c r="M816" s="906"/>
      <c r="N816" s="976">
        <v>0</v>
      </c>
      <c r="O816" s="1020">
        <v>763</v>
      </c>
      <c r="P816" s="860" t="e">
        <f>VLOOKUP(N816,etat!$A$9:$N$1004,2,FALSE)</f>
        <v>#N/A</v>
      </c>
      <c r="Q816" s="797" t="e">
        <f>VLOOKUP(N816,etat!$A$9:$N$963,7,FALSE)</f>
        <v>#N/A</v>
      </c>
      <c r="R816" s="905" t="e">
        <f>VLOOKUP(N816,etat!$A$9:$N$1003,9,FALSE)</f>
        <v>#N/A</v>
      </c>
      <c r="S816" s="797" t="e">
        <f>VLOOKUP(N816,etat!$A$9:$P$905,16,FALSE)</f>
        <v>#N/A</v>
      </c>
      <c r="T816" s="755"/>
      <c r="U816" s="791"/>
      <c r="V816" s="784"/>
      <c r="W816" s="784"/>
      <c r="X816" s="784"/>
      <c r="Y816" s="784"/>
      <c r="Z816" s="965" t="str">
        <f>VLOOKUP(L816,اس!$S$3:$X$31,3,FALSE)</f>
        <v>.</v>
      </c>
    </row>
    <row r="817" spans="12:26" ht="18.75">
      <c r="L817" s="777">
        <v>5</v>
      </c>
      <c r="M817" s="906"/>
      <c r="N817" s="976">
        <v>0</v>
      </c>
      <c r="O817" s="1020">
        <v>764</v>
      </c>
      <c r="P817" s="860" t="e">
        <f>VLOOKUP(N817,etat!$A$9:$N$1004,2,FALSE)</f>
        <v>#N/A</v>
      </c>
      <c r="Q817" s="797" t="e">
        <f>VLOOKUP(N817,etat!$A$9:$N$963,7,FALSE)</f>
        <v>#N/A</v>
      </c>
      <c r="R817" s="905" t="e">
        <f>VLOOKUP(N817,etat!$A$9:$N$1003,9,FALSE)</f>
        <v>#N/A</v>
      </c>
      <c r="S817" s="797" t="e">
        <f>VLOOKUP(N817,etat!$A$9:$P$905,16,FALSE)</f>
        <v>#N/A</v>
      </c>
      <c r="T817" s="755"/>
      <c r="U817" s="791"/>
      <c r="V817" s="784"/>
      <c r="W817" s="784"/>
      <c r="X817" s="784"/>
      <c r="Y817" s="784"/>
      <c r="Z817" s="965" t="str">
        <f>VLOOKUP(L817,اس!$S$3:$X$31,3,FALSE)</f>
        <v>.</v>
      </c>
    </row>
    <row r="818" spans="12:26" ht="18.75">
      <c r="L818" s="777">
        <v>5</v>
      </c>
      <c r="M818" s="906"/>
      <c r="N818" s="976">
        <v>0</v>
      </c>
      <c r="O818" s="1020">
        <v>765</v>
      </c>
      <c r="P818" s="860" t="e">
        <f>VLOOKUP(N818,etat!$A$9:$N$1004,2,FALSE)</f>
        <v>#N/A</v>
      </c>
      <c r="Q818" s="797" t="e">
        <f>VLOOKUP(N818,etat!$A$9:$N$963,7,FALSE)</f>
        <v>#N/A</v>
      </c>
      <c r="R818" s="905" t="e">
        <f>VLOOKUP(N818,etat!$A$9:$N$1003,9,FALSE)</f>
        <v>#N/A</v>
      </c>
      <c r="S818" s="797" t="e">
        <f>VLOOKUP(N818,etat!$A$9:$P$905,16,FALSE)</f>
        <v>#N/A</v>
      </c>
      <c r="T818" s="755"/>
      <c r="U818" s="791"/>
      <c r="V818" s="784"/>
      <c r="W818" s="784"/>
      <c r="X818" s="784"/>
      <c r="Y818" s="784"/>
      <c r="Z818" s="965" t="str">
        <f>VLOOKUP(L818,اس!$S$3:$X$31,3,FALSE)</f>
        <v>.</v>
      </c>
    </row>
    <row r="819" spans="12:26" ht="18.75">
      <c r="L819" s="777">
        <v>5</v>
      </c>
      <c r="M819" s="906"/>
      <c r="N819" s="976">
        <v>0</v>
      </c>
      <c r="O819" s="1020">
        <v>766</v>
      </c>
      <c r="P819" s="860" t="e">
        <f>VLOOKUP(N819,etat!$A$9:$N$1004,2,FALSE)</f>
        <v>#N/A</v>
      </c>
      <c r="Q819" s="797" t="e">
        <f>VLOOKUP(N819,etat!$A$9:$N$963,7,FALSE)</f>
        <v>#N/A</v>
      </c>
      <c r="R819" s="905" t="e">
        <f>VLOOKUP(N819,etat!$A$9:$N$1003,9,FALSE)</f>
        <v>#N/A</v>
      </c>
      <c r="S819" s="797" t="e">
        <f>VLOOKUP(N819,etat!$A$9:$P$905,16,FALSE)</f>
        <v>#N/A</v>
      </c>
      <c r="T819" s="755"/>
      <c r="U819" s="791"/>
      <c r="V819" s="784"/>
      <c r="W819" s="784"/>
      <c r="X819" s="784"/>
      <c r="Y819" s="784"/>
      <c r="Z819" s="965" t="str">
        <f>VLOOKUP(L819,اس!$S$3:$X$31,3,FALSE)</f>
        <v>.</v>
      </c>
    </row>
    <row r="820" spans="12:26" ht="18.75">
      <c r="L820" s="777">
        <v>5</v>
      </c>
      <c r="M820" s="906"/>
      <c r="N820" s="976">
        <v>0</v>
      </c>
      <c r="O820" s="1020">
        <v>767</v>
      </c>
      <c r="P820" s="860" t="e">
        <f>VLOOKUP(N820,etat!$A$9:$N$1004,2,FALSE)</f>
        <v>#N/A</v>
      </c>
      <c r="Q820" s="797" t="e">
        <f>VLOOKUP(N820,etat!$A$9:$N$963,7,FALSE)</f>
        <v>#N/A</v>
      </c>
      <c r="R820" s="905" t="e">
        <f>VLOOKUP(N820,etat!$A$9:$N$1003,9,FALSE)</f>
        <v>#N/A</v>
      </c>
      <c r="S820" s="797" t="e">
        <f>VLOOKUP(N820,etat!$A$9:$P$905,16,FALSE)</f>
        <v>#N/A</v>
      </c>
      <c r="T820" s="755"/>
      <c r="U820" s="791"/>
      <c r="V820" s="784"/>
      <c r="W820" s="784"/>
      <c r="X820" s="784"/>
      <c r="Y820" s="784"/>
      <c r="Z820" s="965" t="str">
        <f>VLOOKUP(L820,اس!$S$3:$X$31,3,FALSE)</f>
        <v>.</v>
      </c>
    </row>
    <row r="821" spans="12:26" ht="18.75">
      <c r="L821" s="777">
        <v>5</v>
      </c>
      <c r="M821" s="906"/>
      <c r="N821" s="976">
        <v>0</v>
      </c>
      <c r="O821" s="1020">
        <v>768</v>
      </c>
      <c r="P821" s="860" t="e">
        <f>VLOOKUP(N821,etat!$A$9:$N$1004,2,FALSE)</f>
        <v>#N/A</v>
      </c>
      <c r="Q821" s="797" t="e">
        <f>VLOOKUP(N821,etat!$A$9:$N$963,7,FALSE)</f>
        <v>#N/A</v>
      </c>
      <c r="R821" s="905" t="e">
        <f>VLOOKUP(N821,etat!$A$9:$N$1003,9,FALSE)</f>
        <v>#N/A</v>
      </c>
      <c r="S821" s="797" t="e">
        <f>VLOOKUP(N821,etat!$A$9:$P$905,16,FALSE)</f>
        <v>#N/A</v>
      </c>
      <c r="T821" s="755"/>
      <c r="U821" s="791"/>
      <c r="V821" s="784"/>
      <c r="W821" s="784"/>
      <c r="X821" s="784"/>
      <c r="Y821" s="784"/>
      <c r="Z821" s="965" t="str">
        <f>VLOOKUP(L821,اس!$S$3:$X$31,3,FALSE)</f>
        <v>.</v>
      </c>
    </row>
    <row r="822" spans="12:26" ht="18.75">
      <c r="L822" s="777">
        <v>5</v>
      </c>
      <c r="M822" s="906"/>
      <c r="N822" s="976">
        <v>0</v>
      </c>
      <c r="O822" s="1020">
        <v>769</v>
      </c>
      <c r="P822" s="860" t="e">
        <f>VLOOKUP(N822,etat!$A$9:$N$1004,2,FALSE)</f>
        <v>#N/A</v>
      </c>
      <c r="Q822" s="797" t="e">
        <f>VLOOKUP(N822,etat!$A$9:$N$963,7,FALSE)</f>
        <v>#N/A</v>
      </c>
      <c r="R822" s="905" t="e">
        <f>VLOOKUP(N822,etat!$A$9:$N$1003,9,FALSE)</f>
        <v>#N/A</v>
      </c>
      <c r="S822" s="797" t="e">
        <f>VLOOKUP(N822,etat!$A$9:$P$905,16,FALSE)</f>
        <v>#N/A</v>
      </c>
      <c r="T822" s="755"/>
      <c r="U822" s="791"/>
      <c r="V822" s="784"/>
      <c r="W822" s="784"/>
      <c r="X822" s="784"/>
      <c r="Y822" s="784"/>
      <c r="Z822" s="965" t="str">
        <f>VLOOKUP(L822,اس!$S$3:$X$31,3,FALSE)</f>
        <v>.</v>
      </c>
    </row>
    <row r="823" spans="12:26" ht="18.75">
      <c r="L823" s="777">
        <v>5</v>
      </c>
      <c r="M823" s="906"/>
      <c r="N823" s="976">
        <v>0</v>
      </c>
      <c r="O823" s="1020">
        <v>770</v>
      </c>
      <c r="P823" s="860" t="e">
        <f>VLOOKUP(N823,etat!$A$9:$N$1004,2,FALSE)</f>
        <v>#N/A</v>
      </c>
      <c r="Q823" s="797" t="e">
        <f>VLOOKUP(N823,etat!$A$9:$N$963,7,FALSE)</f>
        <v>#N/A</v>
      </c>
      <c r="R823" s="905" t="e">
        <f>VLOOKUP(N823,etat!$A$9:$N$1003,9,FALSE)</f>
        <v>#N/A</v>
      </c>
      <c r="S823" s="797" t="e">
        <f>VLOOKUP(N823,etat!$A$9:$P$905,16,FALSE)</f>
        <v>#N/A</v>
      </c>
      <c r="T823" s="755"/>
      <c r="U823" s="791"/>
      <c r="V823" s="784"/>
      <c r="W823" s="784"/>
      <c r="X823" s="784"/>
      <c r="Y823" s="784"/>
      <c r="Z823" s="965" t="str">
        <f>VLOOKUP(L823,اس!$S$3:$X$31,3,FALSE)</f>
        <v>.</v>
      </c>
    </row>
    <row r="824" spans="12:26" ht="18.75">
      <c r="L824" s="777">
        <v>5</v>
      </c>
      <c r="M824" s="906"/>
      <c r="N824" s="976">
        <v>0</v>
      </c>
      <c r="O824" s="1020">
        <v>771</v>
      </c>
      <c r="P824" s="860" t="e">
        <f>VLOOKUP(N824,etat!$A$9:$N$1004,2,FALSE)</f>
        <v>#N/A</v>
      </c>
      <c r="Q824" s="797" t="e">
        <f>VLOOKUP(N824,etat!$A$9:$N$963,7,FALSE)</f>
        <v>#N/A</v>
      </c>
      <c r="R824" s="905" t="e">
        <f>VLOOKUP(N824,etat!$A$9:$N$1003,9,FALSE)</f>
        <v>#N/A</v>
      </c>
      <c r="S824" s="797" t="e">
        <f>VLOOKUP(N824,etat!$A$9:$P$905,16,FALSE)</f>
        <v>#N/A</v>
      </c>
      <c r="T824" s="755"/>
      <c r="U824" s="791"/>
      <c r="V824" s="784"/>
      <c r="W824" s="784"/>
      <c r="X824" s="784"/>
      <c r="Y824" s="784"/>
      <c r="Z824" s="965" t="str">
        <f>VLOOKUP(L824,اس!$S$3:$X$31,3,FALSE)</f>
        <v>.</v>
      </c>
    </row>
    <row r="825" spans="12:26" ht="18.75">
      <c r="L825" s="777">
        <v>5</v>
      </c>
      <c r="M825" s="906"/>
      <c r="N825" s="976">
        <v>0</v>
      </c>
      <c r="O825" s="1020">
        <v>772</v>
      </c>
      <c r="P825" s="860" t="e">
        <f>VLOOKUP(N825,etat!$A$9:$N$1004,2,FALSE)</f>
        <v>#N/A</v>
      </c>
      <c r="Q825" s="797" t="e">
        <f>VLOOKUP(N825,etat!$A$9:$N$963,7,FALSE)</f>
        <v>#N/A</v>
      </c>
      <c r="R825" s="905" t="e">
        <f>VLOOKUP(N825,etat!$A$9:$N$1003,9,FALSE)</f>
        <v>#N/A</v>
      </c>
      <c r="S825" s="797" t="e">
        <f>VLOOKUP(N825,etat!$A$9:$P$905,16,FALSE)</f>
        <v>#N/A</v>
      </c>
      <c r="T825" s="755"/>
      <c r="U825" s="791"/>
      <c r="V825" s="784"/>
      <c r="W825" s="784"/>
      <c r="X825" s="784"/>
      <c r="Y825" s="784"/>
      <c r="Z825" s="965" t="str">
        <f>VLOOKUP(L825,اس!$S$3:$X$31,3,FALSE)</f>
        <v>.</v>
      </c>
    </row>
    <row r="826" spans="12:26" ht="18.75">
      <c r="L826" s="777">
        <v>5</v>
      </c>
      <c r="M826" s="906"/>
      <c r="N826" s="976">
        <v>0</v>
      </c>
      <c r="O826" s="1020">
        <v>773</v>
      </c>
      <c r="P826" s="860" t="e">
        <f>VLOOKUP(N826,etat!$A$9:$N$1004,2,FALSE)</f>
        <v>#N/A</v>
      </c>
      <c r="Q826" s="797" t="e">
        <f>VLOOKUP(N826,etat!$A$9:$N$963,7,FALSE)</f>
        <v>#N/A</v>
      </c>
      <c r="R826" s="905" t="e">
        <f>VLOOKUP(N826,etat!$A$9:$N$1003,9,FALSE)</f>
        <v>#N/A</v>
      </c>
      <c r="S826" s="797" t="e">
        <f>VLOOKUP(N826,etat!$A$9:$P$905,16,FALSE)</f>
        <v>#N/A</v>
      </c>
      <c r="T826" s="755"/>
      <c r="U826" s="791"/>
      <c r="V826" s="784"/>
      <c r="W826" s="784"/>
      <c r="X826" s="784"/>
      <c r="Y826" s="784"/>
      <c r="Z826" s="965" t="str">
        <f>VLOOKUP(L826,اس!$S$3:$X$31,3,FALSE)</f>
        <v>.</v>
      </c>
    </row>
    <row r="827" spans="12:26" ht="18.75">
      <c r="L827" s="777">
        <v>5</v>
      </c>
      <c r="M827" s="906"/>
      <c r="N827" s="976">
        <v>0</v>
      </c>
      <c r="O827" s="1020">
        <v>774</v>
      </c>
      <c r="P827" s="860" t="e">
        <f>VLOOKUP(N827,etat!$A$9:$N$1004,2,FALSE)</f>
        <v>#N/A</v>
      </c>
      <c r="Q827" s="797" t="e">
        <f>VLOOKUP(N827,etat!$A$9:$N$963,7,FALSE)</f>
        <v>#N/A</v>
      </c>
      <c r="R827" s="905" t="e">
        <f>VLOOKUP(N827,etat!$A$9:$N$1003,9,FALSE)</f>
        <v>#N/A</v>
      </c>
      <c r="S827" s="797" t="e">
        <f>VLOOKUP(N827,etat!$A$9:$P$905,16,FALSE)</f>
        <v>#N/A</v>
      </c>
      <c r="T827" s="755"/>
      <c r="U827" s="791"/>
      <c r="V827" s="784"/>
      <c r="W827" s="784"/>
      <c r="X827" s="784"/>
      <c r="Y827" s="784"/>
      <c r="Z827" s="965" t="str">
        <f>VLOOKUP(L827,اس!$S$3:$X$31,3,FALSE)</f>
        <v>.</v>
      </c>
    </row>
    <row r="828" spans="12:26" ht="18.75">
      <c r="L828" s="777">
        <v>5</v>
      </c>
      <c r="M828" s="906"/>
      <c r="N828" s="976">
        <v>0</v>
      </c>
      <c r="O828" s="1020">
        <v>775</v>
      </c>
      <c r="P828" s="860" t="e">
        <f>VLOOKUP(N828,etat!$A$9:$N$1004,2,FALSE)</f>
        <v>#N/A</v>
      </c>
      <c r="Q828" s="797" t="e">
        <f>VLOOKUP(N828,etat!$A$9:$N$963,7,FALSE)</f>
        <v>#N/A</v>
      </c>
      <c r="R828" s="905" t="e">
        <f>VLOOKUP(N828,etat!$A$9:$N$1003,9,FALSE)</f>
        <v>#N/A</v>
      </c>
      <c r="S828" s="797" t="e">
        <f>VLOOKUP(N828,etat!$A$9:$P$905,16,FALSE)</f>
        <v>#N/A</v>
      </c>
      <c r="T828" s="755"/>
      <c r="U828" s="791"/>
      <c r="V828" s="784"/>
      <c r="W828" s="784"/>
      <c r="X828" s="784"/>
      <c r="Y828" s="784"/>
      <c r="Z828" s="965" t="str">
        <f>VLOOKUP(L828,اس!$S$3:$X$31,3,FALSE)</f>
        <v>.</v>
      </c>
    </row>
    <row r="829" spans="12:26" ht="18.75">
      <c r="L829" s="777">
        <v>5</v>
      </c>
      <c r="M829" s="906"/>
      <c r="N829" s="976">
        <v>0</v>
      </c>
      <c r="O829" s="1020">
        <v>776</v>
      </c>
      <c r="P829" s="860" t="e">
        <f>VLOOKUP(N829,etat!$A$9:$N$1004,2,FALSE)</f>
        <v>#N/A</v>
      </c>
      <c r="Q829" s="797" t="e">
        <f>VLOOKUP(N829,etat!$A$9:$N$963,7,FALSE)</f>
        <v>#N/A</v>
      </c>
      <c r="R829" s="905" t="e">
        <f>VLOOKUP(N829,etat!$A$9:$N$1003,9,FALSE)</f>
        <v>#N/A</v>
      </c>
      <c r="S829" s="797" t="e">
        <f>VLOOKUP(N829,etat!$A$9:$P$905,16,FALSE)</f>
        <v>#N/A</v>
      </c>
      <c r="T829" s="755"/>
      <c r="U829" s="791"/>
      <c r="V829" s="784"/>
      <c r="W829" s="784"/>
      <c r="X829" s="784"/>
      <c r="Y829" s="784"/>
      <c r="Z829" s="965" t="str">
        <f>VLOOKUP(L829,اس!$S$3:$X$31,3,FALSE)</f>
        <v>.</v>
      </c>
    </row>
    <row r="830" spans="12:26" ht="18.75">
      <c r="L830" s="777">
        <v>5</v>
      </c>
      <c r="M830" s="906"/>
      <c r="N830" s="976">
        <v>0</v>
      </c>
      <c r="O830" s="1020">
        <v>777</v>
      </c>
      <c r="P830" s="860" t="e">
        <f>VLOOKUP(N830,etat!$A$9:$N$1004,2,FALSE)</f>
        <v>#N/A</v>
      </c>
      <c r="Q830" s="797" t="e">
        <f>VLOOKUP(N830,etat!$A$9:$N$963,7,FALSE)</f>
        <v>#N/A</v>
      </c>
      <c r="R830" s="905" t="e">
        <f>VLOOKUP(N830,etat!$A$9:$N$1003,9,FALSE)</f>
        <v>#N/A</v>
      </c>
      <c r="S830" s="797" t="e">
        <f>VLOOKUP(N830,etat!$A$9:$P$905,16,FALSE)</f>
        <v>#N/A</v>
      </c>
      <c r="T830" s="755"/>
      <c r="U830" s="791"/>
      <c r="V830" s="784"/>
      <c r="W830" s="784"/>
      <c r="X830" s="784"/>
      <c r="Y830" s="784"/>
      <c r="Z830" s="965" t="str">
        <f>VLOOKUP(L830,اس!$S$3:$X$31,3,FALSE)</f>
        <v>.</v>
      </c>
    </row>
    <row r="831" spans="12:26" ht="18.75">
      <c r="L831" s="777">
        <v>5</v>
      </c>
      <c r="M831" s="906"/>
      <c r="N831" s="976">
        <v>0</v>
      </c>
      <c r="O831" s="1020">
        <v>778</v>
      </c>
      <c r="P831" s="860" t="e">
        <f>VLOOKUP(N831,etat!$A$9:$N$1004,2,FALSE)</f>
        <v>#N/A</v>
      </c>
      <c r="Q831" s="797" t="e">
        <f>VLOOKUP(N831,etat!$A$9:$N$963,7,FALSE)</f>
        <v>#N/A</v>
      </c>
      <c r="R831" s="905" t="e">
        <f>VLOOKUP(N831,etat!$A$9:$N$1003,9,FALSE)</f>
        <v>#N/A</v>
      </c>
      <c r="S831" s="797" t="e">
        <f>VLOOKUP(N831,etat!$A$9:$P$905,16,FALSE)</f>
        <v>#N/A</v>
      </c>
      <c r="T831" s="755"/>
      <c r="U831" s="791"/>
      <c r="V831" s="784"/>
      <c r="W831" s="784"/>
      <c r="X831" s="784"/>
      <c r="Y831" s="784"/>
      <c r="Z831" s="965" t="str">
        <f>VLOOKUP(L831,اس!$S$3:$X$31,3,FALSE)</f>
        <v>.</v>
      </c>
    </row>
    <row r="832" spans="12:26" ht="18.75">
      <c r="L832" s="777">
        <v>5</v>
      </c>
      <c r="M832" s="906"/>
      <c r="N832" s="976">
        <v>0</v>
      </c>
      <c r="O832" s="1020">
        <v>779</v>
      </c>
      <c r="P832" s="860" t="e">
        <f>VLOOKUP(N832,etat!$A$9:$N$1004,2,FALSE)</f>
        <v>#N/A</v>
      </c>
      <c r="Q832" s="797" t="e">
        <f>VLOOKUP(N832,etat!$A$9:$N$963,7,FALSE)</f>
        <v>#N/A</v>
      </c>
      <c r="R832" s="905" t="e">
        <f>VLOOKUP(N832,etat!$A$9:$N$1003,9,FALSE)</f>
        <v>#N/A</v>
      </c>
      <c r="T832" s="755"/>
      <c r="U832" s="791"/>
      <c r="V832" s="784"/>
      <c r="W832" s="784"/>
      <c r="X832" s="784"/>
      <c r="Y832" s="784"/>
      <c r="Z832" s="965" t="str">
        <f>VLOOKUP(L832,اس!$S$3:$X$31,3,FALSE)</f>
        <v>.</v>
      </c>
    </row>
    <row r="833" spans="12:26" ht="18.75">
      <c r="L833" s="777">
        <v>5</v>
      </c>
      <c r="M833" s="906"/>
      <c r="N833" s="976">
        <v>0</v>
      </c>
      <c r="O833" s="1020">
        <v>780</v>
      </c>
      <c r="P833" s="860" t="e">
        <f>VLOOKUP(N833,etat!$A$9:$N$1004,2,FALSE)</f>
        <v>#N/A</v>
      </c>
      <c r="Q833" s="797" t="e">
        <f>VLOOKUP(N833,etat!$A$9:$N$963,7,FALSE)</f>
        <v>#N/A</v>
      </c>
      <c r="R833" s="905" t="e">
        <f>VLOOKUP(N833,etat!$A$9:$N$1003,9,FALSE)</f>
        <v>#N/A</v>
      </c>
      <c r="T833" s="755"/>
      <c r="U833" s="791"/>
      <c r="V833" s="784"/>
      <c r="W833" s="784"/>
      <c r="X833" s="784"/>
      <c r="Y833" s="784"/>
      <c r="Z833" s="965" t="str">
        <f>VLOOKUP(L833,اس!$S$3:$X$31,3,FALSE)</f>
        <v>.</v>
      </c>
    </row>
    <row r="834" spans="12:26" ht="18.75">
      <c r="L834" s="777">
        <v>5</v>
      </c>
      <c r="M834" s="906"/>
      <c r="N834" s="976">
        <v>0</v>
      </c>
      <c r="O834" s="1020">
        <v>781</v>
      </c>
      <c r="P834" s="860" t="e">
        <f>VLOOKUP(N834,etat!$A$9:$N$1004,2,FALSE)</f>
        <v>#N/A</v>
      </c>
      <c r="Q834" s="797" t="e">
        <f>VLOOKUP(N834,etat!$A$9:$N$963,7,FALSE)</f>
        <v>#N/A</v>
      </c>
      <c r="R834" s="905" t="e">
        <f>VLOOKUP(N834,etat!$A$9:$N$1003,9,FALSE)</f>
        <v>#N/A</v>
      </c>
      <c r="T834" s="755"/>
      <c r="U834" s="791"/>
      <c r="V834" s="784"/>
      <c r="W834" s="784"/>
      <c r="X834" s="784"/>
      <c r="Y834" s="784"/>
      <c r="Z834" s="965" t="str">
        <f>VLOOKUP(L834,اس!$S$3:$X$31,3,FALSE)</f>
        <v>.</v>
      </c>
    </row>
    <row r="835" spans="12:26" ht="18.75">
      <c r="L835" s="777">
        <v>5</v>
      </c>
      <c r="M835" s="906"/>
      <c r="N835" s="976">
        <v>0</v>
      </c>
      <c r="O835" s="1020">
        <v>782</v>
      </c>
      <c r="P835" s="860" t="e">
        <f>VLOOKUP(N835,etat!$A$9:$N$1004,2,FALSE)</f>
        <v>#N/A</v>
      </c>
      <c r="Q835" s="797" t="e">
        <f>VLOOKUP(N835,etat!$A$9:$N$963,7,FALSE)</f>
        <v>#N/A</v>
      </c>
      <c r="R835" s="905" t="e">
        <f>VLOOKUP(N835,etat!$A$9:$N$1003,9,FALSE)</f>
        <v>#N/A</v>
      </c>
      <c r="T835" s="755"/>
      <c r="U835" s="791"/>
      <c r="V835" s="784"/>
      <c r="W835" s="784"/>
      <c r="X835" s="784"/>
      <c r="Y835" s="784"/>
      <c r="Z835" s="965" t="str">
        <f>VLOOKUP(L835,اس!$S$3:$X$31,3,FALSE)</f>
        <v>.</v>
      </c>
    </row>
    <row r="836" spans="12:26" ht="18.75">
      <c r="L836" s="777">
        <v>5</v>
      </c>
      <c r="M836" s="906"/>
      <c r="N836" s="976">
        <v>0</v>
      </c>
      <c r="O836" s="1020">
        <v>783</v>
      </c>
      <c r="P836" s="860" t="e">
        <f>VLOOKUP(N836,etat!$A$9:$N$1004,2,FALSE)</f>
        <v>#N/A</v>
      </c>
      <c r="Q836" s="797" t="e">
        <f>VLOOKUP(N836,etat!$A$9:$N$963,7,FALSE)</f>
        <v>#N/A</v>
      </c>
      <c r="R836" s="905" t="e">
        <f>VLOOKUP(N836,etat!$A$9:$N$1003,9,FALSE)</f>
        <v>#N/A</v>
      </c>
      <c r="T836" s="755"/>
      <c r="U836" s="791"/>
      <c r="V836" s="784"/>
      <c r="W836" s="784"/>
      <c r="X836" s="784"/>
      <c r="Y836" s="784"/>
      <c r="Z836" s="965" t="str">
        <f>VLOOKUP(L836,اس!$S$3:$X$31,3,FALSE)</f>
        <v>.</v>
      </c>
    </row>
    <row r="837" spans="12:26" ht="18.75">
      <c r="L837" s="777">
        <v>5</v>
      </c>
      <c r="M837" s="906"/>
      <c r="N837" s="976">
        <v>0</v>
      </c>
      <c r="O837" s="1020">
        <v>784</v>
      </c>
      <c r="P837" s="860" t="e">
        <f>VLOOKUP(N837,etat!$A$9:$N$1004,2,FALSE)</f>
        <v>#N/A</v>
      </c>
      <c r="Q837" s="797" t="e">
        <f>VLOOKUP(N837,etat!$A$9:$N$963,7,FALSE)</f>
        <v>#N/A</v>
      </c>
      <c r="R837" s="905" t="e">
        <f>VLOOKUP(N837,etat!$A$9:$N$1003,9,FALSE)</f>
        <v>#N/A</v>
      </c>
      <c r="T837" s="755"/>
      <c r="U837" s="791"/>
      <c r="V837" s="784"/>
      <c r="W837" s="784"/>
      <c r="X837" s="784"/>
      <c r="Y837" s="784"/>
      <c r="Z837" s="965" t="str">
        <f>VLOOKUP(L837,اس!$S$3:$X$31,3,FALSE)</f>
        <v>.</v>
      </c>
    </row>
    <row r="838" spans="12:26" ht="18.75">
      <c r="L838" s="777">
        <v>5</v>
      </c>
      <c r="M838" s="906"/>
      <c r="N838" s="976">
        <v>0</v>
      </c>
      <c r="O838" s="1020">
        <v>785</v>
      </c>
      <c r="P838" s="860" t="e">
        <f>VLOOKUP(N838,etat!$A$9:$N$1004,2,FALSE)</f>
        <v>#N/A</v>
      </c>
      <c r="Q838" s="797" t="e">
        <f>VLOOKUP(N838,etat!$A$9:$N$963,7,FALSE)</f>
        <v>#N/A</v>
      </c>
      <c r="R838" s="905" t="e">
        <f>VLOOKUP(N838,etat!$A$9:$N$1003,9,FALSE)</f>
        <v>#N/A</v>
      </c>
      <c r="T838" s="755"/>
      <c r="U838" s="791"/>
      <c r="V838" s="784"/>
      <c r="W838" s="784"/>
      <c r="X838" s="784"/>
      <c r="Y838" s="784"/>
      <c r="Z838" s="965" t="str">
        <f>VLOOKUP(L838,اس!$S$3:$X$31,3,FALSE)</f>
        <v>.</v>
      </c>
    </row>
    <row r="839" spans="12:26" ht="18.75">
      <c r="L839" s="777">
        <v>5</v>
      </c>
      <c r="M839" s="906"/>
      <c r="N839" s="976">
        <v>0</v>
      </c>
      <c r="O839" s="1020">
        <v>786</v>
      </c>
      <c r="P839" s="860" t="e">
        <f>VLOOKUP(N839,etat!$A$9:$N$1004,2,FALSE)</f>
        <v>#N/A</v>
      </c>
      <c r="Q839" s="797" t="e">
        <f>VLOOKUP(N839,etat!$A$9:$N$963,7,FALSE)</f>
        <v>#N/A</v>
      </c>
      <c r="R839" s="905" t="e">
        <f>VLOOKUP(N839,etat!$A$9:$N$1003,9,FALSE)</f>
        <v>#N/A</v>
      </c>
      <c r="T839" s="755"/>
      <c r="U839" s="791"/>
      <c r="V839" s="784"/>
      <c r="W839" s="784"/>
      <c r="X839" s="784"/>
      <c r="Y839" s="784"/>
      <c r="Z839" s="965" t="str">
        <f>VLOOKUP(L839,اس!$S$3:$X$31,3,FALSE)</f>
        <v>.</v>
      </c>
    </row>
    <row r="840" spans="12:26" ht="18.75">
      <c r="L840" s="777">
        <v>5</v>
      </c>
      <c r="M840" s="906"/>
      <c r="N840" s="976">
        <v>0</v>
      </c>
      <c r="O840" s="1020">
        <v>787</v>
      </c>
      <c r="P840" s="860" t="e">
        <f>VLOOKUP(N840,etat!$A$9:$N$1004,2,FALSE)</f>
        <v>#N/A</v>
      </c>
      <c r="Q840" s="797" t="e">
        <f>VLOOKUP(N840,etat!$A$9:$N$963,7,FALSE)</f>
        <v>#N/A</v>
      </c>
      <c r="R840" s="905" t="e">
        <f>VLOOKUP(N840,etat!$A$9:$N$1003,9,FALSE)</f>
        <v>#N/A</v>
      </c>
      <c r="T840" s="755"/>
      <c r="U840" s="791"/>
      <c r="V840" s="784"/>
      <c r="W840" s="784"/>
      <c r="X840" s="784"/>
      <c r="Y840" s="784"/>
      <c r="Z840" s="965" t="str">
        <f>VLOOKUP(L840,اس!$S$3:$X$31,3,FALSE)</f>
        <v>.</v>
      </c>
    </row>
    <row r="841" spans="12:26" ht="18.75">
      <c r="L841" s="777">
        <v>5</v>
      </c>
      <c r="M841" s="906"/>
      <c r="N841" s="976">
        <v>0</v>
      </c>
      <c r="O841" s="1020">
        <v>788</v>
      </c>
      <c r="P841" s="860" t="e">
        <f>VLOOKUP(N841,etat!$A$9:$N$1004,2,FALSE)</f>
        <v>#N/A</v>
      </c>
      <c r="Q841" s="797" t="e">
        <f>VLOOKUP(N841,etat!$A$9:$N$963,7,FALSE)</f>
        <v>#N/A</v>
      </c>
      <c r="R841" s="905" t="e">
        <f>VLOOKUP(N841,etat!$A$9:$N$1003,9,FALSE)</f>
        <v>#N/A</v>
      </c>
      <c r="T841" s="755"/>
      <c r="U841" s="791"/>
      <c r="V841" s="784"/>
      <c r="W841" s="784"/>
      <c r="X841" s="784"/>
      <c r="Y841" s="784"/>
      <c r="Z841" s="965" t="str">
        <f>VLOOKUP(L841,اس!$S$3:$X$31,3,FALSE)</f>
        <v>.</v>
      </c>
    </row>
    <row r="842" spans="12:26" ht="18.75">
      <c r="L842" s="777">
        <v>5</v>
      </c>
      <c r="M842" s="906"/>
      <c r="N842" s="976">
        <v>0</v>
      </c>
      <c r="O842" s="1020">
        <v>789</v>
      </c>
      <c r="P842" s="860" t="e">
        <f>VLOOKUP(N842,etat!$A$9:$N$1004,2,FALSE)</f>
        <v>#N/A</v>
      </c>
      <c r="Q842" s="797" t="e">
        <f>VLOOKUP(N842,etat!$A$9:$N$963,7,FALSE)</f>
        <v>#N/A</v>
      </c>
      <c r="R842" s="905" t="e">
        <f>VLOOKUP(N842,etat!$A$9:$N$1003,9,FALSE)</f>
        <v>#N/A</v>
      </c>
      <c r="T842" s="755"/>
      <c r="U842" s="791"/>
      <c r="V842" s="784"/>
      <c r="W842" s="784"/>
      <c r="X842" s="784"/>
      <c r="Y842" s="784"/>
      <c r="Z842" s="965" t="str">
        <f>VLOOKUP(L842,اس!$S$3:$X$31,3,FALSE)</f>
        <v>.</v>
      </c>
    </row>
    <row r="843" spans="12:26" ht="18.75">
      <c r="L843" s="777">
        <v>5</v>
      </c>
      <c r="M843" s="906"/>
      <c r="N843" s="976">
        <v>0</v>
      </c>
      <c r="O843" s="1020">
        <v>790</v>
      </c>
      <c r="P843" s="860" t="e">
        <f>VLOOKUP(N843,etat!$A$9:$N$1004,2,FALSE)</f>
        <v>#N/A</v>
      </c>
      <c r="Q843" s="797" t="e">
        <f>VLOOKUP(N843,etat!$A$9:$N$963,7,FALSE)</f>
        <v>#N/A</v>
      </c>
      <c r="R843" s="905" t="e">
        <f>VLOOKUP(N843,etat!$A$9:$N$1003,9,FALSE)</f>
        <v>#N/A</v>
      </c>
      <c r="T843" s="755"/>
      <c r="U843" s="791"/>
      <c r="V843" s="784"/>
      <c r="W843" s="784"/>
      <c r="X843" s="784"/>
      <c r="Y843" s="784"/>
      <c r="Z843" s="965" t="str">
        <f>VLOOKUP(L843,اس!$S$3:$X$31,3,FALSE)</f>
        <v>.</v>
      </c>
    </row>
    <row r="844" spans="12:26" ht="18.75">
      <c r="L844" s="777">
        <v>5</v>
      </c>
      <c r="M844" s="906"/>
      <c r="N844" s="976">
        <v>0</v>
      </c>
      <c r="O844" s="1020">
        <v>791</v>
      </c>
      <c r="P844" s="860" t="e">
        <f>VLOOKUP(N844,etat!$A$9:$N$1004,2,FALSE)</f>
        <v>#N/A</v>
      </c>
      <c r="Q844" s="797" t="e">
        <f>VLOOKUP(N844,etat!$A$9:$N$963,7,FALSE)</f>
        <v>#N/A</v>
      </c>
      <c r="R844" s="905" t="e">
        <f>VLOOKUP(N844,etat!$A$9:$N$1003,9,FALSE)</f>
        <v>#N/A</v>
      </c>
      <c r="T844" s="755"/>
      <c r="U844" s="791"/>
      <c r="V844" s="784"/>
      <c r="W844" s="784"/>
      <c r="X844" s="784"/>
      <c r="Y844" s="784"/>
      <c r="Z844" s="965" t="str">
        <f>VLOOKUP(L844,اس!$S$3:$X$31,3,FALSE)</f>
        <v>.</v>
      </c>
    </row>
    <row r="845" spans="12:26" ht="18.75">
      <c r="L845" s="777">
        <v>5</v>
      </c>
      <c r="M845" s="906"/>
      <c r="N845" s="976">
        <v>0</v>
      </c>
      <c r="O845" s="1020">
        <v>792</v>
      </c>
      <c r="P845" s="860" t="e">
        <f>VLOOKUP(N845,etat!$A$9:$N$1004,2,FALSE)</f>
        <v>#N/A</v>
      </c>
      <c r="Q845" s="797" t="e">
        <f>VLOOKUP(N845,etat!$A$9:$N$963,7,FALSE)</f>
        <v>#N/A</v>
      </c>
      <c r="R845" s="905" t="e">
        <f>VLOOKUP(N845,etat!$A$9:$N$1003,9,FALSE)</f>
        <v>#N/A</v>
      </c>
      <c r="T845" s="755"/>
      <c r="U845" s="791"/>
      <c r="V845" s="784"/>
      <c r="W845" s="784"/>
      <c r="X845" s="784"/>
      <c r="Y845" s="784"/>
      <c r="Z845" s="965" t="str">
        <f>VLOOKUP(L845,اس!$S$3:$X$31,3,FALSE)</f>
        <v>.</v>
      </c>
    </row>
    <row r="846" spans="12:26" ht="18.75">
      <c r="L846" s="777">
        <v>5</v>
      </c>
      <c r="M846" s="906"/>
      <c r="N846" s="976">
        <v>0</v>
      </c>
      <c r="O846" s="1020">
        <v>793</v>
      </c>
      <c r="P846" s="860" t="e">
        <f>VLOOKUP(N846,etat!$A$9:$N$1004,2,FALSE)</f>
        <v>#N/A</v>
      </c>
      <c r="Q846" s="797" t="e">
        <f>VLOOKUP(N846,etat!$A$9:$N$963,7,FALSE)</f>
        <v>#N/A</v>
      </c>
      <c r="R846" s="905" t="e">
        <f>VLOOKUP(N846,etat!$A$9:$N$1003,9,FALSE)</f>
        <v>#N/A</v>
      </c>
      <c r="T846" s="755"/>
      <c r="U846" s="791"/>
      <c r="V846" s="784"/>
      <c r="W846" s="784"/>
      <c r="X846" s="784"/>
      <c r="Y846" s="784"/>
      <c r="Z846" s="965" t="str">
        <f>VLOOKUP(L846,اس!$S$3:$X$31,3,FALSE)</f>
        <v>.</v>
      </c>
    </row>
    <row r="847" spans="12:26" ht="18.75">
      <c r="L847" s="777">
        <v>5</v>
      </c>
      <c r="M847" s="906"/>
      <c r="N847" s="976">
        <v>0</v>
      </c>
      <c r="O847" s="1020">
        <v>794</v>
      </c>
      <c r="P847" s="860" t="e">
        <f>VLOOKUP(N847,etat!$A$9:$N$1004,2,FALSE)</f>
        <v>#N/A</v>
      </c>
      <c r="Q847" s="797" t="e">
        <f>VLOOKUP(N847,etat!$A$9:$N$963,7,FALSE)</f>
        <v>#N/A</v>
      </c>
      <c r="R847" s="905" t="e">
        <f>VLOOKUP(N847,etat!$A$9:$N$1003,9,FALSE)</f>
        <v>#N/A</v>
      </c>
      <c r="T847" s="755"/>
      <c r="U847" s="791"/>
      <c r="V847" s="784"/>
      <c r="W847" s="784"/>
      <c r="X847" s="784"/>
      <c r="Y847" s="784"/>
      <c r="Z847" s="965" t="str">
        <f>VLOOKUP(L847,اس!$S$3:$X$31,3,FALSE)</f>
        <v>.</v>
      </c>
    </row>
    <row r="848" spans="12:26" ht="18.75">
      <c r="L848" s="777">
        <v>5</v>
      </c>
      <c r="M848" s="906"/>
      <c r="N848" s="976">
        <v>0</v>
      </c>
      <c r="O848" s="1020">
        <v>795</v>
      </c>
      <c r="P848" s="860" t="e">
        <f>VLOOKUP(N848,etat!$A$9:$N$1004,2,FALSE)</f>
        <v>#N/A</v>
      </c>
      <c r="Q848" s="797" t="e">
        <f>VLOOKUP(N848,etat!$A$9:$N$963,7,FALSE)</f>
        <v>#N/A</v>
      </c>
      <c r="R848" s="905" t="e">
        <f>VLOOKUP(N848,etat!$A$9:$N$1003,9,FALSE)</f>
        <v>#N/A</v>
      </c>
      <c r="T848" s="755"/>
      <c r="U848" s="791"/>
      <c r="V848" s="784"/>
      <c r="W848" s="784"/>
      <c r="X848" s="784"/>
      <c r="Y848" s="784"/>
      <c r="Z848" s="965" t="str">
        <f>VLOOKUP(L848,اس!$S$3:$X$31,3,FALSE)</f>
        <v>.</v>
      </c>
    </row>
    <row r="849" spans="12:26" ht="18.75">
      <c r="L849" s="777">
        <v>5</v>
      </c>
      <c r="M849" s="906"/>
      <c r="N849" s="976">
        <v>0</v>
      </c>
      <c r="O849" s="1020">
        <v>796</v>
      </c>
      <c r="P849" s="860" t="e">
        <f>VLOOKUP(N849,etat!$A$9:$N$1004,2,FALSE)</f>
        <v>#N/A</v>
      </c>
      <c r="Q849" s="797" t="e">
        <f>VLOOKUP(N849,etat!$A$9:$N$963,7,FALSE)</f>
        <v>#N/A</v>
      </c>
      <c r="R849" s="905" t="e">
        <f>VLOOKUP(N849,etat!$A$9:$N$1003,9,FALSE)</f>
        <v>#N/A</v>
      </c>
      <c r="T849" s="755"/>
      <c r="U849" s="791"/>
      <c r="V849" s="784"/>
      <c r="W849" s="784"/>
      <c r="X849" s="784"/>
      <c r="Y849" s="784"/>
      <c r="Z849" s="965" t="str">
        <f>VLOOKUP(L849,اس!$S$3:$X$31,3,FALSE)</f>
        <v>.</v>
      </c>
    </row>
    <row r="850" spans="12:26" ht="18.75">
      <c r="L850" s="777">
        <v>5</v>
      </c>
      <c r="M850" s="906"/>
      <c r="N850" s="976">
        <v>0</v>
      </c>
      <c r="O850" s="1020">
        <v>797</v>
      </c>
      <c r="P850" s="860" t="e">
        <f>VLOOKUP(N850,etat!$A$9:$N$1004,2,FALSE)</f>
        <v>#N/A</v>
      </c>
      <c r="Q850" s="797" t="e">
        <f>VLOOKUP(N850,etat!$A$9:$N$963,7,FALSE)</f>
        <v>#N/A</v>
      </c>
      <c r="R850" s="905" t="e">
        <f>VLOOKUP(N850,etat!$A$9:$N$1003,9,FALSE)</f>
        <v>#N/A</v>
      </c>
      <c r="T850" s="755"/>
      <c r="U850" s="791"/>
      <c r="V850" s="784"/>
      <c r="W850" s="784"/>
      <c r="X850" s="784"/>
      <c r="Y850" s="784"/>
      <c r="Z850" s="965" t="str">
        <f>VLOOKUP(L850,اس!$S$3:$X$31,3,FALSE)</f>
        <v>.</v>
      </c>
    </row>
    <row r="851" spans="12:26" ht="18.75">
      <c r="L851" s="777">
        <v>5</v>
      </c>
      <c r="M851" s="906"/>
      <c r="N851" s="976">
        <v>0</v>
      </c>
      <c r="O851" s="1020">
        <v>798</v>
      </c>
      <c r="P851" s="860" t="e">
        <f>VLOOKUP(N851,etat!$A$9:$N$1004,2,FALSE)</f>
        <v>#N/A</v>
      </c>
      <c r="Q851" s="797" t="e">
        <f>VLOOKUP(N851,etat!$A$9:$N$963,7,FALSE)</f>
        <v>#N/A</v>
      </c>
      <c r="R851" s="905" t="e">
        <f>VLOOKUP(N851,etat!$A$9:$N$1003,9,FALSE)</f>
        <v>#N/A</v>
      </c>
      <c r="T851" s="755"/>
      <c r="U851" s="791"/>
      <c r="V851" s="784"/>
      <c r="W851" s="784"/>
      <c r="X851" s="784"/>
      <c r="Y851" s="784"/>
      <c r="Z851" s="965" t="str">
        <f>VLOOKUP(L851,اس!$S$3:$X$31,3,FALSE)</f>
        <v>.</v>
      </c>
    </row>
    <row r="852" spans="12:26" ht="18.75">
      <c r="L852" s="777">
        <v>5</v>
      </c>
      <c r="M852" s="906"/>
      <c r="N852" s="976">
        <v>0</v>
      </c>
      <c r="O852" s="1020">
        <v>799</v>
      </c>
      <c r="P852" s="860" t="e">
        <f>VLOOKUP(N852,etat!$A$9:$N$1004,2,FALSE)</f>
        <v>#N/A</v>
      </c>
      <c r="Q852" s="797" t="e">
        <f>VLOOKUP(N852,etat!$A$9:$N$963,7,FALSE)</f>
        <v>#N/A</v>
      </c>
      <c r="R852" s="905" t="e">
        <f>VLOOKUP(N852,etat!$A$9:$N$1003,9,FALSE)</f>
        <v>#N/A</v>
      </c>
      <c r="T852" s="755"/>
      <c r="U852" s="791"/>
      <c r="V852" s="784"/>
      <c r="W852" s="784"/>
      <c r="X852" s="784"/>
      <c r="Y852" s="784"/>
      <c r="Z852" s="965" t="str">
        <f>VLOOKUP(L852,اس!$S$3:$X$31,3,FALSE)</f>
        <v>.</v>
      </c>
    </row>
    <row r="853" spans="12:26" ht="18.75">
      <c r="L853" s="777">
        <v>5</v>
      </c>
      <c r="M853" s="906"/>
      <c r="N853" s="976">
        <v>0</v>
      </c>
      <c r="O853" s="1020">
        <v>800</v>
      </c>
      <c r="P853" s="860" t="e">
        <f>VLOOKUP(N853,etat!$A$9:$N$1004,2,FALSE)</f>
        <v>#N/A</v>
      </c>
      <c r="Q853" s="797" t="e">
        <f>VLOOKUP(N853,etat!$A$9:$N$963,7,FALSE)</f>
        <v>#N/A</v>
      </c>
      <c r="R853" s="905" t="e">
        <f>VLOOKUP(N853,etat!$A$9:$N$1003,9,FALSE)</f>
        <v>#N/A</v>
      </c>
      <c r="T853" s="755"/>
      <c r="U853" s="791"/>
      <c r="V853" s="784"/>
      <c r="W853" s="784"/>
      <c r="X853" s="784"/>
      <c r="Y853" s="784"/>
      <c r="Z853" s="965" t="str">
        <f>VLOOKUP(L853,اس!$S$3:$X$31,3,FALSE)</f>
        <v>.</v>
      </c>
    </row>
    <row r="854" spans="12:26" ht="18.75">
      <c r="L854" s="777">
        <v>5</v>
      </c>
      <c r="M854" s="906"/>
      <c r="N854" s="976">
        <v>0</v>
      </c>
      <c r="O854" s="1020">
        <v>801</v>
      </c>
      <c r="P854" s="860" t="e">
        <f>VLOOKUP(N854,etat!$A$9:$N$1004,2,FALSE)</f>
        <v>#N/A</v>
      </c>
      <c r="Q854" s="797" t="e">
        <f>VLOOKUP(N854,etat!$A$9:$N$963,7,FALSE)</f>
        <v>#N/A</v>
      </c>
      <c r="R854" s="905" t="e">
        <f>VLOOKUP(N854,etat!$A$9:$N$1003,9,FALSE)</f>
        <v>#N/A</v>
      </c>
      <c r="T854" s="755"/>
      <c r="U854" s="791"/>
      <c r="V854" s="784"/>
      <c r="W854" s="784"/>
      <c r="X854" s="784"/>
      <c r="Y854" s="784"/>
      <c r="Z854" s="965" t="str">
        <f>VLOOKUP(L854,اس!$S$3:$X$31,3,FALSE)</f>
        <v>.</v>
      </c>
    </row>
    <row r="855" spans="12:26" ht="18.75">
      <c r="L855" s="777">
        <v>5</v>
      </c>
      <c r="M855" s="906"/>
      <c r="N855" s="976">
        <v>0</v>
      </c>
      <c r="O855" s="1020">
        <v>802</v>
      </c>
      <c r="P855" s="860" t="e">
        <f>VLOOKUP(N855,etat!$A$9:$N$1004,2,FALSE)</f>
        <v>#N/A</v>
      </c>
      <c r="Q855" s="797" t="e">
        <f>VLOOKUP(N855,etat!$A$9:$N$963,7,FALSE)</f>
        <v>#N/A</v>
      </c>
      <c r="R855" s="905" t="e">
        <f>VLOOKUP(N855,etat!$A$9:$N$1003,9,FALSE)</f>
        <v>#N/A</v>
      </c>
      <c r="T855" s="755"/>
      <c r="U855" s="791"/>
      <c r="V855" s="784"/>
      <c r="W855" s="784"/>
      <c r="X855" s="784"/>
      <c r="Y855" s="784"/>
      <c r="Z855" s="965" t="str">
        <f>VLOOKUP(L855,اس!$S$3:$X$31,3,FALSE)</f>
        <v>.</v>
      </c>
    </row>
    <row r="856" spans="12:26" ht="18.75">
      <c r="L856" s="777">
        <v>5</v>
      </c>
      <c r="M856" s="906"/>
      <c r="N856" s="976">
        <v>0</v>
      </c>
      <c r="O856" s="1020">
        <v>803</v>
      </c>
      <c r="P856" s="860" t="e">
        <f>VLOOKUP(N856,etat!$A$9:$N$1004,2,FALSE)</f>
        <v>#N/A</v>
      </c>
      <c r="Q856" s="797" t="e">
        <f>VLOOKUP(N856,etat!$A$9:$N$963,7,FALSE)</f>
        <v>#N/A</v>
      </c>
      <c r="R856" s="905" t="e">
        <f>VLOOKUP(N856,etat!$A$9:$N$1003,9,FALSE)</f>
        <v>#N/A</v>
      </c>
      <c r="T856" s="755"/>
      <c r="U856" s="791"/>
      <c r="V856" s="784"/>
      <c r="W856" s="784"/>
      <c r="X856" s="784"/>
      <c r="Y856" s="784"/>
      <c r="Z856" s="965" t="str">
        <f>VLOOKUP(L856,اس!$S$3:$X$31,3,FALSE)</f>
        <v>.</v>
      </c>
    </row>
    <row r="857" spans="12:26" ht="18.75">
      <c r="L857" s="777">
        <v>5</v>
      </c>
      <c r="M857" s="906"/>
      <c r="N857" s="976">
        <v>0</v>
      </c>
      <c r="O857" s="1020">
        <v>804</v>
      </c>
      <c r="P857" s="860" t="e">
        <f>VLOOKUP(N857,etat!$A$9:$N$1004,2,FALSE)</f>
        <v>#N/A</v>
      </c>
      <c r="Q857" s="797" t="e">
        <f>VLOOKUP(N857,etat!$A$9:$N$963,7,FALSE)</f>
        <v>#N/A</v>
      </c>
      <c r="R857" s="905" t="e">
        <f>VLOOKUP(N857,etat!$A$9:$N$1003,9,FALSE)</f>
        <v>#N/A</v>
      </c>
      <c r="T857" s="755"/>
      <c r="U857" s="791"/>
      <c r="V857" s="784"/>
      <c r="W857" s="784"/>
      <c r="X857" s="784"/>
      <c r="Y857" s="784"/>
      <c r="Z857" s="965" t="str">
        <f>VLOOKUP(L857,اس!$S$3:$X$31,3,FALSE)</f>
        <v>.</v>
      </c>
    </row>
    <row r="858" spans="12:26" ht="18.75">
      <c r="L858" s="777">
        <v>5</v>
      </c>
      <c r="M858" s="906"/>
      <c r="N858" s="976">
        <v>0</v>
      </c>
      <c r="O858" s="1020">
        <v>805</v>
      </c>
      <c r="P858" s="860" t="e">
        <f>VLOOKUP(N858,etat!$A$9:$N$1004,2,FALSE)</f>
        <v>#N/A</v>
      </c>
      <c r="Q858" s="797" t="e">
        <f>VLOOKUP(N858,etat!$A$9:$N$963,7,FALSE)</f>
        <v>#N/A</v>
      </c>
      <c r="R858" s="905" t="e">
        <f>VLOOKUP(N858,etat!$A$9:$N$1003,9,FALSE)</f>
        <v>#N/A</v>
      </c>
      <c r="T858" s="755"/>
      <c r="U858" s="791"/>
      <c r="V858" s="784"/>
      <c r="W858" s="784"/>
      <c r="X858" s="784"/>
      <c r="Y858" s="784"/>
      <c r="Z858" s="965" t="str">
        <f>VLOOKUP(L858,اس!$S$3:$X$31,3,FALSE)</f>
        <v>.</v>
      </c>
    </row>
    <row r="859" spans="12:26" ht="18.75">
      <c r="L859" s="777">
        <v>5</v>
      </c>
      <c r="M859" s="906"/>
      <c r="N859" s="976">
        <v>0</v>
      </c>
      <c r="O859" s="1020">
        <v>806</v>
      </c>
      <c r="P859" s="860" t="e">
        <f>VLOOKUP(N859,etat!$A$9:$N$1004,2,FALSE)</f>
        <v>#N/A</v>
      </c>
      <c r="Q859" s="797" t="e">
        <f>VLOOKUP(N859,etat!$A$9:$N$963,7,FALSE)</f>
        <v>#N/A</v>
      </c>
      <c r="R859" s="905" t="e">
        <f>VLOOKUP(N859,etat!$A$9:$N$1003,9,FALSE)</f>
        <v>#N/A</v>
      </c>
      <c r="T859" s="755"/>
      <c r="U859" s="791"/>
      <c r="V859" s="784"/>
      <c r="W859" s="784"/>
      <c r="X859" s="784"/>
      <c r="Y859" s="784"/>
      <c r="Z859" s="965" t="str">
        <f>VLOOKUP(L859,اس!$S$3:$X$31,3,FALSE)</f>
        <v>.</v>
      </c>
    </row>
    <row r="860" spans="12:26" ht="18.75">
      <c r="L860" s="777">
        <v>5</v>
      </c>
      <c r="M860" s="906"/>
      <c r="N860" s="976">
        <v>0</v>
      </c>
      <c r="O860" s="1020">
        <v>807</v>
      </c>
      <c r="P860" s="860" t="e">
        <f>VLOOKUP(N860,etat!$A$9:$N$1004,2,FALSE)</f>
        <v>#N/A</v>
      </c>
      <c r="Q860" s="797" t="e">
        <f>VLOOKUP(N860,etat!$A$9:$N$963,7,FALSE)</f>
        <v>#N/A</v>
      </c>
      <c r="R860" s="905" t="e">
        <f>VLOOKUP(N860,etat!$A$9:$N$1003,9,FALSE)</f>
        <v>#N/A</v>
      </c>
      <c r="T860" s="755"/>
      <c r="U860" s="791"/>
      <c r="V860" s="784"/>
      <c r="W860" s="784"/>
      <c r="X860" s="784"/>
      <c r="Y860" s="784"/>
      <c r="Z860" s="965" t="str">
        <f>VLOOKUP(L860,اس!$S$3:$X$31,3,FALSE)</f>
        <v>.</v>
      </c>
    </row>
    <row r="861" spans="12:26" ht="18.75">
      <c r="L861" s="777">
        <v>5</v>
      </c>
      <c r="M861" s="906"/>
      <c r="N861" s="976">
        <v>0</v>
      </c>
      <c r="O861" s="1020">
        <v>808</v>
      </c>
      <c r="P861" s="860" t="e">
        <f>VLOOKUP(N861,etat!$A$9:$N$1004,2,FALSE)</f>
        <v>#N/A</v>
      </c>
      <c r="Q861" s="797" t="e">
        <f>VLOOKUP(N861,etat!$A$9:$N$963,7,FALSE)</f>
        <v>#N/A</v>
      </c>
      <c r="R861" s="905" t="e">
        <f>VLOOKUP(N861,etat!$A$9:$N$1003,9,FALSE)</f>
        <v>#N/A</v>
      </c>
      <c r="T861" s="755"/>
      <c r="U861" s="791"/>
      <c r="V861" s="784"/>
      <c r="W861" s="784"/>
      <c r="X861" s="784"/>
      <c r="Y861" s="784"/>
      <c r="Z861" s="965" t="str">
        <f>VLOOKUP(L861,اس!$S$3:$X$31,3,FALSE)</f>
        <v>.</v>
      </c>
    </row>
    <row r="862" spans="12:26" ht="18.75">
      <c r="L862" s="777">
        <v>5</v>
      </c>
      <c r="M862" s="906"/>
      <c r="N862" s="976">
        <v>0</v>
      </c>
      <c r="O862" s="1020">
        <v>809</v>
      </c>
      <c r="P862" s="860" t="e">
        <f>VLOOKUP(N862,etat!$A$9:$N$1004,2,FALSE)</f>
        <v>#N/A</v>
      </c>
      <c r="Q862" s="797" t="e">
        <f>VLOOKUP(N862,etat!$A$9:$N$963,7,FALSE)</f>
        <v>#N/A</v>
      </c>
      <c r="R862" s="905" t="e">
        <f>VLOOKUP(N862,etat!$A$9:$N$1003,9,FALSE)</f>
        <v>#N/A</v>
      </c>
      <c r="T862" s="755"/>
      <c r="U862" s="791"/>
      <c r="V862" s="784"/>
      <c r="W862" s="784"/>
      <c r="X862" s="784"/>
      <c r="Y862" s="784"/>
      <c r="Z862" s="965" t="str">
        <f>VLOOKUP(L862,اس!$S$3:$X$31,3,FALSE)</f>
        <v>.</v>
      </c>
    </row>
    <row r="863" spans="12:26" ht="18.75">
      <c r="L863" s="777">
        <v>5</v>
      </c>
      <c r="M863" s="906"/>
      <c r="N863" s="976">
        <v>0</v>
      </c>
      <c r="O863" s="1020">
        <v>810</v>
      </c>
      <c r="P863" s="860" t="e">
        <f>VLOOKUP(N863,etat!$A$9:$N$1004,2,FALSE)</f>
        <v>#N/A</v>
      </c>
      <c r="Q863" s="797" t="e">
        <f>VLOOKUP(N863,etat!$A$9:$N$963,7,FALSE)</f>
        <v>#N/A</v>
      </c>
      <c r="R863" s="905" t="e">
        <f>VLOOKUP(N863,etat!$A$9:$N$1003,9,FALSE)</f>
        <v>#N/A</v>
      </c>
      <c r="T863" s="755"/>
      <c r="U863" s="791"/>
      <c r="V863" s="784"/>
      <c r="W863" s="784"/>
      <c r="X863" s="784"/>
      <c r="Y863" s="784"/>
      <c r="Z863" s="965" t="str">
        <f>VLOOKUP(L863,اس!$S$3:$X$31,3,FALSE)</f>
        <v>.</v>
      </c>
    </row>
    <row r="864" spans="12:26" ht="18.75">
      <c r="L864" s="777">
        <v>5</v>
      </c>
      <c r="M864" s="906"/>
      <c r="N864" s="976">
        <v>0</v>
      </c>
      <c r="O864" s="1020">
        <v>811</v>
      </c>
      <c r="P864" s="860" t="e">
        <f>VLOOKUP(N864,etat!$A$9:$N$1004,2,FALSE)</f>
        <v>#N/A</v>
      </c>
      <c r="Q864" s="797" t="e">
        <f>VLOOKUP(N864,etat!$A$9:$N$963,7,FALSE)</f>
        <v>#N/A</v>
      </c>
      <c r="R864" s="905" t="e">
        <f>VLOOKUP(N864,etat!$A$9:$N$1003,9,FALSE)</f>
        <v>#N/A</v>
      </c>
      <c r="T864" s="755"/>
      <c r="U864" s="791"/>
      <c r="V864" s="784"/>
      <c r="W864" s="784"/>
      <c r="X864" s="784"/>
      <c r="Y864" s="784"/>
      <c r="Z864" s="965" t="str">
        <f>VLOOKUP(L864,اس!$S$3:$X$31,3,FALSE)</f>
        <v>.</v>
      </c>
    </row>
    <row r="865" spans="12:26" ht="18.75">
      <c r="L865" s="777">
        <v>5</v>
      </c>
      <c r="M865" s="906"/>
      <c r="N865" s="976">
        <v>0</v>
      </c>
      <c r="O865" s="1020">
        <v>812</v>
      </c>
      <c r="P865" s="860" t="e">
        <f>VLOOKUP(N865,etat!$A$9:$N$1004,2,FALSE)</f>
        <v>#N/A</v>
      </c>
      <c r="Q865" s="797" t="e">
        <f>VLOOKUP(N865,etat!$A$9:$N$963,7,FALSE)</f>
        <v>#N/A</v>
      </c>
      <c r="R865" s="905" t="e">
        <f>VLOOKUP(N865,etat!$A$9:$N$1003,9,FALSE)</f>
        <v>#N/A</v>
      </c>
      <c r="T865" s="755"/>
      <c r="U865" s="791"/>
      <c r="V865" s="784"/>
      <c r="W865" s="784"/>
      <c r="X865" s="784"/>
      <c r="Y865" s="784"/>
      <c r="Z865" s="965" t="str">
        <f>VLOOKUP(L865,اس!$S$3:$X$31,3,FALSE)</f>
        <v>.</v>
      </c>
    </row>
    <row r="866" spans="12:26" ht="18.75">
      <c r="L866" s="777">
        <v>5</v>
      </c>
      <c r="M866" s="906"/>
      <c r="N866" s="976">
        <v>0</v>
      </c>
      <c r="O866" s="1020">
        <v>813</v>
      </c>
      <c r="P866" s="860" t="e">
        <f>VLOOKUP(N866,etat!$A$9:$N$1004,2,FALSE)</f>
        <v>#N/A</v>
      </c>
      <c r="Q866" s="797" t="e">
        <f>VLOOKUP(N866,etat!$A$9:$N$963,7,FALSE)</f>
        <v>#N/A</v>
      </c>
      <c r="R866" s="905" t="e">
        <f>VLOOKUP(N866,etat!$A$9:$N$1003,9,FALSE)</f>
        <v>#N/A</v>
      </c>
      <c r="T866" s="755"/>
      <c r="U866" s="791"/>
      <c r="V866" s="784"/>
      <c r="W866" s="784"/>
      <c r="X866" s="784"/>
      <c r="Y866" s="784"/>
      <c r="Z866" s="965" t="str">
        <f>VLOOKUP(L866,اس!$S$3:$X$31,3,FALSE)</f>
        <v>.</v>
      </c>
    </row>
    <row r="867" spans="12:26" ht="18.75">
      <c r="L867" s="777">
        <v>5</v>
      </c>
      <c r="M867" s="906"/>
      <c r="N867" s="976">
        <v>0</v>
      </c>
      <c r="O867" s="1020">
        <v>814</v>
      </c>
      <c r="P867" s="860" t="e">
        <f>VLOOKUP(N867,etat!$A$9:$N$1004,2,FALSE)</f>
        <v>#N/A</v>
      </c>
      <c r="Q867" s="797" t="e">
        <f>VLOOKUP(N867,etat!$A$9:$N$963,7,FALSE)</f>
        <v>#N/A</v>
      </c>
      <c r="R867" s="905" t="e">
        <f>VLOOKUP(N867,etat!$A$9:$N$1003,9,FALSE)</f>
        <v>#N/A</v>
      </c>
      <c r="T867" s="755"/>
      <c r="U867" s="791"/>
      <c r="V867" s="784"/>
      <c r="W867" s="784"/>
      <c r="X867" s="784"/>
      <c r="Y867" s="784"/>
      <c r="Z867" s="965" t="str">
        <f>VLOOKUP(L867,اس!$S$3:$X$31,3,FALSE)</f>
        <v>.</v>
      </c>
    </row>
    <row r="868" spans="12:26" ht="18.75">
      <c r="L868" s="777">
        <v>5</v>
      </c>
      <c r="M868" s="906"/>
      <c r="N868" s="976">
        <v>0</v>
      </c>
      <c r="O868" s="1020">
        <v>815</v>
      </c>
      <c r="P868" s="860" t="e">
        <f>VLOOKUP(N868,etat!$A$9:$N$1004,2,FALSE)</f>
        <v>#N/A</v>
      </c>
      <c r="Q868" s="797" t="e">
        <f>VLOOKUP(N868,etat!$A$9:$N$963,7,FALSE)</f>
        <v>#N/A</v>
      </c>
      <c r="R868" s="905" t="e">
        <f>VLOOKUP(N868,etat!$A$9:$N$1003,9,FALSE)</f>
        <v>#N/A</v>
      </c>
      <c r="T868" s="755"/>
      <c r="U868" s="791"/>
      <c r="V868" s="784"/>
      <c r="W868" s="784"/>
      <c r="X868" s="784"/>
      <c r="Y868" s="784"/>
      <c r="Z868" s="965" t="str">
        <f>VLOOKUP(L868,اس!$S$3:$X$31,3,FALSE)</f>
        <v>.</v>
      </c>
    </row>
    <row r="869" spans="12:26" ht="18.75">
      <c r="L869" s="777">
        <v>5</v>
      </c>
      <c r="M869" s="906"/>
      <c r="N869" s="976">
        <v>0</v>
      </c>
      <c r="O869" s="1020">
        <v>816</v>
      </c>
      <c r="P869" s="860" t="e">
        <f>VLOOKUP(N869,etat!$A$9:$N$1004,2,FALSE)</f>
        <v>#N/A</v>
      </c>
      <c r="Q869" s="797" t="e">
        <f>VLOOKUP(N869,etat!$A$9:$N$963,7,FALSE)</f>
        <v>#N/A</v>
      </c>
      <c r="R869" s="905" t="e">
        <f>VLOOKUP(N869,etat!$A$9:$N$1003,9,FALSE)</f>
        <v>#N/A</v>
      </c>
      <c r="T869" s="755"/>
      <c r="U869" s="791"/>
      <c r="V869" s="784"/>
      <c r="W869" s="784"/>
      <c r="X869" s="784"/>
      <c r="Y869" s="784"/>
      <c r="Z869" s="965" t="str">
        <f>VLOOKUP(L869,اس!$S$3:$X$31,3,FALSE)</f>
        <v>.</v>
      </c>
    </row>
    <row r="870" spans="12:26" ht="18.75">
      <c r="L870" s="777">
        <v>5</v>
      </c>
      <c r="M870" s="906"/>
      <c r="N870" s="976">
        <v>0</v>
      </c>
      <c r="O870" s="1020">
        <v>817</v>
      </c>
      <c r="P870" s="860" t="e">
        <f>VLOOKUP(N870,etat!$A$9:$N$1004,2,FALSE)</f>
        <v>#N/A</v>
      </c>
      <c r="Q870" s="797" t="e">
        <f>VLOOKUP(N870,etat!$A$9:$N$963,7,FALSE)</f>
        <v>#N/A</v>
      </c>
      <c r="R870" s="905" t="e">
        <f>VLOOKUP(N870,etat!$A$9:$N$1003,9,FALSE)</f>
        <v>#N/A</v>
      </c>
      <c r="T870" s="755"/>
      <c r="U870" s="791"/>
      <c r="V870" s="784"/>
      <c r="W870" s="784"/>
      <c r="X870" s="784"/>
      <c r="Y870" s="784"/>
      <c r="Z870" s="965" t="str">
        <f>VLOOKUP(L870,اس!$S$3:$X$31,3,FALSE)</f>
        <v>.</v>
      </c>
    </row>
    <row r="871" spans="12:26" ht="18.75">
      <c r="L871" s="777">
        <v>5</v>
      </c>
      <c r="M871" s="906"/>
      <c r="N871" s="976">
        <v>0</v>
      </c>
      <c r="O871" s="1020">
        <v>818</v>
      </c>
      <c r="P871" s="860" t="e">
        <f>VLOOKUP(N871,etat!$A$9:$N$1004,2,FALSE)</f>
        <v>#N/A</v>
      </c>
      <c r="Q871" s="797" t="e">
        <f>VLOOKUP(N871,etat!$A$9:$N$963,7,FALSE)</f>
        <v>#N/A</v>
      </c>
      <c r="R871" s="905" t="e">
        <f>VLOOKUP(N871,etat!$A$9:$N$1003,9,FALSE)</f>
        <v>#N/A</v>
      </c>
      <c r="T871" s="755"/>
      <c r="U871" s="791"/>
      <c r="V871" s="784"/>
      <c r="W871" s="784"/>
      <c r="X871" s="784"/>
      <c r="Y871" s="784"/>
      <c r="Z871" s="965" t="str">
        <f>VLOOKUP(L871,اس!$S$3:$X$31,3,FALSE)</f>
        <v>.</v>
      </c>
    </row>
    <row r="872" spans="12:26" ht="18.75">
      <c r="L872" s="777">
        <v>5</v>
      </c>
      <c r="M872" s="906"/>
      <c r="N872" s="976">
        <v>0</v>
      </c>
      <c r="O872" s="1020">
        <v>819</v>
      </c>
      <c r="P872" s="860" t="e">
        <f>VLOOKUP(N872,etat!$A$9:$N$1004,2,FALSE)</f>
        <v>#N/A</v>
      </c>
      <c r="Q872" s="797" t="e">
        <f>VLOOKUP(N872,etat!$A$9:$N$963,7,FALSE)</f>
        <v>#N/A</v>
      </c>
      <c r="R872" s="905" t="e">
        <f>VLOOKUP(N872,etat!$A$9:$N$1003,9,FALSE)</f>
        <v>#N/A</v>
      </c>
      <c r="T872" s="755"/>
      <c r="U872" s="791"/>
      <c r="V872" s="784"/>
      <c r="W872" s="784"/>
      <c r="X872" s="784"/>
      <c r="Y872" s="784"/>
      <c r="Z872" s="965" t="str">
        <f>VLOOKUP(L872,اس!$S$3:$X$31,3,FALSE)</f>
        <v>.</v>
      </c>
    </row>
    <row r="873" spans="12:26" ht="18.75">
      <c r="L873" s="777">
        <v>5</v>
      </c>
      <c r="M873" s="906"/>
      <c r="N873" s="976">
        <v>0</v>
      </c>
      <c r="O873" s="1020">
        <v>820</v>
      </c>
      <c r="P873" s="860" t="e">
        <f>VLOOKUP(N873,etat!$A$9:$N$1004,2,FALSE)</f>
        <v>#N/A</v>
      </c>
      <c r="Q873" s="797" t="e">
        <f>VLOOKUP(N873,etat!$A$9:$N$963,7,FALSE)</f>
        <v>#N/A</v>
      </c>
      <c r="R873" s="905" t="e">
        <f>VLOOKUP(N873,etat!$A$9:$N$1003,9,FALSE)</f>
        <v>#N/A</v>
      </c>
      <c r="T873" s="755"/>
      <c r="U873" s="791"/>
      <c r="V873" s="784"/>
      <c r="W873" s="784"/>
      <c r="X873" s="784"/>
      <c r="Y873" s="784"/>
      <c r="Z873" s="965" t="str">
        <f>VLOOKUP(L873,اس!$S$3:$X$31,3,FALSE)</f>
        <v>.</v>
      </c>
    </row>
    <row r="874" spans="12:26" ht="18.75">
      <c r="L874" s="777">
        <v>5</v>
      </c>
      <c r="M874" s="906"/>
      <c r="N874" s="976">
        <v>0</v>
      </c>
      <c r="O874" s="1020">
        <v>821</v>
      </c>
      <c r="P874" s="860" t="e">
        <f>VLOOKUP(N874,etat!$A$9:$N$1004,2,FALSE)</f>
        <v>#N/A</v>
      </c>
      <c r="Q874" s="797" t="e">
        <f>VLOOKUP(N874,etat!$A$9:$N$963,7,FALSE)</f>
        <v>#N/A</v>
      </c>
      <c r="R874" s="905" t="e">
        <f>VLOOKUP(N874,etat!$A$9:$N$1003,9,FALSE)</f>
        <v>#N/A</v>
      </c>
      <c r="T874" s="755"/>
      <c r="U874" s="791"/>
      <c r="V874" s="784"/>
      <c r="W874" s="784"/>
      <c r="X874" s="784"/>
      <c r="Y874" s="784"/>
      <c r="Z874" s="965" t="str">
        <f>VLOOKUP(L874,اس!$S$3:$X$31,3,FALSE)</f>
        <v>.</v>
      </c>
    </row>
    <row r="875" spans="12:26" ht="18.75">
      <c r="L875" s="777">
        <v>5</v>
      </c>
      <c r="M875" s="906"/>
      <c r="N875" s="976">
        <v>0</v>
      </c>
      <c r="O875" s="1020">
        <v>822</v>
      </c>
      <c r="P875" s="860" t="e">
        <f>VLOOKUP(N875,etat!$A$9:$N$1004,2,FALSE)</f>
        <v>#N/A</v>
      </c>
      <c r="Q875" s="797" t="e">
        <f>VLOOKUP(N875,etat!$A$9:$N$963,7,FALSE)</f>
        <v>#N/A</v>
      </c>
      <c r="R875" s="905" t="e">
        <f>VLOOKUP(N875,etat!$A$9:$N$1003,9,FALSE)</f>
        <v>#N/A</v>
      </c>
      <c r="T875" s="755"/>
      <c r="U875" s="791"/>
      <c r="V875" s="784"/>
      <c r="W875" s="784"/>
      <c r="X875" s="784"/>
      <c r="Y875" s="784"/>
      <c r="Z875" s="965" t="str">
        <f>VLOOKUP(L875,اس!$S$3:$X$31,3,FALSE)</f>
        <v>.</v>
      </c>
    </row>
    <row r="876" spans="12:26" ht="18.75">
      <c r="L876" s="777">
        <v>5</v>
      </c>
      <c r="M876" s="906"/>
      <c r="N876" s="976">
        <v>0</v>
      </c>
      <c r="O876" s="1020">
        <v>823</v>
      </c>
      <c r="P876" s="860" t="e">
        <f>VLOOKUP(N876,etat!$A$9:$N$1004,2,FALSE)</f>
        <v>#N/A</v>
      </c>
      <c r="Q876" s="797" t="e">
        <f>VLOOKUP(N876,etat!$A$9:$N$963,7,FALSE)</f>
        <v>#N/A</v>
      </c>
      <c r="R876" s="905" t="e">
        <f>VLOOKUP(N876,etat!$A$9:$N$1003,9,FALSE)</f>
        <v>#N/A</v>
      </c>
      <c r="T876" s="755"/>
      <c r="U876" s="791"/>
      <c r="V876" s="784"/>
      <c r="W876" s="784"/>
      <c r="X876" s="784"/>
      <c r="Y876" s="784"/>
      <c r="Z876" s="965" t="str">
        <f>VLOOKUP(L876,اس!$S$3:$X$31,3,FALSE)</f>
        <v>.</v>
      </c>
    </row>
    <row r="877" spans="12:26" ht="18.75">
      <c r="L877" s="777">
        <v>5</v>
      </c>
      <c r="M877" s="906"/>
      <c r="N877" s="976">
        <v>0</v>
      </c>
      <c r="O877" s="1020">
        <v>824</v>
      </c>
      <c r="P877" s="860" t="e">
        <f>VLOOKUP(N877,etat!$A$9:$N$1004,2,FALSE)</f>
        <v>#N/A</v>
      </c>
      <c r="Q877" s="797" t="e">
        <f>VLOOKUP(N877,etat!$A$9:$N$963,7,FALSE)</f>
        <v>#N/A</v>
      </c>
      <c r="R877" s="905" t="e">
        <f>VLOOKUP(N877,etat!$A$9:$N$1003,9,FALSE)</f>
        <v>#N/A</v>
      </c>
      <c r="T877" s="755"/>
      <c r="U877" s="791"/>
      <c r="V877" s="784"/>
      <c r="W877" s="784"/>
      <c r="X877" s="784"/>
      <c r="Y877" s="784"/>
      <c r="Z877" s="965" t="str">
        <f>VLOOKUP(L877,اس!$S$3:$X$31,3,FALSE)</f>
        <v>.</v>
      </c>
    </row>
    <row r="878" spans="12:26" ht="18.75">
      <c r="L878" s="777">
        <v>5</v>
      </c>
      <c r="M878" s="906"/>
      <c r="N878" s="976">
        <v>0</v>
      </c>
      <c r="O878" s="1020">
        <v>825</v>
      </c>
      <c r="P878" s="860" t="e">
        <f>VLOOKUP(N878,etat!$A$9:$N$1004,2,FALSE)</f>
        <v>#N/A</v>
      </c>
      <c r="Q878" s="797" t="e">
        <f>VLOOKUP(N878,etat!$A$9:$N$963,7,FALSE)</f>
        <v>#N/A</v>
      </c>
      <c r="R878" s="905" t="e">
        <f>VLOOKUP(N878,etat!$A$9:$N$1003,9,FALSE)</f>
        <v>#N/A</v>
      </c>
      <c r="T878" s="755"/>
      <c r="U878" s="791"/>
      <c r="V878" s="784"/>
      <c r="W878" s="784"/>
      <c r="X878" s="784"/>
      <c r="Y878" s="784"/>
      <c r="Z878" s="965" t="str">
        <f>VLOOKUP(L878,اس!$S$3:$X$31,3,FALSE)</f>
        <v>.</v>
      </c>
    </row>
    <row r="879" spans="12:26" ht="18.75">
      <c r="L879" s="777">
        <v>5</v>
      </c>
      <c r="M879" s="906"/>
      <c r="N879" s="976">
        <v>0</v>
      </c>
      <c r="O879" s="1020">
        <v>826</v>
      </c>
      <c r="P879" s="860" t="e">
        <f>VLOOKUP(N879,etat!$A$9:$N$1004,2,FALSE)</f>
        <v>#N/A</v>
      </c>
      <c r="Q879" s="797" t="e">
        <f>VLOOKUP(N879,etat!$A$9:$N$963,7,FALSE)</f>
        <v>#N/A</v>
      </c>
      <c r="R879" s="905" t="e">
        <f>VLOOKUP(N879,etat!$A$9:$N$1003,9,FALSE)</f>
        <v>#N/A</v>
      </c>
      <c r="T879" s="755"/>
      <c r="U879" s="791"/>
      <c r="V879" s="784"/>
      <c r="W879" s="784"/>
      <c r="X879" s="784"/>
      <c r="Y879" s="784"/>
      <c r="Z879" s="965" t="str">
        <f>VLOOKUP(L879,اس!$S$3:$X$31,3,FALSE)</f>
        <v>.</v>
      </c>
    </row>
    <row r="880" spans="12:26" ht="18.75">
      <c r="L880" s="777">
        <v>5</v>
      </c>
      <c r="M880" s="906"/>
      <c r="N880" s="976">
        <v>0</v>
      </c>
      <c r="O880" s="1020">
        <v>827</v>
      </c>
      <c r="P880" s="860" t="e">
        <f>VLOOKUP(N880,etat!$A$9:$N$1004,2,FALSE)</f>
        <v>#N/A</v>
      </c>
      <c r="Q880" s="797" t="e">
        <f>VLOOKUP(N880,etat!$A$9:$N$963,7,FALSE)</f>
        <v>#N/A</v>
      </c>
      <c r="R880" s="905" t="e">
        <f>VLOOKUP(N880,etat!$A$9:$N$1003,9,FALSE)</f>
        <v>#N/A</v>
      </c>
      <c r="T880" s="755"/>
      <c r="U880" s="791"/>
      <c r="V880" s="784"/>
      <c r="W880" s="784"/>
      <c r="X880" s="784"/>
      <c r="Y880" s="784"/>
      <c r="Z880" s="965" t="str">
        <f>VLOOKUP(L880,اس!$S$3:$X$31,3,FALSE)</f>
        <v>.</v>
      </c>
    </row>
    <row r="881" spans="12:26" ht="18.75">
      <c r="L881" s="777">
        <v>5</v>
      </c>
      <c r="M881" s="906"/>
      <c r="N881" s="976">
        <v>0</v>
      </c>
      <c r="O881" s="1020">
        <v>828</v>
      </c>
      <c r="P881" s="860" t="e">
        <f>VLOOKUP(N881,etat!$A$9:$N$1004,2,FALSE)</f>
        <v>#N/A</v>
      </c>
      <c r="Q881" s="797" t="e">
        <f>VLOOKUP(N881,etat!$A$9:$N$963,7,FALSE)</f>
        <v>#N/A</v>
      </c>
      <c r="R881" s="905" t="e">
        <f>VLOOKUP(N881,etat!$A$9:$N$1003,9,FALSE)</f>
        <v>#N/A</v>
      </c>
      <c r="T881" s="755"/>
      <c r="U881" s="791"/>
      <c r="V881" s="784"/>
      <c r="W881" s="784"/>
      <c r="X881" s="784"/>
      <c r="Y881" s="784"/>
      <c r="Z881" s="965" t="str">
        <f>VLOOKUP(L881,اس!$S$3:$X$31,3,FALSE)</f>
        <v>.</v>
      </c>
    </row>
    <row r="882" spans="12:26" ht="18.75">
      <c r="L882" s="777">
        <v>5</v>
      </c>
      <c r="M882" s="906"/>
      <c r="N882" s="976">
        <v>0</v>
      </c>
      <c r="O882" s="1020">
        <v>829</v>
      </c>
      <c r="P882" s="860" t="e">
        <f>VLOOKUP(N882,etat!$A$9:$N$1004,2,FALSE)</f>
        <v>#N/A</v>
      </c>
      <c r="Q882" s="797" t="e">
        <f>VLOOKUP(N882,etat!$A$9:$N$963,7,FALSE)</f>
        <v>#N/A</v>
      </c>
      <c r="R882" s="905" t="e">
        <f>VLOOKUP(N882,etat!$A$9:$N$1003,9,FALSE)</f>
        <v>#N/A</v>
      </c>
      <c r="T882" s="755"/>
      <c r="U882" s="791"/>
      <c r="V882" s="784"/>
      <c r="W882" s="784"/>
      <c r="X882" s="784"/>
      <c r="Y882" s="784"/>
      <c r="Z882" s="965" t="str">
        <f>VLOOKUP(L882,اس!$S$3:$X$31,3,FALSE)</f>
        <v>.</v>
      </c>
    </row>
    <row r="883" spans="12:26" ht="18.75">
      <c r="L883" s="777">
        <v>5</v>
      </c>
      <c r="M883" s="906"/>
      <c r="N883" s="976">
        <v>0</v>
      </c>
      <c r="O883" s="1020">
        <v>830</v>
      </c>
      <c r="P883" s="860" t="e">
        <f>VLOOKUP(N883,etat!$A$9:$N$1004,2,FALSE)</f>
        <v>#N/A</v>
      </c>
      <c r="Q883" s="797" t="e">
        <f>VLOOKUP(N883,etat!$A$9:$N$963,7,FALSE)</f>
        <v>#N/A</v>
      </c>
      <c r="R883" s="905" t="e">
        <f>VLOOKUP(N883,etat!$A$9:$N$1003,9,FALSE)</f>
        <v>#N/A</v>
      </c>
      <c r="T883" s="755"/>
      <c r="U883" s="791"/>
      <c r="V883" s="784"/>
      <c r="W883" s="784"/>
      <c r="X883" s="784"/>
      <c r="Y883" s="784"/>
      <c r="Z883" s="965" t="str">
        <f>VLOOKUP(L883,اس!$S$3:$X$31,3,FALSE)</f>
        <v>.</v>
      </c>
    </row>
    <row r="884" spans="12:26" ht="18.75">
      <c r="L884" s="777">
        <v>5</v>
      </c>
      <c r="M884" s="906"/>
      <c r="N884" s="976">
        <v>0</v>
      </c>
      <c r="O884" s="1020">
        <v>831</v>
      </c>
      <c r="P884" s="860" t="e">
        <f>VLOOKUP(N884,etat!$A$9:$N$1004,2,FALSE)</f>
        <v>#N/A</v>
      </c>
      <c r="Q884" s="797" t="e">
        <f>VLOOKUP(N884,etat!$A$9:$N$963,7,FALSE)</f>
        <v>#N/A</v>
      </c>
      <c r="R884" s="905" t="e">
        <f>VLOOKUP(N884,etat!$A$9:$N$1003,9,FALSE)</f>
        <v>#N/A</v>
      </c>
      <c r="T884" s="755"/>
      <c r="U884" s="791"/>
      <c r="V884" s="784"/>
      <c r="W884" s="784"/>
      <c r="X884" s="784"/>
      <c r="Y884" s="784"/>
      <c r="Z884" s="965" t="str">
        <f>VLOOKUP(L884,اس!$S$3:$X$31,3,FALSE)</f>
        <v>.</v>
      </c>
    </row>
    <row r="885" spans="12:26" ht="18.75">
      <c r="L885" s="777">
        <v>5</v>
      </c>
      <c r="M885" s="906"/>
      <c r="N885" s="976">
        <v>0</v>
      </c>
      <c r="O885" s="1020">
        <v>832</v>
      </c>
      <c r="P885" s="860" t="e">
        <f>VLOOKUP(N885,etat!$A$9:$N$1004,2,FALSE)</f>
        <v>#N/A</v>
      </c>
      <c r="Q885" s="797" t="e">
        <f>VLOOKUP(N885,etat!$A$9:$N$963,7,FALSE)</f>
        <v>#N/A</v>
      </c>
      <c r="R885" s="905" t="e">
        <f>VLOOKUP(N885,etat!$A$9:$N$1003,9,FALSE)</f>
        <v>#N/A</v>
      </c>
      <c r="T885" s="755"/>
      <c r="U885" s="791"/>
      <c r="V885" s="784"/>
      <c r="W885" s="784"/>
      <c r="X885" s="784"/>
      <c r="Y885" s="784"/>
      <c r="Z885" s="965" t="str">
        <f>VLOOKUP(L885,اس!$S$3:$X$31,3,FALSE)</f>
        <v>.</v>
      </c>
    </row>
    <row r="886" spans="12:26" ht="18.75">
      <c r="L886" s="777">
        <v>5</v>
      </c>
      <c r="M886" s="906"/>
      <c r="N886" s="976">
        <v>0</v>
      </c>
      <c r="O886" s="1020">
        <v>833</v>
      </c>
      <c r="P886" s="860" t="e">
        <f>VLOOKUP(N886,etat!$A$9:$N$1004,2,FALSE)</f>
        <v>#N/A</v>
      </c>
      <c r="Q886" s="797" t="e">
        <f>VLOOKUP(N886,etat!$A$9:$N$963,7,FALSE)</f>
        <v>#N/A</v>
      </c>
      <c r="R886" s="905" t="e">
        <f>VLOOKUP(N886,etat!$A$9:$N$1003,9,FALSE)</f>
        <v>#N/A</v>
      </c>
      <c r="T886" s="755"/>
      <c r="U886" s="791"/>
      <c r="V886" s="784"/>
      <c r="W886" s="784"/>
      <c r="X886" s="784"/>
      <c r="Y886" s="784"/>
      <c r="Z886" s="965" t="str">
        <f>VLOOKUP(L886,اس!$S$3:$X$31,3,FALSE)</f>
        <v>.</v>
      </c>
    </row>
    <row r="887" spans="12:26" ht="18.75">
      <c r="L887" s="777">
        <v>5</v>
      </c>
      <c r="M887" s="906"/>
      <c r="N887" s="976">
        <v>0</v>
      </c>
      <c r="O887" s="1020">
        <v>834</v>
      </c>
      <c r="P887" s="860" t="e">
        <f>VLOOKUP(N887,etat!$A$9:$N$1004,2,FALSE)</f>
        <v>#N/A</v>
      </c>
      <c r="Q887" s="797" t="e">
        <f>VLOOKUP(N887,etat!$A$9:$N$963,7,FALSE)</f>
        <v>#N/A</v>
      </c>
      <c r="R887" s="905" t="e">
        <f>VLOOKUP(N887,etat!$A$9:$N$1003,9,FALSE)</f>
        <v>#N/A</v>
      </c>
      <c r="T887" s="755"/>
      <c r="U887" s="791"/>
      <c r="V887" s="784"/>
      <c r="W887" s="784"/>
      <c r="X887" s="784"/>
      <c r="Y887" s="784"/>
      <c r="Z887" s="965" t="str">
        <f>VLOOKUP(L887,اس!$S$3:$X$31,3,FALSE)</f>
        <v>.</v>
      </c>
    </row>
    <row r="888" spans="12:26" ht="18.75">
      <c r="L888" s="777">
        <v>5</v>
      </c>
      <c r="M888" s="906"/>
      <c r="N888" s="976">
        <v>0</v>
      </c>
      <c r="O888" s="1020">
        <v>835</v>
      </c>
      <c r="P888" s="860" t="e">
        <f>VLOOKUP(N888,etat!$A$9:$N$1004,2,FALSE)</f>
        <v>#N/A</v>
      </c>
      <c r="Q888" s="797" t="e">
        <f>VLOOKUP(N888,etat!$A$9:$N$963,7,FALSE)</f>
        <v>#N/A</v>
      </c>
      <c r="R888" s="905" t="e">
        <f>VLOOKUP(N888,etat!$A$9:$N$1003,9,FALSE)</f>
        <v>#N/A</v>
      </c>
      <c r="T888" s="755"/>
      <c r="U888" s="791"/>
      <c r="V888" s="784"/>
      <c r="W888" s="784"/>
      <c r="X888" s="784"/>
      <c r="Y888" s="784"/>
      <c r="Z888" s="965" t="str">
        <f>VLOOKUP(L888,اس!$S$3:$X$31,3,FALSE)</f>
        <v>.</v>
      </c>
    </row>
    <row r="889" spans="12:26" ht="18.75">
      <c r="L889" s="777">
        <v>5</v>
      </c>
      <c r="M889" s="906"/>
      <c r="N889" s="976">
        <v>0</v>
      </c>
      <c r="O889" s="1020">
        <v>836</v>
      </c>
      <c r="P889" s="860" t="e">
        <f>VLOOKUP(N889,etat!$A$9:$N$1004,2,FALSE)</f>
        <v>#N/A</v>
      </c>
      <c r="Q889" s="797" t="e">
        <f>VLOOKUP(N889,etat!$A$9:$N$963,7,FALSE)</f>
        <v>#N/A</v>
      </c>
      <c r="R889" s="905" t="e">
        <f>VLOOKUP(N889,etat!$A$9:$N$1003,9,FALSE)</f>
        <v>#N/A</v>
      </c>
      <c r="T889" s="755"/>
      <c r="U889" s="791"/>
      <c r="V889" s="784"/>
      <c r="W889" s="784"/>
      <c r="X889" s="784"/>
      <c r="Y889" s="784"/>
      <c r="Z889" s="965" t="str">
        <f>VLOOKUP(L889,اس!$S$3:$X$31,3,FALSE)</f>
        <v>.</v>
      </c>
    </row>
    <row r="890" spans="12:26" ht="18.75">
      <c r="L890" s="777">
        <v>5</v>
      </c>
      <c r="M890" s="906"/>
      <c r="N890" s="976">
        <v>0</v>
      </c>
      <c r="O890" s="1020">
        <v>837</v>
      </c>
      <c r="P890" s="860" t="e">
        <f>VLOOKUP(N890,etat!$A$9:$N$1004,2,FALSE)</f>
        <v>#N/A</v>
      </c>
      <c r="Q890" s="797" t="e">
        <f>VLOOKUP(N890,etat!$A$9:$N$963,7,FALSE)</f>
        <v>#N/A</v>
      </c>
      <c r="R890" s="905" t="e">
        <f>VLOOKUP(N890,etat!$A$9:$N$1003,9,FALSE)</f>
        <v>#N/A</v>
      </c>
      <c r="T890" s="755"/>
      <c r="U890" s="791"/>
      <c r="V890" s="784"/>
      <c r="W890" s="784"/>
      <c r="X890" s="784"/>
      <c r="Y890" s="784"/>
      <c r="Z890" s="965" t="str">
        <f>VLOOKUP(L890,اس!$S$3:$X$31,3,FALSE)</f>
        <v>.</v>
      </c>
    </row>
    <row r="891" spans="12:26" ht="18.75">
      <c r="L891" s="777">
        <v>5</v>
      </c>
      <c r="M891" s="906"/>
      <c r="N891" s="976">
        <v>0</v>
      </c>
      <c r="O891" s="1020">
        <v>838</v>
      </c>
      <c r="P891" s="860" t="e">
        <f>VLOOKUP(N891,etat!$A$9:$N$1004,2,FALSE)</f>
        <v>#N/A</v>
      </c>
      <c r="Q891" s="797" t="e">
        <f>VLOOKUP(N891,etat!$A$9:$N$963,7,FALSE)</f>
        <v>#N/A</v>
      </c>
      <c r="R891" s="905" t="e">
        <f>VLOOKUP(N891,etat!$A$9:$N$1003,9,FALSE)</f>
        <v>#N/A</v>
      </c>
      <c r="T891" s="755"/>
      <c r="U891" s="791"/>
      <c r="V891" s="784"/>
      <c r="W891" s="784"/>
      <c r="X891" s="784"/>
      <c r="Y891" s="784"/>
      <c r="Z891" s="965" t="str">
        <f>VLOOKUP(L891,اس!$S$3:$X$31,3,FALSE)</f>
        <v>.</v>
      </c>
    </row>
    <row r="892" spans="12:26" ht="18.75">
      <c r="L892" s="777">
        <v>5</v>
      </c>
      <c r="M892" s="906"/>
      <c r="N892" s="976">
        <v>0</v>
      </c>
      <c r="O892" s="1020">
        <v>839</v>
      </c>
      <c r="P892" s="860" t="e">
        <f>VLOOKUP(N892,etat!$A$9:$N$1004,2,FALSE)</f>
        <v>#N/A</v>
      </c>
      <c r="Q892" s="797" t="e">
        <f>VLOOKUP(N892,etat!$A$9:$N$963,7,FALSE)</f>
        <v>#N/A</v>
      </c>
      <c r="R892" s="905" t="e">
        <f>VLOOKUP(N892,etat!$A$9:$N$1003,9,FALSE)</f>
        <v>#N/A</v>
      </c>
      <c r="T892" s="755"/>
      <c r="U892" s="791"/>
      <c r="V892" s="784"/>
      <c r="W892" s="784"/>
      <c r="X892" s="784"/>
      <c r="Y892" s="784"/>
      <c r="Z892" s="965" t="str">
        <f>VLOOKUP(L892,اس!$S$3:$X$31,3,FALSE)</f>
        <v>.</v>
      </c>
    </row>
    <row r="893" spans="12:26" ht="18.75">
      <c r="L893" s="777">
        <v>5</v>
      </c>
      <c r="M893" s="906"/>
      <c r="N893" s="976">
        <v>0</v>
      </c>
      <c r="O893" s="1020">
        <v>840</v>
      </c>
      <c r="P893" s="860" t="e">
        <f>VLOOKUP(N893,etat!$A$9:$N$1004,2,FALSE)</f>
        <v>#N/A</v>
      </c>
      <c r="Q893" s="797" t="e">
        <f>VLOOKUP(N893,etat!$A$9:$N$963,7,FALSE)</f>
        <v>#N/A</v>
      </c>
      <c r="R893" s="905" t="e">
        <f>VLOOKUP(N893,etat!$A$9:$N$1003,9,FALSE)</f>
        <v>#N/A</v>
      </c>
      <c r="T893" s="755"/>
      <c r="U893" s="791"/>
      <c r="V893" s="784"/>
      <c r="W893" s="784"/>
      <c r="X893" s="784"/>
      <c r="Y893" s="784"/>
      <c r="Z893" s="965" t="str">
        <f>VLOOKUP(L893,اس!$S$3:$X$31,3,FALSE)</f>
        <v>.</v>
      </c>
    </row>
    <row r="894" spans="12:26" ht="18.75">
      <c r="L894" s="777">
        <v>5</v>
      </c>
      <c r="M894" s="906"/>
      <c r="N894" s="976">
        <v>0</v>
      </c>
      <c r="O894" s="1020">
        <v>841</v>
      </c>
      <c r="P894" s="860" t="e">
        <f>VLOOKUP(N894,etat!$A$9:$N$1004,2,FALSE)</f>
        <v>#N/A</v>
      </c>
      <c r="Q894" s="797" t="e">
        <f>VLOOKUP(N894,etat!$A$9:$N$963,7,FALSE)</f>
        <v>#N/A</v>
      </c>
      <c r="R894" s="905" t="e">
        <f>VLOOKUP(N894,etat!$A$9:$N$1003,9,FALSE)</f>
        <v>#N/A</v>
      </c>
      <c r="T894" s="755"/>
      <c r="U894" s="791"/>
      <c r="V894" s="784"/>
      <c r="W894" s="784"/>
      <c r="X894" s="784"/>
      <c r="Y894" s="784"/>
      <c r="Z894" s="965" t="str">
        <f>VLOOKUP(L894,اس!$S$3:$X$31,3,FALSE)</f>
        <v>.</v>
      </c>
    </row>
    <row r="895" spans="12:26" ht="18.75">
      <c r="L895" s="777">
        <v>5</v>
      </c>
      <c r="M895" s="906"/>
      <c r="N895" s="976">
        <v>0</v>
      </c>
      <c r="O895" s="1020">
        <v>842</v>
      </c>
      <c r="P895" s="860" t="e">
        <f>VLOOKUP(N895,etat!$A$9:$N$1004,2,FALSE)</f>
        <v>#N/A</v>
      </c>
      <c r="Q895" s="797" t="e">
        <f>VLOOKUP(N895,etat!$A$9:$N$963,7,FALSE)</f>
        <v>#N/A</v>
      </c>
      <c r="R895" s="905" t="e">
        <f>VLOOKUP(N895,etat!$A$9:$N$1003,9,FALSE)</f>
        <v>#N/A</v>
      </c>
      <c r="T895" s="755"/>
      <c r="U895" s="791"/>
      <c r="V895" s="784"/>
      <c r="W895" s="784"/>
      <c r="X895" s="784"/>
      <c r="Y895" s="784"/>
      <c r="Z895" s="965" t="str">
        <f>VLOOKUP(L895,اس!$S$3:$X$31,3,FALSE)</f>
        <v>.</v>
      </c>
    </row>
    <row r="896" spans="12:26" ht="18.75">
      <c r="L896" s="777">
        <v>5</v>
      </c>
      <c r="M896" s="906"/>
      <c r="N896" s="976">
        <v>0</v>
      </c>
      <c r="O896" s="1020">
        <v>843</v>
      </c>
      <c r="P896" s="860" t="e">
        <f>VLOOKUP(N896,etat!$A$9:$N$1004,2,FALSE)</f>
        <v>#N/A</v>
      </c>
      <c r="Q896" s="797" t="e">
        <f>VLOOKUP(N896,etat!$A$9:$N$963,7,FALSE)</f>
        <v>#N/A</v>
      </c>
      <c r="R896" s="905" t="e">
        <f>VLOOKUP(N896,etat!$A$9:$N$1003,9,FALSE)</f>
        <v>#N/A</v>
      </c>
      <c r="T896" s="755"/>
      <c r="U896" s="791"/>
      <c r="V896" s="784"/>
      <c r="W896" s="784"/>
      <c r="X896" s="784"/>
      <c r="Y896" s="784"/>
      <c r="Z896" s="965" t="str">
        <f>VLOOKUP(L896,اس!$S$3:$X$31,3,FALSE)</f>
        <v>.</v>
      </c>
    </row>
    <row r="897" spans="12:26" ht="18.75">
      <c r="L897" s="777">
        <v>5</v>
      </c>
      <c r="M897" s="906"/>
      <c r="N897" s="976">
        <v>0</v>
      </c>
      <c r="O897" s="1020">
        <v>844</v>
      </c>
      <c r="P897" s="860" t="e">
        <f>VLOOKUP(N897,etat!$A$9:$N$1004,2,FALSE)</f>
        <v>#N/A</v>
      </c>
      <c r="Q897" s="797" t="e">
        <f>VLOOKUP(N897,etat!$A$9:$N$963,7,FALSE)</f>
        <v>#N/A</v>
      </c>
      <c r="R897" s="905" t="e">
        <f>VLOOKUP(N897,etat!$A$9:$N$1003,9,FALSE)</f>
        <v>#N/A</v>
      </c>
      <c r="T897" s="755"/>
      <c r="U897" s="791"/>
      <c r="V897" s="784"/>
      <c r="W897" s="784"/>
      <c r="X897" s="784"/>
      <c r="Y897" s="784"/>
      <c r="Z897" s="965" t="str">
        <f>VLOOKUP(L897,اس!$S$3:$X$31,3,FALSE)</f>
        <v>.</v>
      </c>
    </row>
    <row r="898" spans="12:26" ht="18.75">
      <c r="L898" s="777">
        <v>5</v>
      </c>
      <c r="M898" s="906"/>
      <c r="N898" s="976">
        <v>0</v>
      </c>
      <c r="O898" s="1020">
        <v>845</v>
      </c>
      <c r="P898" s="860" t="e">
        <f>VLOOKUP(N898,etat!$A$9:$N$1004,2,FALSE)</f>
        <v>#N/A</v>
      </c>
      <c r="Q898" s="797" t="e">
        <f>VLOOKUP(N898,etat!$A$9:$N$963,7,FALSE)</f>
        <v>#N/A</v>
      </c>
      <c r="R898" s="905" t="e">
        <f>VLOOKUP(N898,etat!$A$9:$N$1003,9,FALSE)</f>
        <v>#N/A</v>
      </c>
      <c r="T898" s="755"/>
      <c r="U898" s="791"/>
      <c r="V898" s="784"/>
      <c r="W898" s="784"/>
      <c r="X898" s="784"/>
      <c r="Y898" s="784"/>
      <c r="Z898" s="965" t="str">
        <f>VLOOKUP(L898,اس!$S$3:$X$31,3,FALSE)</f>
        <v>.</v>
      </c>
    </row>
    <row r="899" spans="12:26" ht="18.75">
      <c r="L899" s="777">
        <v>5</v>
      </c>
      <c r="M899" s="906"/>
      <c r="N899" s="976">
        <v>0</v>
      </c>
      <c r="O899" s="1020">
        <v>846</v>
      </c>
      <c r="P899" s="860" t="e">
        <f>VLOOKUP(N899,etat!$A$9:$N$1004,2,FALSE)</f>
        <v>#N/A</v>
      </c>
      <c r="Q899" s="797" t="e">
        <f>VLOOKUP(N899,etat!$A$9:$N$963,7,FALSE)</f>
        <v>#N/A</v>
      </c>
      <c r="R899" s="905" t="e">
        <f>VLOOKUP(N899,etat!$A$9:$N$1003,9,FALSE)</f>
        <v>#N/A</v>
      </c>
      <c r="T899" s="755"/>
      <c r="U899" s="791"/>
      <c r="V899" s="784"/>
      <c r="W899" s="784"/>
      <c r="X899" s="784"/>
      <c r="Y899" s="784"/>
      <c r="Z899" s="965" t="str">
        <f>VLOOKUP(L899,اس!$S$3:$X$31,3,FALSE)</f>
        <v>.</v>
      </c>
    </row>
    <row r="900" spans="12:26" ht="18.75">
      <c r="L900" s="777">
        <v>5</v>
      </c>
      <c r="M900" s="906"/>
      <c r="N900" s="976">
        <v>0</v>
      </c>
      <c r="O900" s="1020">
        <v>847</v>
      </c>
      <c r="P900" s="860" t="e">
        <f>VLOOKUP(N900,etat!$A$9:$N$1004,2,FALSE)</f>
        <v>#N/A</v>
      </c>
      <c r="Q900" s="797" t="e">
        <f>VLOOKUP(N900,etat!$A$9:$N$963,7,FALSE)</f>
        <v>#N/A</v>
      </c>
      <c r="R900" s="905" t="e">
        <f>VLOOKUP(N900,etat!$A$9:$N$1003,9,FALSE)</f>
        <v>#N/A</v>
      </c>
      <c r="T900" s="755"/>
      <c r="U900" s="791"/>
      <c r="V900" s="784"/>
      <c r="W900" s="784"/>
      <c r="X900" s="784"/>
      <c r="Y900" s="784"/>
      <c r="Z900" s="965" t="str">
        <f>VLOOKUP(L900,اس!$S$3:$X$31,3,FALSE)</f>
        <v>.</v>
      </c>
    </row>
    <row r="901" spans="12:26" ht="18.75">
      <c r="L901" s="777">
        <v>5</v>
      </c>
      <c r="M901" s="906"/>
      <c r="N901" s="976">
        <v>0</v>
      </c>
      <c r="O901" s="1020">
        <v>848</v>
      </c>
      <c r="P901" s="860" t="e">
        <f>VLOOKUP(N901,etat!$A$9:$N$1004,2,FALSE)</f>
        <v>#N/A</v>
      </c>
      <c r="Q901" s="797" t="e">
        <f>VLOOKUP(N901,etat!$A$9:$N$963,7,FALSE)</f>
        <v>#N/A</v>
      </c>
      <c r="R901" s="905" t="e">
        <f>VLOOKUP(N901,etat!$A$9:$N$1003,9,FALSE)</f>
        <v>#N/A</v>
      </c>
      <c r="T901" s="755"/>
      <c r="U901" s="791"/>
      <c r="V901" s="784"/>
      <c r="W901" s="784"/>
      <c r="X901" s="784"/>
      <c r="Y901" s="784"/>
      <c r="Z901" s="965" t="str">
        <f>VLOOKUP(L901,اس!$S$3:$X$31,3,FALSE)</f>
        <v>.</v>
      </c>
    </row>
    <row r="902" spans="12:26" ht="18.75">
      <c r="L902" s="777">
        <v>5</v>
      </c>
      <c r="M902" s="906"/>
      <c r="N902" s="976">
        <v>0</v>
      </c>
      <c r="O902" s="1020">
        <v>849</v>
      </c>
      <c r="P902" s="860" t="e">
        <f>VLOOKUP(N902,etat!$A$9:$N$1004,2,FALSE)</f>
        <v>#N/A</v>
      </c>
      <c r="Q902" s="797" t="e">
        <f>VLOOKUP(N902,etat!$A$9:$N$963,7,FALSE)</f>
        <v>#N/A</v>
      </c>
      <c r="R902" s="905" t="e">
        <f>VLOOKUP(N902,etat!$A$9:$N$1003,9,FALSE)</f>
        <v>#N/A</v>
      </c>
      <c r="T902" s="755"/>
      <c r="U902" s="791"/>
      <c r="V902" s="784"/>
      <c r="W902" s="784"/>
      <c r="X902" s="784"/>
      <c r="Y902" s="784"/>
      <c r="Z902" s="965" t="str">
        <f>VLOOKUP(L902,اس!$S$3:$X$31,3,FALSE)</f>
        <v>.</v>
      </c>
    </row>
    <row r="903" spans="12:26" ht="18.75">
      <c r="L903" s="777">
        <v>5</v>
      </c>
      <c r="M903" s="906"/>
      <c r="N903" s="976">
        <v>0</v>
      </c>
      <c r="O903" s="1020">
        <v>850</v>
      </c>
      <c r="P903" s="860" t="e">
        <f>VLOOKUP(N903,etat!$A$9:$N$1004,2,FALSE)</f>
        <v>#N/A</v>
      </c>
      <c r="Q903" s="797" t="e">
        <f>VLOOKUP(N903,etat!$A$9:$N$963,7,FALSE)</f>
        <v>#N/A</v>
      </c>
      <c r="R903" s="905" t="e">
        <f>VLOOKUP(N903,etat!$A$9:$N$1003,9,FALSE)</f>
        <v>#N/A</v>
      </c>
      <c r="T903" s="755"/>
      <c r="U903" s="791"/>
      <c r="V903" s="784"/>
      <c r="W903" s="784"/>
      <c r="X903" s="784"/>
      <c r="Y903" s="784"/>
      <c r="Z903" s="965" t="str">
        <f>VLOOKUP(L903,اس!$S$3:$X$31,3,FALSE)</f>
        <v>.</v>
      </c>
    </row>
    <row r="904" spans="12:26" ht="18.75">
      <c r="L904" s="777">
        <v>5</v>
      </c>
      <c r="M904" s="906"/>
      <c r="N904" s="976">
        <v>0</v>
      </c>
      <c r="O904" s="1020">
        <v>851</v>
      </c>
      <c r="P904" s="860" t="e">
        <f>VLOOKUP(N904,etat!$A$9:$N$1004,2,FALSE)</f>
        <v>#N/A</v>
      </c>
      <c r="Q904" s="797" t="e">
        <f>VLOOKUP(N904,etat!$A$9:$N$963,7,FALSE)</f>
        <v>#N/A</v>
      </c>
      <c r="R904" s="905" t="e">
        <f>VLOOKUP(N904,etat!$A$9:$N$1003,9,FALSE)</f>
        <v>#N/A</v>
      </c>
      <c r="T904" s="755"/>
      <c r="U904" s="791"/>
      <c r="V904" s="784"/>
      <c r="W904" s="784"/>
      <c r="X904" s="784"/>
      <c r="Y904" s="784"/>
      <c r="Z904" s="965" t="str">
        <f>VLOOKUP(L904,اس!$S$3:$X$31,3,FALSE)</f>
        <v>.</v>
      </c>
    </row>
    <row r="905" spans="12:26" ht="18.75">
      <c r="L905" s="777">
        <v>5</v>
      </c>
      <c r="M905" s="906"/>
      <c r="N905" s="976">
        <v>0</v>
      </c>
      <c r="O905" s="1020">
        <v>852</v>
      </c>
      <c r="P905" s="860" t="e">
        <f>VLOOKUP(N905,etat!$A$9:$N$1004,2,FALSE)</f>
        <v>#N/A</v>
      </c>
      <c r="Q905" s="797" t="e">
        <f>VLOOKUP(N905,etat!$A$9:$N$963,7,FALSE)</f>
        <v>#N/A</v>
      </c>
      <c r="R905" s="905" t="e">
        <f>VLOOKUP(N905,etat!$A$9:$N$1003,9,FALSE)</f>
        <v>#N/A</v>
      </c>
      <c r="T905" s="755"/>
      <c r="U905" s="791"/>
      <c r="V905" s="784"/>
      <c r="W905" s="784"/>
      <c r="X905" s="784"/>
      <c r="Y905" s="784"/>
      <c r="Z905" s="965" t="str">
        <f>VLOOKUP(L905,اس!$S$3:$X$31,3,FALSE)</f>
        <v>.</v>
      </c>
    </row>
    <row r="906" spans="12:26" ht="18.75">
      <c r="L906" s="777">
        <v>5</v>
      </c>
      <c r="M906" s="906"/>
      <c r="N906" s="976">
        <v>0</v>
      </c>
      <c r="O906" s="1020">
        <v>853</v>
      </c>
      <c r="P906" s="860" t="e">
        <f>VLOOKUP(N906,etat!$A$9:$N$1004,2,FALSE)</f>
        <v>#N/A</v>
      </c>
      <c r="Q906" s="797" t="e">
        <f>VLOOKUP(N906,etat!$A$9:$N$963,7,FALSE)</f>
        <v>#N/A</v>
      </c>
      <c r="R906" s="905" t="e">
        <f>VLOOKUP(N906,etat!$A$9:$N$1003,9,FALSE)</f>
        <v>#N/A</v>
      </c>
      <c r="T906" s="755"/>
      <c r="U906" s="791"/>
      <c r="V906" s="784"/>
      <c r="W906" s="784"/>
      <c r="X906" s="784"/>
      <c r="Y906" s="784"/>
      <c r="Z906" s="965" t="str">
        <f>VLOOKUP(L906,اس!$S$3:$X$31,3,FALSE)</f>
        <v>.</v>
      </c>
    </row>
    <row r="907" spans="12:26" ht="18.75">
      <c r="L907" s="777">
        <v>5</v>
      </c>
      <c r="M907" s="906"/>
      <c r="N907" s="976">
        <v>0</v>
      </c>
      <c r="O907" s="1020">
        <v>854</v>
      </c>
      <c r="P907" s="860" t="e">
        <f>VLOOKUP(N907,etat!$A$9:$N$1004,2,FALSE)</f>
        <v>#N/A</v>
      </c>
      <c r="Q907" s="797" t="e">
        <f>VLOOKUP(N907,etat!$A$9:$N$963,7,FALSE)</f>
        <v>#N/A</v>
      </c>
      <c r="R907" s="905" t="e">
        <f>VLOOKUP(N907,etat!$A$9:$N$1003,9,FALSE)</f>
        <v>#N/A</v>
      </c>
      <c r="T907" s="755"/>
      <c r="U907" s="791"/>
      <c r="V907" s="784"/>
      <c r="W907" s="784"/>
      <c r="X907" s="784"/>
      <c r="Y907" s="784"/>
      <c r="Z907" s="965" t="str">
        <f>VLOOKUP(L907,اس!$S$3:$X$31,3,FALSE)</f>
        <v>.</v>
      </c>
    </row>
    <row r="908" spans="12:26" ht="18.75">
      <c r="L908" s="777">
        <v>5</v>
      </c>
      <c r="M908" s="906"/>
      <c r="N908" s="976">
        <v>0</v>
      </c>
      <c r="O908" s="1020">
        <v>855</v>
      </c>
      <c r="P908" s="860" t="e">
        <f>VLOOKUP(N908,etat!$A$9:$N$1004,2,FALSE)</f>
        <v>#N/A</v>
      </c>
      <c r="Q908" s="797" t="e">
        <f>VLOOKUP(N908,etat!$A$9:$N$963,7,FALSE)</f>
        <v>#N/A</v>
      </c>
      <c r="R908" s="905" t="e">
        <f>VLOOKUP(N908,etat!$A$9:$N$1003,9,FALSE)</f>
        <v>#N/A</v>
      </c>
      <c r="T908" s="755"/>
      <c r="U908" s="791"/>
      <c r="V908" s="784"/>
      <c r="W908" s="784"/>
      <c r="X908" s="784"/>
      <c r="Y908" s="784"/>
      <c r="Z908" s="965" t="str">
        <f>VLOOKUP(L908,اس!$S$3:$X$31,3,FALSE)</f>
        <v>.</v>
      </c>
    </row>
    <row r="909" spans="12:26" ht="18.75">
      <c r="L909" s="777">
        <v>5</v>
      </c>
      <c r="M909" s="906"/>
      <c r="N909" s="976">
        <v>0</v>
      </c>
      <c r="O909" s="1020">
        <v>856</v>
      </c>
      <c r="P909" s="860" t="e">
        <f>VLOOKUP(N909,etat!$A$9:$N$1004,2,FALSE)</f>
        <v>#N/A</v>
      </c>
      <c r="Q909" s="797" t="e">
        <f>VLOOKUP(N909,etat!$A$9:$N$963,7,FALSE)</f>
        <v>#N/A</v>
      </c>
      <c r="R909" s="905" t="e">
        <f>VLOOKUP(N909,etat!$A$9:$N$1003,9,FALSE)</f>
        <v>#N/A</v>
      </c>
      <c r="T909" s="755"/>
      <c r="U909" s="791"/>
      <c r="V909" s="784"/>
      <c r="W909" s="784"/>
      <c r="X909" s="784"/>
      <c r="Y909" s="784"/>
      <c r="Z909" s="965" t="str">
        <f>VLOOKUP(L909,اس!$S$3:$X$31,3,FALSE)</f>
        <v>.</v>
      </c>
    </row>
    <row r="910" spans="12:26" ht="18.75">
      <c r="L910" s="777">
        <v>5</v>
      </c>
      <c r="M910" s="906"/>
      <c r="N910" s="976">
        <v>0</v>
      </c>
      <c r="O910" s="1020">
        <v>857</v>
      </c>
      <c r="P910" s="860" t="e">
        <f>VLOOKUP(N910,etat!$A$9:$N$1004,2,FALSE)</f>
        <v>#N/A</v>
      </c>
      <c r="Q910" s="797" t="e">
        <f>VLOOKUP(N910,etat!$A$9:$N$963,7,FALSE)</f>
        <v>#N/A</v>
      </c>
      <c r="R910" s="905" t="e">
        <f>VLOOKUP(N910,etat!$A$9:$N$1003,9,FALSE)</f>
        <v>#N/A</v>
      </c>
      <c r="T910" s="755"/>
      <c r="U910" s="791"/>
      <c r="V910" s="784"/>
      <c r="W910" s="784"/>
      <c r="X910" s="784"/>
      <c r="Y910" s="784"/>
      <c r="Z910" s="965" t="str">
        <f>VLOOKUP(L910,اس!$S$3:$X$31,3,FALSE)</f>
        <v>.</v>
      </c>
    </row>
    <row r="911" spans="12:26" ht="18.75">
      <c r="L911" s="777">
        <v>5</v>
      </c>
      <c r="M911" s="906"/>
      <c r="N911" s="976">
        <v>0</v>
      </c>
      <c r="O911" s="1020">
        <v>858</v>
      </c>
      <c r="P911" s="860" t="e">
        <f>VLOOKUP(N911,etat!$A$9:$N$1004,2,FALSE)</f>
        <v>#N/A</v>
      </c>
      <c r="Q911" s="797" t="e">
        <f>VLOOKUP(N911,etat!$A$9:$N$963,7,FALSE)</f>
        <v>#N/A</v>
      </c>
      <c r="R911" s="905" t="e">
        <f>VLOOKUP(N911,etat!$A$9:$N$1003,9,FALSE)</f>
        <v>#N/A</v>
      </c>
      <c r="T911" s="755"/>
      <c r="U911" s="791"/>
      <c r="V911" s="784"/>
      <c r="W911" s="784"/>
      <c r="X911" s="784"/>
      <c r="Y911" s="784"/>
      <c r="Z911" s="965" t="str">
        <f>VLOOKUP(L911,اس!$S$3:$X$31,3,FALSE)</f>
        <v>.</v>
      </c>
    </row>
    <row r="912" spans="12:26" ht="18.75">
      <c r="L912" s="777">
        <v>5</v>
      </c>
      <c r="M912" s="906"/>
      <c r="N912" s="976">
        <v>0</v>
      </c>
      <c r="O912" s="1020">
        <v>859</v>
      </c>
      <c r="P912" s="860" t="e">
        <f>VLOOKUP(N912,etat!$A$9:$N$1004,2,FALSE)</f>
        <v>#N/A</v>
      </c>
      <c r="Q912" s="797" t="e">
        <f>VLOOKUP(N912,etat!$A$9:$N$963,7,FALSE)</f>
        <v>#N/A</v>
      </c>
      <c r="R912" s="905" t="e">
        <f>VLOOKUP(N912,etat!$A$9:$N$1003,9,FALSE)</f>
        <v>#N/A</v>
      </c>
      <c r="T912" s="755"/>
      <c r="U912" s="791"/>
      <c r="V912" s="784"/>
      <c r="W912" s="784"/>
      <c r="X912" s="784"/>
      <c r="Y912" s="784"/>
      <c r="Z912" s="965" t="str">
        <f>VLOOKUP(L912,اس!$S$3:$X$31,3,FALSE)</f>
        <v>.</v>
      </c>
    </row>
    <row r="913" spans="12:26" ht="18.75">
      <c r="L913" s="777">
        <v>5</v>
      </c>
      <c r="M913" s="906"/>
      <c r="N913" s="976">
        <v>0</v>
      </c>
      <c r="O913" s="1020">
        <v>860</v>
      </c>
      <c r="P913" s="860" t="e">
        <f>VLOOKUP(N913,etat!$A$9:$N$1004,2,FALSE)</f>
        <v>#N/A</v>
      </c>
      <c r="Q913" s="797" t="e">
        <f>VLOOKUP(N913,etat!$A$9:$N$963,7,FALSE)</f>
        <v>#N/A</v>
      </c>
      <c r="R913" s="905" t="e">
        <f>VLOOKUP(N913,etat!$A$9:$N$1003,9,FALSE)</f>
        <v>#N/A</v>
      </c>
      <c r="T913" s="755"/>
      <c r="U913" s="791"/>
      <c r="V913" s="784"/>
      <c r="W913" s="784"/>
      <c r="X913" s="784"/>
      <c r="Y913" s="784"/>
      <c r="Z913" s="965" t="str">
        <f>VLOOKUP(L913,اس!$S$3:$X$31,3,FALSE)</f>
        <v>.</v>
      </c>
    </row>
    <row r="914" spans="12:26" ht="18.75">
      <c r="L914" s="777">
        <v>5</v>
      </c>
      <c r="M914" s="906"/>
      <c r="N914" s="976">
        <v>0</v>
      </c>
      <c r="O914" s="1020">
        <v>861</v>
      </c>
      <c r="P914" s="860" t="e">
        <f>VLOOKUP(N914,etat!$A$9:$N$1004,2,FALSE)</f>
        <v>#N/A</v>
      </c>
      <c r="Q914" s="797" t="e">
        <f>VLOOKUP(N914,etat!$A$9:$N$963,7,FALSE)</f>
        <v>#N/A</v>
      </c>
      <c r="R914" s="905" t="e">
        <f>VLOOKUP(N914,etat!$A$9:$N$1003,9,FALSE)</f>
        <v>#N/A</v>
      </c>
      <c r="T914" s="755"/>
      <c r="U914" s="791"/>
      <c r="V914" s="784"/>
      <c r="W914" s="784"/>
      <c r="X914" s="784"/>
      <c r="Y914" s="784"/>
      <c r="Z914" s="965" t="str">
        <f>VLOOKUP(L914,اس!$S$3:$X$31,3,FALSE)</f>
        <v>.</v>
      </c>
    </row>
    <row r="915" spans="12:26" ht="18.75">
      <c r="L915" s="777">
        <v>5</v>
      </c>
      <c r="M915" s="906"/>
      <c r="N915" s="976">
        <v>0</v>
      </c>
      <c r="O915" s="1020">
        <v>862</v>
      </c>
      <c r="P915" s="860" t="e">
        <f>VLOOKUP(N915,etat!$A$9:$N$1004,2,FALSE)</f>
        <v>#N/A</v>
      </c>
      <c r="Q915" s="797" t="e">
        <f>VLOOKUP(N915,etat!$A$9:$N$963,7,FALSE)</f>
        <v>#N/A</v>
      </c>
      <c r="R915" s="905" t="e">
        <f>VLOOKUP(N915,etat!$A$9:$N$1003,9,FALSE)</f>
        <v>#N/A</v>
      </c>
      <c r="T915" s="755"/>
      <c r="U915" s="791"/>
      <c r="V915" s="784"/>
      <c r="W915" s="784"/>
      <c r="X915" s="784"/>
      <c r="Y915" s="784"/>
      <c r="Z915" s="965" t="str">
        <f>VLOOKUP(L915,اس!$S$3:$X$31,3,FALSE)</f>
        <v>.</v>
      </c>
    </row>
    <row r="916" spans="12:26" ht="18.75">
      <c r="L916" s="777">
        <v>5</v>
      </c>
      <c r="M916" s="906"/>
      <c r="N916" s="976">
        <v>0</v>
      </c>
      <c r="O916" s="1020">
        <v>863</v>
      </c>
      <c r="P916" s="860" t="e">
        <f>VLOOKUP(N916,etat!$A$9:$N$1004,2,FALSE)</f>
        <v>#N/A</v>
      </c>
      <c r="Q916" s="797" t="e">
        <f>VLOOKUP(N916,etat!$A$9:$N$963,7,FALSE)</f>
        <v>#N/A</v>
      </c>
      <c r="R916" s="905" t="e">
        <f>VLOOKUP(N916,etat!$A$9:$N$1003,9,FALSE)</f>
        <v>#N/A</v>
      </c>
      <c r="T916" s="755"/>
      <c r="U916" s="791"/>
      <c r="V916" s="784"/>
      <c r="W916" s="784"/>
      <c r="X916" s="784"/>
      <c r="Y916" s="784"/>
      <c r="Z916" s="965" t="str">
        <f>VLOOKUP(L916,اس!$S$3:$X$31,3,FALSE)</f>
        <v>.</v>
      </c>
    </row>
    <row r="917" spans="12:26" ht="18.75">
      <c r="L917" s="777">
        <v>5</v>
      </c>
      <c r="M917" s="906"/>
      <c r="N917" s="976">
        <v>0</v>
      </c>
      <c r="O917" s="1020">
        <v>864</v>
      </c>
      <c r="P917" s="860" t="e">
        <f>VLOOKUP(N917,etat!$A$9:$N$1004,2,FALSE)</f>
        <v>#N/A</v>
      </c>
      <c r="Q917" s="797" t="e">
        <f>VLOOKUP(N917,etat!$A$9:$N$963,7,FALSE)</f>
        <v>#N/A</v>
      </c>
      <c r="R917" s="905" t="e">
        <f>VLOOKUP(N917,etat!$A$9:$N$1003,9,FALSE)</f>
        <v>#N/A</v>
      </c>
      <c r="T917" s="755"/>
      <c r="U917" s="791"/>
      <c r="V917" s="784"/>
      <c r="W917" s="784"/>
      <c r="X917" s="784"/>
      <c r="Y917" s="784"/>
      <c r="Z917" s="965" t="str">
        <f>VLOOKUP(L917,اس!$S$3:$X$31,3,FALSE)</f>
        <v>.</v>
      </c>
    </row>
    <row r="918" spans="12:26" ht="18.75">
      <c r="L918" s="777">
        <v>5</v>
      </c>
      <c r="M918" s="906"/>
      <c r="N918" s="976">
        <v>0</v>
      </c>
      <c r="O918" s="1020">
        <v>865</v>
      </c>
      <c r="P918" s="860" t="e">
        <f>VLOOKUP(N918,etat!$A$9:$N$1004,2,FALSE)</f>
        <v>#N/A</v>
      </c>
      <c r="Q918" s="797" t="e">
        <f>VLOOKUP(N918,etat!$A$9:$N$963,7,FALSE)</f>
        <v>#N/A</v>
      </c>
      <c r="R918" s="905" t="e">
        <f>VLOOKUP(N918,etat!$A$9:$N$1003,9,FALSE)</f>
        <v>#N/A</v>
      </c>
      <c r="T918" s="755"/>
      <c r="U918" s="791"/>
      <c r="V918" s="784"/>
      <c r="W918" s="784"/>
      <c r="X918" s="784"/>
      <c r="Y918" s="784"/>
      <c r="Z918" s="965" t="str">
        <f>VLOOKUP(L918,اس!$S$3:$X$31,3,FALSE)</f>
        <v>.</v>
      </c>
    </row>
    <row r="919" spans="12:26" ht="18.75">
      <c r="L919" s="777">
        <v>5</v>
      </c>
      <c r="M919" s="906"/>
      <c r="N919" s="976">
        <v>0</v>
      </c>
      <c r="O919" s="1020">
        <v>866</v>
      </c>
      <c r="P919" s="860" t="e">
        <f>VLOOKUP(N919,etat!$A$9:$N$1004,2,FALSE)</f>
        <v>#N/A</v>
      </c>
      <c r="Q919" s="797" t="e">
        <f>VLOOKUP(N919,etat!$A$9:$N$963,7,FALSE)</f>
        <v>#N/A</v>
      </c>
      <c r="R919" s="905" t="e">
        <f>VLOOKUP(N919,etat!$A$9:$N$1003,9,FALSE)</f>
        <v>#N/A</v>
      </c>
      <c r="T919" s="755"/>
      <c r="U919" s="791"/>
      <c r="V919" s="784"/>
      <c r="W919" s="784"/>
      <c r="X919" s="784"/>
      <c r="Y919" s="784"/>
      <c r="Z919" s="965" t="str">
        <f>VLOOKUP(L919,اس!$S$3:$X$31,3,FALSE)</f>
        <v>.</v>
      </c>
    </row>
    <row r="920" spans="12:26" ht="18.75">
      <c r="L920" s="777">
        <v>5</v>
      </c>
      <c r="M920" s="906"/>
      <c r="N920" s="976">
        <v>0</v>
      </c>
      <c r="O920" s="1020">
        <v>867</v>
      </c>
      <c r="P920" s="860" t="e">
        <f>VLOOKUP(N920,etat!$A$9:$N$1004,2,FALSE)</f>
        <v>#N/A</v>
      </c>
      <c r="Q920" s="797" t="e">
        <f>VLOOKUP(N920,etat!$A$9:$N$963,7,FALSE)</f>
        <v>#N/A</v>
      </c>
      <c r="R920" s="905" t="e">
        <f>VLOOKUP(N920,etat!$A$9:$N$1003,9,FALSE)</f>
        <v>#N/A</v>
      </c>
      <c r="T920" s="755"/>
      <c r="U920" s="791"/>
      <c r="V920" s="784"/>
      <c r="W920" s="784"/>
      <c r="X920" s="784"/>
      <c r="Y920" s="784"/>
      <c r="Z920" s="965" t="str">
        <f>VLOOKUP(L920,اس!$S$3:$X$31,3,FALSE)</f>
        <v>.</v>
      </c>
    </row>
    <row r="921" spans="12:26" ht="18.75">
      <c r="L921" s="777">
        <v>5</v>
      </c>
      <c r="M921" s="906"/>
      <c r="N921" s="976">
        <v>0</v>
      </c>
      <c r="O921" s="1020">
        <v>868</v>
      </c>
      <c r="P921" s="860" t="e">
        <f>VLOOKUP(N921,etat!$A$9:$N$1004,2,FALSE)</f>
        <v>#N/A</v>
      </c>
      <c r="Q921" s="797" t="e">
        <f>VLOOKUP(N921,etat!$A$9:$N$963,7,FALSE)</f>
        <v>#N/A</v>
      </c>
      <c r="R921" s="905" t="e">
        <f>VLOOKUP(N921,etat!$A$9:$N$1003,9,FALSE)</f>
        <v>#N/A</v>
      </c>
      <c r="T921" s="755"/>
      <c r="U921" s="791"/>
      <c r="V921" s="784"/>
      <c r="W921" s="784"/>
      <c r="X921" s="784"/>
      <c r="Y921" s="784"/>
      <c r="Z921" s="965" t="str">
        <f>VLOOKUP(L921,اس!$S$3:$X$31,3,FALSE)</f>
        <v>.</v>
      </c>
    </row>
    <row r="922" spans="12:26" ht="18.75">
      <c r="L922" s="777">
        <v>5</v>
      </c>
      <c r="M922" s="906"/>
      <c r="N922" s="976">
        <v>0</v>
      </c>
      <c r="O922" s="1020">
        <v>869</v>
      </c>
      <c r="P922" s="860" t="e">
        <f>VLOOKUP(N922,etat!$A$9:$N$1004,2,FALSE)</f>
        <v>#N/A</v>
      </c>
      <c r="Q922" s="797" t="e">
        <f>VLOOKUP(N922,etat!$A$9:$N$963,7,FALSE)</f>
        <v>#N/A</v>
      </c>
      <c r="R922" s="905" t="e">
        <f>VLOOKUP(N922,etat!$A$9:$N$1003,9,FALSE)</f>
        <v>#N/A</v>
      </c>
      <c r="T922" s="755"/>
      <c r="U922" s="791"/>
      <c r="V922" s="784"/>
      <c r="W922" s="784"/>
      <c r="X922" s="784"/>
      <c r="Y922" s="784"/>
      <c r="Z922" s="965" t="str">
        <f>VLOOKUP(L922,اس!$S$3:$X$31,3,FALSE)</f>
        <v>.</v>
      </c>
    </row>
    <row r="923" spans="12:26" ht="18.75">
      <c r="L923" s="777">
        <v>5</v>
      </c>
      <c r="M923" s="906"/>
      <c r="N923" s="976">
        <v>0</v>
      </c>
      <c r="O923" s="1020">
        <v>870</v>
      </c>
      <c r="P923" s="860" t="e">
        <f>VLOOKUP(N923,etat!$A$9:$N$1004,2,FALSE)</f>
        <v>#N/A</v>
      </c>
      <c r="Q923" s="797" t="e">
        <f>VLOOKUP(N923,etat!$A$9:$N$963,7,FALSE)</f>
        <v>#N/A</v>
      </c>
      <c r="R923" s="905" t="e">
        <f>VLOOKUP(N923,etat!$A$9:$N$1003,9,FALSE)</f>
        <v>#N/A</v>
      </c>
      <c r="T923" s="755"/>
      <c r="U923" s="791"/>
      <c r="V923" s="784"/>
      <c r="W923" s="784"/>
      <c r="X923" s="784"/>
      <c r="Y923" s="784"/>
      <c r="Z923" s="965" t="str">
        <f>VLOOKUP(L923,اس!$S$3:$X$31,3,FALSE)</f>
        <v>.</v>
      </c>
    </row>
    <row r="924" spans="12:26" ht="18.75">
      <c r="L924" s="777">
        <v>5</v>
      </c>
      <c r="M924" s="906"/>
      <c r="N924" s="976">
        <v>0</v>
      </c>
      <c r="O924" s="1020">
        <v>871</v>
      </c>
      <c r="P924" s="860" t="e">
        <f>VLOOKUP(N924,etat!$A$9:$N$1004,2,FALSE)</f>
        <v>#N/A</v>
      </c>
      <c r="Q924" s="797" t="e">
        <f>VLOOKUP(N924,etat!$A$9:$N$963,7,FALSE)</f>
        <v>#N/A</v>
      </c>
      <c r="R924" s="905" t="e">
        <f>VLOOKUP(N924,etat!$A$9:$N$1003,9,FALSE)</f>
        <v>#N/A</v>
      </c>
      <c r="T924" s="755"/>
      <c r="U924" s="791"/>
      <c r="V924" s="784"/>
      <c r="W924" s="784"/>
      <c r="X924" s="784"/>
      <c r="Y924" s="784"/>
      <c r="Z924" s="965" t="str">
        <f>VLOOKUP(L924,اس!$S$3:$X$31,3,FALSE)</f>
        <v>.</v>
      </c>
    </row>
    <row r="925" spans="12:26" ht="18.75">
      <c r="L925" s="777">
        <v>5</v>
      </c>
      <c r="M925" s="906"/>
      <c r="N925" s="976">
        <v>0</v>
      </c>
      <c r="O925" s="1020">
        <v>872</v>
      </c>
      <c r="P925" s="860" t="e">
        <f>VLOOKUP(N925,etat!$A$9:$N$1004,2,FALSE)</f>
        <v>#N/A</v>
      </c>
      <c r="Q925" s="797" t="e">
        <f>VLOOKUP(N925,etat!$A$9:$N$963,7,FALSE)</f>
        <v>#N/A</v>
      </c>
      <c r="R925" s="905" t="e">
        <f>VLOOKUP(N925,etat!$A$9:$N$1003,9,FALSE)</f>
        <v>#N/A</v>
      </c>
      <c r="T925" s="755"/>
      <c r="U925" s="791"/>
      <c r="V925" s="784"/>
      <c r="W925" s="784"/>
      <c r="X925" s="784"/>
      <c r="Y925" s="784"/>
      <c r="Z925" s="965" t="str">
        <f>VLOOKUP(L925,اس!$S$3:$X$31,3,FALSE)</f>
        <v>.</v>
      </c>
    </row>
    <row r="926" spans="12:26" ht="18.75">
      <c r="L926" s="777">
        <v>5</v>
      </c>
      <c r="M926" s="906"/>
      <c r="N926" s="976">
        <v>0</v>
      </c>
      <c r="O926" s="1020">
        <v>873</v>
      </c>
      <c r="P926" s="860" t="e">
        <f>VLOOKUP(N926,etat!$A$9:$N$1004,2,FALSE)</f>
        <v>#N/A</v>
      </c>
      <c r="Q926" s="797" t="e">
        <f>VLOOKUP(N926,etat!$A$9:$N$963,7,FALSE)</f>
        <v>#N/A</v>
      </c>
      <c r="R926" s="905" t="e">
        <f>VLOOKUP(N926,etat!$A$9:$N$1003,9,FALSE)</f>
        <v>#N/A</v>
      </c>
      <c r="T926" s="755"/>
      <c r="U926" s="791"/>
      <c r="V926" s="784"/>
      <c r="W926" s="784"/>
      <c r="X926" s="784"/>
      <c r="Y926" s="784"/>
      <c r="Z926" s="965" t="str">
        <f>VLOOKUP(L926,اس!$S$3:$X$31,3,FALSE)</f>
        <v>.</v>
      </c>
    </row>
    <row r="927" spans="12:26" ht="18.75">
      <c r="L927" s="777">
        <v>5</v>
      </c>
      <c r="M927" s="906"/>
      <c r="N927" s="976">
        <v>0</v>
      </c>
      <c r="O927" s="1020">
        <v>874</v>
      </c>
      <c r="P927" s="860" t="e">
        <f>VLOOKUP(N927,etat!$A$9:$N$1004,2,FALSE)</f>
        <v>#N/A</v>
      </c>
      <c r="Q927" s="797" t="e">
        <f>VLOOKUP(N927,etat!$A$9:$N$963,7,FALSE)</f>
        <v>#N/A</v>
      </c>
      <c r="R927" s="905" t="e">
        <f>VLOOKUP(N927,etat!$A$9:$N$1003,9,FALSE)</f>
        <v>#N/A</v>
      </c>
      <c r="T927" s="755"/>
      <c r="U927" s="791"/>
      <c r="V927" s="784"/>
      <c r="W927" s="784"/>
      <c r="X927" s="784"/>
      <c r="Y927" s="784"/>
      <c r="Z927" s="965" t="str">
        <f>VLOOKUP(L927,اس!$S$3:$X$31,3,FALSE)</f>
        <v>.</v>
      </c>
    </row>
    <row r="928" spans="12:26" ht="18.75">
      <c r="L928" s="777">
        <v>5</v>
      </c>
      <c r="M928" s="906"/>
      <c r="N928" s="976">
        <v>0</v>
      </c>
      <c r="O928" s="1020">
        <v>875</v>
      </c>
      <c r="P928" s="860" t="e">
        <f>VLOOKUP(N928,etat!$A$9:$N$1004,2,FALSE)</f>
        <v>#N/A</v>
      </c>
      <c r="Q928" s="797" t="e">
        <f>VLOOKUP(N928,etat!$A$9:$N$963,7,FALSE)</f>
        <v>#N/A</v>
      </c>
      <c r="R928" s="905" t="e">
        <f>VLOOKUP(N928,etat!$A$9:$N$1003,9,FALSE)</f>
        <v>#N/A</v>
      </c>
      <c r="T928" s="755"/>
      <c r="U928" s="791"/>
      <c r="V928" s="784"/>
      <c r="W928" s="784"/>
      <c r="X928" s="784"/>
      <c r="Y928" s="784"/>
      <c r="Z928" s="965" t="str">
        <f>VLOOKUP(L928,اس!$S$3:$X$31,3,FALSE)</f>
        <v>.</v>
      </c>
    </row>
    <row r="929" spans="12:26" ht="18.75">
      <c r="L929" s="777">
        <v>5</v>
      </c>
      <c r="M929" s="906"/>
      <c r="N929" s="976">
        <v>0</v>
      </c>
      <c r="O929" s="1020">
        <v>876</v>
      </c>
      <c r="P929" s="860" t="e">
        <f>VLOOKUP(N929,etat!$A$9:$N$1004,2,FALSE)</f>
        <v>#N/A</v>
      </c>
      <c r="Q929" s="797" t="e">
        <f>VLOOKUP(N929,etat!$A$9:$N$963,7,FALSE)</f>
        <v>#N/A</v>
      </c>
      <c r="R929" s="905" t="e">
        <f>VLOOKUP(N929,etat!$A$9:$N$1003,9,FALSE)</f>
        <v>#N/A</v>
      </c>
      <c r="T929" s="755"/>
      <c r="U929" s="791"/>
      <c r="V929" s="784"/>
      <c r="W929" s="784"/>
      <c r="X929" s="784"/>
      <c r="Y929" s="784"/>
      <c r="Z929" s="965" t="str">
        <f>VLOOKUP(L929,اس!$S$3:$X$31,3,FALSE)</f>
        <v>.</v>
      </c>
    </row>
    <row r="930" spans="12:26" ht="18.75">
      <c r="L930" s="777">
        <v>5</v>
      </c>
      <c r="M930" s="906"/>
      <c r="N930" s="976">
        <v>0</v>
      </c>
      <c r="O930" s="1020">
        <v>877</v>
      </c>
      <c r="P930" s="860" t="e">
        <f>VLOOKUP(N930,etat!$A$9:$N$1004,2,FALSE)</f>
        <v>#N/A</v>
      </c>
      <c r="Q930" s="797" t="e">
        <f>VLOOKUP(N930,etat!$A$9:$N$963,7,FALSE)</f>
        <v>#N/A</v>
      </c>
      <c r="R930" s="905" t="e">
        <f>VLOOKUP(N930,etat!$A$9:$N$1003,9,FALSE)</f>
        <v>#N/A</v>
      </c>
      <c r="T930" s="755"/>
      <c r="U930" s="791"/>
      <c r="V930" s="784"/>
      <c r="W930" s="784"/>
      <c r="X930" s="784"/>
      <c r="Y930" s="784"/>
      <c r="Z930" s="965" t="str">
        <f>VLOOKUP(L930,اس!$S$3:$X$31,3,FALSE)</f>
        <v>.</v>
      </c>
    </row>
    <row r="931" spans="12:26" ht="18.75">
      <c r="L931" s="777">
        <v>5</v>
      </c>
      <c r="M931" s="906"/>
      <c r="N931" s="976">
        <v>0</v>
      </c>
      <c r="O931" s="1020">
        <v>878</v>
      </c>
      <c r="P931" s="860" t="e">
        <f>VLOOKUP(N931,etat!$A$9:$N$1004,2,FALSE)</f>
        <v>#N/A</v>
      </c>
      <c r="Q931" s="797" t="e">
        <f>VLOOKUP(N931,etat!$A$9:$N$963,7,FALSE)</f>
        <v>#N/A</v>
      </c>
      <c r="R931" s="905" t="e">
        <f>VLOOKUP(N931,etat!$A$9:$N$1003,9,FALSE)</f>
        <v>#N/A</v>
      </c>
      <c r="T931" s="755"/>
      <c r="U931" s="791"/>
      <c r="V931" s="784"/>
      <c r="W931" s="784"/>
      <c r="X931" s="784"/>
      <c r="Y931" s="784"/>
      <c r="Z931" s="965" t="str">
        <f>VLOOKUP(L931,اس!$S$3:$X$31,3,FALSE)</f>
        <v>.</v>
      </c>
    </row>
    <row r="932" spans="12:26" ht="18.75">
      <c r="L932" s="777">
        <v>5</v>
      </c>
      <c r="M932" s="906"/>
      <c r="N932" s="976">
        <v>0</v>
      </c>
      <c r="O932" s="1020">
        <v>879</v>
      </c>
      <c r="P932" s="860" t="e">
        <f>VLOOKUP(N932,etat!$A$9:$N$1004,2,FALSE)</f>
        <v>#N/A</v>
      </c>
      <c r="Q932" s="797" t="e">
        <f>VLOOKUP(N932,etat!$A$9:$N$963,7,FALSE)</f>
        <v>#N/A</v>
      </c>
      <c r="R932" s="905" t="e">
        <f>VLOOKUP(N932,etat!$A$9:$N$1003,9,FALSE)</f>
        <v>#N/A</v>
      </c>
      <c r="T932" s="755"/>
      <c r="U932" s="791"/>
      <c r="V932" s="784"/>
      <c r="W932" s="784"/>
      <c r="X932" s="784"/>
      <c r="Y932" s="784"/>
      <c r="Z932" s="965" t="str">
        <f>VLOOKUP(L932,اس!$S$3:$X$31,3,FALSE)</f>
        <v>.</v>
      </c>
    </row>
    <row r="933" spans="12:26" ht="18.75">
      <c r="L933" s="777">
        <v>5</v>
      </c>
      <c r="M933" s="906"/>
      <c r="N933" s="976">
        <v>0</v>
      </c>
      <c r="O933" s="1020">
        <v>880</v>
      </c>
      <c r="P933" s="860" t="e">
        <f>VLOOKUP(N933,etat!$A$9:$N$1004,2,FALSE)</f>
        <v>#N/A</v>
      </c>
      <c r="Q933" s="797" t="e">
        <f>VLOOKUP(N933,etat!$A$9:$N$963,7,FALSE)</f>
        <v>#N/A</v>
      </c>
      <c r="R933" s="905" t="e">
        <f>VLOOKUP(N933,etat!$A$9:$N$1003,9,FALSE)</f>
        <v>#N/A</v>
      </c>
      <c r="T933" s="755"/>
      <c r="U933" s="791"/>
      <c r="V933" s="784"/>
      <c r="W933" s="784"/>
      <c r="X933" s="784"/>
      <c r="Y933" s="784"/>
      <c r="Z933" s="965" t="str">
        <f>VLOOKUP(L933,اس!$S$3:$X$31,3,FALSE)</f>
        <v>.</v>
      </c>
    </row>
    <row r="934" spans="12:26" ht="18.75">
      <c r="L934" s="777">
        <v>5</v>
      </c>
      <c r="M934" s="906"/>
      <c r="N934" s="976">
        <v>0</v>
      </c>
      <c r="O934" s="1020">
        <v>881</v>
      </c>
      <c r="P934" s="860" t="e">
        <f>VLOOKUP(N934,etat!$A$9:$N$1004,2,FALSE)</f>
        <v>#N/A</v>
      </c>
      <c r="Q934" s="797" t="e">
        <f>VLOOKUP(N934,etat!$A$9:$N$963,7,FALSE)</f>
        <v>#N/A</v>
      </c>
      <c r="R934" s="905" t="e">
        <f>VLOOKUP(N934,etat!$A$9:$N$1003,9,FALSE)</f>
        <v>#N/A</v>
      </c>
      <c r="T934" s="755"/>
      <c r="U934" s="791"/>
      <c r="V934" s="784"/>
      <c r="W934" s="784"/>
      <c r="X934" s="784"/>
      <c r="Y934" s="784"/>
      <c r="Z934" s="965" t="str">
        <f>VLOOKUP(L934,اس!$S$3:$X$31,3,FALSE)</f>
        <v>.</v>
      </c>
    </row>
    <row r="935" spans="12:26" ht="18.75">
      <c r="L935" s="777">
        <v>5</v>
      </c>
      <c r="M935" s="906"/>
      <c r="N935" s="976">
        <v>0</v>
      </c>
      <c r="O935" s="1020">
        <v>882</v>
      </c>
      <c r="P935" s="860" t="e">
        <f>VLOOKUP(N935,etat!$A$9:$N$1004,2,FALSE)</f>
        <v>#N/A</v>
      </c>
      <c r="Q935" s="797" t="e">
        <f>VLOOKUP(N935,etat!$A$9:$N$963,7,FALSE)</f>
        <v>#N/A</v>
      </c>
      <c r="R935" s="905" t="e">
        <f>VLOOKUP(N935,etat!$A$9:$N$1003,9,FALSE)</f>
        <v>#N/A</v>
      </c>
      <c r="T935" s="755"/>
      <c r="U935" s="791"/>
      <c r="V935" s="784"/>
      <c r="W935" s="784"/>
      <c r="X935" s="784"/>
      <c r="Y935" s="784"/>
      <c r="Z935" s="965" t="str">
        <f>VLOOKUP(L935,اس!$S$3:$X$31,3,FALSE)</f>
        <v>.</v>
      </c>
    </row>
    <row r="936" spans="12:26" ht="18.75">
      <c r="L936" s="777">
        <v>5</v>
      </c>
      <c r="M936" s="906"/>
      <c r="N936" s="976">
        <v>0</v>
      </c>
      <c r="O936" s="1020">
        <v>883</v>
      </c>
      <c r="P936" s="860" t="e">
        <f>VLOOKUP(N936,etat!$A$9:$N$1004,2,FALSE)</f>
        <v>#N/A</v>
      </c>
      <c r="Q936" s="797" t="e">
        <f>VLOOKUP(N936,etat!$A$9:$N$963,7,FALSE)</f>
        <v>#N/A</v>
      </c>
      <c r="R936" s="905" t="e">
        <f>VLOOKUP(N936,etat!$A$9:$N$1003,9,FALSE)</f>
        <v>#N/A</v>
      </c>
      <c r="T936" s="755"/>
      <c r="U936" s="791"/>
      <c r="V936" s="784"/>
      <c r="W936" s="784"/>
      <c r="X936" s="784"/>
      <c r="Y936" s="784"/>
      <c r="Z936" s="965" t="str">
        <f>VLOOKUP(L936,اس!$S$3:$X$31,3,FALSE)</f>
        <v>.</v>
      </c>
    </row>
    <row r="937" spans="12:26" ht="18.75">
      <c r="L937" s="777">
        <v>5</v>
      </c>
      <c r="M937" s="906"/>
      <c r="N937" s="976">
        <v>0</v>
      </c>
      <c r="O937" s="1020">
        <v>884</v>
      </c>
      <c r="P937" s="860" t="e">
        <f>VLOOKUP(N937,etat!$A$9:$N$1004,2,FALSE)</f>
        <v>#N/A</v>
      </c>
      <c r="Q937" s="797" t="e">
        <f>VLOOKUP(N937,etat!$A$9:$N$963,7,FALSE)</f>
        <v>#N/A</v>
      </c>
      <c r="R937" s="905" t="e">
        <f>VLOOKUP(N937,etat!$A$9:$N$1003,9,FALSE)</f>
        <v>#N/A</v>
      </c>
      <c r="T937" s="755"/>
      <c r="U937" s="791"/>
      <c r="V937" s="784"/>
      <c r="W937" s="784"/>
      <c r="X937" s="784"/>
      <c r="Y937" s="784"/>
      <c r="Z937" s="965" t="str">
        <f>VLOOKUP(L937,اس!$S$3:$X$31,3,FALSE)</f>
        <v>.</v>
      </c>
    </row>
    <row r="938" spans="12:26" ht="18.75">
      <c r="L938" s="777">
        <v>5</v>
      </c>
      <c r="M938" s="906"/>
      <c r="N938" s="976">
        <v>0</v>
      </c>
      <c r="O938" s="1020">
        <v>885</v>
      </c>
      <c r="P938" s="860" t="e">
        <f>VLOOKUP(N938,etat!$A$9:$N$1004,2,FALSE)</f>
        <v>#N/A</v>
      </c>
      <c r="Q938" s="797" t="e">
        <f>VLOOKUP(N938,etat!$A$9:$N$963,7,FALSE)</f>
        <v>#N/A</v>
      </c>
      <c r="R938" s="905" t="e">
        <f>VLOOKUP(N938,etat!$A$9:$N$1003,9,FALSE)</f>
        <v>#N/A</v>
      </c>
      <c r="T938" s="755"/>
      <c r="U938" s="791"/>
      <c r="V938" s="784"/>
      <c r="W938" s="784"/>
      <c r="X938" s="784"/>
      <c r="Y938" s="784"/>
      <c r="Z938" s="965" t="str">
        <f>VLOOKUP(L938,اس!$S$3:$X$31,3,FALSE)</f>
        <v>.</v>
      </c>
    </row>
    <row r="939" spans="12:26" ht="18.75">
      <c r="L939" s="777">
        <v>5</v>
      </c>
      <c r="M939" s="906"/>
      <c r="N939" s="976">
        <v>0</v>
      </c>
      <c r="O939" s="1020">
        <v>886</v>
      </c>
      <c r="P939" s="860" t="e">
        <f>VLOOKUP(N939,etat!$A$9:$N$1004,2,FALSE)</f>
        <v>#N/A</v>
      </c>
      <c r="Q939" s="797" t="e">
        <f>VLOOKUP(N939,etat!$A$9:$N$963,7,FALSE)</f>
        <v>#N/A</v>
      </c>
      <c r="R939" s="905" t="e">
        <f>VLOOKUP(N939,etat!$A$9:$N$1003,9,FALSE)</f>
        <v>#N/A</v>
      </c>
      <c r="T939" s="755"/>
      <c r="U939" s="791"/>
      <c r="V939" s="784"/>
      <c r="W939" s="784"/>
      <c r="X939" s="784"/>
      <c r="Y939" s="784"/>
      <c r="Z939" s="965" t="str">
        <f>VLOOKUP(L939,اس!$S$3:$X$31,3,FALSE)</f>
        <v>.</v>
      </c>
    </row>
    <row r="940" spans="12:26" ht="18.75">
      <c r="L940" s="777">
        <v>5</v>
      </c>
      <c r="M940" s="906"/>
      <c r="N940" s="976">
        <v>0</v>
      </c>
      <c r="O940" s="1020">
        <v>887</v>
      </c>
      <c r="P940" s="860" t="e">
        <f>VLOOKUP(N940,etat!$A$9:$N$1004,2,FALSE)</f>
        <v>#N/A</v>
      </c>
      <c r="Q940" s="797" t="e">
        <f>VLOOKUP(N940,etat!$A$9:$N$963,7,FALSE)</f>
        <v>#N/A</v>
      </c>
      <c r="R940" s="905" t="e">
        <f>VLOOKUP(N940,etat!$A$9:$N$1003,9,FALSE)</f>
        <v>#N/A</v>
      </c>
      <c r="T940" s="755"/>
      <c r="U940" s="791"/>
      <c r="V940" s="784"/>
      <c r="W940" s="784"/>
      <c r="X940" s="784"/>
      <c r="Y940" s="784"/>
      <c r="Z940" s="965" t="str">
        <f>VLOOKUP(L940,اس!$S$3:$X$31,3,FALSE)</f>
        <v>.</v>
      </c>
    </row>
    <row r="941" spans="12:26" ht="18.75">
      <c r="L941" s="777">
        <v>5</v>
      </c>
      <c r="M941" s="906"/>
      <c r="N941" s="976">
        <v>0</v>
      </c>
      <c r="O941" s="1020">
        <v>888</v>
      </c>
      <c r="P941" s="860" t="e">
        <f>VLOOKUP(N941,etat!$A$9:$N$1004,2,FALSE)</f>
        <v>#N/A</v>
      </c>
      <c r="Q941" s="797" t="e">
        <f>VLOOKUP(N941,etat!$A$9:$N$963,7,FALSE)</f>
        <v>#N/A</v>
      </c>
      <c r="R941" s="905" t="e">
        <f>VLOOKUP(N941,etat!$A$9:$N$1003,9,FALSE)</f>
        <v>#N/A</v>
      </c>
      <c r="T941" s="755"/>
      <c r="U941" s="791"/>
      <c r="V941" s="784"/>
      <c r="W941" s="784"/>
      <c r="X941" s="784"/>
      <c r="Y941" s="784"/>
      <c r="Z941" s="965" t="str">
        <f>VLOOKUP(L941,اس!$S$3:$X$31,3,FALSE)</f>
        <v>.</v>
      </c>
    </row>
    <row r="942" spans="12:26" ht="18.75">
      <c r="L942" s="777">
        <v>5</v>
      </c>
      <c r="M942" s="906"/>
      <c r="N942" s="976">
        <v>0</v>
      </c>
      <c r="O942" s="1020">
        <v>889</v>
      </c>
      <c r="P942" s="860" t="e">
        <f>VLOOKUP(N942,etat!$A$9:$N$1004,2,FALSE)</f>
        <v>#N/A</v>
      </c>
      <c r="Q942" s="797" t="e">
        <f>VLOOKUP(N942,etat!$A$9:$N$963,7,FALSE)</f>
        <v>#N/A</v>
      </c>
      <c r="R942" s="905" t="e">
        <f>VLOOKUP(N942,etat!$A$9:$N$1003,9,FALSE)</f>
        <v>#N/A</v>
      </c>
      <c r="T942" s="755"/>
      <c r="U942" s="791"/>
      <c r="V942" s="784"/>
      <c r="W942" s="784"/>
      <c r="X942" s="784"/>
      <c r="Y942" s="784"/>
      <c r="Z942" s="965" t="str">
        <f>VLOOKUP(L942,اس!$S$3:$X$31,3,FALSE)</f>
        <v>.</v>
      </c>
    </row>
    <row r="943" spans="12:26" ht="18.75">
      <c r="L943" s="777">
        <v>5</v>
      </c>
      <c r="M943" s="906"/>
      <c r="N943" s="976">
        <v>0</v>
      </c>
      <c r="O943" s="1020">
        <v>890</v>
      </c>
      <c r="P943" s="860" t="e">
        <f>VLOOKUP(N943,etat!$A$9:$N$1004,2,FALSE)</f>
        <v>#N/A</v>
      </c>
      <c r="Q943" s="797" t="e">
        <f>VLOOKUP(N943,etat!$A$9:$N$963,7,FALSE)</f>
        <v>#N/A</v>
      </c>
      <c r="R943" s="905" t="e">
        <f>VLOOKUP(N943,etat!$A$9:$N$1003,9,FALSE)</f>
        <v>#N/A</v>
      </c>
      <c r="T943" s="755"/>
      <c r="U943" s="791"/>
      <c r="V943" s="784"/>
      <c r="W943" s="784"/>
      <c r="X943" s="784"/>
      <c r="Y943" s="784"/>
      <c r="Z943" s="965" t="str">
        <f>VLOOKUP(L943,اس!$S$3:$X$31,3,FALSE)</f>
        <v>.</v>
      </c>
    </row>
    <row r="944" spans="12:26" ht="18.75">
      <c r="L944" s="777">
        <v>5</v>
      </c>
      <c r="M944" s="906"/>
      <c r="N944" s="976">
        <v>0</v>
      </c>
      <c r="O944" s="1020">
        <v>891</v>
      </c>
      <c r="P944" s="860" t="e">
        <f>VLOOKUP(N944,etat!$A$9:$N$1004,2,FALSE)</f>
        <v>#N/A</v>
      </c>
      <c r="Q944" s="797" t="e">
        <f>VLOOKUP(N944,etat!$A$9:$N$963,7,FALSE)</f>
        <v>#N/A</v>
      </c>
      <c r="R944" s="905" t="e">
        <f>VLOOKUP(N944,etat!$A$9:$N$1003,9,FALSE)</f>
        <v>#N/A</v>
      </c>
      <c r="T944" s="755"/>
      <c r="U944" s="791"/>
      <c r="V944" s="784"/>
      <c r="W944" s="784"/>
      <c r="X944" s="784"/>
      <c r="Y944" s="784"/>
      <c r="Z944" s="965" t="str">
        <f>VLOOKUP(L944,اس!$S$3:$X$31,3,FALSE)</f>
        <v>.</v>
      </c>
    </row>
    <row r="945" spans="12:26" ht="18.75">
      <c r="L945" s="777">
        <v>5</v>
      </c>
      <c r="M945" s="906"/>
      <c r="N945" s="976">
        <v>0</v>
      </c>
      <c r="O945" s="1020">
        <v>892</v>
      </c>
      <c r="P945" s="860" t="e">
        <f>VLOOKUP(N945,etat!$A$9:$N$1004,2,FALSE)</f>
        <v>#N/A</v>
      </c>
      <c r="Q945" s="797" t="e">
        <f>VLOOKUP(N945,etat!$A$9:$N$963,7,FALSE)</f>
        <v>#N/A</v>
      </c>
      <c r="R945" s="905" t="e">
        <f>VLOOKUP(N945,etat!$A$9:$N$1003,9,FALSE)</f>
        <v>#N/A</v>
      </c>
      <c r="T945" s="755"/>
      <c r="U945" s="791"/>
      <c r="V945" s="784"/>
      <c r="W945" s="784"/>
      <c r="X945" s="784"/>
      <c r="Y945" s="784"/>
      <c r="Z945" s="965" t="str">
        <f>VLOOKUP(L945,اس!$S$3:$X$31,3,FALSE)</f>
        <v>.</v>
      </c>
    </row>
    <row r="946" spans="12:26" ht="18.75">
      <c r="L946" s="777">
        <v>5</v>
      </c>
      <c r="M946" s="906"/>
      <c r="N946" s="976">
        <v>0</v>
      </c>
      <c r="O946" s="1020">
        <v>893</v>
      </c>
      <c r="P946" s="860" t="e">
        <f>VLOOKUP(N946,etat!$A$9:$N$1004,2,FALSE)</f>
        <v>#N/A</v>
      </c>
      <c r="Q946" s="797" t="e">
        <f>VLOOKUP(N946,etat!$A$9:$N$963,7,FALSE)</f>
        <v>#N/A</v>
      </c>
      <c r="R946" s="905" t="e">
        <f>VLOOKUP(N946,etat!$A$9:$N$1003,9,FALSE)</f>
        <v>#N/A</v>
      </c>
      <c r="T946" s="755"/>
      <c r="U946" s="791"/>
      <c r="V946" s="784"/>
      <c r="W946" s="784"/>
      <c r="X946" s="784"/>
      <c r="Y946" s="784"/>
      <c r="Z946" s="965" t="str">
        <f>VLOOKUP(L946,اس!$S$3:$X$31,3,FALSE)</f>
        <v>.</v>
      </c>
    </row>
    <row r="947" spans="12:26" ht="18.75">
      <c r="L947" s="777">
        <v>5</v>
      </c>
      <c r="M947" s="906"/>
      <c r="N947" s="976">
        <v>0</v>
      </c>
      <c r="O947" s="1020">
        <v>894</v>
      </c>
      <c r="P947" s="860" t="e">
        <f>VLOOKUP(N947,etat!$A$9:$N$1004,2,FALSE)</f>
        <v>#N/A</v>
      </c>
      <c r="Q947" s="797" t="e">
        <f>VLOOKUP(N947,etat!$A$9:$N$963,7,FALSE)</f>
        <v>#N/A</v>
      </c>
      <c r="R947" s="905" t="e">
        <f>VLOOKUP(N947,etat!$A$9:$N$1003,9,FALSE)</f>
        <v>#N/A</v>
      </c>
      <c r="T947" s="755"/>
      <c r="U947" s="791"/>
      <c r="V947" s="784"/>
      <c r="W947" s="784"/>
      <c r="X947" s="784"/>
      <c r="Y947" s="784"/>
      <c r="Z947" s="965" t="str">
        <f>VLOOKUP(L947,اس!$S$3:$X$31,3,FALSE)</f>
        <v>.</v>
      </c>
    </row>
    <row r="948" spans="12:26" ht="18.75">
      <c r="L948" s="777">
        <v>5</v>
      </c>
      <c r="M948" s="906"/>
      <c r="N948" s="976">
        <v>0</v>
      </c>
      <c r="O948" s="1020">
        <v>895</v>
      </c>
      <c r="P948" s="860" t="e">
        <f>VLOOKUP(N948,etat!$A$9:$N$1004,2,FALSE)</f>
        <v>#N/A</v>
      </c>
      <c r="Q948" s="797" t="e">
        <f>VLOOKUP(N948,etat!$A$9:$N$963,7,FALSE)</f>
        <v>#N/A</v>
      </c>
      <c r="R948" s="905" t="e">
        <f>VLOOKUP(N948,etat!$A$9:$N$1003,9,FALSE)</f>
        <v>#N/A</v>
      </c>
      <c r="T948" s="755"/>
      <c r="U948" s="791"/>
      <c r="V948" s="784"/>
      <c r="W948" s="784"/>
      <c r="X948" s="784"/>
      <c r="Y948" s="784"/>
      <c r="Z948" s="965" t="str">
        <f>VLOOKUP(L948,اس!$S$3:$X$31,3,FALSE)</f>
        <v>.</v>
      </c>
    </row>
    <row r="949" spans="12:26" ht="18.75">
      <c r="L949" s="777">
        <v>5</v>
      </c>
      <c r="M949" s="906"/>
      <c r="N949" s="976">
        <v>0</v>
      </c>
      <c r="O949" s="1020">
        <v>896</v>
      </c>
      <c r="P949" s="860" t="e">
        <f>VLOOKUP(N949,etat!$A$9:$N$1004,2,FALSE)</f>
        <v>#N/A</v>
      </c>
      <c r="Q949" s="797" t="e">
        <f>VLOOKUP(N949,etat!$A$9:$N$963,7,FALSE)</f>
        <v>#N/A</v>
      </c>
      <c r="R949" s="905" t="e">
        <f>VLOOKUP(N949,etat!$A$9:$N$1003,9,FALSE)</f>
        <v>#N/A</v>
      </c>
      <c r="T949" s="755"/>
      <c r="U949" s="791"/>
      <c r="V949" s="784"/>
      <c r="W949" s="784"/>
      <c r="X949" s="784"/>
      <c r="Y949" s="784"/>
      <c r="Z949" s="965" t="str">
        <f>VLOOKUP(L949,اس!$S$3:$X$31,3,FALSE)</f>
        <v>.</v>
      </c>
    </row>
    <row r="950" spans="12:26" ht="18.75">
      <c r="L950" s="777">
        <v>5</v>
      </c>
      <c r="M950" s="906"/>
      <c r="N950" s="976">
        <v>0</v>
      </c>
      <c r="O950" s="1020">
        <v>897</v>
      </c>
      <c r="P950" s="860" t="e">
        <f>VLOOKUP(N950,etat!$A$9:$N$1004,2,FALSE)</f>
        <v>#N/A</v>
      </c>
      <c r="Q950" s="797" t="e">
        <f>VLOOKUP(N950,etat!$A$9:$N$963,7,FALSE)</f>
        <v>#N/A</v>
      </c>
      <c r="R950" s="905" t="e">
        <f>VLOOKUP(N950,etat!$A$9:$N$1003,9,FALSE)</f>
        <v>#N/A</v>
      </c>
      <c r="T950" s="755"/>
      <c r="U950" s="791"/>
      <c r="V950" s="784"/>
      <c r="W950" s="784"/>
      <c r="X950" s="784"/>
      <c r="Y950" s="784"/>
      <c r="Z950" s="965" t="str">
        <f>VLOOKUP(L950,اس!$S$3:$X$31,3,FALSE)</f>
        <v>.</v>
      </c>
    </row>
    <row r="951" spans="12:26" ht="18.75">
      <c r="L951" s="777">
        <v>5</v>
      </c>
      <c r="M951" s="906"/>
      <c r="N951" s="976">
        <v>0</v>
      </c>
      <c r="O951" s="1020">
        <v>898</v>
      </c>
      <c r="P951" s="860" t="e">
        <f>VLOOKUP(N951,etat!$A$9:$N$1004,2,FALSE)</f>
        <v>#N/A</v>
      </c>
      <c r="Q951" s="797" t="e">
        <f>VLOOKUP(N951,etat!$A$9:$N$963,7,FALSE)</f>
        <v>#N/A</v>
      </c>
      <c r="R951" s="905" t="e">
        <f>VLOOKUP(N951,etat!$A$9:$N$1003,9,FALSE)</f>
        <v>#N/A</v>
      </c>
      <c r="T951" s="755"/>
      <c r="U951" s="791"/>
      <c r="V951" s="784"/>
      <c r="W951" s="784"/>
      <c r="X951" s="784"/>
      <c r="Y951" s="784"/>
      <c r="Z951" s="965" t="str">
        <f>VLOOKUP(L951,اس!$S$3:$X$31,3,FALSE)</f>
        <v>.</v>
      </c>
    </row>
    <row r="952" spans="12:26" ht="18.75">
      <c r="L952" s="777">
        <v>5</v>
      </c>
      <c r="M952" s="906"/>
      <c r="N952" s="976">
        <v>0</v>
      </c>
      <c r="O952" s="1020">
        <v>899</v>
      </c>
      <c r="P952" s="860" t="e">
        <f>VLOOKUP(N952,etat!$A$9:$N$1004,2,FALSE)</f>
        <v>#N/A</v>
      </c>
      <c r="Q952" s="797" t="e">
        <f>VLOOKUP(N952,etat!$A$9:$N$963,7,FALSE)</f>
        <v>#N/A</v>
      </c>
      <c r="R952" s="905" t="e">
        <f>VLOOKUP(N952,etat!$A$9:$N$1003,9,FALSE)</f>
        <v>#N/A</v>
      </c>
      <c r="T952" s="755"/>
      <c r="U952" s="791"/>
      <c r="V952" s="784"/>
      <c r="W952" s="784"/>
      <c r="X952" s="784"/>
      <c r="Y952" s="784"/>
      <c r="Z952" s="965" t="str">
        <f>VLOOKUP(L952,اس!$S$3:$X$31,3,FALSE)</f>
        <v>.</v>
      </c>
    </row>
    <row r="953" spans="12:26" ht="18.75">
      <c r="L953" s="777">
        <v>5</v>
      </c>
      <c r="M953" s="906"/>
      <c r="N953" s="976">
        <v>0</v>
      </c>
      <c r="O953" s="1020">
        <v>900</v>
      </c>
      <c r="P953" s="860" t="e">
        <f>VLOOKUP(N953,etat!$A$9:$N$1004,2,FALSE)</f>
        <v>#N/A</v>
      </c>
      <c r="Q953" s="797" t="e">
        <f>VLOOKUP(N953,etat!$A$9:$N$963,7,FALSE)</f>
        <v>#N/A</v>
      </c>
      <c r="R953" s="905" t="e">
        <f>VLOOKUP(N953,etat!$A$9:$N$1003,9,FALSE)</f>
        <v>#N/A</v>
      </c>
      <c r="T953" s="755"/>
      <c r="U953" s="791"/>
      <c r="V953" s="784"/>
      <c r="W953" s="784"/>
      <c r="X953" s="784"/>
      <c r="Y953" s="784"/>
      <c r="Z953" s="965" t="str">
        <f>VLOOKUP(L953,اس!$S$3:$X$31,3,FALSE)</f>
        <v>.</v>
      </c>
    </row>
    <row r="954" spans="12:26" ht="18.75">
      <c r="L954" s="777">
        <v>5</v>
      </c>
      <c r="M954" s="906"/>
      <c r="N954" s="976">
        <v>0</v>
      </c>
      <c r="O954" s="1020">
        <v>901</v>
      </c>
      <c r="P954" s="860" t="e">
        <f>VLOOKUP(N954,etat!$A$9:$N$1004,2,FALSE)</f>
        <v>#N/A</v>
      </c>
      <c r="Q954" s="797" t="e">
        <f>VLOOKUP(N954,etat!$A$9:$N$963,7,FALSE)</f>
        <v>#N/A</v>
      </c>
      <c r="R954" s="905" t="e">
        <f>VLOOKUP(N954,etat!$A$9:$N$1003,9,FALSE)</f>
        <v>#N/A</v>
      </c>
      <c r="T954" s="755"/>
      <c r="U954" s="791"/>
      <c r="V954" s="784"/>
      <c r="W954" s="784"/>
      <c r="X954" s="784"/>
      <c r="Y954" s="784"/>
      <c r="Z954" s="965" t="str">
        <f>VLOOKUP(L954,اس!$S$3:$X$31,3,FALSE)</f>
        <v>.</v>
      </c>
    </row>
    <row r="955" spans="12:26" ht="18.75">
      <c r="L955" s="777">
        <v>5</v>
      </c>
      <c r="M955" s="906"/>
      <c r="N955" s="976">
        <v>0</v>
      </c>
      <c r="O955" s="1020">
        <v>902</v>
      </c>
      <c r="P955" s="860" t="e">
        <f>VLOOKUP(N955,etat!$A$9:$N$1004,2,FALSE)</f>
        <v>#N/A</v>
      </c>
      <c r="Q955" s="797" t="e">
        <f>VLOOKUP(N955,etat!$A$9:$N$963,7,FALSE)</f>
        <v>#N/A</v>
      </c>
      <c r="R955" s="905" t="e">
        <f>VLOOKUP(N955,etat!$A$9:$N$1003,9,FALSE)</f>
        <v>#N/A</v>
      </c>
      <c r="T955" s="755"/>
      <c r="U955" s="791"/>
      <c r="V955" s="784"/>
      <c r="W955" s="784"/>
      <c r="X955" s="784"/>
      <c r="Y955" s="784"/>
      <c r="Z955" s="965" t="str">
        <f>VLOOKUP(L955,اس!$S$3:$X$31,3,FALSE)</f>
        <v>.</v>
      </c>
    </row>
    <row r="956" spans="12:26" ht="18.75">
      <c r="L956" s="777">
        <v>5</v>
      </c>
      <c r="M956" s="906"/>
      <c r="N956" s="976">
        <v>0</v>
      </c>
      <c r="O956" s="1020">
        <v>903</v>
      </c>
      <c r="P956" s="860" t="e">
        <f>VLOOKUP(N956,etat!$A$9:$N$1004,2,FALSE)</f>
        <v>#N/A</v>
      </c>
      <c r="Q956" s="797" t="e">
        <f>VLOOKUP(N956,etat!$A$9:$N$963,7,FALSE)</f>
        <v>#N/A</v>
      </c>
      <c r="R956" s="905" t="e">
        <f>VLOOKUP(N956,etat!$A$9:$N$1003,9,FALSE)</f>
        <v>#N/A</v>
      </c>
      <c r="T956" s="755"/>
      <c r="U956" s="791"/>
      <c r="V956" s="784"/>
      <c r="W956" s="784"/>
      <c r="X956" s="784"/>
      <c r="Y956" s="784"/>
      <c r="Z956" s="965" t="str">
        <f>VLOOKUP(L956,اس!$S$3:$X$31,3,FALSE)</f>
        <v>.</v>
      </c>
    </row>
    <row r="957" spans="12:26" ht="18.75">
      <c r="L957" s="777">
        <v>5</v>
      </c>
      <c r="M957" s="906"/>
      <c r="N957" s="976">
        <v>0</v>
      </c>
      <c r="O957" s="1020">
        <v>904</v>
      </c>
      <c r="P957" s="860" t="e">
        <f>VLOOKUP(N957,etat!$A$9:$N$1004,2,FALSE)</f>
        <v>#N/A</v>
      </c>
      <c r="Q957" s="797" t="e">
        <f>VLOOKUP(N957,etat!$A$9:$N$963,7,FALSE)</f>
        <v>#N/A</v>
      </c>
      <c r="R957" s="905" t="e">
        <f>VLOOKUP(N957,etat!$A$9:$N$1003,9,FALSE)</f>
        <v>#N/A</v>
      </c>
      <c r="T957" s="755"/>
      <c r="U957" s="791"/>
      <c r="V957" s="784"/>
      <c r="W957" s="784"/>
      <c r="X957" s="784"/>
      <c r="Y957" s="784"/>
      <c r="Z957" s="965" t="str">
        <f>VLOOKUP(L957,اس!$S$3:$X$31,3,FALSE)</f>
        <v>.</v>
      </c>
    </row>
    <row r="958" spans="12:26" ht="18.75">
      <c r="L958" s="777">
        <v>5</v>
      </c>
      <c r="M958" s="906"/>
      <c r="N958" s="976">
        <v>0</v>
      </c>
      <c r="O958" s="1020">
        <v>905</v>
      </c>
      <c r="P958" s="860" t="e">
        <f>VLOOKUP(N958,etat!$A$9:$N$1004,2,FALSE)</f>
        <v>#N/A</v>
      </c>
      <c r="Q958" s="797" t="e">
        <f>VLOOKUP(N958,etat!$A$9:$N$963,7,FALSE)</f>
        <v>#N/A</v>
      </c>
      <c r="R958" s="905" t="e">
        <f>VLOOKUP(N958,etat!$A$9:$N$1003,9,FALSE)</f>
        <v>#N/A</v>
      </c>
      <c r="T958" s="755"/>
      <c r="U958" s="791"/>
      <c r="V958" s="784"/>
      <c r="W958" s="784"/>
      <c r="X958" s="784"/>
      <c r="Y958" s="784"/>
      <c r="Z958" s="965" t="str">
        <f>VLOOKUP(L958,اس!$S$3:$X$31,3,FALSE)</f>
        <v>.</v>
      </c>
    </row>
    <row r="959" spans="12:26" ht="18.75">
      <c r="L959" s="777">
        <v>5</v>
      </c>
      <c r="M959" s="906"/>
      <c r="N959" s="976">
        <v>0</v>
      </c>
      <c r="O959" s="1020">
        <v>906</v>
      </c>
      <c r="P959" s="860" t="e">
        <f>VLOOKUP(N959,etat!$A$9:$N$1004,2,FALSE)</f>
        <v>#N/A</v>
      </c>
      <c r="Q959" s="797" t="e">
        <f>VLOOKUP(N959,etat!$A$9:$N$963,7,FALSE)</f>
        <v>#N/A</v>
      </c>
      <c r="R959" s="905" t="e">
        <f>VLOOKUP(N959,etat!$A$9:$N$1003,9,FALSE)</f>
        <v>#N/A</v>
      </c>
      <c r="T959" s="755"/>
      <c r="U959" s="791"/>
      <c r="V959" s="784"/>
      <c r="W959" s="784"/>
      <c r="X959" s="784"/>
      <c r="Y959" s="784"/>
      <c r="Z959" s="965" t="str">
        <f>VLOOKUP(L959,اس!$S$3:$X$31,3,FALSE)</f>
        <v>.</v>
      </c>
    </row>
    <row r="960" spans="12:26" ht="18.75">
      <c r="L960" s="777">
        <v>5</v>
      </c>
      <c r="M960" s="906"/>
      <c r="N960" s="976">
        <v>0</v>
      </c>
      <c r="O960" s="1020">
        <v>907</v>
      </c>
      <c r="P960" s="860" t="e">
        <f>VLOOKUP(N960,etat!$A$9:$N$1004,2,FALSE)</f>
        <v>#N/A</v>
      </c>
      <c r="Q960" s="797" t="e">
        <f>VLOOKUP(N960,etat!$A$9:$N$963,7,FALSE)</f>
        <v>#N/A</v>
      </c>
      <c r="R960" s="905" t="e">
        <f>VLOOKUP(N960,etat!$A$9:$N$1003,9,FALSE)</f>
        <v>#N/A</v>
      </c>
      <c r="T960" s="755"/>
      <c r="U960" s="791"/>
      <c r="V960" s="784"/>
      <c r="W960" s="784"/>
      <c r="X960" s="784"/>
      <c r="Y960" s="784"/>
      <c r="Z960" s="965" t="str">
        <f>VLOOKUP(L960,اس!$S$3:$X$31,3,FALSE)</f>
        <v>.</v>
      </c>
    </row>
    <row r="961" spans="12:26" ht="18.75">
      <c r="L961" s="777">
        <v>5</v>
      </c>
      <c r="M961" s="906"/>
      <c r="N961" s="976">
        <v>0</v>
      </c>
      <c r="O961" s="1020">
        <v>908</v>
      </c>
      <c r="P961" s="860" t="e">
        <f>VLOOKUP(N961,etat!$A$9:$N$1004,2,FALSE)</f>
        <v>#N/A</v>
      </c>
      <c r="Q961" s="797" t="e">
        <f>VLOOKUP(N961,etat!$A$9:$N$963,7,FALSE)</f>
        <v>#N/A</v>
      </c>
      <c r="R961" s="905" t="e">
        <f>VLOOKUP(N961,etat!$A$9:$N$1003,9,FALSE)</f>
        <v>#N/A</v>
      </c>
      <c r="T961" s="755"/>
      <c r="U961" s="791"/>
      <c r="V961" s="784"/>
      <c r="W961" s="784"/>
      <c r="X961" s="784"/>
      <c r="Y961" s="784"/>
      <c r="Z961" s="965" t="str">
        <f>VLOOKUP(L961,اس!$S$3:$X$31,3,FALSE)</f>
        <v>.</v>
      </c>
    </row>
    <row r="962" spans="12:26" ht="18.75">
      <c r="L962" s="777">
        <v>5</v>
      </c>
      <c r="M962" s="906"/>
      <c r="N962" s="976">
        <v>0</v>
      </c>
      <c r="O962" s="1020">
        <v>909</v>
      </c>
      <c r="P962" s="860" t="e">
        <f>VLOOKUP(N962,etat!$A$9:$N$1004,2,FALSE)</f>
        <v>#N/A</v>
      </c>
      <c r="Q962" s="797" t="e">
        <f>VLOOKUP(N962,etat!$A$9:$N$963,7,FALSE)</f>
        <v>#N/A</v>
      </c>
      <c r="R962" s="905" t="e">
        <f>VLOOKUP(N962,etat!$A$9:$N$1003,9,FALSE)</f>
        <v>#N/A</v>
      </c>
      <c r="T962" s="755"/>
      <c r="U962" s="791"/>
      <c r="V962" s="784"/>
      <c r="W962" s="784"/>
      <c r="X962" s="784"/>
      <c r="Y962" s="784"/>
      <c r="Z962" s="965" t="str">
        <f>VLOOKUP(L962,اس!$S$3:$X$31,3,FALSE)</f>
        <v>.</v>
      </c>
    </row>
    <row r="963" spans="12:26" ht="18.75">
      <c r="L963" s="777">
        <v>5</v>
      </c>
      <c r="M963" s="906"/>
      <c r="N963" s="976">
        <v>0</v>
      </c>
      <c r="O963" s="1020">
        <v>910</v>
      </c>
      <c r="P963" s="860" t="e">
        <f>VLOOKUP(N963,etat!$A$9:$N$1004,2,FALSE)</f>
        <v>#N/A</v>
      </c>
      <c r="Q963" s="797" t="e">
        <f>VLOOKUP(N963,etat!$A$9:$N$963,7,FALSE)</f>
        <v>#N/A</v>
      </c>
      <c r="R963" s="905" t="e">
        <f>VLOOKUP(N963,etat!$A$9:$N$1003,9,FALSE)</f>
        <v>#N/A</v>
      </c>
      <c r="T963" s="755"/>
      <c r="U963" s="791"/>
      <c r="V963" s="784"/>
      <c r="W963" s="784"/>
      <c r="X963" s="784"/>
      <c r="Y963" s="784"/>
      <c r="Z963" s="965" t="str">
        <f>VLOOKUP(L963,اس!$S$3:$X$31,3,FALSE)</f>
        <v>.</v>
      </c>
    </row>
    <row r="964" spans="12:26" ht="18.75">
      <c r="L964" s="777">
        <v>5</v>
      </c>
      <c r="M964" s="906"/>
      <c r="N964" s="976">
        <v>0</v>
      </c>
      <c r="O964" s="1020">
        <v>911</v>
      </c>
      <c r="P964" s="860" t="e">
        <f>VLOOKUP(N964,etat!$A$9:$N$1004,2,FALSE)</f>
        <v>#N/A</v>
      </c>
      <c r="Q964" s="797" t="e">
        <f>VLOOKUP(N964,etat!$A$9:$N$963,7,FALSE)</f>
        <v>#N/A</v>
      </c>
      <c r="R964" s="905" t="e">
        <f>VLOOKUP(N964,etat!$A$9:$N$1003,9,FALSE)</f>
        <v>#N/A</v>
      </c>
      <c r="T964" s="755"/>
      <c r="U964" s="791"/>
      <c r="V964" s="784"/>
      <c r="W964" s="784"/>
      <c r="X964" s="784"/>
      <c r="Y964" s="784"/>
      <c r="Z964" s="965" t="str">
        <f>VLOOKUP(L964,اس!$S$3:$X$31,3,FALSE)</f>
        <v>.</v>
      </c>
    </row>
    <row r="965" spans="12:26" ht="18.75">
      <c r="L965" s="777">
        <v>5</v>
      </c>
      <c r="M965" s="906"/>
      <c r="N965" s="976">
        <v>0</v>
      </c>
      <c r="O965" s="1020">
        <v>912</v>
      </c>
      <c r="P965" s="860" t="e">
        <f>VLOOKUP(N965,etat!$A$9:$N$1004,2,FALSE)</f>
        <v>#N/A</v>
      </c>
      <c r="Q965" s="797" t="e">
        <f>VLOOKUP(N965,etat!$A$9:$N$963,7,FALSE)</f>
        <v>#N/A</v>
      </c>
      <c r="R965" s="905" t="e">
        <f>VLOOKUP(N965,etat!$A$9:$N$1003,9,FALSE)</f>
        <v>#N/A</v>
      </c>
      <c r="T965" s="755"/>
      <c r="U965" s="791"/>
      <c r="V965" s="784"/>
      <c r="W965" s="784"/>
      <c r="X965" s="784"/>
      <c r="Y965" s="784"/>
      <c r="Z965" s="965" t="str">
        <f>VLOOKUP(L965,اس!$S$3:$X$31,3,FALSE)</f>
        <v>.</v>
      </c>
    </row>
    <row r="966" spans="12:26" ht="18.75">
      <c r="L966" s="777">
        <v>5</v>
      </c>
      <c r="M966" s="906"/>
      <c r="N966" s="976">
        <v>0</v>
      </c>
      <c r="O966" s="1020">
        <v>913</v>
      </c>
      <c r="P966" s="860" t="e">
        <f>VLOOKUP(N966,etat!$A$9:$N$1004,2,FALSE)</f>
        <v>#N/A</v>
      </c>
      <c r="Q966" s="797" t="e">
        <f>VLOOKUP(N966,etat!$A$9:$N$963,7,FALSE)</f>
        <v>#N/A</v>
      </c>
      <c r="R966" s="905" t="e">
        <f>VLOOKUP(N966,etat!$A$9:$N$1003,9,FALSE)</f>
        <v>#N/A</v>
      </c>
      <c r="T966" s="755"/>
      <c r="U966" s="791"/>
      <c r="V966" s="784"/>
      <c r="W966" s="784"/>
      <c r="X966" s="784"/>
      <c r="Y966" s="784"/>
      <c r="Z966" s="965" t="str">
        <f>VLOOKUP(L966,اس!$S$3:$X$31,3,FALSE)</f>
        <v>.</v>
      </c>
    </row>
    <row r="967" spans="12:26" ht="18.75">
      <c r="L967" s="777">
        <v>5</v>
      </c>
      <c r="M967" s="906"/>
      <c r="N967" s="976">
        <v>0</v>
      </c>
      <c r="O967" s="1020">
        <v>914</v>
      </c>
      <c r="P967" s="860" t="e">
        <f>VLOOKUP(N967,etat!$A$9:$N$1004,2,FALSE)</f>
        <v>#N/A</v>
      </c>
      <c r="Q967" s="797" t="e">
        <f>VLOOKUP(N967,etat!$A$9:$N$963,7,FALSE)</f>
        <v>#N/A</v>
      </c>
      <c r="R967" s="905" t="e">
        <f>VLOOKUP(N967,etat!$A$9:$N$1003,9,FALSE)</f>
        <v>#N/A</v>
      </c>
      <c r="T967" s="755"/>
      <c r="U967" s="791"/>
      <c r="V967" s="784"/>
      <c r="W967" s="784"/>
      <c r="X967" s="784"/>
      <c r="Y967" s="784"/>
      <c r="Z967" s="965" t="str">
        <f>VLOOKUP(L967,اس!$S$3:$X$31,3,FALSE)</f>
        <v>.</v>
      </c>
    </row>
    <row r="968" spans="12:26" ht="18.75">
      <c r="L968" s="777">
        <v>5</v>
      </c>
      <c r="M968" s="906"/>
      <c r="N968" s="976">
        <v>0</v>
      </c>
      <c r="O968" s="1020">
        <v>915</v>
      </c>
      <c r="P968" s="860" t="e">
        <f>VLOOKUP(N968,etat!$A$9:$N$1004,2,FALSE)</f>
        <v>#N/A</v>
      </c>
      <c r="Q968" s="797" t="e">
        <f>VLOOKUP(N968,etat!$A$9:$N$963,7,FALSE)</f>
        <v>#N/A</v>
      </c>
      <c r="R968" s="905" t="e">
        <f>VLOOKUP(N968,etat!$A$9:$N$1003,9,FALSE)</f>
        <v>#N/A</v>
      </c>
      <c r="T968" s="755"/>
      <c r="U968" s="791"/>
      <c r="V968" s="784"/>
      <c r="W968" s="784"/>
      <c r="X968" s="784"/>
      <c r="Y968" s="784"/>
      <c r="Z968" s="965" t="str">
        <f>VLOOKUP(L968,اس!$S$3:$X$31,3,FALSE)</f>
        <v>.</v>
      </c>
    </row>
    <row r="969" spans="12:26" ht="18.75">
      <c r="L969" s="777">
        <v>5</v>
      </c>
      <c r="M969" s="906"/>
      <c r="N969" s="976">
        <v>0</v>
      </c>
      <c r="O969" s="1020">
        <v>916</v>
      </c>
      <c r="P969" s="860" t="e">
        <f>VLOOKUP(N969,etat!$A$9:$N$1004,2,FALSE)</f>
        <v>#N/A</v>
      </c>
      <c r="Q969" s="797" t="e">
        <f>VLOOKUP(N969,etat!$A$9:$N$963,7,FALSE)</f>
        <v>#N/A</v>
      </c>
      <c r="R969" s="905" t="e">
        <f>VLOOKUP(N969,etat!$A$9:$N$1003,9,FALSE)</f>
        <v>#N/A</v>
      </c>
      <c r="T969" s="755"/>
      <c r="U969" s="791"/>
      <c r="V969" s="784"/>
      <c r="W969" s="784"/>
      <c r="X969" s="784"/>
      <c r="Y969" s="784"/>
      <c r="Z969" s="965" t="str">
        <f>VLOOKUP(L969,اس!$S$3:$X$31,3,FALSE)</f>
        <v>.</v>
      </c>
    </row>
    <row r="970" spans="12:26" ht="18.75">
      <c r="L970" s="777">
        <v>5</v>
      </c>
      <c r="M970" s="906"/>
      <c r="N970" s="976">
        <v>0</v>
      </c>
      <c r="O970" s="1020">
        <v>917</v>
      </c>
      <c r="P970" s="860" t="e">
        <f>VLOOKUP(N970,etat!$A$9:$N$1004,2,FALSE)</f>
        <v>#N/A</v>
      </c>
      <c r="Q970" s="797" t="e">
        <f>VLOOKUP(N970,etat!$A$9:$N$963,7,FALSE)</f>
        <v>#N/A</v>
      </c>
      <c r="R970" s="905" t="e">
        <f>VLOOKUP(N970,etat!$A$9:$N$1003,9,FALSE)</f>
        <v>#N/A</v>
      </c>
      <c r="T970" s="755"/>
      <c r="U970" s="791"/>
      <c r="V970" s="784"/>
      <c r="W970" s="784"/>
      <c r="X970" s="784"/>
      <c r="Y970" s="784"/>
      <c r="Z970" s="965" t="str">
        <f>VLOOKUP(L970,اس!$S$3:$X$31,3,FALSE)</f>
        <v>.</v>
      </c>
    </row>
    <row r="971" spans="12:26" ht="18.75">
      <c r="L971" s="777">
        <v>5</v>
      </c>
      <c r="M971" s="906"/>
      <c r="N971" s="976">
        <v>0</v>
      </c>
      <c r="O971" s="1020">
        <v>918</v>
      </c>
      <c r="P971" s="860" t="e">
        <f>VLOOKUP(N971,etat!$A$9:$N$1004,2,FALSE)</f>
        <v>#N/A</v>
      </c>
      <c r="Q971" s="797" t="e">
        <f>VLOOKUP(N971,etat!$A$9:$N$963,7,FALSE)</f>
        <v>#N/A</v>
      </c>
      <c r="R971" s="905" t="e">
        <f>VLOOKUP(N971,etat!$A$9:$N$1003,9,FALSE)</f>
        <v>#N/A</v>
      </c>
      <c r="T971" s="755"/>
      <c r="U971" s="791"/>
      <c r="V971" s="784"/>
      <c r="W971" s="784"/>
      <c r="X971" s="784"/>
      <c r="Y971" s="784"/>
      <c r="Z971" s="965" t="str">
        <f>VLOOKUP(L971,اس!$S$3:$X$31,3,FALSE)</f>
        <v>.</v>
      </c>
    </row>
    <row r="972" spans="12:26" ht="18.75">
      <c r="L972" s="777">
        <v>5</v>
      </c>
      <c r="M972" s="906"/>
      <c r="N972" s="976">
        <v>0</v>
      </c>
      <c r="O972" s="1020">
        <v>919</v>
      </c>
      <c r="P972" s="860" t="e">
        <f>VLOOKUP(N972,etat!$A$9:$N$1004,2,FALSE)</f>
        <v>#N/A</v>
      </c>
      <c r="Q972" s="797" t="e">
        <f>VLOOKUP(N972,etat!$A$9:$N$963,7,FALSE)</f>
        <v>#N/A</v>
      </c>
      <c r="R972" s="905" t="e">
        <f>VLOOKUP(N972,etat!$A$9:$N$1003,9,FALSE)</f>
        <v>#N/A</v>
      </c>
      <c r="T972" s="755"/>
      <c r="U972" s="791"/>
      <c r="V972" s="784"/>
      <c r="W972" s="784"/>
      <c r="X972" s="784"/>
      <c r="Y972" s="784"/>
      <c r="Z972" s="965" t="str">
        <f>VLOOKUP(L972,اس!$S$3:$X$31,3,FALSE)</f>
        <v>.</v>
      </c>
    </row>
    <row r="973" spans="12:26" ht="18.75">
      <c r="L973" s="777">
        <v>5</v>
      </c>
      <c r="M973" s="906"/>
      <c r="N973" s="976">
        <v>0</v>
      </c>
      <c r="O973" s="1020">
        <v>920</v>
      </c>
      <c r="P973" s="860" t="e">
        <f>VLOOKUP(N973,etat!$A$9:$N$1004,2,FALSE)</f>
        <v>#N/A</v>
      </c>
      <c r="Q973" s="797" t="e">
        <f>VLOOKUP(N973,etat!$A$9:$N$963,7,FALSE)</f>
        <v>#N/A</v>
      </c>
      <c r="R973" s="905" t="e">
        <f>VLOOKUP(N973,etat!$A$9:$N$1003,9,FALSE)</f>
        <v>#N/A</v>
      </c>
      <c r="T973" s="755"/>
      <c r="U973" s="791"/>
      <c r="V973" s="784"/>
      <c r="W973" s="784"/>
      <c r="X973" s="784"/>
      <c r="Y973" s="784"/>
      <c r="Z973" s="965" t="str">
        <f>VLOOKUP(L973,اس!$S$3:$X$31,3,FALSE)</f>
        <v>.</v>
      </c>
    </row>
    <row r="974" spans="12:26" ht="18.75">
      <c r="L974" s="777">
        <v>5</v>
      </c>
      <c r="M974" s="906"/>
      <c r="N974" s="976">
        <v>0</v>
      </c>
      <c r="O974" s="1020">
        <v>921</v>
      </c>
      <c r="P974" s="860" t="e">
        <f>VLOOKUP(N974,etat!$A$9:$N$1004,2,FALSE)</f>
        <v>#N/A</v>
      </c>
      <c r="Q974" s="797" t="e">
        <f>VLOOKUP(N974,etat!$A$9:$N$963,7,FALSE)</f>
        <v>#N/A</v>
      </c>
      <c r="R974" s="905" t="e">
        <f>VLOOKUP(N974,etat!$A$9:$N$1003,9,FALSE)</f>
        <v>#N/A</v>
      </c>
      <c r="T974" s="755"/>
      <c r="U974" s="791"/>
      <c r="V974" s="784"/>
      <c r="W974" s="784"/>
      <c r="X974" s="784"/>
      <c r="Y974" s="784"/>
      <c r="Z974" s="965" t="str">
        <f>VLOOKUP(L974,اس!$S$3:$X$31,3,FALSE)</f>
        <v>.</v>
      </c>
    </row>
    <row r="975" spans="12:26" ht="18.75">
      <c r="L975" s="777">
        <v>5</v>
      </c>
      <c r="M975" s="906"/>
      <c r="N975" s="976">
        <v>0</v>
      </c>
      <c r="O975" s="1020">
        <v>922</v>
      </c>
      <c r="P975" s="860" t="e">
        <f>VLOOKUP(N975,etat!$A$9:$N$1004,2,FALSE)</f>
        <v>#N/A</v>
      </c>
      <c r="Q975" s="797" t="e">
        <f>VLOOKUP(N975,etat!$A$9:$N$963,7,FALSE)</f>
        <v>#N/A</v>
      </c>
      <c r="R975" s="905" t="e">
        <f>VLOOKUP(N975,etat!$A$9:$N$1003,9,FALSE)</f>
        <v>#N/A</v>
      </c>
      <c r="T975" s="755"/>
      <c r="U975" s="791"/>
      <c r="V975" s="784"/>
      <c r="W975" s="784"/>
      <c r="X975" s="784"/>
      <c r="Y975" s="784"/>
      <c r="Z975" s="965" t="str">
        <f>VLOOKUP(L975,اس!$S$3:$X$31,3,FALSE)</f>
        <v>.</v>
      </c>
    </row>
    <row r="976" spans="12:26" ht="18.75">
      <c r="L976" s="777">
        <v>5</v>
      </c>
      <c r="M976" s="906"/>
      <c r="N976" s="976">
        <v>0</v>
      </c>
      <c r="O976" s="1020">
        <v>923</v>
      </c>
      <c r="P976" s="860" t="e">
        <f>VLOOKUP(N976,etat!$A$9:$N$1004,2,FALSE)</f>
        <v>#N/A</v>
      </c>
      <c r="Q976" s="797" t="e">
        <f>VLOOKUP(N976,etat!$A$9:$N$963,7,FALSE)</f>
        <v>#N/A</v>
      </c>
      <c r="R976" s="905" t="e">
        <f>VLOOKUP(N976,etat!$A$9:$N$1003,9,FALSE)</f>
        <v>#N/A</v>
      </c>
      <c r="T976" s="755"/>
      <c r="U976" s="791"/>
      <c r="V976" s="784"/>
      <c r="W976" s="784"/>
      <c r="X976" s="784"/>
      <c r="Y976" s="784"/>
      <c r="Z976" s="965" t="str">
        <f>VLOOKUP(L976,اس!$S$3:$X$31,3,FALSE)</f>
        <v>.</v>
      </c>
    </row>
    <row r="977" spans="12:26" ht="18.75">
      <c r="L977" s="777">
        <v>5</v>
      </c>
      <c r="M977" s="906"/>
      <c r="N977" s="976">
        <v>0</v>
      </c>
      <c r="O977" s="1020">
        <v>924</v>
      </c>
      <c r="P977" s="860" t="e">
        <f>VLOOKUP(N977,etat!$A$9:$N$1004,2,FALSE)</f>
        <v>#N/A</v>
      </c>
      <c r="Q977" s="797" t="e">
        <f>VLOOKUP(N977,etat!$A$9:$N$963,7,FALSE)</f>
        <v>#N/A</v>
      </c>
      <c r="R977" s="905" t="e">
        <f>VLOOKUP(N977,etat!$A$9:$N$1003,9,FALSE)</f>
        <v>#N/A</v>
      </c>
      <c r="T977" s="755"/>
      <c r="U977" s="791"/>
      <c r="V977" s="784"/>
      <c r="W977" s="784"/>
      <c r="X977" s="784"/>
      <c r="Y977" s="784"/>
      <c r="Z977" s="965" t="str">
        <f>VLOOKUP(L977,اس!$S$3:$X$31,3,FALSE)</f>
        <v>.</v>
      </c>
    </row>
    <row r="978" spans="12:26" ht="18.75">
      <c r="L978" s="777">
        <v>5</v>
      </c>
      <c r="M978" s="906"/>
      <c r="N978" s="976">
        <v>0</v>
      </c>
      <c r="O978" s="1020">
        <v>925</v>
      </c>
      <c r="P978" s="860" t="e">
        <f>VLOOKUP(N978,etat!$A$9:$N$1004,2,FALSE)</f>
        <v>#N/A</v>
      </c>
      <c r="Q978" s="797" t="e">
        <f>VLOOKUP(N978,etat!$A$9:$N$963,7,FALSE)</f>
        <v>#N/A</v>
      </c>
      <c r="R978" s="905" t="e">
        <f>VLOOKUP(N978,etat!$A$9:$N$1003,9,FALSE)</f>
        <v>#N/A</v>
      </c>
      <c r="T978" s="755"/>
      <c r="U978" s="791"/>
      <c r="V978" s="784"/>
      <c r="W978" s="784"/>
      <c r="X978" s="784"/>
      <c r="Y978" s="784"/>
      <c r="Z978" s="965" t="str">
        <f>VLOOKUP(L978,اس!$S$3:$X$31,3,FALSE)</f>
        <v>.</v>
      </c>
    </row>
    <row r="979" spans="12:26" ht="18.75">
      <c r="L979" s="777">
        <v>5</v>
      </c>
      <c r="M979" s="906"/>
      <c r="N979" s="976">
        <v>0</v>
      </c>
      <c r="O979" s="1020">
        <v>926</v>
      </c>
      <c r="P979" s="860" t="e">
        <f>VLOOKUP(N979,etat!$A$9:$N$1004,2,FALSE)</f>
        <v>#N/A</v>
      </c>
      <c r="Q979" s="797" t="e">
        <f>VLOOKUP(N979,etat!$A$9:$N$963,7,FALSE)</f>
        <v>#N/A</v>
      </c>
      <c r="R979" s="905" t="e">
        <f>VLOOKUP(N979,etat!$A$9:$N$1003,9,FALSE)</f>
        <v>#N/A</v>
      </c>
      <c r="T979" s="755"/>
      <c r="U979" s="791"/>
      <c r="V979" s="784"/>
      <c r="W979" s="784"/>
      <c r="X979" s="784"/>
      <c r="Y979" s="784"/>
      <c r="Z979" s="965" t="str">
        <f>VLOOKUP(L979,اس!$S$3:$X$31,3,FALSE)</f>
        <v>.</v>
      </c>
    </row>
    <row r="980" spans="12:26" ht="18.75">
      <c r="L980" s="777">
        <v>5</v>
      </c>
      <c r="M980" s="906"/>
      <c r="N980" s="976">
        <v>0</v>
      </c>
      <c r="O980" s="1020">
        <v>927</v>
      </c>
      <c r="P980" s="860" t="e">
        <f>VLOOKUP(N980,etat!$A$9:$N$1004,2,FALSE)</f>
        <v>#N/A</v>
      </c>
      <c r="Q980" s="797" t="e">
        <f>VLOOKUP(N980,etat!$A$9:$N$963,7,FALSE)</f>
        <v>#N/A</v>
      </c>
      <c r="R980" s="905" t="e">
        <f>VLOOKUP(N980,etat!$A$9:$N$1003,9,FALSE)</f>
        <v>#N/A</v>
      </c>
      <c r="T980" s="755"/>
      <c r="U980" s="791"/>
      <c r="V980" s="784"/>
      <c r="W980" s="784"/>
      <c r="X980" s="784"/>
      <c r="Y980" s="784"/>
      <c r="Z980" s="965" t="str">
        <f>VLOOKUP(L980,اس!$S$3:$X$31,3,FALSE)</f>
        <v>.</v>
      </c>
    </row>
    <row r="981" spans="12:26" ht="18.75">
      <c r="L981" s="777">
        <v>5</v>
      </c>
      <c r="M981" s="906"/>
      <c r="N981" s="976">
        <v>0</v>
      </c>
      <c r="O981" s="1020">
        <v>928</v>
      </c>
      <c r="P981" s="860" t="e">
        <f>VLOOKUP(N981,etat!$A$9:$N$1004,2,FALSE)</f>
        <v>#N/A</v>
      </c>
      <c r="Q981" s="797" t="e">
        <f>VLOOKUP(N981,etat!$A$9:$N$963,7,FALSE)</f>
        <v>#N/A</v>
      </c>
      <c r="R981" s="905" t="e">
        <f>VLOOKUP(N981,etat!$A$9:$N$1003,9,FALSE)</f>
        <v>#N/A</v>
      </c>
      <c r="T981" s="755"/>
      <c r="U981" s="791"/>
      <c r="V981" s="784"/>
      <c r="W981" s="784"/>
      <c r="X981" s="784"/>
      <c r="Y981" s="784"/>
      <c r="Z981" s="965" t="str">
        <f>VLOOKUP(L981,اس!$S$3:$X$31,3,FALSE)</f>
        <v>.</v>
      </c>
    </row>
    <row r="982" spans="12:26" ht="18.75">
      <c r="L982" s="777">
        <v>5</v>
      </c>
      <c r="M982" s="906"/>
      <c r="N982" s="976">
        <v>0</v>
      </c>
      <c r="O982" s="1020">
        <v>929</v>
      </c>
      <c r="P982" s="860" t="e">
        <f>VLOOKUP(N982,etat!$A$9:$N$1004,2,FALSE)</f>
        <v>#N/A</v>
      </c>
      <c r="Q982" s="797" t="e">
        <f>VLOOKUP(N982,etat!$A$9:$N$963,7,FALSE)</f>
        <v>#N/A</v>
      </c>
      <c r="R982" s="905" t="e">
        <f>VLOOKUP(N982,etat!$A$9:$N$1003,9,FALSE)</f>
        <v>#N/A</v>
      </c>
      <c r="T982" s="755"/>
      <c r="U982" s="791"/>
      <c r="V982" s="784"/>
      <c r="W982" s="784"/>
      <c r="X982" s="784"/>
      <c r="Y982" s="784"/>
      <c r="Z982" s="965" t="str">
        <f>VLOOKUP(L982,اس!$S$3:$X$31,3,FALSE)</f>
        <v>.</v>
      </c>
    </row>
    <row r="983" spans="12:26" ht="18.75">
      <c r="L983" s="777">
        <v>5</v>
      </c>
      <c r="M983" s="906"/>
      <c r="N983" s="976">
        <v>0</v>
      </c>
      <c r="O983" s="1020">
        <v>930</v>
      </c>
      <c r="P983" s="860" t="e">
        <f>VLOOKUP(N983,etat!$A$9:$N$1004,2,FALSE)</f>
        <v>#N/A</v>
      </c>
      <c r="Q983" s="797" t="e">
        <f>VLOOKUP(N983,etat!$A$9:$N$963,7,FALSE)</f>
        <v>#N/A</v>
      </c>
      <c r="R983" s="905" t="e">
        <f>VLOOKUP(N983,etat!$A$9:$N$1003,9,FALSE)</f>
        <v>#N/A</v>
      </c>
      <c r="T983" s="755"/>
      <c r="U983" s="791"/>
      <c r="V983" s="784"/>
      <c r="W983" s="784"/>
      <c r="X983" s="784"/>
      <c r="Y983" s="784"/>
      <c r="Z983" s="965" t="str">
        <f>VLOOKUP(L983,اس!$S$3:$X$31,3,FALSE)</f>
        <v>.</v>
      </c>
    </row>
    <row r="984" spans="12:26" ht="18.75">
      <c r="L984" s="777">
        <v>5</v>
      </c>
      <c r="M984" s="906"/>
      <c r="N984" s="976">
        <v>0</v>
      </c>
      <c r="O984" s="1020">
        <v>931</v>
      </c>
      <c r="P984" s="860" t="e">
        <f>VLOOKUP(N984,etat!$A$9:$N$1004,2,FALSE)</f>
        <v>#N/A</v>
      </c>
      <c r="Q984" s="797" t="e">
        <f>VLOOKUP(N984,etat!$A$9:$N$963,7,FALSE)</f>
        <v>#N/A</v>
      </c>
      <c r="R984" s="905" t="e">
        <f>VLOOKUP(N984,etat!$A$9:$N$1003,9,FALSE)</f>
        <v>#N/A</v>
      </c>
      <c r="T984" s="755"/>
      <c r="U984" s="791"/>
      <c r="V984" s="784"/>
      <c r="W984" s="784"/>
      <c r="X984" s="784"/>
      <c r="Y984" s="784"/>
      <c r="Z984" s="965" t="str">
        <f>VLOOKUP(L984,اس!$S$3:$X$31,3,FALSE)</f>
        <v>.</v>
      </c>
    </row>
    <row r="985" spans="12:26" ht="18.75">
      <c r="L985" s="777">
        <v>5</v>
      </c>
      <c r="M985" s="906"/>
      <c r="N985" s="976">
        <v>0</v>
      </c>
      <c r="O985" s="1020">
        <v>932</v>
      </c>
      <c r="P985" s="860" t="e">
        <f>VLOOKUP(N985,etat!$A$9:$N$1004,2,FALSE)</f>
        <v>#N/A</v>
      </c>
      <c r="Q985" s="797" t="e">
        <f>VLOOKUP(N985,etat!$A$9:$N$963,7,FALSE)</f>
        <v>#N/A</v>
      </c>
      <c r="R985" s="905" t="e">
        <f>VLOOKUP(N985,etat!$A$9:$N$1003,9,FALSE)</f>
        <v>#N/A</v>
      </c>
      <c r="T985" s="755"/>
      <c r="U985" s="791"/>
      <c r="V985" s="784"/>
      <c r="W985" s="784"/>
      <c r="X985" s="784"/>
      <c r="Y985" s="784"/>
      <c r="Z985" s="965" t="str">
        <f>VLOOKUP(L985,اس!$S$3:$X$31,3,FALSE)</f>
        <v>.</v>
      </c>
    </row>
    <row r="986" spans="12:26" ht="18.75">
      <c r="L986" s="777">
        <v>5</v>
      </c>
      <c r="M986" s="906"/>
      <c r="N986" s="976">
        <v>0</v>
      </c>
      <c r="O986" s="1020">
        <v>933</v>
      </c>
      <c r="P986" s="860" t="e">
        <f>VLOOKUP(N986,etat!$A$9:$N$1004,2,FALSE)</f>
        <v>#N/A</v>
      </c>
      <c r="Q986" s="797" t="e">
        <f>VLOOKUP(N986,etat!$A$9:$N$963,7,FALSE)</f>
        <v>#N/A</v>
      </c>
      <c r="R986" s="905" t="e">
        <f>VLOOKUP(N986,etat!$A$9:$N$1003,9,FALSE)</f>
        <v>#N/A</v>
      </c>
      <c r="T986" s="755"/>
      <c r="U986" s="791"/>
      <c r="V986" s="784"/>
      <c r="W986" s="784"/>
      <c r="X986" s="784"/>
      <c r="Y986" s="784"/>
      <c r="Z986" s="965" t="str">
        <f>VLOOKUP(L986,اس!$S$3:$X$31,3,FALSE)</f>
        <v>.</v>
      </c>
    </row>
    <row r="987" spans="12:26" ht="18.75">
      <c r="L987" s="777">
        <v>5</v>
      </c>
      <c r="M987" s="906"/>
      <c r="N987" s="976">
        <v>0</v>
      </c>
      <c r="O987" s="1020">
        <v>934</v>
      </c>
      <c r="P987" s="860" t="e">
        <f>VLOOKUP(N987,etat!$A$9:$N$1004,2,FALSE)</f>
        <v>#N/A</v>
      </c>
      <c r="Q987" s="797" t="e">
        <f>VLOOKUP(N987,etat!$A$9:$N$963,7,FALSE)</f>
        <v>#N/A</v>
      </c>
      <c r="R987" s="905" t="e">
        <f>VLOOKUP(N987,etat!$A$9:$N$1003,9,FALSE)</f>
        <v>#N/A</v>
      </c>
      <c r="T987" s="755"/>
      <c r="U987" s="791"/>
      <c r="V987" s="784"/>
      <c r="W987" s="784"/>
      <c r="X987" s="784"/>
      <c r="Y987" s="784"/>
      <c r="Z987" s="965" t="str">
        <f>VLOOKUP(L987,اس!$S$3:$X$31,3,FALSE)</f>
        <v>.</v>
      </c>
    </row>
    <row r="988" spans="12:26" ht="18.75">
      <c r="L988" s="777">
        <v>5</v>
      </c>
      <c r="M988" s="906"/>
      <c r="N988" s="976">
        <v>0</v>
      </c>
      <c r="O988" s="1020">
        <v>935</v>
      </c>
      <c r="P988" s="860" t="e">
        <f>VLOOKUP(N988,etat!$A$9:$N$1004,2,FALSE)</f>
        <v>#N/A</v>
      </c>
      <c r="Q988" s="797" t="e">
        <f>VLOOKUP(N988,etat!$A$9:$N$963,7,FALSE)</f>
        <v>#N/A</v>
      </c>
      <c r="R988" s="905" t="e">
        <f>VLOOKUP(N988,etat!$A$9:$N$1003,9,FALSE)</f>
        <v>#N/A</v>
      </c>
      <c r="T988" s="755"/>
      <c r="U988" s="791"/>
      <c r="V988" s="784"/>
      <c r="W988" s="784"/>
      <c r="X988" s="784"/>
      <c r="Y988" s="784"/>
      <c r="Z988" s="965" t="str">
        <f>VLOOKUP(L988,اس!$S$3:$X$31,3,FALSE)</f>
        <v>.</v>
      </c>
    </row>
    <row r="989" spans="12:26" ht="18.75">
      <c r="L989" s="777">
        <v>5</v>
      </c>
      <c r="M989" s="906"/>
      <c r="N989" s="976">
        <v>0</v>
      </c>
      <c r="O989" s="1020">
        <v>936</v>
      </c>
      <c r="P989" s="860" t="e">
        <f>VLOOKUP(N989,etat!$A$9:$N$1004,2,FALSE)</f>
        <v>#N/A</v>
      </c>
      <c r="Q989" s="797" t="e">
        <f>VLOOKUP(N989,etat!$A$9:$N$963,7,FALSE)</f>
        <v>#N/A</v>
      </c>
      <c r="R989" s="905" t="e">
        <f>VLOOKUP(N989,etat!$A$9:$N$1003,9,FALSE)</f>
        <v>#N/A</v>
      </c>
      <c r="T989" s="755"/>
      <c r="U989" s="791"/>
      <c r="V989" s="784"/>
      <c r="W989" s="784"/>
      <c r="X989" s="784"/>
      <c r="Y989" s="784"/>
      <c r="Z989" s="965" t="str">
        <f>VLOOKUP(L989,اس!$S$3:$X$31,3,FALSE)</f>
        <v>.</v>
      </c>
    </row>
    <row r="990" spans="12:26" ht="18.75">
      <c r="L990" s="777">
        <v>5</v>
      </c>
      <c r="M990" s="906"/>
      <c r="N990" s="976">
        <v>0</v>
      </c>
      <c r="O990" s="1020">
        <v>937</v>
      </c>
      <c r="P990" s="860" t="e">
        <f>VLOOKUP(N990,etat!$A$9:$N$1004,2,FALSE)</f>
        <v>#N/A</v>
      </c>
      <c r="Q990" s="797" t="e">
        <f>VLOOKUP(N990,etat!$A$9:$N$963,7,FALSE)</f>
        <v>#N/A</v>
      </c>
      <c r="R990" s="905" t="e">
        <f>VLOOKUP(N990,etat!$A$9:$N$1003,9,FALSE)</f>
        <v>#N/A</v>
      </c>
      <c r="T990" s="755"/>
      <c r="U990" s="791"/>
      <c r="V990" s="784"/>
      <c r="W990" s="784"/>
      <c r="X990" s="784"/>
      <c r="Y990" s="784"/>
      <c r="Z990" s="965" t="str">
        <f>VLOOKUP(L990,اس!$S$3:$X$31,3,FALSE)</f>
        <v>.</v>
      </c>
    </row>
    <row r="991" spans="12:26" ht="18.75">
      <c r="L991" s="777">
        <v>5</v>
      </c>
      <c r="M991" s="906"/>
      <c r="N991" s="976">
        <v>0</v>
      </c>
      <c r="O991" s="1020">
        <v>938</v>
      </c>
      <c r="P991" s="860" t="e">
        <f>VLOOKUP(N991,etat!$A$9:$N$1004,2,FALSE)</f>
        <v>#N/A</v>
      </c>
      <c r="Q991" s="797" t="e">
        <f>VLOOKUP(N991,etat!$A$9:$N$963,7,FALSE)</f>
        <v>#N/A</v>
      </c>
      <c r="R991" s="905" t="e">
        <f>VLOOKUP(N991,etat!$A$9:$N$1003,9,FALSE)</f>
        <v>#N/A</v>
      </c>
      <c r="T991" s="755"/>
      <c r="U991" s="791"/>
      <c r="V991" s="784"/>
      <c r="W991" s="784"/>
      <c r="X991" s="784"/>
      <c r="Y991" s="784"/>
      <c r="Z991" s="965" t="str">
        <f>VLOOKUP(L991,اس!$S$3:$X$31,3,FALSE)</f>
        <v>.</v>
      </c>
    </row>
    <row r="992" spans="12:26" ht="18.75">
      <c r="L992" s="777">
        <v>5</v>
      </c>
      <c r="M992" s="906"/>
      <c r="N992" s="976">
        <v>0</v>
      </c>
      <c r="O992" s="1020">
        <v>939</v>
      </c>
      <c r="P992" s="860" t="e">
        <f>VLOOKUP(N992,etat!$A$9:$N$1004,2,FALSE)</f>
        <v>#N/A</v>
      </c>
      <c r="Q992" s="797" t="e">
        <f>VLOOKUP(N992,etat!$A$9:$N$963,7,FALSE)</f>
        <v>#N/A</v>
      </c>
      <c r="R992" s="905" t="e">
        <f>VLOOKUP(N992,etat!$A$9:$N$1003,9,FALSE)</f>
        <v>#N/A</v>
      </c>
      <c r="T992" s="755"/>
      <c r="U992" s="791"/>
      <c r="V992" s="784"/>
      <c r="W992" s="784"/>
      <c r="X992" s="784"/>
      <c r="Y992" s="784"/>
      <c r="Z992" s="965" t="str">
        <f>VLOOKUP(L992,اس!$S$3:$X$31,3,FALSE)</f>
        <v>.</v>
      </c>
    </row>
    <row r="993" spans="12:26" ht="18.75">
      <c r="L993" s="777">
        <v>5</v>
      </c>
      <c r="M993" s="906"/>
      <c r="N993" s="976">
        <v>0</v>
      </c>
      <c r="O993" s="1020">
        <v>940</v>
      </c>
      <c r="P993" s="860" t="e">
        <f>VLOOKUP(N993,etat!$A$9:$N$1004,2,FALSE)</f>
        <v>#N/A</v>
      </c>
      <c r="Q993" s="797" t="e">
        <f>VLOOKUP(N993,etat!$A$9:$N$963,7,FALSE)</f>
        <v>#N/A</v>
      </c>
      <c r="R993" s="905" t="e">
        <f>VLOOKUP(N993,etat!$A$9:$N$1003,9,FALSE)</f>
        <v>#N/A</v>
      </c>
      <c r="T993" s="755"/>
      <c r="U993" s="791"/>
      <c r="V993" s="784"/>
      <c r="W993" s="784"/>
      <c r="X993" s="784"/>
      <c r="Y993" s="784"/>
      <c r="Z993" s="965" t="str">
        <f>VLOOKUP(L993,اس!$S$3:$X$31,3,FALSE)</f>
        <v>.</v>
      </c>
    </row>
    <row r="994" spans="12:26" ht="18.75">
      <c r="L994" s="777">
        <v>5</v>
      </c>
      <c r="M994" s="906"/>
      <c r="N994" s="976">
        <v>0</v>
      </c>
      <c r="O994" s="1020">
        <v>941</v>
      </c>
      <c r="P994" s="860" t="e">
        <f>VLOOKUP(N994,etat!$A$9:$N$1004,2,FALSE)</f>
        <v>#N/A</v>
      </c>
      <c r="Q994" s="797" t="e">
        <f>VLOOKUP(N994,etat!$A$9:$N$963,7,FALSE)</f>
        <v>#N/A</v>
      </c>
      <c r="R994" s="905" t="e">
        <f>VLOOKUP(N994,etat!$A$9:$N$1003,9,FALSE)</f>
        <v>#N/A</v>
      </c>
      <c r="T994" s="755"/>
      <c r="U994" s="791"/>
      <c r="V994" s="784"/>
      <c r="W994" s="784"/>
      <c r="X994" s="784"/>
      <c r="Y994" s="784"/>
      <c r="Z994" s="965" t="str">
        <f>VLOOKUP(L994,اس!$S$3:$X$31,3,FALSE)</f>
        <v>.</v>
      </c>
    </row>
    <row r="995" spans="12:26" ht="18.75">
      <c r="L995" s="777">
        <v>5</v>
      </c>
      <c r="M995" s="906"/>
      <c r="N995" s="976">
        <v>0</v>
      </c>
      <c r="O995" s="1020">
        <v>942</v>
      </c>
      <c r="P995" s="860" t="e">
        <f>VLOOKUP(N995,etat!$A$9:$N$1004,2,FALSE)</f>
        <v>#N/A</v>
      </c>
      <c r="Q995" s="797" t="e">
        <f>VLOOKUP(N995,etat!$A$9:$N$963,7,FALSE)</f>
        <v>#N/A</v>
      </c>
      <c r="R995" s="905" t="e">
        <f>VLOOKUP(N995,etat!$A$9:$N$1003,9,FALSE)</f>
        <v>#N/A</v>
      </c>
      <c r="T995" s="755"/>
      <c r="U995" s="791"/>
      <c r="V995" s="784"/>
      <c r="W995" s="784"/>
      <c r="X995" s="784"/>
      <c r="Y995" s="784"/>
      <c r="Z995" s="965" t="str">
        <f>VLOOKUP(L995,اس!$S$3:$X$31,3,FALSE)</f>
        <v>.</v>
      </c>
    </row>
    <row r="996" spans="12:26" ht="18.75">
      <c r="L996" s="777">
        <v>5</v>
      </c>
      <c r="M996" s="906"/>
      <c r="N996" s="976">
        <v>0</v>
      </c>
      <c r="O996" s="1020">
        <v>943</v>
      </c>
      <c r="P996" s="860" t="e">
        <f>VLOOKUP(N996,etat!$A$9:$N$1004,2,FALSE)</f>
        <v>#N/A</v>
      </c>
      <c r="Q996" s="797" t="e">
        <f>VLOOKUP(N996,etat!$A$9:$N$963,7,FALSE)</f>
        <v>#N/A</v>
      </c>
      <c r="R996" s="905" t="e">
        <f>VLOOKUP(N996,etat!$A$9:$N$1003,9,FALSE)</f>
        <v>#N/A</v>
      </c>
      <c r="T996" s="755"/>
      <c r="U996" s="791"/>
      <c r="V996" s="784"/>
      <c r="W996" s="784"/>
      <c r="X996" s="784"/>
      <c r="Y996" s="784"/>
      <c r="Z996" s="965" t="str">
        <f>VLOOKUP(L996,اس!$S$3:$X$31,3,FALSE)</f>
        <v>.</v>
      </c>
    </row>
    <row r="997" spans="12:26" ht="18.75">
      <c r="L997" s="777">
        <v>5</v>
      </c>
      <c r="M997" s="906"/>
      <c r="N997" s="976">
        <v>0</v>
      </c>
      <c r="O997" s="1020">
        <v>944</v>
      </c>
      <c r="P997" s="860" t="e">
        <f>VLOOKUP(N997,etat!$A$9:$N$1004,2,FALSE)</f>
        <v>#N/A</v>
      </c>
      <c r="Q997" s="797" t="e">
        <f>VLOOKUP(N997,etat!$A$9:$N$963,7,FALSE)</f>
        <v>#N/A</v>
      </c>
      <c r="R997" s="905" t="e">
        <f>VLOOKUP(N997,etat!$A$9:$N$1003,9,FALSE)</f>
        <v>#N/A</v>
      </c>
      <c r="T997" s="755"/>
      <c r="U997" s="791"/>
      <c r="V997" s="784"/>
      <c r="W997" s="784"/>
      <c r="X997" s="784"/>
      <c r="Y997" s="784"/>
      <c r="Z997" s="965" t="str">
        <f>VLOOKUP(L997,اس!$S$3:$X$31,3,FALSE)</f>
        <v>.</v>
      </c>
    </row>
    <row r="998" spans="12:26" ht="18.75">
      <c r="L998" s="777">
        <v>5</v>
      </c>
      <c r="M998" s="906"/>
      <c r="N998" s="976">
        <v>0</v>
      </c>
      <c r="O998" s="1020">
        <v>945</v>
      </c>
      <c r="P998" s="860" t="e">
        <f>VLOOKUP(N998,etat!$A$9:$N$1004,2,FALSE)</f>
        <v>#N/A</v>
      </c>
      <c r="Q998" s="797" t="e">
        <f>VLOOKUP(N998,etat!$A$9:$N$963,7,FALSE)</f>
        <v>#N/A</v>
      </c>
      <c r="R998" s="905" t="e">
        <f>VLOOKUP(N998,etat!$A$9:$N$1003,9,FALSE)</f>
        <v>#N/A</v>
      </c>
      <c r="T998" s="755"/>
      <c r="U998" s="791"/>
      <c r="V998" s="784"/>
      <c r="W998" s="784"/>
      <c r="X998" s="784"/>
      <c r="Y998" s="784"/>
      <c r="Z998" s="965" t="str">
        <f>VLOOKUP(L998,اس!$S$3:$X$31,3,FALSE)</f>
        <v>.</v>
      </c>
    </row>
    <row r="999" spans="12:26" ht="18.75">
      <c r="L999" s="777">
        <v>5</v>
      </c>
      <c r="M999" s="906"/>
      <c r="N999" s="976">
        <v>0</v>
      </c>
      <c r="O999" s="1020">
        <v>946</v>
      </c>
      <c r="P999" s="860" t="e">
        <f>VLOOKUP(N999,etat!$A$9:$N$1004,2,FALSE)</f>
        <v>#N/A</v>
      </c>
      <c r="Q999" s="797" t="e">
        <f>VLOOKUP(N999,etat!$A$9:$N$963,7,FALSE)</f>
        <v>#N/A</v>
      </c>
      <c r="R999" s="905" t="e">
        <f>VLOOKUP(N999,etat!$A$9:$N$1003,9,FALSE)</f>
        <v>#N/A</v>
      </c>
      <c r="T999" s="755"/>
      <c r="U999" s="791"/>
      <c r="V999" s="784"/>
      <c r="W999" s="784"/>
      <c r="X999" s="784"/>
      <c r="Y999" s="784"/>
      <c r="Z999" s="965" t="str">
        <f>VLOOKUP(L999,اس!$S$3:$X$31,3,FALSE)</f>
        <v>.</v>
      </c>
    </row>
    <row r="1000" spans="12:26" ht="18.75">
      <c r="L1000" s="777">
        <v>5</v>
      </c>
      <c r="M1000" s="906"/>
      <c r="N1000" s="976">
        <v>0</v>
      </c>
      <c r="O1000" s="1020">
        <v>947</v>
      </c>
      <c r="P1000" s="860" t="e">
        <f>VLOOKUP(N1000,etat!$A$9:$N$1004,2,FALSE)</f>
        <v>#N/A</v>
      </c>
      <c r="Q1000" s="797" t="e">
        <f>VLOOKUP(N1000,etat!$A$9:$N$963,7,FALSE)</f>
        <v>#N/A</v>
      </c>
      <c r="R1000" s="905" t="e">
        <f>VLOOKUP(N1000,etat!$A$9:$N$1003,9,FALSE)</f>
        <v>#N/A</v>
      </c>
      <c r="T1000" s="755"/>
      <c r="U1000" s="791"/>
      <c r="V1000" s="784"/>
      <c r="W1000" s="784"/>
      <c r="X1000" s="784"/>
      <c r="Y1000" s="784"/>
      <c r="Z1000" s="965" t="str">
        <f>VLOOKUP(L1000,اس!$S$3:$X$31,3,FALSE)</f>
        <v>.</v>
      </c>
    </row>
    <row r="1001" spans="12:26" ht="18.75">
      <c r="L1001" s="777">
        <v>5</v>
      </c>
      <c r="M1001" s="906"/>
      <c r="N1001" s="976">
        <v>0</v>
      </c>
      <c r="O1001" s="1020">
        <v>948</v>
      </c>
      <c r="P1001" s="860" t="e">
        <f>VLOOKUP(N1001,etat!$A$9:$N$1004,2,FALSE)</f>
        <v>#N/A</v>
      </c>
      <c r="Q1001" s="797" t="e">
        <f>VLOOKUP(N1001,etat!$A$9:$N$963,7,FALSE)</f>
        <v>#N/A</v>
      </c>
      <c r="R1001" s="905" t="e">
        <f>VLOOKUP(N1001,etat!$A$9:$N$1003,9,FALSE)</f>
        <v>#N/A</v>
      </c>
      <c r="T1001" s="755"/>
      <c r="U1001" s="791"/>
      <c r="V1001" s="784"/>
      <c r="W1001" s="784"/>
      <c r="X1001" s="784"/>
      <c r="Y1001" s="784"/>
      <c r="Z1001" s="965" t="str">
        <f>VLOOKUP(L1001,اس!$S$3:$X$31,3,FALSE)</f>
        <v>.</v>
      </c>
    </row>
    <row r="1002" spans="12:26" ht="18.75">
      <c r="L1002" s="777">
        <v>5</v>
      </c>
      <c r="M1002" s="906"/>
      <c r="N1002" s="976">
        <v>0</v>
      </c>
      <c r="O1002" s="1020">
        <v>949</v>
      </c>
      <c r="P1002" s="860" t="e">
        <f>VLOOKUP(N1002,etat!$A$9:$N$1004,2,FALSE)</f>
        <v>#N/A</v>
      </c>
      <c r="Q1002" s="797" t="e">
        <f>VLOOKUP(N1002,etat!$A$9:$N$963,7,FALSE)</f>
        <v>#N/A</v>
      </c>
      <c r="R1002" s="905" t="e">
        <f>VLOOKUP(N1002,etat!$A$9:$N$1003,9,FALSE)</f>
        <v>#N/A</v>
      </c>
      <c r="T1002" s="755"/>
      <c r="U1002" s="791"/>
      <c r="V1002" s="784"/>
      <c r="W1002" s="784"/>
      <c r="X1002" s="784"/>
      <c r="Y1002" s="784"/>
      <c r="Z1002" s="965" t="str">
        <f>VLOOKUP(L1002,اس!$S$3:$X$31,3,FALSE)</f>
        <v>.</v>
      </c>
    </row>
    <row r="1003" spans="12:26" ht="18.75">
      <c r="L1003" s="777">
        <v>5</v>
      </c>
      <c r="M1003" s="906"/>
      <c r="N1003" s="976">
        <v>0</v>
      </c>
      <c r="O1003" s="1020">
        <v>950</v>
      </c>
      <c r="P1003" s="860" t="e">
        <f>VLOOKUP(N1003,etat!$A$9:$N$1004,2,FALSE)</f>
        <v>#N/A</v>
      </c>
      <c r="Q1003" s="797" t="e">
        <f>VLOOKUP(N1003,etat!$A$9:$N$963,7,FALSE)</f>
        <v>#N/A</v>
      </c>
      <c r="R1003" s="905" t="e">
        <f>VLOOKUP(N1003,etat!$A$9:$N$1003,9,FALSE)</f>
        <v>#N/A</v>
      </c>
      <c r="T1003" s="755"/>
      <c r="U1003" s="791"/>
      <c r="V1003" s="784"/>
      <c r="W1003" s="784"/>
      <c r="X1003" s="784"/>
      <c r="Y1003" s="784"/>
      <c r="Z1003" s="965" t="str">
        <f>VLOOKUP(L1003,اس!$S$3:$X$31,3,FALSE)</f>
        <v>.</v>
      </c>
    </row>
    <row r="1004" spans="12:26" ht="18.75">
      <c r="L1004" s="777">
        <v>5</v>
      </c>
      <c r="M1004" s="906"/>
      <c r="N1004" s="976">
        <v>0</v>
      </c>
      <c r="O1004" s="1020">
        <v>951</v>
      </c>
      <c r="P1004" s="860" t="e">
        <f>VLOOKUP(N1004,etat!$A$9:$N$1004,2,FALSE)</f>
        <v>#N/A</v>
      </c>
      <c r="Q1004" s="797" t="e">
        <f>VLOOKUP(N1004,etat!$A$9:$N$963,7,FALSE)</f>
        <v>#N/A</v>
      </c>
      <c r="R1004" s="905" t="e">
        <f>VLOOKUP(N1004,etat!$A$9:$N$1003,9,FALSE)</f>
        <v>#N/A</v>
      </c>
      <c r="T1004" s="755"/>
      <c r="U1004" s="791"/>
      <c r="V1004" s="784"/>
      <c r="W1004" s="784"/>
      <c r="X1004" s="784"/>
      <c r="Y1004" s="784"/>
      <c r="Z1004" s="965" t="str">
        <f>VLOOKUP(L1004,اس!$S$3:$X$31,3,FALSE)</f>
        <v>.</v>
      </c>
    </row>
    <row r="1005" spans="12:26" ht="18.75">
      <c r="L1005" s="777">
        <v>5</v>
      </c>
      <c r="M1005" s="906"/>
      <c r="N1005" s="976">
        <v>0</v>
      </c>
      <c r="O1005" s="1020">
        <v>952</v>
      </c>
      <c r="P1005" s="860" t="e">
        <f>VLOOKUP(N1005,etat!$A$9:$N$1004,2,FALSE)</f>
        <v>#N/A</v>
      </c>
      <c r="Q1005" s="797" t="e">
        <f>VLOOKUP(N1005,etat!$A$9:$N$963,7,FALSE)</f>
        <v>#N/A</v>
      </c>
      <c r="R1005" s="905" t="e">
        <f>VLOOKUP(N1005,etat!$A$9:$N$1003,9,FALSE)</f>
        <v>#N/A</v>
      </c>
      <c r="T1005" s="755"/>
      <c r="U1005" s="791"/>
      <c r="V1005" s="784"/>
      <c r="W1005" s="784"/>
      <c r="X1005" s="784"/>
      <c r="Y1005" s="784"/>
      <c r="Z1005" s="965" t="str">
        <f>VLOOKUP(L1005,اس!$S$3:$X$31,3,FALSE)</f>
        <v>.</v>
      </c>
    </row>
    <row r="1006" spans="12:26" ht="18.75">
      <c r="L1006" s="777">
        <v>5</v>
      </c>
      <c r="M1006" s="906"/>
      <c r="N1006" s="976">
        <v>0</v>
      </c>
      <c r="O1006" s="1020">
        <v>953</v>
      </c>
      <c r="P1006" s="860" t="e">
        <f>VLOOKUP(N1006,etat!$A$9:$N$1004,2,FALSE)</f>
        <v>#N/A</v>
      </c>
      <c r="Q1006" s="797" t="e">
        <f>VLOOKUP(N1006,etat!$A$9:$N$963,7,FALSE)</f>
        <v>#N/A</v>
      </c>
      <c r="R1006" s="905" t="e">
        <f>VLOOKUP(N1006,etat!$A$9:$N$1003,9,FALSE)</f>
        <v>#N/A</v>
      </c>
      <c r="T1006" s="755"/>
      <c r="U1006" s="791"/>
      <c r="V1006" s="784"/>
      <c r="W1006" s="784"/>
      <c r="X1006" s="784"/>
      <c r="Y1006" s="784"/>
      <c r="Z1006" s="965" t="str">
        <f>VLOOKUP(L1006,اس!$S$3:$X$31,3,FALSE)</f>
        <v>.</v>
      </c>
    </row>
    <row r="1007" spans="12:26" ht="18.75">
      <c r="L1007" s="777">
        <v>5</v>
      </c>
      <c r="M1007" s="906"/>
      <c r="N1007" s="976">
        <v>0</v>
      </c>
      <c r="O1007" s="1020">
        <v>954</v>
      </c>
      <c r="P1007" s="860" t="e">
        <f>VLOOKUP(N1007,etat!$A$9:$N$1004,2,FALSE)</f>
        <v>#N/A</v>
      </c>
      <c r="Q1007" s="797" t="e">
        <f>VLOOKUP(N1007,etat!$A$9:$N$963,7,FALSE)</f>
        <v>#N/A</v>
      </c>
      <c r="R1007" s="905" t="e">
        <f>VLOOKUP(N1007,etat!$A$9:$N$1003,9,FALSE)</f>
        <v>#N/A</v>
      </c>
      <c r="T1007" s="755"/>
      <c r="U1007" s="791"/>
      <c r="V1007" s="784"/>
      <c r="W1007" s="784"/>
      <c r="X1007" s="784"/>
      <c r="Y1007" s="784"/>
      <c r="Z1007" s="965" t="str">
        <f>VLOOKUP(L1007,اس!$S$3:$X$31,3,FALSE)</f>
        <v>.</v>
      </c>
    </row>
    <row r="1008" spans="12:26" ht="18.75">
      <c r="L1008" s="777">
        <v>5</v>
      </c>
      <c r="M1008" s="906"/>
      <c r="N1008" s="976">
        <v>0</v>
      </c>
      <c r="O1008" s="1020">
        <v>955</v>
      </c>
      <c r="P1008" s="860" t="e">
        <f>VLOOKUP(N1008,etat!$A$9:$N$1004,2,FALSE)</f>
        <v>#N/A</v>
      </c>
      <c r="Q1008" s="797" t="e">
        <f>VLOOKUP(N1008,etat!$A$9:$N$963,7,FALSE)</f>
        <v>#N/A</v>
      </c>
      <c r="R1008" s="905" t="e">
        <f>VLOOKUP(N1008,etat!$A$9:$N$1003,9,FALSE)</f>
        <v>#N/A</v>
      </c>
      <c r="T1008" s="755"/>
      <c r="U1008" s="791"/>
      <c r="V1008" s="784"/>
      <c r="W1008" s="784"/>
      <c r="X1008" s="784"/>
      <c r="Y1008" s="784"/>
      <c r="Z1008" s="965" t="str">
        <f>VLOOKUP(L1008,اس!$S$3:$X$31,3,FALSE)</f>
        <v>.</v>
      </c>
    </row>
    <row r="1009" spans="12:26" ht="18.75">
      <c r="L1009" s="777">
        <v>5</v>
      </c>
      <c r="M1009" s="906"/>
      <c r="N1009" s="976">
        <v>0</v>
      </c>
      <c r="O1009" s="1020">
        <v>956</v>
      </c>
      <c r="P1009" s="860" t="e">
        <f>VLOOKUP(N1009,etat!$A$9:$N$1004,2,FALSE)</f>
        <v>#N/A</v>
      </c>
      <c r="Q1009" s="797" t="e">
        <f>VLOOKUP(N1009,etat!$A$9:$N$963,7,FALSE)</f>
        <v>#N/A</v>
      </c>
      <c r="R1009" s="905" t="e">
        <f>VLOOKUP(N1009,etat!$A$9:$N$1003,9,FALSE)</f>
        <v>#N/A</v>
      </c>
      <c r="T1009" s="755"/>
      <c r="U1009" s="791"/>
      <c r="V1009" s="784"/>
      <c r="W1009" s="784"/>
      <c r="X1009" s="784"/>
      <c r="Y1009" s="784"/>
      <c r="Z1009" s="965" t="str">
        <f>VLOOKUP(L1009,اس!$S$3:$X$31,3,FALSE)</f>
        <v>.</v>
      </c>
    </row>
    <row r="1010" spans="12:26" ht="18.75">
      <c r="L1010" s="777">
        <v>5</v>
      </c>
      <c r="M1010" s="906"/>
      <c r="N1010" s="976">
        <v>0</v>
      </c>
      <c r="O1010" s="1020">
        <v>957</v>
      </c>
      <c r="P1010" s="860" t="e">
        <f>VLOOKUP(N1010,etat!$A$9:$N$1004,2,FALSE)</f>
        <v>#N/A</v>
      </c>
      <c r="Q1010" s="797" t="e">
        <f>VLOOKUP(N1010,etat!$A$9:$N$963,7,FALSE)</f>
        <v>#N/A</v>
      </c>
      <c r="R1010" s="905" t="e">
        <f>VLOOKUP(N1010,etat!$A$9:$N$1003,9,FALSE)</f>
        <v>#N/A</v>
      </c>
      <c r="T1010" s="755"/>
      <c r="U1010" s="791"/>
      <c r="V1010" s="784"/>
      <c r="W1010" s="784"/>
      <c r="X1010" s="784"/>
      <c r="Y1010" s="784"/>
      <c r="Z1010" s="965" t="str">
        <f>VLOOKUP(L1010,اس!$S$3:$X$31,3,FALSE)</f>
        <v>.</v>
      </c>
    </row>
    <row r="1011" spans="12:26" ht="18.75">
      <c r="L1011" s="777">
        <v>5</v>
      </c>
      <c r="M1011" s="906"/>
      <c r="N1011" s="976">
        <v>0</v>
      </c>
      <c r="O1011" s="1020">
        <v>958</v>
      </c>
      <c r="P1011" s="860" t="e">
        <f>VLOOKUP(N1011,etat!$A$9:$N$1004,2,FALSE)</f>
        <v>#N/A</v>
      </c>
      <c r="Q1011" s="797" t="e">
        <f>VLOOKUP(N1011,etat!$A$9:$N$963,7,FALSE)</f>
        <v>#N/A</v>
      </c>
      <c r="R1011" s="905" t="e">
        <f>VLOOKUP(N1011,etat!$A$9:$N$1003,9,FALSE)</f>
        <v>#N/A</v>
      </c>
      <c r="T1011" s="755"/>
      <c r="U1011" s="791"/>
      <c r="V1011" s="784"/>
      <c r="W1011" s="784"/>
      <c r="X1011" s="784"/>
      <c r="Y1011" s="784"/>
      <c r="Z1011" s="965" t="str">
        <f>VLOOKUP(L1011,اس!$S$3:$X$31,3,FALSE)</f>
        <v>.</v>
      </c>
    </row>
    <row r="1012" spans="12:26" ht="18.75">
      <c r="L1012" s="777">
        <v>5</v>
      </c>
      <c r="M1012" s="906"/>
      <c r="N1012" s="976">
        <v>0</v>
      </c>
      <c r="O1012" s="1020">
        <v>959</v>
      </c>
      <c r="P1012" s="860" t="e">
        <f>VLOOKUP(N1012,etat!$A$9:$N$1004,2,FALSE)</f>
        <v>#N/A</v>
      </c>
      <c r="Q1012" s="797" t="e">
        <f>VLOOKUP(N1012,etat!$A$9:$N$963,7,FALSE)</f>
        <v>#N/A</v>
      </c>
      <c r="R1012" s="905" t="e">
        <f>VLOOKUP(N1012,etat!$A$9:$N$1003,9,FALSE)</f>
        <v>#N/A</v>
      </c>
      <c r="T1012" s="755"/>
      <c r="U1012" s="791"/>
      <c r="V1012" s="784"/>
      <c r="W1012" s="784"/>
      <c r="X1012" s="784"/>
      <c r="Y1012" s="784"/>
      <c r="Z1012" s="965" t="str">
        <f>VLOOKUP(L1012,اس!$S$3:$X$31,3,FALSE)</f>
        <v>.</v>
      </c>
    </row>
    <row r="1013" spans="12:26" ht="18.75">
      <c r="L1013" s="777">
        <v>5</v>
      </c>
      <c r="M1013" s="906"/>
      <c r="N1013" s="976">
        <v>0</v>
      </c>
      <c r="O1013" s="1020">
        <v>960</v>
      </c>
      <c r="P1013" s="860" t="e">
        <f>VLOOKUP(N1013,etat!$A$9:$N$1004,2,FALSE)</f>
        <v>#N/A</v>
      </c>
      <c r="Q1013" s="797" t="e">
        <f>VLOOKUP(N1013,etat!$A$9:$N$963,7,FALSE)</f>
        <v>#N/A</v>
      </c>
      <c r="R1013" s="905" t="e">
        <f>VLOOKUP(N1013,etat!$A$9:$N$1003,9,FALSE)</f>
        <v>#N/A</v>
      </c>
      <c r="T1013" s="755"/>
      <c r="U1013" s="791"/>
      <c r="V1013" s="784"/>
      <c r="W1013" s="784"/>
      <c r="X1013" s="784"/>
      <c r="Y1013" s="784"/>
      <c r="Z1013" s="965" t="str">
        <f>VLOOKUP(L1013,اس!$S$3:$X$31,3,FALSE)</f>
        <v>.</v>
      </c>
    </row>
    <row r="1014" spans="12:26" ht="18.75">
      <c r="L1014" s="777">
        <v>5</v>
      </c>
      <c r="M1014" s="906"/>
      <c r="N1014" s="976">
        <v>0</v>
      </c>
      <c r="O1014" s="1020">
        <v>961</v>
      </c>
      <c r="P1014" s="860" t="e">
        <f>VLOOKUP(N1014,etat!$A$9:$N$1004,2,FALSE)</f>
        <v>#N/A</v>
      </c>
      <c r="Q1014" s="797" t="e">
        <f>VLOOKUP(N1014,etat!$A$9:$N$963,7,FALSE)</f>
        <v>#N/A</v>
      </c>
      <c r="R1014" s="905" t="e">
        <f>VLOOKUP(N1014,etat!$A$9:$N$1003,9,FALSE)</f>
        <v>#N/A</v>
      </c>
      <c r="T1014" s="755"/>
      <c r="U1014" s="791"/>
      <c r="V1014" s="784"/>
      <c r="W1014" s="784"/>
      <c r="X1014" s="784"/>
      <c r="Y1014" s="784"/>
      <c r="Z1014" s="965" t="str">
        <f>VLOOKUP(L1014,اس!$S$3:$X$31,3,FALSE)</f>
        <v>.</v>
      </c>
    </row>
    <row r="1015" spans="12:26" ht="18.75">
      <c r="L1015" s="777">
        <v>5</v>
      </c>
      <c r="M1015" s="906"/>
      <c r="N1015" s="976">
        <v>0</v>
      </c>
      <c r="O1015" s="1020">
        <v>962</v>
      </c>
      <c r="P1015" s="860" t="e">
        <f>VLOOKUP(N1015,etat!$A$9:$N$1004,2,FALSE)</f>
        <v>#N/A</v>
      </c>
      <c r="Q1015" s="797" t="e">
        <f>VLOOKUP(N1015,etat!$A$9:$N$963,7,FALSE)</f>
        <v>#N/A</v>
      </c>
      <c r="R1015" s="905" t="e">
        <f>VLOOKUP(N1015,etat!$A$9:$N$1003,9,FALSE)</f>
        <v>#N/A</v>
      </c>
      <c r="T1015" s="755"/>
      <c r="U1015" s="791"/>
      <c r="V1015" s="784"/>
      <c r="W1015" s="784"/>
      <c r="X1015" s="784"/>
      <c r="Y1015" s="784"/>
      <c r="Z1015" s="965" t="str">
        <f>VLOOKUP(L1015,اس!$S$3:$X$31,3,FALSE)</f>
        <v>.</v>
      </c>
    </row>
    <row r="1016" spans="12:26" ht="18.75">
      <c r="L1016" s="777">
        <v>5</v>
      </c>
      <c r="M1016" s="906"/>
      <c r="N1016" s="976">
        <v>0</v>
      </c>
      <c r="O1016" s="1020">
        <v>963</v>
      </c>
      <c r="P1016" s="860" t="e">
        <f>VLOOKUP(N1016,etat!$A$9:$N$1004,2,FALSE)</f>
        <v>#N/A</v>
      </c>
      <c r="Q1016" s="797" t="e">
        <f>VLOOKUP(N1016,etat!$A$9:$N$963,7,FALSE)</f>
        <v>#N/A</v>
      </c>
      <c r="R1016" s="905" t="e">
        <f>VLOOKUP(N1016,etat!$A$9:$N$1003,9,FALSE)</f>
        <v>#N/A</v>
      </c>
      <c r="T1016" s="755"/>
      <c r="U1016" s="791"/>
      <c r="V1016" s="784"/>
      <c r="W1016" s="784"/>
      <c r="X1016" s="784"/>
      <c r="Y1016" s="784"/>
      <c r="Z1016" s="965" t="str">
        <f>VLOOKUP(L1016,اس!$S$3:$X$31,3,FALSE)</f>
        <v>.</v>
      </c>
    </row>
    <row r="1017" spans="12:26" ht="18.75">
      <c r="L1017" s="777">
        <v>5</v>
      </c>
      <c r="M1017" s="906"/>
      <c r="N1017" s="976">
        <v>0</v>
      </c>
      <c r="O1017" s="1020">
        <v>964</v>
      </c>
      <c r="P1017" s="860" t="e">
        <f>VLOOKUP(N1017,etat!$A$9:$N$1004,2,FALSE)</f>
        <v>#N/A</v>
      </c>
      <c r="Q1017" s="797" t="e">
        <f>VLOOKUP(N1017,etat!$A$9:$N$963,7,FALSE)</f>
        <v>#N/A</v>
      </c>
      <c r="R1017" s="905" t="e">
        <f>VLOOKUP(N1017,etat!$A$9:$N$1003,9,FALSE)</f>
        <v>#N/A</v>
      </c>
      <c r="T1017" s="755"/>
      <c r="U1017" s="791"/>
      <c r="V1017" s="784"/>
      <c r="W1017" s="784"/>
      <c r="X1017" s="784"/>
      <c r="Y1017" s="784"/>
      <c r="Z1017" s="965" t="str">
        <f>VLOOKUP(L1017,اس!$S$3:$X$31,3,FALSE)</f>
        <v>.</v>
      </c>
    </row>
    <row r="1018" spans="12:26" ht="18.75">
      <c r="L1018" s="777">
        <v>5</v>
      </c>
      <c r="M1018" s="906"/>
      <c r="N1018" s="976">
        <v>0</v>
      </c>
      <c r="O1018" s="1020">
        <v>965</v>
      </c>
      <c r="P1018" s="860" t="e">
        <f>VLOOKUP(N1018,etat!$A$9:$N$1004,2,FALSE)</f>
        <v>#N/A</v>
      </c>
      <c r="Q1018" s="797" t="e">
        <f>VLOOKUP(N1018,etat!$A$9:$N$963,7,FALSE)</f>
        <v>#N/A</v>
      </c>
      <c r="R1018" s="905" t="e">
        <f>VLOOKUP(N1018,etat!$A$9:$N$1003,9,FALSE)</f>
        <v>#N/A</v>
      </c>
      <c r="T1018" s="755"/>
      <c r="U1018" s="791"/>
      <c r="V1018" s="784"/>
      <c r="W1018" s="784"/>
      <c r="X1018" s="784"/>
      <c r="Y1018" s="784"/>
      <c r="Z1018" s="965" t="str">
        <f>VLOOKUP(L1018,اس!$S$3:$X$31,3,FALSE)</f>
        <v>.</v>
      </c>
    </row>
    <row r="1019" spans="12:26" ht="18.75">
      <c r="L1019" s="777">
        <v>5</v>
      </c>
      <c r="M1019" s="906"/>
      <c r="N1019" s="976">
        <v>0</v>
      </c>
      <c r="O1019" s="1020">
        <v>966</v>
      </c>
      <c r="P1019" s="860" t="e">
        <f>VLOOKUP(N1019,etat!$A$9:$N$1004,2,FALSE)</f>
        <v>#N/A</v>
      </c>
      <c r="Q1019" s="797" t="e">
        <f>VLOOKUP(N1019,etat!$A$9:$N$963,7,FALSE)</f>
        <v>#N/A</v>
      </c>
      <c r="R1019" s="905" t="e">
        <f>VLOOKUP(N1019,etat!$A$9:$N$1003,9,FALSE)</f>
        <v>#N/A</v>
      </c>
      <c r="T1019" s="755"/>
      <c r="U1019" s="791"/>
      <c r="V1019" s="784"/>
      <c r="W1019" s="784"/>
      <c r="X1019" s="784"/>
      <c r="Y1019" s="784"/>
      <c r="Z1019" s="965" t="str">
        <f>VLOOKUP(L1019,اس!$S$3:$X$31,3,FALSE)</f>
        <v>.</v>
      </c>
    </row>
    <row r="1020" spans="12:26" ht="18.75">
      <c r="L1020" s="777">
        <v>5</v>
      </c>
      <c r="M1020" s="906"/>
      <c r="N1020" s="976">
        <v>0</v>
      </c>
      <c r="O1020" s="1020">
        <v>967</v>
      </c>
      <c r="P1020" s="860" t="e">
        <f>VLOOKUP(N1020,etat!$A$9:$N$1004,2,FALSE)</f>
        <v>#N/A</v>
      </c>
      <c r="Q1020" s="797" t="e">
        <f>VLOOKUP(N1020,etat!$A$9:$N$963,7,FALSE)</f>
        <v>#N/A</v>
      </c>
      <c r="R1020" s="905" t="e">
        <f>VLOOKUP(N1020,etat!$A$9:$N$1003,9,FALSE)</f>
        <v>#N/A</v>
      </c>
      <c r="T1020" s="755"/>
      <c r="U1020" s="791"/>
      <c r="V1020" s="784"/>
      <c r="W1020" s="784"/>
      <c r="X1020" s="784"/>
      <c r="Y1020" s="784"/>
      <c r="Z1020" s="965" t="str">
        <f>VLOOKUP(L1020,اس!$S$3:$X$31,3,FALSE)</f>
        <v>.</v>
      </c>
    </row>
    <row r="1021" spans="12:26" ht="18.75">
      <c r="L1021" s="777">
        <v>5</v>
      </c>
      <c r="M1021" s="906"/>
      <c r="N1021" s="976">
        <v>0</v>
      </c>
      <c r="O1021" s="1020">
        <v>968</v>
      </c>
      <c r="P1021" s="860" t="e">
        <f>VLOOKUP(N1021,etat!$A$9:$N$1004,2,FALSE)</f>
        <v>#N/A</v>
      </c>
      <c r="Q1021" s="797" t="e">
        <f>VLOOKUP(N1021,etat!$A$9:$N$963,7,FALSE)</f>
        <v>#N/A</v>
      </c>
      <c r="R1021" s="905" t="e">
        <f>VLOOKUP(N1021,etat!$A$9:$N$1003,9,FALSE)</f>
        <v>#N/A</v>
      </c>
      <c r="T1021" s="755"/>
      <c r="U1021" s="791"/>
      <c r="V1021" s="784"/>
      <c r="W1021" s="784"/>
      <c r="X1021" s="784"/>
      <c r="Y1021" s="784"/>
      <c r="Z1021" s="965" t="str">
        <f>VLOOKUP(L1021,اس!$S$3:$X$31,3,FALSE)</f>
        <v>.</v>
      </c>
    </row>
    <row r="1022" spans="12:26" ht="18.75">
      <c r="L1022" s="777">
        <v>5</v>
      </c>
      <c r="M1022" s="906"/>
      <c r="N1022" s="976">
        <v>0</v>
      </c>
      <c r="O1022" s="1020">
        <v>969</v>
      </c>
      <c r="P1022" s="860" t="e">
        <f>VLOOKUP(N1022,etat!$A$9:$N$1004,2,FALSE)</f>
        <v>#N/A</v>
      </c>
      <c r="Q1022" s="797" t="e">
        <f>VLOOKUP(N1022,etat!$A$9:$N$963,7,FALSE)</f>
        <v>#N/A</v>
      </c>
      <c r="R1022" s="905" t="e">
        <f>VLOOKUP(N1022,etat!$A$9:$N$1003,9,FALSE)</f>
        <v>#N/A</v>
      </c>
      <c r="T1022" s="755"/>
      <c r="U1022" s="791"/>
      <c r="V1022" s="784"/>
      <c r="W1022" s="784"/>
      <c r="X1022" s="784"/>
      <c r="Y1022" s="784"/>
      <c r="Z1022" s="965" t="str">
        <f>VLOOKUP(L1022,اس!$S$3:$X$31,3,FALSE)</f>
        <v>.</v>
      </c>
    </row>
    <row r="1023" spans="12:26" ht="18.75">
      <c r="L1023" s="777">
        <v>5</v>
      </c>
      <c r="M1023" s="906"/>
      <c r="N1023" s="976">
        <v>0</v>
      </c>
      <c r="O1023" s="1020">
        <v>970</v>
      </c>
      <c r="P1023" s="860" t="e">
        <f>VLOOKUP(N1023,etat!$A$9:$N$1004,2,FALSE)</f>
        <v>#N/A</v>
      </c>
      <c r="Q1023" s="797" t="e">
        <f>VLOOKUP(N1023,etat!$A$9:$N$963,7,FALSE)</f>
        <v>#N/A</v>
      </c>
      <c r="R1023" s="905" t="e">
        <f>VLOOKUP(N1023,etat!$A$9:$N$1003,9,FALSE)</f>
        <v>#N/A</v>
      </c>
      <c r="T1023" s="755"/>
      <c r="U1023" s="791"/>
      <c r="V1023" s="784"/>
      <c r="W1023" s="784"/>
      <c r="X1023" s="784"/>
      <c r="Y1023" s="784"/>
      <c r="Z1023" s="965" t="str">
        <f>VLOOKUP(L1023,اس!$S$3:$X$31,3,FALSE)</f>
        <v>.</v>
      </c>
    </row>
    <row r="1024" spans="12:26" ht="18.75">
      <c r="L1024" s="777">
        <v>5</v>
      </c>
      <c r="M1024" s="906"/>
      <c r="N1024" s="976">
        <v>0</v>
      </c>
      <c r="O1024" s="1020">
        <v>971</v>
      </c>
      <c r="P1024" s="860" t="e">
        <f>VLOOKUP(N1024,etat!$A$9:$N$1004,2,FALSE)</f>
        <v>#N/A</v>
      </c>
      <c r="Q1024" s="797" t="e">
        <f>VLOOKUP(N1024,etat!$A$9:$N$963,7,FALSE)</f>
        <v>#N/A</v>
      </c>
      <c r="R1024" s="905" t="e">
        <f>VLOOKUP(N1024,etat!$A$9:$N$1003,9,FALSE)</f>
        <v>#N/A</v>
      </c>
      <c r="T1024" s="755"/>
      <c r="U1024" s="791"/>
      <c r="V1024" s="784"/>
      <c r="W1024" s="784"/>
      <c r="X1024" s="784"/>
      <c r="Y1024" s="784"/>
      <c r="Z1024" s="965" t="str">
        <f>VLOOKUP(L1024,اس!$S$3:$X$31,3,FALSE)</f>
        <v>.</v>
      </c>
    </row>
    <row r="1025" spans="12:26" ht="18.75">
      <c r="L1025" s="777">
        <v>5</v>
      </c>
      <c r="M1025" s="906"/>
      <c r="N1025" s="976">
        <v>0</v>
      </c>
      <c r="O1025" s="1020">
        <v>972</v>
      </c>
      <c r="P1025" s="860" t="e">
        <f>VLOOKUP(N1025,etat!$A$9:$N$1004,2,FALSE)</f>
        <v>#N/A</v>
      </c>
      <c r="Q1025" s="797" t="e">
        <f>VLOOKUP(N1025,etat!$A$9:$N$963,7,FALSE)</f>
        <v>#N/A</v>
      </c>
      <c r="R1025" s="905" t="e">
        <f>VLOOKUP(N1025,etat!$A$9:$N$1003,9,FALSE)</f>
        <v>#N/A</v>
      </c>
      <c r="T1025" s="755"/>
      <c r="U1025" s="791"/>
      <c r="V1025" s="784"/>
      <c r="W1025" s="784"/>
      <c r="X1025" s="784"/>
      <c r="Y1025" s="784"/>
      <c r="Z1025" s="965" t="str">
        <f>VLOOKUP(L1025,اس!$S$3:$X$31,3,FALSE)</f>
        <v>.</v>
      </c>
    </row>
    <row r="1026" spans="12:26" ht="18.75">
      <c r="L1026" s="777">
        <v>5</v>
      </c>
      <c r="M1026" s="906"/>
      <c r="N1026" s="976">
        <v>0</v>
      </c>
      <c r="O1026" s="1020">
        <v>973</v>
      </c>
      <c r="P1026" s="860" t="e">
        <f>VLOOKUP(N1026,etat!$A$9:$N$1004,2,FALSE)</f>
        <v>#N/A</v>
      </c>
      <c r="Q1026" s="797" t="e">
        <f>VLOOKUP(N1026,etat!$A$9:$N$963,7,FALSE)</f>
        <v>#N/A</v>
      </c>
      <c r="R1026" s="905" t="e">
        <f>VLOOKUP(N1026,etat!$A$9:$N$1003,9,FALSE)</f>
        <v>#N/A</v>
      </c>
      <c r="T1026" s="755"/>
      <c r="U1026" s="791"/>
      <c r="V1026" s="784"/>
      <c r="W1026" s="784"/>
      <c r="X1026" s="784"/>
      <c r="Y1026" s="784"/>
      <c r="Z1026" s="965" t="str">
        <f>VLOOKUP(L1026,اس!$S$3:$X$31,3,FALSE)</f>
        <v>.</v>
      </c>
    </row>
    <row r="1027" spans="12:26" ht="18.75">
      <c r="L1027" s="777">
        <v>5</v>
      </c>
      <c r="M1027" s="906"/>
      <c r="N1027" s="976">
        <v>0</v>
      </c>
      <c r="O1027" s="1020">
        <v>974</v>
      </c>
      <c r="P1027" s="860" t="e">
        <f>VLOOKUP(N1027,etat!$A$9:$N$1004,2,FALSE)</f>
        <v>#N/A</v>
      </c>
      <c r="Q1027" s="797" t="e">
        <f>VLOOKUP(N1027,etat!$A$9:$N$963,7,FALSE)</f>
        <v>#N/A</v>
      </c>
      <c r="R1027" s="905" t="e">
        <f>VLOOKUP(N1027,etat!$A$9:$N$1003,9,FALSE)</f>
        <v>#N/A</v>
      </c>
      <c r="T1027" s="755"/>
      <c r="U1027" s="791"/>
      <c r="V1027" s="784"/>
      <c r="W1027" s="784"/>
      <c r="X1027" s="784"/>
      <c r="Y1027" s="784"/>
      <c r="Z1027" s="965" t="str">
        <f>VLOOKUP(L1027,اس!$S$3:$X$31,3,FALSE)</f>
        <v>.</v>
      </c>
    </row>
    <row r="1028" spans="12:26" ht="18.75">
      <c r="L1028" s="777">
        <v>5</v>
      </c>
      <c r="M1028" s="906"/>
      <c r="N1028" s="976">
        <v>0</v>
      </c>
      <c r="O1028" s="1020">
        <v>975</v>
      </c>
      <c r="P1028" s="860" t="e">
        <f>VLOOKUP(N1028,etat!$A$9:$N$1004,2,FALSE)</f>
        <v>#N/A</v>
      </c>
      <c r="Q1028" s="797" t="e">
        <f>VLOOKUP(N1028,etat!$A$9:$N$963,7,FALSE)</f>
        <v>#N/A</v>
      </c>
      <c r="R1028" s="905" t="e">
        <f>VLOOKUP(N1028,etat!$A$9:$N$1003,9,FALSE)</f>
        <v>#N/A</v>
      </c>
      <c r="T1028" s="755"/>
      <c r="U1028" s="791"/>
      <c r="V1028" s="784"/>
      <c r="W1028" s="784"/>
      <c r="X1028" s="784"/>
      <c r="Y1028" s="784"/>
      <c r="Z1028" s="965" t="str">
        <f>VLOOKUP(L1028,اس!$S$3:$X$31,3,FALSE)</f>
        <v>.</v>
      </c>
    </row>
    <row r="1029" spans="12:26" ht="18.75">
      <c r="L1029" s="777">
        <v>5</v>
      </c>
      <c r="M1029" s="906"/>
      <c r="N1029" s="976">
        <v>0</v>
      </c>
      <c r="O1029" s="1020">
        <v>976</v>
      </c>
      <c r="P1029" s="860" t="e">
        <f>VLOOKUP(N1029,etat!$A$9:$N$1004,2,FALSE)</f>
        <v>#N/A</v>
      </c>
      <c r="Q1029" s="797" t="e">
        <f>VLOOKUP(N1029,etat!$A$9:$N$963,7,FALSE)</f>
        <v>#N/A</v>
      </c>
      <c r="R1029" s="905" t="e">
        <f>VLOOKUP(N1029,etat!$A$9:$N$1003,9,FALSE)</f>
        <v>#N/A</v>
      </c>
      <c r="T1029" s="755"/>
      <c r="U1029" s="791"/>
      <c r="V1029" s="784"/>
      <c r="W1029" s="784"/>
      <c r="X1029" s="784"/>
      <c r="Y1029" s="784"/>
      <c r="Z1029" s="965" t="str">
        <f>VLOOKUP(L1029,اس!$S$3:$X$31,3,FALSE)</f>
        <v>.</v>
      </c>
    </row>
    <row r="1030" spans="12:26" ht="18.75">
      <c r="L1030" s="777">
        <v>5</v>
      </c>
      <c r="M1030" s="906"/>
      <c r="N1030" s="976">
        <v>0</v>
      </c>
      <c r="O1030" s="1020">
        <v>977</v>
      </c>
      <c r="P1030" s="860" t="e">
        <f>VLOOKUP(N1030,etat!$A$9:$N$1004,2,FALSE)</f>
        <v>#N/A</v>
      </c>
      <c r="Q1030" s="797" t="e">
        <f>VLOOKUP(N1030,etat!$A$9:$N$963,7,FALSE)</f>
        <v>#N/A</v>
      </c>
      <c r="R1030" s="905" t="e">
        <f>VLOOKUP(N1030,etat!$A$9:$N$1003,9,FALSE)</f>
        <v>#N/A</v>
      </c>
      <c r="T1030" s="755"/>
      <c r="U1030" s="791"/>
      <c r="V1030" s="784"/>
      <c r="W1030" s="784"/>
      <c r="X1030" s="784"/>
      <c r="Y1030" s="784"/>
      <c r="Z1030" s="965" t="str">
        <f>VLOOKUP(L1030,اس!$S$3:$X$31,3,FALSE)</f>
        <v>.</v>
      </c>
    </row>
    <row r="1031" spans="12:26" ht="18.75">
      <c r="L1031" s="777">
        <v>5</v>
      </c>
      <c r="M1031" s="906"/>
      <c r="N1031" s="976">
        <v>0</v>
      </c>
      <c r="O1031" s="1020">
        <v>978</v>
      </c>
      <c r="P1031" s="860" t="e">
        <f>VLOOKUP(N1031,etat!$A$9:$N$1004,2,FALSE)</f>
        <v>#N/A</v>
      </c>
      <c r="Q1031" s="797" t="e">
        <f>VLOOKUP(N1031,etat!$A$9:$N$963,7,FALSE)</f>
        <v>#N/A</v>
      </c>
      <c r="R1031" s="905" t="e">
        <f>VLOOKUP(N1031,etat!$A$9:$N$1003,9,FALSE)</f>
        <v>#N/A</v>
      </c>
      <c r="T1031" s="755"/>
      <c r="U1031" s="791"/>
      <c r="V1031" s="784"/>
      <c r="W1031" s="784"/>
      <c r="X1031" s="784"/>
      <c r="Y1031" s="784"/>
      <c r="Z1031" s="965" t="str">
        <f>VLOOKUP(L1031,اس!$S$3:$X$31,3,FALSE)</f>
        <v>.</v>
      </c>
    </row>
    <row r="1032" spans="12:26" ht="18.75">
      <c r="L1032" s="777">
        <v>5</v>
      </c>
      <c r="M1032" s="906"/>
      <c r="N1032" s="976">
        <v>0</v>
      </c>
      <c r="O1032" s="1020">
        <v>979</v>
      </c>
      <c r="P1032" s="860" t="e">
        <f>VLOOKUP(N1032,etat!$A$9:$N$1004,2,FALSE)</f>
        <v>#N/A</v>
      </c>
      <c r="Q1032" s="797" t="e">
        <f>VLOOKUP(N1032,etat!$A$9:$N$963,7,FALSE)</f>
        <v>#N/A</v>
      </c>
      <c r="R1032" s="905" t="e">
        <f>VLOOKUP(N1032,etat!$A$9:$N$1003,9,FALSE)</f>
        <v>#N/A</v>
      </c>
      <c r="T1032" s="755"/>
      <c r="U1032" s="791"/>
      <c r="V1032" s="784"/>
      <c r="W1032" s="784"/>
      <c r="X1032" s="784"/>
      <c r="Y1032" s="784"/>
      <c r="Z1032" s="965" t="str">
        <f>VLOOKUP(L1032,اس!$S$3:$X$31,3,FALSE)</f>
        <v>.</v>
      </c>
    </row>
    <row r="1033" spans="12:26" ht="18.75">
      <c r="L1033" s="777">
        <v>5</v>
      </c>
      <c r="M1033" s="906"/>
      <c r="N1033" s="976">
        <v>0</v>
      </c>
      <c r="O1033" s="1020">
        <v>980</v>
      </c>
      <c r="P1033" s="860" t="e">
        <f>VLOOKUP(N1033,etat!$A$9:$N$1004,2,FALSE)</f>
        <v>#N/A</v>
      </c>
      <c r="Q1033" s="797" t="e">
        <f>VLOOKUP(N1033,etat!$A$9:$N$963,7,FALSE)</f>
        <v>#N/A</v>
      </c>
      <c r="R1033" s="905" t="e">
        <f>VLOOKUP(N1033,etat!$A$9:$N$1003,9,FALSE)</f>
        <v>#N/A</v>
      </c>
      <c r="T1033" s="755"/>
      <c r="U1033" s="791"/>
      <c r="V1033" s="784"/>
      <c r="W1033" s="784"/>
      <c r="X1033" s="784"/>
      <c r="Y1033" s="784"/>
      <c r="Z1033" s="965" t="str">
        <f>VLOOKUP(L1033,اس!$S$3:$X$31,3,FALSE)</f>
        <v>.</v>
      </c>
    </row>
    <row r="1034" spans="12:26" ht="18.75">
      <c r="L1034" s="777">
        <v>5</v>
      </c>
      <c r="M1034" s="906"/>
      <c r="N1034" s="976">
        <v>0</v>
      </c>
      <c r="O1034" s="1020">
        <v>981</v>
      </c>
      <c r="P1034" s="860" t="e">
        <f>VLOOKUP(N1034,etat!$A$9:$N$1004,2,FALSE)</f>
        <v>#N/A</v>
      </c>
      <c r="Q1034" s="797" t="e">
        <f>VLOOKUP(N1034,etat!$A$9:$N$963,7,FALSE)</f>
        <v>#N/A</v>
      </c>
      <c r="R1034" s="905" t="e">
        <f>VLOOKUP(N1034,etat!$A$9:$N$1003,9,FALSE)</f>
        <v>#N/A</v>
      </c>
      <c r="T1034" s="755"/>
      <c r="U1034" s="791"/>
      <c r="V1034" s="784"/>
      <c r="W1034" s="784"/>
      <c r="X1034" s="784"/>
      <c r="Y1034" s="784"/>
      <c r="Z1034" s="965" t="str">
        <f>VLOOKUP(L1034,اس!$S$3:$X$31,3,FALSE)</f>
        <v>.</v>
      </c>
    </row>
    <row r="1035" spans="12:26" ht="18.75">
      <c r="L1035" s="777">
        <v>5</v>
      </c>
      <c r="M1035" s="906"/>
      <c r="N1035" s="976">
        <v>0</v>
      </c>
      <c r="O1035" s="1020">
        <v>982</v>
      </c>
      <c r="P1035" s="860" t="e">
        <f>VLOOKUP(N1035,etat!$A$9:$N$1004,2,FALSE)</f>
        <v>#N/A</v>
      </c>
      <c r="Q1035" s="797" t="e">
        <f>VLOOKUP(N1035,etat!$A$9:$N$963,7,FALSE)</f>
        <v>#N/A</v>
      </c>
      <c r="R1035" s="905" t="e">
        <f>VLOOKUP(N1035,etat!$A$9:$N$1003,9,FALSE)</f>
        <v>#N/A</v>
      </c>
      <c r="T1035" s="755"/>
      <c r="U1035" s="791"/>
      <c r="V1035" s="784"/>
      <c r="W1035" s="784"/>
      <c r="X1035" s="784"/>
      <c r="Y1035" s="784"/>
      <c r="Z1035" s="965" t="str">
        <f>VLOOKUP(L1035,اس!$S$3:$X$31,3,FALSE)</f>
        <v>.</v>
      </c>
    </row>
    <row r="1036" spans="12:26" ht="18.75">
      <c r="L1036" s="777">
        <v>5</v>
      </c>
      <c r="M1036" s="906"/>
      <c r="N1036" s="976">
        <v>0</v>
      </c>
      <c r="O1036" s="1020">
        <v>983</v>
      </c>
      <c r="P1036" s="860" t="e">
        <f>VLOOKUP(N1036,etat!$A$9:$N$1004,2,FALSE)</f>
        <v>#N/A</v>
      </c>
      <c r="Q1036" s="797" t="e">
        <f>VLOOKUP(N1036,etat!$A$9:$N$963,7,FALSE)</f>
        <v>#N/A</v>
      </c>
      <c r="R1036" s="905" t="e">
        <f>VLOOKUP(N1036,etat!$A$9:$N$1003,9,FALSE)</f>
        <v>#N/A</v>
      </c>
      <c r="T1036" s="755"/>
      <c r="U1036" s="791"/>
      <c r="V1036" s="784"/>
      <c r="W1036" s="784"/>
      <c r="X1036" s="784"/>
      <c r="Y1036" s="784"/>
      <c r="Z1036" s="965" t="str">
        <f>VLOOKUP(L1036,اس!$S$3:$X$31,3,FALSE)</f>
        <v>.</v>
      </c>
    </row>
    <row r="1037" spans="12:26" ht="18.75">
      <c r="L1037" s="777">
        <v>5</v>
      </c>
      <c r="M1037" s="906"/>
      <c r="N1037" s="976">
        <v>0</v>
      </c>
      <c r="O1037" s="1020">
        <v>984</v>
      </c>
      <c r="P1037" s="860" t="e">
        <f>VLOOKUP(N1037,etat!$A$9:$N$1004,2,FALSE)</f>
        <v>#N/A</v>
      </c>
      <c r="Q1037" s="797" t="e">
        <f>VLOOKUP(N1037,etat!$A$9:$N$963,7,FALSE)</f>
        <v>#N/A</v>
      </c>
      <c r="R1037" s="905" t="e">
        <f>VLOOKUP(N1037,etat!$A$9:$N$1003,9,FALSE)</f>
        <v>#N/A</v>
      </c>
      <c r="T1037" s="755"/>
      <c r="U1037" s="791"/>
      <c r="V1037" s="784"/>
      <c r="W1037" s="784"/>
      <c r="X1037" s="784"/>
      <c r="Y1037" s="784"/>
      <c r="Z1037" s="965" t="str">
        <f>VLOOKUP(L1037,اس!$S$3:$X$31,3,FALSE)</f>
        <v>.</v>
      </c>
    </row>
    <row r="1038" spans="12:26" ht="18.75">
      <c r="L1038" s="777">
        <v>5</v>
      </c>
      <c r="M1038" s="906"/>
      <c r="N1038" s="976">
        <v>0</v>
      </c>
      <c r="O1038" s="1020">
        <v>985</v>
      </c>
      <c r="P1038" s="860" t="e">
        <f>VLOOKUP(N1038,etat!$A$9:$N$1004,2,FALSE)</f>
        <v>#N/A</v>
      </c>
      <c r="Q1038" s="797" t="e">
        <f>VLOOKUP(N1038,etat!$A$9:$N$963,7,FALSE)</f>
        <v>#N/A</v>
      </c>
      <c r="R1038" s="905" t="e">
        <f>VLOOKUP(N1038,etat!$A$9:$N$1003,9,FALSE)</f>
        <v>#N/A</v>
      </c>
      <c r="T1038" s="755"/>
      <c r="U1038" s="791"/>
      <c r="V1038" s="784"/>
      <c r="W1038" s="784"/>
      <c r="X1038" s="784"/>
      <c r="Y1038" s="784"/>
      <c r="Z1038" s="965" t="str">
        <f>VLOOKUP(L1038,اس!$S$3:$X$31,3,FALSE)</f>
        <v>.</v>
      </c>
    </row>
    <row r="1039" spans="12:26" ht="18.75">
      <c r="L1039" s="777">
        <v>5</v>
      </c>
      <c r="M1039" s="906"/>
      <c r="N1039" s="976">
        <v>0</v>
      </c>
      <c r="O1039" s="1020">
        <v>986</v>
      </c>
      <c r="P1039" s="860" t="e">
        <f>VLOOKUP(N1039,etat!$A$9:$N$1004,2,FALSE)</f>
        <v>#N/A</v>
      </c>
      <c r="Q1039" s="797" t="e">
        <f>VLOOKUP(N1039,etat!$A$9:$N$963,7,FALSE)</f>
        <v>#N/A</v>
      </c>
      <c r="R1039" s="905" t="e">
        <f>VLOOKUP(N1039,etat!$A$9:$N$1003,9,FALSE)</f>
        <v>#N/A</v>
      </c>
      <c r="T1039" s="755"/>
      <c r="U1039" s="791"/>
      <c r="V1039" s="784"/>
      <c r="W1039" s="784"/>
      <c r="X1039" s="784"/>
      <c r="Y1039" s="784"/>
      <c r="Z1039" s="965" t="str">
        <f>VLOOKUP(L1039,اس!$S$3:$X$31,3,FALSE)</f>
        <v>.</v>
      </c>
    </row>
    <row r="1040" spans="12:26" ht="18.75">
      <c r="L1040" s="777">
        <v>5</v>
      </c>
      <c r="M1040" s="906"/>
      <c r="N1040" s="976">
        <v>0</v>
      </c>
      <c r="O1040" s="1020">
        <v>987</v>
      </c>
      <c r="P1040" s="860" t="e">
        <f>VLOOKUP(N1040,etat!$A$9:$N$1004,2,FALSE)</f>
        <v>#N/A</v>
      </c>
      <c r="Q1040" s="797" t="e">
        <f>VLOOKUP(N1040,etat!$A$9:$N$963,7,FALSE)</f>
        <v>#N/A</v>
      </c>
      <c r="R1040" s="905" t="e">
        <f>VLOOKUP(N1040,etat!$A$9:$N$1003,9,FALSE)</f>
        <v>#N/A</v>
      </c>
      <c r="T1040" s="755"/>
      <c r="U1040" s="791"/>
      <c r="V1040" s="784"/>
      <c r="W1040" s="784"/>
      <c r="X1040" s="784"/>
      <c r="Y1040" s="784"/>
      <c r="Z1040" s="965" t="str">
        <f>VLOOKUP(L1040,اس!$S$3:$X$31,3,FALSE)</f>
        <v>.</v>
      </c>
    </row>
    <row r="1041" spans="12:26" ht="18.75">
      <c r="L1041" s="777">
        <v>5</v>
      </c>
      <c r="M1041" s="906"/>
      <c r="N1041" s="976">
        <v>0</v>
      </c>
      <c r="O1041" s="1020">
        <v>988</v>
      </c>
      <c r="P1041" s="860" t="e">
        <f>VLOOKUP(N1041,etat!$A$9:$N$1004,2,FALSE)</f>
        <v>#N/A</v>
      </c>
      <c r="Q1041" s="797" t="e">
        <f>VLOOKUP(N1041,etat!$A$9:$N$963,7,FALSE)</f>
        <v>#N/A</v>
      </c>
      <c r="R1041" s="905" t="e">
        <f>VLOOKUP(N1041,etat!$A$9:$N$1003,9,FALSE)</f>
        <v>#N/A</v>
      </c>
      <c r="T1041" s="755"/>
      <c r="U1041" s="791"/>
      <c r="V1041" s="784"/>
      <c r="W1041" s="784"/>
      <c r="X1041" s="784"/>
      <c r="Y1041" s="784"/>
      <c r="Z1041" s="965" t="str">
        <f>VLOOKUP(L1041,اس!$S$3:$X$31,3,FALSE)</f>
        <v>.</v>
      </c>
    </row>
    <row r="1042" spans="12:26" ht="18.75">
      <c r="L1042" s="777">
        <v>5</v>
      </c>
      <c r="M1042" s="906"/>
      <c r="N1042" s="976">
        <v>0</v>
      </c>
      <c r="O1042" s="1020">
        <v>989</v>
      </c>
      <c r="P1042" s="860" t="e">
        <f>VLOOKUP(N1042,etat!$A$9:$N$1004,2,FALSE)</f>
        <v>#N/A</v>
      </c>
      <c r="Q1042" s="797" t="e">
        <f>VLOOKUP(N1042,etat!$A$9:$N$963,7,FALSE)</f>
        <v>#N/A</v>
      </c>
      <c r="R1042" s="905" t="e">
        <f>VLOOKUP(N1042,etat!$A$9:$N$1003,9,FALSE)</f>
        <v>#N/A</v>
      </c>
      <c r="T1042" s="755"/>
      <c r="U1042" s="791"/>
      <c r="V1042" s="784"/>
      <c r="W1042" s="784"/>
      <c r="X1042" s="784"/>
      <c r="Y1042" s="784"/>
      <c r="Z1042" s="965" t="str">
        <f>VLOOKUP(L1042,اس!$S$3:$X$31,3,FALSE)</f>
        <v>.</v>
      </c>
    </row>
    <row r="1043" spans="12:26" ht="18.75">
      <c r="L1043" s="777">
        <v>5</v>
      </c>
      <c r="M1043" s="906"/>
      <c r="N1043" s="976">
        <v>0</v>
      </c>
      <c r="O1043" s="1020">
        <v>990</v>
      </c>
      <c r="P1043" s="860" t="e">
        <f>VLOOKUP(N1043,etat!$A$9:$N$1004,2,FALSE)</f>
        <v>#N/A</v>
      </c>
      <c r="Q1043" s="797" t="e">
        <f>VLOOKUP(N1043,etat!$A$9:$N$963,7,FALSE)</f>
        <v>#N/A</v>
      </c>
      <c r="R1043" s="905" t="e">
        <f>VLOOKUP(N1043,etat!$A$9:$N$1003,9,FALSE)</f>
        <v>#N/A</v>
      </c>
      <c r="T1043" s="755"/>
      <c r="U1043" s="791"/>
      <c r="V1043" s="784"/>
      <c r="W1043" s="784"/>
      <c r="X1043" s="784"/>
      <c r="Y1043" s="784"/>
      <c r="Z1043" s="965" t="str">
        <f>VLOOKUP(L1043,اس!$S$3:$X$31,3,FALSE)</f>
        <v>.</v>
      </c>
    </row>
    <row r="1044" spans="12:26" ht="18.75">
      <c r="L1044" s="777">
        <v>5</v>
      </c>
      <c r="M1044" s="906"/>
      <c r="N1044" s="976">
        <v>0</v>
      </c>
      <c r="O1044" s="1020">
        <v>991</v>
      </c>
      <c r="P1044" s="860" t="e">
        <f>VLOOKUP(N1044,etat!$A$9:$N$1004,2,FALSE)</f>
        <v>#N/A</v>
      </c>
      <c r="Q1044" s="797" t="e">
        <f>VLOOKUP(N1044,etat!$A$9:$N$963,7,FALSE)</f>
        <v>#N/A</v>
      </c>
      <c r="R1044" s="905" t="e">
        <f>VLOOKUP(N1044,etat!$A$9:$N$1003,9,FALSE)</f>
        <v>#N/A</v>
      </c>
      <c r="T1044" s="755"/>
      <c r="U1044" s="791"/>
      <c r="V1044" s="784"/>
      <c r="W1044" s="784"/>
      <c r="X1044" s="784"/>
      <c r="Y1044" s="784"/>
      <c r="Z1044" s="965" t="str">
        <f>VLOOKUP(L1044,اس!$S$3:$X$31,3,FALSE)</f>
        <v>.</v>
      </c>
    </row>
    <row r="1045" spans="12:26" ht="18.75">
      <c r="L1045" s="777">
        <v>5</v>
      </c>
      <c r="M1045" s="906"/>
      <c r="N1045" s="976">
        <v>0</v>
      </c>
      <c r="O1045" s="1020">
        <v>992</v>
      </c>
      <c r="P1045" s="860" t="e">
        <f>VLOOKUP(N1045,etat!$A$9:$N$1004,2,FALSE)</f>
        <v>#N/A</v>
      </c>
      <c r="Q1045" s="797" t="e">
        <f>VLOOKUP(N1045,etat!$A$9:$N$963,7,FALSE)</f>
        <v>#N/A</v>
      </c>
      <c r="R1045" s="905" t="e">
        <f>VLOOKUP(N1045,etat!$A$9:$N$1003,9,FALSE)</f>
        <v>#N/A</v>
      </c>
      <c r="T1045" s="755"/>
      <c r="U1045" s="791"/>
      <c r="V1045" s="784"/>
      <c r="W1045" s="784"/>
      <c r="X1045" s="784"/>
      <c r="Y1045" s="784"/>
      <c r="Z1045" s="965" t="str">
        <f>VLOOKUP(L1045,اس!$S$3:$X$31,3,FALSE)</f>
        <v>.</v>
      </c>
    </row>
    <row r="1046" spans="12:26" ht="18.75">
      <c r="L1046" s="777">
        <v>5</v>
      </c>
      <c r="M1046" s="906"/>
      <c r="N1046" s="976">
        <v>0</v>
      </c>
      <c r="O1046" s="1020">
        <v>993</v>
      </c>
      <c r="P1046" s="860" t="e">
        <f>VLOOKUP(N1046,etat!$A$9:$N$1004,2,FALSE)</f>
        <v>#N/A</v>
      </c>
      <c r="Q1046" s="797" t="e">
        <f>VLOOKUP(N1046,etat!$A$9:$N$963,7,FALSE)</f>
        <v>#N/A</v>
      </c>
      <c r="R1046" s="905" t="e">
        <f>VLOOKUP(N1046,etat!$A$9:$N$1003,9,FALSE)</f>
        <v>#N/A</v>
      </c>
      <c r="T1046" s="755"/>
      <c r="U1046" s="791"/>
      <c r="V1046" s="784"/>
      <c r="W1046" s="784"/>
      <c r="X1046" s="784"/>
      <c r="Y1046" s="784"/>
      <c r="Z1046" s="965" t="str">
        <f>VLOOKUP(L1046,اس!$S$3:$X$31,3,FALSE)</f>
        <v>.</v>
      </c>
    </row>
    <row r="1047" spans="12:26" ht="18.75">
      <c r="L1047" s="777">
        <v>5</v>
      </c>
      <c r="M1047" s="906"/>
      <c r="N1047" s="976">
        <v>0</v>
      </c>
      <c r="O1047" s="1020">
        <v>994</v>
      </c>
      <c r="P1047" s="860" t="e">
        <f>VLOOKUP(N1047,etat!$A$9:$N$1004,2,FALSE)</f>
        <v>#N/A</v>
      </c>
      <c r="Q1047" s="797" t="e">
        <f>VLOOKUP(N1047,etat!$A$9:$N$963,7,FALSE)</f>
        <v>#N/A</v>
      </c>
      <c r="R1047" s="905" t="e">
        <f>VLOOKUP(N1047,etat!$A$9:$N$1003,9,FALSE)</f>
        <v>#N/A</v>
      </c>
      <c r="T1047" s="755"/>
      <c r="U1047" s="791"/>
      <c r="V1047" s="784"/>
      <c r="W1047" s="784"/>
      <c r="X1047" s="784"/>
      <c r="Y1047" s="784"/>
      <c r="Z1047" s="965" t="str">
        <f>VLOOKUP(L1047,اس!$S$3:$X$31,3,FALSE)</f>
        <v>.</v>
      </c>
    </row>
    <row r="1048" spans="12:26" ht="18.75">
      <c r="L1048" s="777">
        <v>5</v>
      </c>
      <c r="M1048" s="906"/>
      <c r="N1048" s="976">
        <v>0</v>
      </c>
      <c r="O1048" s="1020">
        <v>995</v>
      </c>
      <c r="P1048" s="860" t="e">
        <f>VLOOKUP(N1048,etat!$A$9:$N$1004,2,FALSE)</f>
        <v>#N/A</v>
      </c>
      <c r="Q1048" s="797" t="e">
        <f>VLOOKUP(N1048,etat!$A$9:$N$963,7,FALSE)</f>
        <v>#N/A</v>
      </c>
      <c r="R1048" s="905" t="e">
        <f>VLOOKUP(N1048,etat!$A$9:$N$1003,9,FALSE)</f>
        <v>#N/A</v>
      </c>
      <c r="T1048" s="755"/>
      <c r="U1048" s="791"/>
      <c r="V1048" s="784"/>
      <c r="W1048" s="784"/>
      <c r="X1048" s="784"/>
      <c r="Y1048" s="784"/>
      <c r="Z1048" s="965" t="str">
        <f>VLOOKUP(L1048,اس!$S$3:$X$31,3,FALSE)</f>
        <v>.</v>
      </c>
    </row>
    <row r="1049" spans="12:26" ht="18.75">
      <c r="L1049" s="777">
        <v>5</v>
      </c>
      <c r="M1049" s="906"/>
      <c r="N1049" s="976">
        <v>0</v>
      </c>
      <c r="O1049" s="1020">
        <v>996</v>
      </c>
      <c r="P1049" s="860" t="e">
        <f>VLOOKUP(N1049,etat!$A$9:$N$1004,2,FALSE)</f>
        <v>#N/A</v>
      </c>
      <c r="Q1049" s="797" t="e">
        <f>VLOOKUP(N1049,etat!$A$9:$N$963,7,FALSE)</f>
        <v>#N/A</v>
      </c>
      <c r="R1049" s="905" t="e">
        <f>VLOOKUP(N1049,etat!$A$9:$N$1003,9,FALSE)</f>
        <v>#N/A</v>
      </c>
      <c r="T1049" s="755"/>
      <c r="U1049" s="791"/>
      <c r="V1049" s="784"/>
      <c r="W1049" s="784"/>
      <c r="X1049" s="784"/>
      <c r="Y1049" s="784"/>
      <c r="Z1049" s="965" t="str">
        <f>VLOOKUP(L1049,اس!$S$3:$X$31,3,FALSE)</f>
        <v>.</v>
      </c>
    </row>
    <row r="1050" spans="12:26" ht="18.75">
      <c r="L1050" s="777">
        <v>5</v>
      </c>
      <c r="M1050" s="906"/>
      <c r="N1050" s="976">
        <v>0</v>
      </c>
      <c r="O1050" s="1020">
        <v>997</v>
      </c>
      <c r="P1050" s="860" t="e">
        <f>VLOOKUP(N1050,etat!$A$9:$N$1004,2,FALSE)</f>
        <v>#N/A</v>
      </c>
      <c r="Q1050" s="797" t="e">
        <f>VLOOKUP(N1050,etat!$A$9:$N$963,7,FALSE)</f>
        <v>#N/A</v>
      </c>
      <c r="R1050" s="905" t="e">
        <f>VLOOKUP(N1050,etat!$A$9:$N$1003,9,FALSE)</f>
        <v>#N/A</v>
      </c>
      <c r="T1050" s="755"/>
      <c r="U1050" s="791"/>
      <c r="V1050" s="784"/>
      <c r="W1050" s="784"/>
      <c r="X1050" s="784"/>
      <c r="Y1050" s="784"/>
      <c r="Z1050" s="965" t="str">
        <f>VLOOKUP(L1050,اس!$S$3:$X$31,3,FALSE)</f>
        <v>.</v>
      </c>
    </row>
    <row r="1051" spans="12:26" ht="18.75">
      <c r="L1051" s="777">
        <v>5</v>
      </c>
      <c r="M1051" s="906"/>
      <c r="N1051" s="976">
        <v>0</v>
      </c>
      <c r="O1051" s="1020">
        <v>998</v>
      </c>
      <c r="P1051" s="860" t="e">
        <f>VLOOKUP(N1051,etat!$A$9:$N$1004,2,FALSE)</f>
        <v>#N/A</v>
      </c>
      <c r="Q1051" s="797" t="e">
        <f>VLOOKUP(N1051,etat!$A$9:$N$963,7,FALSE)</f>
        <v>#N/A</v>
      </c>
      <c r="R1051" s="905" t="e">
        <f>VLOOKUP(N1051,etat!$A$9:$N$1003,9,FALSE)</f>
        <v>#N/A</v>
      </c>
      <c r="T1051" s="755"/>
      <c r="U1051" s="791"/>
      <c r="V1051" s="784"/>
      <c r="W1051" s="784"/>
      <c r="X1051" s="784"/>
      <c r="Y1051" s="784"/>
      <c r="Z1051" s="965" t="str">
        <f>VLOOKUP(L1051,اس!$S$3:$X$31,3,FALSE)</f>
        <v>.</v>
      </c>
    </row>
    <row r="1052" spans="12:26" ht="18.75">
      <c r="L1052" s="777">
        <v>5</v>
      </c>
      <c r="M1052" s="906"/>
      <c r="N1052" s="976">
        <v>0</v>
      </c>
      <c r="O1052" s="1020">
        <v>999</v>
      </c>
      <c r="P1052" s="860" t="e">
        <f>VLOOKUP(N1052,etat!$A$9:$N$1004,2,FALSE)</f>
        <v>#N/A</v>
      </c>
      <c r="Q1052" s="797" t="e">
        <f>VLOOKUP(N1052,etat!$A$9:$N$963,7,FALSE)</f>
        <v>#N/A</v>
      </c>
      <c r="R1052" s="905" t="e">
        <f>VLOOKUP(N1052,etat!$A$9:$N$1003,9,FALSE)</f>
        <v>#N/A</v>
      </c>
      <c r="T1052" s="755"/>
      <c r="U1052" s="791"/>
      <c r="V1052" s="784"/>
      <c r="W1052" s="784"/>
      <c r="X1052" s="784"/>
      <c r="Y1052" s="784"/>
      <c r="Z1052" s="965" t="str">
        <f>VLOOKUP(L1052,اس!$S$3:$X$31,3,FALSE)</f>
        <v>.</v>
      </c>
    </row>
    <row r="1053" spans="12:26" ht="18.75">
      <c r="L1053" s="777">
        <v>5</v>
      </c>
      <c r="M1053" s="906"/>
      <c r="N1053" s="976">
        <v>0</v>
      </c>
      <c r="O1053" s="1020">
        <v>1000</v>
      </c>
      <c r="P1053" s="860" t="e">
        <f>VLOOKUP(N1053,etat!$A$9:$N$1004,2,FALSE)</f>
        <v>#N/A</v>
      </c>
      <c r="Q1053" s="797" t="e">
        <f>VLOOKUP(N1053,etat!$A$9:$N$963,7,FALSE)</f>
        <v>#N/A</v>
      </c>
      <c r="R1053" s="905" t="e">
        <f>VLOOKUP(N1053,etat!$A$9:$N$1003,9,FALSE)</f>
        <v>#N/A</v>
      </c>
      <c r="T1053" s="755"/>
      <c r="U1053" s="791"/>
      <c r="V1053" s="784"/>
      <c r="W1053" s="784"/>
      <c r="X1053" s="784"/>
      <c r="Y1053" s="784"/>
      <c r="Z1053" s="965" t="str">
        <f>VLOOKUP(L1053,اس!$S$3:$X$31,3,FALSE)</f>
        <v>.</v>
      </c>
    </row>
    <row r="1054" spans="12:26" ht="18.75">
      <c r="L1054" s="777">
        <v>5</v>
      </c>
      <c r="M1054" s="906"/>
      <c r="N1054" s="976">
        <v>0</v>
      </c>
      <c r="O1054" s="1020">
        <v>1001</v>
      </c>
      <c r="P1054" s="860" t="e">
        <f>VLOOKUP(N1054,etat!$A$9:$N$1004,2,FALSE)</f>
        <v>#N/A</v>
      </c>
      <c r="Q1054" s="797" t="e">
        <f>VLOOKUP(N1054,etat!$A$9:$N$963,7,FALSE)</f>
        <v>#N/A</v>
      </c>
      <c r="R1054" s="905" t="e">
        <f>VLOOKUP(N1054,etat!$A$9:$N$1003,9,FALSE)</f>
        <v>#N/A</v>
      </c>
      <c r="T1054" s="755"/>
      <c r="U1054" s="791"/>
      <c r="V1054" s="784"/>
      <c r="W1054" s="784"/>
      <c r="X1054" s="784"/>
      <c r="Y1054" s="784"/>
      <c r="Z1054" s="965" t="str">
        <f>VLOOKUP(L1054,اس!$S$3:$X$31,3,FALSE)</f>
        <v>.</v>
      </c>
    </row>
    <row r="1055" spans="12:26" ht="18.75">
      <c r="L1055" s="777">
        <v>5</v>
      </c>
      <c r="M1055" s="906"/>
      <c r="N1055" s="976">
        <v>0</v>
      </c>
      <c r="O1055" s="1020">
        <v>1002</v>
      </c>
      <c r="P1055" s="860" t="e">
        <f>VLOOKUP(N1055,etat!$A$9:$N$1004,2,FALSE)</f>
        <v>#N/A</v>
      </c>
      <c r="Q1055" s="797" t="e">
        <f>VLOOKUP(N1055,etat!$A$9:$N$963,7,FALSE)</f>
        <v>#N/A</v>
      </c>
      <c r="R1055" s="905" t="e">
        <f>VLOOKUP(N1055,etat!$A$9:$N$1003,9,FALSE)</f>
        <v>#N/A</v>
      </c>
      <c r="T1055" s="755"/>
      <c r="U1055" s="791"/>
      <c r="V1055" s="784"/>
      <c r="W1055" s="784"/>
      <c r="X1055" s="784"/>
      <c r="Y1055" s="784"/>
      <c r="Z1055" s="965" t="str">
        <f>VLOOKUP(L1055,اس!$S$3:$X$31,3,FALSE)</f>
        <v>.</v>
      </c>
    </row>
    <row r="1056" spans="12:26" ht="18.75">
      <c r="L1056" s="777">
        <v>5</v>
      </c>
      <c r="M1056" s="906"/>
      <c r="N1056" s="976">
        <v>0</v>
      </c>
      <c r="O1056" s="1020">
        <v>1003</v>
      </c>
      <c r="P1056" s="860" t="e">
        <f>VLOOKUP(N1056,etat!$A$9:$N$1004,2,FALSE)</f>
        <v>#N/A</v>
      </c>
      <c r="Q1056" s="797" t="e">
        <f>VLOOKUP(N1056,etat!$A$9:$N$963,7,FALSE)</f>
        <v>#N/A</v>
      </c>
      <c r="R1056" s="905" t="e">
        <f>VLOOKUP(N1056,etat!$A$9:$N$1003,9,FALSE)</f>
        <v>#N/A</v>
      </c>
      <c r="T1056" s="755"/>
      <c r="U1056" s="791"/>
      <c r="V1056" s="784"/>
      <c r="W1056" s="784"/>
      <c r="X1056" s="784"/>
      <c r="Y1056" s="784"/>
      <c r="Z1056" s="965" t="str">
        <f>VLOOKUP(L1056,اس!$S$3:$X$31,3,FALSE)</f>
        <v>.</v>
      </c>
    </row>
    <row r="1057" spans="12:26" ht="18.75">
      <c r="L1057" s="777">
        <v>5</v>
      </c>
      <c r="M1057" s="906"/>
      <c r="N1057" s="976">
        <v>0</v>
      </c>
      <c r="O1057" s="1020">
        <v>1004</v>
      </c>
      <c r="P1057" s="860" t="e">
        <f>VLOOKUP(N1057,etat!$A$9:$N$1004,2,FALSE)</f>
        <v>#N/A</v>
      </c>
      <c r="Q1057" s="797" t="e">
        <f>VLOOKUP(N1057,etat!$A$9:$N$963,7,FALSE)</f>
        <v>#N/A</v>
      </c>
      <c r="R1057" s="905" t="e">
        <f>VLOOKUP(N1057,etat!$A$9:$N$1003,9,FALSE)</f>
        <v>#N/A</v>
      </c>
      <c r="T1057" s="755"/>
      <c r="U1057" s="791"/>
      <c r="V1057" s="784"/>
      <c r="W1057" s="784"/>
      <c r="X1057" s="784"/>
      <c r="Y1057" s="784"/>
      <c r="Z1057" s="965" t="str">
        <f>VLOOKUP(L1057,اس!$S$3:$X$31,3,FALSE)</f>
        <v>.</v>
      </c>
    </row>
    <row r="1058" spans="12:26" ht="18.75">
      <c r="L1058" s="777">
        <v>5</v>
      </c>
      <c r="M1058" s="906"/>
      <c r="N1058" s="976">
        <v>0</v>
      </c>
      <c r="O1058" s="1020">
        <v>1005</v>
      </c>
      <c r="P1058" s="860" t="e">
        <f>VLOOKUP(N1058,etat!$A$9:$N$1004,2,FALSE)</f>
        <v>#N/A</v>
      </c>
      <c r="Q1058" s="797" t="e">
        <f>VLOOKUP(N1058,etat!$A$9:$N$963,7,FALSE)</f>
        <v>#N/A</v>
      </c>
      <c r="R1058" s="905" t="e">
        <f>VLOOKUP(N1058,etat!$A$9:$N$1003,9,FALSE)</f>
        <v>#N/A</v>
      </c>
      <c r="T1058" s="755"/>
      <c r="U1058" s="791"/>
      <c r="V1058" s="784"/>
      <c r="W1058" s="784"/>
      <c r="X1058" s="784"/>
      <c r="Y1058" s="784"/>
      <c r="Z1058" s="965" t="str">
        <f>VLOOKUP(L1058,اس!$S$3:$X$31,3,FALSE)</f>
        <v>.</v>
      </c>
    </row>
    <row r="1059" spans="12:26" ht="18.75">
      <c r="L1059" s="777">
        <v>5</v>
      </c>
      <c r="M1059" s="906"/>
      <c r="N1059" s="976">
        <v>0</v>
      </c>
      <c r="O1059" s="1020">
        <v>1006</v>
      </c>
      <c r="P1059" s="860" t="e">
        <f>VLOOKUP(N1059,etat!$A$9:$N$1004,2,FALSE)</f>
        <v>#N/A</v>
      </c>
      <c r="Q1059" s="797" t="e">
        <f>VLOOKUP(N1059,etat!$A$9:$N$963,7,FALSE)</f>
        <v>#N/A</v>
      </c>
      <c r="R1059" s="905" t="e">
        <f>VLOOKUP(N1059,etat!$A$9:$N$1003,9,FALSE)</f>
        <v>#N/A</v>
      </c>
      <c r="T1059" s="755"/>
      <c r="U1059" s="791"/>
      <c r="V1059" s="784"/>
      <c r="W1059" s="784"/>
      <c r="X1059" s="784"/>
      <c r="Y1059" s="784"/>
      <c r="Z1059" s="965" t="str">
        <f>VLOOKUP(L1059,اس!$S$3:$X$31,3,FALSE)</f>
        <v>.</v>
      </c>
    </row>
    <row r="1060" spans="12:26" ht="18.75">
      <c r="L1060" s="777">
        <v>5</v>
      </c>
      <c r="M1060" s="906"/>
      <c r="N1060" s="976">
        <v>0</v>
      </c>
      <c r="O1060" s="1020">
        <v>1007</v>
      </c>
      <c r="P1060" s="860" t="e">
        <f>VLOOKUP(N1060,etat!$A$9:$N$1004,2,FALSE)</f>
        <v>#N/A</v>
      </c>
      <c r="Q1060" s="797" t="e">
        <f>VLOOKUP(N1060,etat!$A$9:$N$963,7,FALSE)</f>
        <v>#N/A</v>
      </c>
      <c r="R1060" s="905" t="e">
        <f>VLOOKUP(N1060,etat!$A$9:$N$1003,9,FALSE)</f>
        <v>#N/A</v>
      </c>
      <c r="T1060" s="755"/>
      <c r="U1060" s="791"/>
      <c r="V1060" s="784"/>
      <c r="W1060" s="784"/>
      <c r="X1060" s="784"/>
      <c r="Y1060" s="784"/>
      <c r="Z1060" s="965" t="str">
        <f>VLOOKUP(L1060,اس!$S$3:$X$31,3,FALSE)</f>
        <v>.</v>
      </c>
    </row>
    <row r="1061" spans="12:26" ht="18.75">
      <c r="L1061" s="777">
        <v>5</v>
      </c>
      <c r="M1061" s="906"/>
      <c r="N1061" s="976">
        <v>0</v>
      </c>
      <c r="O1061" s="1020">
        <v>1008</v>
      </c>
      <c r="P1061" s="860" t="e">
        <f>VLOOKUP(N1061,etat!$A$9:$N$1004,2,FALSE)</f>
        <v>#N/A</v>
      </c>
      <c r="Q1061" s="797" t="e">
        <f>VLOOKUP(N1061,etat!$A$9:$N$963,7,FALSE)</f>
        <v>#N/A</v>
      </c>
      <c r="R1061" s="905" t="e">
        <f>VLOOKUP(N1061,etat!$A$9:$N$1003,9,FALSE)</f>
        <v>#N/A</v>
      </c>
      <c r="T1061" s="755"/>
      <c r="U1061" s="791"/>
      <c r="V1061" s="784"/>
      <c r="W1061" s="784"/>
      <c r="X1061" s="784"/>
      <c r="Y1061" s="784"/>
      <c r="Z1061" s="965" t="str">
        <f>VLOOKUP(L1061,اس!$S$3:$X$31,3,FALSE)</f>
        <v>.</v>
      </c>
    </row>
    <row r="1062" spans="12:26" ht="18.75">
      <c r="L1062" s="777">
        <v>5</v>
      </c>
      <c r="M1062" s="906"/>
      <c r="N1062" s="976">
        <v>0</v>
      </c>
      <c r="O1062" s="1020">
        <v>1009</v>
      </c>
      <c r="P1062" s="860" t="e">
        <f>VLOOKUP(N1062,etat!$A$9:$N$1004,2,FALSE)</f>
        <v>#N/A</v>
      </c>
      <c r="Q1062" s="797" t="e">
        <f>VLOOKUP(N1062,etat!$A$9:$N$963,7,FALSE)</f>
        <v>#N/A</v>
      </c>
      <c r="R1062" s="905" t="e">
        <f>VLOOKUP(N1062,etat!$A$9:$N$1003,9,FALSE)</f>
        <v>#N/A</v>
      </c>
      <c r="T1062" s="755"/>
      <c r="U1062" s="791"/>
      <c r="V1062" s="784"/>
      <c r="W1062" s="784"/>
      <c r="X1062" s="784"/>
      <c r="Y1062" s="784"/>
      <c r="Z1062" s="965" t="str">
        <f>VLOOKUP(L1062,اس!$S$3:$X$31,3,FALSE)</f>
        <v>.</v>
      </c>
    </row>
    <row r="1063" spans="12:26" ht="18.75">
      <c r="L1063" s="777">
        <v>5</v>
      </c>
      <c r="M1063" s="906"/>
      <c r="N1063" s="976">
        <v>0</v>
      </c>
      <c r="O1063" s="1020">
        <v>1010</v>
      </c>
      <c r="P1063" s="860" t="e">
        <f>VLOOKUP(N1063,etat!$A$9:$N$1004,2,FALSE)</f>
        <v>#N/A</v>
      </c>
      <c r="Q1063" s="797" t="e">
        <f>VLOOKUP(N1063,etat!$A$9:$N$963,7,FALSE)</f>
        <v>#N/A</v>
      </c>
      <c r="R1063" s="905" t="e">
        <f>VLOOKUP(N1063,etat!$A$9:$N$1003,9,FALSE)</f>
        <v>#N/A</v>
      </c>
      <c r="T1063" s="755"/>
      <c r="U1063" s="791"/>
      <c r="V1063" s="784"/>
      <c r="W1063" s="784"/>
      <c r="X1063" s="784"/>
      <c r="Y1063" s="784"/>
      <c r="Z1063" s="965" t="str">
        <f>VLOOKUP(L1063,اس!$S$3:$X$31,3,FALSE)</f>
        <v>.</v>
      </c>
    </row>
    <row r="1064" spans="12:26" ht="18.75">
      <c r="L1064" s="777">
        <v>5</v>
      </c>
      <c r="M1064" s="906"/>
      <c r="N1064" s="976">
        <v>0</v>
      </c>
      <c r="O1064" s="1020">
        <v>1011</v>
      </c>
      <c r="P1064" s="860" t="e">
        <f>VLOOKUP(N1064,etat!$A$9:$N$1004,2,FALSE)</f>
        <v>#N/A</v>
      </c>
      <c r="Q1064" s="797" t="e">
        <f>VLOOKUP(N1064,etat!$A$9:$N$963,7,FALSE)</f>
        <v>#N/A</v>
      </c>
      <c r="R1064" s="905" t="e">
        <f>VLOOKUP(N1064,etat!$A$9:$N$1003,9,FALSE)</f>
        <v>#N/A</v>
      </c>
      <c r="T1064" s="755"/>
      <c r="U1064" s="791"/>
      <c r="V1064" s="784"/>
      <c r="W1064" s="784"/>
      <c r="X1064" s="784"/>
      <c r="Y1064" s="784"/>
      <c r="Z1064" s="965" t="str">
        <f>VLOOKUP(L1064,اس!$S$3:$X$31,3,FALSE)</f>
        <v>.</v>
      </c>
    </row>
    <row r="1065" spans="12:26" ht="18.75">
      <c r="L1065" s="777">
        <v>5</v>
      </c>
      <c r="M1065" s="906"/>
      <c r="N1065" s="976">
        <v>0</v>
      </c>
      <c r="O1065" s="1020">
        <v>1012</v>
      </c>
      <c r="P1065" s="860" t="e">
        <f>VLOOKUP(N1065,etat!$A$9:$N$1004,2,FALSE)</f>
        <v>#N/A</v>
      </c>
      <c r="Q1065" s="797" t="e">
        <f>VLOOKUP(N1065,etat!$A$9:$N$963,7,FALSE)</f>
        <v>#N/A</v>
      </c>
      <c r="R1065" s="905" t="e">
        <f>VLOOKUP(N1065,etat!$A$9:$N$1003,9,FALSE)</f>
        <v>#N/A</v>
      </c>
      <c r="T1065" s="755"/>
      <c r="U1065" s="791"/>
      <c r="V1065" s="784"/>
      <c r="W1065" s="784"/>
      <c r="X1065" s="784"/>
      <c r="Y1065" s="784"/>
      <c r="Z1065" s="965" t="str">
        <f>VLOOKUP(L1065,اس!$S$3:$X$31,3,FALSE)</f>
        <v>.</v>
      </c>
    </row>
    <row r="1066" spans="12:26" ht="18.75">
      <c r="L1066" s="777">
        <v>5</v>
      </c>
      <c r="M1066" s="906"/>
      <c r="N1066" s="976">
        <v>0</v>
      </c>
      <c r="O1066" s="1020">
        <v>1013</v>
      </c>
      <c r="P1066" s="860" t="e">
        <f>VLOOKUP(N1066,etat!$A$9:$N$1004,2,FALSE)</f>
        <v>#N/A</v>
      </c>
      <c r="Q1066" s="797" t="e">
        <f>VLOOKUP(N1066,etat!$A$9:$N$963,7,FALSE)</f>
        <v>#N/A</v>
      </c>
      <c r="R1066" s="905" t="e">
        <f>VLOOKUP(N1066,etat!$A$9:$N$1003,9,FALSE)</f>
        <v>#N/A</v>
      </c>
      <c r="T1066" s="755"/>
      <c r="U1066" s="791"/>
      <c r="V1066" s="784"/>
      <c r="W1066" s="784"/>
      <c r="X1066" s="784"/>
      <c r="Y1066" s="784"/>
      <c r="Z1066" s="965" t="str">
        <f>VLOOKUP(L1066,اس!$S$3:$X$31,3,FALSE)</f>
        <v>.</v>
      </c>
    </row>
    <row r="1067" spans="12:26" ht="18.75">
      <c r="L1067" s="777">
        <v>5</v>
      </c>
      <c r="M1067" s="906"/>
      <c r="N1067" s="976">
        <v>0</v>
      </c>
      <c r="O1067" s="1020">
        <v>1014</v>
      </c>
      <c r="P1067" s="860" t="e">
        <f>VLOOKUP(N1067,etat!$A$9:$N$1004,2,FALSE)</f>
        <v>#N/A</v>
      </c>
      <c r="Q1067" s="797" t="e">
        <f>VLOOKUP(N1067,etat!$A$9:$N$963,7,FALSE)</f>
        <v>#N/A</v>
      </c>
      <c r="R1067" s="905" t="e">
        <f>VLOOKUP(N1067,etat!$A$9:$N$1003,9,FALSE)</f>
        <v>#N/A</v>
      </c>
      <c r="T1067" s="755"/>
      <c r="U1067" s="791"/>
      <c r="V1067" s="784"/>
      <c r="W1067" s="784"/>
      <c r="X1067" s="784"/>
      <c r="Y1067" s="784"/>
      <c r="Z1067" s="965" t="str">
        <f>VLOOKUP(L1067,اس!$S$3:$X$31,3,FALSE)</f>
        <v>.</v>
      </c>
    </row>
    <row r="1068" spans="12:26" ht="18.75">
      <c r="L1068" s="777">
        <v>5</v>
      </c>
      <c r="M1068" s="906"/>
      <c r="N1068" s="976">
        <v>0</v>
      </c>
      <c r="O1068" s="1020">
        <v>1015</v>
      </c>
      <c r="P1068" s="860" t="e">
        <f>VLOOKUP(N1068,etat!$A$9:$N$1004,2,FALSE)</f>
        <v>#N/A</v>
      </c>
      <c r="Q1068" s="797" t="e">
        <f>VLOOKUP(N1068,etat!$A$9:$N$963,7,FALSE)</f>
        <v>#N/A</v>
      </c>
      <c r="R1068" s="905" t="e">
        <f>VLOOKUP(N1068,etat!$A$9:$N$1003,9,FALSE)</f>
        <v>#N/A</v>
      </c>
      <c r="T1068" s="755"/>
      <c r="U1068" s="791"/>
      <c r="V1068" s="784"/>
      <c r="W1068" s="784"/>
      <c r="X1068" s="784"/>
      <c r="Y1068" s="784"/>
      <c r="Z1068" s="965" t="str">
        <f>VLOOKUP(L1068,اس!$S$3:$X$31,3,FALSE)</f>
        <v>.</v>
      </c>
    </row>
    <row r="1069" spans="12:26" ht="18.75">
      <c r="L1069" s="777">
        <v>5</v>
      </c>
      <c r="M1069" s="906"/>
      <c r="N1069" s="976">
        <v>0</v>
      </c>
      <c r="O1069" s="1020">
        <v>1016</v>
      </c>
      <c r="P1069" s="860" t="e">
        <f>VLOOKUP(N1069,etat!$A$9:$N$1004,2,FALSE)</f>
        <v>#N/A</v>
      </c>
      <c r="Q1069" s="797" t="e">
        <f>VLOOKUP(N1069,etat!$A$9:$N$963,7,FALSE)</f>
        <v>#N/A</v>
      </c>
      <c r="R1069" s="905" t="e">
        <f>VLOOKUP(N1069,etat!$A$9:$N$1003,9,FALSE)</f>
        <v>#N/A</v>
      </c>
      <c r="T1069" s="755"/>
      <c r="U1069" s="791"/>
      <c r="V1069" s="784"/>
      <c r="W1069" s="784"/>
      <c r="X1069" s="784"/>
      <c r="Y1069" s="784"/>
      <c r="Z1069" s="965" t="str">
        <f>VLOOKUP(L1069,اس!$S$3:$X$31,3,FALSE)</f>
        <v>.</v>
      </c>
    </row>
    <row r="1070" spans="12:26" ht="18.75">
      <c r="L1070" s="777">
        <v>5</v>
      </c>
      <c r="M1070" s="906"/>
      <c r="N1070" s="976">
        <v>0</v>
      </c>
      <c r="O1070" s="1020">
        <v>1017</v>
      </c>
      <c r="P1070" s="860" t="e">
        <f>VLOOKUP(N1070,etat!$A$9:$N$1004,2,FALSE)</f>
        <v>#N/A</v>
      </c>
      <c r="Q1070" s="797" t="e">
        <f>VLOOKUP(N1070,etat!$A$9:$N$963,7,FALSE)</f>
        <v>#N/A</v>
      </c>
      <c r="R1070" s="905" t="e">
        <f>VLOOKUP(N1070,etat!$A$9:$N$1003,9,FALSE)</f>
        <v>#N/A</v>
      </c>
      <c r="T1070" s="755"/>
      <c r="U1070" s="791"/>
      <c r="V1070" s="784"/>
      <c r="W1070" s="784"/>
      <c r="X1070" s="784"/>
      <c r="Y1070" s="784"/>
      <c r="Z1070" s="965" t="str">
        <f>VLOOKUP(L1070,اس!$S$3:$X$31,3,FALSE)</f>
        <v>.</v>
      </c>
    </row>
    <row r="1071" spans="12:26" ht="18.75">
      <c r="L1071" s="777">
        <v>5</v>
      </c>
      <c r="M1071" s="906"/>
      <c r="N1071" s="976">
        <v>0</v>
      </c>
      <c r="O1071" s="1020">
        <v>1018</v>
      </c>
      <c r="P1071" s="860" t="e">
        <f>VLOOKUP(N1071,etat!$A$9:$N$1004,2,FALSE)</f>
        <v>#N/A</v>
      </c>
      <c r="Q1071" s="797" t="e">
        <f>VLOOKUP(N1071,etat!$A$9:$N$963,7,FALSE)</f>
        <v>#N/A</v>
      </c>
      <c r="R1071" s="905" t="e">
        <f>VLOOKUP(N1071,etat!$A$9:$N$1003,9,FALSE)</f>
        <v>#N/A</v>
      </c>
      <c r="T1071" s="755"/>
      <c r="U1071" s="791"/>
      <c r="V1071" s="784"/>
      <c r="W1071" s="784"/>
      <c r="X1071" s="784"/>
      <c r="Y1071" s="784"/>
      <c r="Z1071" s="965" t="str">
        <f>VLOOKUP(L1071,اس!$S$3:$X$31,3,FALSE)</f>
        <v>.</v>
      </c>
    </row>
    <row r="1072" spans="12:26" ht="18.75">
      <c r="L1072" s="777">
        <v>5</v>
      </c>
      <c r="M1072" s="906"/>
      <c r="N1072" s="976">
        <v>0</v>
      </c>
      <c r="O1072" s="1020">
        <v>1019</v>
      </c>
      <c r="P1072" s="860" t="e">
        <f>VLOOKUP(N1072,etat!$A$9:$N$1004,2,FALSE)</f>
        <v>#N/A</v>
      </c>
      <c r="Q1072" s="797" t="e">
        <f>VLOOKUP(N1072,etat!$A$9:$N$963,7,FALSE)</f>
        <v>#N/A</v>
      </c>
      <c r="R1072" s="905" t="e">
        <f>VLOOKUP(N1072,etat!$A$9:$N$1003,9,FALSE)</f>
        <v>#N/A</v>
      </c>
      <c r="T1072" s="755"/>
      <c r="U1072" s="791"/>
      <c r="V1072" s="784"/>
      <c r="W1072" s="784"/>
      <c r="X1072" s="784"/>
      <c r="Y1072" s="784"/>
      <c r="Z1072" s="965" t="str">
        <f>VLOOKUP(L1072,اس!$S$3:$X$31,3,FALSE)</f>
        <v>.</v>
      </c>
    </row>
    <row r="1073" spans="12:26" ht="18.75">
      <c r="L1073" s="777">
        <v>5</v>
      </c>
      <c r="M1073" s="906"/>
      <c r="N1073" s="976">
        <v>0</v>
      </c>
      <c r="O1073" s="1020">
        <v>1020</v>
      </c>
      <c r="P1073" s="860" t="e">
        <f>VLOOKUP(N1073,etat!$A$9:$N$1004,2,FALSE)</f>
        <v>#N/A</v>
      </c>
      <c r="Q1073" s="797" t="e">
        <f>VLOOKUP(N1073,etat!$A$9:$N$963,7,FALSE)</f>
        <v>#N/A</v>
      </c>
      <c r="R1073" s="905" t="e">
        <f>VLOOKUP(N1073,etat!$A$9:$N$1003,9,FALSE)</f>
        <v>#N/A</v>
      </c>
      <c r="T1073" s="755"/>
      <c r="U1073" s="791"/>
      <c r="V1073" s="784"/>
      <c r="W1073" s="784"/>
      <c r="X1073" s="784"/>
      <c r="Y1073" s="784"/>
      <c r="Z1073" s="965" t="str">
        <f>VLOOKUP(L1073,اس!$S$3:$X$31,3,FALSE)</f>
        <v>.</v>
      </c>
    </row>
    <row r="1074" spans="12:26" ht="18.75">
      <c r="L1074" s="777">
        <v>5</v>
      </c>
      <c r="M1074" s="906"/>
      <c r="N1074" s="976">
        <v>0</v>
      </c>
      <c r="O1074" s="1020">
        <v>1021</v>
      </c>
      <c r="P1074" s="860" t="e">
        <f>VLOOKUP(N1074,etat!$A$9:$N$1004,2,FALSE)</f>
        <v>#N/A</v>
      </c>
      <c r="Q1074" s="797" t="e">
        <f>VLOOKUP(N1074,etat!$A$9:$N$963,7,FALSE)</f>
        <v>#N/A</v>
      </c>
      <c r="R1074" s="905" t="e">
        <f>VLOOKUP(N1074,etat!$A$9:$N$1003,9,FALSE)</f>
        <v>#N/A</v>
      </c>
      <c r="T1074" s="755"/>
      <c r="U1074" s="791"/>
      <c r="V1074" s="784"/>
      <c r="W1074" s="784"/>
      <c r="X1074" s="784"/>
      <c r="Y1074" s="784"/>
      <c r="Z1074" s="965" t="str">
        <f>VLOOKUP(L1074,اس!$S$3:$X$31,3,FALSE)</f>
        <v>.</v>
      </c>
    </row>
    <row r="1075" spans="12:26" ht="18.75">
      <c r="L1075" s="777">
        <v>5</v>
      </c>
      <c r="M1075" s="906"/>
      <c r="N1075" s="976">
        <v>0</v>
      </c>
      <c r="O1075" s="1020">
        <v>1022</v>
      </c>
      <c r="P1075" s="860" t="e">
        <f>VLOOKUP(N1075,etat!$A$9:$N$1004,2,FALSE)</f>
        <v>#N/A</v>
      </c>
      <c r="Q1075" s="797" t="e">
        <f>VLOOKUP(N1075,etat!$A$9:$N$963,7,FALSE)</f>
        <v>#N/A</v>
      </c>
      <c r="R1075" s="905" t="e">
        <f>VLOOKUP(N1075,etat!$A$9:$N$1003,9,FALSE)</f>
        <v>#N/A</v>
      </c>
      <c r="T1075" s="755"/>
      <c r="U1075" s="791"/>
      <c r="V1075" s="784"/>
      <c r="W1075" s="784"/>
      <c r="X1075" s="784"/>
      <c r="Y1075" s="784"/>
      <c r="Z1075" s="965" t="str">
        <f>VLOOKUP(L1075,اس!$S$3:$X$31,3,FALSE)</f>
        <v>.</v>
      </c>
    </row>
    <row r="1076" spans="12:26" ht="18.75">
      <c r="L1076" s="777">
        <v>5</v>
      </c>
      <c r="M1076" s="906"/>
      <c r="N1076" s="976">
        <v>0</v>
      </c>
      <c r="O1076" s="1020">
        <v>1023</v>
      </c>
      <c r="P1076" s="860" t="e">
        <f>VLOOKUP(N1076,etat!$A$9:$N$1004,2,FALSE)</f>
        <v>#N/A</v>
      </c>
      <c r="Q1076" s="797" t="e">
        <f>VLOOKUP(N1076,etat!$A$9:$N$963,7,FALSE)</f>
        <v>#N/A</v>
      </c>
      <c r="R1076" s="905" t="e">
        <f>VLOOKUP(N1076,etat!$A$9:$N$1003,9,FALSE)</f>
        <v>#N/A</v>
      </c>
      <c r="T1076" s="755"/>
      <c r="U1076" s="791"/>
      <c r="V1076" s="784"/>
      <c r="W1076" s="784"/>
      <c r="X1076" s="784"/>
      <c r="Y1076" s="784"/>
      <c r="Z1076" s="965" t="str">
        <f>VLOOKUP(L1076,اس!$S$3:$X$31,3,FALSE)</f>
        <v>.</v>
      </c>
    </row>
    <row r="1077" spans="12:26" ht="18.75">
      <c r="L1077" s="777">
        <v>5</v>
      </c>
      <c r="M1077" s="906"/>
      <c r="N1077" s="976">
        <v>0</v>
      </c>
      <c r="O1077" s="1020">
        <v>1024</v>
      </c>
      <c r="P1077" s="860" t="e">
        <f>VLOOKUP(N1077,etat!$A$9:$N$1004,2,FALSE)</f>
        <v>#N/A</v>
      </c>
      <c r="Q1077" s="797" t="e">
        <f>VLOOKUP(N1077,etat!$A$9:$N$963,7,FALSE)</f>
        <v>#N/A</v>
      </c>
      <c r="R1077" s="905" t="e">
        <f>VLOOKUP(N1077,etat!$A$9:$N$1003,9,FALSE)</f>
        <v>#N/A</v>
      </c>
      <c r="T1077" s="755"/>
      <c r="U1077" s="791"/>
      <c r="V1077" s="784"/>
      <c r="W1077" s="784"/>
      <c r="X1077" s="784"/>
      <c r="Y1077" s="784"/>
      <c r="Z1077" s="965" t="str">
        <f>VLOOKUP(L1077,اس!$S$3:$X$31,3,FALSE)</f>
        <v>.</v>
      </c>
    </row>
    <row r="1078" spans="12:26" ht="18.75">
      <c r="L1078" s="777">
        <v>5</v>
      </c>
      <c r="M1078" s="906"/>
      <c r="N1078" s="976">
        <v>0</v>
      </c>
      <c r="O1078" s="1020">
        <v>1025</v>
      </c>
      <c r="P1078" s="860" t="e">
        <f>VLOOKUP(N1078,etat!$A$9:$N$1004,2,FALSE)</f>
        <v>#N/A</v>
      </c>
      <c r="Q1078" s="797" t="e">
        <f>VLOOKUP(N1078,etat!$A$9:$N$963,7,FALSE)</f>
        <v>#N/A</v>
      </c>
      <c r="R1078" s="905" t="e">
        <f>VLOOKUP(N1078,etat!$A$9:$N$1003,9,FALSE)</f>
        <v>#N/A</v>
      </c>
      <c r="T1078" s="755"/>
      <c r="U1078" s="791"/>
      <c r="V1078" s="784"/>
      <c r="W1078" s="784"/>
      <c r="X1078" s="784"/>
      <c r="Y1078" s="784"/>
      <c r="Z1078" s="965" t="str">
        <f>VLOOKUP(L1078,اس!$S$3:$X$31,3,FALSE)</f>
        <v>.</v>
      </c>
    </row>
    <row r="1079" spans="12:26" ht="18.75">
      <c r="L1079" s="777">
        <v>5</v>
      </c>
      <c r="M1079" s="906"/>
      <c r="N1079" s="976">
        <v>0</v>
      </c>
      <c r="O1079" s="1020">
        <v>1026</v>
      </c>
      <c r="P1079" s="860" t="e">
        <f>VLOOKUP(N1079,etat!$A$9:$N$1004,2,FALSE)</f>
        <v>#N/A</v>
      </c>
      <c r="Q1079" s="797" t="e">
        <f>VLOOKUP(N1079,etat!$A$9:$N$963,7,FALSE)</f>
        <v>#N/A</v>
      </c>
      <c r="R1079" s="905" t="e">
        <f>VLOOKUP(N1079,etat!$A$9:$N$1003,9,FALSE)</f>
        <v>#N/A</v>
      </c>
      <c r="T1079" s="755"/>
      <c r="U1079" s="791"/>
      <c r="V1079" s="784"/>
      <c r="W1079" s="784"/>
      <c r="X1079" s="784"/>
      <c r="Y1079" s="784"/>
      <c r="Z1079" s="965" t="str">
        <f>VLOOKUP(L1079,اس!$S$3:$X$31,3,FALSE)</f>
        <v>.</v>
      </c>
    </row>
    <row r="1080" spans="12:26" ht="18.75">
      <c r="L1080" s="777">
        <v>5</v>
      </c>
      <c r="M1080" s="906"/>
      <c r="N1080" s="976">
        <v>0</v>
      </c>
      <c r="O1080" s="1020">
        <v>1027</v>
      </c>
      <c r="P1080" s="860" t="e">
        <f>VLOOKUP(N1080,etat!$A$9:$N$1004,2,FALSE)</f>
        <v>#N/A</v>
      </c>
      <c r="Q1080" s="797" t="e">
        <f>VLOOKUP(N1080,etat!$A$9:$N$963,7,FALSE)</f>
        <v>#N/A</v>
      </c>
      <c r="R1080" s="905" t="e">
        <f>VLOOKUP(N1080,etat!$A$9:$N$1003,9,FALSE)</f>
        <v>#N/A</v>
      </c>
      <c r="T1080" s="755"/>
      <c r="U1080" s="791"/>
      <c r="V1080" s="784"/>
      <c r="W1080" s="784"/>
      <c r="X1080" s="784"/>
      <c r="Y1080" s="784"/>
      <c r="Z1080" s="965" t="str">
        <f>VLOOKUP(L1080,اس!$S$3:$X$31,3,FALSE)</f>
        <v>.</v>
      </c>
    </row>
    <row r="1081" spans="12:26" ht="18.75">
      <c r="L1081" s="777">
        <v>5</v>
      </c>
      <c r="M1081" s="906"/>
      <c r="N1081" s="976">
        <v>0</v>
      </c>
      <c r="O1081" s="1020">
        <v>1028</v>
      </c>
      <c r="P1081" s="860" t="e">
        <f>VLOOKUP(N1081,etat!$A$9:$N$1004,2,FALSE)</f>
        <v>#N/A</v>
      </c>
      <c r="Q1081" s="797" t="e">
        <f>VLOOKUP(N1081,etat!$A$9:$N$963,7,FALSE)</f>
        <v>#N/A</v>
      </c>
      <c r="R1081" s="905" t="e">
        <f>VLOOKUP(N1081,etat!$A$9:$N$1003,9,FALSE)</f>
        <v>#N/A</v>
      </c>
      <c r="T1081" s="755"/>
      <c r="U1081" s="791"/>
      <c r="V1081" s="784"/>
      <c r="W1081" s="784"/>
      <c r="X1081" s="784"/>
      <c r="Y1081" s="784"/>
      <c r="Z1081" s="965" t="str">
        <f>VLOOKUP(L1081,اس!$S$3:$X$31,3,FALSE)</f>
        <v>.</v>
      </c>
    </row>
    <row r="1082" spans="12:26" ht="18.75">
      <c r="L1082" s="777">
        <v>5</v>
      </c>
      <c r="M1082" s="906"/>
      <c r="N1082" s="976">
        <v>0</v>
      </c>
      <c r="O1082" s="1020">
        <v>1029</v>
      </c>
      <c r="P1082" s="860" t="e">
        <f>VLOOKUP(N1082,etat!$A$9:$N$1004,2,FALSE)</f>
        <v>#N/A</v>
      </c>
      <c r="Q1082" s="797" t="e">
        <f>VLOOKUP(N1082,etat!$A$9:$N$963,7,FALSE)</f>
        <v>#N/A</v>
      </c>
      <c r="R1082" s="905" t="e">
        <f>VLOOKUP(N1082,etat!$A$9:$N$1003,9,FALSE)</f>
        <v>#N/A</v>
      </c>
      <c r="T1082" s="755"/>
      <c r="U1082" s="791"/>
      <c r="V1082" s="784"/>
      <c r="W1082" s="784"/>
      <c r="X1082" s="784"/>
      <c r="Y1082" s="784"/>
      <c r="Z1082" s="965" t="str">
        <f>VLOOKUP(L1082,اس!$S$3:$X$31,3,FALSE)</f>
        <v>.</v>
      </c>
    </row>
    <row r="1083" spans="12:26" ht="18.75">
      <c r="L1083" s="777">
        <v>5</v>
      </c>
      <c r="M1083" s="906"/>
      <c r="N1083" s="976">
        <v>0</v>
      </c>
      <c r="O1083" s="1020">
        <v>1030</v>
      </c>
      <c r="P1083" s="860" t="e">
        <f>VLOOKUP(N1083,etat!$A$9:$N$1004,2,FALSE)</f>
        <v>#N/A</v>
      </c>
      <c r="Q1083" s="797" t="e">
        <f>VLOOKUP(N1083,etat!$A$9:$N$963,7,FALSE)</f>
        <v>#N/A</v>
      </c>
      <c r="R1083" s="905" t="e">
        <f>VLOOKUP(N1083,etat!$A$9:$N$1003,9,FALSE)</f>
        <v>#N/A</v>
      </c>
      <c r="T1083" s="755"/>
      <c r="U1083" s="791"/>
      <c r="V1083" s="784"/>
      <c r="W1083" s="784"/>
      <c r="X1083" s="784"/>
      <c r="Y1083" s="784"/>
      <c r="Z1083" s="965" t="str">
        <f>VLOOKUP(L1083,اس!$S$3:$X$31,3,FALSE)</f>
        <v>.</v>
      </c>
    </row>
    <row r="1084" spans="12:26" ht="18.75">
      <c r="L1084" s="777">
        <v>5</v>
      </c>
      <c r="M1084" s="906"/>
      <c r="N1084" s="976">
        <v>0</v>
      </c>
      <c r="O1084" s="1020">
        <v>1031</v>
      </c>
      <c r="P1084" s="860" t="e">
        <f>VLOOKUP(N1084,etat!$A$9:$N$1004,2,FALSE)</f>
        <v>#N/A</v>
      </c>
      <c r="Q1084" s="797" t="e">
        <f>VLOOKUP(N1084,etat!$A$9:$N$963,7,FALSE)</f>
        <v>#N/A</v>
      </c>
      <c r="R1084" s="905" t="e">
        <f>VLOOKUP(N1084,etat!$A$9:$N$1003,9,FALSE)</f>
        <v>#N/A</v>
      </c>
      <c r="T1084" s="755"/>
      <c r="U1084" s="791"/>
      <c r="V1084" s="784"/>
      <c r="W1084" s="784"/>
      <c r="X1084" s="784"/>
      <c r="Y1084" s="784"/>
      <c r="Z1084" s="965" t="str">
        <f>VLOOKUP(L1084,اس!$S$3:$X$31,3,FALSE)</f>
        <v>.</v>
      </c>
    </row>
    <row r="1085" spans="12:26" ht="18.75">
      <c r="L1085" s="777">
        <v>5</v>
      </c>
      <c r="M1085" s="906"/>
      <c r="N1085" s="976">
        <v>0</v>
      </c>
      <c r="O1085" s="1020">
        <v>1032</v>
      </c>
      <c r="P1085" s="860" t="e">
        <f>VLOOKUP(N1085,etat!$A$9:$N$1004,2,FALSE)</f>
        <v>#N/A</v>
      </c>
      <c r="Q1085" s="797" t="e">
        <f>VLOOKUP(N1085,etat!$A$9:$N$963,7,FALSE)</f>
        <v>#N/A</v>
      </c>
      <c r="R1085" s="905" t="e">
        <f>VLOOKUP(N1085,etat!$A$9:$N$1003,9,FALSE)</f>
        <v>#N/A</v>
      </c>
      <c r="T1085" s="755"/>
      <c r="U1085" s="791"/>
      <c r="V1085" s="784"/>
      <c r="W1085" s="784"/>
      <c r="X1085" s="784"/>
      <c r="Y1085" s="784"/>
      <c r="Z1085" s="965" t="str">
        <f>VLOOKUP(L1085,اس!$S$3:$X$31,3,FALSE)</f>
        <v>.</v>
      </c>
    </row>
    <row r="1086" spans="12:26" ht="18.75">
      <c r="L1086" s="777">
        <v>5</v>
      </c>
      <c r="M1086" s="906"/>
      <c r="N1086" s="976">
        <v>0</v>
      </c>
      <c r="O1086" s="1020">
        <v>1033</v>
      </c>
      <c r="P1086" s="860" t="e">
        <f>VLOOKUP(N1086,etat!$A$9:$N$1004,2,FALSE)</f>
        <v>#N/A</v>
      </c>
      <c r="Q1086" s="797" t="e">
        <f>VLOOKUP(N1086,etat!$A$9:$N$963,7,FALSE)</f>
        <v>#N/A</v>
      </c>
      <c r="R1086" s="905" t="e">
        <f>VLOOKUP(N1086,etat!$A$9:$N$1003,9,FALSE)</f>
        <v>#N/A</v>
      </c>
      <c r="T1086" s="755"/>
      <c r="U1086" s="791"/>
      <c r="V1086" s="784"/>
      <c r="W1086" s="784"/>
      <c r="X1086" s="784"/>
      <c r="Y1086" s="784"/>
      <c r="Z1086" s="965" t="str">
        <f>VLOOKUP(L1086,اس!$S$3:$X$31,3,FALSE)</f>
        <v>.</v>
      </c>
    </row>
    <row r="1087" spans="12:26" ht="18.75">
      <c r="L1087" s="777">
        <v>5</v>
      </c>
      <c r="M1087" s="906"/>
      <c r="N1087" s="976">
        <v>0</v>
      </c>
      <c r="O1087" s="1020">
        <v>1034</v>
      </c>
      <c r="P1087" s="860" t="e">
        <f>VLOOKUP(N1087,etat!$A$9:$N$1004,2,FALSE)</f>
        <v>#N/A</v>
      </c>
      <c r="Q1087" s="797" t="e">
        <f>VLOOKUP(N1087,etat!$A$9:$N$963,7,FALSE)</f>
        <v>#N/A</v>
      </c>
      <c r="R1087" s="905" t="e">
        <f>VLOOKUP(N1087,etat!$A$9:$N$1003,9,FALSE)</f>
        <v>#N/A</v>
      </c>
      <c r="T1087" s="755"/>
      <c r="U1087" s="791"/>
      <c r="V1087" s="784"/>
      <c r="W1087" s="784"/>
      <c r="X1087" s="784"/>
      <c r="Y1087" s="784"/>
      <c r="Z1087" s="965" t="str">
        <f>VLOOKUP(L1087,اس!$S$3:$X$31,3,FALSE)</f>
        <v>.</v>
      </c>
    </row>
    <row r="1088" spans="12:26" ht="18.75">
      <c r="L1088" s="777">
        <v>5</v>
      </c>
      <c r="M1088" s="906"/>
      <c r="N1088" s="976">
        <v>0</v>
      </c>
      <c r="O1088" s="1020">
        <v>1035</v>
      </c>
      <c r="P1088" s="860" t="e">
        <f>VLOOKUP(N1088,etat!$A$9:$N$1004,2,FALSE)</f>
        <v>#N/A</v>
      </c>
      <c r="Q1088" s="797" t="e">
        <f>VLOOKUP(N1088,etat!$A$9:$N$963,7,FALSE)</f>
        <v>#N/A</v>
      </c>
      <c r="R1088" s="905" t="e">
        <f>VLOOKUP(N1088,etat!$A$9:$N$1003,9,FALSE)</f>
        <v>#N/A</v>
      </c>
      <c r="T1088" s="755"/>
      <c r="U1088" s="791"/>
      <c r="V1088" s="784"/>
      <c r="W1088" s="784"/>
      <c r="X1088" s="784"/>
      <c r="Y1088" s="784"/>
      <c r="Z1088" s="965" t="str">
        <f>VLOOKUP(L1088,اس!$S$3:$X$31,3,FALSE)</f>
        <v>.</v>
      </c>
    </row>
    <row r="1089" spans="12:26" ht="18.75">
      <c r="L1089" s="777">
        <v>5</v>
      </c>
      <c r="M1089" s="906"/>
      <c r="N1089" s="976">
        <v>0</v>
      </c>
      <c r="O1089" s="1020">
        <v>1036</v>
      </c>
      <c r="P1089" s="860" t="e">
        <f>VLOOKUP(N1089,etat!$A$9:$N$1004,2,FALSE)</f>
        <v>#N/A</v>
      </c>
      <c r="Q1089" s="797" t="e">
        <f>VLOOKUP(N1089,etat!$A$9:$N$963,7,FALSE)</f>
        <v>#N/A</v>
      </c>
      <c r="R1089" s="905" t="e">
        <f>VLOOKUP(N1089,etat!$A$9:$N$1003,9,FALSE)</f>
        <v>#N/A</v>
      </c>
      <c r="T1089" s="755"/>
      <c r="U1089" s="791"/>
      <c r="V1089" s="784"/>
      <c r="W1089" s="784"/>
      <c r="X1089" s="784"/>
      <c r="Y1089" s="784"/>
      <c r="Z1089" s="965" t="str">
        <f>VLOOKUP(L1089,اس!$S$3:$X$31,3,FALSE)</f>
        <v>.</v>
      </c>
    </row>
    <row r="1090" spans="12:26" ht="18.75">
      <c r="L1090" s="777">
        <v>5</v>
      </c>
      <c r="M1090" s="906"/>
      <c r="N1090" s="976">
        <v>0</v>
      </c>
      <c r="O1090" s="1020">
        <v>1037</v>
      </c>
      <c r="P1090" s="860" t="e">
        <f>VLOOKUP(N1090,etat!$A$9:$N$1004,2,FALSE)</f>
        <v>#N/A</v>
      </c>
      <c r="Q1090" s="797" t="e">
        <f>VLOOKUP(N1090,etat!$A$9:$N$963,7,FALSE)</f>
        <v>#N/A</v>
      </c>
      <c r="R1090" s="905" t="e">
        <f>VLOOKUP(N1090,etat!$A$9:$N$1003,9,FALSE)</f>
        <v>#N/A</v>
      </c>
      <c r="T1090" s="755"/>
      <c r="U1090" s="791"/>
      <c r="V1090" s="784"/>
      <c r="W1090" s="784"/>
      <c r="X1090" s="784"/>
      <c r="Y1090" s="784"/>
      <c r="Z1090" s="965" t="str">
        <f>VLOOKUP(L1090,اس!$S$3:$X$31,3,FALSE)</f>
        <v>.</v>
      </c>
    </row>
    <row r="1091" spans="12:26" ht="18.75">
      <c r="L1091" s="777">
        <v>5</v>
      </c>
      <c r="M1091" s="906"/>
      <c r="N1091" s="976">
        <v>0</v>
      </c>
      <c r="O1091" s="1020">
        <v>1038</v>
      </c>
      <c r="P1091" s="860" t="e">
        <f>VLOOKUP(N1091,etat!$A$9:$N$1004,2,FALSE)</f>
        <v>#N/A</v>
      </c>
      <c r="Q1091" s="797" t="e">
        <f>VLOOKUP(N1091,etat!$A$9:$N$963,7,FALSE)</f>
        <v>#N/A</v>
      </c>
      <c r="R1091" s="905" t="e">
        <f>VLOOKUP(N1091,etat!$A$9:$N$1003,9,FALSE)</f>
        <v>#N/A</v>
      </c>
      <c r="T1091" s="755"/>
      <c r="U1091" s="791"/>
      <c r="V1091" s="784"/>
      <c r="W1091" s="784"/>
      <c r="X1091" s="784"/>
      <c r="Y1091" s="784"/>
      <c r="Z1091" s="965" t="str">
        <f>VLOOKUP(L1091,اس!$S$3:$X$31,3,FALSE)</f>
        <v>.</v>
      </c>
    </row>
    <row r="1092" spans="12:26" ht="18.75">
      <c r="L1092" s="777">
        <v>5</v>
      </c>
      <c r="M1092" s="906"/>
      <c r="N1092" s="976">
        <v>0</v>
      </c>
      <c r="O1092" s="1020">
        <v>1039</v>
      </c>
      <c r="P1092" s="860" t="e">
        <f>VLOOKUP(N1092,etat!$A$9:$N$1004,2,FALSE)</f>
        <v>#N/A</v>
      </c>
      <c r="Q1092" s="797" t="e">
        <f>VLOOKUP(N1092,etat!$A$9:$N$963,7,FALSE)</f>
        <v>#N/A</v>
      </c>
      <c r="R1092" s="905" t="e">
        <f>VLOOKUP(N1092,etat!$A$9:$N$1003,9,FALSE)</f>
        <v>#N/A</v>
      </c>
      <c r="T1092" s="755"/>
      <c r="U1092" s="791"/>
      <c r="V1092" s="784"/>
      <c r="W1092" s="784"/>
      <c r="X1092" s="784"/>
      <c r="Y1092" s="784"/>
      <c r="Z1092" s="965" t="str">
        <f>VLOOKUP(L1092,اس!$S$3:$X$31,3,FALSE)</f>
        <v>.</v>
      </c>
    </row>
    <row r="1093" spans="12:26" ht="18.75">
      <c r="L1093" s="777">
        <v>5</v>
      </c>
      <c r="M1093" s="906"/>
      <c r="N1093" s="976">
        <v>0</v>
      </c>
      <c r="O1093" s="1020">
        <v>1040</v>
      </c>
      <c r="P1093" s="860" t="e">
        <f>VLOOKUP(N1093,etat!$A$9:$N$1004,2,FALSE)</f>
        <v>#N/A</v>
      </c>
      <c r="Q1093" s="797" t="e">
        <f>VLOOKUP(N1093,etat!$A$9:$N$963,7,FALSE)</f>
        <v>#N/A</v>
      </c>
      <c r="R1093" s="905" t="e">
        <f>VLOOKUP(N1093,etat!$A$9:$N$1003,9,FALSE)</f>
        <v>#N/A</v>
      </c>
      <c r="T1093" s="755"/>
      <c r="U1093" s="791"/>
      <c r="V1093" s="784"/>
      <c r="W1093" s="784"/>
      <c r="X1093" s="784"/>
      <c r="Y1093" s="784"/>
      <c r="Z1093" s="965" t="str">
        <f>VLOOKUP(L1093,اس!$S$3:$X$31,3,FALSE)</f>
        <v>.</v>
      </c>
    </row>
    <row r="1094" spans="12:26" ht="18.75">
      <c r="L1094" s="777">
        <v>5</v>
      </c>
      <c r="M1094" s="906"/>
      <c r="N1094" s="976">
        <v>0</v>
      </c>
      <c r="O1094" s="1020">
        <v>1041</v>
      </c>
      <c r="P1094" s="860" t="e">
        <f>VLOOKUP(N1094,etat!$A$9:$N$1004,2,FALSE)</f>
        <v>#N/A</v>
      </c>
      <c r="Q1094" s="797" t="e">
        <f>VLOOKUP(N1094,etat!$A$9:$N$963,7,FALSE)</f>
        <v>#N/A</v>
      </c>
      <c r="R1094" s="905" t="e">
        <f>VLOOKUP(N1094,etat!$A$9:$N$1003,9,FALSE)</f>
        <v>#N/A</v>
      </c>
      <c r="T1094" s="755"/>
      <c r="U1094" s="791"/>
      <c r="V1094" s="784"/>
      <c r="W1094" s="784"/>
      <c r="X1094" s="784"/>
      <c r="Y1094" s="784"/>
      <c r="Z1094" s="965" t="str">
        <f>VLOOKUP(L1094,اس!$S$3:$X$31,3,FALSE)</f>
        <v>.</v>
      </c>
    </row>
    <row r="1095" spans="12:26" ht="18.75">
      <c r="L1095" s="777">
        <v>5</v>
      </c>
      <c r="M1095" s="906"/>
      <c r="N1095" s="976">
        <v>0</v>
      </c>
      <c r="O1095" s="1020">
        <v>1042</v>
      </c>
      <c r="P1095" s="860" t="e">
        <f>VLOOKUP(N1095,etat!$A$9:$N$1004,2,FALSE)</f>
        <v>#N/A</v>
      </c>
      <c r="Q1095" s="797" t="e">
        <f>VLOOKUP(N1095,etat!$A$9:$N$963,7,FALSE)</f>
        <v>#N/A</v>
      </c>
      <c r="R1095" s="905" t="e">
        <f>VLOOKUP(N1095,etat!$A$9:$N$1003,9,FALSE)</f>
        <v>#N/A</v>
      </c>
      <c r="T1095" s="755"/>
      <c r="U1095" s="791"/>
      <c r="V1095" s="784"/>
      <c r="W1095" s="784"/>
      <c r="X1095" s="784"/>
      <c r="Y1095" s="784"/>
      <c r="Z1095" s="965" t="str">
        <f>VLOOKUP(L1095,اس!$S$3:$X$31,3,FALSE)</f>
        <v>.</v>
      </c>
    </row>
    <row r="1096" spans="12:26" ht="18.75">
      <c r="L1096" s="777">
        <v>5</v>
      </c>
      <c r="M1096" s="906"/>
      <c r="N1096" s="976">
        <v>0</v>
      </c>
      <c r="O1096" s="1020">
        <v>1043</v>
      </c>
      <c r="P1096" s="860" t="e">
        <f>VLOOKUP(N1096,etat!$A$9:$N$1004,2,FALSE)</f>
        <v>#N/A</v>
      </c>
      <c r="Q1096" s="797" t="e">
        <f>VLOOKUP(N1096,etat!$A$9:$N$963,7,FALSE)</f>
        <v>#N/A</v>
      </c>
      <c r="R1096" s="905" t="e">
        <f>VLOOKUP(N1096,etat!$A$9:$N$1003,9,FALSE)</f>
        <v>#N/A</v>
      </c>
      <c r="T1096" s="755"/>
      <c r="U1096" s="791"/>
      <c r="V1096" s="784"/>
      <c r="W1096" s="784"/>
      <c r="X1096" s="784"/>
      <c r="Y1096" s="784"/>
      <c r="Z1096" s="965" t="str">
        <f>VLOOKUP(L1096,اس!$S$3:$X$31,3,FALSE)</f>
        <v>.</v>
      </c>
    </row>
    <row r="1097" spans="12:26" ht="18.75">
      <c r="L1097" s="777">
        <v>5</v>
      </c>
      <c r="M1097" s="906"/>
      <c r="N1097" s="976">
        <v>0</v>
      </c>
      <c r="O1097" s="1020">
        <v>1044</v>
      </c>
      <c r="P1097" s="860" t="e">
        <f>VLOOKUP(N1097,etat!$A$9:$N$1004,2,FALSE)</f>
        <v>#N/A</v>
      </c>
      <c r="Q1097" s="797" t="e">
        <f>VLOOKUP(N1097,etat!$A$9:$N$963,7,FALSE)</f>
        <v>#N/A</v>
      </c>
      <c r="R1097" s="905" t="e">
        <f>VLOOKUP(N1097,etat!$A$9:$N$1003,9,FALSE)</f>
        <v>#N/A</v>
      </c>
      <c r="T1097" s="755"/>
      <c r="U1097" s="791"/>
      <c r="V1097" s="784"/>
      <c r="W1097" s="784"/>
      <c r="X1097" s="784"/>
      <c r="Y1097" s="784"/>
      <c r="Z1097" s="965" t="str">
        <f>VLOOKUP(L1097,اس!$S$3:$X$31,3,FALSE)</f>
        <v>.</v>
      </c>
    </row>
    <row r="1098" spans="12:26" ht="18.75">
      <c r="L1098" s="777">
        <v>5</v>
      </c>
      <c r="M1098" s="906"/>
      <c r="N1098" s="976">
        <v>0</v>
      </c>
      <c r="O1098" s="1020">
        <v>1045</v>
      </c>
      <c r="P1098" s="860" t="e">
        <f>VLOOKUP(N1098,etat!$A$9:$N$1004,2,FALSE)</f>
        <v>#N/A</v>
      </c>
      <c r="Q1098" s="797" t="e">
        <f>VLOOKUP(N1098,etat!$A$9:$N$963,7,FALSE)</f>
        <v>#N/A</v>
      </c>
      <c r="R1098" s="905" t="e">
        <f>VLOOKUP(N1098,etat!$A$9:$N$1003,9,FALSE)</f>
        <v>#N/A</v>
      </c>
      <c r="T1098" s="755"/>
      <c r="U1098" s="791"/>
      <c r="V1098" s="784"/>
      <c r="W1098" s="784"/>
      <c r="X1098" s="784"/>
      <c r="Y1098" s="784"/>
      <c r="Z1098" s="965" t="str">
        <f>VLOOKUP(L1098,اس!$S$3:$X$31,3,FALSE)</f>
        <v>.</v>
      </c>
    </row>
    <row r="1099" spans="12:26" ht="18.75">
      <c r="L1099" s="777">
        <v>5</v>
      </c>
      <c r="M1099" s="906"/>
      <c r="N1099" s="976">
        <v>0</v>
      </c>
      <c r="O1099" s="1020">
        <v>1046</v>
      </c>
      <c r="P1099" s="860" t="e">
        <f>VLOOKUP(N1099,etat!$A$9:$N$1004,2,FALSE)</f>
        <v>#N/A</v>
      </c>
      <c r="Q1099" s="797" t="e">
        <f>VLOOKUP(N1099,etat!$A$9:$N$963,7,FALSE)</f>
        <v>#N/A</v>
      </c>
      <c r="R1099" s="905" t="e">
        <f>VLOOKUP(N1099,etat!$A$9:$N$1003,9,FALSE)</f>
        <v>#N/A</v>
      </c>
      <c r="T1099" s="755"/>
      <c r="U1099" s="791"/>
      <c r="V1099" s="784"/>
      <c r="W1099" s="784"/>
      <c r="X1099" s="784"/>
      <c r="Y1099" s="784"/>
      <c r="Z1099" s="965" t="str">
        <f>VLOOKUP(L1099,اس!$S$3:$X$31,3,FALSE)</f>
        <v>.</v>
      </c>
    </row>
    <row r="1100" spans="12:26" ht="18.75">
      <c r="L1100" s="777">
        <v>5</v>
      </c>
      <c r="M1100" s="906"/>
      <c r="N1100" s="976">
        <v>0</v>
      </c>
      <c r="O1100" s="1020">
        <v>1047</v>
      </c>
      <c r="P1100" s="860" t="e">
        <f>VLOOKUP(N1100,etat!$A$9:$N$1004,2,FALSE)</f>
        <v>#N/A</v>
      </c>
      <c r="Q1100" s="797" t="e">
        <f>VLOOKUP(N1100,etat!$A$9:$N$963,7,FALSE)</f>
        <v>#N/A</v>
      </c>
      <c r="R1100" s="905" t="e">
        <f>VLOOKUP(N1100,etat!$A$9:$N$1003,9,FALSE)</f>
        <v>#N/A</v>
      </c>
      <c r="T1100" s="755"/>
      <c r="U1100" s="791"/>
      <c r="V1100" s="784"/>
      <c r="W1100" s="784"/>
      <c r="X1100" s="784"/>
      <c r="Y1100" s="784"/>
      <c r="Z1100" s="965" t="str">
        <f>VLOOKUP(L1100,اس!$S$3:$X$31,3,FALSE)</f>
        <v>.</v>
      </c>
    </row>
    <row r="1101" spans="12:26" ht="18.75">
      <c r="L1101" s="777">
        <v>5</v>
      </c>
      <c r="M1101" s="906"/>
      <c r="N1101" s="976">
        <v>0</v>
      </c>
      <c r="O1101" s="1020">
        <v>1048</v>
      </c>
      <c r="P1101" s="860" t="e">
        <f>VLOOKUP(N1101,etat!$A$9:$N$1004,2,FALSE)</f>
        <v>#N/A</v>
      </c>
      <c r="Q1101" s="797" t="e">
        <f>VLOOKUP(N1101,etat!$A$9:$N$963,7,FALSE)</f>
        <v>#N/A</v>
      </c>
      <c r="R1101" s="905" t="e">
        <f>VLOOKUP(N1101,etat!$A$9:$N$1003,9,FALSE)</f>
        <v>#N/A</v>
      </c>
      <c r="T1101" s="755"/>
      <c r="U1101" s="791"/>
      <c r="V1101" s="784"/>
      <c r="W1101" s="784"/>
      <c r="X1101" s="784"/>
      <c r="Y1101" s="784"/>
      <c r="Z1101" s="965" t="str">
        <f>VLOOKUP(L1101,اس!$S$3:$X$31,3,FALSE)</f>
        <v>.</v>
      </c>
    </row>
    <row r="1102" spans="12:26" ht="18.75">
      <c r="L1102" s="777">
        <v>5</v>
      </c>
      <c r="M1102" s="906"/>
      <c r="N1102" s="976">
        <v>0</v>
      </c>
      <c r="O1102" s="1020">
        <v>1049</v>
      </c>
      <c r="P1102" s="860" t="e">
        <f>VLOOKUP(N1102,etat!$A$9:$N$1004,2,FALSE)</f>
        <v>#N/A</v>
      </c>
      <c r="Q1102" s="797" t="e">
        <f>VLOOKUP(N1102,etat!$A$9:$N$963,7,FALSE)</f>
        <v>#N/A</v>
      </c>
      <c r="R1102" s="905" t="e">
        <f>VLOOKUP(N1102,etat!$A$9:$N$1003,9,FALSE)</f>
        <v>#N/A</v>
      </c>
      <c r="T1102" s="755"/>
      <c r="U1102" s="791"/>
      <c r="V1102" s="784"/>
      <c r="W1102" s="784"/>
      <c r="X1102" s="784"/>
      <c r="Y1102" s="784"/>
      <c r="Z1102" s="965" t="str">
        <f>VLOOKUP(L1102,اس!$S$3:$X$31,3,FALSE)</f>
        <v>.</v>
      </c>
    </row>
    <row r="1103" spans="12:26" ht="18.75">
      <c r="L1103" s="777">
        <v>5</v>
      </c>
      <c r="M1103" s="906"/>
      <c r="N1103" s="976">
        <v>0</v>
      </c>
      <c r="O1103" s="1020">
        <v>1050</v>
      </c>
      <c r="P1103" s="860" t="e">
        <f>VLOOKUP(N1103,etat!$A$9:$N$1004,2,FALSE)</f>
        <v>#N/A</v>
      </c>
      <c r="Q1103" s="797" t="e">
        <f>VLOOKUP(N1103,etat!$A$9:$N$963,7,FALSE)</f>
        <v>#N/A</v>
      </c>
      <c r="R1103" s="905" t="e">
        <f>VLOOKUP(N1103,etat!$A$9:$N$1003,9,FALSE)</f>
        <v>#N/A</v>
      </c>
      <c r="T1103" s="755"/>
      <c r="U1103" s="791"/>
      <c r="V1103" s="784"/>
      <c r="W1103" s="784"/>
      <c r="X1103" s="784"/>
      <c r="Y1103" s="784"/>
      <c r="Z1103" s="965" t="str">
        <f>VLOOKUP(L1103,اس!$S$3:$X$31,3,FALSE)</f>
        <v>.</v>
      </c>
    </row>
    <row r="1104" spans="12:26" ht="18.75">
      <c r="L1104" s="777">
        <v>5</v>
      </c>
      <c r="M1104" s="906"/>
      <c r="N1104" s="976">
        <v>0</v>
      </c>
      <c r="O1104" s="1020">
        <v>1051</v>
      </c>
      <c r="P1104" s="860" t="e">
        <f>VLOOKUP(N1104,etat!$A$9:$N$1004,2,FALSE)</f>
        <v>#N/A</v>
      </c>
      <c r="Q1104" s="797" t="e">
        <f>VLOOKUP(N1104,etat!$A$9:$N$963,7,FALSE)</f>
        <v>#N/A</v>
      </c>
      <c r="R1104" s="905" t="e">
        <f>VLOOKUP(N1104,etat!$A$9:$N$1003,9,FALSE)</f>
        <v>#N/A</v>
      </c>
      <c r="T1104" s="755"/>
      <c r="U1104" s="791"/>
      <c r="V1104" s="784"/>
      <c r="W1104" s="784"/>
      <c r="X1104" s="784"/>
      <c r="Y1104" s="784"/>
      <c r="Z1104" s="965" t="str">
        <f>VLOOKUP(L1104,اس!$S$3:$X$31,3,FALSE)</f>
        <v>.</v>
      </c>
    </row>
    <row r="1105" spans="12:26" ht="18.75">
      <c r="L1105" s="777">
        <v>5</v>
      </c>
      <c r="M1105" s="906"/>
      <c r="N1105" s="976">
        <v>0</v>
      </c>
      <c r="O1105" s="1020">
        <v>1052</v>
      </c>
      <c r="P1105" s="860" t="e">
        <f>VLOOKUP(N1105,etat!$A$9:$N$1004,2,FALSE)</f>
        <v>#N/A</v>
      </c>
      <c r="Q1105" s="797" t="e">
        <f>VLOOKUP(N1105,etat!$A$9:$N$963,7,FALSE)</f>
        <v>#N/A</v>
      </c>
      <c r="R1105" s="905" t="e">
        <f>VLOOKUP(N1105,etat!$A$9:$N$1003,9,FALSE)</f>
        <v>#N/A</v>
      </c>
      <c r="T1105" s="755"/>
      <c r="U1105" s="791"/>
      <c r="V1105" s="784"/>
      <c r="W1105" s="784"/>
      <c r="X1105" s="784"/>
      <c r="Y1105" s="784"/>
      <c r="Z1105" s="965" t="str">
        <f>VLOOKUP(L1105,اس!$S$3:$X$31,3,FALSE)</f>
        <v>.</v>
      </c>
    </row>
    <row r="1106" spans="12:26" ht="18.75">
      <c r="L1106" s="777">
        <v>5</v>
      </c>
      <c r="M1106" s="906"/>
      <c r="N1106" s="976">
        <v>0</v>
      </c>
      <c r="O1106" s="1020">
        <v>1053</v>
      </c>
      <c r="P1106" s="860" t="e">
        <f>VLOOKUP(N1106,etat!$A$9:$N$1004,2,FALSE)</f>
        <v>#N/A</v>
      </c>
      <c r="Q1106" s="797" t="e">
        <f>VLOOKUP(N1106,etat!$A$9:$N$963,7,FALSE)</f>
        <v>#N/A</v>
      </c>
      <c r="R1106" s="905" t="e">
        <f>VLOOKUP(N1106,etat!$A$9:$N$1003,9,FALSE)</f>
        <v>#N/A</v>
      </c>
      <c r="T1106" s="755"/>
      <c r="U1106" s="791"/>
      <c r="V1106" s="784"/>
      <c r="W1106" s="784"/>
      <c r="X1106" s="784"/>
      <c r="Y1106" s="784"/>
      <c r="Z1106" s="965" t="str">
        <f>VLOOKUP(L1106,اس!$S$3:$X$31,3,FALSE)</f>
        <v>.</v>
      </c>
    </row>
    <row r="1107" spans="12:26" ht="18.75">
      <c r="L1107" s="777">
        <v>5</v>
      </c>
      <c r="M1107" s="906"/>
      <c r="N1107" s="976">
        <v>0</v>
      </c>
      <c r="O1107" s="1020">
        <v>1054</v>
      </c>
      <c r="P1107" s="860" t="e">
        <f>VLOOKUP(N1107,etat!$A$9:$N$1004,2,FALSE)</f>
        <v>#N/A</v>
      </c>
      <c r="Q1107" s="797" t="e">
        <f>VLOOKUP(N1107,etat!$A$9:$N$963,7,FALSE)</f>
        <v>#N/A</v>
      </c>
      <c r="R1107" s="905" t="e">
        <f>VLOOKUP(N1107,etat!$A$9:$N$1003,9,FALSE)</f>
        <v>#N/A</v>
      </c>
      <c r="T1107" s="755"/>
      <c r="U1107" s="791"/>
      <c r="V1107" s="784"/>
      <c r="W1107" s="784"/>
      <c r="X1107" s="784"/>
      <c r="Y1107" s="784"/>
      <c r="Z1107" s="965" t="str">
        <f>VLOOKUP(L1107,اس!$S$3:$X$31,3,FALSE)</f>
        <v>.</v>
      </c>
    </row>
    <row r="1108" spans="12:26" ht="18.75">
      <c r="L1108" s="777">
        <v>5</v>
      </c>
      <c r="M1108" s="906"/>
      <c r="N1108" s="976">
        <v>0</v>
      </c>
      <c r="O1108" s="1020">
        <v>1055</v>
      </c>
      <c r="P1108" s="860" t="e">
        <f>VLOOKUP(N1108,etat!$A$9:$N$1004,2,FALSE)</f>
        <v>#N/A</v>
      </c>
      <c r="Q1108" s="797" t="e">
        <f>VLOOKUP(N1108,etat!$A$9:$N$963,7,FALSE)</f>
        <v>#N/A</v>
      </c>
      <c r="R1108" s="905" t="e">
        <f>VLOOKUP(N1108,etat!$A$9:$N$1003,9,FALSE)</f>
        <v>#N/A</v>
      </c>
      <c r="T1108" s="755"/>
      <c r="U1108" s="791"/>
      <c r="V1108" s="784"/>
      <c r="W1108" s="784"/>
      <c r="X1108" s="784"/>
      <c r="Y1108" s="784"/>
      <c r="Z1108" s="965" t="str">
        <f>VLOOKUP(L1108,اس!$S$3:$X$31,3,FALSE)</f>
        <v>.</v>
      </c>
    </row>
    <row r="1109" spans="12:26" ht="18.75">
      <c r="L1109" s="777">
        <v>5</v>
      </c>
      <c r="M1109" s="906"/>
      <c r="N1109" s="976">
        <v>0</v>
      </c>
      <c r="O1109" s="1020">
        <v>1056</v>
      </c>
      <c r="P1109" s="860" t="e">
        <f>VLOOKUP(N1109,etat!$A$9:$N$1004,2,FALSE)</f>
        <v>#N/A</v>
      </c>
      <c r="Q1109" s="797" t="e">
        <f>VLOOKUP(N1109,etat!$A$9:$N$963,7,FALSE)</f>
        <v>#N/A</v>
      </c>
      <c r="R1109" s="905" t="e">
        <f>VLOOKUP(N1109,etat!$A$9:$N$1003,9,FALSE)</f>
        <v>#N/A</v>
      </c>
      <c r="T1109" s="755"/>
      <c r="U1109" s="791"/>
      <c r="V1109" s="784"/>
      <c r="W1109" s="784"/>
      <c r="X1109" s="784"/>
      <c r="Y1109" s="784"/>
      <c r="Z1109" s="965" t="str">
        <f>VLOOKUP(L1109,اس!$S$3:$X$31,3,FALSE)</f>
        <v>.</v>
      </c>
    </row>
    <row r="1110" spans="12:26" ht="18.75">
      <c r="L1110" s="777">
        <v>5</v>
      </c>
      <c r="M1110" s="906"/>
      <c r="N1110" s="976">
        <v>0</v>
      </c>
      <c r="O1110" s="1020">
        <v>1057</v>
      </c>
      <c r="P1110" s="860" t="e">
        <f>VLOOKUP(N1110,etat!$A$9:$N$1004,2,FALSE)</f>
        <v>#N/A</v>
      </c>
      <c r="Q1110" s="797" t="e">
        <f>VLOOKUP(N1110,etat!$A$9:$N$963,7,FALSE)</f>
        <v>#N/A</v>
      </c>
      <c r="R1110" s="905" t="e">
        <f>VLOOKUP(N1110,etat!$A$9:$N$1003,9,FALSE)</f>
        <v>#N/A</v>
      </c>
      <c r="T1110" s="755"/>
      <c r="U1110" s="791"/>
      <c r="V1110" s="784"/>
      <c r="W1110" s="784"/>
      <c r="X1110" s="784"/>
      <c r="Y1110" s="784"/>
      <c r="Z1110" s="965" t="str">
        <f>VLOOKUP(L1110,اس!$S$3:$X$31,3,FALSE)</f>
        <v>.</v>
      </c>
    </row>
    <row r="1111" spans="12:26" ht="18.75">
      <c r="L1111" s="777">
        <v>5</v>
      </c>
      <c r="M1111" s="906"/>
      <c r="N1111" s="976">
        <v>0</v>
      </c>
      <c r="O1111" s="1020">
        <v>1058</v>
      </c>
      <c r="P1111" s="860" t="e">
        <f>VLOOKUP(N1111,etat!$A$9:$N$1004,2,FALSE)</f>
        <v>#N/A</v>
      </c>
      <c r="Q1111" s="797" t="e">
        <f>VLOOKUP(N1111,etat!$A$9:$N$963,7,FALSE)</f>
        <v>#N/A</v>
      </c>
      <c r="R1111" s="905" t="e">
        <f>VLOOKUP(N1111,etat!$A$9:$N$1003,9,FALSE)</f>
        <v>#N/A</v>
      </c>
      <c r="T1111" s="755"/>
      <c r="U1111" s="791"/>
      <c r="V1111" s="784"/>
      <c r="W1111" s="784"/>
      <c r="X1111" s="784"/>
      <c r="Y1111" s="784"/>
      <c r="Z1111" s="965" t="str">
        <f>VLOOKUP(L1111,اس!$S$3:$X$31,3,FALSE)</f>
        <v>.</v>
      </c>
    </row>
    <row r="1112" spans="12:26" ht="18.75">
      <c r="L1112" s="777">
        <v>5</v>
      </c>
      <c r="M1112" s="906"/>
      <c r="N1112" s="976">
        <v>0</v>
      </c>
      <c r="O1112" s="1020">
        <v>1059</v>
      </c>
      <c r="P1112" s="860" t="e">
        <f>VLOOKUP(N1112,etat!$A$9:$N$1004,2,FALSE)</f>
        <v>#N/A</v>
      </c>
      <c r="Q1112" s="797" t="e">
        <f>VLOOKUP(N1112,etat!$A$9:$N$963,7,FALSE)</f>
        <v>#N/A</v>
      </c>
      <c r="R1112" s="905" t="e">
        <f>VLOOKUP(N1112,etat!$A$9:$N$1003,9,FALSE)</f>
        <v>#N/A</v>
      </c>
      <c r="T1112" s="755"/>
      <c r="U1112" s="791"/>
      <c r="V1112" s="784"/>
      <c r="W1112" s="784"/>
      <c r="X1112" s="784"/>
      <c r="Y1112" s="784"/>
      <c r="Z1112" s="965" t="str">
        <f>VLOOKUP(L1112,اس!$S$3:$X$31,3,FALSE)</f>
        <v>.</v>
      </c>
    </row>
    <row r="1113" spans="12:26" ht="18.75">
      <c r="L1113" s="777">
        <v>5</v>
      </c>
      <c r="M1113" s="906"/>
      <c r="N1113" s="976">
        <v>0</v>
      </c>
      <c r="O1113" s="1020">
        <v>1060</v>
      </c>
      <c r="P1113" s="860" t="e">
        <f>VLOOKUP(N1113,etat!$A$9:$N$1004,2,FALSE)</f>
        <v>#N/A</v>
      </c>
      <c r="Q1113" s="797" t="e">
        <f>VLOOKUP(N1113,etat!$A$9:$N$963,7,FALSE)</f>
        <v>#N/A</v>
      </c>
      <c r="R1113" s="905" t="e">
        <f>VLOOKUP(N1113,etat!$A$9:$N$1003,9,FALSE)</f>
        <v>#N/A</v>
      </c>
      <c r="T1113" s="755"/>
      <c r="U1113" s="791"/>
      <c r="V1113" s="784"/>
      <c r="W1113" s="784"/>
      <c r="X1113" s="784"/>
      <c r="Y1113" s="784"/>
      <c r="Z1113" s="965" t="str">
        <f>VLOOKUP(L1113,اس!$S$3:$X$31,3,FALSE)</f>
        <v>.</v>
      </c>
    </row>
    <row r="1114" spans="12:26" ht="18.75">
      <c r="L1114" s="777">
        <v>5</v>
      </c>
      <c r="M1114" s="906"/>
      <c r="N1114" s="976">
        <v>0</v>
      </c>
      <c r="O1114" s="1020">
        <v>1061</v>
      </c>
      <c r="P1114" s="860" t="e">
        <f>VLOOKUP(N1114,etat!$A$9:$N$1004,2,FALSE)</f>
        <v>#N/A</v>
      </c>
      <c r="Q1114" s="797" t="e">
        <f>VLOOKUP(N1114,etat!$A$9:$N$963,7,FALSE)</f>
        <v>#N/A</v>
      </c>
      <c r="R1114" s="905" t="e">
        <f>VLOOKUP(N1114,etat!$A$9:$N$1003,9,FALSE)</f>
        <v>#N/A</v>
      </c>
      <c r="T1114" s="755"/>
      <c r="U1114" s="791"/>
      <c r="V1114" s="784"/>
      <c r="W1114" s="784"/>
      <c r="X1114" s="784"/>
      <c r="Y1114" s="784"/>
      <c r="Z1114" s="965" t="str">
        <f>VLOOKUP(L1114,اس!$S$3:$X$31,3,FALSE)</f>
        <v>.</v>
      </c>
    </row>
    <row r="1115" spans="12:26" ht="18.75">
      <c r="L1115" s="777">
        <v>5</v>
      </c>
      <c r="M1115" s="906"/>
      <c r="N1115" s="976">
        <v>0</v>
      </c>
      <c r="O1115" s="1020">
        <v>1062</v>
      </c>
      <c r="P1115" s="860" t="e">
        <f>VLOOKUP(N1115,etat!$A$9:$N$1004,2,FALSE)</f>
        <v>#N/A</v>
      </c>
      <c r="Q1115" s="797" t="e">
        <f>VLOOKUP(N1115,etat!$A$9:$N$963,7,FALSE)</f>
        <v>#N/A</v>
      </c>
      <c r="R1115" s="905" t="e">
        <f>VLOOKUP(N1115,etat!$A$9:$N$1003,9,FALSE)</f>
        <v>#N/A</v>
      </c>
      <c r="T1115" s="755"/>
      <c r="U1115" s="791"/>
      <c r="V1115" s="784"/>
      <c r="W1115" s="784"/>
      <c r="X1115" s="784"/>
      <c r="Y1115" s="784"/>
      <c r="Z1115" s="965" t="str">
        <f>VLOOKUP(L1115,اس!$S$3:$X$31,3,FALSE)</f>
        <v>.</v>
      </c>
    </row>
    <row r="1116" spans="12:26" ht="18.75">
      <c r="L1116" s="777">
        <v>5</v>
      </c>
      <c r="M1116" s="906"/>
      <c r="N1116" s="976">
        <v>0</v>
      </c>
      <c r="O1116" s="1020">
        <v>1063</v>
      </c>
      <c r="P1116" s="860" t="e">
        <f>VLOOKUP(N1116,etat!$A$9:$N$1004,2,FALSE)</f>
        <v>#N/A</v>
      </c>
      <c r="Q1116" s="797" t="e">
        <f>VLOOKUP(N1116,etat!$A$9:$N$963,7,FALSE)</f>
        <v>#N/A</v>
      </c>
      <c r="R1116" s="905" t="e">
        <f>VLOOKUP(N1116,etat!$A$9:$N$1003,9,FALSE)</f>
        <v>#N/A</v>
      </c>
      <c r="T1116" s="755"/>
      <c r="U1116" s="791"/>
      <c r="V1116" s="784"/>
      <c r="W1116" s="784"/>
      <c r="X1116" s="784"/>
      <c r="Y1116" s="784"/>
      <c r="Z1116" s="965" t="str">
        <f>VLOOKUP(L1116,اس!$S$3:$X$31,3,FALSE)</f>
        <v>.</v>
      </c>
    </row>
    <row r="1117" spans="12:26" ht="18.75">
      <c r="L1117" s="777">
        <v>5</v>
      </c>
      <c r="M1117" s="906"/>
      <c r="N1117" s="976">
        <v>0</v>
      </c>
      <c r="O1117" s="1020">
        <v>1064</v>
      </c>
      <c r="P1117" s="860" t="e">
        <f>VLOOKUP(N1117,etat!$A$9:$N$1004,2,FALSE)</f>
        <v>#N/A</v>
      </c>
      <c r="Q1117" s="797" t="e">
        <f>VLOOKUP(N1117,etat!$A$9:$N$963,7,FALSE)</f>
        <v>#N/A</v>
      </c>
      <c r="R1117" s="905" t="e">
        <f>VLOOKUP(N1117,etat!$A$9:$N$1003,9,FALSE)</f>
        <v>#N/A</v>
      </c>
      <c r="T1117" s="755"/>
      <c r="U1117" s="791"/>
      <c r="V1117" s="784"/>
      <c r="W1117" s="784"/>
      <c r="X1117" s="784"/>
      <c r="Y1117" s="784"/>
      <c r="Z1117" s="965" t="str">
        <f>VLOOKUP(L1117,اس!$S$3:$X$31,3,FALSE)</f>
        <v>.</v>
      </c>
    </row>
    <row r="1118" spans="12:26" ht="18.75">
      <c r="L1118" s="777">
        <v>5</v>
      </c>
      <c r="M1118" s="906"/>
      <c r="N1118" s="976">
        <v>0</v>
      </c>
      <c r="O1118" s="1020">
        <v>1065</v>
      </c>
      <c r="P1118" s="860" t="e">
        <f>VLOOKUP(N1118,etat!$A$9:$N$1004,2,FALSE)</f>
        <v>#N/A</v>
      </c>
      <c r="Q1118" s="797" t="e">
        <f>VLOOKUP(N1118,etat!$A$9:$N$963,7,FALSE)</f>
        <v>#N/A</v>
      </c>
      <c r="R1118" s="905" t="e">
        <f>VLOOKUP(N1118,etat!$A$9:$N$1003,9,FALSE)</f>
        <v>#N/A</v>
      </c>
      <c r="T1118" s="755"/>
      <c r="U1118" s="791"/>
      <c r="V1118" s="784"/>
      <c r="W1118" s="784"/>
      <c r="X1118" s="784"/>
      <c r="Y1118" s="784"/>
      <c r="Z1118" s="965" t="str">
        <f>VLOOKUP(L1118,اس!$S$3:$X$31,3,FALSE)</f>
        <v>.</v>
      </c>
    </row>
    <row r="1119" spans="12:26" ht="18.75">
      <c r="L1119" s="777">
        <v>5</v>
      </c>
      <c r="M1119" s="906"/>
      <c r="N1119" s="976">
        <v>0</v>
      </c>
      <c r="O1119" s="1020">
        <v>1066</v>
      </c>
      <c r="P1119" s="860" t="e">
        <f>VLOOKUP(N1119,etat!$A$9:$N$1004,2,FALSE)</f>
        <v>#N/A</v>
      </c>
      <c r="Q1119" s="797" t="e">
        <f>VLOOKUP(N1119,etat!$A$9:$N$963,7,FALSE)</f>
        <v>#N/A</v>
      </c>
      <c r="R1119" s="905" t="e">
        <f>VLOOKUP(N1119,etat!$A$9:$N$1003,9,FALSE)</f>
        <v>#N/A</v>
      </c>
      <c r="T1119" s="755"/>
      <c r="U1119" s="791"/>
      <c r="V1119" s="784"/>
      <c r="W1119" s="784"/>
      <c r="X1119" s="784"/>
      <c r="Y1119" s="784"/>
      <c r="Z1119" s="965" t="str">
        <f>VLOOKUP(L1119,اس!$S$3:$X$31,3,FALSE)</f>
        <v>.</v>
      </c>
    </row>
    <row r="1120" spans="12:26" ht="18.75">
      <c r="L1120" s="777">
        <v>5</v>
      </c>
      <c r="M1120" s="906"/>
      <c r="N1120" s="976">
        <v>0</v>
      </c>
      <c r="O1120" s="1020">
        <v>1067</v>
      </c>
      <c r="P1120" s="860" t="e">
        <f>VLOOKUP(N1120,etat!$A$9:$N$1004,2,FALSE)</f>
        <v>#N/A</v>
      </c>
      <c r="Q1120" s="797" t="e">
        <f>VLOOKUP(N1120,etat!$A$9:$N$963,7,FALSE)</f>
        <v>#N/A</v>
      </c>
      <c r="R1120" s="905" t="e">
        <f>VLOOKUP(N1120,etat!$A$9:$N$1003,9,FALSE)</f>
        <v>#N/A</v>
      </c>
      <c r="T1120" s="755"/>
      <c r="U1120" s="791"/>
      <c r="V1120" s="784"/>
      <c r="W1120" s="784"/>
      <c r="X1120" s="784"/>
      <c r="Y1120" s="784"/>
      <c r="Z1120" s="965" t="str">
        <f>VLOOKUP(L1120,اس!$S$3:$X$31,3,FALSE)</f>
        <v>.</v>
      </c>
    </row>
    <row r="1121" spans="12:26" ht="18.75">
      <c r="L1121" s="777">
        <v>5</v>
      </c>
      <c r="M1121" s="906"/>
      <c r="N1121" s="976">
        <v>0</v>
      </c>
      <c r="O1121" s="1020">
        <v>1068</v>
      </c>
      <c r="P1121" s="860" t="e">
        <f>VLOOKUP(N1121,etat!$A$9:$N$1004,2,FALSE)</f>
        <v>#N/A</v>
      </c>
      <c r="Q1121" s="797" t="e">
        <f>VLOOKUP(N1121,etat!$A$9:$N$963,7,FALSE)</f>
        <v>#N/A</v>
      </c>
      <c r="R1121" s="905" t="e">
        <f>VLOOKUP(N1121,etat!$A$9:$N$1003,9,FALSE)</f>
        <v>#N/A</v>
      </c>
      <c r="T1121" s="755"/>
      <c r="U1121" s="791"/>
      <c r="V1121" s="784"/>
      <c r="W1121" s="784"/>
      <c r="X1121" s="784"/>
      <c r="Y1121" s="784"/>
      <c r="Z1121" s="965" t="str">
        <f>VLOOKUP(L1121,اس!$S$3:$X$31,3,FALSE)</f>
        <v>.</v>
      </c>
    </row>
    <row r="1122" spans="12:26" ht="18.75">
      <c r="L1122" s="777">
        <v>5</v>
      </c>
      <c r="M1122" s="906"/>
      <c r="N1122" s="976">
        <v>0</v>
      </c>
      <c r="O1122" s="1020">
        <v>1069</v>
      </c>
      <c r="P1122" s="860" t="e">
        <f>VLOOKUP(N1122,etat!$A$9:$N$1004,2,FALSE)</f>
        <v>#N/A</v>
      </c>
      <c r="Q1122" s="797" t="e">
        <f>VLOOKUP(N1122,etat!$A$9:$N$963,7,FALSE)</f>
        <v>#N/A</v>
      </c>
      <c r="R1122" s="905" t="e">
        <f>VLOOKUP(N1122,etat!$A$9:$N$1003,9,FALSE)</f>
        <v>#N/A</v>
      </c>
      <c r="T1122" s="755"/>
      <c r="U1122" s="791"/>
      <c r="V1122" s="784"/>
      <c r="W1122" s="784"/>
      <c r="X1122" s="784"/>
      <c r="Y1122" s="784"/>
      <c r="Z1122" s="965" t="str">
        <f>VLOOKUP(L1122,اس!$S$3:$X$31,3,FALSE)</f>
        <v>.</v>
      </c>
    </row>
    <row r="1123" spans="12:26" ht="18.75">
      <c r="L1123" s="777">
        <v>5</v>
      </c>
      <c r="M1123" s="906"/>
      <c r="N1123" s="976">
        <v>0</v>
      </c>
      <c r="O1123" s="1020">
        <v>1070</v>
      </c>
      <c r="P1123" s="860" t="e">
        <f>VLOOKUP(N1123,etat!$A$9:$N$1004,2,FALSE)</f>
        <v>#N/A</v>
      </c>
      <c r="Q1123" s="797" t="e">
        <f>VLOOKUP(N1123,etat!$A$9:$N$963,7,FALSE)</f>
        <v>#N/A</v>
      </c>
      <c r="R1123" s="905" t="e">
        <f>VLOOKUP(N1123,etat!$A$9:$N$1003,9,FALSE)</f>
        <v>#N/A</v>
      </c>
      <c r="T1123" s="755"/>
      <c r="U1123" s="791"/>
      <c r="V1123" s="784"/>
      <c r="W1123" s="784"/>
      <c r="X1123" s="784"/>
      <c r="Y1123" s="784"/>
      <c r="Z1123" s="965" t="str">
        <f>VLOOKUP(L1123,اس!$S$3:$X$31,3,FALSE)</f>
        <v>.</v>
      </c>
    </row>
    <row r="1124" spans="12:26" ht="18.75">
      <c r="L1124" s="777">
        <v>5</v>
      </c>
      <c r="M1124" s="906"/>
      <c r="N1124" s="976">
        <v>0</v>
      </c>
      <c r="O1124" s="1020">
        <v>1071</v>
      </c>
      <c r="P1124" s="860" t="e">
        <f>VLOOKUP(N1124,etat!$A$9:$N$1004,2,FALSE)</f>
        <v>#N/A</v>
      </c>
      <c r="Q1124" s="797" t="e">
        <f>VLOOKUP(N1124,etat!$A$9:$N$963,7,FALSE)</f>
        <v>#N/A</v>
      </c>
      <c r="R1124" s="905" t="e">
        <f>VLOOKUP(N1124,etat!$A$9:$N$1003,9,FALSE)</f>
        <v>#N/A</v>
      </c>
      <c r="T1124" s="755"/>
      <c r="U1124" s="791"/>
      <c r="V1124" s="784"/>
      <c r="W1124" s="784"/>
      <c r="X1124" s="784"/>
      <c r="Y1124" s="784"/>
      <c r="Z1124" s="965" t="str">
        <f>VLOOKUP(L1124,اس!$S$3:$X$31,3,FALSE)</f>
        <v>.</v>
      </c>
    </row>
    <row r="1125" spans="12:26" ht="18.75">
      <c r="L1125" s="777">
        <v>5</v>
      </c>
      <c r="M1125" s="906"/>
      <c r="N1125" s="976">
        <v>0</v>
      </c>
      <c r="O1125" s="1020">
        <v>1072</v>
      </c>
      <c r="P1125" s="860" t="e">
        <f>VLOOKUP(N1125,etat!$A$9:$N$1004,2,FALSE)</f>
        <v>#N/A</v>
      </c>
      <c r="Q1125" s="797" t="e">
        <f>VLOOKUP(N1125,etat!$A$9:$N$963,7,FALSE)</f>
        <v>#N/A</v>
      </c>
      <c r="R1125" s="905" t="e">
        <f>VLOOKUP(N1125,etat!$A$9:$N$1003,9,FALSE)</f>
        <v>#N/A</v>
      </c>
      <c r="T1125" s="755"/>
      <c r="U1125" s="791"/>
      <c r="V1125" s="784"/>
      <c r="W1125" s="784"/>
      <c r="X1125" s="784"/>
      <c r="Y1125" s="784"/>
      <c r="Z1125" s="965" t="str">
        <f>VLOOKUP(L1125,اس!$S$3:$X$31,3,FALSE)</f>
        <v>.</v>
      </c>
    </row>
    <row r="1126" spans="12:26" ht="18.75">
      <c r="L1126" s="777">
        <v>5</v>
      </c>
      <c r="M1126" s="906"/>
      <c r="N1126" s="976">
        <v>0</v>
      </c>
      <c r="O1126" s="1020">
        <v>1073</v>
      </c>
      <c r="P1126" s="860" t="e">
        <f>VLOOKUP(N1126,etat!$A$9:$N$1004,2,FALSE)</f>
        <v>#N/A</v>
      </c>
      <c r="Q1126" s="797" t="e">
        <f>VLOOKUP(N1126,etat!$A$9:$N$963,7,FALSE)</f>
        <v>#N/A</v>
      </c>
      <c r="R1126" s="905" t="e">
        <f>VLOOKUP(N1126,etat!$A$9:$N$1003,9,FALSE)</f>
        <v>#N/A</v>
      </c>
      <c r="T1126" s="755"/>
      <c r="U1126" s="791"/>
      <c r="V1126" s="784"/>
      <c r="W1126" s="784"/>
      <c r="X1126" s="784"/>
      <c r="Y1126" s="784"/>
      <c r="Z1126" s="965" t="str">
        <f>VLOOKUP(L1126,اس!$S$3:$X$31,3,FALSE)</f>
        <v>.</v>
      </c>
    </row>
    <row r="1127" spans="12:26" ht="18.75">
      <c r="L1127" s="777">
        <v>5</v>
      </c>
      <c r="M1127" s="906"/>
      <c r="N1127" s="976">
        <v>0</v>
      </c>
      <c r="O1127" s="1020">
        <v>1074</v>
      </c>
      <c r="P1127" s="860" t="e">
        <f>VLOOKUP(N1127,etat!$A$9:$N$1004,2,FALSE)</f>
        <v>#N/A</v>
      </c>
      <c r="Q1127" s="797" t="e">
        <f>VLOOKUP(N1127,etat!$A$9:$N$963,7,FALSE)</f>
        <v>#N/A</v>
      </c>
      <c r="R1127" s="905" t="e">
        <f>VLOOKUP(N1127,etat!$A$9:$N$1003,9,FALSE)</f>
        <v>#N/A</v>
      </c>
      <c r="T1127" s="755"/>
      <c r="U1127" s="791"/>
      <c r="V1127" s="784"/>
      <c r="W1127" s="784"/>
      <c r="X1127" s="784"/>
      <c r="Y1127" s="784"/>
      <c r="Z1127" s="965" t="str">
        <f>VLOOKUP(L1127,اس!$S$3:$X$31,3,FALSE)</f>
        <v>.</v>
      </c>
    </row>
    <row r="1128" spans="12:26" ht="18.75">
      <c r="L1128" s="777">
        <v>5</v>
      </c>
      <c r="M1128" s="906"/>
      <c r="N1128" s="976">
        <v>0</v>
      </c>
      <c r="O1128" s="1020">
        <v>1075</v>
      </c>
      <c r="P1128" s="860" t="e">
        <f>VLOOKUP(N1128,etat!$A$9:$N$1004,2,FALSE)</f>
        <v>#N/A</v>
      </c>
      <c r="Q1128" s="797" t="e">
        <f>VLOOKUP(N1128,etat!$A$9:$N$963,7,FALSE)</f>
        <v>#N/A</v>
      </c>
      <c r="R1128" s="905" t="e">
        <f>VLOOKUP(N1128,etat!$A$9:$N$1003,9,FALSE)</f>
        <v>#N/A</v>
      </c>
      <c r="T1128" s="755"/>
      <c r="U1128" s="791"/>
      <c r="V1128" s="784"/>
      <c r="W1128" s="784"/>
      <c r="X1128" s="784"/>
      <c r="Y1128" s="784"/>
      <c r="Z1128" s="965" t="str">
        <f>VLOOKUP(L1128,اس!$S$3:$X$31,3,FALSE)</f>
        <v>.</v>
      </c>
    </row>
    <row r="1129" spans="12:26" ht="18.75">
      <c r="L1129" s="777">
        <v>5</v>
      </c>
      <c r="M1129" s="906"/>
      <c r="N1129" s="976">
        <v>0</v>
      </c>
      <c r="O1129" s="1020">
        <v>1076</v>
      </c>
      <c r="P1129" s="860" t="e">
        <f>VLOOKUP(N1129,etat!$A$9:$N$1004,2,FALSE)</f>
        <v>#N/A</v>
      </c>
      <c r="Q1129" s="797" t="e">
        <f>VLOOKUP(N1129,etat!$A$9:$N$963,7,FALSE)</f>
        <v>#N/A</v>
      </c>
      <c r="R1129" s="905" t="e">
        <f>VLOOKUP(N1129,etat!$A$9:$N$1003,9,FALSE)</f>
        <v>#N/A</v>
      </c>
      <c r="T1129" s="755"/>
      <c r="U1129" s="791"/>
      <c r="V1129" s="784"/>
      <c r="W1129" s="784"/>
      <c r="X1129" s="784"/>
      <c r="Y1129" s="784"/>
      <c r="Z1129" s="965" t="str">
        <f>VLOOKUP(L1129,اس!$S$3:$X$31,3,FALSE)</f>
        <v>.</v>
      </c>
    </row>
    <row r="1130" spans="12:26" ht="18.75">
      <c r="L1130" s="777">
        <v>5</v>
      </c>
      <c r="M1130" s="906"/>
      <c r="N1130" s="976">
        <v>0</v>
      </c>
      <c r="O1130" s="1020">
        <v>1077</v>
      </c>
      <c r="P1130" s="860" t="e">
        <f>VLOOKUP(N1130,etat!$A$9:$N$1004,2,FALSE)</f>
        <v>#N/A</v>
      </c>
      <c r="Q1130" s="797" t="e">
        <f>VLOOKUP(N1130,etat!$A$9:$N$963,7,FALSE)</f>
        <v>#N/A</v>
      </c>
      <c r="R1130" s="905" t="e">
        <f>VLOOKUP(N1130,etat!$A$9:$N$1003,9,FALSE)</f>
        <v>#N/A</v>
      </c>
      <c r="T1130" s="755"/>
      <c r="U1130" s="791"/>
      <c r="V1130" s="784"/>
      <c r="W1130" s="784"/>
      <c r="X1130" s="784"/>
      <c r="Y1130" s="784"/>
      <c r="Z1130" s="965" t="str">
        <f>VLOOKUP(L1130,اس!$S$3:$X$31,3,FALSE)</f>
        <v>.</v>
      </c>
    </row>
    <row r="1131" spans="12:26" ht="18.75">
      <c r="L1131" s="777">
        <v>5</v>
      </c>
      <c r="M1131" s="906"/>
      <c r="N1131" s="976">
        <v>0</v>
      </c>
      <c r="O1131" s="1020">
        <v>1078</v>
      </c>
      <c r="P1131" s="860" t="e">
        <f>VLOOKUP(N1131,etat!$A$9:$N$1004,2,FALSE)</f>
        <v>#N/A</v>
      </c>
      <c r="Q1131" s="797" t="e">
        <f>VLOOKUP(N1131,etat!$A$9:$N$963,7,FALSE)</f>
        <v>#N/A</v>
      </c>
      <c r="R1131" s="905" t="e">
        <f>VLOOKUP(N1131,etat!$A$9:$N$1003,9,FALSE)</f>
        <v>#N/A</v>
      </c>
      <c r="T1131" s="755"/>
      <c r="U1131" s="791"/>
      <c r="V1131" s="784"/>
      <c r="W1131" s="784"/>
      <c r="X1131" s="784"/>
      <c r="Y1131" s="784"/>
      <c r="Z1131" s="965" t="str">
        <f>VLOOKUP(L1131,اس!$S$3:$X$31,3,FALSE)</f>
        <v>.</v>
      </c>
    </row>
    <row r="1132" spans="12:26" ht="18.75">
      <c r="L1132" s="777">
        <v>5</v>
      </c>
      <c r="M1132" s="906"/>
      <c r="N1132" s="976">
        <v>0</v>
      </c>
      <c r="O1132" s="1020">
        <v>1079</v>
      </c>
      <c r="P1132" s="860" t="e">
        <f>VLOOKUP(N1132,etat!$A$9:$N$1004,2,FALSE)</f>
        <v>#N/A</v>
      </c>
      <c r="Q1132" s="797" t="e">
        <f>VLOOKUP(N1132,etat!$A$9:$N$963,7,FALSE)</f>
        <v>#N/A</v>
      </c>
      <c r="R1132" s="905" t="e">
        <f>VLOOKUP(N1132,etat!$A$9:$N$1003,9,FALSE)</f>
        <v>#N/A</v>
      </c>
      <c r="T1132" s="755"/>
      <c r="U1132" s="791"/>
      <c r="V1132" s="784"/>
      <c r="W1132" s="784"/>
      <c r="X1132" s="784"/>
      <c r="Y1132" s="784"/>
      <c r="Z1132" s="965" t="str">
        <f>VLOOKUP(L1132,اس!$S$3:$X$31,3,FALSE)</f>
        <v>.</v>
      </c>
    </row>
    <row r="1133" spans="12:26" ht="18.75">
      <c r="L1133" s="777">
        <v>5</v>
      </c>
      <c r="M1133" s="906"/>
      <c r="N1133" s="976">
        <v>0</v>
      </c>
      <c r="O1133" s="1020">
        <v>1080</v>
      </c>
      <c r="P1133" s="860" t="e">
        <f>VLOOKUP(N1133,etat!$A$9:$N$1004,2,FALSE)</f>
        <v>#N/A</v>
      </c>
      <c r="Q1133" s="797" t="e">
        <f>VLOOKUP(N1133,etat!$A$9:$N$963,7,FALSE)</f>
        <v>#N/A</v>
      </c>
      <c r="R1133" s="905" t="e">
        <f>VLOOKUP(N1133,etat!$A$9:$N$1003,9,FALSE)</f>
        <v>#N/A</v>
      </c>
      <c r="T1133" s="755"/>
      <c r="U1133" s="791"/>
      <c r="V1133" s="784"/>
      <c r="W1133" s="784"/>
      <c r="X1133" s="784"/>
      <c r="Y1133" s="784"/>
      <c r="Z1133" s="965" t="str">
        <f>VLOOKUP(L1133,اس!$S$3:$X$31,3,FALSE)</f>
        <v>.</v>
      </c>
    </row>
    <row r="1134" spans="12:26" ht="18.75">
      <c r="L1134" s="777">
        <v>5</v>
      </c>
      <c r="M1134" s="906"/>
      <c r="N1134" s="976">
        <v>0</v>
      </c>
      <c r="O1134" s="1020">
        <v>1081</v>
      </c>
      <c r="P1134" s="860" t="e">
        <f>VLOOKUP(N1134,etat!$A$9:$N$1004,2,FALSE)</f>
        <v>#N/A</v>
      </c>
      <c r="Q1134" s="797" t="e">
        <f>VLOOKUP(N1134,etat!$A$9:$N$963,7,FALSE)</f>
        <v>#N/A</v>
      </c>
      <c r="R1134" s="905" t="e">
        <f>VLOOKUP(N1134,etat!$A$9:$N$1003,9,FALSE)</f>
        <v>#N/A</v>
      </c>
      <c r="T1134" s="755"/>
      <c r="U1134" s="791"/>
      <c r="V1134" s="784"/>
      <c r="W1134" s="784"/>
      <c r="X1134" s="784"/>
      <c r="Y1134" s="784"/>
      <c r="Z1134" s="965" t="str">
        <f>VLOOKUP(L1134,اس!$S$3:$X$31,3,FALSE)</f>
        <v>.</v>
      </c>
    </row>
    <row r="1135" spans="12:26" ht="18.75">
      <c r="L1135" s="777">
        <v>5</v>
      </c>
      <c r="M1135" s="906"/>
      <c r="N1135" s="976">
        <v>0</v>
      </c>
      <c r="O1135" s="1020">
        <v>1082</v>
      </c>
      <c r="P1135" s="860" t="e">
        <f>VLOOKUP(N1135,etat!$A$9:$N$1004,2,FALSE)</f>
        <v>#N/A</v>
      </c>
      <c r="Q1135" s="797" t="e">
        <f>VLOOKUP(N1135,etat!$A$9:$N$963,7,FALSE)</f>
        <v>#N/A</v>
      </c>
      <c r="R1135" s="905" t="e">
        <f>VLOOKUP(N1135,etat!$A$9:$N$1003,9,FALSE)</f>
        <v>#N/A</v>
      </c>
      <c r="T1135" s="755"/>
      <c r="U1135" s="791"/>
      <c r="V1135" s="784"/>
      <c r="W1135" s="784"/>
      <c r="X1135" s="784"/>
      <c r="Y1135" s="784"/>
      <c r="Z1135" s="965" t="str">
        <f>VLOOKUP(L1135,اس!$S$3:$X$31,3,FALSE)</f>
        <v>.</v>
      </c>
    </row>
    <row r="1136" spans="12:26" ht="18.75">
      <c r="L1136" s="777">
        <v>5</v>
      </c>
      <c r="M1136" s="906"/>
      <c r="N1136" s="976">
        <v>0</v>
      </c>
      <c r="O1136" s="1020">
        <v>1083</v>
      </c>
      <c r="P1136" s="860" t="e">
        <f>VLOOKUP(N1136,etat!$A$9:$N$1004,2,FALSE)</f>
        <v>#N/A</v>
      </c>
      <c r="Q1136" s="797" t="e">
        <f>VLOOKUP(N1136,etat!$A$9:$N$963,7,FALSE)</f>
        <v>#N/A</v>
      </c>
      <c r="R1136" s="905" t="e">
        <f>VLOOKUP(N1136,etat!$A$9:$N$1003,9,FALSE)</f>
        <v>#N/A</v>
      </c>
      <c r="T1136" s="755"/>
      <c r="U1136" s="791"/>
      <c r="V1136" s="784"/>
      <c r="W1136" s="784"/>
      <c r="X1136" s="784"/>
      <c r="Y1136" s="784"/>
      <c r="Z1136" s="965" t="str">
        <f>VLOOKUP(L1136,اس!$S$3:$X$31,3,FALSE)</f>
        <v>.</v>
      </c>
    </row>
    <row r="1137" spans="12:26" ht="18.75">
      <c r="L1137" s="777">
        <v>5</v>
      </c>
      <c r="M1137" s="906"/>
      <c r="N1137" s="976">
        <v>0</v>
      </c>
      <c r="O1137" s="1020">
        <v>1084</v>
      </c>
      <c r="P1137" s="860" t="e">
        <f>VLOOKUP(N1137,etat!$A$9:$N$1004,2,FALSE)</f>
        <v>#N/A</v>
      </c>
      <c r="Q1137" s="797" t="e">
        <f>VLOOKUP(N1137,etat!$A$9:$N$963,7,FALSE)</f>
        <v>#N/A</v>
      </c>
      <c r="R1137" s="905" t="e">
        <f>VLOOKUP(N1137,etat!$A$9:$N$1003,9,FALSE)</f>
        <v>#N/A</v>
      </c>
      <c r="T1137" s="755"/>
      <c r="U1137" s="791"/>
      <c r="V1137" s="784"/>
      <c r="W1137" s="784"/>
      <c r="X1137" s="784"/>
      <c r="Y1137" s="784"/>
      <c r="Z1137" s="965" t="str">
        <f>VLOOKUP(L1137,اس!$S$3:$X$31,3,FALSE)</f>
        <v>.</v>
      </c>
    </row>
    <row r="1138" spans="12:26" ht="18.75">
      <c r="L1138" s="777">
        <v>5</v>
      </c>
      <c r="M1138" s="906"/>
      <c r="N1138" s="976">
        <v>0</v>
      </c>
      <c r="O1138" s="1020">
        <v>1085</v>
      </c>
      <c r="P1138" s="860" t="e">
        <f>VLOOKUP(N1138,etat!$A$9:$N$1004,2,FALSE)</f>
        <v>#N/A</v>
      </c>
      <c r="Q1138" s="797" t="e">
        <f>VLOOKUP(N1138,etat!$A$9:$N$963,7,FALSE)</f>
        <v>#N/A</v>
      </c>
      <c r="R1138" s="905" t="e">
        <f>VLOOKUP(N1138,etat!$A$9:$N$1003,9,FALSE)</f>
        <v>#N/A</v>
      </c>
      <c r="T1138" s="755"/>
      <c r="U1138" s="791"/>
      <c r="V1138" s="784"/>
      <c r="W1138" s="784"/>
      <c r="X1138" s="784"/>
      <c r="Y1138" s="784"/>
      <c r="Z1138" s="965" t="str">
        <f>VLOOKUP(L1138,اس!$S$3:$X$31,3,FALSE)</f>
        <v>.</v>
      </c>
    </row>
    <row r="1139" spans="12:26" ht="18.75">
      <c r="L1139" s="777">
        <v>5</v>
      </c>
      <c r="M1139" s="906"/>
      <c r="N1139" s="976">
        <v>0</v>
      </c>
      <c r="O1139" s="1020">
        <v>1086</v>
      </c>
      <c r="P1139" s="860" t="e">
        <f>VLOOKUP(N1139,etat!$A$9:$N$1004,2,FALSE)</f>
        <v>#N/A</v>
      </c>
      <c r="Q1139" s="797" t="e">
        <f>VLOOKUP(N1139,etat!$A$9:$N$963,7,FALSE)</f>
        <v>#N/A</v>
      </c>
      <c r="R1139" s="905" t="e">
        <f>VLOOKUP(N1139,etat!$A$9:$N$1003,9,FALSE)</f>
        <v>#N/A</v>
      </c>
      <c r="T1139" s="755"/>
      <c r="U1139" s="791"/>
      <c r="V1139" s="784"/>
      <c r="W1139" s="784"/>
      <c r="X1139" s="784"/>
      <c r="Y1139" s="784"/>
      <c r="Z1139" s="965" t="str">
        <f>VLOOKUP(L1139,اس!$S$3:$X$31,3,FALSE)</f>
        <v>.</v>
      </c>
    </row>
    <row r="1140" spans="12:26" ht="18.75">
      <c r="L1140" s="777">
        <v>5</v>
      </c>
      <c r="M1140" s="906"/>
      <c r="N1140" s="976">
        <v>0</v>
      </c>
      <c r="O1140" s="1020">
        <v>1087</v>
      </c>
      <c r="P1140" s="860" t="e">
        <f>VLOOKUP(N1140,etat!$A$9:$N$1004,2,FALSE)</f>
        <v>#N/A</v>
      </c>
      <c r="Q1140" s="797" t="e">
        <f>VLOOKUP(N1140,etat!$A$9:$N$963,7,FALSE)</f>
        <v>#N/A</v>
      </c>
      <c r="R1140" s="905" t="e">
        <f>VLOOKUP(N1140,etat!$A$9:$N$1003,9,FALSE)</f>
        <v>#N/A</v>
      </c>
      <c r="T1140" s="755"/>
      <c r="U1140" s="791"/>
      <c r="V1140" s="784"/>
      <c r="W1140" s="784"/>
      <c r="X1140" s="784"/>
      <c r="Y1140" s="784"/>
      <c r="Z1140" s="965" t="str">
        <f>VLOOKUP(L1140,اس!$S$3:$X$31,3,FALSE)</f>
        <v>.</v>
      </c>
    </row>
    <row r="1141" spans="12:26" ht="18.75">
      <c r="L1141" s="777">
        <v>5</v>
      </c>
      <c r="M1141" s="906"/>
      <c r="N1141" s="976">
        <v>0</v>
      </c>
      <c r="O1141" s="1020">
        <v>1088</v>
      </c>
      <c r="P1141" s="860" t="e">
        <f>VLOOKUP(N1141,etat!$A$9:$N$1004,2,FALSE)</f>
        <v>#N/A</v>
      </c>
      <c r="Q1141" s="797" t="e">
        <f>VLOOKUP(N1141,etat!$A$9:$N$963,7,FALSE)</f>
        <v>#N/A</v>
      </c>
      <c r="R1141" s="905" t="e">
        <f>VLOOKUP(N1141,etat!$A$9:$N$1003,9,FALSE)</f>
        <v>#N/A</v>
      </c>
      <c r="T1141" s="755"/>
      <c r="U1141" s="791"/>
      <c r="V1141" s="784"/>
      <c r="W1141" s="784"/>
      <c r="X1141" s="784"/>
      <c r="Y1141" s="784"/>
      <c r="Z1141" s="965" t="str">
        <f>VLOOKUP(L1141,اس!$S$3:$X$31,3,FALSE)</f>
        <v>.</v>
      </c>
    </row>
    <row r="1142" spans="12:26" ht="18.75">
      <c r="L1142" s="777">
        <v>5</v>
      </c>
      <c r="M1142" s="906"/>
      <c r="N1142" s="976">
        <v>0</v>
      </c>
      <c r="O1142" s="1020">
        <v>1089</v>
      </c>
      <c r="P1142" s="860" t="e">
        <f>VLOOKUP(N1142,etat!$A$9:$N$1004,2,FALSE)</f>
        <v>#N/A</v>
      </c>
      <c r="Q1142" s="797" t="e">
        <f>VLOOKUP(N1142,etat!$A$9:$N$963,7,FALSE)</f>
        <v>#N/A</v>
      </c>
      <c r="R1142" s="905" t="e">
        <f>VLOOKUP(N1142,etat!$A$9:$N$1003,9,FALSE)</f>
        <v>#N/A</v>
      </c>
      <c r="T1142" s="755"/>
      <c r="U1142" s="791"/>
      <c r="V1142" s="784"/>
      <c r="W1142" s="784"/>
      <c r="X1142" s="784"/>
      <c r="Y1142" s="784"/>
      <c r="Z1142" s="965" t="str">
        <f>VLOOKUP(L1142,اس!$S$3:$X$31,3,FALSE)</f>
        <v>.</v>
      </c>
    </row>
    <row r="1143" spans="12:26" ht="18.75">
      <c r="L1143" s="777">
        <v>5</v>
      </c>
      <c r="M1143" s="906"/>
      <c r="N1143" s="976">
        <v>0</v>
      </c>
      <c r="O1143" s="1020">
        <v>1090</v>
      </c>
      <c r="P1143" s="860" t="e">
        <f>VLOOKUP(N1143,etat!$A$9:$N$1004,2,FALSE)</f>
        <v>#N/A</v>
      </c>
      <c r="Q1143" s="797" t="e">
        <f>VLOOKUP(N1143,etat!$A$9:$N$963,7,FALSE)</f>
        <v>#N/A</v>
      </c>
      <c r="R1143" s="905" t="e">
        <f>VLOOKUP(N1143,etat!$A$9:$N$1003,9,FALSE)</f>
        <v>#N/A</v>
      </c>
      <c r="T1143" s="755"/>
      <c r="U1143" s="791"/>
      <c r="V1143" s="784"/>
      <c r="W1143" s="784"/>
      <c r="X1143" s="784"/>
      <c r="Y1143" s="784"/>
      <c r="Z1143" s="965" t="str">
        <f>VLOOKUP(L1143,اس!$S$3:$X$31,3,FALSE)</f>
        <v>.</v>
      </c>
    </row>
    <row r="1144" spans="12:26" ht="18.75">
      <c r="L1144" s="777">
        <v>5</v>
      </c>
      <c r="M1144" s="906"/>
      <c r="N1144" s="976">
        <v>0</v>
      </c>
      <c r="O1144" s="1020">
        <v>1091</v>
      </c>
      <c r="P1144" s="860" t="e">
        <f>VLOOKUP(N1144,etat!$A$9:$N$1004,2,FALSE)</f>
        <v>#N/A</v>
      </c>
      <c r="Q1144" s="797" t="e">
        <f>VLOOKUP(N1144,etat!$A$9:$N$963,7,FALSE)</f>
        <v>#N/A</v>
      </c>
      <c r="R1144" s="905" t="e">
        <f>VLOOKUP(N1144,etat!$A$9:$N$1003,9,FALSE)</f>
        <v>#N/A</v>
      </c>
      <c r="T1144" s="755"/>
      <c r="U1144" s="791"/>
      <c r="V1144" s="784"/>
      <c r="W1144" s="784"/>
      <c r="X1144" s="784"/>
      <c r="Y1144" s="784"/>
      <c r="Z1144" s="965" t="str">
        <f>VLOOKUP(L1144,اس!$S$3:$X$31,3,FALSE)</f>
        <v>.</v>
      </c>
    </row>
    <row r="1145" spans="12:26" ht="18.75">
      <c r="L1145" s="777">
        <v>5</v>
      </c>
      <c r="M1145" s="906"/>
      <c r="N1145" s="976">
        <v>0</v>
      </c>
      <c r="O1145" s="1020">
        <v>1092</v>
      </c>
      <c r="P1145" s="860" t="e">
        <f>VLOOKUP(N1145,etat!$A$9:$N$1004,2,FALSE)</f>
        <v>#N/A</v>
      </c>
      <c r="Q1145" s="797" t="e">
        <f>VLOOKUP(N1145,etat!$A$9:$N$963,7,FALSE)</f>
        <v>#N/A</v>
      </c>
      <c r="R1145" s="905" t="e">
        <f>VLOOKUP(N1145,etat!$A$9:$N$1003,9,FALSE)</f>
        <v>#N/A</v>
      </c>
      <c r="T1145" s="755"/>
      <c r="U1145" s="791"/>
      <c r="V1145" s="784"/>
      <c r="W1145" s="784"/>
      <c r="X1145" s="784"/>
      <c r="Y1145" s="784"/>
      <c r="Z1145" s="965" t="str">
        <f>VLOOKUP(L1145,اس!$S$3:$X$31,3,FALSE)</f>
        <v>.</v>
      </c>
    </row>
    <row r="1146" spans="12:26" ht="18.75">
      <c r="L1146" s="777">
        <v>5</v>
      </c>
      <c r="M1146" s="906"/>
      <c r="N1146" s="976">
        <v>0</v>
      </c>
      <c r="O1146" s="1020">
        <v>1093</v>
      </c>
      <c r="P1146" s="860" t="e">
        <f>VLOOKUP(N1146,etat!$A$9:$N$1004,2,FALSE)</f>
        <v>#N/A</v>
      </c>
      <c r="Q1146" s="797" t="e">
        <f>VLOOKUP(N1146,etat!$A$9:$N$963,7,FALSE)</f>
        <v>#N/A</v>
      </c>
      <c r="R1146" s="905" t="e">
        <f>VLOOKUP(N1146,etat!$A$9:$N$1003,9,FALSE)</f>
        <v>#N/A</v>
      </c>
      <c r="T1146" s="755"/>
      <c r="U1146" s="791"/>
      <c r="V1146" s="784"/>
      <c r="W1146" s="784"/>
      <c r="X1146" s="784"/>
      <c r="Y1146" s="784"/>
      <c r="Z1146" s="965" t="str">
        <f>VLOOKUP(L1146,اس!$S$3:$X$31,3,FALSE)</f>
        <v>.</v>
      </c>
    </row>
    <row r="1147" spans="12:26" ht="18.75">
      <c r="L1147" s="777">
        <v>5</v>
      </c>
      <c r="M1147" s="906"/>
      <c r="N1147" s="976">
        <v>0</v>
      </c>
      <c r="O1147" s="1020">
        <v>1094</v>
      </c>
      <c r="P1147" s="860" t="e">
        <f>VLOOKUP(N1147,etat!$A$9:$N$1004,2,FALSE)</f>
        <v>#N/A</v>
      </c>
      <c r="Q1147" s="797" t="e">
        <f>VLOOKUP(N1147,etat!$A$9:$N$963,7,FALSE)</f>
        <v>#N/A</v>
      </c>
      <c r="R1147" s="905" t="e">
        <f>VLOOKUP(N1147,etat!$A$9:$N$1003,9,FALSE)</f>
        <v>#N/A</v>
      </c>
      <c r="T1147" s="755"/>
      <c r="U1147" s="791"/>
      <c r="V1147" s="784"/>
      <c r="W1147" s="784"/>
      <c r="X1147" s="784"/>
      <c r="Y1147" s="784"/>
      <c r="Z1147" s="965" t="str">
        <f>VLOOKUP(L1147,اس!$S$3:$X$31,3,FALSE)</f>
        <v>.</v>
      </c>
    </row>
    <row r="1148" spans="12:26" ht="18.75">
      <c r="L1148" s="777">
        <v>5</v>
      </c>
      <c r="M1148" s="906"/>
      <c r="N1148" s="976">
        <v>0</v>
      </c>
      <c r="O1148" s="1020">
        <v>1095</v>
      </c>
      <c r="P1148" s="860" t="e">
        <f>VLOOKUP(N1148,etat!$A$9:$N$1004,2,FALSE)</f>
        <v>#N/A</v>
      </c>
      <c r="Q1148" s="797" t="e">
        <f>VLOOKUP(N1148,etat!$A$9:$N$963,7,FALSE)</f>
        <v>#N/A</v>
      </c>
      <c r="R1148" s="905" t="e">
        <f>VLOOKUP(N1148,etat!$A$9:$N$1003,9,FALSE)</f>
        <v>#N/A</v>
      </c>
      <c r="T1148" s="755"/>
      <c r="U1148" s="791"/>
      <c r="V1148" s="784"/>
      <c r="W1148" s="784"/>
      <c r="X1148" s="784"/>
      <c r="Y1148" s="784"/>
      <c r="Z1148" s="965" t="str">
        <f>VLOOKUP(L1148,اس!$S$3:$X$31,3,FALSE)</f>
        <v>.</v>
      </c>
    </row>
    <row r="1149" spans="12:26" ht="18.75">
      <c r="L1149" s="777">
        <v>5</v>
      </c>
      <c r="M1149" s="906"/>
      <c r="N1149" s="976">
        <v>0</v>
      </c>
      <c r="O1149" s="1020">
        <v>1096</v>
      </c>
      <c r="P1149" s="860" t="e">
        <f>VLOOKUP(N1149,etat!$A$9:$N$1004,2,FALSE)</f>
        <v>#N/A</v>
      </c>
      <c r="Q1149" s="797" t="e">
        <f>VLOOKUP(N1149,etat!$A$9:$N$963,7,FALSE)</f>
        <v>#N/A</v>
      </c>
      <c r="R1149" s="905" t="e">
        <f>VLOOKUP(N1149,etat!$A$9:$N$1003,9,FALSE)</f>
        <v>#N/A</v>
      </c>
      <c r="T1149" s="755"/>
      <c r="U1149" s="791"/>
      <c r="V1149" s="784"/>
      <c r="W1149" s="784"/>
      <c r="X1149" s="784"/>
      <c r="Y1149" s="784"/>
      <c r="Z1149" s="965" t="str">
        <f>VLOOKUP(L1149,اس!$S$3:$X$31,3,FALSE)</f>
        <v>.</v>
      </c>
    </row>
    <row r="1150" spans="12:26" ht="18.75">
      <c r="L1150" s="777">
        <v>5</v>
      </c>
      <c r="M1150" s="906"/>
      <c r="N1150" s="976">
        <v>0</v>
      </c>
      <c r="O1150" s="1020">
        <v>1097</v>
      </c>
      <c r="P1150" s="860" t="e">
        <f>VLOOKUP(N1150,etat!$A$9:$N$1004,2,FALSE)</f>
        <v>#N/A</v>
      </c>
      <c r="Q1150" s="797" t="e">
        <f>VLOOKUP(N1150,etat!$A$9:$N$963,7,FALSE)</f>
        <v>#N/A</v>
      </c>
      <c r="R1150" s="905" t="e">
        <f>VLOOKUP(N1150,etat!$A$9:$N$1003,9,FALSE)</f>
        <v>#N/A</v>
      </c>
      <c r="T1150" s="755"/>
      <c r="U1150" s="791"/>
      <c r="V1150" s="784"/>
      <c r="W1150" s="784"/>
      <c r="X1150" s="784"/>
      <c r="Y1150" s="784"/>
      <c r="Z1150" s="965" t="str">
        <f>VLOOKUP(L1150,اس!$S$3:$X$31,3,FALSE)</f>
        <v>.</v>
      </c>
    </row>
    <row r="1151" spans="12:26" ht="18.75">
      <c r="L1151" s="777">
        <v>5</v>
      </c>
      <c r="M1151" s="906"/>
      <c r="N1151" s="976">
        <v>0</v>
      </c>
      <c r="O1151" s="1020">
        <v>1098</v>
      </c>
      <c r="P1151" s="860" t="e">
        <f>VLOOKUP(N1151,etat!$A$9:$N$1004,2,FALSE)</f>
        <v>#N/A</v>
      </c>
      <c r="Q1151" s="797" t="e">
        <f>VLOOKUP(N1151,etat!$A$9:$N$963,7,FALSE)</f>
        <v>#N/A</v>
      </c>
      <c r="R1151" s="905" t="e">
        <f>VLOOKUP(N1151,etat!$A$9:$N$1003,9,FALSE)</f>
        <v>#N/A</v>
      </c>
      <c r="T1151" s="755"/>
      <c r="U1151" s="791"/>
      <c r="V1151" s="784"/>
      <c r="W1151" s="784"/>
      <c r="X1151" s="784"/>
      <c r="Y1151" s="784"/>
      <c r="Z1151" s="965" t="str">
        <f>VLOOKUP(L1151,اس!$S$3:$X$31,3,FALSE)</f>
        <v>.</v>
      </c>
    </row>
    <row r="1152" spans="12:26" ht="18.75">
      <c r="L1152" s="777">
        <v>5</v>
      </c>
      <c r="M1152" s="906"/>
      <c r="N1152" s="976">
        <v>0</v>
      </c>
      <c r="O1152" s="1020">
        <v>1099</v>
      </c>
      <c r="P1152" s="860" t="e">
        <f>VLOOKUP(N1152,etat!$A$9:$N$1004,2,FALSE)</f>
        <v>#N/A</v>
      </c>
      <c r="Q1152" s="797" t="e">
        <f>VLOOKUP(N1152,etat!$A$9:$N$963,7,FALSE)</f>
        <v>#N/A</v>
      </c>
      <c r="R1152" s="905" t="e">
        <f>VLOOKUP(N1152,etat!$A$9:$N$1003,9,FALSE)</f>
        <v>#N/A</v>
      </c>
      <c r="T1152" s="755"/>
      <c r="U1152" s="791"/>
      <c r="V1152" s="784"/>
      <c r="W1152" s="784"/>
      <c r="X1152" s="784"/>
      <c r="Y1152" s="784"/>
      <c r="Z1152" s="965" t="str">
        <f>VLOOKUP(L1152,اس!$S$3:$X$31,3,FALSE)</f>
        <v>.</v>
      </c>
    </row>
    <row r="1153" spans="12:26" ht="18.75">
      <c r="L1153" s="777">
        <v>5</v>
      </c>
      <c r="M1153" s="906"/>
      <c r="N1153" s="976">
        <v>0</v>
      </c>
      <c r="O1153" s="1020">
        <v>1100</v>
      </c>
      <c r="P1153" s="860" t="e">
        <f>VLOOKUP(N1153,etat!$A$9:$N$1004,2,FALSE)</f>
        <v>#N/A</v>
      </c>
      <c r="Q1153" s="797" t="e">
        <f>VLOOKUP(N1153,etat!$A$9:$N$963,7,FALSE)</f>
        <v>#N/A</v>
      </c>
      <c r="R1153" s="905" t="e">
        <f>VLOOKUP(N1153,etat!$A$9:$N$1003,9,FALSE)</f>
        <v>#N/A</v>
      </c>
      <c r="T1153" s="755"/>
      <c r="U1153" s="791"/>
      <c r="V1153" s="784"/>
      <c r="W1153" s="784"/>
      <c r="X1153" s="784"/>
      <c r="Y1153" s="784"/>
      <c r="Z1153" s="965" t="str">
        <f>VLOOKUP(L1153,اس!$S$3:$X$31,3,FALSE)</f>
        <v>.</v>
      </c>
    </row>
    <row r="1154" spans="12:26" ht="18.75">
      <c r="L1154" s="777">
        <v>5</v>
      </c>
      <c r="M1154" s="906"/>
      <c r="N1154" s="976">
        <v>0</v>
      </c>
      <c r="O1154" s="1020">
        <v>1101</v>
      </c>
      <c r="P1154" s="860" t="e">
        <f>VLOOKUP(N1154,etat!$A$9:$N$1004,2,FALSE)</f>
        <v>#N/A</v>
      </c>
      <c r="Q1154" s="797" t="e">
        <f>VLOOKUP(N1154,etat!$A$9:$N$963,7,FALSE)</f>
        <v>#N/A</v>
      </c>
      <c r="R1154" s="905" t="e">
        <f>VLOOKUP(N1154,etat!$A$9:$N$1003,9,FALSE)</f>
        <v>#N/A</v>
      </c>
      <c r="T1154" s="755"/>
      <c r="U1154" s="791"/>
      <c r="V1154" s="784"/>
      <c r="W1154" s="784"/>
      <c r="X1154" s="784"/>
      <c r="Y1154" s="784"/>
      <c r="Z1154" s="965" t="str">
        <f>VLOOKUP(L1154,اس!$S$3:$X$31,3,FALSE)</f>
        <v>.</v>
      </c>
    </row>
    <row r="1155" spans="12:26" ht="18.75">
      <c r="L1155" s="777">
        <v>5</v>
      </c>
      <c r="M1155" s="906"/>
      <c r="N1155" s="976">
        <v>0</v>
      </c>
      <c r="O1155" s="1020">
        <v>1102</v>
      </c>
      <c r="P1155" s="860" t="e">
        <f>VLOOKUP(N1155,etat!$A$9:$N$1004,2,FALSE)</f>
        <v>#N/A</v>
      </c>
      <c r="Q1155" s="797" t="e">
        <f>VLOOKUP(N1155,etat!$A$9:$N$963,7,FALSE)</f>
        <v>#N/A</v>
      </c>
      <c r="R1155" s="905" t="e">
        <f>VLOOKUP(N1155,etat!$A$9:$N$1003,9,FALSE)</f>
        <v>#N/A</v>
      </c>
      <c r="T1155" s="755"/>
      <c r="U1155" s="791"/>
      <c r="V1155" s="784"/>
      <c r="W1155" s="784"/>
      <c r="X1155" s="784"/>
      <c r="Y1155" s="784"/>
      <c r="Z1155" s="965" t="str">
        <f>VLOOKUP(L1155,اس!$S$3:$X$31,3,FALSE)</f>
        <v>.</v>
      </c>
    </row>
    <row r="1156" spans="12:26" ht="18.75">
      <c r="L1156" s="777">
        <v>5</v>
      </c>
      <c r="M1156" s="906"/>
      <c r="N1156" s="976">
        <v>0</v>
      </c>
      <c r="O1156" s="1020">
        <v>1103</v>
      </c>
      <c r="P1156" s="860" t="e">
        <f>VLOOKUP(N1156,etat!$A$9:$N$1004,2,FALSE)</f>
        <v>#N/A</v>
      </c>
      <c r="Q1156" s="797" t="e">
        <f>VLOOKUP(N1156,etat!$A$9:$N$963,7,FALSE)</f>
        <v>#N/A</v>
      </c>
      <c r="R1156" s="905" t="e">
        <f>VLOOKUP(N1156,etat!$A$9:$N$1003,9,FALSE)</f>
        <v>#N/A</v>
      </c>
      <c r="T1156" s="755"/>
      <c r="U1156" s="791"/>
      <c r="V1156" s="784"/>
      <c r="W1156" s="784"/>
      <c r="X1156" s="784"/>
      <c r="Y1156" s="784"/>
      <c r="Z1156" s="965" t="str">
        <f>VLOOKUP(L1156,اس!$S$3:$X$31,3,FALSE)</f>
        <v>.</v>
      </c>
    </row>
    <row r="1157" spans="12:26" ht="18.75">
      <c r="L1157" s="777">
        <v>5</v>
      </c>
      <c r="M1157" s="906"/>
      <c r="N1157" s="976">
        <v>0</v>
      </c>
      <c r="O1157" s="1020">
        <v>1104</v>
      </c>
      <c r="P1157" s="860" t="e">
        <f>VLOOKUP(N1157,etat!$A$9:$N$1004,2,FALSE)</f>
        <v>#N/A</v>
      </c>
      <c r="Q1157" s="797" t="e">
        <f>VLOOKUP(N1157,etat!$A$9:$N$963,7,FALSE)</f>
        <v>#N/A</v>
      </c>
      <c r="R1157" s="905" t="e">
        <f>VLOOKUP(N1157,etat!$A$9:$N$1003,9,FALSE)</f>
        <v>#N/A</v>
      </c>
      <c r="T1157" s="755"/>
      <c r="U1157" s="791"/>
      <c r="V1157" s="784"/>
      <c r="W1157" s="784"/>
      <c r="X1157" s="784"/>
      <c r="Y1157" s="784"/>
      <c r="Z1157" s="965" t="str">
        <f>VLOOKUP(L1157,اس!$S$3:$X$31,3,FALSE)</f>
        <v>.</v>
      </c>
    </row>
    <row r="1158" spans="12:26" ht="18.75">
      <c r="L1158" s="777">
        <v>5</v>
      </c>
      <c r="M1158" s="906"/>
      <c r="N1158" s="976">
        <v>0</v>
      </c>
      <c r="O1158" s="1020">
        <v>1105</v>
      </c>
      <c r="P1158" s="860" t="e">
        <f>VLOOKUP(N1158,etat!$A$9:$N$1004,2,FALSE)</f>
        <v>#N/A</v>
      </c>
      <c r="Q1158" s="797" t="e">
        <f>VLOOKUP(N1158,etat!$A$9:$N$963,7,FALSE)</f>
        <v>#N/A</v>
      </c>
      <c r="R1158" s="905" t="e">
        <f>VLOOKUP(N1158,etat!$A$9:$N$1003,9,FALSE)</f>
        <v>#N/A</v>
      </c>
      <c r="T1158" s="755"/>
      <c r="U1158" s="791"/>
      <c r="V1158" s="784"/>
      <c r="W1158" s="784"/>
      <c r="X1158" s="784"/>
      <c r="Y1158" s="784"/>
      <c r="Z1158" s="965" t="str">
        <f>VLOOKUP(L1158,اس!$S$3:$X$31,3,FALSE)</f>
        <v>.</v>
      </c>
    </row>
    <row r="1159" spans="12:26" ht="18.75">
      <c r="L1159" s="777">
        <v>5</v>
      </c>
      <c r="M1159" s="906"/>
      <c r="N1159" s="976">
        <v>0</v>
      </c>
      <c r="O1159" s="1020">
        <v>1106</v>
      </c>
      <c r="P1159" s="860" t="e">
        <f>VLOOKUP(N1159,etat!$A$9:$N$1004,2,FALSE)</f>
        <v>#N/A</v>
      </c>
      <c r="Q1159" s="797" t="e">
        <f>VLOOKUP(N1159,etat!$A$9:$N$963,7,FALSE)</f>
        <v>#N/A</v>
      </c>
      <c r="R1159" s="905" t="e">
        <f>VLOOKUP(N1159,etat!$A$9:$N$1003,9,FALSE)</f>
        <v>#N/A</v>
      </c>
      <c r="T1159" s="755"/>
      <c r="U1159" s="791"/>
      <c r="V1159" s="784"/>
      <c r="W1159" s="784"/>
      <c r="X1159" s="784"/>
      <c r="Y1159" s="784"/>
      <c r="Z1159" s="965" t="str">
        <f>VLOOKUP(L1159,اس!$S$3:$X$31,3,FALSE)</f>
        <v>.</v>
      </c>
    </row>
    <row r="1160" spans="12:26" ht="18.75">
      <c r="L1160" s="777">
        <v>5</v>
      </c>
      <c r="M1160" s="906"/>
      <c r="N1160" s="976">
        <v>0</v>
      </c>
      <c r="O1160" s="1020">
        <v>1107</v>
      </c>
      <c r="P1160" s="860" t="e">
        <f>VLOOKUP(N1160,etat!$A$9:$N$1004,2,FALSE)</f>
        <v>#N/A</v>
      </c>
      <c r="Q1160" s="797" t="e">
        <f>VLOOKUP(N1160,etat!$A$9:$N$963,7,FALSE)</f>
        <v>#N/A</v>
      </c>
      <c r="R1160" s="905" t="e">
        <f>VLOOKUP(N1160,etat!$A$9:$N$1003,9,FALSE)</f>
        <v>#N/A</v>
      </c>
      <c r="T1160" s="755"/>
      <c r="U1160" s="791"/>
      <c r="V1160" s="784"/>
      <c r="W1160" s="784"/>
      <c r="X1160" s="784"/>
      <c r="Y1160" s="784"/>
      <c r="Z1160" s="965" t="str">
        <f>VLOOKUP(L1160,اس!$S$3:$X$31,3,FALSE)</f>
        <v>.</v>
      </c>
    </row>
    <row r="1161" spans="12:26" ht="18.75">
      <c r="L1161" s="777">
        <v>5</v>
      </c>
      <c r="M1161" s="906"/>
      <c r="N1161" s="976">
        <v>0</v>
      </c>
      <c r="O1161" s="1020">
        <v>1108</v>
      </c>
      <c r="P1161" s="860" t="e">
        <f>VLOOKUP(N1161,etat!$A$9:$N$1004,2,FALSE)</f>
        <v>#N/A</v>
      </c>
      <c r="Q1161" s="797" t="e">
        <f>VLOOKUP(N1161,etat!$A$9:$N$963,7,FALSE)</f>
        <v>#N/A</v>
      </c>
      <c r="R1161" s="905" t="e">
        <f>VLOOKUP(N1161,etat!$A$9:$N$1003,9,FALSE)</f>
        <v>#N/A</v>
      </c>
      <c r="T1161" s="755"/>
      <c r="U1161" s="791"/>
      <c r="V1161" s="784"/>
      <c r="W1161" s="784"/>
      <c r="X1161" s="784"/>
      <c r="Y1161" s="784"/>
      <c r="Z1161" s="965" t="str">
        <f>VLOOKUP(L1161,اس!$S$3:$X$31,3,FALSE)</f>
        <v>.</v>
      </c>
    </row>
    <row r="1162" spans="12:26" ht="18.75">
      <c r="L1162" s="777">
        <v>5</v>
      </c>
      <c r="M1162" s="906"/>
      <c r="N1162" s="976">
        <v>0</v>
      </c>
      <c r="O1162" s="1020">
        <v>1109</v>
      </c>
      <c r="P1162" s="860" t="e">
        <f>VLOOKUP(N1162,etat!$A$9:$N$1004,2,FALSE)</f>
        <v>#N/A</v>
      </c>
      <c r="Q1162" s="797" t="e">
        <f>VLOOKUP(N1162,etat!$A$9:$N$963,7,FALSE)</f>
        <v>#N/A</v>
      </c>
      <c r="R1162" s="905" t="e">
        <f>VLOOKUP(N1162,etat!$A$9:$N$1003,9,FALSE)</f>
        <v>#N/A</v>
      </c>
      <c r="T1162" s="755"/>
      <c r="U1162" s="791"/>
      <c r="V1162" s="784"/>
      <c r="W1162" s="784"/>
      <c r="X1162" s="784"/>
      <c r="Y1162" s="784"/>
      <c r="Z1162" s="965" t="str">
        <f>VLOOKUP(L1162,اس!$S$3:$X$31,3,FALSE)</f>
        <v>.</v>
      </c>
    </row>
    <row r="1163" spans="12:26" ht="18.75">
      <c r="L1163" s="777">
        <v>5</v>
      </c>
      <c r="M1163" s="906"/>
      <c r="N1163" s="976">
        <v>0</v>
      </c>
      <c r="O1163" s="1020">
        <v>1110</v>
      </c>
      <c r="P1163" s="860" t="e">
        <f>VLOOKUP(N1163,etat!$A$9:$N$1004,2,FALSE)</f>
        <v>#N/A</v>
      </c>
      <c r="Q1163" s="797" t="e">
        <f>VLOOKUP(N1163,etat!$A$9:$N$963,7,FALSE)</f>
        <v>#N/A</v>
      </c>
      <c r="R1163" s="905" t="e">
        <f>VLOOKUP(N1163,etat!$A$9:$N$1003,9,FALSE)</f>
        <v>#N/A</v>
      </c>
      <c r="T1163" s="755"/>
      <c r="U1163" s="791"/>
      <c r="V1163" s="784"/>
      <c r="W1163" s="784"/>
      <c r="X1163" s="784"/>
      <c r="Y1163" s="784"/>
      <c r="Z1163" s="965" t="str">
        <f>VLOOKUP(L1163,اس!$S$3:$X$31,3,FALSE)</f>
        <v>.</v>
      </c>
    </row>
    <row r="1164" spans="12:26" ht="18.75">
      <c r="L1164" s="777">
        <v>5</v>
      </c>
      <c r="M1164" s="906"/>
      <c r="N1164" s="976">
        <v>0</v>
      </c>
      <c r="O1164" s="1020">
        <v>1111</v>
      </c>
      <c r="P1164" s="860" t="e">
        <f>VLOOKUP(N1164,etat!$A$9:$N$1004,2,FALSE)</f>
        <v>#N/A</v>
      </c>
      <c r="Q1164" s="797" t="e">
        <f>VLOOKUP(N1164,etat!$A$9:$N$963,7,FALSE)</f>
        <v>#N/A</v>
      </c>
      <c r="R1164" s="905" t="e">
        <f>VLOOKUP(N1164,etat!$A$9:$N$1003,9,FALSE)</f>
        <v>#N/A</v>
      </c>
      <c r="T1164" s="755"/>
      <c r="U1164" s="791"/>
      <c r="V1164" s="784"/>
      <c r="W1164" s="784"/>
      <c r="X1164" s="784"/>
      <c r="Y1164" s="784"/>
      <c r="Z1164" s="965" t="str">
        <f>VLOOKUP(L1164,اس!$S$3:$X$31,3,FALSE)</f>
        <v>.</v>
      </c>
    </row>
    <row r="1165" spans="12:26" ht="18.75">
      <c r="L1165" s="777">
        <v>5</v>
      </c>
      <c r="M1165" s="906"/>
      <c r="N1165" s="976">
        <v>0</v>
      </c>
      <c r="O1165" s="1020">
        <v>1112</v>
      </c>
      <c r="P1165" s="860" t="e">
        <f>VLOOKUP(N1165,etat!$A$9:$N$1004,2,FALSE)</f>
        <v>#N/A</v>
      </c>
      <c r="Q1165" s="797" t="e">
        <f>VLOOKUP(N1165,etat!$A$9:$N$963,7,FALSE)</f>
        <v>#N/A</v>
      </c>
      <c r="R1165" s="905" t="e">
        <f>VLOOKUP(N1165,etat!$A$9:$N$1003,9,FALSE)</f>
        <v>#N/A</v>
      </c>
      <c r="T1165" s="755"/>
      <c r="U1165" s="791"/>
      <c r="V1165" s="784"/>
      <c r="W1165" s="784"/>
      <c r="X1165" s="784"/>
      <c r="Y1165" s="784"/>
      <c r="Z1165" s="965" t="str">
        <f>VLOOKUP(L1165,اس!$S$3:$X$31,3,FALSE)</f>
        <v>.</v>
      </c>
    </row>
    <row r="1166" spans="12:26" ht="18.75">
      <c r="L1166" s="777">
        <v>5</v>
      </c>
      <c r="M1166" s="906"/>
      <c r="N1166" s="976">
        <v>0</v>
      </c>
      <c r="O1166" s="1020">
        <v>1113</v>
      </c>
      <c r="P1166" s="860" t="e">
        <f>VLOOKUP(N1166,etat!$A$9:$N$1004,2,FALSE)</f>
        <v>#N/A</v>
      </c>
      <c r="Q1166" s="797" t="e">
        <f>VLOOKUP(N1166,etat!$A$9:$N$963,7,FALSE)</f>
        <v>#N/A</v>
      </c>
      <c r="R1166" s="905" t="e">
        <f>VLOOKUP(N1166,etat!$A$9:$N$1003,9,FALSE)</f>
        <v>#N/A</v>
      </c>
      <c r="T1166" s="755"/>
      <c r="U1166" s="791"/>
      <c r="V1166" s="784"/>
      <c r="W1166" s="784"/>
      <c r="X1166" s="784"/>
      <c r="Y1166" s="784"/>
      <c r="Z1166" s="965" t="str">
        <f>VLOOKUP(L1166,اس!$S$3:$X$31,3,FALSE)</f>
        <v>.</v>
      </c>
    </row>
    <row r="1167" spans="12:26" ht="18.75">
      <c r="L1167" s="777">
        <v>5</v>
      </c>
      <c r="M1167" s="906"/>
      <c r="N1167" s="976">
        <v>0</v>
      </c>
      <c r="O1167" s="1020">
        <v>1114</v>
      </c>
      <c r="P1167" s="860" t="e">
        <f>VLOOKUP(N1167,etat!$A$9:$N$1004,2,FALSE)</f>
        <v>#N/A</v>
      </c>
      <c r="Q1167" s="797" t="e">
        <f>VLOOKUP(N1167,etat!$A$9:$N$963,7,FALSE)</f>
        <v>#N/A</v>
      </c>
      <c r="R1167" s="905" t="e">
        <f>VLOOKUP(N1167,etat!$A$9:$N$1003,9,FALSE)</f>
        <v>#N/A</v>
      </c>
      <c r="T1167" s="755"/>
      <c r="U1167" s="791"/>
      <c r="V1167" s="784"/>
      <c r="W1167" s="784"/>
      <c r="X1167" s="784"/>
      <c r="Y1167" s="784"/>
      <c r="Z1167" s="965" t="str">
        <f>VLOOKUP(L1167,اس!$S$3:$X$31,3,FALSE)</f>
        <v>.</v>
      </c>
    </row>
    <row r="1168" spans="12:26" ht="18.75">
      <c r="L1168" s="777">
        <v>5</v>
      </c>
      <c r="M1168" s="906"/>
      <c r="N1168" s="976">
        <v>0</v>
      </c>
      <c r="O1168" s="1020">
        <v>1115</v>
      </c>
      <c r="P1168" s="860" t="e">
        <f>VLOOKUP(N1168,etat!$A$9:$N$1004,2,FALSE)</f>
        <v>#N/A</v>
      </c>
      <c r="Q1168" s="797" t="e">
        <f>VLOOKUP(N1168,etat!$A$9:$N$963,7,FALSE)</f>
        <v>#N/A</v>
      </c>
      <c r="R1168" s="905" t="e">
        <f>VLOOKUP(N1168,etat!$A$9:$N$1003,9,FALSE)</f>
        <v>#N/A</v>
      </c>
      <c r="T1168" s="755"/>
      <c r="U1168" s="791"/>
      <c r="V1168" s="784"/>
      <c r="W1168" s="784"/>
      <c r="X1168" s="784"/>
      <c r="Y1168" s="784"/>
      <c r="Z1168" s="965" t="str">
        <f>VLOOKUP(L1168,اس!$S$3:$X$31,3,FALSE)</f>
        <v>.</v>
      </c>
    </row>
    <row r="1169" spans="12:26" ht="18.75">
      <c r="L1169" s="777">
        <v>5</v>
      </c>
      <c r="M1169" s="906"/>
      <c r="N1169" s="976">
        <v>0</v>
      </c>
      <c r="O1169" s="1020">
        <v>1116</v>
      </c>
      <c r="P1169" s="860" t="e">
        <f>VLOOKUP(N1169,etat!$A$9:$N$1004,2,FALSE)</f>
        <v>#N/A</v>
      </c>
      <c r="Q1169" s="797" t="e">
        <f>VLOOKUP(N1169,etat!$A$9:$N$963,7,FALSE)</f>
        <v>#N/A</v>
      </c>
      <c r="R1169" s="905" t="e">
        <f>VLOOKUP(N1169,etat!$A$9:$N$1003,9,FALSE)</f>
        <v>#N/A</v>
      </c>
      <c r="T1169" s="755"/>
      <c r="U1169" s="791"/>
      <c r="V1169" s="784"/>
      <c r="W1169" s="784"/>
      <c r="X1169" s="784"/>
      <c r="Y1169" s="784"/>
      <c r="Z1169" s="965" t="str">
        <f>VLOOKUP(L1169,اس!$S$3:$X$31,3,FALSE)</f>
        <v>.</v>
      </c>
    </row>
    <row r="1170" spans="12:26" ht="18.75">
      <c r="L1170" s="777">
        <v>5</v>
      </c>
      <c r="M1170" s="906"/>
      <c r="N1170" s="976">
        <v>0</v>
      </c>
      <c r="O1170" s="1020">
        <v>1117</v>
      </c>
      <c r="P1170" s="860" t="e">
        <f>VLOOKUP(N1170,etat!$A$9:$N$1004,2,FALSE)</f>
        <v>#N/A</v>
      </c>
      <c r="Q1170" s="797" t="e">
        <f>VLOOKUP(N1170,etat!$A$9:$N$963,7,FALSE)</f>
        <v>#N/A</v>
      </c>
      <c r="R1170" s="905" t="e">
        <f>VLOOKUP(N1170,etat!$A$9:$N$1003,9,FALSE)</f>
        <v>#N/A</v>
      </c>
      <c r="T1170" s="755"/>
      <c r="U1170" s="791"/>
      <c r="V1170" s="784"/>
      <c r="W1170" s="784"/>
      <c r="X1170" s="784"/>
      <c r="Y1170" s="784"/>
      <c r="Z1170" s="965" t="str">
        <f>VLOOKUP(L1170,اس!$S$3:$X$31,3,FALSE)</f>
        <v>.</v>
      </c>
    </row>
    <row r="1171" spans="12:26" ht="18.75">
      <c r="L1171" s="777">
        <v>5</v>
      </c>
      <c r="M1171" s="906"/>
      <c r="N1171" s="976">
        <v>0</v>
      </c>
      <c r="O1171" s="1020">
        <v>1118</v>
      </c>
      <c r="P1171" s="860" t="e">
        <f>VLOOKUP(N1171,etat!$A$9:$N$1004,2,FALSE)</f>
        <v>#N/A</v>
      </c>
      <c r="Q1171" s="797" t="e">
        <f>VLOOKUP(N1171,etat!$A$9:$N$963,7,FALSE)</f>
        <v>#N/A</v>
      </c>
      <c r="R1171" s="905" t="e">
        <f>VLOOKUP(N1171,etat!$A$9:$N$1003,9,FALSE)</f>
        <v>#N/A</v>
      </c>
      <c r="T1171" s="755"/>
      <c r="U1171" s="791"/>
      <c r="V1171" s="784"/>
      <c r="W1171" s="784"/>
      <c r="X1171" s="784"/>
      <c r="Y1171" s="784"/>
      <c r="Z1171" s="965" t="str">
        <f>VLOOKUP(L1171,اس!$S$3:$X$31,3,FALSE)</f>
        <v>.</v>
      </c>
    </row>
    <row r="1172" spans="12:26" ht="18.75">
      <c r="L1172" s="777">
        <v>5</v>
      </c>
      <c r="M1172" s="906"/>
      <c r="N1172" s="976">
        <v>0</v>
      </c>
      <c r="O1172" s="1020">
        <v>1119</v>
      </c>
      <c r="P1172" s="860" t="e">
        <f>VLOOKUP(N1172,etat!$A$9:$N$1004,2,FALSE)</f>
        <v>#N/A</v>
      </c>
      <c r="Q1172" s="797" t="e">
        <f>VLOOKUP(N1172,etat!$A$9:$N$963,7,FALSE)</f>
        <v>#N/A</v>
      </c>
      <c r="R1172" s="905" t="e">
        <f>VLOOKUP(N1172,etat!$A$9:$N$1003,9,FALSE)</f>
        <v>#N/A</v>
      </c>
      <c r="T1172" s="755"/>
      <c r="U1172" s="791"/>
      <c r="V1172" s="784"/>
      <c r="W1172" s="784"/>
      <c r="X1172" s="784"/>
      <c r="Y1172" s="784"/>
      <c r="Z1172" s="965" t="str">
        <f>VLOOKUP(L1172,اس!$S$3:$X$31,3,FALSE)</f>
        <v>.</v>
      </c>
    </row>
    <row r="1173" spans="12:26" ht="18.75">
      <c r="L1173" s="777">
        <v>5</v>
      </c>
      <c r="M1173" s="906"/>
      <c r="N1173" s="976">
        <v>0</v>
      </c>
      <c r="O1173" s="1020">
        <v>1120</v>
      </c>
      <c r="P1173" s="860" t="e">
        <f>VLOOKUP(N1173,etat!$A$9:$N$1004,2,FALSE)</f>
        <v>#N/A</v>
      </c>
      <c r="Q1173" s="797" t="e">
        <f>VLOOKUP(N1173,etat!$A$9:$N$963,7,FALSE)</f>
        <v>#N/A</v>
      </c>
      <c r="R1173" s="905" t="e">
        <f>VLOOKUP(N1173,etat!$A$9:$N$1003,9,FALSE)</f>
        <v>#N/A</v>
      </c>
      <c r="T1173" s="755"/>
      <c r="U1173" s="791"/>
      <c r="V1173" s="784"/>
      <c r="W1173" s="784"/>
      <c r="X1173" s="784"/>
      <c r="Y1173" s="784"/>
      <c r="Z1173" s="965" t="str">
        <f>VLOOKUP(L1173,اس!$S$3:$X$31,3,FALSE)</f>
        <v>.</v>
      </c>
    </row>
    <row r="1174" spans="12:26" ht="18.75">
      <c r="L1174" s="777">
        <v>5</v>
      </c>
      <c r="M1174" s="906"/>
      <c r="N1174" s="976">
        <v>0</v>
      </c>
      <c r="O1174" s="1020">
        <v>1121</v>
      </c>
      <c r="P1174" s="860" t="e">
        <f>VLOOKUP(N1174,etat!$A$9:$N$1004,2,FALSE)</f>
        <v>#N/A</v>
      </c>
      <c r="Q1174" s="797" t="e">
        <f>VLOOKUP(N1174,etat!$A$9:$N$963,7,FALSE)</f>
        <v>#N/A</v>
      </c>
      <c r="R1174" s="905" t="e">
        <f>VLOOKUP(N1174,etat!$A$9:$N$1003,9,FALSE)</f>
        <v>#N/A</v>
      </c>
      <c r="T1174" s="755"/>
      <c r="U1174" s="791"/>
      <c r="V1174" s="784"/>
      <c r="W1174" s="784"/>
      <c r="X1174" s="784"/>
      <c r="Y1174" s="784"/>
      <c r="Z1174" s="965" t="str">
        <f>VLOOKUP(L1174,اس!$S$3:$X$31,3,FALSE)</f>
        <v>.</v>
      </c>
    </row>
    <row r="1175" spans="12:26" ht="18.75">
      <c r="L1175" s="777">
        <v>5</v>
      </c>
      <c r="M1175" s="906"/>
      <c r="N1175" s="976">
        <v>0</v>
      </c>
      <c r="O1175" s="1020">
        <v>1122</v>
      </c>
      <c r="P1175" s="860" t="e">
        <f>VLOOKUP(N1175,etat!$A$9:$N$1004,2,FALSE)</f>
        <v>#N/A</v>
      </c>
      <c r="Q1175" s="797" t="e">
        <f>VLOOKUP(N1175,etat!$A$9:$N$963,7,FALSE)</f>
        <v>#N/A</v>
      </c>
      <c r="R1175" s="905" t="e">
        <f>VLOOKUP(N1175,etat!$A$9:$N$1003,9,FALSE)</f>
        <v>#N/A</v>
      </c>
      <c r="T1175" s="755"/>
      <c r="U1175" s="791"/>
      <c r="V1175" s="784"/>
      <c r="W1175" s="784"/>
      <c r="X1175" s="784"/>
      <c r="Y1175" s="784"/>
      <c r="Z1175" s="965" t="str">
        <f>VLOOKUP(L1175,اس!$S$3:$X$31,3,FALSE)</f>
        <v>.</v>
      </c>
    </row>
    <row r="1176" spans="12:26" ht="18.75">
      <c r="L1176" s="777">
        <v>5</v>
      </c>
      <c r="M1176" s="906"/>
      <c r="N1176" s="976">
        <v>0</v>
      </c>
      <c r="O1176" s="1020">
        <v>1123</v>
      </c>
      <c r="P1176" s="860" t="e">
        <f>VLOOKUP(N1176,etat!$A$9:$N$1004,2,FALSE)</f>
        <v>#N/A</v>
      </c>
      <c r="Q1176" s="797" t="e">
        <f>VLOOKUP(N1176,etat!$A$9:$N$963,7,FALSE)</f>
        <v>#N/A</v>
      </c>
      <c r="R1176" s="905" t="e">
        <f>VLOOKUP(N1176,etat!$A$9:$N$1003,9,FALSE)</f>
        <v>#N/A</v>
      </c>
      <c r="T1176" s="755"/>
      <c r="U1176" s="791"/>
      <c r="V1176" s="784"/>
      <c r="W1176" s="784"/>
      <c r="X1176" s="784"/>
      <c r="Y1176" s="784"/>
      <c r="Z1176" s="965" t="str">
        <f>VLOOKUP(L1176,اس!$S$3:$X$31,3,FALSE)</f>
        <v>.</v>
      </c>
    </row>
    <row r="1177" spans="12:26" ht="18.75">
      <c r="L1177" s="777">
        <v>5</v>
      </c>
      <c r="M1177" s="906"/>
      <c r="N1177" s="976">
        <v>0</v>
      </c>
      <c r="O1177" s="1020">
        <v>1124</v>
      </c>
      <c r="P1177" s="860" t="e">
        <f>VLOOKUP(N1177,etat!$A$9:$N$1004,2,FALSE)</f>
        <v>#N/A</v>
      </c>
      <c r="Q1177" s="797" t="e">
        <f>VLOOKUP(N1177,etat!$A$9:$N$963,7,FALSE)</f>
        <v>#N/A</v>
      </c>
      <c r="R1177" s="905" t="e">
        <f>VLOOKUP(N1177,etat!$A$9:$N$1003,9,FALSE)</f>
        <v>#N/A</v>
      </c>
      <c r="T1177" s="755"/>
      <c r="U1177" s="791"/>
      <c r="V1177" s="784"/>
      <c r="W1177" s="784"/>
      <c r="X1177" s="784"/>
      <c r="Y1177" s="784"/>
      <c r="Z1177" s="965" t="str">
        <f>VLOOKUP(L1177,اس!$S$3:$X$31,3,FALSE)</f>
        <v>.</v>
      </c>
    </row>
    <row r="1178" spans="12:26" ht="18.75">
      <c r="L1178" s="777">
        <v>5</v>
      </c>
      <c r="M1178" s="906"/>
      <c r="N1178" s="976">
        <v>0</v>
      </c>
      <c r="O1178" s="1020">
        <v>1125</v>
      </c>
      <c r="P1178" s="860" t="e">
        <f>VLOOKUP(N1178,etat!$A$9:$N$1004,2,FALSE)</f>
        <v>#N/A</v>
      </c>
      <c r="Q1178" s="797" t="e">
        <f>VLOOKUP(N1178,etat!$A$9:$N$963,7,FALSE)</f>
        <v>#N/A</v>
      </c>
      <c r="R1178" s="905" t="e">
        <f>VLOOKUP(N1178,etat!$A$9:$N$1003,9,FALSE)</f>
        <v>#N/A</v>
      </c>
      <c r="T1178" s="755"/>
      <c r="U1178" s="791"/>
      <c r="V1178" s="784"/>
      <c r="W1178" s="784"/>
      <c r="X1178" s="784"/>
      <c r="Y1178" s="784"/>
      <c r="Z1178" s="965" t="str">
        <f>VLOOKUP(L1178,اس!$S$3:$X$31,3,FALSE)</f>
        <v>.</v>
      </c>
    </row>
    <row r="1179" spans="12:26" ht="18.75">
      <c r="L1179" s="777">
        <v>5</v>
      </c>
      <c r="M1179" s="906"/>
      <c r="N1179" s="976">
        <v>0</v>
      </c>
      <c r="O1179" s="1020">
        <v>1126</v>
      </c>
      <c r="P1179" s="860" t="e">
        <f>VLOOKUP(N1179,etat!$A$9:$N$1004,2,FALSE)</f>
        <v>#N/A</v>
      </c>
      <c r="Q1179" s="797" t="e">
        <f>VLOOKUP(N1179,etat!$A$9:$N$963,7,FALSE)</f>
        <v>#N/A</v>
      </c>
      <c r="R1179" s="905" t="e">
        <f>VLOOKUP(N1179,etat!$A$9:$N$1003,9,FALSE)</f>
        <v>#N/A</v>
      </c>
      <c r="T1179" s="755"/>
      <c r="U1179" s="791"/>
      <c r="V1179" s="784"/>
      <c r="W1179" s="784"/>
      <c r="X1179" s="784"/>
      <c r="Y1179" s="784"/>
      <c r="Z1179" s="965" t="str">
        <f>VLOOKUP(L1179,اس!$S$3:$X$31,3,FALSE)</f>
        <v>.</v>
      </c>
    </row>
    <row r="1180" spans="12:26" ht="18.75">
      <c r="L1180" s="777">
        <v>5</v>
      </c>
      <c r="M1180" s="906"/>
      <c r="N1180" s="976">
        <v>0</v>
      </c>
      <c r="O1180" s="1020">
        <v>1127</v>
      </c>
      <c r="P1180" s="860" t="e">
        <f>VLOOKUP(N1180,etat!$A$9:$N$1004,2,FALSE)</f>
        <v>#N/A</v>
      </c>
      <c r="Q1180" s="797" t="e">
        <f>VLOOKUP(N1180,etat!$A$9:$N$963,7,FALSE)</f>
        <v>#N/A</v>
      </c>
      <c r="R1180" s="905" t="e">
        <f>VLOOKUP(N1180,etat!$A$9:$N$1003,9,FALSE)</f>
        <v>#N/A</v>
      </c>
      <c r="T1180" s="755"/>
      <c r="U1180" s="791"/>
      <c r="V1180" s="784"/>
      <c r="W1180" s="784"/>
      <c r="X1180" s="784"/>
      <c r="Y1180" s="784"/>
      <c r="Z1180" s="965" t="str">
        <f>VLOOKUP(L1180,اس!$S$3:$X$31,3,FALSE)</f>
        <v>.</v>
      </c>
    </row>
    <row r="1181" spans="12:26" ht="18.75">
      <c r="L1181" s="777">
        <v>5</v>
      </c>
      <c r="M1181" s="906"/>
      <c r="N1181" s="976">
        <v>0</v>
      </c>
      <c r="O1181" s="1020">
        <v>1128</v>
      </c>
      <c r="P1181" s="860" t="e">
        <f>VLOOKUP(N1181,etat!$A$9:$N$1004,2,FALSE)</f>
        <v>#N/A</v>
      </c>
      <c r="Q1181" s="797" t="e">
        <f>VLOOKUP(N1181,etat!$A$9:$N$963,7,FALSE)</f>
        <v>#N/A</v>
      </c>
      <c r="R1181" s="905" t="e">
        <f>VLOOKUP(N1181,etat!$A$9:$N$1003,9,FALSE)</f>
        <v>#N/A</v>
      </c>
      <c r="T1181" s="755"/>
      <c r="U1181" s="791"/>
      <c r="V1181" s="784"/>
      <c r="W1181" s="784"/>
      <c r="X1181" s="784"/>
      <c r="Y1181" s="784"/>
      <c r="Z1181" s="965" t="str">
        <f>VLOOKUP(L1181,اس!$S$3:$X$31,3,FALSE)</f>
        <v>.</v>
      </c>
    </row>
    <row r="1182" spans="12:26" ht="18.75">
      <c r="L1182" s="777">
        <v>5</v>
      </c>
      <c r="M1182" s="906"/>
      <c r="N1182" s="976">
        <v>0</v>
      </c>
      <c r="O1182" s="1020">
        <v>1129</v>
      </c>
      <c r="P1182" s="860" t="e">
        <f>VLOOKUP(N1182,etat!$A$9:$N$1004,2,FALSE)</f>
        <v>#N/A</v>
      </c>
      <c r="Q1182" s="797" t="e">
        <f>VLOOKUP(N1182,etat!$A$9:$N$963,7,FALSE)</f>
        <v>#N/A</v>
      </c>
      <c r="R1182" s="905" t="e">
        <f>VLOOKUP(N1182,etat!$A$9:$N$1003,9,FALSE)</f>
        <v>#N/A</v>
      </c>
      <c r="T1182" s="755"/>
      <c r="U1182" s="791"/>
      <c r="V1182" s="784"/>
      <c r="W1182" s="784"/>
      <c r="X1182" s="784"/>
      <c r="Y1182" s="784"/>
      <c r="Z1182" s="965" t="str">
        <f>VLOOKUP(L1182,اس!$S$3:$X$31,3,FALSE)</f>
        <v>.</v>
      </c>
    </row>
    <row r="1183" spans="12:26" ht="18.75">
      <c r="L1183" s="777">
        <v>5</v>
      </c>
      <c r="M1183" s="906"/>
      <c r="N1183" s="976">
        <v>0</v>
      </c>
      <c r="O1183" s="1020">
        <v>1130</v>
      </c>
      <c r="P1183" s="860" t="e">
        <f>VLOOKUP(N1183,etat!$A$9:$N$1004,2,FALSE)</f>
        <v>#N/A</v>
      </c>
      <c r="Q1183" s="797" t="e">
        <f>VLOOKUP(N1183,etat!$A$9:$N$963,7,FALSE)</f>
        <v>#N/A</v>
      </c>
      <c r="R1183" s="905" t="e">
        <f>VLOOKUP(N1183,etat!$A$9:$N$1003,9,FALSE)</f>
        <v>#N/A</v>
      </c>
      <c r="T1183" s="755"/>
      <c r="U1183" s="791"/>
      <c r="V1183" s="784"/>
      <c r="W1183" s="784"/>
      <c r="X1183" s="784"/>
      <c r="Y1183" s="784"/>
      <c r="Z1183" s="965" t="str">
        <f>VLOOKUP(L1183,اس!$S$3:$X$31,3,FALSE)</f>
        <v>.</v>
      </c>
    </row>
    <row r="1184" spans="12:26" ht="18.75">
      <c r="L1184" s="777">
        <v>5</v>
      </c>
      <c r="M1184" s="906"/>
      <c r="N1184" s="976">
        <v>0</v>
      </c>
      <c r="O1184" s="1020">
        <v>1131</v>
      </c>
      <c r="P1184" s="860" t="e">
        <f>VLOOKUP(N1184,etat!$A$9:$N$1004,2,FALSE)</f>
        <v>#N/A</v>
      </c>
      <c r="Q1184" s="797" t="e">
        <f>VLOOKUP(N1184,etat!$A$9:$N$963,7,FALSE)</f>
        <v>#N/A</v>
      </c>
      <c r="R1184" s="905" t="e">
        <f>VLOOKUP(N1184,etat!$A$9:$N$1003,9,FALSE)</f>
        <v>#N/A</v>
      </c>
      <c r="T1184" s="755"/>
      <c r="U1184" s="791"/>
      <c r="V1184" s="784"/>
      <c r="W1184" s="784"/>
      <c r="X1184" s="784"/>
      <c r="Y1184" s="784"/>
      <c r="Z1184" s="965" t="str">
        <f>VLOOKUP(L1184,اس!$S$3:$X$31,3,FALSE)</f>
        <v>.</v>
      </c>
    </row>
    <row r="1185" spans="12:26" ht="18.75">
      <c r="L1185" s="777">
        <v>5</v>
      </c>
      <c r="M1185" s="906"/>
      <c r="N1185" s="976">
        <v>0</v>
      </c>
      <c r="O1185" s="1020">
        <v>1132</v>
      </c>
      <c r="P1185" s="860" t="e">
        <f>VLOOKUP(N1185,etat!$A$9:$N$1004,2,FALSE)</f>
        <v>#N/A</v>
      </c>
      <c r="Q1185" s="797" t="e">
        <f>VLOOKUP(N1185,etat!$A$9:$N$963,7,FALSE)</f>
        <v>#N/A</v>
      </c>
      <c r="R1185" s="905" t="e">
        <f>VLOOKUP(N1185,etat!$A$9:$N$1003,9,FALSE)</f>
        <v>#N/A</v>
      </c>
      <c r="T1185" s="755"/>
      <c r="U1185" s="791"/>
      <c r="V1185" s="784"/>
      <c r="W1185" s="784"/>
      <c r="X1185" s="784"/>
      <c r="Y1185" s="784"/>
      <c r="Z1185" s="965" t="str">
        <f>VLOOKUP(L1185,اس!$S$3:$X$31,3,FALSE)</f>
        <v>.</v>
      </c>
    </row>
    <row r="1186" spans="12:26" ht="18.75">
      <c r="L1186" s="777">
        <v>5</v>
      </c>
      <c r="M1186" s="906"/>
      <c r="N1186" s="976">
        <v>0</v>
      </c>
      <c r="O1186" s="1020">
        <v>1133</v>
      </c>
      <c r="P1186" s="860" t="e">
        <f>VLOOKUP(N1186,etat!$A$9:$N$1004,2,FALSE)</f>
        <v>#N/A</v>
      </c>
      <c r="Q1186" s="797" t="e">
        <f>VLOOKUP(N1186,etat!$A$9:$N$963,7,FALSE)</f>
        <v>#N/A</v>
      </c>
      <c r="R1186" s="905" t="e">
        <f>VLOOKUP(N1186,etat!$A$9:$N$1003,9,FALSE)</f>
        <v>#N/A</v>
      </c>
      <c r="T1186" s="755"/>
      <c r="U1186" s="791"/>
      <c r="V1186" s="784"/>
      <c r="W1186" s="784"/>
      <c r="X1186" s="784"/>
      <c r="Y1186" s="784"/>
      <c r="Z1186" s="965" t="str">
        <f>VLOOKUP(L1186,اس!$S$3:$X$31,3,FALSE)</f>
        <v>.</v>
      </c>
    </row>
    <row r="1187" spans="12:26" ht="18.75">
      <c r="L1187" s="777">
        <v>5</v>
      </c>
      <c r="M1187" s="906"/>
      <c r="N1187" s="976">
        <v>0</v>
      </c>
      <c r="O1187" s="1020">
        <v>1134</v>
      </c>
      <c r="P1187" s="860" t="e">
        <f>VLOOKUP(N1187,etat!$A$9:$N$1004,2,FALSE)</f>
        <v>#N/A</v>
      </c>
      <c r="Q1187" s="797" t="e">
        <f>VLOOKUP(N1187,etat!$A$9:$N$963,7,FALSE)</f>
        <v>#N/A</v>
      </c>
      <c r="R1187" s="905" t="e">
        <f>VLOOKUP(N1187,etat!$A$9:$N$1003,9,FALSE)</f>
        <v>#N/A</v>
      </c>
      <c r="T1187" s="755"/>
      <c r="U1187" s="791"/>
      <c r="V1187" s="784"/>
      <c r="W1187" s="784"/>
      <c r="X1187" s="784"/>
      <c r="Y1187" s="784"/>
      <c r="Z1187" s="965" t="str">
        <f>VLOOKUP(L1187,اس!$S$3:$X$31,3,FALSE)</f>
        <v>.</v>
      </c>
    </row>
    <row r="1188" spans="12:26" ht="18.75">
      <c r="L1188" s="777">
        <v>5</v>
      </c>
      <c r="M1188" s="906"/>
      <c r="N1188" s="976">
        <v>0</v>
      </c>
      <c r="O1188" s="1020">
        <v>1135</v>
      </c>
      <c r="P1188" s="860" t="e">
        <f>VLOOKUP(N1188,etat!$A$9:$N$1004,2,FALSE)</f>
        <v>#N/A</v>
      </c>
      <c r="Q1188" s="797" t="e">
        <f>VLOOKUP(N1188,etat!$A$9:$N$963,7,FALSE)</f>
        <v>#N/A</v>
      </c>
      <c r="R1188" s="905" t="e">
        <f>VLOOKUP(N1188,etat!$A$9:$N$1003,9,FALSE)</f>
        <v>#N/A</v>
      </c>
      <c r="T1188" s="755"/>
      <c r="U1188" s="791"/>
      <c r="V1188" s="784"/>
      <c r="W1188" s="784"/>
      <c r="X1188" s="784"/>
      <c r="Y1188" s="784"/>
      <c r="Z1188" s="965" t="str">
        <f>VLOOKUP(L1188,اس!$S$3:$X$31,3,FALSE)</f>
        <v>.</v>
      </c>
    </row>
    <row r="1189" spans="12:26" ht="18.75">
      <c r="L1189" s="777">
        <v>5</v>
      </c>
      <c r="M1189" s="906"/>
      <c r="N1189" s="976">
        <v>0</v>
      </c>
      <c r="O1189" s="1020">
        <v>1136</v>
      </c>
      <c r="P1189" s="860" t="e">
        <f>VLOOKUP(N1189,etat!$A$9:$N$1004,2,FALSE)</f>
        <v>#N/A</v>
      </c>
      <c r="Q1189" s="797" t="e">
        <f>VLOOKUP(N1189,etat!$A$9:$N$963,7,FALSE)</f>
        <v>#N/A</v>
      </c>
      <c r="R1189" s="905" t="e">
        <f>VLOOKUP(N1189,etat!$A$9:$N$1003,9,FALSE)</f>
        <v>#N/A</v>
      </c>
      <c r="T1189" s="755"/>
      <c r="U1189" s="791"/>
      <c r="V1189" s="784"/>
      <c r="W1189" s="784"/>
      <c r="X1189" s="784"/>
      <c r="Y1189" s="784"/>
      <c r="Z1189" s="965" t="str">
        <f>VLOOKUP(L1189,اس!$S$3:$X$31,3,FALSE)</f>
        <v>.</v>
      </c>
    </row>
    <row r="1190" spans="12:26" ht="18.75">
      <c r="L1190" s="777">
        <v>5</v>
      </c>
      <c r="M1190" s="906"/>
      <c r="N1190" s="976">
        <v>0</v>
      </c>
      <c r="O1190" s="1020">
        <v>1137</v>
      </c>
      <c r="P1190" s="860" t="e">
        <f>VLOOKUP(N1190,etat!$A$9:$N$1004,2,FALSE)</f>
        <v>#N/A</v>
      </c>
      <c r="Q1190" s="797" t="e">
        <f>VLOOKUP(N1190,etat!$A$9:$N$963,7,FALSE)</f>
        <v>#N/A</v>
      </c>
      <c r="R1190" s="905" t="e">
        <f>VLOOKUP(N1190,etat!$A$9:$N$1003,9,FALSE)</f>
        <v>#N/A</v>
      </c>
      <c r="T1190" s="755"/>
      <c r="U1190" s="791"/>
      <c r="V1190" s="784"/>
      <c r="W1190" s="784"/>
      <c r="X1190" s="784"/>
      <c r="Y1190" s="784"/>
      <c r="Z1190" s="965" t="str">
        <f>VLOOKUP(L1190,اس!$S$3:$X$31,3,FALSE)</f>
        <v>.</v>
      </c>
    </row>
    <row r="1191" spans="12:26" ht="18.75">
      <c r="L1191" s="777">
        <v>5</v>
      </c>
      <c r="M1191" s="906"/>
      <c r="N1191" s="976">
        <v>0</v>
      </c>
      <c r="O1191" s="1020">
        <v>1138</v>
      </c>
      <c r="P1191" s="860" t="e">
        <f>VLOOKUP(N1191,etat!$A$9:$N$1004,2,FALSE)</f>
        <v>#N/A</v>
      </c>
      <c r="Q1191" s="797" t="e">
        <f>VLOOKUP(N1191,etat!$A$9:$N$963,7,FALSE)</f>
        <v>#N/A</v>
      </c>
      <c r="R1191" s="905" t="e">
        <f>VLOOKUP(N1191,etat!$A$9:$N$1003,9,FALSE)</f>
        <v>#N/A</v>
      </c>
      <c r="T1191" s="755"/>
      <c r="U1191" s="791"/>
      <c r="V1191" s="784"/>
      <c r="W1191" s="784"/>
      <c r="X1191" s="784"/>
      <c r="Y1191" s="784"/>
      <c r="Z1191" s="965" t="str">
        <f>VLOOKUP(L1191,اس!$S$3:$X$31,3,FALSE)</f>
        <v>.</v>
      </c>
    </row>
    <row r="1192" spans="12:26" ht="18.75">
      <c r="L1192" s="777">
        <v>5</v>
      </c>
      <c r="M1192" s="906"/>
      <c r="N1192" s="976">
        <v>0</v>
      </c>
      <c r="O1192" s="1020">
        <v>1139</v>
      </c>
      <c r="P1192" s="860" t="e">
        <f>VLOOKUP(N1192,etat!$A$9:$N$1004,2,FALSE)</f>
        <v>#N/A</v>
      </c>
      <c r="Q1192" s="797" t="e">
        <f>VLOOKUP(N1192,etat!$A$9:$N$963,7,FALSE)</f>
        <v>#N/A</v>
      </c>
      <c r="R1192" s="905" t="e">
        <f>VLOOKUP(N1192,etat!$A$9:$N$1003,9,FALSE)</f>
        <v>#N/A</v>
      </c>
      <c r="T1192" s="755"/>
      <c r="U1192" s="791"/>
      <c r="V1192" s="784"/>
      <c r="W1192" s="784"/>
      <c r="X1192" s="784"/>
      <c r="Y1192" s="784"/>
      <c r="Z1192" s="965" t="str">
        <f>VLOOKUP(L1192,اس!$S$3:$X$31,3,FALSE)</f>
        <v>.</v>
      </c>
    </row>
    <row r="1193" spans="12:26" ht="18.75">
      <c r="L1193" s="777">
        <v>5</v>
      </c>
      <c r="M1193" s="906"/>
      <c r="N1193" s="976">
        <v>0</v>
      </c>
      <c r="O1193" s="1020">
        <v>1140</v>
      </c>
      <c r="P1193" s="860" t="e">
        <f>VLOOKUP(N1193,etat!$A$9:$N$1004,2,FALSE)</f>
        <v>#N/A</v>
      </c>
      <c r="Q1193" s="797" t="e">
        <f>VLOOKUP(N1193,etat!$A$9:$N$963,7,FALSE)</f>
        <v>#N/A</v>
      </c>
      <c r="R1193" s="905" t="e">
        <f>VLOOKUP(N1193,etat!$A$9:$N$1003,9,FALSE)</f>
        <v>#N/A</v>
      </c>
      <c r="T1193" s="755"/>
      <c r="U1193" s="791"/>
      <c r="V1193" s="784"/>
      <c r="W1193" s="784"/>
      <c r="X1193" s="784"/>
      <c r="Y1193" s="784"/>
      <c r="Z1193" s="965" t="str">
        <f>VLOOKUP(L1193,اس!$S$3:$X$31,3,FALSE)</f>
        <v>.</v>
      </c>
    </row>
    <row r="1194" spans="12:26" ht="18.75">
      <c r="L1194" s="777">
        <v>5</v>
      </c>
      <c r="M1194" s="906"/>
      <c r="N1194" s="976">
        <v>0</v>
      </c>
      <c r="O1194" s="1020">
        <v>1141</v>
      </c>
      <c r="P1194" s="860" t="e">
        <f>VLOOKUP(N1194,etat!$A$9:$N$1004,2,FALSE)</f>
        <v>#N/A</v>
      </c>
      <c r="Q1194" s="797" t="e">
        <f>VLOOKUP(N1194,etat!$A$9:$N$963,7,FALSE)</f>
        <v>#N/A</v>
      </c>
      <c r="R1194" s="905" t="e">
        <f>VLOOKUP(N1194,etat!$A$9:$N$1003,9,FALSE)</f>
        <v>#N/A</v>
      </c>
      <c r="T1194" s="755"/>
      <c r="U1194" s="791"/>
      <c r="V1194" s="784"/>
      <c r="W1194" s="784"/>
      <c r="X1194" s="784"/>
      <c r="Y1194" s="784"/>
      <c r="Z1194" s="965" t="str">
        <f>VLOOKUP(L1194,اس!$S$3:$X$31,3,FALSE)</f>
        <v>.</v>
      </c>
    </row>
    <row r="1195" spans="12:26" ht="18.75">
      <c r="L1195" s="777">
        <v>5</v>
      </c>
      <c r="M1195" s="906"/>
      <c r="N1195" s="976">
        <v>0</v>
      </c>
      <c r="O1195" s="1020">
        <v>1142</v>
      </c>
      <c r="P1195" s="860" t="e">
        <f>VLOOKUP(N1195,etat!$A$9:$N$1004,2,FALSE)</f>
        <v>#N/A</v>
      </c>
      <c r="Q1195" s="797" t="e">
        <f>VLOOKUP(N1195,etat!$A$9:$N$963,7,FALSE)</f>
        <v>#N/A</v>
      </c>
      <c r="R1195" s="905" t="e">
        <f>VLOOKUP(N1195,etat!$A$9:$N$1003,9,FALSE)</f>
        <v>#N/A</v>
      </c>
      <c r="T1195" s="755"/>
      <c r="U1195" s="791"/>
      <c r="V1195" s="784"/>
      <c r="W1195" s="784"/>
      <c r="X1195" s="784"/>
      <c r="Y1195" s="784"/>
      <c r="Z1195" s="965" t="str">
        <f>VLOOKUP(L1195,اس!$S$3:$X$31,3,FALSE)</f>
        <v>.</v>
      </c>
    </row>
    <row r="1196" spans="12:26" ht="18.75">
      <c r="L1196" s="777">
        <v>5</v>
      </c>
      <c r="M1196" s="906"/>
      <c r="N1196" s="976">
        <v>0</v>
      </c>
      <c r="O1196" s="1020">
        <v>1143</v>
      </c>
      <c r="P1196" s="860" t="e">
        <f>VLOOKUP(N1196,etat!$A$9:$N$1004,2,FALSE)</f>
        <v>#N/A</v>
      </c>
      <c r="Q1196" s="797" t="e">
        <f>VLOOKUP(N1196,etat!$A$9:$N$963,7,FALSE)</f>
        <v>#N/A</v>
      </c>
      <c r="R1196" s="905" t="e">
        <f>VLOOKUP(N1196,etat!$A$9:$N$1003,9,FALSE)</f>
        <v>#N/A</v>
      </c>
      <c r="T1196" s="755"/>
      <c r="U1196" s="791"/>
      <c r="V1196" s="784"/>
      <c r="W1196" s="784"/>
      <c r="X1196" s="784"/>
      <c r="Y1196" s="784"/>
      <c r="Z1196" s="965" t="str">
        <f>VLOOKUP(L1196,اس!$S$3:$X$31,3,FALSE)</f>
        <v>.</v>
      </c>
    </row>
    <row r="1197" spans="12:26" ht="18.75">
      <c r="L1197" s="777">
        <v>5</v>
      </c>
      <c r="M1197" s="906"/>
      <c r="N1197" s="976">
        <v>0</v>
      </c>
      <c r="O1197" s="1020">
        <v>1144</v>
      </c>
      <c r="P1197" s="860" t="e">
        <f>VLOOKUP(N1197,etat!$A$9:$N$1004,2,FALSE)</f>
        <v>#N/A</v>
      </c>
      <c r="Q1197" s="797" t="e">
        <f>VLOOKUP(N1197,etat!$A$9:$N$963,7,FALSE)</f>
        <v>#N/A</v>
      </c>
      <c r="R1197" s="905" t="e">
        <f>VLOOKUP(N1197,etat!$A$9:$N$1003,9,FALSE)</f>
        <v>#N/A</v>
      </c>
      <c r="T1197" s="755"/>
      <c r="U1197" s="791"/>
      <c r="V1197" s="784"/>
      <c r="W1197" s="784"/>
      <c r="X1197" s="784"/>
      <c r="Y1197" s="784"/>
      <c r="Z1197" s="965" t="str">
        <f>VLOOKUP(L1197,اس!$S$3:$X$31,3,FALSE)</f>
        <v>.</v>
      </c>
    </row>
    <row r="1198" spans="12:26" ht="18.75">
      <c r="L1198" s="777">
        <v>5</v>
      </c>
      <c r="M1198" s="906"/>
      <c r="N1198" s="976">
        <v>0</v>
      </c>
      <c r="O1198" s="1020">
        <v>1145</v>
      </c>
      <c r="P1198" s="860" t="e">
        <f>VLOOKUP(N1198,etat!$A$9:$N$1004,2,FALSE)</f>
        <v>#N/A</v>
      </c>
      <c r="Q1198" s="797" t="e">
        <f>VLOOKUP(N1198,etat!$A$9:$N$963,7,FALSE)</f>
        <v>#N/A</v>
      </c>
      <c r="R1198" s="905" t="e">
        <f>VLOOKUP(N1198,etat!$A$9:$N$1003,9,FALSE)</f>
        <v>#N/A</v>
      </c>
      <c r="T1198" s="755"/>
      <c r="U1198" s="791"/>
      <c r="V1198" s="784"/>
      <c r="W1198" s="784"/>
      <c r="X1198" s="784"/>
      <c r="Y1198" s="784"/>
      <c r="Z1198" s="965" t="str">
        <f>VLOOKUP(L1198,اس!$S$3:$X$31,3,FALSE)</f>
        <v>.</v>
      </c>
    </row>
    <row r="1199" spans="12:26" ht="18.75">
      <c r="L1199" s="777">
        <v>5</v>
      </c>
      <c r="M1199" s="906"/>
      <c r="N1199" s="976">
        <v>0</v>
      </c>
      <c r="O1199" s="1020">
        <v>1146</v>
      </c>
      <c r="P1199" s="860" t="e">
        <f>VLOOKUP(N1199,etat!$A$9:$N$1004,2,FALSE)</f>
        <v>#N/A</v>
      </c>
      <c r="Q1199" s="797" t="e">
        <f>VLOOKUP(N1199,etat!$A$9:$N$963,7,FALSE)</f>
        <v>#N/A</v>
      </c>
      <c r="R1199" s="905" t="e">
        <f>VLOOKUP(N1199,etat!$A$9:$N$1003,9,FALSE)</f>
        <v>#N/A</v>
      </c>
      <c r="T1199" s="755"/>
      <c r="U1199" s="791"/>
      <c r="V1199" s="784"/>
      <c r="W1199" s="784"/>
      <c r="X1199" s="784"/>
      <c r="Y1199" s="784"/>
      <c r="Z1199" s="965" t="str">
        <f>VLOOKUP(L1199,اس!$S$3:$X$31,3,FALSE)</f>
        <v>.</v>
      </c>
    </row>
    <row r="1200" spans="12:26" ht="18.75">
      <c r="L1200" s="777">
        <v>5</v>
      </c>
      <c r="M1200" s="906"/>
      <c r="N1200" s="976">
        <v>0</v>
      </c>
      <c r="O1200" s="1020">
        <v>1147</v>
      </c>
      <c r="P1200" s="860" t="e">
        <f>VLOOKUP(N1200,etat!$A$9:$N$1004,2,FALSE)</f>
        <v>#N/A</v>
      </c>
      <c r="Q1200" s="797" t="e">
        <f>VLOOKUP(N1200,etat!$A$9:$N$963,7,FALSE)</f>
        <v>#N/A</v>
      </c>
      <c r="R1200" s="905" t="e">
        <f>VLOOKUP(N1200,etat!$A$9:$N$1003,9,FALSE)</f>
        <v>#N/A</v>
      </c>
      <c r="T1200" s="755"/>
      <c r="U1200" s="791"/>
      <c r="V1200" s="784"/>
      <c r="W1200" s="784"/>
      <c r="X1200" s="784"/>
      <c r="Y1200" s="784"/>
      <c r="Z1200" s="965" t="str">
        <f>VLOOKUP(L1200,اس!$S$3:$X$31,3,FALSE)</f>
        <v>.</v>
      </c>
    </row>
    <row r="1201" spans="12:26" ht="18.75">
      <c r="L1201" s="777">
        <v>5</v>
      </c>
      <c r="M1201" s="906"/>
      <c r="N1201" s="976">
        <v>0</v>
      </c>
      <c r="O1201" s="1020">
        <v>1148</v>
      </c>
      <c r="P1201" s="860" t="e">
        <f>VLOOKUP(N1201,etat!$A$9:$N$1004,2,FALSE)</f>
        <v>#N/A</v>
      </c>
      <c r="Q1201" s="797" t="e">
        <f>VLOOKUP(N1201,etat!$A$9:$N$963,7,FALSE)</f>
        <v>#N/A</v>
      </c>
      <c r="R1201" s="905" t="e">
        <f>VLOOKUP(N1201,etat!$A$9:$N$1003,9,FALSE)</f>
        <v>#N/A</v>
      </c>
      <c r="T1201" s="755"/>
      <c r="U1201" s="791"/>
      <c r="V1201" s="784"/>
      <c r="W1201" s="784"/>
      <c r="X1201" s="784"/>
      <c r="Y1201" s="784"/>
      <c r="Z1201" s="965" t="str">
        <f>VLOOKUP(L1201,اس!$S$3:$X$31,3,FALSE)</f>
        <v>.</v>
      </c>
    </row>
    <row r="1202" spans="12:26" ht="18.75">
      <c r="L1202" s="777">
        <v>5</v>
      </c>
      <c r="M1202" s="906"/>
      <c r="N1202" s="976">
        <v>0</v>
      </c>
      <c r="O1202" s="1020">
        <v>1149</v>
      </c>
      <c r="P1202" s="860" t="e">
        <f>VLOOKUP(N1202,etat!$A$9:$N$1004,2,FALSE)</f>
        <v>#N/A</v>
      </c>
      <c r="Q1202" s="797" t="e">
        <f>VLOOKUP(N1202,etat!$A$9:$N$963,7,FALSE)</f>
        <v>#N/A</v>
      </c>
      <c r="R1202" s="905" t="e">
        <f>VLOOKUP(N1202,etat!$A$9:$N$1003,9,FALSE)</f>
        <v>#N/A</v>
      </c>
      <c r="T1202" s="755"/>
      <c r="U1202" s="791"/>
      <c r="V1202" s="784"/>
      <c r="W1202" s="784"/>
      <c r="X1202" s="784"/>
      <c r="Y1202" s="784"/>
      <c r="Z1202" s="965" t="str">
        <f>VLOOKUP(L1202,اس!$S$3:$X$31,3,FALSE)</f>
        <v>.</v>
      </c>
    </row>
    <row r="1203" spans="12:26" ht="18.75">
      <c r="L1203" s="777">
        <v>5</v>
      </c>
      <c r="M1203" s="906"/>
      <c r="N1203" s="976">
        <v>0</v>
      </c>
      <c r="O1203" s="1020">
        <v>1150</v>
      </c>
      <c r="P1203" s="860" t="e">
        <f>VLOOKUP(N1203,etat!$A$9:$N$1004,2,FALSE)</f>
        <v>#N/A</v>
      </c>
      <c r="Q1203" s="797" t="e">
        <f>VLOOKUP(N1203,etat!$A$9:$N$963,7,FALSE)</f>
        <v>#N/A</v>
      </c>
      <c r="R1203" s="905" t="e">
        <f>VLOOKUP(N1203,etat!$A$9:$N$1003,9,FALSE)</f>
        <v>#N/A</v>
      </c>
      <c r="T1203" s="755"/>
      <c r="U1203" s="791"/>
      <c r="V1203" s="784"/>
      <c r="W1203" s="784"/>
      <c r="X1203" s="784"/>
      <c r="Y1203" s="784"/>
      <c r="Z1203" s="965" t="str">
        <f>VLOOKUP(L1203,اس!$S$3:$X$31,3,FALSE)</f>
        <v>.</v>
      </c>
    </row>
    <row r="1204" spans="12:26" ht="18.75">
      <c r="L1204" s="777">
        <v>5</v>
      </c>
      <c r="M1204" s="906"/>
      <c r="N1204" s="976">
        <v>0</v>
      </c>
      <c r="O1204" s="1020">
        <v>1151</v>
      </c>
      <c r="P1204" s="860" t="e">
        <f>VLOOKUP(N1204,etat!$A$9:$N$1004,2,FALSE)</f>
        <v>#N/A</v>
      </c>
      <c r="Q1204" s="797" t="e">
        <f>VLOOKUP(N1204,etat!$A$9:$N$963,7,FALSE)</f>
        <v>#N/A</v>
      </c>
      <c r="R1204" s="905" t="e">
        <f>VLOOKUP(N1204,etat!$A$9:$N$1003,9,FALSE)</f>
        <v>#N/A</v>
      </c>
      <c r="T1204" s="755"/>
      <c r="U1204" s="791"/>
      <c r="V1204" s="784"/>
      <c r="W1204" s="784"/>
      <c r="X1204" s="784"/>
      <c r="Y1204" s="784"/>
      <c r="Z1204" s="965" t="str">
        <f>VLOOKUP(L1204,اس!$S$3:$X$31,3,FALSE)</f>
        <v>.</v>
      </c>
    </row>
    <row r="1205" spans="12:26" ht="18.75">
      <c r="L1205" s="777">
        <v>5</v>
      </c>
      <c r="M1205" s="906"/>
      <c r="N1205" s="976">
        <v>0</v>
      </c>
      <c r="O1205" s="1020">
        <v>1152</v>
      </c>
      <c r="P1205" s="860" t="e">
        <f>VLOOKUP(N1205,etat!$A$9:$N$1004,2,FALSE)</f>
        <v>#N/A</v>
      </c>
      <c r="Q1205" s="797" t="e">
        <f>VLOOKUP(N1205,etat!$A$9:$N$963,7,FALSE)</f>
        <v>#N/A</v>
      </c>
      <c r="R1205" s="905" t="e">
        <f>VLOOKUP(N1205,etat!$A$9:$N$1003,9,FALSE)</f>
        <v>#N/A</v>
      </c>
      <c r="T1205" s="755"/>
      <c r="U1205" s="791"/>
      <c r="V1205" s="784"/>
      <c r="W1205" s="784"/>
      <c r="X1205" s="784"/>
      <c r="Y1205" s="784"/>
      <c r="Z1205" s="965" t="str">
        <f>VLOOKUP(L1205,اس!$S$3:$X$31,3,FALSE)</f>
        <v>.</v>
      </c>
    </row>
    <row r="1206" spans="12:26" ht="18.75">
      <c r="L1206" s="777">
        <v>5</v>
      </c>
      <c r="M1206" s="906"/>
      <c r="N1206" s="976">
        <v>0</v>
      </c>
      <c r="O1206" s="1020">
        <v>1153</v>
      </c>
      <c r="P1206" s="860" t="e">
        <f>VLOOKUP(N1206,etat!$A$9:$N$1004,2,FALSE)</f>
        <v>#N/A</v>
      </c>
      <c r="Q1206" s="797" t="e">
        <f>VLOOKUP(N1206,etat!$A$9:$N$963,7,FALSE)</f>
        <v>#N/A</v>
      </c>
      <c r="R1206" s="905" t="e">
        <f>VLOOKUP(N1206,etat!$A$9:$N$1003,9,FALSE)</f>
        <v>#N/A</v>
      </c>
      <c r="T1206" s="755"/>
      <c r="U1206" s="791"/>
      <c r="V1206" s="784"/>
      <c r="W1206" s="784"/>
      <c r="X1206" s="784"/>
      <c r="Y1206" s="784"/>
      <c r="Z1206" s="965" t="str">
        <f>VLOOKUP(L1206,اس!$S$3:$X$31,3,FALSE)</f>
        <v>.</v>
      </c>
    </row>
    <row r="1207" spans="12:26" ht="18.75">
      <c r="L1207" s="777">
        <v>5</v>
      </c>
      <c r="M1207" s="906"/>
      <c r="N1207" s="976">
        <v>0</v>
      </c>
      <c r="O1207" s="1020">
        <v>1154</v>
      </c>
      <c r="P1207" s="860" t="e">
        <f>VLOOKUP(N1207,etat!$A$9:$N$1004,2,FALSE)</f>
        <v>#N/A</v>
      </c>
      <c r="Q1207" s="797" t="e">
        <f>VLOOKUP(N1207,etat!$A$9:$N$963,7,FALSE)</f>
        <v>#N/A</v>
      </c>
      <c r="R1207" s="905" t="e">
        <f>VLOOKUP(N1207,etat!$A$9:$N$1003,9,FALSE)</f>
        <v>#N/A</v>
      </c>
      <c r="T1207" s="755"/>
      <c r="U1207" s="791"/>
      <c r="V1207" s="784"/>
      <c r="W1207" s="784"/>
      <c r="X1207" s="784"/>
      <c r="Y1207" s="784"/>
      <c r="Z1207" s="965" t="str">
        <f>VLOOKUP(L1207,اس!$S$3:$X$31,3,FALSE)</f>
        <v>.</v>
      </c>
    </row>
    <row r="1208" spans="12:26" ht="18.75">
      <c r="L1208" s="777">
        <v>5</v>
      </c>
      <c r="M1208" s="906"/>
      <c r="N1208" s="976">
        <v>0</v>
      </c>
      <c r="O1208" s="1020">
        <v>1155</v>
      </c>
      <c r="P1208" s="860" t="e">
        <f>VLOOKUP(N1208,etat!$A$9:$N$1004,2,FALSE)</f>
        <v>#N/A</v>
      </c>
      <c r="Q1208" s="797" t="e">
        <f>VLOOKUP(N1208,etat!$A$9:$N$963,7,FALSE)</f>
        <v>#N/A</v>
      </c>
      <c r="R1208" s="905" t="e">
        <f>VLOOKUP(N1208,etat!$A$9:$N$1003,9,FALSE)</f>
        <v>#N/A</v>
      </c>
      <c r="T1208" s="755"/>
      <c r="U1208" s="791"/>
      <c r="V1208" s="784"/>
      <c r="W1208" s="784"/>
      <c r="X1208" s="784"/>
      <c r="Y1208" s="784"/>
      <c r="Z1208" s="965" t="str">
        <f>VLOOKUP(L1208,اس!$S$3:$X$31,3,FALSE)</f>
        <v>.</v>
      </c>
    </row>
    <row r="1209" spans="12:26" ht="18.75">
      <c r="L1209" s="777">
        <v>5</v>
      </c>
      <c r="M1209" s="906"/>
      <c r="N1209" s="976">
        <v>0</v>
      </c>
      <c r="O1209" s="1020">
        <v>1156</v>
      </c>
      <c r="P1209" s="860" t="e">
        <f>VLOOKUP(N1209,etat!$A$9:$N$1004,2,FALSE)</f>
        <v>#N/A</v>
      </c>
      <c r="Q1209" s="797" t="e">
        <f>VLOOKUP(N1209,etat!$A$9:$N$963,7,FALSE)</f>
        <v>#N/A</v>
      </c>
      <c r="R1209" s="905" t="e">
        <f>VLOOKUP(N1209,etat!$A$9:$N$1003,9,FALSE)</f>
        <v>#N/A</v>
      </c>
      <c r="T1209" s="755"/>
      <c r="U1209" s="791"/>
      <c r="V1209" s="784"/>
      <c r="W1209" s="784"/>
      <c r="X1209" s="784"/>
      <c r="Y1209" s="784"/>
      <c r="Z1209" s="965" t="str">
        <f>VLOOKUP(L1209,اس!$S$3:$X$31,3,FALSE)</f>
        <v>.</v>
      </c>
    </row>
    <row r="1210" spans="12:26" ht="18.75">
      <c r="L1210" s="777">
        <v>5</v>
      </c>
      <c r="M1210" s="906"/>
      <c r="N1210" s="976">
        <v>0</v>
      </c>
      <c r="O1210" s="1020">
        <v>1157</v>
      </c>
      <c r="P1210" s="860" t="e">
        <f>VLOOKUP(N1210,etat!$A$9:$N$1004,2,FALSE)</f>
        <v>#N/A</v>
      </c>
      <c r="Q1210" s="797" t="e">
        <f>VLOOKUP(N1210,etat!$A$9:$N$963,7,FALSE)</f>
        <v>#N/A</v>
      </c>
      <c r="R1210" s="905" t="e">
        <f>VLOOKUP(N1210,etat!$A$9:$N$1003,9,FALSE)</f>
        <v>#N/A</v>
      </c>
      <c r="T1210" s="755"/>
      <c r="U1210" s="791"/>
      <c r="V1210" s="784"/>
      <c r="W1210" s="784"/>
      <c r="X1210" s="784"/>
      <c r="Y1210" s="784"/>
      <c r="Z1210" s="965" t="str">
        <f>VLOOKUP(L1210,اس!$S$3:$X$31,3,FALSE)</f>
        <v>.</v>
      </c>
    </row>
    <row r="1211" spans="12:26" ht="18.75">
      <c r="L1211" s="777">
        <v>5</v>
      </c>
      <c r="M1211" s="906"/>
      <c r="N1211" s="976">
        <v>0</v>
      </c>
      <c r="O1211" s="1020">
        <v>1158</v>
      </c>
      <c r="P1211" s="860" t="e">
        <f>VLOOKUP(N1211,etat!$A$9:$N$1004,2,FALSE)</f>
        <v>#N/A</v>
      </c>
      <c r="Q1211" s="797" t="e">
        <f>VLOOKUP(N1211,etat!$A$9:$N$963,7,FALSE)</f>
        <v>#N/A</v>
      </c>
      <c r="R1211" s="905" t="e">
        <f>VLOOKUP(N1211,etat!$A$9:$N$1003,9,FALSE)</f>
        <v>#N/A</v>
      </c>
      <c r="T1211" s="755"/>
      <c r="U1211" s="791"/>
      <c r="V1211" s="784"/>
      <c r="W1211" s="784"/>
      <c r="X1211" s="784"/>
      <c r="Y1211" s="784"/>
      <c r="Z1211" s="965" t="str">
        <f>VLOOKUP(L1211,اس!$S$3:$X$31,3,FALSE)</f>
        <v>.</v>
      </c>
    </row>
    <row r="1212" spans="12:26" ht="18.75">
      <c r="L1212" s="777">
        <v>5</v>
      </c>
      <c r="M1212" s="906"/>
      <c r="N1212" s="976">
        <v>0</v>
      </c>
      <c r="O1212" s="1020">
        <v>1159</v>
      </c>
      <c r="P1212" s="860" t="e">
        <f>VLOOKUP(N1212,etat!$A$9:$N$1004,2,FALSE)</f>
        <v>#N/A</v>
      </c>
      <c r="Q1212" s="797" t="e">
        <f>VLOOKUP(N1212,etat!$A$9:$N$963,7,FALSE)</f>
        <v>#N/A</v>
      </c>
      <c r="R1212" s="905" t="e">
        <f>VLOOKUP(N1212,etat!$A$9:$N$1003,9,FALSE)</f>
        <v>#N/A</v>
      </c>
      <c r="T1212" s="755"/>
      <c r="U1212" s="791"/>
      <c r="V1212" s="784"/>
      <c r="W1212" s="784"/>
      <c r="X1212" s="784"/>
      <c r="Y1212" s="784"/>
      <c r="Z1212" s="965" t="str">
        <f>VLOOKUP(L1212,اس!$S$3:$X$31,3,FALSE)</f>
        <v>.</v>
      </c>
    </row>
    <row r="1213" spans="12:26" ht="18.75">
      <c r="L1213" s="777">
        <v>5</v>
      </c>
      <c r="M1213" s="906"/>
      <c r="N1213" s="976">
        <v>0</v>
      </c>
      <c r="O1213" s="1020">
        <v>1160</v>
      </c>
      <c r="P1213" s="860" t="e">
        <f>VLOOKUP(N1213,etat!$A$9:$N$1004,2,FALSE)</f>
        <v>#N/A</v>
      </c>
      <c r="Q1213" s="797" t="e">
        <f>VLOOKUP(N1213,etat!$A$9:$N$963,7,FALSE)</f>
        <v>#N/A</v>
      </c>
      <c r="R1213" s="905" t="e">
        <f>VLOOKUP(N1213,etat!$A$9:$N$1003,9,FALSE)</f>
        <v>#N/A</v>
      </c>
      <c r="T1213" s="755"/>
      <c r="U1213" s="791"/>
      <c r="V1213" s="784"/>
      <c r="W1213" s="784"/>
      <c r="X1213" s="784"/>
      <c r="Y1213" s="784"/>
      <c r="Z1213" s="965" t="str">
        <f>VLOOKUP(L1213,اس!$S$3:$X$31,3,FALSE)</f>
        <v>.</v>
      </c>
    </row>
    <row r="1214" spans="12:26" ht="18.75">
      <c r="L1214" s="777">
        <v>5</v>
      </c>
      <c r="M1214" s="906"/>
      <c r="N1214" s="976">
        <v>0</v>
      </c>
      <c r="O1214" s="1020">
        <v>1161</v>
      </c>
      <c r="P1214" s="860" t="e">
        <f>VLOOKUP(N1214,etat!$A$9:$N$1004,2,FALSE)</f>
        <v>#N/A</v>
      </c>
      <c r="Q1214" s="797" t="e">
        <f>VLOOKUP(N1214,etat!$A$9:$N$963,7,FALSE)</f>
        <v>#N/A</v>
      </c>
      <c r="R1214" s="905" t="e">
        <f>VLOOKUP(N1214,etat!$A$9:$N$1003,9,FALSE)</f>
        <v>#N/A</v>
      </c>
      <c r="T1214" s="755"/>
      <c r="U1214" s="791"/>
      <c r="V1214" s="784"/>
      <c r="W1214" s="784"/>
      <c r="X1214" s="784"/>
      <c r="Y1214" s="784"/>
      <c r="Z1214" s="965" t="str">
        <f>VLOOKUP(L1214,اس!$S$3:$X$31,3,FALSE)</f>
        <v>.</v>
      </c>
    </row>
    <row r="1215" spans="12:26" ht="18.75">
      <c r="L1215" s="777">
        <v>5</v>
      </c>
      <c r="M1215" s="906"/>
      <c r="N1215" s="976">
        <v>0</v>
      </c>
      <c r="O1215" s="1020">
        <v>1162</v>
      </c>
      <c r="P1215" s="860" t="e">
        <f>VLOOKUP(N1215,etat!$A$9:$N$1004,2,FALSE)</f>
        <v>#N/A</v>
      </c>
      <c r="Q1215" s="797" t="e">
        <f>VLOOKUP(N1215,etat!$A$9:$N$963,7,FALSE)</f>
        <v>#N/A</v>
      </c>
      <c r="R1215" s="905" t="e">
        <f>VLOOKUP(N1215,etat!$A$9:$N$1003,9,FALSE)</f>
        <v>#N/A</v>
      </c>
      <c r="T1215" s="755"/>
      <c r="U1215" s="791"/>
      <c r="V1215" s="784"/>
      <c r="W1215" s="784"/>
      <c r="X1215" s="784"/>
      <c r="Y1215" s="784"/>
      <c r="Z1215" s="965" t="str">
        <f>VLOOKUP(L1215,اس!$S$3:$X$31,3,FALSE)</f>
        <v>.</v>
      </c>
    </row>
    <row r="1216" spans="12:26" ht="18.75">
      <c r="L1216" s="777">
        <v>5</v>
      </c>
      <c r="M1216" s="906"/>
      <c r="N1216" s="976">
        <v>0</v>
      </c>
      <c r="O1216" s="1020">
        <v>1163</v>
      </c>
      <c r="P1216" s="860" t="e">
        <f>VLOOKUP(N1216,etat!$A$9:$N$1004,2,FALSE)</f>
        <v>#N/A</v>
      </c>
      <c r="Q1216" s="797" t="e">
        <f>VLOOKUP(N1216,etat!$A$9:$N$963,7,FALSE)</f>
        <v>#N/A</v>
      </c>
      <c r="R1216" s="905" t="e">
        <f>VLOOKUP(N1216,etat!$A$9:$N$1003,9,FALSE)</f>
        <v>#N/A</v>
      </c>
      <c r="T1216" s="755"/>
      <c r="U1216" s="791"/>
      <c r="V1216" s="784"/>
      <c r="W1216" s="784"/>
      <c r="X1216" s="784"/>
      <c r="Y1216" s="784"/>
      <c r="Z1216" s="965" t="str">
        <f>VLOOKUP(L1216,اس!$S$3:$X$31,3,FALSE)</f>
        <v>.</v>
      </c>
    </row>
    <row r="1217" spans="12:26" ht="18.75">
      <c r="L1217" s="777">
        <v>5</v>
      </c>
      <c r="M1217" s="906"/>
      <c r="N1217" s="976">
        <v>0</v>
      </c>
      <c r="O1217" s="1020">
        <v>1164</v>
      </c>
      <c r="P1217" s="860" t="e">
        <f>VLOOKUP(N1217,etat!$A$9:$N$1004,2,FALSE)</f>
        <v>#N/A</v>
      </c>
      <c r="Q1217" s="797" t="e">
        <f>VLOOKUP(N1217,etat!$A$9:$N$963,7,FALSE)</f>
        <v>#N/A</v>
      </c>
      <c r="R1217" s="905" t="e">
        <f>VLOOKUP(N1217,etat!$A$9:$N$1003,9,FALSE)</f>
        <v>#N/A</v>
      </c>
      <c r="T1217" s="755"/>
      <c r="U1217" s="791"/>
      <c r="V1217" s="784"/>
      <c r="W1217" s="784"/>
      <c r="X1217" s="784"/>
      <c r="Y1217" s="784"/>
      <c r="Z1217" s="965" t="str">
        <f>VLOOKUP(L1217,اس!$S$3:$X$31,3,FALSE)</f>
        <v>.</v>
      </c>
    </row>
    <row r="1218" spans="12:26" ht="18.75">
      <c r="L1218" s="777">
        <v>5</v>
      </c>
      <c r="M1218" s="906"/>
      <c r="N1218" s="976">
        <v>0</v>
      </c>
      <c r="O1218" s="1020">
        <v>1165</v>
      </c>
      <c r="P1218" s="860" t="e">
        <f>VLOOKUP(N1218,etat!$A$9:$N$1004,2,FALSE)</f>
        <v>#N/A</v>
      </c>
      <c r="Q1218" s="797" t="e">
        <f>VLOOKUP(N1218,etat!$A$9:$N$963,7,FALSE)</f>
        <v>#N/A</v>
      </c>
      <c r="R1218" s="905" t="e">
        <f>VLOOKUP(N1218,etat!$A$9:$N$1003,9,FALSE)</f>
        <v>#N/A</v>
      </c>
      <c r="T1218" s="755"/>
      <c r="U1218" s="791"/>
      <c r="V1218" s="784"/>
      <c r="W1218" s="784"/>
      <c r="X1218" s="784"/>
      <c r="Y1218" s="784"/>
      <c r="Z1218" s="965" t="str">
        <f>VLOOKUP(L1218,اس!$S$3:$X$31,3,FALSE)</f>
        <v>.</v>
      </c>
    </row>
    <row r="1219" spans="12:26" ht="18.75">
      <c r="L1219" s="777">
        <v>5</v>
      </c>
      <c r="M1219" s="906"/>
      <c r="N1219" s="976">
        <v>0</v>
      </c>
      <c r="O1219" s="1020">
        <v>1166</v>
      </c>
      <c r="P1219" s="860" t="e">
        <f>VLOOKUP(N1219,etat!$A$9:$N$1004,2,FALSE)</f>
        <v>#N/A</v>
      </c>
      <c r="Q1219" s="797" t="e">
        <f>VLOOKUP(N1219,etat!$A$9:$N$963,7,FALSE)</f>
        <v>#N/A</v>
      </c>
      <c r="R1219" s="905" t="e">
        <f>VLOOKUP(N1219,etat!$A$9:$N$1003,9,FALSE)</f>
        <v>#N/A</v>
      </c>
      <c r="T1219" s="755"/>
      <c r="U1219" s="791"/>
      <c r="V1219" s="784"/>
      <c r="W1219" s="784"/>
      <c r="X1219" s="784"/>
      <c r="Y1219" s="784"/>
      <c r="Z1219" s="965" t="str">
        <f>VLOOKUP(L1219,اس!$S$3:$X$31,3,FALSE)</f>
        <v>.</v>
      </c>
    </row>
    <row r="1220" spans="12:26" ht="18.75">
      <c r="L1220" s="777">
        <v>5</v>
      </c>
      <c r="M1220" s="906"/>
      <c r="N1220" s="976">
        <v>0</v>
      </c>
      <c r="O1220" s="1020">
        <v>1167</v>
      </c>
      <c r="P1220" s="860" t="e">
        <f>VLOOKUP(N1220,etat!$A$9:$N$1004,2,FALSE)</f>
        <v>#N/A</v>
      </c>
      <c r="Q1220" s="797" t="e">
        <f>VLOOKUP(N1220,etat!$A$9:$N$963,7,FALSE)</f>
        <v>#N/A</v>
      </c>
      <c r="R1220" s="905" t="e">
        <f>VLOOKUP(N1220,etat!$A$9:$N$1003,9,FALSE)</f>
        <v>#N/A</v>
      </c>
      <c r="T1220" s="755"/>
      <c r="U1220" s="791"/>
      <c r="V1220" s="784"/>
      <c r="W1220" s="784"/>
      <c r="X1220" s="784"/>
      <c r="Y1220" s="784"/>
      <c r="Z1220" s="965" t="str">
        <f>VLOOKUP(L1220,اس!$S$3:$X$31,3,FALSE)</f>
        <v>.</v>
      </c>
    </row>
    <row r="1221" spans="12:26" ht="18.75">
      <c r="L1221" s="777">
        <v>5</v>
      </c>
      <c r="M1221" s="906"/>
      <c r="N1221" s="976">
        <v>0</v>
      </c>
      <c r="O1221" s="1020">
        <v>1168</v>
      </c>
      <c r="P1221" s="860" t="e">
        <f>VLOOKUP(N1221,etat!$A$9:$N$1004,2,FALSE)</f>
        <v>#N/A</v>
      </c>
      <c r="Q1221" s="797" t="e">
        <f>VLOOKUP(N1221,etat!$A$9:$N$963,7,FALSE)</f>
        <v>#N/A</v>
      </c>
      <c r="R1221" s="905" t="e">
        <f>VLOOKUP(N1221,etat!$A$9:$N$1003,9,FALSE)</f>
        <v>#N/A</v>
      </c>
      <c r="T1221" s="755"/>
      <c r="U1221" s="791"/>
      <c r="V1221" s="784"/>
      <c r="W1221" s="784"/>
      <c r="X1221" s="784"/>
      <c r="Y1221" s="784"/>
      <c r="Z1221" s="965" t="str">
        <f>VLOOKUP(L1221,اس!$S$3:$X$31,3,FALSE)</f>
        <v>.</v>
      </c>
    </row>
    <row r="1222" spans="12:26" ht="18.75">
      <c r="L1222" s="777">
        <v>5</v>
      </c>
      <c r="M1222" s="906"/>
      <c r="N1222" s="976">
        <v>0</v>
      </c>
      <c r="O1222" s="1020">
        <v>1169</v>
      </c>
      <c r="P1222" s="860" t="e">
        <f>VLOOKUP(N1222,etat!$A$9:$N$1004,2,FALSE)</f>
        <v>#N/A</v>
      </c>
      <c r="Q1222" s="797" t="e">
        <f>VLOOKUP(N1222,etat!$A$9:$N$963,7,FALSE)</f>
        <v>#N/A</v>
      </c>
      <c r="R1222" s="905" t="e">
        <f>VLOOKUP(N1222,etat!$A$9:$N$1003,9,FALSE)</f>
        <v>#N/A</v>
      </c>
      <c r="T1222" s="755"/>
      <c r="U1222" s="791"/>
      <c r="V1222" s="784"/>
      <c r="W1222" s="784"/>
      <c r="X1222" s="784"/>
      <c r="Y1222" s="784"/>
      <c r="Z1222" s="965" t="str">
        <f>VLOOKUP(L1222,اس!$S$3:$X$31,3,FALSE)</f>
        <v>.</v>
      </c>
    </row>
    <row r="1223" spans="12:26" ht="18.75">
      <c r="L1223" s="777">
        <v>5</v>
      </c>
      <c r="M1223" s="906"/>
      <c r="N1223" s="976">
        <v>0</v>
      </c>
      <c r="O1223" s="1020">
        <v>1170</v>
      </c>
      <c r="P1223" s="860" t="e">
        <f>VLOOKUP(N1223,etat!$A$9:$N$1004,2,FALSE)</f>
        <v>#N/A</v>
      </c>
      <c r="Q1223" s="797" t="e">
        <f>VLOOKUP(N1223,etat!$A$9:$N$963,7,FALSE)</f>
        <v>#N/A</v>
      </c>
      <c r="R1223" s="905" t="e">
        <f>VLOOKUP(N1223,etat!$A$9:$N$1003,9,FALSE)</f>
        <v>#N/A</v>
      </c>
      <c r="T1223" s="755"/>
      <c r="U1223" s="791"/>
      <c r="V1223" s="784"/>
      <c r="W1223" s="784"/>
      <c r="X1223" s="784"/>
      <c r="Y1223" s="784"/>
      <c r="Z1223" s="965" t="str">
        <f>VLOOKUP(L1223,اس!$S$3:$X$31,3,FALSE)</f>
        <v>.</v>
      </c>
    </row>
    <row r="1224" spans="12:26" ht="18.75">
      <c r="L1224" s="777">
        <v>5</v>
      </c>
      <c r="M1224" s="906"/>
      <c r="N1224" s="976">
        <v>0</v>
      </c>
      <c r="O1224" s="1020">
        <v>1171</v>
      </c>
      <c r="P1224" s="860" t="e">
        <f>VLOOKUP(N1224,etat!$A$9:$N$1004,2,FALSE)</f>
        <v>#N/A</v>
      </c>
      <c r="Q1224" s="797" t="e">
        <f>VLOOKUP(N1224,etat!$A$9:$N$963,7,FALSE)</f>
        <v>#N/A</v>
      </c>
      <c r="R1224" s="905" t="e">
        <f>VLOOKUP(N1224,etat!$A$9:$N$1003,9,FALSE)</f>
        <v>#N/A</v>
      </c>
      <c r="T1224" s="755"/>
      <c r="U1224" s="791"/>
      <c r="V1224" s="784"/>
      <c r="W1224" s="784"/>
      <c r="X1224" s="784"/>
      <c r="Y1224" s="784"/>
      <c r="Z1224" s="965" t="str">
        <f>VLOOKUP(L1224,اس!$S$3:$X$31,3,FALSE)</f>
        <v>.</v>
      </c>
    </row>
    <row r="1225" spans="12:26" ht="18.75">
      <c r="L1225" s="777">
        <v>5</v>
      </c>
      <c r="M1225" s="906"/>
      <c r="N1225" s="976">
        <v>0</v>
      </c>
      <c r="O1225" s="1020">
        <v>1172</v>
      </c>
      <c r="P1225" s="860" t="e">
        <f>VLOOKUP(N1225,etat!$A$9:$N$1004,2,FALSE)</f>
        <v>#N/A</v>
      </c>
      <c r="Q1225" s="797" t="e">
        <f>VLOOKUP(N1225,etat!$A$9:$N$963,7,FALSE)</f>
        <v>#N/A</v>
      </c>
      <c r="R1225" s="905" t="e">
        <f>VLOOKUP(N1225,etat!$A$9:$N$1003,9,FALSE)</f>
        <v>#N/A</v>
      </c>
      <c r="T1225" s="755"/>
      <c r="U1225" s="791"/>
      <c r="V1225" s="784"/>
      <c r="W1225" s="784"/>
      <c r="X1225" s="784"/>
      <c r="Y1225" s="784"/>
      <c r="Z1225" s="965" t="str">
        <f>VLOOKUP(L1225,اس!$S$3:$X$31,3,FALSE)</f>
        <v>.</v>
      </c>
    </row>
    <row r="1226" spans="12:26" ht="18.75">
      <c r="L1226" s="777">
        <v>5</v>
      </c>
      <c r="M1226" s="906"/>
      <c r="N1226" s="976">
        <v>0</v>
      </c>
      <c r="O1226" s="1020">
        <v>1173</v>
      </c>
      <c r="P1226" s="860" t="e">
        <f>VLOOKUP(N1226,etat!$A$9:$N$1004,2,FALSE)</f>
        <v>#N/A</v>
      </c>
      <c r="Q1226" s="797" t="e">
        <f>VLOOKUP(N1226,etat!$A$9:$N$963,7,FALSE)</f>
        <v>#N/A</v>
      </c>
      <c r="R1226" s="905" t="e">
        <f>VLOOKUP(N1226,etat!$A$9:$N$1003,9,FALSE)</f>
        <v>#N/A</v>
      </c>
      <c r="T1226" s="755"/>
      <c r="U1226" s="791"/>
      <c r="V1226" s="784"/>
      <c r="W1226" s="784"/>
      <c r="X1226" s="784"/>
      <c r="Y1226" s="784"/>
      <c r="Z1226" s="965" t="str">
        <f>VLOOKUP(L1226,اس!$S$3:$X$31,3,FALSE)</f>
        <v>.</v>
      </c>
    </row>
    <row r="1227" spans="12:26" ht="18.75">
      <c r="L1227" s="777">
        <v>5</v>
      </c>
      <c r="M1227" s="906"/>
      <c r="N1227" s="976">
        <v>0</v>
      </c>
      <c r="O1227" s="1020">
        <v>1174</v>
      </c>
      <c r="P1227" s="860" t="e">
        <f>VLOOKUP(N1227,etat!$A$9:$N$1004,2,FALSE)</f>
        <v>#N/A</v>
      </c>
      <c r="Q1227" s="797" t="e">
        <f>VLOOKUP(N1227,etat!$A$9:$N$963,7,FALSE)</f>
        <v>#N/A</v>
      </c>
      <c r="R1227" s="905" t="e">
        <f>VLOOKUP(N1227,etat!$A$9:$N$1003,9,FALSE)</f>
        <v>#N/A</v>
      </c>
      <c r="T1227" s="755"/>
      <c r="U1227" s="791"/>
      <c r="V1227" s="784"/>
      <c r="W1227" s="784"/>
      <c r="X1227" s="784"/>
      <c r="Y1227" s="784"/>
      <c r="Z1227" s="965" t="str">
        <f>VLOOKUP(L1227,اس!$S$3:$X$31,3,FALSE)</f>
        <v>.</v>
      </c>
    </row>
    <row r="1228" spans="12:26" ht="18.75">
      <c r="L1228" s="777">
        <v>5</v>
      </c>
      <c r="M1228" s="906"/>
      <c r="N1228" s="976">
        <v>0</v>
      </c>
      <c r="O1228" s="1020">
        <v>1175</v>
      </c>
      <c r="P1228" s="860" t="e">
        <f>VLOOKUP(N1228,etat!$A$9:$N$1004,2,FALSE)</f>
        <v>#N/A</v>
      </c>
      <c r="Q1228" s="797" t="e">
        <f>VLOOKUP(N1228,etat!$A$9:$N$963,7,FALSE)</f>
        <v>#N/A</v>
      </c>
      <c r="R1228" s="905" t="e">
        <f>VLOOKUP(N1228,etat!$A$9:$N$1003,9,FALSE)</f>
        <v>#N/A</v>
      </c>
      <c r="T1228" s="755"/>
      <c r="U1228" s="791"/>
      <c r="V1228" s="784"/>
      <c r="W1228" s="784"/>
      <c r="X1228" s="784"/>
      <c r="Y1228" s="784"/>
      <c r="Z1228" s="965" t="str">
        <f>VLOOKUP(L1228,اس!$S$3:$X$31,3,FALSE)</f>
        <v>.</v>
      </c>
    </row>
    <row r="1229" spans="12:26" ht="18.75">
      <c r="L1229" s="777">
        <v>5</v>
      </c>
      <c r="M1229" s="906"/>
      <c r="N1229" s="976">
        <v>0</v>
      </c>
      <c r="O1229" s="1020">
        <v>1176</v>
      </c>
      <c r="P1229" s="860" t="e">
        <f>VLOOKUP(N1229,etat!$A$9:$N$1004,2,FALSE)</f>
        <v>#N/A</v>
      </c>
      <c r="Q1229" s="797" t="e">
        <f>VLOOKUP(N1229,etat!$A$9:$N$963,7,FALSE)</f>
        <v>#N/A</v>
      </c>
      <c r="R1229" s="905" t="e">
        <f>VLOOKUP(N1229,etat!$A$9:$N$1003,9,FALSE)</f>
        <v>#N/A</v>
      </c>
      <c r="T1229" s="755"/>
      <c r="U1229" s="791"/>
      <c r="V1229" s="784"/>
      <c r="W1229" s="784"/>
      <c r="X1229" s="784"/>
      <c r="Y1229" s="784"/>
      <c r="Z1229" s="965" t="str">
        <f>VLOOKUP(L1229,اس!$S$3:$X$31,3,FALSE)</f>
        <v>.</v>
      </c>
    </row>
    <row r="1230" spans="12:26" ht="18.75">
      <c r="L1230" s="777">
        <v>5</v>
      </c>
      <c r="M1230" s="906"/>
      <c r="N1230" s="976">
        <v>0</v>
      </c>
      <c r="O1230" s="1020">
        <v>1177</v>
      </c>
      <c r="P1230" s="860" t="e">
        <f>VLOOKUP(N1230,etat!$A$9:$N$1004,2,FALSE)</f>
        <v>#N/A</v>
      </c>
      <c r="Q1230" s="797" t="e">
        <f>VLOOKUP(N1230,etat!$A$9:$N$963,7,FALSE)</f>
        <v>#N/A</v>
      </c>
      <c r="R1230" s="905" t="e">
        <f>VLOOKUP(N1230,etat!$A$9:$N$1003,9,FALSE)</f>
        <v>#N/A</v>
      </c>
      <c r="T1230" s="755"/>
      <c r="U1230" s="791"/>
      <c r="V1230" s="784"/>
      <c r="W1230" s="784"/>
      <c r="X1230" s="784"/>
      <c r="Y1230" s="784"/>
      <c r="Z1230" s="965" t="str">
        <f>VLOOKUP(L1230,اس!$S$3:$X$31,3,FALSE)</f>
        <v>.</v>
      </c>
    </row>
    <row r="1231" spans="12:26" ht="18.75">
      <c r="L1231" s="777">
        <v>5</v>
      </c>
      <c r="M1231" s="906"/>
      <c r="N1231" s="976">
        <v>0</v>
      </c>
      <c r="O1231" s="1020">
        <v>1178</v>
      </c>
      <c r="P1231" s="860" t="e">
        <f>VLOOKUP(N1231,etat!$A$9:$N$1004,2,FALSE)</f>
        <v>#N/A</v>
      </c>
      <c r="Q1231" s="797" t="e">
        <f>VLOOKUP(N1231,etat!$A$9:$N$963,7,FALSE)</f>
        <v>#N/A</v>
      </c>
      <c r="R1231" s="905" t="e">
        <f>VLOOKUP(N1231,etat!$A$9:$N$1003,9,FALSE)</f>
        <v>#N/A</v>
      </c>
      <c r="T1231" s="755"/>
      <c r="U1231" s="791"/>
      <c r="V1231" s="784"/>
      <c r="W1231" s="784"/>
      <c r="X1231" s="784"/>
      <c r="Y1231" s="784"/>
      <c r="Z1231" s="965" t="str">
        <f>VLOOKUP(L1231,اس!$S$3:$X$31,3,FALSE)</f>
        <v>.</v>
      </c>
    </row>
    <row r="1232" spans="12:26" ht="18.75">
      <c r="L1232" s="777">
        <v>5</v>
      </c>
      <c r="M1232" s="906"/>
      <c r="N1232" s="976">
        <v>0</v>
      </c>
      <c r="O1232" s="1020">
        <v>1179</v>
      </c>
      <c r="P1232" s="860" t="e">
        <f>VLOOKUP(N1232,etat!$A$9:$N$1004,2,FALSE)</f>
        <v>#N/A</v>
      </c>
      <c r="Q1232" s="797" t="e">
        <f>VLOOKUP(N1232,etat!$A$9:$N$963,7,FALSE)</f>
        <v>#N/A</v>
      </c>
      <c r="R1232" s="905" t="e">
        <f>VLOOKUP(N1232,etat!$A$9:$N$1003,9,FALSE)</f>
        <v>#N/A</v>
      </c>
      <c r="T1232" s="755"/>
      <c r="U1232" s="791"/>
      <c r="V1232" s="784"/>
      <c r="W1232" s="784"/>
      <c r="X1232" s="784"/>
      <c r="Y1232" s="784"/>
      <c r="Z1232" s="965" t="str">
        <f>VLOOKUP(L1232,اس!$S$3:$X$31,3,FALSE)</f>
        <v>.</v>
      </c>
    </row>
    <row r="1233" spans="12:26" ht="18.75">
      <c r="L1233" s="777">
        <v>5</v>
      </c>
      <c r="M1233" s="906"/>
      <c r="N1233" s="976">
        <v>0</v>
      </c>
      <c r="O1233" s="1020">
        <v>1180</v>
      </c>
      <c r="P1233" s="860" t="e">
        <f>VLOOKUP(N1233,etat!$A$9:$N$1004,2,FALSE)</f>
        <v>#N/A</v>
      </c>
      <c r="Q1233" s="797" t="e">
        <f>VLOOKUP(N1233,etat!$A$9:$N$963,7,FALSE)</f>
        <v>#N/A</v>
      </c>
      <c r="R1233" s="905" t="e">
        <f>VLOOKUP(N1233,etat!$A$9:$N$1003,9,FALSE)</f>
        <v>#N/A</v>
      </c>
      <c r="T1233" s="755"/>
      <c r="U1233" s="791"/>
      <c r="V1233" s="784"/>
      <c r="W1233" s="784"/>
      <c r="X1233" s="784"/>
      <c r="Y1233" s="784"/>
      <c r="Z1233" s="965" t="str">
        <f>VLOOKUP(L1233,اس!$S$3:$X$31,3,FALSE)</f>
        <v>.</v>
      </c>
    </row>
    <row r="1234" spans="12:26" ht="18.75">
      <c r="L1234" s="777">
        <v>5</v>
      </c>
      <c r="M1234" s="906"/>
      <c r="N1234" s="976">
        <v>0</v>
      </c>
      <c r="O1234" s="1020">
        <v>1181</v>
      </c>
      <c r="P1234" s="860" t="e">
        <f>VLOOKUP(N1234,etat!$A$9:$N$1004,2,FALSE)</f>
        <v>#N/A</v>
      </c>
      <c r="Q1234" s="797" t="e">
        <f>VLOOKUP(N1234,etat!$A$9:$N$963,7,FALSE)</f>
        <v>#N/A</v>
      </c>
      <c r="R1234" s="905" t="e">
        <f>VLOOKUP(N1234,etat!$A$9:$N$1003,9,FALSE)</f>
        <v>#N/A</v>
      </c>
      <c r="T1234" s="755"/>
      <c r="U1234" s="791"/>
      <c r="V1234" s="784"/>
      <c r="W1234" s="784"/>
      <c r="X1234" s="784"/>
      <c r="Y1234" s="784"/>
      <c r="Z1234" s="965" t="str">
        <f>VLOOKUP(L1234,اس!$S$3:$X$31,3,FALSE)</f>
        <v>.</v>
      </c>
    </row>
    <row r="1235" spans="12:26" ht="18.75">
      <c r="L1235" s="777">
        <v>5</v>
      </c>
      <c r="M1235" s="906"/>
      <c r="N1235" s="976">
        <v>0</v>
      </c>
      <c r="O1235" s="1020">
        <v>1182</v>
      </c>
      <c r="P1235" s="860" t="e">
        <f>VLOOKUP(N1235,etat!$A$9:$N$1004,2,FALSE)</f>
        <v>#N/A</v>
      </c>
      <c r="Q1235" s="797" t="e">
        <f>VLOOKUP(N1235,etat!$A$9:$N$963,7,FALSE)</f>
        <v>#N/A</v>
      </c>
      <c r="R1235" s="905" t="e">
        <f>VLOOKUP(N1235,etat!$A$9:$N$1003,9,FALSE)</f>
        <v>#N/A</v>
      </c>
      <c r="T1235" s="755"/>
      <c r="U1235" s="791"/>
      <c r="V1235" s="784"/>
      <c r="W1235" s="784"/>
      <c r="X1235" s="784"/>
      <c r="Y1235" s="784"/>
      <c r="Z1235" s="965" t="str">
        <f>VLOOKUP(L1235,اس!$S$3:$X$31,3,FALSE)</f>
        <v>.</v>
      </c>
    </row>
    <row r="1236" spans="12:26" ht="18.75">
      <c r="L1236" s="777">
        <v>5</v>
      </c>
      <c r="M1236" s="906"/>
      <c r="N1236" s="976">
        <v>0</v>
      </c>
      <c r="O1236" s="1020">
        <v>1183</v>
      </c>
      <c r="P1236" s="860" t="e">
        <f>VLOOKUP(N1236,etat!$A$9:$N$1004,2,FALSE)</f>
        <v>#N/A</v>
      </c>
      <c r="Q1236" s="797" t="e">
        <f>VLOOKUP(N1236,etat!$A$9:$N$963,7,FALSE)</f>
        <v>#N/A</v>
      </c>
      <c r="R1236" s="905" t="e">
        <f>VLOOKUP(N1236,etat!$A$9:$N$1003,9,FALSE)</f>
        <v>#N/A</v>
      </c>
      <c r="T1236" s="755"/>
      <c r="U1236" s="791"/>
      <c r="V1236" s="784"/>
      <c r="W1236" s="784"/>
      <c r="X1236" s="784"/>
      <c r="Y1236" s="784"/>
      <c r="Z1236" s="965" t="str">
        <f>VLOOKUP(L1236,اس!$S$3:$X$31,3,FALSE)</f>
        <v>.</v>
      </c>
    </row>
    <row r="1237" spans="12:26" ht="18.75">
      <c r="L1237" s="777">
        <v>5</v>
      </c>
      <c r="M1237" s="906"/>
      <c r="N1237" s="976">
        <v>0</v>
      </c>
      <c r="O1237" s="1020">
        <v>1184</v>
      </c>
      <c r="P1237" s="860" t="e">
        <f>VLOOKUP(N1237,etat!$A$9:$N$1004,2,FALSE)</f>
        <v>#N/A</v>
      </c>
      <c r="Q1237" s="797" t="e">
        <f>VLOOKUP(N1237,etat!$A$9:$N$963,7,FALSE)</f>
        <v>#N/A</v>
      </c>
      <c r="R1237" s="905" t="e">
        <f>VLOOKUP(N1237,etat!$A$9:$N$1003,9,FALSE)</f>
        <v>#N/A</v>
      </c>
      <c r="T1237" s="755"/>
      <c r="U1237" s="791"/>
      <c r="V1237" s="784"/>
      <c r="W1237" s="784"/>
      <c r="X1237" s="784"/>
      <c r="Y1237" s="784"/>
      <c r="Z1237" s="965" t="str">
        <f>VLOOKUP(L1237,اس!$S$3:$X$31,3,FALSE)</f>
        <v>.</v>
      </c>
    </row>
    <row r="1238" spans="12:26" ht="18.75">
      <c r="L1238" s="777">
        <v>5</v>
      </c>
      <c r="M1238" s="906"/>
      <c r="N1238" s="976">
        <v>0</v>
      </c>
      <c r="O1238" s="1020">
        <v>1185</v>
      </c>
      <c r="P1238" s="860" t="e">
        <f>VLOOKUP(N1238,etat!$A$9:$N$1004,2,FALSE)</f>
        <v>#N/A</v>
      </c>
      <c r="Q1238" s="797" t="e">
        <f>VLOOKUP(N1238,etat!$A$9:$N$963,7,FALSE)</f>
        <v>#N/A</v>
      </c>
      <c r="R1238" s="905" t="e">
        <f>VLOOKUP(N1238,etat!$A$9:$N$1003,9,FALSE)</f>
        <v>#N/A</v>
      </c>
      <c r="T1238" s="755"/>
      <c r="U1238" s="791"/>
      <c r="V1238" s="784"/>
      <c r="W1238" s="784"/>
      <c r="X1238" s="784"/>
      <c r="Y1238" s="784"/>
      <c r="Z1238" s="965" t="str">
        <f>VLOOKUP(L1238,اس!$S$3:$X$31,3,FALSE)</f>
        <v>.</v>
      </c>
    </row>
    <row r="1239" spans="12:26" ht="18.75">
      <c r="L1239" s="777">
        <v>5</v>
      </c>
      <c r="M1239" s="906"/>
      <c r="N1239" s="976">
        <v>0</v>
      </c>
      <c r="O1239" s="1020">
        <v>1186</v>
      </c>
      <c r="P1239" s="860" t="e">
        <f>VLOOKUP(N1239,etat!$A$9:$N$1004,2,FALSE)</f>
        <v>#N/A</v>
      </c>
      <c r="Q1239" s="797" t="e">
        <f>VLOOKUP(N1239,etat!$A$9:$N$963,7,FALSE)</f>
        <v>#N/A</v>
      </c>
      <c r="R1239" s="905" t="e">
        <f>VLOOKUP(N1239,etat!$A$9:$N$1003,9,FALSE)</f>
        <v>#N/A</v>
      </c>
      <c r="T1239" s="755"/>
      <c r="U1239" s="791"/>
      <c r="V1239" s="784"/>
      <c r="W1239" s="784"/>
      <c r="X1239" s="784"/>
      <c r="Y1239" s="784"/>
      <c r="Z1239" s="965" t="str">
        <f>VLOOKUP(L1239,اس!$S$3:$X$31,3,FALSE)</f>
        <v>.</v>
      </c>
    </row>
    <row r="1240" spans="12:26" ht="18.75">
      <c r="L1240" s="777">
        <v>5</v>
      </c>
      <c r="M1240" s="906"/>
      <c r="N1240" s="976">
        <v>0</v>
      </c>
      <c r="O1240" s="1020">
        <v>1187</v>
      </c>
      <c r="P1240" s="860" t="e">
        <f>VLOOKUP(N1240,etat!$A$9:$N$1004,2,FALSE)</f>
        <v>#N/A</v>
      </c>
      <c r="Q1240" s="797" t="e">
        <f>VLOOKUP(N1240,etat!$A$9:$N$963,7,FALSE)</f>
        <v>#N/A</v>
      </c>
      <c r="R1240" s="905" t="e">
        <f>VLOOKUP(N1240,etat!$A$9:$N$1003,9,FALSE)</f>
        <v>#N/A</v>
      </c>
      <c r="T1240" s="755"/>
      <c r="U1240" s="791"/>
      <c r="V1240" s="784"/>
      <c r="W1240" s="784"/>
      <c r="X1240" s="784"/>
      <c r="Y1240" s="784"/>
      <c r="Z1240" s="965" t="str">
        <f>VLOOKUP(L1240,اس!$S$3:$X$31,3,FALSE)</f>
        <v>.</v>
      </c>
    </row>
    <row r="1241" spans="12:26" ht="18.75">
      <c r="L1241" s="777">
        <v>5</v>
      </c>
      <c r="M1241" s="906"/>
      <c r="N1241" s="976">
        <v>0</v>
      </c>
      <c r="O1241" s="1020">
        <v>1188</v>
      </c>
      <c r="P1241" s="860" t="e">
        <f>VLOOKUP(N1241,etat!$A$9:$N$1004,2,FALSE)</f>
        <v>#N/A</v>
      </c>
      <c r="Q1241" s="797" t="e">
        <f>VLOOKUP(N1241,etat!$A$9:$N$963,7,FALSE)</f>
        <v>#N/A</v>
      </c>
      <c r="R1241" s="905" t="e">
        <f>VLOOKUP(N1241,etat!$A$9:$N$1003,9,FALSE)</f>
        <v>#N/A</v>
      </c>
      <c r="T1241" s="755"/>
      <c r="U1241" s="791"/>
      <c r="V1241" s="784"/>
      <c r="W1241" s="784"/>
      <c r="X1241" s="784"/>
      <c r="Y1241" s="784"/>
      <c r="Z1241" s="965" t="str">
        <f>VLOOKUP(L1241,اس!$S$3:$X$31,3,FALSE)</f>
        <v>.</v>
      </c>
    </row>
    <row r="1242" spans="12:26" ht="18.75">
      <c r="L1242" s="777">
        <v>5</v>
      </c>
      <c r="M1242" s="906"/>
      <c r="N1242" s="976">
        <v>0</v>
      </c>
      <c r="O1242" s="1020">
        <v>1189</v>
      </c>
      <c r="P1242" s="860" t="e">
        <f>VLOOKUP(N1242,etat!$A$9:$N$1004,2,FALSE)</f>
        <v>#N/A</v>
      </c>
      <c r="Q1242" s="797" t="e">
        <f>VLOOKUP(N1242,etat!$A$9:$N$963,7,FALSE)</f>
        <v>#N/A</v>
      </c>
      <c r="R1242" s="905" t="e">
        <f>VLOOKUP(N1242,etat!$A$9:$N$1003,9,FALSE)</f>
        <v>#N/A</v>
      </c>
      <c r="T1242" s="755"/>
      <c r="U1242" s="791"/>
      <c r="V1242" s="784"/>
      <c r="W1242" s="784"/>
      <c r="X1242" s="784"/>
      <c r="Y1242" s="784"/>
      <c r="Z1242" s="965" t="str">
        <f>VLOOKUP(L1242,اس!$S$3:$X$31,3,FALSE)</f>
        <v>.</v>
      </c>
    </row>
    <row r="1243" spans="12:26" ht="18.75">
      <c r="L1243" s="777">
        <v>5</v>
      </c>
      <c r="M1243" s="906"/>
      <c r="N1243" s="976">
        <v>0</v>
      </c>
      <c r="O1243" s="1020">
        <v>1190</v>
      </c>
      <c r="P1243" s="860" t="e">
        <f>VLOOKUP(N1243,etat!$A$9:$N$1004,2,FALSE)</f>
        <v>#N/A</v>
      </c>
      <c r="Q1243" s="797" t="e">
        <f>VLOOKUP(N1243,etat!$A$9:$N$963,7,FALSE)</f>
        <v>#N/A</v>
      </c>
      <c r="R1243" s="905" t="e">
        <f>VLOOKUP(N1243,etat!$A$9:$N$1003,9,FALSE)</f>
        <v>#N/A</v>
      </c>
      <c r="T1243" s="755"/>
      <c r="U1243" s="791"/>
      <c r="V1243" s="784"/>
      <c r="W1243" s="784"/>
      <c r="X1243" s="784"/>
      <c r="Y1243" s="784"/>
      <c r="Z1243" s="965" t="str">
        <f>VLOOKUP(L1243,اس!$S$3:$X$31,3,FALSE)</f>
        <v>.</v>
      </c>
    </row>
    <row r="1244" spans="12:26" ht="18.75">
      <c r="L1244" s="777">
        <v>5</v>
      </c>
      <c r="M1244" s="906"/>
      <c r="N1244" s="976">
        <v>0</v>
      </c>
      <c r="O1244" s="1020">
        <v>1191</v>
      </c>
      <c r="P1244" s="860" t="e">
        <f>VLOOKUP(N1244,etat!$A$9:$N$1004,2,FALSE)</f>
        <v>#N/A</v>
      </c>
      <c r="Q1244" s="797" t="e">
        <f>VLOOKUP(N1244,etat!$A$9:$N$963,7,FALSE)</f>
        <v>#N/A</v>
      </c>
      <c r="R1244" s="905" t="e">
        <f>VLOOKUP(N1244,etat!$A$9:$N$1003,9,FALSE)</f>
        <v>#N/A</v>
      </c>
      <c r="T1244" s="755"/>
      <c r="U1244" s="791"/>
      <c r="V1244" s="784"/>
      <c r="W1244" s="784"/>
      <c r="X1244" s="784"/>
      <c r="Y1244" s="784"/>
      <c r="Z1244" s="965" t="str">
        <f>VLOOKUP(L1244,اس!$S$3:$X$31,3,FALSE)</f>
        <v>.</v>
      </c>
    </row>
    <row r="1245" spans="12:26" ht="18.75">
      <c r="L1245" s="777">
        <v>5</v>
      </c>
      <c r="M1245" s="906"/>
      <c r="N1245" s="976">
        <v>0</v>
      </c>
      <c r="O1245" s="1020">
        <v>1192</v>
      </c>
      <c r="P1245" s="860" t="e">
        <f>VLOOKUP(N1245,etat!$A$9:$N$1004,2,FALSE)</f>
        <v>#N/A</v>
      </c>
      <c r="Q1245" s="797" t="e">
        <f>VLOOKUP(N1245,etat!$A$9:$N$963,7,FALSE)</f>
        <v>#N/A</v>
      </c>
      <c r="R1245" s="905" t="e">
        <f>VLOOKUP(N1245,etat!$A$9:$N$1003,9,FALSE)</f>
        <v>#N/A</v>
      </c>
      <c r="T1245" s="755"/>
      <c r="U1245" s="791"/>
      <c r="V1245" s="784"/>
      <c r="W1245" s="784"/>
      <c r="X1245" s="784"/>
      <c r="Y1245" s="784"/>
      <c r="Z1245" s="965" t="str">
        <f>VLOOKUP(L1245,اس!$S$3:$X$31,3,FALSE)</f>
        <v>.</v>
      </c>
    </row>
    <row r="1246" spans="12:26" ht="18.75">
      <c r="L1246" s="777">
        <v>5</v>
      </c>
      <c r="M1246" s="906"/>
      <c r="N1246" s="976">
        <v>0</v>
      </c>
      <c r="O1246" s="1020">
        <v>1193</v>
      </c>
      <c r="P1246" s="860" t="e">
        <f>VLOOKUP(N1246,etat!$A$9:$N$1004,2,FALSE)</f>
        <v>#N/A</v>
      </c>
      <c r="Q1246" s="797" t="e">
        <f>VLOOKUP(N1246,etat!$A$9:$N$963,7,FALSE)</f>
        <v>#N/A</v>
      </c>
      <c r="R1246" s="905" t="e">
        <f>VLOOKUP(N1246,etat!$A$9:$N$1003,9,FALSE)</f>
        <v>#N/A</v>
      </c>
      <c r="T1246" s="755"/>
      <c r="U1246" s="791"/>
      <c r="V1246" s="784"/>
      <c r="W1246" s="784"/>
      <c r="X1246" s="784"/>
      <c r="Y1246" s="784"/>
      <c r="Z1246" s="965" t="str">
        <f>VLOOKUP(L1246,اس!$S$3:$X$31,3,FALSE)</f>
        <v>.</v>
      </c>
    </row>
    <row r="1247" spans="12:26" ht="18.75">
      <c r="L1247" s="777">
        <v>5</v>
      </c>
      <c r="M1247" s="906"/>
      <c r="N1247" s="976">
        <v>0</v>
      </c>
      <c r="O1247" s="1020">
        <v>1194</v>
      </c>
      <c r="P1247" s="860" t="e">
        <f>VLOOKUP(N1247,etat!$A$9:$N$1004,2,FALSE)</f>
        <v>#N/A</v>
      </c>
      <c r="Q1247" s="797" t="e">
        <f>VLOOKUP(N1247,etat!$A$9:$N$963,7,FALSE)</f>
        <v>#N/A</v>
      </c>
      <c r="R1247" s="905" t="e">
        <f>VLOOKUP(N1247,etat!$A$9:$N$1003,9,FALSE)</f>
        <v>#N/A</v>
      </c>
      <c r="T1247" s="755"/>
      <c r="U1247" s="791"/>
      <c r="V1247" s="784"/>
      <c r="W1247" s="784"/>
      <c r="X1247" s="784"/>
      <c r="Y1247" s="784"/>
      <c r="Z1247" s="965" t="str">
        <f>VLOOKUP(L1247,اس!$S$3:$X$31,3,FALSE)</f>
        <v>.</v>
      </c>
    </row>
    <row r="1248" spans="12:26" ht="18.75">
      <c r="L1248" s="777">
        <v>5</v>
      </c>
      <c r="M1248" s="906"/>
      <c r="N1248" s="976">
        <v>0</v>
      </c>
      <c r="O1248" s="1020">
        <v>1195</v>
      </c>
      <c r="P1248" s="860" t="e">
        <f>VLOOKUP(N1248,etat!$A$9:$N$1004,2,FALSE)</f>
        <v>#N/A</v>
      </c>
      <c r="Q1248" s="797" t="e">
        <f>VLOOKUP(N1248,etat!$A$9:$N$963,7,FALSE)</f>
        <v>#N/A</v>
      </c>
      <c r="R1248" s="905" t="e">
        <f>VLOOKUP(N1248,etat!$A$9:$N$1003,9,FALSE)</f>
        <v>#N/A</v>
      </c>
      <c r="T1248" s="755"/>
      <c r="U1248" s="791"/>
      <c r="V1248" s="784"/>
      <c r="W1248" s="784"/>
      <c r="X1248" s="784"/>
      <c r="Y1248" s="784"/>
      <c r="Z1248" s="965" t="str">
        <f>VLOOKUP(L1248,اس!$S$3:$X$31,3,FALSE)</f>
        <v>.</v>
      </c>
    </row>
    <row r="1249" spans="12:26" ht="18.75">
      <c r="L1249" s="777">
        <v>5</v>
      </c>
      <c r="M1249" s="906"/>
      <c r="N1249" s="976">
        <v>0</v>
      </c>
      <c r="O1249" s="1020">
        <v>1196</v>
      </c>
      <c r="P1249" s="860" t="e">
        <f>VLOOKUP(N1249,etat!$A$9:$N$1004,2,FALSE)</f>
        <v>#N/A</v>
      </c>
      <c r="Q1249" s="797" t="e">
        <f>VLOOKUP(N1249,etat!$A$9:$N$963,7,FALSE)</f>
        <v>#N/A</v>
      </c>
      <c r="R1249" s="905" t="e">
        <f>VLOOKUP(N1249,etat!$A$9:$N$1003,9,FALSE)</f>
        <v>#N/A</v>
      </c>
      <c r="T1249" s="755"/>
      <c r="U1249" s="791"/>
      <c r="V1249" s="784"/>
      <c r="W1249" s="784"/>
      <c r="X1249" s="784"/>
      <c r="Y1249" s="784"/>
      <c r="Z1249" s="965" t="str">
        <f>VLOOKUP(L1249,اس!$S$3:$X$31,3,FALSE)</f>
        <v>.</v>
      </c>
    </row>
    <row r="1250" spans="12:26" ht="18.75">
      <c r="L1250" s="777">
        <v>5</v>
      </c>
      <c r="M1250" s="906"/>
      <c r="N1250" s="976">
        <v>0</v>
      </c>
      <c r="O1250" s="1020">
        <v>1197</v>
      </c>
      <c r="P1250" s="860" t="e">
        <f>VLOOKUP(N1250,etat!$A$9:$N$1004,2,FALSE)</f>
        <v>#N/A</v>
      </c>
      <c r="Q1250" s="797" t="e">
        <f>VLOOKUP(N1250,etat!$A$9:$N$963,7,FALSE)</f>
        <v>#N/A</v>
      </c>
      <c r="R1250" s="905" t="e">
        <f>VLOOKUP(N1250,etat!$A$9:$N$1003,9,FALSE)</f>
        <v>#N/A</v>
      </c>
      <c r="T1250" s="755"/>
      <c r="U1250" s="791"/>
      <c r="V1250" s="784"/>
      <c r="W1250" s="784"/>
      <c r="X1250" s="784"/>
      <c r="Y1250" s="784"/>
      <c r="Z1250" s="965" t="str">
        <f>VLOOKUP(L1250,اس!$S$3:$X$31,3,FALSE)</f>
        <v>.</v>
      </c>
    </row>
    <row r="1251" spans="12:26" ht="18.75">
      <c r="L1251" s="777">
        <v>5</v>
      </c>
      <c r="M1251" s="906"/>
      <c r="N1251" s="976">
        <v>0</v>
      </c>
      <c r="O1251" s="1020">
        <v>1198</v>
      </c>
      <c r="P1251" s="860" t="e">
        <f>VLOOKUP(N1251,etat!$A$9:$N$1004,2,FALSE)</f>
        <v>#N/A</v>
      </c>
      <c r="Q1251" s="797" t="e">
        <f>VLOOKUP(N1251,etat!$A$9:$N$963,7,FALSE)</f>
        <v>#N/A</v>
      </c>
      <c r="R1251" s="905" t="e">
        <f>VLOOKUP(N1251,etat!$A$9:$N$1003,9,FALSE)</f>
        <v>#N/A</v>
      </c>
      <c r="T1251" s="755"/>
      <c r="U1251" s="791"/>
      <c r="V1251" s="784"/>
      <c r="W1251" s="784"/>
      <c r="X1251" s="784"/>
      <c r="Y1251" s="784"/>
      <c r="Z1251" s="965" t="str">
        <f>VLOOKUP(L1251,اس!$S$3:$X$31,3,FALSE)</f>
        <v>.</v>
      </c>
    </row>
    <row r="1252" spans="12:26" ht="18.75">
      <c r="L1252" s="777">
        <v>5</v>
      </c>
      <c r="M1252" s="906"/>
      <c r="N1252" s="976">
        <v>0</v>
      </c>
      <c r="O1252" s="1020">
        <v>1199</v>
      </c>
      <c r="P1252" s="860" t="e">
        <f>VLOOKUP(N1252,etat!$A$9:$N$1004,2,FALSE)</f>
        <v>#N/A</v>
      </c>
      <c r="Q1252" s="797" t="e">
        <f>VLOOKUP(N1252,etat!$A$9:$N$963,7,FALSE)</f>
        <v>#N/A</v>
      </c>
      <c r="R1252" s="905" t="e">
        <f>VLOOKUP(N1252,etat!$A$9:$N$1003,9,FALSE)</f>
        <v>#N/A</v>
      </c>
      <c r="T1252" s="755"/>
      <c r="U1252" s="791"/>
      <c r="V1252" s="784"/>
      <c r="W1252" s="784"/>
      <c r="X1252" s="784"/>
      <c r="Y1252" s="784"/>
      <c r="Z1252" s="965" t="str">
        <f>VLOOKUP(L1252,اس!$S$3:$X$31,3,FALSE)</f>
        <v>.</v>
      </c>
    </row>
    <row r="1253" spans="12:26" ht="18.75">
      <c r="L1253" s="777">
        <v>5</v>
      </c>
      <c r="M1253" s="906"/>
      <c r="N1253" s="976">
        <v>0</v>
      </c>
      <c r="O1253" s="1020">
        <v>1200</v>
      </c>
      <c r="P1253" s="860" t="e">
        <f>VLOOKUP(N1253,etat!$A$9:$N$1004,2,FALSE)</f>
        <v>#N/A</v>
      </c>
      <c r="Q1253" s="797" t="e">
        <f>VLOOKUP(N1253,etat!$A$9:$N$963,7,FALSE)</f>
        <v>#N/A</v>
      </c>
      <c r="R1253" s="905" t="e">
        <f>VLOOKUP(N1253,etat!$A$9:$N$1003,9,FALSE)</f>
        <v>#N/A</v>
      </c>
      <c r="T1253" s="755"/>
      <c r="U1253" s="791"/>
      <c r="V1253" s="784"/>
      <c r="W1253" s="784"/>
      <c r="X1253" s="784"/>
      <c r="Y1253" s="784"/>
      <c r="Z1253" s="965" t="str">
        <f>VLOOKUP(L1253,اس!$S$3:$X$31,3,FALSE)</f>
        <v>.</v>
      </c>
    </row>
    <row r="1254" spans="12:26" ht="18.75">
      <c r="L1254" s="777">
        <v>5</v>
      </c>
      <c r="M1254" s="906"/>
      <c r="N1254" s="976">
        <v>0</v>
      </c>
      <c r="O1254" s="1020">
        <v>1201</v>
      </c>
      <c r="P1254" s="860" t="e">
        <f>VLOOKUP(N1254,etat!$A$9:$N$1004,2,FALSE)</f>
        <v>#N/A</v>
      </c>
      <c r="Q1254" s="797" t="e">
        <f>VLOOKUP(N1254,etat!$A$9:$N$963,7,FALSE)</f>
        <v>#N/A</v>
      </c>
      <c r="R1254" s="905" t="e">
        <f>VLOOKUP(N1254,etat!$A$9:$N$1003,9,FALSE)</f>
        <v>#N/A</v>
      </c>
      <c r="T1254" s="755"/>
      <c r="U1254" s="791"/>
      <c r="V1254" s="784"/>
      <c r="W1254" s="784"/>
      <c r="X1254" s="784"/>
      <c r="Y1254" s="784"/>
      <c r="Z1254" s="965" t="str">
        <f>VLOOKUP(L1254,اس!$S$3:$X$31,3,FALSE)</f>
        <v>.</v>
      </c>
    </row>
    <row r="1255" spans="12:26" ht="18.75">
      <c r="L1255" s="777">
        <v>5</v>
      </c>
      <c r="M1255" s="906"/>
      <c r="N1255" s="976">
        <v>0</v>
      </c>
      <c r="O1255" s="1020">
        <v>1202</v>
      </c>
      <c r="P1255" s="860" t="e">
        <f>VLOOKUP(N1255,etat!$A$9:$N$1004,2,FALSE)</f>
        <v>#N/A</v>
      </c>
      <c r="Q1255" s="797" t="e">
        <f>VLOOKUP(N1255,etat!$A$9:$N$963,7,FALSE)</f>
        <v>#N/A</v>
      </c>
      <c r="R1255" s="905" t="e">
        <f>VLOOKUP(N1255,etat!$A$9:$N$1003,9,FALSE)</f>
        <v>#N/A</v>
      </c>
      <c r="T1255" s="755"/>
      <c r="U1255" s="791"/>
      <c r="V1255" s="784"/>
      <c r="W1255" s="784"/>
      <c r="X1255" s="784"/>
      <c r="Y1255" s="784"/>
      <c r="Z1255" s="965" t="str">
        <f>VLOOKUP(L1255,اس!$S$3:$X$31,3,FALSE)</f>
        <v>.</v>
      </c>
    </row>
    <row r="1256" spans="12:26" ht="18.75">
      <c r="L1256" s="777">
        <v>5</v>
      </c>
      <c r="M1256" s="906"/>
      <c r="N1256" s="976">
        <v>0</v>
      </c>
      <c r="O1256" s="1020">
        <v>1203</v>
      </c>
      <c r="P1256" s="860" t="e">
        <f>VLOOKUP(N1256,etat!$A$9:$N$1004,2,FALSE)</f>
        <v>#N/A</v>
      </c>
      <c r="Q1256" s="797" t="e">
        <f>VLOOKUP(N1256,etat!$A$9:$N$963,7,FALSE)</f>
        <v>#N/A</v>
      </c>
      <c r="R1256" s="905" t="e">
        <f>VLOOKUP(N1256,etat!$A$9:$N$1003,9,FALSE)</f>
        <v>#N/A</v>
      </c>
      <c r="T1256" s="755"/>
      <c r="U1256" s="791"/>
      <c r="V1256" s="784"/>
      <c r="W1256" s="784"/>
      <c r="X1256" s="784"/>
      <c r="Y1256" s="784"/>
      <c r="Z1256" s="965" t="str">
        <f>VLOOKUP(L1256,اس!$S$3:$X$31,3,FALSE)</f>
        <v>.</v>
      </c>
    </row>
    <row r="1257" spans="12:26" ht="18.75">
      <c r="L1257" s="777">
        <v>5</v>
      </c>
      <c r="M1257" s="906"/>
      <c r="N1257" s="976">
        <v>0</v>
      </c>
      <c r="O1257" s="1020">
        <v>1204</v>
      </c>
      <c r="P1257" s="860" t="e">
        <f>VLOOKUP(N1257,etat!$A$9:$N$1004,2,FALSE)</f>
        <v>#N/A</v>
      </c>
      <c r="Q1257" s="797" t="e">
        <f>VLOOKUP(N1257,etat!$A$9:$N$963,7,FALSE)</f>
        <v>#N/A</v>
      </c>
      <c r="R1257" s="905" t="e">
        <f>VLOOKUP(N1257,etat!$A$9:$N$1003,9,FALSE)</f>
        <v>#N/A</v>
      </c>
      <c r="T1257" s="755"/>
      <c r="U1257" s="791"/>
      <c r="V1257" s="784"/>
      <c r="W1257" s="784"/>
      <c r="X1257" s="784"/>
      <c r="Y1257" s="784"/>
      <c r="Z1257" s="965" t="str">
        <f>VLOOKUP(L1257,اس!$S$3:$X$31,3,FALSE)</f>
        <v>.</v>
      </c>
    </row>
    <row r="1258" spans="12:26" ht="18.75">
      <c r="L1258" s="777">
        <v>5</v>
      </c>
      <c r="M1258" s="906"/>
      <c r="N1258" s="976">
        <v>0</v>
      </c>
      <c r="O1258" s="1020">
        <v>1205</v>
      </c>
      <c r="P1258" s="860" t="e">
        <f>VLOOKUP(N1258,etat!$A$9:$N$1004,2,FALSE)</f>
        <v>#N/A</v>
      </c>
      <c r="Q1258" s="797" t="e">
        <f>VLOOKUP(N1258,etat!$A$9:$N$963,7,FALSE)</f>
        <v>#N/A</v>
      </c>
      <c r="R1258" s="905" t="e">
        <f>VLOOKUP(N1258,etat!$A$9:$N$1003,9,FALSE)</f>
        <v>#N/A</v>
      </c>
      <c r="T1258" s="755"/>
      <c r="U1258" s="791"/>
      <c r="V1258" s="784"/>
      <c r="W1258" s="784"/>
      <c r="X1258" s="784"/>
      <c r="Y1258" s="784"/>
      <c r="Z1258" s="965" t="str">
        <f>VLOOKUP(L1258,اس!$S$3:$X$31,3,FALSE)</f>
        <v>.</v>
      </c>
    </row>
    <row r="1259" spans="12:26" ht="18.75">
      <c r="L1259" s="777">
        <v>5</v>
      </c>
      <c r="M1259" s="906"/>
      <c r="N1259" s="976">
        <v>0</v>
      </c>
      <c r="O1259" s="1020">
        <v>1206</v>
      </c>
      <c r="P1259" s="860" t="e">
        <f>VLOOKUP(N1259,etat!$A$9:$N$1004,2,FALSE)</f>
        <v>#N/A</v>
      </c>
      <c r="Q1259" s="797" t="e">
        <f>VLOOKUP(N1259,etat!$A$9:$N$963,7,FALSE)</f>
        <v>#N/A</v>
      </c>
      <c r="R1259" s="905" t="e">
        <f>VLOOKUP(N1259,etat!$A$9:$N$1003,9,FALSE)</f>
        <v>#N/A</v>
      </c>
      <c r="T1259" s="755"/>
      <c r="U1259" s="791"/>
      <c r="V1259" s="784"/>
      <c r="W1259" s="784"/>
      <c r="X1259" s="784"/>
      <c r="Y1259" s="784"/>
      <c r="Z1259" s="965" t="str">
        <f>VLOOKUP(L1259,اس!$S$3:$X$31,3,FALSE)</f>
        <v>.</v>
      </c>
    </row>
    <row r="1260" spans="12:26" ht="18.75">
      <c r="L1260" s="777">
        <v>5</v>
      </c>
      <c r="M1260" s="906"/>
      <c r="N1260" s="976">
        <v>0</v>
      </c>
      <c r="O1260" s="1020">
        <v>1207</v>
      </c>
      <c r="P1260" s="860" t="e">
        <f>VLOOKUP(N1260,etat!$A$9:$N$1004,2,FALSE)</f>
        <v>#N/A</v>
      </c>
      <c r="Q1260" s="797" t="e">
        <f>VLOOKUP(N1260,etat!$A$9:$N$963,7,FALSE)</f>
        <v>#N/A</v>
      </c>
      <c r="R1260" s="905" t="e">
        <f>VLOOKUP(N1260,etat!$A$9:$N$1003,9,FALSE)</f>
        <v>#N/A</v>
      </c>
      <c r="T1260" s="755"/>
      <c r="U1260" s="791"/>
      <c r="V1260" s="784"/>
      <c r="W1260" s="784"/>
      <c r="X1260" s="784"/>
      <c r="Y1260" s="784"/>
      <c r="Z1260" s="965" t="str">
        <f>VLOOKUP(L1260,اس!$S$3:$X$31,3,FALSE)</f>
        <v>.</v>
      </c>
    </row>
    <row r="1261" spans="12:26" ht="18.75">
      <c r="L1261" s="777">
        <v>5</v>
      </c>
      <c r="M1261" s="906"/>
      <c r="N1261" s="976">
        <v>0</v>
      </c>
      <c r="O1261" s="1020">
        <v>1208</v>
      </c>
      <c r="P1261" s="860" t="e">
        <f>VLOOKUP(N1261,etat!$A$9:$N$1004,2,FALSE)</f>
        <v>#N/A</v>
      </c>
      <c r="Q1261" s="797" t="e">
        <f>VLOOKUP(N1261,etat!$A$9:$N$963,7,FALSE)</f>
        <v>#N/A</v>
      </c>
      <c r="R1261" s="905" t="e">
        <f>VLOOKUP(N1261,etat!$A$9:$N$1003,9,FALSE)</f>
        <v>#N/A</v>
      </c>
      <c r="T1261" s="755"/>
      <c r="U1261" s="791"/>
      <c r="V1261" s="784"/>
      <c r="W1261" s="784"/>
      <c r="X1261" s="784"/>
      <c r="Y1261" s="784"/>
      <c r="Z1261" s="965" t="str">
        <f>VLOOKUP(L1261,اس!$S$3:$X$31,3,FALSE)</f>
        <v>.</v>
      </c>
    </row>
    <row r="1262" spans="12:26" ht="18.75">
      <c r="L1262" s="777">
        <v>5</v>
      </c>
      <c r="M1262" s="906"/>
      <c r="N1262" s="976">
        <v>0</v>
      </c>
      <c r="O1262" s="1020">
        <v>1209</v>
      </c>
      <c r="P1262" s="860" t="e">
        <f>VLOOKUP(N1262,etat!$A$9:$N$1004,2,FALSE)</f>
        <v>#N/A</v>
      </c>
      <c r="Q1262" s="797" t="e">
        <f>VLOOKUP(N1262,etat!$A$9:$N$963,7,FALSE)</f>
        <v>#N/A</v>
      </c>
      <c r="R1262" s="905" t="e">
        <f>VLOOKUP(N1262,etat!$A$9:$N$1003,9,FALSE)</f>
        <v>#N/A</v>
      </c>
      <c r="T1262" s="755"/>
      <c r="U1262" s="791"/>
      <c r="V1262" s="784"/>
      <c r="W1262" s="784"/>
      <c r="X1262" s="784"/>
      <c r="Y1262" s="784"/>
      <c r="Z1262" s="965" t="str">
        <f>VLOOKUP(L1262,اس!$S$3:$X$31,3,FALSE)</f>
        <v>.</v>
      </c>
    </row>
    <row r="1263" spans="12:26" ht="18.75">
      <c r="L1263" s="777">
        <v>5</v>
      </c>
      <c r="M1263" s="906"/>
      <c r="N1263" s="976">
        <v>0</v>
      </c>
      <c r="O1263" s="1020">
        <v>1210</v>
      </c>
      <c r="P1263" s="860" t="e">
        <f>VLOOKUP(N1263,etat!$A$9:$N$1004,2,FALSE)</f>
        <v>#N/A</v>
      </c>
      <c r="Q1263" s="797" t="e">
        <f>VLOOKUP(N1263,etat!$A$9:$N$963,7,FALSE)</f>
        <v>#N/A</v>
      </c>
      <c r="R1263" s="905" t="e">
        <f>VLOOKUP(N1263,etat!$A$9:$N$1003,9,FALSE)</f>
        <v>#N/A</v>
      </c>
      <c r="T1263" s="755"/>
      <c r="U1263" s="791"/>
      <c r="V1263" s="784"/>
      <c r="W1263" s="784"/>
      <c r="X1263" s="784"/>
      <c r="Y1263" s="784"/>
      <c r="Z1263" s="965" t="str">
        <f>VLOOKUP(L1263,اس!$S$3:$X$31,3,FALSE)</f>
        <v>.</v>
      </c>
    </row>
    <row r="1264" spans="12:26" ht="18.75">
      <c r="L1264" s="777">
        <v>5</v>
      </c>
      <c r="M1264" s="906"/>
      <c r="N1264" s="976">
        <v>0</v>
      </c>
      <c r="O1264" s="1020">
        <v>1211</v>
      </c>
      <c r="P1264" s="860" t="e">
        <f>VLOOKUP(N1264,etat!$A$9:$N$1004,2,FALSE)</f>
        <v>#N/A</v>
      </c>
      <c r="Q1264" s="797" t="e">
        <f>VLOOKUP(N1264,etat!$A$9:$N$963,7,FALSE)</f>
        <v>#N/A</v>
      </c>
      <c r="R1264" s="905" t="e">
        <f>VLOOKUP(N1264,etat!$A$9:$N$1003,9,FALSE)</f>
        <v>#N/A</v>
      </c>
      <c r="T1264" s="755"/>
      <c r="U1264" s="791"/>
      <c r="V1264" s="784"/>
      <c r="W1264" s="784"/>
      <c r="X1264" s="784"/>
      <c r="Y1264" s="784"/>
      <c r="Z1264" s="965" t="str">
        <f>VLOOKUP(L1264,اس!$S$3:$X$31,3,FALSE)</f>
        <v>.</v>
      </c>
    </row>
    <row r="1265" spans="12:26" ht="18.75">
      <c r="L1265" s="777">
        <v>5</v>
      </c>
      <c r="M1265" s="906"/>
      <c r="N1265" s="976">
        <v>0</v>
      </c>
      <c r="O1265" s="1020">
        <v>1212</v>
      </c>
      <c r="P1265" s="860" t="e">
        <f>VLOOKUP(N1265,etat!$A$9:$N$1004,2,FALSE)</f>
        <v>#N/A</v>
      </c>
      <c r="Q1265" s="797" t="e">
        <f>VLOOKUP(N1265,etat!$A$9:$N$963,7,FALSE)</f>
        <v>#N/A</v>
      </c>
      <c r="R1265" s="905" t="e">
        <f>VLOOKUP(N1265,etat!$A$9:$N$1003,9,FALSE)</f>
        <v>#N/A</v>
      </c>
      <c r="T1265" s="755"/>
      <c r="U1265" s="791"/>
      <c r="V1265" s="784"/>
      <c r="W1265" s="784"/>
      <c r="X1265" s="784"/>
      <c r="Y1265" s="784"/>
      <c r="Z1265" s="965" t="str">
        <f>VLOOKUP(L1265,اس!$S$3:$X$31,3,FALSE)</f>
        <v>.</v>
      </c>
    </row>
    <row r="1266" spans="12:26" ht="18.75">
      <c r="L1266" s="777">
        <v>5</v>
      </c>
      <c r="M1266" s="906"/>
      <c r="N1266" s="976">
        <v>0</v>
      </c>
      <c r="O1266" s="1020">
        <v>1213</v>
      </c>
      <c r="P1266" s="860" t="e">
        <f>VLOOKUP(N1266,etat!$A$9:$N$1004,2,FALSE)</f>
        <v>#N/A</v>
      </c>
      <c r="Q1266" s="797" t="e">
        <f>VLOOKUP(N1266,etat!$A$9:$N$963,7,FALSE)</f>
        <v>#N/A</v>
      </c>
      <c r="R1266" s="905" t="e">
        <f>VLOOKUP(N1266,etat!$A$9:$N$1003,9,FALSE)</f>
        <v>#N/A</v>
      </c>
      <c r="T1266" s="755"/>
      <c r="U1266" s="791"/>
      <c r="V1266" s="784"/>
      <c r="W1266" s="784"/>
      <c r="X1266" s="784"/>
      <c r="Y1266" s="784"/>
      <c r="Z1266" s="965" t="str">
        <f>VLOOKUP(L1266,اس!$S$3:$X$31,3,FALSE)</f>
        <v>.</v>
      </c>
    </row>
    <row r="1267" spans="12:26" ht="18.75">
      <c r="L1267" s="777">
        <v>5</v>
      </c>
      <c r="M1267" s="906"/>
      <c r="N1267" s="976">
        <v>0</v>
      </c>
      <c r="O1267" s="1020">
        <v>1214</v>
      </c>
      <c r="P1267" s="860" t="e">
        <f>VLOOKUP(N1267,etat!$A$9:$N$1004,2,FALSE)</f>
        <v>#N/A</v>
      </c>
      <c r="Q1267" s="797" t="e">
        <f>VLOOKUP(N1267,etat!$A$9:$N$963,7,FALSE)</f>
        <v>#N/A</v>
      </c>
      <c r="R1267" s="905" t="e">
        <f>VLOOKUP(N1267,etat!$A$9:$N$1003,9,FALSE)</f>
        <v>#N/A</v>
      </c>
      <c r="T1267" s="755"/>
      <c r="U1267" s="791"/>
      <c r="V1267" s="784"/>
      <c r="W1267" s="784"/>
      <c r="X1267" s="784"/>
      <c r="Y1267" s="784"/>
      <c r="Z1267" s="965" t="str">
        <f>VLOOKUP(L1267,اس!$S$3:$X$31,3,FALSE)</f>
        <v>.</v>
      </c>
    </row>
    <row r="1268" spans="12:26" ht="18.75">
      <c r="L1268" s="777">
        <v>5</v>
      </c>
      <c r="M1268" s="906"/>
      <c r="N1268" s="976">
        <v>0</v>
      </c>
      <c r="O1268" s="1020">
        <v>1215</v>
      </c>
      <c r="P1268" s="860" t="e">
        <f>VLOOKUP(N1268,etat!$A$9:$N$1004,2,FALSE)</f>
        <v>#N/A</v>
      </c>
      <c r="Q1268" s="797" t="e">
        <f>VLOOKUP(N1268,etat!$A$9:$N$963,7,FALSE)</f>
        <v>#N/A</v>
      </c>
      <c r="R1268" s="905" t="e">
        <f>VLOOKUP(N1268,etat!$A$9:$N$1003,9,FALSE)</f>
        <v>#N/A</v>
      </c>
      <c r="T1268" s="755"/>
      <c r="U1268" s="791"/>
      <c r="V1268" s="784"/>
      <c r="W1268" s="784"/>
      <c r="X1268" s="784"/>
      <c r="Y1268" s="784"/>
      <c r="Z1268" s="965" t="str">
        <f>VLOOKUP(L1268,اس!$S$3:$X$31,3,FALSE)</f>
        <v>.</v>
      </c>
    </row>
    <row r="1269" spans="12:26" ht="18.75">
      <c r="L1269" s="777">
        <v>5</v>
      </c>
      <c r="M1269" s="906"/>
      <c r="N1269" s="976">
        <v>0</v>
      </c>
      <c r="O1269" s="1020">
        <v>1216</v>
      </c>
      <c r="P1269" s="860" t="e">
        <f>VLOOKUP(N1269,etat!$A$9:$N$1004,2,FALSE)</f>
        <v>#N/A</v>
      </c>
      <c r="Q1269" s="797" t="e">
        <f>VLOOKUP(N1269,etat!$A$9:$N$963,7,FALSE)</f>
        <v>#N/A</v>
      </c>
      <c r="R1269" s="905" t="e">
        <f>VLOOKUP(N1269,etat!$A$9:$N$1003,9,FALSE)</f>
        <v>#N/A</v>
      </c>
      <c r="T1269" s="755"/>
      <c r="U1269" s="791"/>
      <c r="V1269" s="784"/>
      <c r="W1269" s="784"/>
      <c r="X1269" s="784"/>
      <c r="Y1269" s="784"/>
      <c r="Z1269" s="965" t="str">
        <f>VLOOKUP(L1269,اس!$S$3:$X$31,3,FALSE)</f>
        <v>.</v>
      </c>
    </row>
    <row r="1270" spans="12:26" ht="18.75">
      <c r="L1270" s="777">
        <v>5</v>
      </c>
      <c r="M1270" s="906"/>
      <c r="N1270" s="976">
        <v>0</v>
      </c>
      <c r="O1270" s="1020">
        <v>1217</v>
      </c>
      <c r="P1270" s="860" t="e">
        <f>VLOOKUP(N1270,etat!$A$9:$N$1004,2,FALSE)</f>
        <v>#N/A</v>
      </c>
      <c r="Q1270" s="797" t="e">
        <f>VLOOKUP(N1270,etat!$A$9:$N$963,7,FALSE)</f>
        <v>#N/A</v>
      </c>
      <c r="R1270" s="905" t="e">
        <f>VLOOKUP(N1270,etat!$A$9:$N$1003,9,FALSE)</f>
        <v>#N/A</v>
      </c>
      <c r="T1270" s="755"/>
      <c r="U1270" s="791"/>
      <c r="V1270" s="784"/>
      <c r="W1270" s="784"/>
      <c r="X1270" s="784"/>
      <c r="Y1270" s="784"/>
      <c r="Z1270" s="965" t="str">
        <f>VLOOKUP(L1270,اس!$S$3:$X$31,3,FALSE)</f>
        <v>.</v>
      </c>
    </row>
    <row r="1271" spans="12:26" ht="18.75">
      <c r="L1271" s="777">
        <v>5</v>
      </c>
      <c r="M1271" s="906"/>
      <c r="N1271" s="976">
        <v>0</v>
      </c>
      <c r="O1271" s="1020">
        <v>1218</v>
      </c>
      <c r="P1271" s="860" t="e">
        <f>VLOOKUP(N1271,etat!$A$9:$N$1004,2,FALSE)</f>
        <v>#N/A</v>
      </c>
      <c r="Q1271" s="797" t="e">
        <f>VLOOKUP(N1271,etat!$A$9:$N$963,7,FALSE)</f>
        <v>#N/A</v>
      </c>
      <c r="R1271" s="905" t="e">
        <f>VLOOKUP(N1271,etat!$A$9:$N$1003,9,FALSE)</f>
        <v>#N/A</v>
      </c>
      <c r="T1271" s="755"/>
      <c r="U1271" s="791"/>
      <c r="V1271" s="784"/>
      <c r="W1271" s="784"/>
      <c r="X1271" s="784"/>
      <c r="Y1271" s="784"/>
      <c r="Z1271" s="965" t="str">
        <f>VLOOKUP(L1271,اس!$S$3:$X$31,3,FALSE)</f>
        <v>.</v>
      </c>
    </row>
    <row r="1272" spans="12:26" ht="18.75">
      <c r="L1272" s="777">
        <v>5</v>
      </c>
      <c r="M1272" s="906"/>
      <c r="N1272" s="976">
        <v>0</v>
      </c>
      <c r="O1272" s="1020">
        <v>1219</v>
      </c>
      <c r="P1272" s="860" t="e">
        <f>VLOOKUP(N1272,etat!$A$9:$N$1004,2,FALSE)</f>
        <v>#N/A</v>
      </c>
      <c r="Q1272" s="797" t="e">
        <f>VLOOKUP(N1272,etat!$A$9:$N$963,7,FALSE)</f>
        <v>#N/A</v>
      </c>
      <c r="R1272" s="905" t="e">
        <f>VLOOKUP(N1272,etat!$A$9:$N$1003,9,FALSE)</f>
        <v>#N/A</v>
      </c>
      <c r="T1272" s="755"/>
      <c r="U1272" s="791"/>
      <c r="V1272" s="784"/>
      <c r="W1272" s="784"/>
      <c r="X1272" s="784"/>
      <c r="Y1272" s="784"/>
      <c r="Z1272" s="965" t="str">
        <f>VLOOKUP(L1272,اس!$S$3:$X$31,3,FALSE)</f>
        <v>.</v>
      </c>
    </row>
    <row r="1273" spans="12:26" ht="18.75">
      <c r="L1273" s="777">
        <v>5</v>
      </c>
      <c r="M1273" s="906"/>
      <c r="N1273" s="976">
        <v>0</v>
      </c>
      <c r="O1273" s="1020">
        <v>1220</v>
      </c>
      <c r="P1273" s="860" t="e">
        <f>VLOOKUP(N1273,etat!$A$9:$N$1004,2,FALSE)</f>
        <v>#N/A</v>
      </c>
      <c r="Q1273" s="797" t="e">
        <f>VLOOKUP(N1273,etat!$A$9:$N$963,7,FALSE)</f>
        <v>#N/A</v>
      </c>
      <c r="R1273" s="905" t="e">
        <f>VLOOKUP(N1273,etat!$A$9:$N$1003,9,FALSE)</f>
        <v>#N/A</v>
      </c>
      <c r="T1273" s="755"/>
      <c r="U1273" s="791"/>
      <c r="V1273" s="784"/>
      <c r="W1273" s="784"/>
      <c r="X1273" s="784"/>
      <c r="Y1273" s="784"/>
      <c r="Z1273" s="965" t="str">
        <f>VLOOKUP(L1273,اس!$S$3:$X$31,3,FALSE)</f>
        <v>.</v>
      </c>
    </row>
    <row r="1274" spans="12:26" ht="18.75">
      <c r="L1274" s="777">
        <v>5</v>
      </c>
      <c r="M1274" s="906"/>
      <c r="N1274" s="976">
        <v>0</v>
      </c>
      <c r="O1274" s="1020">
        <v>1221</v>
      </c>
      <c r="P1274" s="860" t="e">
        <f>VLOOKUP(N1274,etat!$A$9:$N$1004,2,FALSE)</f>
        <v>#N/A</v>
      </c>
      <c r="Q1274" s="797" t="e">
        <f>VLOOKUP(N1274,etat!$A$9:$N$963,7,FALSE)</f>
        <v>#N/A</v>
      </c>
      <c r="R1274" s="905" t="e">
        <f>VLOOKUP(N1274,etat!$A$9:$N$1003,9,FALSE)</f>
        <v>#N/A</v>
      </c>
      <c r="T1274" s="755"/>
      <c r="U1274" s="791"/>
      <c r="V1274" s="784"/>
      <c r="W1274" s="784"/>
      <c r="X1274" s="784"/>
      <c r="Y1274" s="784"/>
      <c r="Z1274" s="965" t="str">
        <f>VLOOKUP(L1274,اس!$S$3:$X$31,3,FALSE)</f>
        <v>.</v>
      </c>
    </row>
    <row r="1275" spans="12:26" ht="18.75">
      <c r="L1275" s="777">
        <v>5</v>
      </c>
      <c r="M1275" s="906"/>
      <c r="N1275" s="976">
        <v>0</v>
      </c>
      <c r="O1275" s="1020">
        <v>1222</v>
      </c>
      <c r="P1275" s="860" t="e">
        <f>VLOOKUP(N1275,etat!$A$9:$N$1004,2,FALSE)</f>
        <v>#N/A</v>
      </c>
      <c r="Q1275" s="797" t="e">
        <f>VLOOKUP(N1275,etat!$A$9:$N$963,7,FALSE)</f>
        <v>#N/A</v>
      </c>
      <c r="R1275" s="905" t="e">
        <f>VLOOKUP(N1275,etat!$A$9:$N$1003,9,FALSE)</f>
        <v>#N/A</v>
      </c>
      <c r="T1275" s="755"/>
      <c r="U1275" s="791"/>
      <c r="V1275" s="784"/>
      <c r="W1275" s="784"/>
      <c r="X1275" s="784"/>
      <c r="Y1275" s="784"/>
      <c r="Z1275" s="965" t="str">
        <f>VLOOKUP(L1275,اس!$S$3:$X$31,3,FALSE)</f>
        <v>.</v>
      </c>
    </row>
    <row r="1276" spans="12:26" ht="18.75">
      <c r="L1276" s="777">
        <v>5</v>
      </c>
      <c r="M1276" s="906"/>
      <c r="N1276" s="976">
        <v>0</v>
      </c>
      <c r="O1276" s="1020">
        <v>1223</v>
      </c>
      <c r="P1276" s="860" t="e">
        <f>VLOOKUP(N1276,etat!$A$9:$N$1004,2,FALSE)</f>
        <v>#N/A</v>
      </c>
      <c r="Q1276" s="797" t="e">
        <f>VLOOKUP(N1276,etat!$A$9:$N$963,7,FALSE)</f>
        <v>#N/A</v>
      </c>
      <c r="R1276" s="905" t="e">
        <f>VLOOKUP(N1276,etat!$A$9:$N$1003,9,FALSE)</f>
        <v>#N/A</v>
      </c>
      <c r="T1276" s="755"/>
      <c r="U1276" s="791"/>
      <c r="V1276" s="784"/>
      <c r="W1276" s="784"/>
      <c r="X1276" s="784"/>
      <c r="Y1276" s="784"/>
      <c r="Z1276" s="965" t="str">
        <f>VLOOKUP(L1276,اس!$S$3:$X$31,3,FALSE)</f>
        <v>.</v>
      </c>
    </row>
    <row r="1277" spans="12:26" ht="18.75">
      <c r="L1277" s="777">
        <v>5</v>
      </c>
      <c r="M1277" s="906"/>
      <c r="N1277" s="976">
        <v>0</v>
      </c>
      <c r="O1277" s="1020">
        <v>1224</v>
      </c>
      <c r="P1277" s="860" t="e">
        <f>VLOOKUP(N1277,etat!$A$9:$N$1004,2,FALSE)</f>
        <v>#N/A</v>
      </c>
      <c r="Q1277" s="797" t="e">
        <f>VLOOKUP(N1277,etat!$A$9:$N$963,7,FALSE)</f>
        <v>#N/A</v>
      </c>
      <c r="R1277" s="905" t="e">
        <f>VLOOKUP(N1277,etat!$A$9:$N$1003,9,FALSE)</f>
        <v>#N/A</v>
      </c>
      <c r="T1277" s="755"/>
      <c r="U1277" s="791"/>
      <c r="V1277" s="784"/>
      <c r="W1277" s="784"/>
      <c r="X1277" s="784"/>
      <c r="Y1277" s="784"/>
      <c r="Z1277" s="965" t="str">
        <f>VLOOKUP(L1277,اس!$S$3:$X$31,3,FALSE)</f>
        <v>.</v>
      </c>
    </row>
    <row r="1278" spans="12:26" ht="18.75">
      <c r="L1278" s="777">
        <v>5</v>
      </c>
      <c r="M1278" s="906"/>
      <c r="N1278" s="976">
        <v>0</v>
      </c>
      <c r="O1278" s="1020">
        <v>1225</v>
      </c>
      <c r="P1278" s="860" t="e">
        <f>VLOOKUP(N1278,etat!$A$9:$N$1004,2,FALSE)</f>
        <v>#N/A</v>
      </c>
      <c r="Q1278" s="797" t="e">
        <f>VLOOKUP(N1278,etat!$A$9:$N$963,7,FALSE)</f>
        <v>#N/A</v>
      </c>
      <c r="R1278" s="905" t="e">
        <f>VLOOKUP(N1278,etat!$A$9:$N$1003,9,FALSE)</f>
        <v>#N/A</v>
      </c>
      <c r="T1278" s="755"/>
      <c r="U1278" s="791"/>
      <c r="V1278" s="784"/>
      <c r="W1278" s="784"/>
      <c r="X1278" s="784"/>
      <c r="Y1278" s="784"/>
      <c r="Z1278" s="965" t="str">
        <f>VLOOKUP(L1278,اس!$S$3:$X$31,3,FALSE)</f>
        <v>.</v>
      </c>
    </row>
    <row r="1279" spans="12:26" ht="18.75">
      <c r="L1279" s="777">
        <v>5</v>
      </c>
      <c r="M1279" s="906"/>
      <c r="N1279" s="976">
        <v>0</v>
      </c>
      <c r="O1279" s="1020">
        <v>1226</v>
      </c>
      <c r="P1279" s="860" t="e">
        <f>VLOOKUP(N1279,etat!$A$9:$N$1004,2,FALSE)</f>
        <v>#N/A</v>
      </c>
      <c r="Q1279" s="797" t="e">
        <f>VLOOKUP(N1279,etat!$A$9:$N$963,7,FALSE)</f>
        <v>#N/A</v>
      </c>
      <c r="R1279" s="905" t="e">
        <f>VLOOKUP(N1279,etat!$A$9:$N$1003,9,FALSE)</f>
        <v>#N/A</v>
      </c>
      <c r="T1279" s="755"/>
      <c r="U1279" s="791"/>
      <c r="V1279" s="784"/>
      <c r="W1279" s="784"/>
      <c r="X1279" s="784"/>
      <c r="Y1279" s="784"/>
      <c r="Z1279" s="965" t="str">
        <f>VLOOKUP(L1279,اس!$S$3:$X$31,3,FALSE)</f>
        <v>.</v>
      </c>
    </row>
    <row r="1280" spans="12:26" ht="18.75">
      <c r="L1280" s="777">
        <v>5</v>
      </c>
      <c r="M1280" s="906"/>
      <c r="N1280" s="976">
        <v>0</v>
      </c>
      <c r="O1280" s="1020">
        <v>1227</v>
      </c>
      <c r="P1280" s="860" t="e">
        <f>VLOOKUP(N1280,etat!$A$9:$N$1004,2,FALSE)</f>
        <v>#N/A</v>
      </c>
      <c r="Q1280" s="797" t="e">
        <f>VLOOKUP(N1280,etat!$A$9:$N$963,7,FALSE)</f>
        <v>#N/A</v>
      </c>
      <c r="R1280" s="905" t="e">
        <f>VLOOKUP(N1280,etat!$A$9:$N$1003,9,FALSE)</f>
        <v>#N/A</v>
      </c>
      <c r="T1280" s="755"/>
      <c r="U1280" s="791"/>
      <c r="V1280" s="784"/>
      <c r="W1280" s="784"/>
      <c r="X1280" s="784"/>
      <c r="Y1280" s="784"/>
      <c r="Z1280" s="965" t="str">
        <f>VLOOKUP(L1280,اس!$S$3:$X$31,3,FALSE)</f>
        <v>.</v>
      </c>
    </row>
    <row r="1281" spans="12:26" ht="18.75">
      <c r="L1281" s="777">
        <v>5</v>
      </c>
      <c r="M1281" s="906"/>
      <c r="N1281" s="976">
        <v>0</v>
      </c>
      <c r="O1281" s="1020">
        <v>1228</v>
      </c>
      <c r="P1281" s="860" t="e">
        <f>VLOOKUP(N1281,etat!$A$9:$N$1004,2,FALSE)</f>
        <v>#N/A</v>
      </c>
      <c r="Q1281" s="797" t="e">
        <f>VLOOKUP(N1281,etat!$A$9:$N$963,7,FALSE)</f>
        <v>#N/A</v>
      </c>
      <c r="R1281" s="905" t="e">
        <f>VLOOKUP(N1281,etat!$A$9:$N$1003,9,FALSE)</f>
        <v>#N/A</v>
      </c>
      <c r="T1281" s="755"/>
      <c r="U1281" s="791"/>
      <c r="V1281" s="784"/>
      <c r="W1281" s="784"/>
      <c r="X1281" s="784"/>
      <c r="Y1281" s="784"/>
      <c r="Z1281" s="965" t="str">
        <f>VLOOKUP(L1281,اس!$S$3:$X$31,3,FALSE)</f>
        <v>.</v>
      </c>
    </row>
    <row r="1282" spans="12:26" ht="18.75">
      <c r="L1282" s="777">
        <v>5</v>
      </c>
      <c r="M1282" s="906"/>
      <c r="N1282" s="976">
        <v>0</v>
      </c>
      <c r="O1282" s="1020">
        <v>1229</v>
      </c>
      <c r="P1282" s="860" t="e">
        <f>VLOOKUP(N1282,etat!$A$9:$N$1004,2,FALSE)</f>
        <v>#N/A</v>
      </c>
      <c r="Q1282" s="797" t="e">
        <f>VLOOKUP(N1282,etat!$A$9:$N$963,7,FALSE)</f>
        <v>#N/A</v>
      </c>
      <c r="R1282" s="905" t="e">
        <f>VLOOKUP(N1282,etat!$A$9:$N$1003,9,FALSE)</f>
        <v>#N/A</v>
      </c>
      <c r="T1282" s="755"/>
      <c r="U1282" s="791"/>
      <c r="V1282" s="784"/>
      <c r="W1282" s="784"/>
      <c r="X1282" s="784"/>
      <c r="Y1282" s="784"/>
      <c r="Z1282" s="965" t="str">
        <f>VLOOKUP(L1282,اس!$S$3:$X$31,3,FALSE)</f>
        <v>.</v>
      </c>
    </row>
    <row r="1283" spans="12:26" ht="18.75">
      <c r="L1283" s="777">
        <v>5</v>
      </c>
      <c r="M1283" s="906"/>
      <c r="N1283" s="976">
        <v>0</v>
      </c>
      <c r="O1283" s="1020">
        <v>1230</v>
      </c>
      <c r="P1283" s="860" t="e">
        <f>VLOOKUP(N1283,etat!$A$9:$N$1004,2,FALSE)</f>
        <v>#N/A</v>
      </c>
      <c r="Q1283" s="797" t="e">
        <f>VLOOKUP(N1283,etat!$A$9:$N$963,7,FALSE)</f>
        <v>#N/A</v>
      </c>
      <c r="R1283" s="905" t="e">
        <f>VLOOKUP(N1283,etat!$A$9:$N$1003,9,FALSE)</f>
        <v>#N/A</v>
      </c>
      <c r="T1283" s="755"/>
      <c r="U1283" s="791"/>
      <c r="V1283" s="784"/>
      <c r="W1283" s="784"/>
      <c r="X1283" s="784"/>
      <c r="Y1283" s="784"/>
      <c r="Z1283" s="965" t="str">
        <f>VLOOKUP(L1283,اس!$S$3:$X$31,3,FALSE)</f>
        <v>.</v>
      </c>
    </row>
    <row r="1284" spans="12:26" ht="18.75">
      <c r="L1284" s="777">
        <v>5</v>
      </c>
      <c r="M1284" s="906"/>
      <c r="N1284" s="976">
        <v>0</v>
      </c>
      <c r="O1284" s="1020">
        <v>1231</v>
      </c>
      <c r="P1284" s="860" t="e">
        <f>VLOOKUP(N1284,etat!$A$9:$N$1004,2,FALSE)</f>
        <v>#N/A</v>
      </c>
      <c r="Q1284" s="797" t="e">
        <f>VLOOKUP(N1284,etat!$A$9:$N$963,7,FALSE)</f>
        <v>#N/A</v>
      </c>
      <c r="R1284" s="905" t="e">
        <f>VLOOKUP(N1284,etat!$A$9:$N$1003,9,FALSE)</f>
        <v>#N/A</v>
      </c>
      <c r="T1284" s="755"/>
      <c r="U1284" s="791"/>
      <c r="V1284" s="784"/>
      <c r="W1284" s="784"/>
      <c r="X1284" s="784"/>
      <c r="Y1284" s="784"/>
      <c r="Z1284" s="965" t="str">
        <f>VLOOKUP(L1284,اس!$S$3:$X$31,3,FALSE)</f>
        <v>.</v>
      </c>
    </row>
    <row r="1285" spans="12:26" ht="18.75">
      <c r="L1285" s="777">
        <v>5</v>
      </c>
      <c r="M1285" s="906"/>
      <c r="N1285" s="976">
        <v>0</v>
      </c>
      <c r="O1285" s="1020">
        <v>1232</v>
      </c>
      <c r="P1285" s="860" t="e">
        <f>VLOOKUP(N1285,etat!$A$9:$N$1004,2,FALSE)</f>
        <v>#N/A</v>
      </c>
      <c r="Q1285" s="797" t="e">
        <f>VLOOKUP(N1285,etat!$A$9:$N$963,7,FALSE)</f>
        <v>#N/A</v>
      </c>
      <c r="R1285" s="905" t="e">
        <f>VLOOKUP(N1285,etat!$A$9:$N$1003,9,FALSE)</f>
        <v>#N/A</v>
      </c>
      <c r="T1285" s="755"/>
      <c r="U1285" s="791"/>
      <c r="V1285" s="784"/>
      <c r="W1285" s="784"/>
      <c r="X1285" s="784"/>
      <c r="Y1285" s="784"/>
      <c r="Z1285" s="965" t="str">
        <f>VLOOKUP(L1285,اس!$S$3:$X$31,3,FALSE)</f>
        <v>.</v>
      </c>
    </row>
    <row r="1286" spans="12:26" ht="18.75">
      <c r="L1286" s="777">
        <v>5</v>
      </c>
      <c r="M1286" s="906"/>
      <c r="N1286" s="976">
        <v>0</v>
      </c>
      <c r="O1286" s="1020">
        <v>1233</v>
      </c>
      <c r="P1286" s="860" t="e">
        <f>VLOOKUP(N1286,etat!$A$9:$N$1004,2,FALSE)</f>
        <v>#N/A</v>
      </c>
      <c r="Q1286" s="797" t="e">
        <f>VLOOKUP(N1286,etat!$A$9:$N$963,7,FALSE)</f>
        <v>#N/A</v>
      </c>
      <c r="R1286" s="905" t="e">
        <f>VLOOKUP(N1286,etat!$A$9:$N$1003,9,FALSE)</f>
        <v>#N/A</v>
      </c>
      <c r="T1286" s="755"/>
      <c r="U1286" s="791"/>
      <c r="V1286" s="784"/>
      <c r="W1286" s="784"/>
      <c r="X1286" s="784"/>
      <c r="Y1286" s="784"/>
      <c r="Z1286" s="965" t="str">
        <f>VLOOKUP(L1286,اس!$S$3:$X$31,3,FALSE)</f>
        <v>.</v>
      </c>
    </row>
    <row r="1287" spans="12:26" ht="18.75">
      <c r="L1287" s="777">
        <v>5</v>
      </c>
      <c r="M1287" s="906"/>
      <c r="N1287" s="976">
        <v>0</v>
      </c>
      <c r="O1287" s="1020">
        <v>1234</v>
      </c>
      <c r="P1287" s="860" t="e">
        <f>VLOOKUP(N1287,etat!$A$9:$N$1004,2,FALSE)</f>
        <v>#N/A</v>
      </c>
      <c r="Q1287" s="797" t="e">
        <f>VLOOKUP(N1287,etat!$A$9:$N$963,7,FALSE)</f>
        <v>#N/A</v>
      </c>
      <c r="R1287" s="905" t="e">
        <f>VLOOKUP(N1287,etat!$A$9:$N$1003,9,FALSE)</f>
        <v>#N/A</v>
      </c>
      <c r="T1287" s="755"/>
      <c r="U1287" s="791"/>
      <c r="V1287" s="784"/>
      <c r="W1287" s="784"/>
      <c r="X1287" s="784"/>
      <c r="Y1287" s="784"/>
      <c r="Z1287" s="965" t="str">
        <f>VLOOKUP(L1287,اس!$S$3:$X$31,3,FALSE)</f>
        <v>.</v>
      </c>
    </row>
    <row r="1288" spans="12:26" ht="18.75">
      <c r="L1288" s="777">
        <v>5</v>
      </c>
      <c r="M1288" s="906"/>
      <c r="N1288" s="976">
        <v>0</v>
      </c>
      <c r="O1288" s="1020">
        <v>1235</v>
      </c>
      <c r="P1288" s="860" t="e">
        <f>VLOOKUP(N1288,etat!$A$9:$N$1004,2,FALSE)</f>
        <v>#N/A</v>
      </c>
      <c r="Q1288" s="797" t="e">
        <f>VLOOKUP(N1288,etat!$A$9:$N$963,7,FALSE)</f>
        <v>#N/A</v>
      </c>
      <c r="R1288" s="905" t="e">
        <f>VLOOKUP(N1288,etat!$A$9:$N$1003,9,FALSE)</f>
        <v>#N/A</v>
      </c>
    </row>
    <row r="1289" spans="12:26" ht="18.75">
      <c r="L1289" s="777">
        <v>5</v>
      </c>
      <c r="M1289" s="906"/>
      <c r="N1289" s="976">
        <v>0</v>
      </c>
      <c r="O1289" s="1020">
        <v>1236</v>
      </c>
      <c r="P1289" s="860" t="e">
        <f>VLOOKUP(N1289,etat!$A$9:$N$1004,2,FALSE)</f>
        <v>#N/A</v>
      </c>
      <c r="Q1289" s="797" t="e">
        <f>VLOOKUP(N1289,etat!$A$9:$N$963,7,FALSE)</f>
        <v>#N/A</v>
      </c>
      <c r="R1289" s="905" t="e">
        <f>VLOOKUP(N1289,etat!$A$9:$N$1003,9,FALSE)</f>
        <v>#N/A</v>
      </c>
    </row>
    <row r="1290" spans="12:26" ht="18.75">
      <c r="L1290" s="777">
        <v>5</v>
      </c>
      <c r="M1290" s="906"/>
      <c r="N1290" s="976">
        <v>0</v>
      </c>
      <c r="O1290" s="1020">
        <v>1237</v>
      </c>
      <c r="P1290" s="860" t="e">
        <f>VLOOKUP(N1290,etat!$A$9:$N$1004,2,FALSE)</f>
        <v>#N/A</v>
      </c>
      <c r="Q1290" s="797" t="e">
        <f>VLOOKUP(N1290,etat!$A$9:$N$963,7,FALSE)</f>
        <v>#N/A</v>
      </c>
      <c r="R1290" s="905" t="e">
        <f>VLOOKUP(N1290,etat!$A$9:$N$1003,9,FALSE)</f>
        <v>#N/A</v>
      </c>
    </row>
    <row r="1291" spans="12:26" ht="18.75">
      <c r="L1291" s="777">
        <v>5</v>
      </c>
      <c r="M1291" s="906"/>
      <c r="N1291" s="976">
        <v>0</v>
      </c>
      <c r="O1291" s="1020">
        <v>1238</v>
      </c>
      <c r="P1291" s="860" t="e">
        <f>VLOOKUP(N1291,etat!$A$9:$N$1004,2,FALSE)</f>
        <v>#N/A</v>
      </c>
      <c r="Q1291" s="797" t="e">
        <f>VLOOKUP(N1291,etat!$A$9:$N$963,7,FALSE)</f>
        <v>#N/A</v>
      </c>
      <c r="R1291" s="905" t="e">
        <f>VLOOKUP(N1291,etat!$A$9:$N$1003,9,FALSE)</f>
        <v>#N/A</v>
      </c>
    </row>
    <row r="1292" spans="12:26" ht="18.75">
      <c r="L1292" s="777">
        <v>5</v>
      </c>
      <c r="M1292" s="906"/>
      <c r="N1292" s="976">
        <v>0</v>
      </c>
      <c r="O1292" s="1020">
        <v>1239</v>
      </c>
      <c r="P1292" s="860" t="e">
        <f>VLOOKUP(N1292,etat!$A$9:$N$1004,2,FALSE)</f>
        <v>#N/A</v>
      </c>
      <c r="Q1292" s="797" t="e">
        <f>VLOOKUP(N1292,etat!$A$9:$N$963,7,FALSE)</f>
        <v>#N/A</v>
      </c>
      <c r="R1292" s="905" t="e">
        <f>VLOOKUP(N1292,etat!$A$9:$N$1003,9,FALSE)</f>
        <v>#N/A</v>
      </c>
    </row>
    <row r="1293" spans="12:26" ht="18.75">
      <c r="L1293" s="777">
        <v>5</v>
      </c>
      <c r="M1293" s="906"/>
      <c r="N1293" s="976">
        <v>0</v>
      </c>
      <c r="O1293" s="1020">
        <v>1240</v>
      </c>
      <c r="P1293" s="860" t="e">
        <f>VLOOKUP(N1293,etat!$A$9:$N$1004,2,FALSE)</f>
        <v>#N/A</v>
      </c>
      <c r="Q1293" s="797" t="e">
        <f>VLOOKUP(N1293,etat!$A$9:$N$963,7,FALSE)</f>
        <v>#N/A</v>
      </c>
      <c r="R1293" s="905" t="e">
        <f>VLOOKUP(N1293,etat!$A$9:$N$1003,9,FALSE)</f>
        <v>#N/A</v>
      </c>
    </row>
    <row r="1294" spans="12:26" ht="18.75">
      <c r="L1294" s="777">
        <v>5</v>
      </c>
      <c r="M1294" s="906"/>
      <c r="N1294" s="976">
        <v>0</v>
      </c>
      <c r="O1294" s="1020">
        <v>1241</v>
      </c>
      <c r="P1294" s="860" t="e">
        <f>VLOOKUP(N1294,etat!$A$9:$N$1004,2,FALSE)</f>
        <v>#N/A</v>
      </c>
      <c r="Q1294" s="797" t="e">
        <f>VLOOKUP(N1294,etat!$A$9:$N$963,7,FALSE)</f>
        <v>#N/A</v>
      </c>
      <c r="R1294" s="905" t="e">
        <f>VLOOKUP(N1294,etat!$A$9:$N$1003,9,FALSE)</f>
        <v>#N/A</v>
      </c>
    </row>
    <row r="1295" spans="12:26" ht="18.75">
      <c r="L1295" s="777">
        <v>5</v>
      </c>
      <c r="M1295" s="906"/>
      <c r="N1295" s="976">
        <v>0</v>
      </c>
      <c r="O1295" s="1020">
        <v>1242</v>
      </c>
      <c r="P1295" s="860" t="e">
        <f>VLOOKUP(N1295,etat!$A$9:$N$1004,2,FALSE)</f>
        <v>#N/A</v>
      </c>
      <c r="Q1295" s="797" t="e">
        <f>VLOOKUP(N1295,etat!$A$9:$N$963,7,FALSE)</f>
        <v>#N/A</v>
      </c>
      <c r="R1295" s="905" t="e">
        <f>VLOOKUP(N1295,etat!$A$9:$N$1003,9,FALSE)</f>
        <v>#N/A</v>
      </c>
    </row>
    <row r="1296" spans="12:26" ht="18.75">
      <c r="L1296" s="777">
        <v>5</v>
      </c>
      <c r="M1296" s="906"/>
      <c r="N1296" s="976">
        <v>0</v>
      </c>
      <c r="O1296" s="1020">
        <v>1243</v>
      </c>
      <c r="P1296" s="860" t="e">
        <f>VLOOKUP(N1296,etat!$A$9:$N$1004,2,FALSE)</f>
        <v>#N/A</v>
      </c>
      <c r="Q1296" s="797" t="e">
        <f>VLOOKUP(N1296,etat!$A$9:$N$963,7,FALSE)</f>
        <v>#N/A</v>
      </c>
      <c r="R1296" s="905" t="e">
        <f>VLOOKUP(N1296,etat!$A$9:$N$1003,9,FALSE)</f>
        <v>#N/A</v>
      </c>
    </row>
    <row r="1297" spans="12:18" ht="18.75">
      <c r="L1297" s="777">
        <v>5</v>
      </c>
      <c r="M1297" s="906"/>
      <c r="N1297" s="976">
        <v>0</v>
      </c>
      <c r="O1297" s="1020">
        <v>1244</v>
      </c>
      <c r="P1297" s="860" t="e">
        <f>VLOOKUP(N1297,etat!$A$9:$N$1004,2,FALSE)</f>
        <v>#N/A</v>
      </c>
      <c r="Q1297" s="797" t="e">
        <f>VLOOKUP(N1297,etat!$A$9:$N$963,7,FALSE)</f>
        <v>#N/A</v>
      </c>
      <c r="R1297" s="905" t="e">
        <f>VLOOKUP(N1297,etat!$A$9:$N$1003,9,FALSE)</f>
        <v>#N/A</v>
      </c>
    </row>
    <row r="1298" spans="12:18" ht="18.75">
      <c r="L1298" s="777">
        <v>5</v>
      </c>
      <c r="M1298" s="906"/>
      <c r="N1298" s="976">
        <v>0</v>
      </c>
      <c r="O1298" s="1020">
        <v>1245</v>
      </c>
      <c r="P1298" s="860" t="e">
        <f>VLOOKUP(N1298,etat!$A$9:$N$1004,2,FALSE)</f>
        <v>#N/A</v>
      </c>
      <c r="Q1298" s="797" t="e">
        <f>VLOOKUP(N1298,etat!$A$9:$N$963,7,FALSE)</f>
        <v>#N/A</v>
      </c>
      <c r="R1298" s="905" t="e">
        <f>VLOOKUP(N1298,etat!$A$9:$N$1003,9,FALSE)</f>
        <v>#N/A</v>
      </c>
    </row>
    <row r="1299" spans="12:18" ht="18.75">
      <c r="L1299" s="777">
        <v>5</v>
      </c>
      <c r="M1299" s="906"/>
      <c r="N1299" s="976">
        <v>0</v>
      </c>
      <c r="O1299" s="1020">
        <v>1246</v>
      </c>
      <c r="P1299" s="860" t="e">
        <f>VLOOKUP(N1299,etat!$A$9:$N$1004,2,FALSE)</f>
        <v>#N/A</v>
      </c>
      <c r="Q1299" s="797" t="e">
        <f>VLOOKUP(N1299,etat!$A$9:$N$963,7,FALSE)</f>
        <v>#N/A</v>
      </c>
      <c r="R1299" s="905" t="e">
        <f>VLOOKUP(N1299,etat!$A$9:$N$1003,9,FALSE)</f>
        <v>#N/A</v>
      </c>
    </row>
    <row r="1300" spans="12:18" ht="18.75">
      <c r="L1300" s="777">
        <v>5</v>
      </c>
      <c r="M1300" s="906"/>
      <c r="N1300" s="976">
        <v>0</v>
      </c>
      <c r="O1300" s="1020">
        <v>1247</v>
      </c>
      <c r="P1300" s="860" t="e">
        <f>VLOOKUP(N1300,etat!$A$9:$N$1004,2,FALSE)</f>
        <v>#N/A</v>
      </c>
      <c r="Q1300" s="797" t="e">
        <f>VLOOKUP(N1300,etat!$A$9:$N$963,7,FALSE)</f>
        <v>#N/A</v>
      </c>
      <c r="R1300" s="905" t="e">
        <f>VLOOKUP(N1300,etat!$A$9:$N$1003,9,FALSE)</f>
        <v>#N/A</v>
      </c>
    </row>
    <row r="1301" spans="12:18" ht="18.75">
      <c r="L1301" s="777">
        <v>5</v>
      </c>
      <c r="M1301" s="906"/>
      <c r="N1301" s="976">
        <v>0</v>
      </c>
      <c r="O1301" s="1020">
        <v>1248</v>
      </c>
      <c r="P1301" s="860" t="e">
        <f>VLOOKUP(N1301,etat!$A$9:$N$1004,2,FALSE)</f>
        <v>#N/A</v>
      </c>
      <c r="Q1301" s="797" t="e">
        <f>VLOOKUP(N1301,etat!$A$9:$N$963,7,FALSE)</f>
        <v>#N/A</v>
      </c>
      <c r="R1301" s="905" t="e">
        <f>VLOOKUP(N1301,etat!$A$9:$N$1003,9,FALSE)</f>
        <v>#N/A</v>
      </c>
    </row>
    <row r="1302" spans="12:18" ht="18.75">
      <c r="L1302" s="777">
        <v>5</v>
      </c>
      <c r="M1302" s="906"/>
      <c r="N1302" s="976">
        <v>0</v>
      </c>
      <c r="O1302" s="1020">
        <v>1249</v>
      </c>
      <c r="P1302" s="860" t="e">
        <f>VLOOKUP(N1302,etat!$A$9:$N$1004,2,FALSE)</f>
        <v>#N/A</v>
      </c>
      <c r="Q1302" s="797" t="e">
        <f>VLOOKUP(N1302,etat!$A$9:$N$963,7,FALSE)</f>
        <v>#N/A</v>
      </c>
      <c r="R1302" s="905" t="e">
        <f>VLOOKUP(N1302,etat!$A$9:$N$1003,9,FALSE)</f>
        <v>#N/A</v>
      </c>
    </row>
    <row r="1303" spans="12:18" ht="18.75">
      <c r="L1303" s="777">
        <v>5</v>
      </c>
      <c r="M1303" s="906"/>
      <c r="N1303" s="976">
        <v>0</v>
      </c>
      <c r="O1303" s="1020">
        <v>1250</v>
      </c>
      <c r="P1303" s="860" t="e">
        <f>VLOOKUP(N1303,etat!$A$9:$N$1004,2,FALSE)</f>
        <v>#N/A</v>
      </c>
      <c r="Q1303" s="797" t="e">
        <f>VLOOKUP(N1303,etat!$A$9:$N$963,7,FALSE)</f>
        <v>#N/A</v>
      </c>
      <c r="R1303" s="905" t="e">
        <f>VLOOKUP(N1303,etat!$A$9:$N$1003,9,FALSE)</f>
        <v>#N/A</v>
      </c>
    </row>
    <row r="1304" spans="12:18" ht="18.75">
      <c r="L1304" s="777">
        <v>5</v>
      </c>
      <c r="M1304" s="906"/>
      <c r="N1304" s="976">
        <v>0</v>
      </c>
      <c r="O1304" s="1020">
        <v>1251</v>
      </c>
      <c r="P1304" s="860" t="e">
        <f>VLOOKUP(N1304,etat!$A$9:$N$1004,2,FALSE)</f>
        <v>#N/A</v>
      </c>
      <c r="Q1304" s="797" t="e">
        <f>VLOOKUP(N1304,etat!$A$9:$N$963,7,FALSE)</f>
        <v>#N/A</v>
      </c>
      <c r="R1304" s="905" t="e">
        <f>VLOOKUP(N1304,etat!$A$9:$N$1003,9,FALSE)</f>
        <v>#N/A</v>
      </c>
    </row>
    <row r="1305" spans="12:18" ht="18.75">
      <c r="L1305" s="777">
        <v>5</v>
      </c>
      <c r="M1305" s="906"/>
      <c r="N1305" s="976">
        <v>0</v>
      </c>
      <c r="O1305" s="1020">
        <v>1252</v>
      </c>
      <c r="P1305" s="860" t="e">
        <f>VLOOKUP(N1305,etat!$A$9:$N$1004,2,FALSE)</f>
        <v>#N/A</v>
      </c>
      <c r="Q1305" s="797" t="e">
        <f>VLOOKUP(N1305,etat!$A$9:$N$963,7,FALSE)</f>
        <v>#N/A</v>
      </c>
      <c r="R1305" s="905" t="e">
        <f>VLOOKUP(N1305,etat!$A$9:$N$1003,9,FALSE)</f>
        <v>#N/A</v>
      </c>
    </row>
    <row r="1306" spans="12:18" ht="18.75">
      <c r="L1306" s="777">
        <v>5</v>
      </c>
      <c r="M1306" s="906"/>
      <c r="N1306" s="976">
        <v>0</v>
      </c>
      <c r="O1306" s="1020">
        <v>1253</v>
      </c>
      <c r="P1306" s="860" t="e">
        <f>VLOOKUP(N1306,etat!$A$9:$N$1004,2,FALSE)</f>
        <v>#N/A</v>
      </c>
      <c r="Q1306" s="797" t="e">
        <f>VLOOKUP(N1306,etat!$A$9:$N$963,7,FALSE)</f>
        <v>#N/A</v>
      </c>
      <c r="R1306" s="905" t="e">
        <f>VLOOKUP(N1306,etat!$A$9:$N$1003,9,FALSE)</f>
        <v>#N/A</v>
      </c>
    </row>
    <row r="1307" spans="12:18" ht="18.75">
      <c r="L1307" s="777">
        <v>5</v>
      </c>
      <c r="M1307" s="906"/>
      <c r="N1307" s="976">
        <v>0</v>
      </c>
      <c r="O1307" s="1020">
        <v>1254</v>
      </c>
      <c r="P1307" s="860" t="e">
        <f>VLOOKUP(N1307,etat!$A$9:$N$1004,2,FALSE)</f>
        <v>#N/A</v>
      </c>
      <c r="Q1307" s="797" t="e">
        <f>VLOOKUP(N1307,etat!$A$9:$N$963,7,FALSE)</f>
        <v>#N/A</v>
      </c>
      <c r="R1307" s="905" t="e">
        <f>VLOOKUP(N1307,etat!$A$9:$N$1003,9,FALSE)</f>
        <v>#N/A</v>
      </c>
    </row>
    <row r="1308" spans="12:18" ht="18.75">
      <c r="L1308" s="777">
        <v>5</v>
      </c>
      <c r="M1308" s="906"/>
      <c r="N1308" s="976">
        <v>0</v>
      </c>
      <c r="O1308" s="1020">
        <v>1255</v>
      </c>
      <c r="P1308" s="860" t="e">
        <f>VLOOKUP(N1308,etat!$A$9:$N$1004,2,FALSE)</f>
        <v>#N/A</v>
      </c>
      <c r="Q1308" s="797" t="e">
        <f>VLOOKUP(N1308,etat!$A$9:$N$963,7,FALSE)</f>
        <v>#N/A</v>
      </c>
      <c r="R1308" s="905" t="e">
        <f>VLOOKUP(N1308,etat!$A$9:$N$1003,9,FALSE)</f>
        <v>#N/A</v>
      </c>
    </row>
    <row r="1309" spans="12:18" ht="18.75">
      <c r="L1309" s="777">
        <v>5</v>
      </c>
      <c r="M1309" s="906"/>
      <c r="N1309" s="976">
        <v>0</v>
      </c>
      <c r="O1309" s="1020">
        <v>1256</v>
      </c>
      <c r="P1309" s="860" t="e">
        <f>VLOOKUP(N1309,etat!$A$9:$N$1004,2,FALSE)</f>
        <v>#N/A</v>
      </c>
      <c r="Q1309" s="797" t="e">
        <f>VLOOKUP(N1309,etat!$A$9:$N$963,7,FALSE)</f>
        <v>#N/A</v>
      </c>
      <c r="R1309" s="905" t="e">
        <f>VLOOKUP(N1309,etat!$A$9:$N$1003,9,FALSE)</f>
        <v>#N/A</v>
      </c>
    </row>
    <row r="1310" spans="12:18" ht="18.75">
      <c r="L1310" s="777">
        <v>5</v>
      </c>
      <c r="M1310" s="906"/>
      <c r="N1310" s="976">
        <v>0</v>
      </c>
      <c r="O1310" s="1020">
        <v>1257</v>
      </c>
      <c r="P1310" s="860" t="e">
        <f>VLOOKUP(N1310,etat!$A$9:$N$1004,2,FALSE)</f>
        <v>#N/A</v>
      </c>
      <c r="Q1310" s="797" t="e">
        <f>VLOOKUP(N1310,etat!$A$9:$N$963,7,FALSE)</f>
        <v>#N/A</v>
      </c>
      <c r="R1310" s="905" t="e">
        <f>VLOOKUP(N1310,etat!$A$9:$N$1003,9,FALSE)</f>
        <v>#N/A</v>
      </c>
    </row>
    <row r="1311" spans="12:18" ht="18.75">
      <c r="L1311" s="777">
        <v>5</v>
      </c>
      <c r="M1311" s="906"/>
      <c r="N1311" s="976">
        <v>0</v>
      </c>
      <c r="O1311" s="1020">
        <v>1258</v>
      </c>
      <c r="P1311" s="860" t="e">
        <f>VLOOKUP(N1311,etat!$A$9:$N$1004,2,FALSE)</f>
        <v>#N/A</v>
      </c>
      <c r="Q1311" s="797" t="e">
        <f>VLOOKUP(N1311,etat!$A$9:$N$963,7,FALSE)</f>
        <v>#N/A</v>
      </c>
      <c r="R1311" s="905" t="e">
        <f>VLOOKUP(N1311,etat!$A$9:$N$1003,9,FALSE)</f>
        <v>#N/A</v>
      </c>
    </row>
    <row r="1312" spans="12:18" ht="18.75">
      <c r="L1312" s="777">
        <v>5</v>
      </c>
      <c r="M1312" s="906"/>
      <c r="N1312" s="976">
        <v>0</v>
      </c>
      <c r="O1312" s="1020">
        <v>1259</v>
      </c>
      <c r="P1312" s="860" t="e">
        <f>VLOOKUP(N1312,etat!$A$9:$N$1004,2,FALSE)</f>
        <v>#N/A</v>
      </c>
      <c r="Q1312" s="797" t="e">
        <f>VLOOKUP(N1312,etat!$A$9:$N$963,7,FALSE)</f>
        <v>#N/A</v>
      </c>
      <c r="R1312" s="905" t="e">
        <f>VLOOKUP(N1312,etat!$A$9:$N$1003,9,FALSE)</f>
        <v>#N/A</v>
      </c>
    </row>
    <row r="1313" spans="12:18" ht="18.75">
      <c r="L1313" s="777">
        <v>5</v>
      </c>
      <c r="M1313" s="906"/>
      <c r="N1313" s="976">
        <v>0</v>
      </c>
      <c r="O1313" s="1020">
        <v>1260</v>
      </c>
      <c r="P1313" s="860" t="e">
        <f>VLOOKUP(N1313,etat!$A$9:$N$1004,2,FALSE)</f>
        <v>#N/A</v>
      </c>
      <c r="Q1313" s="797" t="e">
        <f>VLOOKUP(N1313,etat!$A$9:$N$963,7,FALSE)</f>
        <v>#N/A</v>
      </c>
      <c r="R1313" s="905" t="e">
        <f>VLOOKUP(N1313,etat!$A$9:$N$1003,9,FALSE)</f>
        <v>#N/A</v>
      </c>
    </row>
    <row r="1314" spans="12:18" ht="18.75">
      <c r="L1314" s="777">
        <v>5</v>
      </c>
      <c r="M1314" s="906"/>
      <c r="N1314" s="976">
        <v>0</v>
      </c>
      <c r="O1314" s="1020">
        <v>1261</v>
      </c>
      <c r="P1314" s="860" t="e">
        <f>VLOOKUP(N1314,etat!$A$9:$N$1004,2,FALSE)</f>
        <v>#N/A</v>
      </c>
      <c r="Q1314" s="797" t="e">
        <f>VLOOKUP(N1314,etat!$A$9:$N$963,7,FALSE)</f>
        <v>#N/A</v>
      </c>
      <c r="R1314" s="905" t="e">
        <f>VLOOKUP(N1314,etat!$A$9:$N$1003,9,FALSE)</f>
        <v>#N/A</v>
      </c>
    </row>
    <row r="1315" spans="12:18" ht="18.75">
      <c r="L1315" s="777">
        <v>5</v>
      </c>
      <c r="M1315" s="906"/>
      <c r="N1315" s="976">
        <v>0</v>
      </c>
      <c r="O1315" s="1020">
        <v>1262</v>
      </c>
      <c r="P1315" s="860" t="e">
        <f>VLOOKUP(N1315,etat!$A$9:$N$1004,2,FALSE)</f>
        <v>#N/A</v>
      </c>
      <c r="Q1315" s="797" t="e">
        <f>VLOOKUP(N1315,etat!$A$9:$N$963,7,FALSE)</f>
        <v>#N/A</v>
      </c>
      <c r="R1315" s="905" t="e">
        <f>VLOOKUP(N1315,etat!$A$9:$N$1003,9,FALSE)</f>
        <v>#N/A</v>
      </c>
    </row>
    <row r="1316" spans="12:18" ht="18.75">
      <c r="L1316" s="777">
        <v>5</v>
      </c>
      <c r="M1316" s="906"/>
      <c r="N1316" s="976">
        <v>0</v>
      </c>
      <c r="O1316" s="1020">
        <v>1263</v>
      </c>
      <c r="P1316" s="860" t="e">
        <f>VLOOKUP(N1316,etat!$A$9:$N$1004,2,FALSE)</f>
        <v>#N/A</v>
      </c>
      <c r="Q1316" s="797" t="e">
        <f>VLOOKUP(N1316,etat!$A$9:$N$963,7,FALSE)</f>
        <v>#N/A</v>
      </c>
      <c r="R1316" s="905" t="e">
        <f>VLOOKUP(N1316,etat!$A$9:$N$1003,9,FALSE)</f>
        <v>#N/A</v>
      </c>
    </row>
    <row r="1317" spans="12:18" ht="18.75">
      <c r="L1317" s="777">
        <v>5</v>
      </c>
      <c r="M1317" s="906"/>
      <c r="N1317" s="976">
        <v>0</v>
      </c>
      <c r="O1317" s="1020">
        <v>1264</v>
      </c>
      <c r="P1317" s="860" t="e">
        <f>VLOOKUP(N1317,etat!$A$9:$N$1004,2,FALSE)</f>
        <v>#N/A</v>
      </c>
      <c r="Q1317" s="797" t="e">
        <f>VLOOKUP(N1317,etat!$A$9:$N$963,7,FALSE)</f>
        <v>#N/A</v>
      </c>
      <c r="R1317" s="905" t="e">
        <f>VLOOKUP(N1317,etat!$A$9:$N$1003,9,FALSE)</f>
        <v>#N/A</v>
      </c>
    </row>
    <row r="1318" spans="12:18" ht="18.75">
      <c r="L1318" s="777">
        <v>5</v>
      </c>
      <c r="M1318" s="906"/>
      <c r="N1318" s="976">
        <v>0</v>
      </c>
      <c r="O1318" s="1020">
        <v>1265</v>
      </c>
      <c r="P1318" s="860" t="e">
        <f>VLOOKUP(N1318,etat!$A$9:$N$1004,2,FALSE)</f>
        <v>#N/A</v>
      </c>
      <c r="Q1318" s="797" t="e">
        <f>VLOOKUP(N1318,etat!$A$9:$N$963,7,FALSE)</f>
        <v>#N/A</v>
      </c>
      <c r="R1318" s="905" t="e">
        <f>VLOOKUP(N1318,etat!$A$9:$N$1003,9,FALSE)</f>
        <v>#N/A</v>
      </c>
    </row>
    <row r="1319" spans="12:18" ht="18.75">
      <c r="L1319" s="777">
        <v>5</v>
      </c>
      <c r="M1319" s="906"/>
      <c r="N1319" s="976">
        <v>0</v>
      </c>
      <c r="O1319" s="1020">
        <v>1266</v>
      </c>
      <c r="P1319" s="860" t="e">
        <f>VLOOKUP(N1319,etat!$A$9:$N$1004,2,FALSE)</f>
        <v>#N/A</v>
      </c>
      <c r="Q1319" s="797" t="e">
        <f>VLOOKUP(N1319,etat!$A$9:$N$963,7,FALSE)</f>
        <v>#N/A</v>
      </c>
      <c r="R1319" s="905" t="e">
        <f>VLOOKUP(N1319,etat!$A$9:$N$1003,9,FALSE)</f>
        <v>#N/A</v>
      </c>
    </row>
    <row r="1320" spans="12:18" ht="18.75">
      <c r="L1320" s="777">
        <v>5</v>
      </c>
      <c r="M1320" s="906"/>
      <c r="N1320" s="976">
        <v>0</v>
      </c>
      <c r="O1320" s="1020">
        <v>1267</v>
      </c>
      <c r="P1320" s="860" t="e">
        <f>VLOOKUP(N1320,etat!$A$9:$N$1004,2,FALSE)</f>
        <v>#N/A</v>
      </c>
      <c r="Q1320" s="797" t="e">
        <f>VLOOKUP(N1320,etat!$A$9:$N$963,7,FALSE)</f>
        <v>#N/A</v>
      </c>
      <c r="R1320" s="905" t="e">
        <f>VLOOKUP(N1320,etat!$A$9:$N$1003,9,FALSE)</f>
        <v>#N/A</v>
      </c>
    </row>
    <row r="1321" spans="12:18" ht="18.75">
      <c r="L1321" s="777">
        <v>5</v>
      </c>
      <c r="M1321" s="906"/>
      <c r="N1321" s="976">
        <v>0</v>
      </c>
      <c r="O1321" s="1020">
        <v>1268</v>
      </c>
      <c r="P1321" s="860" t="e">
        <f>VLOOKUP(N1321,etat!$A$9:$N$1004,2,FALSE)</f>
        <v>#N/A</v>
      </c>
      <c r="Q1321" s="797" t="e">
        <f>VLOOKUP(N1321,etat!$A$9:$N$963,7,FALSE)</f>
        <v>#N/A</v>
      </c>
      <c r="R1321" s="905" t="e">
        <f>VLOOKUP(N1321,etat!$A$9:$N$1003,9,FALSE)</f>
        <v>#N/A</v>
      </c>
    </row>
    <row r="1322" spans="12:18" ht="18.75">
      <c r="L1322" s="777">
        <v>5</v>
      </c>
      <c r="M1322" s="906"/>
      <c r="N1322" s="976">
        <v>0</v>
      </c>
      <c r="O1322" s="1020">
        <v>1269</v>
      </c>
      <c r="P1322" s="860" t="e">
        <f>VLOOKUP(N1322,etat!$A$9:$N$1004,2,FALSE)</f>
        <v>#N/A</v>
      </c>
      <c r="Q1322" s="797" t="e">
        <f>VLOOKUP(N1322,etat!$A$9:$N$963,7,FALSE)</f>
        <v>#N/A</v>
      </c>
      <c r="R1322" s="905" t="e">
        <f>VLOOKUP(N1322,etat!$A$9:$N$1003,9,FALSE)</f>
        <v>#N/A</v>
      </c>
    </row>
    <row r="1323" spans="12:18" ht="18.75">
      <c r="L1323" s="777">
        <v>5</v>
      </c>
      <c r="M1323" s="906"/>
      <c r="N1323" s="976">
        <v>0</v>
      </c>
      <c r="O1323" s="1020">
        <v>1270</v>
      </c>
      <c r="P1323" s="860" t="e">
        <f>VLOOKUP(N1323,etat!$A$9:$N$1004,2,FALSE)</f>
        <v>#N/A</v>
      </c>
      <c r="Q1323" s="797" t="e">
        <f>VLOOKUP(N1323,etat!$A$9:$N$963,7,FALSE)</f>
        <v>#N/A</v>
      </c>
      <c r="R1323" s="905" t="e">
        <f>VLOOKUP(N1323,etat!$A$9:$N$1003,9,FALSE)</f>
        <v>#N/A</v>
      </c>
    </row>
    <row r="1324" spans="12:18" ht="18.75">
      <c r="L1324" s="777">
        <v>5</v>
      </c>
      <c r="M1324" s="906"/>
      <c r="N1324" s="976">
        <v>0</v>
      </c>
      <c r="O1324" s="1020">
        <v>1271</v>
      </c>
      <c r="P1324" s="860" t="e">
        <f>VLOOKUP(N1324,etat!$A$9:$N$1004,2,FALSE)</f>
        <v>#N/A</v>
      </c>
      <c r="Q1324" s="797" t="e">
        <f>VLOOKUP(N1324,etat!$A$9:$N$963,7,FALSE)</f>
        <v>#N/A</v>
      </c>
      <c r="R1324" s="905" t="e">
        <f>VLOOKUP(N1324,etat!$A$9:$N$1003,9,FALSE)</f>
        <v>#N/A</v>
      </c>
    </row>
    <row r="1325" spans="12:18" ht="18.75">
      <c r="L1325" s="777">
        <v>5</v>
      </c>
      <c r="M1325" s="906"/>
      <c r="N1325" s="976">
        <v>0</v>
      </c>
      <c r="O1325" s="1020">
        <v>1272</v>
      </c>
      <c r="P1325" s="860" t="e">
        <f>VLOOKUP(N1325,etat!$A$9:$N$1004,2,FALSE)</f>
        <v>#N/A</v>
      </c>
      <c r="Q1325" s="797" t="e">
        <f>VLOOKUP(N1325,etat!$A$9:$N$963,7,FALSE)</f>
        <v>#N/A</v>
      </c>
      <c r="R1325" s="905" t="e">
        <f>VLOOKUP(N1325,etat!$A$9:$N$1003,9,FALSE)</f>
        <v>#N/A</v>
      </c>
    </row>
    <row r="1326" spans="12:18" ht="18.75">
      <c r="L1326" s="777">
        <v>5</v>
      </c>
      <c r="M1326" s="906"/>
      <c r="N1326" s="976">
        <v>0</v>
      </c>
      <c r="O1326" s="1020">
        <v>1273</v>
      </c>
      <c r="P1326" s="860" t="e">
        <f>VLOOKUP(N1326,etat!$A$9:$N$1004,2,FALSE)</f>
        <v>#N/A</v>
      </c>
      <c r="Q1326" s="797" t="e">
        <f>VLOOKUP(N1326,etat!$A$9:$N$963,7,FALSE)</f>
        <v>#N/A</v>
      </c>
      <c r="R1326" s="905" t="e">
        <f>VLOOKUP(N1326,etat!$A$9:$N$1003,9,FALSE)</f>
        <v>#N/A</v>
      </c>
    </row>
    <row r="1327" spans="12:18" ht="18.75">
      <c r="L1327" s="777">
        <v>5</v>
      </c>
      <c r="M1327" s="906"/>
      <c r="N1327" s="976">
        <v>0</v>
      </c>
      <c r="O1327" s="1020">
        <v>1274</v>
      </c>
      <c r="P1327" s="860" t="e">
        <f>VLOOKUP(N1327,etat!$A$9:$N$1004,2,FALSE)</f>
        <v>#N/A</v>
      </c>
      <c r="Q1327" s="797" t="e">
        <f>VLOOKUP(N1327,etat!$A$9:$N$963,7,FALSE)</f>
        <v>#N/A</v>
      </c>
      <c r="R1327" s="905" t="e">
        <f>VLOOKUP(N1327,etat!$A$9:$N$1003,9,FALSE)</f>
        <v>#N/A</v>
      </c>
    </row>
    <row r="1328" spans="12:18" ht="18.75">
      <c r="L1328" s="777">
        <v>5</v>
      </c>
      <c r="M1328" s="906"/>
      <c r="N1328" s="976">
        <v>0</v>
      </c>
      <c r="O1328" s="1020">
        <v>1275</v>
      </c>
      <c r="P1328" s="860" t="e">
        <f>VLOOKUP(N1328,etat!$A$9:$N$1004,2,FALSE)</f>
        <v>#N/A</v>
      </c>
      <c r="Q1328" s="797" t="e">
        <f>VLOOKUP(N1328,etat!$A$9:$N$963,7,FALSE)</f>
        <v>#N/A</v>
      </c>
      <c r="R1328" s="905" t="e">
        <f>VLOOKUP(N1328,etat!$A$9:$N$1003,9,FALSE)</f>
        <v>#N/A</v>
      </c>
    </row>
    <row r="1329" spans="12:18" ht="18.75">
      <c r="L1329" s="777">
        <v>5</v>
      </c>
      <c r="M1329" s="906"/>
      <c r="N1329" s="976">
        <v>0</v>
      </c>
      <c r="O1329" s="1020">
        <v>1276</v>
      </c>
      <c r="P1329" s="860" t="e">
        <f>VLOOKUP(N1329,etat!$A$9:$N$1004,2,FALSE)</f>
        <v>#N/A</v>
      </c>
      <c r="Q1329" s="797" t="e">
        <f>VLOOKUP(N1329,etat!$A$9:$N$963,7,FALSE)</f>
        <v>#N/A</v>
      </c>
      <c r="R1329" s="905" t="e">
        <f>VLOOKUP(N1329,etat!$A$9:$N$1003,9,FALSE)</f>
        <v>#N/A</v>
      </c>
    </row>
    <row r="1330" spans="12:18" ht="18.75">
      <c r="L1330" s="777">
        <v>5</v>
      </c>
      <c r="M1330" s="906"/>
      <c r="N1330" s="976">
        <v>0</v>
      </c>
      <c r="O1330" s="1020">
        <v>1277</v>
      </c>
      <c r="P1330" s="860" t="e">
        <f>VLOOKUP(N1330,etat!$A$9:$N$1004,2,FALSE)</f>
        <v>#N/A</v>
      </c>
      <c r="Q1330" s="797" t="e">
        <f>VLOOKUP(N1330,etat!$A$9:$N$963,7,FALSE)</f>
        <v>#N/A</v>
      </c>
      <c r="R1330" s="905" t="e">
        <f>VLOOKUP(N1330,etat!$A$9:$N$1003,9,FALSE)</f>
        <v>#N/A</v>
      </c>
    </row>
    <row r="1331" spans="12:18" ht="18.75">
      <c r="L1331" s="777">
        <v>5</v>
      </c>
      <c r="M1331" s="906"/>
      <c r="N1331" s="976">
        <v>0</v>
      </c>
      <c r="O1331" s="1020">
        <v>1278</v>
      </c>
      <c r="P1331" s="860" t="e">
        <f>VLOOKUP(N1331,etat!$A$9:$N$1004,2,FALSE)</f>
        <v>#N/A</v>
      </c>
      <c r="Q1331" s="797" t="e">
        <f>VLOOKUP(N1331,etat!$A$9:$N$963,7,FALSE)</f>
        <v>#N/A</v>
      </c>
      <c r="R1331" s="905" t="e">
        <f>VLOOKUP(N1331,etat!$A$9:$N$1003,9,FALSE)</f>
        <v>#N/A</v>
      </c>
    </row>
    <row r="1332" spans="12:18" ht="18.75">
      <c r="L1332" s="777">
        <v>5</v>
      </c>
      <c r="M1332" s="906"/>
      <c r="N1332" s="976">
        <v>0</v>
      </c>
      <c r="O1332" s="1020">
        <v>1279</v>
      </c>
      <c r="P1332" s="860" t="e">
        <f>VLOOKUP(N1332,etat!$A$9:$N$1004,2,FALSE)</f>
        <v>#N/A</v>
      </c>
      <c r="Q1332" s="797" t="e">
        <f>VLOOKUP(N1332,etat!$A$9:$N$963,7,FALSE)</f>
        <v>#N/A</v>
      </c>
      <c r="R1332" s="905" t="e">
        <f>VLOOKUP(N1332,etat!$A$9:$N$1003,9,FALSE)</f>
        <v>#N/A</v>
      </c>
    </row>
    <row r="1333" spans="12:18" ht="18.75">
      <c r="L1333" s="777">
        <v>5</v>
      </c>
      <c r="M1333" s="906"/>
      <c r="N1333" s="976">
        <v>0</v>
      </c>
      <c r="O1333" s="1020">
        <v>1280</v>
      </c>
      <c r="P1333" s="860" t="e">
        <f>VLOOKUP(N1333,etat!$A$9:$N$1004,2,FALSE)</f>
        <v>#N/A</v>
      </c>
      <c r="Q1333" s="797" t="e">
        <f>VLOOKUP(N1333,etat!$A$9:$N$963,7,FALSE)</f>
        <v>#N/A</v>
      </c>
      <c r="R1333" s="905" t="e">
        <f>VLOOKUP(N1333,etat!$A$9:$N$1003,9,FALSE)</f>
        <v>#N/A</v>
      </c>
    </row>
    <row r="1334" spans="12:18" ht="18.75">
      <c r="L1334" s="777">
        <v>5</v>
      </c>
      <c r="M1334" s="906"/>
      <c r="N1334" s="976">
        <v>0</v>
      </c>
      <c r="O1334" s="1020">
        <v>1281</v>
      </c>
      <c r="P1334" s="860" t="e">
        <f>VLOOKUP(N1334,etat!$A$9:$N$1004,2,FALSE)</f>
        <v>#N/A</v>
      </c>
      <c r="Q1334" s="797" t="e">
        <f>VLOOKUP(N1334,etat!$A$9:$N$963,7,FALSE)</f>
        <v>#N/A</v>
      </c>
      <c r="R1334" s="905" t="e">
        <f>VLOOKUP(N1334,etat!$A$9:$N$1003,9,FALSE)</f>
        <v>#N/A</v>
      </c>
    </row>
    <row r="1335" spans="12:18" ht="18.75">
      <c r="L1335" s="777">
        <v>5</v>
      </c>
      <c r="M1335" s="906"/>
      <c r="N1335" s="976">
        <v>0</v>
      </c>
      <c r="O1335" s="1020">
        <v>1282</v>
      </c>
      <c r="P1335" s="860" t="e">
        <f>VLOOKUP(N1335,etat!$A$9:$N$1004,2,FALSE)</f>
        <v>#N/A</v>
      </c>
      <c r="Q1335" s="797" t="e">
        <f>VLOOKUP(N1335,etat!$A$9:$N$963,7,FALSE)</f>
        <v>#N/A</v>
      </c>
      <c r="R1335" s="905" t="e">
        <f>VLOOKUP(N1335,etat!$A$9:$N$1003,9,FALSE)</f>
        <v>#N/A</v>
      </c>
    </row>
    <row r="1336" spans="12:18" ht="18.75">
      <c r="L1336" s="777">
        <v>5</v>
      </c>
      <c r="M1336" s="906"/>
      <c r="N1336" s="976">
        <v>0</v>
      </c>
      <c r="O1336" s="1020">
        <v>1283</v>
      </c>
      <c r="P1336" s="860" t="e">
        <f>VLOOKUP(N1336,etat!$A$9:$N$1004,2,FALSE)</f>
        <v>#N/A</v>
      </c>
      <c r="Q1336" s="797" t="e">
        <f>VLOOKUP(N1336,etat!$A$9:$N$963,7,FALSE)</f>
        <v>#N/A</v>
      </c>
      <c r="R1336" s="905" t="e">
        <f>VLOOKUP(N1336,etat!$A$9:$N$1003,9,FALSE)</f>
        <v>#N/A</v>
      </c>
    </row>
    <row r="1337" spans="12:18" ht="18.75">
      <c r="L1337" s="777">
        <v>5</v>
      </c>
      <c r="M1337" s="906"/>
      <c r="N1337" s="976">
        <v>0</v>
      </c>
      <c r="O1337" s="1020">
        <v>1284</v>
      </c>
      <c r="P1337" s="860" t="e">
        <f>VLOOKUP(N1337,etat!$A$9:$N$1004,2,FALSE)</f>
        <v>#N/A</v>
      </c>
      <c r="Q1337" s="797" t="e">
        <f>VLOOKUP(N1337,etat!$A$9:$N$963,7,FALSE)</f>
        <v>#N/A</v>
      </c>
      <c r="R1337" s="905" t="e">
        <f>VLOOKUP(N1337,etat!$A$9:$N$1003,9,FALSE)</f>
        <v>#N/A</v>
      </c>
    </row>
    <row r="1338" spans="12:18" ht="18.75">
      <c r="L1338" s="777">
        <v>5</v>
      </c>
      <c r="M1338" s="906"/>
      <c r="N1338" s="976">
        <v>0</v>
      </c>
      <c r="O1338" s="1020">
        <v>1285</v>
      </c>
      <c r="P1338" s="860" t="e">
        <f>VLOOKUP(N1338,etat!$A$9:$N$1004,2,FALSE)</f>
        <v>#N/A</v>
      </c>
      <c r="Q1338" s="797" t="e">
        <f>VLOOKUP(N1338,etat!$A$9:$N$963,7,FALSE)</f>
        <v>#N/A</v>
      </c>
      <c r="R1338" s="905" t="e">
        <f>VLOOKUP(N1338,etat!$A$9:$N$1003,9,FALSE)</f>
        <v>#N/A</v>
      </c>
    </row>
    <row r="1339" spans="12:18" ht="18.75">
      <c r="L1339" s="777">
        <v>5</v>
      </c>
      <c r="M1339" s="906"/>
      <c r="N1339" s="976">
        <v>0</v>
      </c>
      <c r="O1339" s="1020">
        <v>1286</v>
      </c>
      <c r="P1339" s="860" t="e">
        <f>VLOOKUP(N1339,etat!$A$9:$N$1004,2,FALSE)</f>
        <v>#N/A</v>
      </c>
      <c r="Q1339" s="797" t="e">
        <f>VLOOKUP(N1339,etat!$A$9:$N$963,7,FALSE)</f>
        <v>#N/A</v>
      </c>
      <c r="R1339" s="905" t="e">
        <f>VLOOKUP(N1339,etat!$A$9:$N$1003,9,FALSE)</f>
        <v>#N/A</v>
      </c>
    </row>
    <row r="1340" spans="12:18" ht="18.75">
      <c r="L1340" s="777">
        <v>5</v>
      </c>
      <c r="M1340" s="906"/>
      <c r="N1340" s="976">
        <v>0</v>
      </c>
      <c r="O1340" s="1020">
        <v>1287</v>
      </c>
      <c r="P1340" s="860" t="e">
        <f>VLOOKUP(N1340,etat!$A$9:$N$1004,2,FALSE)</f>
        <v>#N/A</v>
      </c>
      <c r="Q1340" s="797" t="e">
        <f>VLOOKUP(N1340,etat!$A$9:$N$963,7,FALSE)</f>
        <v>#N/A</v>
      </c>
      <c r="R1340" s="905" t="e">
        <f>VLOOKUP(N1340,etat!$A$9:$N$1003,9,FALSE)</f>
        <v>#N/A</v>
      </c>
    </row>
    <row r="1341" spans="12:18" ht="18.75">
      <c r="L1341" s="777">
        <v>5</v>
      </c>
      <c r="M1341" s="906"/>
      <c r="N1341" s="976">
        <v>0</v>
      </c>
      <c r="O1341" s="1020">
        <v>1288</v>
      </c>
      <c r="P1341" s="860" t="e">
        <f>VLOOKUP(N1341,etat!$A$9:$N$1004,2,FALSE)</f>
        <v>#N/A</v>
      </c>
      <c r="Q1341" s="797" t="e">
        <f>VLOOKUP(N1341,etat!$A$9:$N$963,7,FALSE)</f>
        <v>#N/A</v>
      </c>
      <c r="R1341" s="905" t="e">
        <f>VLOOKUP(N1341,etat!$A$9:$N$1003,9,FALSE)</f>
        <v>#N/A</v>
      </c>
    </row>
    <row r="1342" spans="12:18" ht="18.75">
      <c r="L1342" s="777">
        <v>5</v>
      </c>
      <c r="M1342" s="906"/>
      <c r="N1342" s="976">
        <v>0</v>
      </c>
      <c r="O1342" s="1020">
        <v>1289</v>
      </c>
      <c r="P1342" s="860" t="e">
        <f>VLOOKUP(N1342,etat!$A$9:$N$1004,2,FALSE)</f>
        <v>#N/A</v>
      </c>
      <c r="Q1342" s="797" t="e">
        <f>VLOOKUP(N1342,etat!$A$9:$N$963,7,FALSE)</f>
        <v>#N/A</v>
      </c>
      <c r="R1342" s="905" t="e">
        <f>VLOOKUP(N1342,etat!$A$9:$N$1003,9,FALSE)</f>
        <v>#N/A</v>
      </c>
    </row>
    <row r="1343" spans="12:18" ht="18.75">
      <c r="L1343" s="777">
        <v>5</v>
      </c>
      <c r="M1343" s="906"/>
      <c r="N1343" s="976">
        <v>0</v>
      </c>
      <c r="O1343" s="1020">
        <v>1290</v>
      </c>
      <c r="P1343" s="860" t="e">
        <f>VLOOKUP(N1343,etat!$A$9:$N$1004,2,FALSE)</f>
        <v>#N/A</v>
      </c>
      <c r="Q1343" s="797" t="e">
        <f>VLOOKUP(N1343,etat!$A$9:$N$963,7,FALSE)</f>
        <v>#N/A</v>
      </c>
      <c r="R1343" s="905" t="e">
        <f>VLOOKUP(N1343,etat!$A$9:$N$1003,9,FALSE)</f>
        <v>#N/A</v>
      </c>
    </row>
    <row r="1344" spans="12:18" ht="18.75">
      <c r="L1344" s="777">
        <v>5</v>
      </c>
      <c r="M1344" s="906"/>
      <c r="N1344" s="976">
        <v>0</v>
      </c>
      <c r="O1344" s="1020">
        <v>1291</v>
      </c>
      <c r="P1344" s="860" t="e">
        <f>VLOOKUP(N1344,etat!$A$9:$N$1004,2,FALSE)</f>
        <v>#N/A</v>
      </c>
      <c r="Q1344" s="797" t="e">
        <f>VLOOKUP(N1344,etat!$A$9:$N$963,7,FALSE)</f>
        <v>#N/A</v>
      </c>
      <c r="R1344" s="905" t="e">
        <f>VLOOKUP(N1344,etat!$A$9:$N$1003,9,FALSE)</f>
        <v>#N/A</v>
      </c>
    </row>
    <row r="1345" spans="12:18" ht="18.75">
      <c r="L1345" s="777">
        <v>5</v>
      </c>
      <c r="M1345" s="906"/>
      <c r="N1345" s="976">
        <v>0</v>
      </c>
      <c r="O1345" s="1020">
        <v>1292</v>
      </c>
      <c r="P1345" s="860" t="e">
        <f>VLOOKUP(N1345,etat!$A$9:$N$1004,2,FALSE)</f>
        <v>#N/A</v>
      </c>
      <c r="Q1345" s="797" t="e">
        <f>VLOOKUP(N1345,etat!$A$9:$N$963,7,FALSE)</f>
        <v>#N/A</v>
      </c>
      <c r="R1345" s="905" t="e">
        <f>VLOOKUP(N1345,etat!$A$9:$N$1003,9,FALSE)</f>
        <v>#N/A</v>
      </c>
    </row>
    <row r="1346" spans="12:18" ht="18.75">
      <c r="L1346" s="777">
        <v>5</v>
      </c>
      <c r="M1346" s="906"/>
      <c r="N1346" s="976">
        <v>0</v>
      </c>
      <c r="O1346" s="1020">
        <v>1293</v>
      </c>
      <c r="P1346" s="860" t="e">
        <f>VLOOKUP(N1346,etat!$A$9:$N$1004,2,FALSE)</f>
        <v>#N/A</v>
      </c>
      <c r="Q1346" s="797" t="e">
        <f>VLOOKUP(N1346,etat!$A$9:$N$963,7,FALSE)</f>
        <v>#N/A</v>
      </c>
      <c r="R1346" s="905" t="e">
        <f>VLOOKUP(N1346,etat!$A$9:$N$1003,9,FALSE)</f>
        <v>#N/A</v>
      </c>
    </row>
    <row r="1347" spans="12:18" ht="18.75">
      <c r="L1347" s="777">
        <v>5</v>
      </c>
      <c r="M1347" s="906"/>
      <c r="N1347" s="976">
        <v>0</v>
      </c>
      <c r="O1347" s="1020">
        <v>1294</v>
      </c>
      <c r="P1347" s="860" t="e">
        <f>VLOOKUP(N1347,etat!$A$9:$N$1004,2,FALSE)</f>
        <v>#N/A</v>
      </c>
      <c r="Q1347" s="797" t="e">
        <f>VLOOKUP(N1347,etat!$A$9:$N$963,7,FALSE)</f>
        <v>#N/A</v>
      </c>
      <c r="R1347" s="905" t="e">
        <f>VLOOKUP(N1347,etat!$A$9:$N$1003,9,FALSE)</f>
        <v>#N/A</v>
      </c>
    </row>
    <row r="1348" spans="12:18" ht="18.75">
      <c r="L1348" s="777">
        <v>5</v>
      </c>
      <c r="M1348" s="906"/>
      <c r="N1348" s="976">
        <v>0</v>
      </c>
      <c r="O1348" s="1020">
        <v>1295</v>
      </c>
      <c r="P1348" s="860" t="e">
        <f>VLOOKUP(N1348,etat!$A$9:$N$1004,2,FALSE)</f>
        <v>#N/A</v>
      </c>
      <c r="Q1348" s="797" t="e">
        <f>VLOOKUP(N1348,etat!$A$9:$N$963,7,FALSE)</f>
        <v>#N/A</v>
      </c>
      <c r="R1348" s="905" t="e">
        <f>VLOOKUP(N1348,etat!$A$9:$N$1003,9,FALSE)</f>
        <v>#N/A</v>
      </c>
    </row>
    <row r="1349" spans="12:18" ht="18.75">
      <c r="L1349" s="777">
        <v>5</v>
      </c>
      <c r="M1349" s="906"/>
      <c r="N1349" s="976">
        <v>0</v>
      </c>
      <c r="O1349" s="1020">
        <v>1296</v>
      </c>
      <c r="P1349" s="860" t="e">
        <f>VLOOKUP(N1349,etat!$A$9:$N$1004,2,FALSE)</f>
        <v>#N/A</v>
      </c>
      <c r="Q1349" s="797" t="e">
        <f>VLOOKUP(N1349,etat!$A$9:$N$963,7,FALSE)</f>
        <v>#N/A</v>
      </c>
      <c r="R1349" s="905" t="e">
        <f>VLOOKUP(N1349,etat!$A$9:$N$1003,9,FALSE)</f>
        <v>#N/A</v>
      </c>
    </row>
    <row r="1350" spans="12:18" ht="18.75">
      <c r="L1350" s="777">
        <v>5</v>
      </c>
      <c r="M1350" s="906"/>
      <c r="N1350" s="976">
        <v>0</v>
      </c>
      <c r="O1350" s="1020">
        <v>1297</v>
      </c>
      <c r="P1350" s="860" t="e">
        <f>VLOOKUP(N1350,etat!$A$9:$N$1004,2,FALSE)</f>
        <v>#N/A</v>
      </c>
      <c r="Q1350" s="797" t="e">
        <f>VLOOKUP(N1350,etat!$A$9:$N$963,7,FALSE)</f>
        <v>#N/A</v>
      </c>
      <c r="R1350" s="905" t="e">
        <f>VLOOKUP(N1350,etat!$A$9:$N$1003,9,FALSE)</f>
        <v>#N/A</v>
      </c>
    </row>
    <row r="1351" spans="12:18" ht="18.75">
      <c r="L1351" s="777">
        <v>5</v>
      </c>
      <c r="M1351" s="906"/>
      <c r="N1351" s="976">
        <v>0</v>
      </c>
      <c r="O1351" s="1020">
        <v>1298</v>
      </c>
      <c r="P1351" s="860" t="e">
        <f>VLOOKUP(N1351,etat!$A$9:$N$1004,2,FALSE)</f>
        <v>#N/A</v>
      </c>
      <c r="Q1351" s="797" t="e">
        <f>VLOOKUP(N1351,etat!$A$9:$N$963,7,FALSE)</f>
        <v>#N/A</v>
      </c>
      <c r="R1351" s="905" t="e">
        <f>VLOOKUP(N1351,etat!$A$9:$N$1003,9,FALSE)</f>
        <v>#N/A</v>
      </c>
    </row>
    <row r="1352" spans="12:18" ht="18.75">
      <c r="L1352" s="777">
        <v>5</v>
      </c>
      <c r="M1352" s="906"/>
      <c r="N1352" s="976">
        <v>0</v>
      </c>
      <c r="O1352" s="1020">
        <v>1299</v>
      </c>
      <c r="P1352" s="860" t="e">
        <f>VLOOKUP(N1352,etat!$A$9:$N$1004,2,FALSE)</f>
        <v>#N/A</v>
      </c>
      <c r="Q1352" s="797" t="e">
        <f>VLOOKUP(N1352,etat!$A$9:$N$963,7,FALSE)</f>
        <v>#N/A</v>
      </c>
      <c r="R1352" s="905" t="e">
        <f>VLOOKUP(N1352,etat!$A$9:$N$1003,9,FALSE)</f>
        <v>#N/A</v>
      </c>
    </row>
    <row r="1353" spans="12:18" ht="18.75">
      <c r="L1353" s="777">
        <v>5</v>
      </c>
      <c r="M1353" s="906"/>
      <c r="N1353" s="976">
        <v>0</v>
      </c>
      <c r="O1353" s="1020">
        <v>1300</v>
      </c>
      <c r="P1353" s="860" t="e">
        <f>VLOOKUP(N1353,etat!$A$9:$N$1004,2,FALSE)</f>
        <v>#N/A</v>
      </c>
      <c r="Q1353" s="797" t="e">
        <f>VLOOKUP(N1353,etat!$A$9:$N$963,7,FALSE)</f>
        <v>#N/A</v>
      </c>
      <c r="R1353" s="905" t="e">
        <f>VLOOKUP(N1353,etat!$A$9:$N$1003,9,FALSE)</f>
        <v>#N/A</v>
      </c>
    </row>
    <row r="1354" spans="12:18" ht="18.75">
      <c r="L1354" s="777">
        <v>5</v>
      </c>
      <c r="M1354" s="906"/>
      <c r="N1354" s="976">
        <v>0</v>
      </c>
      <c r="O1354" s="1020">
        <v>1301</v>
      </c>
      <c r="P1354" s="860" t="e">
        <f>VLOOKUP(N1354,etat!$A$9:$N$1004,2,FALSE)</f>
        <v>#N/A</v>
      </c>
      <c r="Q1354" s="797" t="e">
        <f>VLOOKUP(N1354,etat!$A$9:$N$963,7,FALSE)</f>
        <v>#N/A</v>
      </c>
      <c r="R1354" s="905" t="e">
        <f>VLOOKUP(N1354,etat!$A$9:$N$1003,9,FALSE)</f>
        <v>#N/A</v>
      </c>
    </row>
    <row r="1355" spans="12:18" ht="18.75">
      <c r="L1355" s="777">
        <v>5</v>
      </c>
      <c r="M1355" s="906"/>
      <c r="N1355" s="976">
        <v>0</v>
      </c>
      <c r="O1355" s="1020">
        <v>1302</v>
      </c>
      <c r="P1355" s="860" t="e">
        <f>VLOOKUP(N1355,etat!$A$9:$N$1004,2,FALSE)</f>
        <v>#N/A</v>
      </c>
      <c r="Q1355" s="797" t="e">
        <f>VLOOKUP(N1355,etat!$A$9:$N$963,7,FALSE)</f>
        <v>#N/A</v>
      </c>
      <c r="R1355" s="905" t="e">
        <f>VLOOKUP(N1355,etat!$A$9:$N$1003,9,FALSE)</f>
        <v>#N/A</v>
      </c>
    </row>
    <row r="1356" spans="12:18" ht="18.75">
      <c r="L1356" s="777">
        <v>5</v>
      </c>
      <c r="M1356" s="906"/>
      <c r="N1356" s="976">
        <v>0</v>
      </c>
      <c r="O1356" s="1020">
        <v>1303</v>
      </c>
      <c r="P1356" s="860" t="e">
        <f>VLOOKUP(N1356,etat!$A$9:$N$1004,2,FALSE)</f>
        <v>#N/A</v>
      </c>
      <c r="Q1356" s="797" t="e">
        <f>VLOOKUP(N1356,etat!$A$9:$N$963,7,FALSE)</f>
        <v>#N/A</v>
      </c>
      <c r="R1356" s="905" t="e">
        <f>VLOOKUP(N1356,etat!$A$9:$N$1003,9,FALSE)</f>
        <v>#N/A</v>
      </c>
    </row>
    <row r="1357" spans="12:18" ht="18.75">
      <c r="L1357" s="777">
        <v>5</v>
      </c>
      <c r="M1357" s="906"/>
      <c r="N1357" s="976">
        <v>0</v>
      </c>
      <c r="O1357" s="1020">
        <v>1304</v>
      </c>
      <c r="P1357" s="860" t="e">
        <f>VLOOKUP(N1357,etat!$A$9:$N$1004,2,FALSE)</f>
        <v>#N/A</v>
      </c>
      <c r="Q1357" s="797" t="e">
        <f>VLOOKUP(N1357,etat!$A$9:$N$963,7,FALSE)</f>
        <v>#N/A</v>
      </c>
      <c r="R1357" s="905" t="e">
        <f>VLOOKUP(N1357,etat!$A$9:$N$1003,9,FALSE)</f>
        <v>#N/A</v>
      </c>
    </row>
    <row r="1358" spans="12:18" ht="18.75">
      <c r="L1358" s="777">
        <v>5</v>
      </c>
      <c r="M1358" s="906"/>
      <c r="N1358" s="976">
        <v>0</v>
      </c>
      <c r="O1358" s="1020">
        <v>1305</v>
      </c>
      <c r="P1358" s="860" t="e">
        <f>VLOOKUP(N1358,etat!$A$9:$N$1004,2,FALSE)</f>
        <v>#N/A</v>
      </c>
      <c r="Q1358" s="797" t="e">
        <f>VLOOKUP(N1358,etat!$A$9:$N$963,7,FALSE)</f>
        <v>#N/A</v>
      </c>
      <c r="R1358" s="905" t="e">
        <f>VLOOKUP(N1358,etat!$A$9:$N$1003,9,FALSE)</f>
        <v>#N/A</v>
      </c>
    </row>
    <row r="1359" spans="12:18" ht="18.75">
      <c r="L1359" s="777">
        <v>5</v>
      </c>
      <c r="M1359" s="906"/>
      <c r="N1359" s="976">
        <v>0</v>
      </c>
      <c r="O1359" s="1020">
        <v>1306</v>
      </c>
      <c r="P1359" s="860" t="e">
        <f>VLOOKUP(N1359,etat!$A$9:$N$1004,2,FALSE)</f>
        <v>#N/A</v>
      </c>
      <c r="Q1359" s="797" t="e">
        <f>VLOOKUP(N1359,etat!$A$9:$N$963,7,FALSE)</f>
        <v>#N/A</v>
      </c>
      <c r="R1359" s="905" t="e">
        <f>VLOOKUP(N1359,etat!$A$9:$N$1003,9,FALSE)</f>
        <v>#N/A</v>
      </c>
    </row>
    <row r="1360" spans="12:18" ht="18.75">
      <c r="L1360" s="777">
        <v>5</v>
      </c>
      <c r="M1360" s="906"/>
      <c r="N1360" s="976">
        <v>0</v>
      </c>
      <c r="O1360" s="1020">
        <v>1307</v>
      </c>
      <c r="P1360" s="860" t="e">
        <f>VLOOKUP(N1360,etat!$A$9:$N$1004,2,FALSE)</f>
        <v>#N/A</v>
      </c>
      <c r="Q1360" s="797" t="e">
        <f>VLOOKUP(N1360,etat!$A$9:$N$963,7,FALSE)</f>
        <v>#N/A</v>
      </c>
      <c r="R1360" s="905" t="e">
        <f>VLOOKUP(N1360,etat!$A$9:$N$1003,9,FALSE)</f>
        <v>#N/A</v>
      </c>
    </row>
    <row r="1361" spans="12:18" ht="18.75">
      <c r="L1361" s="777">
        <v>5</v>
      </c>
      <c r="M1361" s="906"/>
      <c r="N1361" s="976">
        <v>0</v>
      </c>
      <c r="O1361" s="1020">
        <v>1308</v>
      </c>
      <c r="P1361" s="860" t="e">
        <f>VLOOKUP(N1361,etat!$A$9:$N$1004,2,FALSE)</f>
        <v>#N/A</v>
      </c>
      <c r="Q1361" s="797" t="e">
        <f>VLOOKUP(N1361,etat!$A$9:$N$963,7,FALSE)</f>
        <v>#N/A</v>
      </c>
      <c r="R1361" s="905" t="e">
        <f>VLOOKUP(N1361,etat!$A$9:$N$1003,9,FALSE)</f>
        <v>#N/A</v>
      </c>
    </row>
    <row r="1362" spans="12:18" ht="18.75">
      <c r="L1362" s="777">
        <v>5</v>
      </c>
      <c r="M1362" s="906"/>
      <c r="N1362" s="976">
        <v>0</v>
      </c>
      <c r="O1362" s="1020">
        <v>1309</v>
      </c>
      <c r="P1362" s="860" t="e">
        <f>VLOOKUP(N1362,etat!$A$9:$N$1004,2,FALSE)</f>
        <v>#N/A</v>
      </c>
      <c r="Q1362" s="797" t="e">
        <f>VLOOKUP(N1362,etat!$A$9:$N$963,7,FALSE)</f>
        <v>#N/A</v>
      </c>
      <c r="R1362" s="905" t="e">
        <f>VLOOKUP(N1362,etat!$A$9:$N$1003,9,FALSE)</f>
        <v>#N/A</v>
      </c>
    </row>
    <row r="1363" spans="12:18" ht="18.75">
      <c r="L1363" s="777">
        <v>5</v>
      </c>
      <c r="M1363" s="906"/>
      <c r="N1363" s="976">
        <v>0</v>
      </c>
      <c r="O1363" s="1020">
        <v>1310</v>
      </c>
      <c r="P1363" s="860" t="e">
        <f>VLOOKUP(N1363,etat!$A$9:$N$1004,2,FALSE)</f>
        <v>#N/A</v>
      </c>
      <c r="Q1363" s="797" t="e">
        <f>VLOOKUP(N1363,etat!$A$9:$N$963,7,FALSE)</f>
        <v>#N/A</v>
      </c>
      <c r="R1363" s="905" t="e">
        <f>VLOOKUP(N1363,etat!$A$9:$N$1003,9,FALSE)</f>
        <v>#N/A</v>
      </c>
    </row>
    <row r="1364" spans="12:18" ht="18.75">
      <c r="L1364" s="777">
        <v>5</v>
      </c>
      <c r="M1364" s="906"/>
      <c r="N1364" s="976">
        <v>0</v>
      </c>
      <c r="O1364" s="1020">
        <v>1311</v>
      </c>
      <c r="P1364" s="860" t="e">
        <f>VLOOKUP(N1364,etat!$A$9:$N$1004,2,FALSE)</f>
        <v>#N/A</v>
      </c>
      <c r="Q1364" s="797" t="e">
        <f>VLOOKUP(N1364,etat!$A$9:$N$963,7,FALSE)</f>
        <v>#N/A</v>
      </c>
      <c r="R1364" s="905" t="e">
        <f>VLOOKUP(N1364,etat!$A$9:$N$1003,9,FALSE)</f>
        <v>#N/A</v>
      </c>
    </row>
    <row r="1365" spans="12:18" ht="18.75">
      <c r="L1365" s="777">
        <v>5</v>
      </c>
      <c r="M1365" s="906"/>
      <c r="N1365" s="976">
        <v>0</v>
      </c>
      <c r="O1365" s="1020">
        <v>1312</v>
      </c>
      <c r="P1365" s="860" t="e">
        <f>VLOOKUP(N1365,etat!$A$9:$N$1004,2,FALSE)</f>
        <v>#N/A</v>
      </c>
      <c r="Q1365" s="797" t="e">
        <f>VLOOKUP(N1365,etat!$A$9:$N$963,7,FALSE)</f>
        <v>#N/A</v>
      </c>
      <c r="R1365" s="905" t="e">
        <f>VLOOKUP(N1365,etat!$A$9:$N$1003,9,FALSE)</f>
        <v>#N/A</v>
      </c>
    </row>
    <row r="1366" spans="12:18" ht="18.75">
      <c r="L1366" s="777">
        <v>5</v>
      </c>
      <c r="M1366" s="906"/>
      <c r="N1366" s="976">
        <v>0</v>
      </c>
      <c r="O1366" s="1020">
        <v>1313</v>
      </c>
      <c r="P1366" s="860" t="e">
        <f>VLOOKUP(N1366,etat!$A$9:$N$1004,2,FALSE)</f>
        <v>#N/A</v>
      </c>
      <c r="Q1366" s="797" t="e">
        <f>VLOOKUP(N1366,etat!$A$9:$N$963,7,FALSE)</f>
        <v>#N/A</v>
      </c>
      <c r="R1366" s="905" t="e">
        <f>VLOOKUP(N1366,etat!$A$9:$N$1003,9,FALSE)</f>
        <v>#N/A</v>
      </c>
    </row>
    <row r="1367" spans="12:18" ht="18.75">
      <c r="L1367" s="777">
        <v>5</v>
      </c>
      <c r="M1367" s="906"/>
      <c r="N1367" s="976">
        <v>0</v>
      </c>
      <c r="O1367" s="1020">
        <v>1314</v>
      </c>
      <c r="P1367" s="860" t="e">
        <f>VLOOKUP(N1367,etat!$A$9:$N$1004,2,FALSE)</f>
        <v>#N/A</v>
      </c>
      <c r="Q1367" s="797" t="e">
        <f>VLOOKUP(N1367,etat!$A$9:$N$963,7,FALSE)</f>
        <v>#N/A</v>
      </c>
      <c r="R1367" s="905" t="e">
        <f>VLOOKUP(N1367,etat!$A$9:$N$1003,9,FALSE)</f>
        <v>#N/A</v>
      </c>
    </row>
    <row r="1368" spans="12:18" ht="18.75">
      <c r="L1368" s="777">
        <v>5</v>
      </c>
      <c r="M1368" s="906"/>
      <c r="N1368" s="976">
        <v>0</v>
      </c>
      <c r="O1368" s="1020">
        <v>1315</v>
      </c>
      <c r="P1368" s="860" t="e">
        <f>VLOOKUP(N1368,etat!$A$9:$N$1004,2,FALSE)</f>
        <v>#N/A</v>
      </c>
      <c r="Q1368" s="797" t="e">
        <f>VLOOKUP(N1368,etat!$A$9:$N$963,7,FALSE)</f>
        <v>#N/A</v>
      </c>
      <c r="R1368" s="905" t="e">
        <f>VLOOKUP(N1368,etat!$A$9:$N$1003,9,FALSE)</f>
        <v>#N/A</v>
      </c>
    </row>
    <row r="1369" spans="12:18" ht="18.75">
      <c r="L1369" s="777">
        <v>5</v>
      </c>
      <c r="M1369" s="906"/>
      <c r="N1369" s="976">
        <v>0</v>
      </c>
      <c r="O1369" s="1020">
        <v>1316</v>
      </c>
      <c r="P1369" s="860" t="e">
        <f>VLOOKUP(N1369,etat!$A$9:$N$1004,2,FALSE)</f>
        <v>#N/A</v>
      </c>
      <c r="Q1369" s="797" t="e">
        <f>VLOOKUP(N1369,etat!$A$9:$N$963,7,FALSE)</f>
        <v>#N/A</v>
      </c>
      <c r="R1369" s="905" t="e">
        <f>VLOOKUP(N1369,etat!$A$9:$N$1003,9,FALSE)</f>
        <v>#N/A</v>
      </c>
    </row>
    <row r="1370" spans="12:18" ht="18.75">
      <c r="L1370" s="777">
        <v>5</v>
      </c>
      <c r="M1370" s="906"/>
      <c r="N1370" s="976">
        <v>0</v>
      </c>
      <c r="O1370" s="1020">
        <v>1317</v>
      </c>
      <c r="P1370" s="860" t="e">
        <f>VLOOKUP(N1370,etat!$A$9:$N$1004,2,FALSE)</f>
        <v>#N/A</v>
      </c>
      <c r="Q1370" s="797" t="e">
        <f>VLOOKUP(N1370,etat!$A$9:$N$963,7,FALSE)</f>
        <v>#N/A</v>
      </c>
      <c r="R1370" s="905" t="e">
        <f>VLOOKUP(N1370,etat!$A$9:$N$1003,9,FALSE)</f>
        <v>#N/A</v>
      </c>
    </row>
    <row r="1371" spans="12:18" ht="18.75">
      <c r="L1371" s="777">
        <v>5</v>
      </c>
      <c r="M1371" s="906"/>
      <c r="N1371" s="976">
        <v>0</v>
      </c>
      <c r="O1371" s="1020">
        <v>1318</v>
      </c>
      <c r="P1371" s="860" t="e">
        <f>VLOOKUP(N1371,etat!$A$9:$N$1004,2,FALSE)</f>
        <v>#N/A</v>
      </c>
      <c r="Q1371" s="797" t="e">
        <f>VLOOKUP(N1371,etat!$A$9:$N$963,7,FALSE)</f>
        <v>#N/A</v>
      </c>
      <c r="R1371" s="905" t="e">
        <f>VLOOKUP(N1371,etat!$A$9:$N$1003,9,FALSE)</f>
        <v>#N/A</v>
      </c>
    </row>
    <row r="1372" spans="12:18" ht="18.75">
      <c r="L1372" s="777">
        <v>5</v>
      </c>
      <c r="M1372" s="906"/>
      <c r="N1372" s="976">
        <v>0</v>
      </c>
      <c r="O1372" s="1020">
        <v>1319</v>
      </c>
      <c r="P1372" s="860" t="e">
        <f>VLOOKUP(N1372,etat!$A$9:$N$1004,2,FALSE)</f>
        <v>#N/A</v>
      </c>
      <c r="Q1372" s="797" t="e">
        <f>VLOOKUP(N1372,etat!$A$9:$N$963,7,FALSE)</f>
        <v>#N/A</v>
      </c>
      <c r="R1372" s="905" t="e">
        <f>VLOOKUP(N1372,etat!$A$9:$N$1003,9,FALSE)</f>
        <v>#N/A</v>
      </c>
    </row>
    <row r="1373" spans="12:18" ht="18.75">
      <c r="L1373" s="777">
        <v>5</v>
      </c>
      <c r="M1373" s="906"/>
      <c r="N1373" s="976">
        <v>0</v>
      </c>
      <c r="O1373" s="1020">
        <v>1320</v>
      </c>
      <c r="P1373" s="860" t="e">
        <f>VLOOKUP(N1373,etat!$A$9:$N$1004,2,FALSE)</f>
        <v>#N/A</v>
      </c>
      <c r="Q1373" s="797" t="e">
        <f>VLOOKUP(N1373,etat!$A$9:$N$963,7,FALSE)</f>
        <v>#N/A</v>
      </c>
      <c r="R1373" s="905" t="e">
        <f>VLOOKUP(N1373,etat!$A$9:$N$1003,9,FALSE)</f>
        <v>#N/A</v>
      </c>
    </row>
    <row r="1374" spans="12:18" ht="18.75">
      <c r="L1374" s="777">
        <v>5</v>
      </c>
      <c r="M1374" s="906"/>
      <c r="N1374" s="976">
        <v>0</v>
      </c>
      <c r="O1374" s="1020">
        <v>1321</v>
      </c>
      <c r="P1374" s="860" t="e">
        <f>VLOOKUP(N1374,etat!$A$9:$N$1004,2,FALSE)</f>
        <v>#N/A</v>
      </c>
      <c r="Q1374" s="797" t="e">
        <f>VLOOKUP(N1374,etat!$A$9:$N$963,7,FALSE)</f>
        <v>#N/A</v>
      </c>
      <c r="R1374" s="905" t="e">
        <f>VLOOKUP(N1374,etat!$A$9:$N$1003,9,FALSE)</f>
        <v>#N/A</v>
      </c>
    </row>
    <row r="1375" spans="12:18" ht="18.75">
      <c r="L1375" s="777">
        <v>5</v>
      </c>
      <c r="M1375" s="906"/>
      <c r="N1375" s="976">
        <v>0</v>
      </c>
      <c r="O1375" s="1020">
        <v>1322</v>
      </c>
      <c r="P1375" s="860" t="e">
        <f>VLOOKUP(N1375,etat!$A$9:$N$1004,2,FALSE)</f>
        <v>#N/A</v>
      </c>
      <c r="Q1375" s="797" t="e">
        <f>VLOOKUP(N1375,etat!$A$9:$N$963,7,FALSE)</f>
        <v>#N/A</v>
      </c>
      <c r="R1375" s="905" t="e">
        <f>VLOOKUP(N1375,etat!$A$9:$N$1003,9,FALSE)</f>
        <v>#N/A</v>
      </c>
    </row>
    <row r="1376" spans="12:18" ht="18.75">
      <c r="L1376" s="777">
        <v>5</v>
      </c>
      <c r="M1376" s="906"/>
      <c r="N1376" s="976">
        <v>0</v>
      </c>
      <c r="O1376" s="1020">
        <v>1323</v>
      </c>
      <c r="P1376" s="860" t="e">
        <f>VLOOKUP(N1376,etat!$A$9:$N$1004,2,FALSE)</f>
        <v>#N/A</v>
      </c>
      <c r="Q1376" s="797" t="e">
        <f>VLOOKUP(N1376,etat!$A$9:$N$963,7,FALSE)</f>
        <v>#N/A</v>
      </c>
      <c r="R1376" s="905" t="e">
        <f>VLOOKUP(N1376,etat!$A$9:$N$1003,9,FALSE)</f>
        <v>#N/A</v>
      </c>
    </row>
    <row r="1377" spans="12:18" ht="18.75">
      <c r="L1377" s="777">
        <v>5</v>
      </c>
      <c r="M1377" s="906"/>
      <c r="N1377" s="976">
        <v>0</v>
      </c>
      <c r="O1377" s="1020">
        <v>1324</v>
      </c>
      <c r="P1377" s="860" t="e">
        <f>VLOOKUP(N1377,etat!$A$9:$N$1004,2,FALSE)</f>
        <v>#N/A</v>
      </c>
      <c r="Q1377" s="797" t="e">
        <f>VLOOKUP(N1377,etat!$A$9:$N$963,7,FALSE)</f>
        <v>#N/A</v>
      </c>
      <c r="R1377" s="905" t="e">
        <f>VLOOKUP(N1377,etat!$A$9:$N$1003,9,FALSE)</f>
        <v>#N/A</v>
      </c>
    </row>
    <row r="1378" spans="12:18" ht="18.75">
      <c r="L1378" s="777">
        <v>5</v>
      </c>
      <c r="M1378" s="906"/>
      <c r="N1378" s="976">
        <v>0</v>
      </c>
      <c r="O1378" s="1020">
        <v>1325</v>
      </c>
      <c r="P1378" s="860" t="e">
        <f>VLOOKUP(N1378,etat!$A$9:$N$1004,2,FALSE)</f>
        <v>#N/A</v>
      </c>
      <c r="Q1378" s="797" t="e">
        <f>VLOOKUP(N1378,etat!$A$9:$N$963,7,FALSE)</f>
        <v>#N/A</v>
      </c>
      <c r="R1378" s="905" t="e">
        <f>VLOOKUP(N1378,etat!$A$9:$N$1003,9,FALSE)</f>
        <v>#N/A</v>
      </c>
    </row>
    <row r="1379" spans="12:18" ht="18.75">
      <c r="L1379" s="777">
        <v>5</v>
      </c>
      <c r="M1379" s="906"/>
      <c r="N1379" s="976">
        <v>0</v>
      </c>
      <c r="O1379" s="1020">
        <v>1326</v>
      </c>
      <c r="P1379" s="860" t="e">
        <f>VLOOKUP(N1379,etat!$A$9:$N$1004,2,FALSE)</f>
        <v>#N/A</v>
      </c>
      <c r="Q1379" s="797" t="e">
        <f>VLOOKUP(N1379,etat!$A$9:$N$963,7,FALSE)</f>
        <v>#N/A</v>
      </c>
      <c r="R1379" s="905" t="e">
        <f>VLOOKUP(N1379,etat!$A$9:$N$1003,9,FALSE)</f>
        <v>#N/A</v>
      </c>
    </row>
    <row r="1380" spans="12:18" ht="18.75">
      <c r="L1380" s="777">
        <v>5</v>
      </c>
      <c r="M1380" s="906"/>
      <c r="N1380" s="976">
        <v>0</v>
      </c>
      <c r="O1380" s="1020">
        <v>1327</v>
      </c>
      <c r="P1380" s="860" t="e">
        <f>VLOOKUP(N1380,etat!$A$9:$N$1004,2,FALSE)</f>
        <v>#N/A</v>
      </c>
      <c r="Q1380" s="797" t="e">
        <f>VLOOKUP(N1380,etat!$A$9:$N$963,7,FALSE)</f>
        <v>#N/A</v>
      </c>
      <c r="R1380" s="905" t="e">
        <f>VLOOKUP(N1380,etat!$A$9:$N$1003,9,FALSE)</f>
        <v>#N/A</v>
      </c>
    </row>
    <row r="1381" spans="12:18" ht="15.75">
      <c r="L1381" s="777">
        <v>5</v>
      </c>
      <c r="M1381" s="906"/>
      <c r="N1381" s="976">
        <v>0</v>
      </c>
    </row>
    <row r="1382" spans="12:18" ht="15.75">
      <c r="L1382" s="777">
        <v>5</v>
      </c>
      <c r="M1382" s="906"/>
      <c r="N1382" s="976">
        <v>0</v>
      </c>
    </row>
    <row r="1383" spans="12:18" ht="15.75">
      <c r="L1383" s="777">
        <v>5</v>
      </c>
      <c r="M1383" s="906"/>
      <c r="N1383" s="976">
        <v>0</v>
      </c>
    </row>
    <row r="1384" spans="12:18" ht="15.75">
      <c r="L1384" s="777">
        <v>5</v>
      </c>
      <c r="M1384" s="906"/>
      <c r="N1384" s="976">
        <v>0</v>
      </c>
    </row>
    <row r="1385" spans="12:18" ht="15.75">
      <c r="L1385" s="777">
        <v>5</v>
      </c>
      <c r="M1385" s="906"/>
      <c r="N1385" s="976">
        <v>0</v>
      </c>
    </row>
    <row r="1386" spans="12:18" ht="15.75">
      <c r="L1386" s="777">
        <v>5</v>
      </c>
      <c r="M1386" s="906"/>
      <c r="N1386" s="976">
        <v>0</v>
      </c>
    </row>
    <row r="1387" spans="12:18" ht="15.75">
      <c r="L1387" s="777">
        <v>5</v>
      </c>
      <c r="M1387" s="906"/>
      <c r="N1387" s="976">
        <v>0</v>
      </c>
    </row>
    <row r="1388" spans="12:18" ht="15.75">
      <c r="L1388" s="777">
        <v>5</v>
      </c>
      <c r="M1388" s="906"/>
      <c r="N1388" s="976">
        <v>0</v>
      </c>
    </row>
    <row r="1389" spans="12:18" ht="15.75">
      <c r="L1389" s="777">
        <v>5</v>
      </c>
      <c r="M1389" s="906"/>
      <c r="N1389" s="976">
        <v>0</v>
      </c>
    </row>
    <row r="1390" spans="12:18" ht="15.75">
      <c r="L1390" s="777">
        <v>5</v>
      </c>
      <c r="M1390" s="906"/>
      <c r="N1390" s="976">
        <v>0</v>
      </c>
    </row>
    <row r="1391" spans="12:18" ht="15.75">
      <c r="L1391" s="777">
        <v>5</v>
      </c>
      <c r="M1391" s="906"/>
      <c r="N1391" s="976">
        <v>0</v>
      </c>
    </row>
    <row r="1392" spans="12:18" ht="15.75">
      <c r="L1392" s="777">
        <v>5</v>
      </c>
      <c r="M1392" s="906"/>
      <c r="N1392" s="976">
        <v>0</v>
      </c>
    </row>
    <row r="1393" spans="12:14" ht="15.75">
      <c r="L1393" s="777">
        <v>5</v>
      </c>
      <c r="M1393" s="906"/>
      <c r="N1393" s="976">
        <v>0</v>
      </c>
    </row>
    <row r="1394" spans="12:14" ht="15.75">
      <c r="L1394" s="777">
        <v>5</v>
      </c>
      <c r="M1394" s="906"/>
      <c r="N1394" s="976">
        <v>0</v>
      </c>
    </row>
    <row r="1395" spans="12:14" ht="15.75">
      <c r="L1395" s="777">
        <v>5</v>
      </c>
      <c r="M1395" s="906"/>
      <c r="N1395" s="976">
        <v>0</v>
      </c>
    </row>
    <row r="1396" spans="12:14" ht="15.75">
      <c r="L1396" s="777">
        <v>5</v>
      </c>
      <c r="M1396" s="906"/>
      <c r="N1396" s="976">
        <v>0</v>
      </c>
    </row>
    <row r="1397" spans="12:14" ht="15.75">
      <c r="L1397" s="777">
        <v>5</v>
      </c>
      <c r="M1397" s="906"/>
      <c r="N1397" s="976">
        <v>0</v>
      </c>
    </row>
    <row r="1398" spans="12:14" ht="15.75">
      <c r="L1398" s="777">
        <v>5</v>
      </c>
      <c r="M1398" s="906"/>
      <c r="N1398" s="976">
        <v>0</v>
      </c>
    </row>
    <row r="1399" spans="12:14" ht="15.75">
      <c r="L1399" s="777">
        <v>5</v>
      </c>
      <c r="M1399" s="906"/>
      <c r="N1399" s="976">
        <v>0</v>
      </c>
    </row>
    <row r="1400" spans="12:14" ht="15.75">
      <c r="L1400" s="777">
        <v>5</v>
      </c>
      <c r="M1400" s="906"/>
      <c r="N1400" s="976">
        <v>0</v>
      </c>
    </row>
    <row r="1401" spans="12:14" ht="15.75">
      <c r="L1401" s="777">
        <v>5</v>
      </c>
      <c r="M1401" s="906"/>
      <c r="N1401" s="976">
        <v>0</v>
      </c>
    </row>
    <row r="1402" spans="12:14" ht="15.75">
      <c r="L1402" s="777">
        <v>5</v>
      </c>
      <c r="M1402" s="906"/>
      <c r="N1402" s="976">
        <v>0</v>
      </c>
    </row>
    <row r="1403" spans="12:14" ht="15.75">
      <c r="L1403" s="777">
        <v>5</v>
      </c>
      <c r="M1403" s="906"/>
      <c r="N1403" s="976">
        <v>0</v>
      </c>
    </row>
    <row r="1404" spans="12:14" ht="15.75">
      <c r="L1404" s="777">
        <v>5</v>
      </c>
      <c r="M1404" s="906"/>
      <c r="N1404" s="976">
        <v>0</v>
      </c>
    </row>
    <row r="1405" spans="12:14" ht="15.75">
      <c r="L1405" s="777">
        <v>5</v>
      </c>
      <c r="M1405" s="906"/>
      <c r="N1405" s="976">
        <v>0</v>
      </c>
    </row>
    <row r="1406" spans="12:14" ht="15.75">
      <c r="L1406" s="777">
        <v>5</v>
      </c>
      <c r="M1406" s="906"/>
      <c r="N1406" s="976">
        <v>0</v>
      </c>
    </row>
    <row r="1407" spans="12:14" ht="15.75">
      <c r="L1407" s="777">
        <v>5</v>
      </c>
      <c r="M1407" s="906"/>
      <c r="N1407" s="976">
        <v>0</v>
      </c>
    </row>
    <row r="1408" spans="12:14" ht="15.75">
      <c r="N1408" s="976">
        <v>0</v>
      </c>
    </row>
    <row r="1409" spans="14:14" ht="15.75">
      <c r="N1409" s="976">
        <v>0</v>
      </c>
    </row>
    <row r="1410" spans="14:14" ht="15.75">
      <c r="N1410" s="976">
        <v>0</v>
      </c>
    </row>
    <row r="1411" spans="14:14" ht="15.75">
      <c r="N1411" s="976">
        <v>0</v>
      </c>
    </row>
    <row r="1412" spans="14:14" ht="15.75">
      <c r="N1412" s="976">
        <v>0</v>
      </c>
    </row>
    <row r="1413" spans="14:14" ht="15.75">
      <c r="N1413" s="976">
        <v>0</v>
      </c>
    </row>
    <row r="1414" spans="14:14" ht="15.75">
      <c r="N1414" s="976">
        <v>0</v>
      </c>
    </row>
    <row r="1415" spans="14:14" ht="15.75">
      <c r="N1415" s="976">
        <v>0</v>
      </c>
    </row>
    <row r="1416" spans="14:14" ht="15.75">
      <c r="N1416" s="976">
        <v>0</v>
      </c>
    </row>
    <row r="1417" spans="14:14" ht="15.75">
      <c r="N1417" s="976">
        <v>0</v>
      </c>
    </row>
    <row r="1418" spans="14:14" ht="15.75">
      <c r="N1418" s="976">
        <v>0</v>
      </c>
    </row>
    <row r="1419" spans="14:14" ht="15.75">
      <c r="N1419" s="976">
        <v>0</v>
      </c>
    </row>
    <row r="1420" spans="14:14" ht="15.75">
      <c r="N1420" s="976">
        <v>0</v>
      </c>
    </row>
    <row r="1421" spans="14:14" ht="15.75">
      <c r="N1421" s="976">
        <v>0</v>
      </c>
    </row>
    <row r="1422" spans="14:14" ht="15.75">
      <c r="N1422" s="976">
        <v>0</v>
      </c>
    </row>
    <row r="1423" spans="14:14" ht="15.75">
      <c r="N1423" s="976">
        <v>0</v>
      </c>
    </row>
    <row r="1424" spans="14:14" ht="15.75">
      <c r="N1424" s="976">
        <v>0</v>
      </c>
    </row>
    <row r="1425" spans="14:14" ht="15.75">
      <c r="N1425" s="976">
        <v>0</v>
      </c>
    </row>
    <row r="1426" spans="14:14" ht="15.75">
      <c r="N1426" s="976">
        <v>0</v>
      </c>
    </row>
    <row r="1427" spans="14:14" ht="15.75">
      <c r="N1427" s="976">
        <v>0</v>
      </c>
    </row>
    <row r="1428" spans="14:14" ht="15.75">
      <c r="N1428" s="976">
        <v>0</v>
      </c>
    </row>
    <row r="1429" spans="14:14" ht="15.75">
      <c r="N1429" s="976">
        <v>0</v>
      </c>
    </row>
    <row r="1430" spans="14:14" ht="15.75">
      <c r="N1430" s="976">
        <v>0</v>
      </c>
    </row>
    <row r="1431" spans="14:14" ht="15.75">
      <c r="N1431" s="976">
        <v>0</v>
      </c>
    </row>
    <row r="1432" spans="14:14" ht="15.75">
      <c r="N1432" s="976">
        <v>0</v>
      </c>
    </row>
    <row r="1433" spans="14:14" ht="15.75">
      <c r="N1433" s="976">
        <v>0</v>
      </c>
    </row>
    <row r="1434" spans="14:14" ht="15.75">
      <c r="N1434" s="976">
        <v>0</v>
      </c>
    </row>
    <row r="1435" spans="14:14" ht="15.75">
      <c r="N1435" s="976">
        <v>0</v>
      </c>
    </row>
    <row r="1436" spans="14:14" ht="15.75">
      <c r="N1436" s="976">
        <v>0</v>
      </c>
    </row>
    <row r="1437" spans="14:14" ht="15.75">
      <c r="N1437" s="976">
        <v>0</v>
      </c>
    </row>
    <row r="1438" spans="14:14" ht="15.75">
      <c r="N1438" s="976">
        <v>0</v>
      </c>
    </row>
    <row r="1439" spans="14:14" ht="15.75">
      <c r="N1439" s="976">
        <v>0</v>
      </c>
    </row>
    <row r="1440" spans="14:14" ht="15.75">
      <c r="N1440" s="976">
        <v>0</v>
      </c>
    </row>
    <row r="1441" spans="14:14" ht="15.75">
      <c r="N1441" s="976">
        <v>0</v>
      </c>
    </row>
    <row r="1442" spans="14:14" ht="15.75">
      <c r="N1442" s="976">
        <v>0</v>
      </c>
    </row>
    <row r="1443" spans="14:14" ht="15.75">
      <c r="N1443" s="976">
        <v>0</v>
      </c>
    </row>
    <row r="1444" spans="14:14" ht="15.75">
      <c r="N1444" s="976">
        <v>0</v>
      </c>
    </row>
    <row r="1445" spans="14:14" ht="15.75">
      <c r="N1445" s="976">
        <v>0</v>
      </c>
    </row>
    <row r="1446" spans="14:14" ht="15.75">
      <c r="N1446" s="976">
        <v>0</v>
      </c>
    </row>
    <row r="1447" spans="14:14" ht="15.75">
      <c r="N1447" s="976">
        <v>0</v>
      </c>
    </row>
    <row r="1448" spans="14:14" ht="15.75">
      <c r="N1448" s="976">
        <v>0</v>
      </c>
    </row>
    <row r="1449" spans="14:14" ht="15.75">
      <c r="N1449" s="976">
        <v>0</v>
      </c>
    </row>
    <row r="1450" spans="14:14" ht="15.75">
      <c r="N1450" s="976">
        <v>0</v>
      </c>
    </row>
    <row r="1451" spans="14:14" ht="15.75">
      <c r="N1451" s="976">
        <v>0</v>
      </c>
    </row>
    <row r="1452" spans="14:14" ht="15.75">
      <c r="N1452" s="976">
        <v>0</v>
      </c>
    </row>
    <row r="1453" spans="14:14" ht="15.75">
      <c r="N1453" s="976">
        <v>0</v>
      </c>
    </row>
    <row r="1454" spans="14:14" ht="15.75">
      <c r="N1454" s="976">
        <v>0</v>
      </c>
    </row>
    <row r="1455" spans="14:14" ht="15.75">
      <c r="N1455" s="976">
        <v>0</v>
      </c>
    </row>
    <row r="1456" spans="14:14" ht="15.75">
      <c r="N1456" s="976">
        <v>0</v>
      </c>
    </row>
    <row r="1457" spans="14:14" ht="15.75">
      <c r="N1457" s="976">
        <v>0</v>
      </c>
    </row>
    <row r="1458" spans="14:14" ht="15.75">
      <c r="N1458" s="976">
        <v>0</v>
      </c>
    </row>
    <row r="1459" spans="14:14" ht="15.75">
      <c r="N1459" s="976">
        <v>0</v>
      </c>
    </row>
    <row r="1460" spans="14:14" ht="15.75">
      <c r="N1460" s="976">
        <v>0</v>
      </c>
    </row>
    <row r="1461" spans="14:14" ht="15.75">
      <c r="N1461" s="976">
        <v>0</v>
      </c>
    </row>
    <row r="1462" spans="14:14" ht="15.75">
      <c r="N1462" s="976">
        <v>0</v>
      </c>
    </row>
    <row r="1463" spans="14:14" ht="15.75">
      <c r="N1463" s="976">
        <v>0</v>
      </c>
    </row>
    <row r="1464" spans="14:14" ht="15.75">
      <c r="N1464" s="976">
        <v>0</v>
      </c>
    </row>
    <row r="1465" spans="14:14" ht="15.75">
      <c r="N1465" s="976">
        <v>0</v>
      </c>
    </row>
    <row r="1466" spans="14:14" ht="15.75">
      <c r="N1466" s="976">
        <v>0</v>
      </c>
    </row>
    <row r="1467" spans="14:14" ht="15.75">
      <c r="N1467" s="976">
        <v>0</v>
      </c>
    </row>
    <row r="1468" spans="14:14" ht="15.75">
      <c r="N1468" s="976">
        <v>0</v>
      </c>
    </row>
    <row r="1469" spans="14:14" ht="15.75">
      <c r="N1469" s="976">
        <v>0</v>
      </c>
    </row>
    <row r="1470" spans="14:14" ht="15.75">
      <c r="N1470" s="976">
        <v>0</v>
      </c>
    </row>
    <row r="1471" spans="14:14" ht="15.75">
      <c r="N1471" s="976">
        <v>0</v>
      </c>
    </row>
    <row r="1472" spans="14:14" ht="15.75">
      <c r="N1472" s="976">
        <v>0</v>
      </c>
    </row>
    <row r="1473" spans="14:14" ht="15.75">
      <c r="N1473" s="976">
        <v>0</v>
      </c>
    </row>
    <row r="1474" spans="14:14" ht="15.75">
      <c r="N1474" s="976">
        <v>0</v>
      </c>
    </row>
    <row r="1475" spans="14:14" ht="15.75">
      <c r="N1475" s="976">
        <v>0</v>
      </c>
    </row>
    <row r="1476" spans="14:14" ht="15.75">
      <c r="N1476" s="976">
        <v>0</v>
      </c>
    </row>
    <row r="1477" spans="14:14" ht="15.75">
      <c r="N1477" s="976">
        <v>0</v>
      </c>
    </row>
    <row r="1478" spans="14:14" ht="15.75">
      <c r="N1478" s="976">
        <v>0</v>
      </c>
    </row>
    <row r="1479" spans="14:14" ht="15.75">
      <c r="N1479" s="976">
        <v>0</v>
      </c>
    </row>
    <row r="1480" spans="14:14" ht="15.75">
      <c r="N1480" s="976">
        <v>0</v>
      </c>
    </row>
    <row r="1481" spans="14:14" ht="15.75">
      <c r="N1481" s="976">
        <v>0</v>
      </c>
    </row>
    <row r="1482" spans="14:14" ht="15.75">
      <c r="N1482" s="976">
        <v>0</v>
      </c>
    </row>
    <row r="1483" spans="14:14" ht="15.75">
      <c r="N1483" s="976">
        <v>0</v>
      </c>
    </row>
    <row r="1484" spans="14:14" ht="15.75">
      <c r="N1484" s="976">
        <v>0</v>
      </c>
    </row>
    <row r="1485" spans="14:14" ht="15.75">
      <c r="N1485" s="976">
        <v>0</v>
      </c>
    </row>
    <row r="1486" spans="14:14" ht="15.75">
      <c r="N1486" s="976">
        <v>0</v>
      </c>
    </row>
    <row r="1487" spans="14:14" ht="15.75">
      <c r="N1487" s="976">
        <v>0</v>
      </c>
    </row>
    <row r="1488" spans="14:14" ht="15.75">
      <c r="N1488" s="976">
        <v>0</v>
      </c>
    </row>
    <row r="1489" spans="14:14" ht="15.75">
      <c r="N1489" s="976">
        <v>0</v>
      </c>
    </row>
    <row r="1490" spans="14:14" ht="15.75">
      <c r="N1490" s="976">
        <v>0</v>
      </c>
    </row>
    <row r="1491" spans="14:14" ht="15.75">
      <c r="N1491" s="976">
        <v>0</v>
      </c>
    </row>
    <row r="1492" spans="14:14" ht="15.75">
      <c r="N1492" s="976">
        <v>0</v>
      </c>
    </row>
    <row r="1493" spans="14:14" ht="15.75">
      <c r="N1493" s="976">
        <v>0</v>
      </c>
    </row>
    <row r="1494" spans="14:14" ht="15.75">
      <c r="N1494" s="976">
        <v>0</v>
      </c>
    </row>
    <row r="1495" spans="14:14" ht="15.75">
      <c r="N1495" s="976">
        <v>0</v>
      </c>
    </row>
    <row r="1496" spans="14:14" ht="15.75">
      <c r="N1496" s="976">
        <v>0</v>
      </c>
    </row>
    <row r="1497" spans="14:14" ht="15.75">
      <c r="N1497" s="976">
        <v>0</v>
      </c>
    </row>
    <row r="1498" spans="14:14" ht="15.75">
      <c r="N1498" s="976">
        <v>0</v>
      </c>
    </row>
    <row r="1499" spans="14:14" ht="15.75">
      <c r="N1499" s="976">
        <v>0</v>
      </c>
    </row>
    <row r="1500" spans="14:14" ht="15.75">
      <c r="N1500" s="976">
        <v>0</v>
      </c>
    </row>
    <row r="1501" spans="14:14" ht="15.75">
      <c r="N1501" s="976">
        <v>0</v>
      </c>
    </row>
    <row r="1502" spans="14:14" ht="15.75">
      <c r="N1502" s="976">
        <v>0</v>
      </c>
    </row>
    <row r="1503" spans="14:14" ht="15.75">
      <c r="N1503" s="976">
        <v>0</v>
      </c>
    </row>
    <row r="1504" spans="14:14" ht="15.75">
      <c r="N1504" s="976">
        <v>0</v>
      </c>
    </row>
    <row r="1505" spans="14:14" ht="15.75">
      <c r="N1505" s="976">
        <v>0</v>
      </c>
    </row>
    <row r="1506" spans="14:14" ht="15.75">
      <c r="N1506" s="976">
        <v>0</v>
      </c>
    </row>
    <row r="1507" spans="14:14" ht="15.75">
      <c r="N1507" s="976">
        <v>0</v>
      </c>
    </row>
    <row r="1508" spans="14:14" ht="15.75">
      <c r="N1508" s="976">
        <v>0</v>
      </c>
    </row>
    <row r="1509" spans="14:14" ht="15.75">
      <c r="N1509" s="976">
        <v>0</v>
      </c>
    </row>
    <row r="1510" spans="14:14" ht="15.75">
      <c r="N1510" s="976">
        <v>0</v>
      </c>
    </row>
    <row r="1511" spans="14:14" ht="15.75">
      <c r="N1511" s="976">
        <v>0</v>
      </c>
    </row>
    <row r="1512" spans="14:14" ht="15.75">
      <c r="N1512" s="976">
        <v>0</v>
      </c>
    </row>
    <row r="1513" spans="14:14" ht="15.75">
      <c r="N1513" s="976">
        <v>0</v>
      </c>
    </row>
    <row r="1514" spans="14:14" ht="15.75">
      <c r="N1514" s="976">
        <v>0</v>
      </c>
    </row>
    <row r="1515" spans="14:14" ht="15.75">
      <c r="N1515" s="976">
        <v>0</v>
      </c>
    </row>
    <row r="1516" spans="14:14" ht="15.75">
      <c r="N1516" s="976">
        <v>0</v>
      </c>
    </row>
    <row r="1517" spans="14:14" ht="15.75">
      <c r="N1517" s="976">
        <v>0</v>
      </c>
    </row>
    <row r="1518" spans="14:14" ht="15.75">
      <c r="N1518" s="976">
        <v>0</v>
      </c>
    </row>
    <row r="1519" spans="14:14" ht="15.75">
      <c r="N1519" s="976">
        <v>0</v>
      </c>
    </row>
    <row r="1520" spans="14:14" ht="15.75">
      <c r="N1520" s="976">
        <v>0</v>
      </c>
    </row>
    <row r="1521" spans="14:14" ht="15.75">
      <c r="N1521" s="976">
        <v>0</v>
      </c>
    </row>
    <row r="1522" spans="14:14" ht="15.75">
      <c r="N1522" s="976">
        <v>0</v>
      </c>
    </row>
    <row r="1523" spans="14:14" ht="15.75">
      <c r="N1523" s="976">
        <v>0</v>
      </c>
    </row>
    <row r="1524" spans="14:14" ht="15.75">
      <c r="N1524" s="976">
        <v>0</v>
      </c>
    </row>
    <row r="1525" spans="14:14" ht="15.75">
      <c r="N1525" s="976">
        <v>0</v>
      </c>
    </row>
    <row r="1526" spans="14:14" ht="15.75">
      <c r="N1526" s="976">
        <v>0</v>
      </c>
    </row>
    <row r="1527" spans="14:14" ht="15.75">
      <c r="N1527" s="976">
        <v>0</v>
      </c>
    </row>
    <row r="1528" spans="14:14" ht="15.75">
      <c r="N1528" s="976">
        <v>0</v>
      </c>
    </row>
    <row r="1529" spans="14:14" ht="15.75">
      <c r="N1529" s="976">
        <v>0</v>
      </c>
    </row>
    <row r="1530" spans="14:14" ht="15.75">
      <c r="N1530" s="976">
        <v>0</v>
      </c>
    </row>
    <row r="1531" spans="14:14" ht="15.75">
      <c r="N1531" s="976">
        <v>0</v>
      </c>
    </row>
    <row r="1532" spans="14:14" ht="15.75">
      <c r="N1532" s="976">
        <v>0</v>
      </c>
    </row>
    <row r="1533" spans="14:14" ht="15.75">
      <c r="N1533" s="976">
        <v>0</v>
      </c>
    </row>
    <row r="1534" spans="14:14" ht="15.75">
      <c r="N1534" s="976">
        <v>0</v>
      </c>
    </row>
    <row r="1535" spans="14:14" ht="15.75">
      <c r="N1535" s="976">
        <v>0</v>
      </c>
    </row>
    <row r="1536" spans="14:14" ht="15.75">
      <c r="N1536" s="976">
        <v>0</v>
      </c>
    </row>
    <row r="1537" spans="14:14" ht="15.75">
      <c r="N1537" s="976">
        <v>0</v>
      </c>
    </row>
    <row r="1538" spans="14:14" ht="15.75">
      <c r="N1538" s="976">
        <v>0</v>
      </c>
    </row>
    <row r="1539" spans="14:14" ht="15.75">
      <c r="N1539" s="976">
        <v>0</v>
      </c>
    </row>
    <row r="1540" spans="14:14" ht="15.75">
      <c r="N1540" s="976">
        <v>0</v>
      </c>
    </row>
    <row r="1541" spans="14:14" ht="15.75">
      <c r="N1541" s="976">
        <v>0</v>
      </c>
    </row>
    <row r="1542" spans="14:14" ht="15.75">
      <c r="N1542" s="976">
        <v>0</v>
      </c>
    </row>
    <row r="1543" spans="14:14" ht="15.75">
      <c r="N1543" s="976">
        <v>0</v>
      </c>
    </row>
    <row r="1544" spans="14:14" ht="15.75">
      <c r="N1544" s="976">
        <v>0</v>
      </c>
    </row>
    <row r="1545" spans="14:14" ht="15.75">
      <c r="N1545" s="976">
        <v>0</v>
      </c>
    </row>
    <row r="1546" spans="14:14" ht="15.75">
      <c r="N1546" s="976">
        <v>0</v>
      </c>
    </row>
    <row r="1547" spans="14:14" ht="15.75">
      <c r="N1547" s="976">
        <v>0</v>
      </c>
    </row>
    <row r="1548" spans="14:14" ht="15.75">
      <c r="N1548" s="976">
        <v>0</v>
      </c>
    </row>
    <row r="1549" spans="14:14" ht="15.75">
      <c r="N1549" s="976">
        <v>0</v>
      </c>
    </row>
    <row r="1550" spans="14:14" ht="15.75">
      <c r="N1550" s="976">
        <v>0</v>
      </c>
    </row>
    <row r="1551" spans="14:14" ht="15.75">
      <c r="N1551" s="976">
        <v>0</v>
      </c>
    </row>
    <row r="1552" spans="14:14" ht="15.75">
      <c r="N1552" s="976">
        <v>0</v>
      </c>
    </row>
    <row r="1553" spans="14:14" ht="15.75">
      <c r="N1553" s="976">
        <v>0</v>
      </c>
    </row>
    <row r="1554" spans="14:14" ht="15.75">
      <c r="N1554" s="976">
        <v>0</v>
      </c>
    </row>
    <row r="1555" spans="14:14" ht="15.75">
      <c r="N1555" s="976">
        <v>0</v>
      </c>
    </row>
    <row r="1556" spans="14:14" ht="15.75">
      <c r="N1556" s="976">
        <v>0</v>
      </c>
    </row>
    <row r="1557" spans="14:14" ht="15.75">
      <c r="N1557" s="976">
        <v>0</v>
      </c>
    </row>
    <row r="1558" spans="14:14" ht="15.75">
      <c r="N1558" s="976">
        <v>0</v>
      </c>
    </row>
    <row r="1559" spans="14:14" ht="15.75">
      <c r="N1559" s="976">
        <v>0</v>
      </c>
    </row>
    <row r="1560" spans="14:14" ht="15.75">
      <c r="N1560" s="976">
        <v>0</v>
      </c>
    </row>
    <row r="1561" spans="14:14" ht="15.75">
      <c r="N1561" s="976">
        <v>0</v>
      </c>
    </row>
    <row r="1562" spans="14:14" ht="15.75">
      <c r="N1562" s="976">
        <v>0</v>
      </c>
    </row>
    <row r="1563" spans="14:14" ht="15.75">
      <c r="N1563" s="976">
        <v>0</v>
      </c>
    </row>
    <row r="1564" spans="14:14" ht="15.75">
      <c r="N1564" s="976">
        <v>0</v>
      </c>
    </row>
    <row r="1565" spans="14:14" ht="15.75">
      <c r="N1565" s="976">
        <v>0</v>
      </c>
    </row>
    <row r="1566" spans="14:14" ht="15.75">
      <c r="N1566" s="976">
        <v>0</v>
      </c>
    </row>
    <row r="1567" spans="14:14" ht="15.75">
      <c r="N1567" s="976">
        <v>0</v>
      </c>
    </row>
    <row r="1568" spans="14:14" ht="15.75">
      <c r="N1568" s="976">
        <v>0</v>
      </c>
    </row>
    <row r="1569" spans="14:14" ht="15.75">
      <c r="N1569" s="976">
        <v>0</v>
      </c>
    </row>
    <row r="1570" spans="14:14" ht="15.75">
      <c r="N1570" s="976">
        <v>0</v>
      </c>
    </row>
    <row r="1571" spans="14:14" ht="15.75">
      <c r="N1571" s="976">
        <v>0</v>
      </c>
    </row>
    <row r="1572" spans="14:14" ht="15.75">
      <c r="N1572" s="976">
        <v>0</v>
      </c>
    </row>
    <row r="1573" spans="14:14" ht="15.75">
      <c r="N1573" s="976">
        <v>0</v>
      </c>
    </row>
    <row r="1574" spans="14:14" ht="15.75">
      <c r="N1574" s="976">
        <v>0</v>
      </c>
    </row>
    <row r="1575" spans="14:14" ht="15.75">
      <c r="N1575" s="976">
        <v>0</v>
      </c>
    </row>
    <row r="1576" spans="14:14" ht="15.75">
      <c r="N1576" s="976">
        <v>0</v>
      </c>
    </row>
    <row r="1577" spans="14:14" ht="15.75">
      <c r="N1577" s="976">
        <v>0</v>
      </c>
    </row>
    <row r="1578" spans="14:14" ht="15.75">
      <c r="N1578" s="976">
        <v>0</v>
      </c>
    </row>
    <row r="1579" spans="14:14" ht="15.75">
      <c r="N1579" s="976">
        <v>0</v>
      </c>
    </row>
    <row r="1580" spans="14:14" ht="15.75">
      <c r="N1580" s="976">
        <v>0</v>
      </c>
    </row>
    <row r="1581" spans="14:14" ht="15.75">
      <c r="N1581" s="976">
        <v>0</v>
      </c>
    </row>
    <row r="1582" spans="14:14" ht="15.75">
      <c r="N1582" s="976">
        <v>0</v>
      </c>
    </row>
    <row r="1583" spans="14:14" ht="15.75">
      <c r="N1583" s="976">
        <v>0</v>
      </c>
    </row>
    <row r="1584" spans="14:14" ht="15.75">
      <c r="N1584" s="976">
        <v>0</v>
      </c>
    </row>
    <row r="1585" spans="14:14" ht="15.75">
      <c r="N1585" s="976">
        <v>0</v>
      </c>
    </row>
    <row r="1586" spans="14:14" ht="15.75">
      <c r="N1586" s="976">
        <v>0</v>
      </c>
    </row>
    <row r="1587" spans="14:14" ht="15.75">
      <c r="N1587" s="976">
        <v>0</v>
      </c>
    </row>
    <row r="1588" spans="14:14" ht="15.75">
      <c r="N1588" s="976">
        <v>0</v>
      </c>
    </row>
    <row r="1589" spans="14:14" ht="15.75">
      <c r="N1589" s="976">
        <v>0</v>
      </c>
    </row>
    <row r="1590" spans="14:14" ht="15.75">
      <c r="N1590" s="976">
        <v>0</v>
      </c>
    </row>
    <row r="1591" spans="14:14" ht="15.75">
      <c r="N1591" s="976">
        <v>0</v>
      </c>
    </row>
    <row r="1592" spans="14:14" ht="15.75">
      <c r="N1592" s="976">
        <v>0</v>
      </c>
    </row>
    <row r="1593" spans="14:14" ht="15.75">
      <c r="N1593" s="976">
        <v>0</v>
      </c>
    </row>
    <row r="1594" spans="14:14" ht="15.75">
      <c r="N1594" s="976">
        <v>0</v>
      </c>
    </row>
    <row r="1595" spans="14:14" ht="15.75">
      <c r="N1595" s="976">
        <v>0</v>
      </c>
    </row>
    <row r="1596" spans="14:14" ht="15.75">
      <c r="N1596" s="976">
        <v>0</v>
      </c>
    </row>
    <row r="1597" spans="14:14" ht="15.75">
      <c r="N1597" s="976">
        <v>0</v>
      </c>
    </row>
    <row r="1598" spans="14:14" ht="15.75">
      <c r="N1598" s="976">
        <v>0</v>
      </c>
    </row>
    <row r="1599" spans="14:14" ht="15.75">
      <c r="N1599" s="976">
        <v>0</v>
      </c>
    </row>
    <row r="1600" spans="14:14" ht="15.75">
      <c r="N1600" s="976">
        <v>0</v>
      </c>
    </row>
    <row r="1601" spans="14:14" ht="15.75">
      <c r="N1601" s="976">
        <v>0</v>
      </c>
    </row>
    <row r="1602" spans="14:14" ht="15.75">
      <c r="N1602" s="976">
        <v>0</v>
      </c>
    </row>
    <row r="1603" spans="14:14" ht="15.75">
      <c r="N1603" s="976">
        <v>0</v>
      </c>
    </row>
    <row r="1604" spans="14:14" ht="15.75">
      <c r="N1604" s="976">
        <v>0</v>
      </c>
    </row>
    <row r="1605" spans="14:14" ht="15.75">
      <c r="N1605" s="976">
        <v>0</v>
      </c>
    </row>
    <row r="1606" spans="14:14" ht="15.75">
      <c r="N1606" s="976">
        <v>0</v>
      </c>
    </row>
    <row r="1607" spans="14:14" ht="15.75">
      <c r="N1607" s="976">
        <v>0</v>
      </c>
    </row>
    <row r="1608" spans="14:14" ht="15.75">
      <c r="N1608" s="976">
        <v>0</v>
      </c>
    </row>
    <row r="1609" spans="14:14" ht="15.75">
      <c r="N1609" s="976">
        <v>0</v>
      </c>
    </row>
    <row r="1610" spans="14:14" ht="15.75">
      <c r="N1610" s="976">
        <v>0</v>
      </c>
    </row>
    <row r="1611" spans="14:14" ht="15.75">
      <c r="N1611" s="976">
        <v>0</v>
      </c>
    </row>
    <row r="1612" spans="14:14" ht="15.75">
      <c r="N1612" s="976">
        <v>0</v>
      </c>
    </row>
    <row r="1613" spans="14:14" ht="15.75">
      <c r="N1613" s="976">
        <v>0</v>
      </c>
    </row>
    <row r="1614" spans="14:14" ht="15.75">
      <c r="N1614" s="976">
        <v>0</v>
      </c>
    </row>
    <row r="1615" spans="14:14" ht="15.75">
      <c r="N1615" s="976">
        <v>0</v>
      </c>
    </row>
    <row r="1616" spans="14:14" ht="15.75">
      <c r="N1616" s="976">
        <v>0</v>
      </c>
    </row>
    <row r="1617" spans="14:14" ht="15.75">
      <c r="N1617" s="976">
        <v>0</v>
      </c>
    </row>
    <row r="1618" spans="14:14" ht="15.75">
      <c r="N1618" s="976">
        <v>0</v>
      </c>
    </row>
    <row r="1619" spans="14:14" ht="15.75">
      <c r="N1619" s="976">
        <v>0</v>
      </c>
    </row>
    <row r="1620" spans="14:14" ht="15.75">
      <c r="N1620" s="976">
        <v>0</v>
      </c>
    </row>
    <row r="1621" spans="14:14" ht="15.75">
      <c r="N1621" s="976">
        <v>0</v>
      </c>
    </row>
    <row r="1622" spans="14:14" ht="15.75">
      <c r="N1622" s="976">
        <v>0</v>
      </c>
    </row>
    <row r="1623" spans="14:14" ht="15.75">
      <c r="N1623" s="976">
        <v>0</v>
      </c>
    </row>
    <row r="1624" spans="14:14" ht="15.75">
      <c r="N1624" s="976">
        <v>0</v>
      </c>
    </row>
    <row r="1625" spans="14:14" ht="15.75">
      <c r="N1625" s="976">
        <v>0</v>
      </c>
    </row>
    <row r="1626" spans="14:14" ht="15.75">
      <c r="N1626" s="976">
        <v>0</v>
      </c>
    </row>
    <row r="1627" spans="14:14" ht="15.75">
      <c r="N1627" s="976">
        <v>0</v>
      </c>
    </row>
    <row r="1628" spans="14:14" ht="15.75">
      <c r="N1628" s="976">
        <v>0</v>
      </c>
    </row>
    <row r="1629" spans="14:14" ht="15.75">
      <c r="N1629" s="976">
        <v>0</v>
      </c>
    </row>
    <row r="1630" spans="14:14" ht="15.75">
      <c r="N1630" s="976">
        <v>0</v>
      </c>
    </row>
    <row r="1631" spans="14:14" ht="15.75">
      <c r="N1631" s="976">
        <v>0</v>
      </c>
    </row>
    <row r="1632" spans="14:14" ht="15.75">
      <c r="N1632" s="976">
        <v>0</v>
      </c>
    </row>
    <row r="1633" spans="14:14" ht="15.75">
      <c r="N1633" s="976">
        <v>0</v>
      </c>
    </row>
    <row r="1634" spans="14:14" ht="15.75">
      <c r="N1634" s="976">
        <v>0</v>
      </c>
    </row>
    <row r="1635" spans="14:14" ht="15.75">
      <c r="N1635" s="976">
        <v>0</v>
      </c>
    </row>
    <row r="1636" spans="14:14" ht="15.75">
      <c r="N1636" s="976">
        <v>0</v>
      </c>
    </row>
    <row r="1637" spans="14:14" ht="15.75">
      <c r="N1637" s="976">
        <v>0</v>
      </c>
    </row>
    <row r="1638" spans="14:14" ht="15.75">
      <c r="N1638" s="976">
        <v>0</v>
      </c>
    </row>
    <row r="1639" spans="14:14" ht="15.75">
      <c r="N1639" s="976">
        <v>0</v>
      </c>
    </row>
    <row r="1640" spans="14:14" ht="15.75">
      <c r="N1640" s="976">
        <v>0</v>
      </c>
    </row>
    <row r="1641" spans="14:14" ht="15.75">
      <c r="N1641" s="976">
        <v>0</v>
      </c>
    </row>
    <row r="1642" spans="14:14" ht="15.75">
      <c r="N1642" s="976">
        <v>0</v>
      </c>
    </row>
    <row r="1643" spans="14:14" ht="15.75">
      <c r="N1643" s="976">
        <v>0</v>
      </c>
    </row>
    <row r="1644" spans="14:14" ht="15.75">
      <c r="N1644" s="976">
        <v>0</v>
      </c>
    </row>
    <row r="1645" spans="14:14" ht="15.75">
      <c r="N1645" s="976">
        <v>0</v>
      </c>
    </row>
    <row r="1646" spans="14:14" ht="15.75">
      <c r="N1646" s="976">
        <v>0</v>
      </c>
    </row>
    <row r="1647" spans="14:14" ht="15.75">
      <c r="N1647" s="976">
        <v>0</v>
      </c>
    </row>
    <row r="1648" spans="14:14" ht="15.75">
      <c r="N1648" s="976">
        <v>0</v>
      </c>
    </row>
    <row r="1649" spans="14:14" ht="15.75">
      <c r="N1649" s="976">
        <v>0</v>
      </c>
    </row>
    <row r="1650" spans="14:14" ht="15.75">
      <c r="N1650" s="976">
        <v>0</v>
      </c>
    </row>
    <row r="1651" spans="14:14" ht="15.75">
      <c r="N1651" s="976">
        <v>0</v>
      </c>
    </row>
    <row r="1652" spans="14:14" ht="15.75">
      <c r="N1652" s="976">
        <v>0</v>
      </c>
    </row>
    <row r="1653" spans="14:14" ht="15.75">
      <c r="N1653" s="976">
        <v>0</v>
      </c>
    </row>
    <row r="1654" spans="14:14" ht="15.75">
      <c r="N1654" s="976">
        <v>0</v>
      </c>
    </row>
    <row r="1655" spans="14:14" ht="15.75">
      <c r="N1655" s="976">
        <v>0</v>
      </c>
    </row>
    <row r="1656" spans="14:14" ht="15.75">
      <c r="N1656" s="976">
        <v>0</v>
      </c>
    </row>
    <row r="1657" spans="14:14" ht="15.75">
      <c r="N1657" s="976">
        <v>0</v>
      </c>
    </row>
    <row r="1658" spans="14:14" ht="15.75">
      <c r="N1658" s="976">
        <v>0</v>
      </c>
    </row>
    <row r="1659" spans="14:14" ht="15.75">
      <c r="N1659" s="976">
        <v>0</v>
      </c>
    </row>
    <row r="1660" spans="14:14" ht="15.75">
      <c r="N1660" s="976">
        <v>0</v>
      </c>
    </row>
    <row r="1661" spans="14:14" ht="15.75">
      <c r="N1661" s="976">
        <v>0</v>
      </c>
    </row>
    <row r="1662" spans="14:14" ht="15.75">
      <c r="N1662" s="976">
        <v>0</v>
      </c>
    </row>
    <row r="1663" spans="14:14" ht="15.75">
      <c r="N1663" s="976">
        <v>0</v>
      </c>
    </row>
    <row r="1664" spans="14:14" ht="15.75">
      <c r="N1664" s="976">
        <v>0</v>
      </c>
    </row>
    <row r="1665" spans="14:14" ht="15.75">
      <c r="N1665" s="976">
        <v>0</v>
      </c>
    </row>
    <row r="1666" spans="14:14" ht="15.75">
      <c r="N1666" s="976">
        <v>0</v>
      </c>
    </row>
    <row r="1667" spans="14:14" ht="15.75">
      <c r="N1667" s="976">
        <v>0</v>
      </c>
    </row>
    <row r="1668" spans="14:14" ht="15.75">
      <c r="N1668" s="976">
        <v>0</v>
      </c>
    </row>
    <row r="1669" spans="14:14" ht="15.75">
      <c r="N1669" s="976">
        <v>0</v>
      </c>
    </row>
    <row r="1670" spans="14:14" ht="15.75">
      <c r="N1670" s="976">
        <v>0</v>
      </c>
    </row>
    <row r="1671" spans="14:14" ht="15.75">
      <c r="N1671" s="976">
        <v>0</v>
      </c>
    </row>
    <row r="1672" spans="14:14" ht="15.75">
      <c r="N1672" s="976">
        <v>0</v>
      </c>
    </row>
    <row r="1673" spans="14:14" ht="15.75">
      <c r="N1673" s="976">
        <v>0</v>
      </c>
    </row>
    <row r="1674" spans="14:14" ht="15.75">
      <c r="N1674" s="976">
        <v>0</v>
      </c>
    </row>
    <row r="1675" spans="14:14" ht="15.75">
      <c r="N1675" s="976">
        <v>0</v>
      </c>
    </row>
    <row r="1676" spans="14:14" ht="15.75">
      <c r="N1676" s="976">
        <v>0</v>
      </c>
    </row>
    <row r="1677" spans="14:14" ht="15.75">
      <c r="N1677" s="976">
        <v>0</v>
      </c>
    </row>
    <row r="1678" spans="14:14" ht="15.75">
      <c r="N1678" s="976">
        <v>0</v>
      </c>
    </row>
    <row r="1679" spans="14:14" ht="15.75">
      <c r="N1679" s="976">
        <v>0</v>
      </c>
    </row>
    <row r="1680" spans="14:14" ht="15.75">
      <c r="N1680" s="976">
        <v>0</v>
      </c>
    </row>
    <row r="1681" spans="14:14" ht="15.75">
      <c r="N1681" s="976">
        <v>0</v>
      </c>
    </row>
    <row r="1682" spans="14:14" ht="15.75">
      <c r="N1682" s="976">
        <v>0</v>
      </c>
    </row>
    <row r="1683" spans="14:14" ht="15.75">
      <c r="N1683" s="976">
        <v>0</v>
      </c>
    </row>
    <row r="1684" spans="14:14" ht="15.75">
      <c r="N1684" s="976">
        <v>0</v>
      </c>
    </row>
    <row r="1685" spans="14:14" ht="15.75">
      <c r="N1685" s="976">
        <v>0</v>
      </c>
    </row>
    <row r="1686" spans="14:14" ht="15.75">
      <c r="N1686" s="976">
        <v>0</v>
      </c>
    </row>
    <row r="1687" spans="14:14" ht="15.75">
      <c r="N1687" s="976">
        <v>0</v>
      </c>
    </row>
    <row r="1688" spans="14:14" ht="15.75">
      <c r="N1688" s="976">
        <v>0</v>
      </c>
    </row>
    <row r="1689" spans="14:14" ht="15.75">
      <c r="N1689" s="976">
        <v>0</v>
      </c>
    </row>
    <row r="1690" spans="14:14" ht="15.75">
      <c r="N1690" s="976">
        <v>0</v>
      </c>
    </row>
    <row r="1691" spans="14:14" ht="15.75">
      <c r="N1691" s="976">
        <v>0</v>
      </c>
    </row>
    <row r="1692" spans="14:14" ht="15.75">
      <c r="N1692" s="976">
        <v>0</v>
      </c>
    </row>
    <row r="1693" spans="14:14" ht="15.75">
      <c r="N1693" s="976">
        <v>0</v>
      </c>
    </row>
    <row r="1694" spans="14:14" ht="15.75">
      <c r="N1694" s="976">
        <v>0</v>
      </c>
    </row>
    <row r="1695" spans="14:14" ht="15.75">
      <c r="N1695" s="976">
        <v>0</v>
      </c>
    </row>
    <row r="1696" spans="14:14" ht="15.75">
      <c r="N1696" s="976">
        <v>0</v>
      </c>
    </row>
    <row r="1697" spans="14:14" ht="15.75">
      <c r="N1697" s="976">
        <v>0</v>
      </c>
    </row>
    <row r="1698" spans="14:14" ht="15.75">
      <c r="N1698" s="976">
        <v>0</v>
      </c>
    </row>
    <row r="1699" spans="14:14" ht="15.75">
      <c r="N1699" s="976">
        <v>0</v>
      </c>
    </row>
    <row r="1700" spans="14:14" ht="15.75">
      <c r="N1700" s="976">
        <v>0</v>
      </c>
    </row>
    <row r="1701" spans="14:14" ht="15.75">
      <c r="N1701" s="976">
        <v>0</v>
      </c>
    </row>
    <row r="1702" spans="14:14" ht="15.75">
      <c r="N1702" s="976">
        <v>0</v>
      </c>
    </row>
    <row r="1703" spans="14:14" ht="15.75">
      <c r="N1703" s="976">
        <v>0</v>
      </c>
    </row>
    <row r="1704" spans="14:14" ht="15.75">
      <c r="N1704" s="976">
        <v>0</v>
      </c>
    </row>
    <row r="1705" spans="14:14" ht="15.75">
      <c r="N1705" s="976">
        <v>0</v>
      </c>
    </row>
    <row r="1706" spans="14:14" ht="15.75">
      <c r="N1706" s="976">
        <v>0</v>
      </c>
    </row>
    <row r="1707" spans="14:14" ht="15.75">
      <c r="N1707" s="976">
        <v>0</v>
      </c>
    </row>
    <row r="1708" spans="14:14" ht="15.75">
      <c r="N1708" s="976">
        <v>0</v>
      </c>
    </row>
    <row r="1709" spans="14:14" ht="15.75">
      <c r="N1709" s="976">
        <v>0</v>
      </c>
    </row>
    <row r="1710" spans="14:14" ht="15.75">
      <c r="N1710" s="976">
        <v>0</v>
      </c>
    </row>
    <row r="1711" spans="14:14" ht="15.75">
      <c r="N1711" s="976">
        <v>0</v>
      </c>
    </row>
    <row r="1712" spans="14:14" ht="15.75">
      <c r="N1712" s="976">
        <v>0</v>
      </c>
    </row>
    <row r="1713" spans="14:14" ht="15.75">
      <c r="N1713" s="976">
        <v>0</v>
      </c>
    </row>
    <row r="1714" spans="14:14" ht="15.75">
      <c r="N1714" s="976">
        <v>0</v>
      </c>
    </row>
    <row r="1715" spans="14:14" ht="15.75">
      <c r="N1715" s="976">
        <v>0</v>
      </c>
    </row>
    <row r="1716" spans="14:14" ht="15.75">
      <c r="N1716" s="976">
        <v>0</v>
      </c>
    </row>
    <row r="1717" spans="14:14" ht="15.75">
      <c r="N1717" s="976">
        <v>0</v>
      </c>
    </row>
    <row r="1718" spans="14:14" ht="15.75">
      <c r="N1718" s="976">
        <v>0</v>
      </c>
    </row>
    <row r="1719" spans="14:14" ht="15.75">
      <c r="N1719" s="976">
        <v>0</v>
      </c>
    </row>
    <row r="1720" spans="14:14" ht="15.75">
      <c r="N1720" s="976">
        <v>0</v>
      </c>
    </row>
    <row r="1721" spans="14:14" ht="15.75">
      <c r="N1721" s="976">
        <v>0</v>
      </c>
    </row>
    <row r="1722" spans="14:14" ht="15.75">
      <c r="N1722" s="976">
        <v>0</v>
      </c>
    </row>
    <row r="1723" spans="14:14" ht="15.75">
      <c r="N1723" s="976">
        <v>0</v>
      </c>
    </row>
    <row r="1724" spans="14:14" ht="15.75">
      <c r="N1724" s="976">
        <v>0</v>
      </c>
    </row>
    <row r="1725" spans="14:14" ht="15.75">
      <c r="N1725" s="976">
        <v>0</v>
      </c>
    </row>
    <row r="1726" spans="14:14" ht="15.75">
      <c r="N1726" s="976">
        <v>0</v>
      </c>
    </row>
    <row r="1727" spans="14:14" ht="15.75">
      <c r="N1727" s="976">
        <v>0</v>
      </c>
    </row>
    <row r="1728" spans="14:14" ht="15.75">
      <c r="N1728" s="976">
        <v>0</v>
      </c>
    </row>
    <row r="1729" spans="14:14" ht="15.75">
      <c r="N1729" s="976">
        <v>0</v>
      </c>
    </row>
    <row r="1730" spans="14:14" ht="15.75">
      <c r="N1730" s="976">
        <v>0</v>
      </c>
    </row>
    <row r="1731" spans="14:14" ht="15.75">
      <c r="N1731" s="976">
        <v>0</v>
      </c>
    </row>
    <row r="1732" spans="14:14" ht="15.75">
      <c r="N1732" s="976">
        <v>0</v>
      </c>
    </row>
    <row r="1733" spans="14:14" ht="15.75">
      <c r="N1733" s="976">
        <v>0</v>
      </c>
    </row>
    <row r="1734" spans="14:14" ht="15.75">
      <c r="N1734" s="976">
        <v>0</v>
      </c>
    </row>
    <row r="1735" spans="14:14" ht="15.75">
      <c r="N1735" s="976">
        <v>0</v>
      </c>
    </row>
    <row r="1736" spans="14:14" ht="15.75">
      <c r="N1736" s="976">
        <v>0</v>
      </c>
    </row>
    <row r="1737" spans="14:14" ht="15.75">
      <c r="N1737" s="976">
        <v>0</v>
      </c>
    </row>
    <row r="1738" spans="14:14" ht="15.75">
      <c r="N1738" s="976">
        <v>0</v>
      </c>
    </row>
    <row r="1739" spans="14:14" ht="15.75">
      <c r="N1739" s="976">
        <v>0</v>
      </c>
    </row>
    <row r="1740" spans="14:14" ht="15.75">
      <c r="N1740" s="976">
        <v>0</v>
      </c>
    </row>
    <row r="1741" spans="14:14" ht="15.75">
      <c r="N1741" s="976">
        <v>0</v>
      </c>
    </row>
    <row r="1742" spans="14:14" ht="15.75">
      <c r="N1742" s="976">
        <v>0</v>
      </c>
    </row>
    <row r="1743" spans="14:14" ht="15.75">
      <c r="N1743" s="976">
        <v>0</v>
      </c>
    </row>
    <row r="1744" spans="14:14" ht="15.75">
      <c r="N1744" s="976">
        <v>0</v>
      </c>
    </row>
    <row r="1745" spans="14:14" ht="15.75">
      <c r="N1745" s="976">
        <v>0</v>
      </c>
    </row>
    <row r="1746" spans="14:14" ht="15.75">
      <c r="N1746" s="976">
        <v>0</v>
      </c>
    </row>
    <row r="1747" spans="14:14" ht="15.75">
      <c r="N1747" s="976">
        <v>0</v>
      </c>
    </row>
    <row r="1748" spans="14:14" ht="15.75">
      <c r="N1748" s="976">
        <v>0</v>
      </c>
    </row>
    <row r="1749" spans="14:14" ht="15.75">
      <c r="N1749" s="976">
        <v>0</v>
      </c>
    </row>
    <row r="1750" spans="14:14" ht="15.75">
      <c r="N1750" s="976">
        <v>0</v>
      </c>
    </row>
    <row r="1751" spans="14:14" ht="15.75">
      <c r="N1751" s="976">
        <v>0</v>
      </c>
    </row>
    <row r="1752" spans="14:14" ht="15.75">
      <c r="N1752" s="976">
        <v>0</v>
      </c>
    </row>
    <row r="1753" spans="14:14" ht="15.75">
      <c r="N1753" s="976">
        <v>0</v>
      </c>
    </row>
    <row r="1754" spans="14:14" ht="15.75">
      <c r="N1754" s="976">
        <v>0</v>
      </c>
    </row>
    <row r="1755" spans="14:14" ht="15.75">
      <c r="N1755" s="976">
        <v>0</v>
      </c>
    </row>
    <row r="1756" spans="14:14" ht="15.75">
      <c r="N1756" s="976">
        <v>0</v>
      </c>
    </row>
    <row r="1757" spans="14:14" ht="15.75">
      <c r="N1757" s="976">
        <v>0</v>
      </c>
    </row>
    <row r="1758" spans="14:14" ht="15.75">
      <c r="N1758" s="976">
        <v>0</v>
      </c>
    </row>
    <row r="1759" spans="14:14" ht="15.75">
      <c r="N1759" s="976">
        <v>0</v>
      </c>
    </row>
    <row r="1760" spans="14:14" ht="15.75">
      <c r="N1760" s="976">
        <v>0</v>
      </c>
    </row>
    <row r="1761" spans="14:14" ht="15.75">
      <c r="N1761" s="976">
        <v>0</v>
      </c>
    </row>
    <row r="1762" spans="14:14" ht="15.75">
      <c r="N1762" s="976">
        <v>0</v>
      </c>
    </row>
    <row r="1763" spans="14:14" ht="15.75">
      <c r="N1763" s="976">
        <v>0</v>
      </c>
    </row>
    <row r="1764" spans="14:14" ht="15.75">
      <c r="N1764" s="976">
        <v>0</v>
      </c>
    </row>
    <row r="1765" spans="14:14" ht="15.75">
      <c r="N1765" s="976">
        <v>0</v>
      </c>
    </row>
    <row r="1766" spans="14:14" ht="15.75">
      <c r="N1766" s="976">
        <v>0</v>
      </c>
    </row>
    <row r="1767" spans="14:14" ht="15.75">
      <c r="N1767" s="976">
        <v>0</v>
      </c>
    </row>
    <row r="1768" spans="14:14" ht="15.75">
      <c r="N1768" s="976">
        <v>0</v>
      </c>
    </row>
    <row r="1769" spans="14:14" ht="15.75">
      <c r="N1769" s="976">
        <v>0</v>
      </c>
    </row>
    <row r="1770" spans="14:14" ht="15.75">
      <c r="N1770" s="976">
        <v>0</v>
      </c>
    </row>
    <row r="1771" spans="14:14" ht="15.75">
      <c r="N1771" s="976">
        <v>0</v>
      </c>
    </row>
    <row r="1772" spans="14:14" ht="15.75">
      <c r="N1772" s="976">
        <v>0</v>
      </c>
    </row>
    <row r="1773" spans="14:14" ht="15.75">
      <c r="N1773" s="976">
        <v>0</v>
      </c>
    </row>
    <row r="1774" spans="14:14" ht="15.75">
      <c r="N1774" s="976">
        <v>0</v>
      </c>
    </row>
    <row r="1775" spans="14:14" ht="15.75">
      <c r="N1775" s="976">
        <v>0</v>
      </c>
    </row>
    <row r="1776" spans="14:14" ht="15.75">
      <c r="N1776" s="976">
        <v>0</v>
      </c>
    </row>
    <row r="1777" spans="14:14" ht="15.75">
      <c r="N1777" s="976">
        <v>0</v>
      </c>
    </row>
    <row r="1778" spans="14:14" ht="15.75">
      <c r="N1778" s="976">
        <v>0</v>
      </c>
    </row>
    <row r="1779" spans="14:14" ht="15.75">
      <c r="N1779" s="976">
        <v>0</v>
      </c>
    </row>
    <row r="1780" spans="14:14" ht="15.75">
      <c r="N1780" s="976">
        <v>0</v>
      </c>
    </row>
    <row r="1781" spans="14:14" ht="15.75">
      <c r="N1781" s="976">
        <v>0</v>
      </c>
    </row>
    <row r="1782" spans="14:14" ht="15.75">
      <c r="N1782" s="976">
        <v>0</v>
      </c>
    </row>
    <row r="1783" spans="14:14" ht="15.75">
      <c r="N1783" s="976">
        <v>0</v>
      </c>
    </row>
    <row r="1784" spans="14:14" ht="15.75">
      <c r="N1784" s="976">
        <v>0</v>
      </c>
    </row>
    <row r="1785" spans="14:14" ht="15.75">
      <c r="N1785" s="976">
        <v>0</v>
      </c>
    </row>
    <row r="1786" spans="14:14" ht="15.75">
      <c r="N1786" s="976">
        <v>0</v>
      </c>
    </row>
    <row r="1787" spans="14:14" ht="15.75">
      <c r="N1787" s="976">
        <v>0</v>
      </c>
    </row>
    <row r="1788" spans="14:14" ht="15.75">
      <c r="N1788" s="976">
        <v>0</v>
      </c>
    </row>
    <row r="1789" spans="14:14" ht="15.75">
      <c r="N1789" s="976">
        <v>0</v>
      </c>
    </row>
    <row r="1790" spans="14:14" ht="15.75">
      <c r="N1790" s="976">
        <v>0</v>
      </c>
    </row>
    <row r="1791" spans="14:14" ht="15.75">
      <c r="N1791" s="976">
        <v>0</v>
      </c>
    </row>
    <row r="1792" spans="14:14" ht="15.75">
      <c r="N1792" s="976">
        <v>0</v>
      </c>
    </row>
    <row r="1793" spans="14:14" ht="15.75">
      <c r="N1793" s="976">
        <v>0</v>
      </c>
    </row>
    <row r="1794" spans="14:14" ht="15.75">
      <c r="N1794" s="976">
        <v>0</v>
      </c>
    </row>
    <row r="1795" spans="14:14" ht="15.75">
      <c r="N1795" s="976">
        <v>0</v>
      </c>
    </row>
    <row r="1796" spans="14:14" ht="15.75">
      <c r="N1796" s="976">
        <v>0</v>
      </c>
    </row>
    <row r="1797" spans="14:14" ht="15.75">
      <c r="N1797" s="976">
        <v>0</v>
      </c>
    </row>
    <row r="1798" spans="14:14" ht="15.75">
      <c r="N1798" s="976">
        <v>0</v>
      </c>
    </row>
    <row r="1799" spans="14:14" ht="15.75">
      <c r="N1799" s="976">
        <v>0</v>
      </c>
    </row>
    <row r="1800" spans="14:14" ht="15.75">
      <c r="N1800" s="976">
        <v>0</v>
      </c>
    </row>
    <row r="1801" spans="14:14" ht="15.75">
      <c r="N1801" s="976">
        <v>0</v>
      </c>
    </row>
    <row r="1802" spans="14:14" ht="15.75">
      <c r="N1802" s="976">
        <v>0</v>
      </c>
    </row>
    <row r="1803" spans="14:14" ht="15.75">
      <c r="N1803" s="976">
        <v>0</v>
      </c>
    </row>
    <row r="1804" spans="14:14" ht="15.75">
      <c r="N1804" s="976">
        <v>0</v>
      </c>
    </row>
    <row r="1805" spans="14:14" ht="15.75">
      <c r="N1805" s="976">
        <v>0</v>
      </c>
    </row>
    <row r="1806" spans="14:14" ht="15.75">
      <c r="N1806" s="976">
        <v>0</v>
      </c>
    </row>
    <row r="1807" spans="14:14" ht="15.75">
      <c r="N1807" s="976">
        <v>0</v>
      </c>
    </row>
    <row r="1808" spans="14:14" ht="15.75">
      <c r="N1808" s="976">
        <v>0</v>
      </c>
    </row>
    <row r="1809" spans="14:14" ht="15.75">
      <c r="N1809" s="976">
        <v>0</v>
      </c>
    </row>
    <row r="1810" spans="14:14" ht="15.75">
      <c r="N1810" s="976">
        <v>0</v>
      </c>
    </row>
    <row r="1811" spans="14:14" ht="15.75">
      <c r="N1811" s="976">
        <v>0</v>
      </c>
    </row>
    <row r="1812" spans="14:14" ht="15.75">
      <c r="N1812" s="976">
        <v>0</v>
      </c>
    </row>
    <row r="1813" spans="14:14" ht="15.75">
      <c r="N1813" s="976">
        <v>0</v>
      </c>
    </row>
    <row r="1814" spans="14:14" ht="15.75">
      <c r="N1814" s="976">
        <v>0</v>
      </c>
    </row>
    <row r="1815" spans="14:14" ht="15.75">
      <c r="N1815" s="976">
        <v>0</v>
      </c>
    </row>
    <row r="1816" spans="14:14" ht="15.75">
      <c r="N1816" s="976">
        <v>0</v>
      </c>
    </row>
    <row r="1817" spans="14:14" ht="15.75">
      <c r="N1817" s="976">
        <v>0</v>
      </c>
    </row>
    <row r="1818" spans="14:14" ht="15.75">
      <c r="N1818" s="976">
        <v>0</v>
      </c>
    </row>
    <row r="1819" spans="14:14" ht="15.75">
      <c r="N1819" s="976">
        <v>0</v>
      </c>
    </row>
    <row r="1820" spans="14:14" ht="15.75">
      <c r="N1820" s="976">
        <v>0</v>
      </c>
    </row>
    <row r="1821" spans="14:14" ht="15.75">
      <c r="N1821" s="976">
        <v>0</v>
      </c>
    </row>
    <row r="1822" spans="14:14" ht="15.75">
      <c r="N1822" s="976">
        <v>0</v>
      </c>
    </row>
    <row r="1823" spans="14:14" ht="15.75">
      <c r="N1823" s="976">
        <v>0</v>
      </c>
    </row>
    <row r="1824" spans="14:14" ht="15.75">
      <c r="N1824" s="976">
        <v>0</v>
      </c>
    </row>
    <row r="1825" spans="14:14" ht="15.75">
      <c r="N1825" s="976">
        <v>0</v>
      </c>
    </row>
    <row r="1826" spans="14:14" ht="15.75">
      <c r="N1826" s="976">
        <v>0</v>
      </c>
    </row>
    <row r="1827" spans="14:14" ht="15.75">
      <c r="N1827" s="976">
        <v>0</v>
      </c>
    </row>
    <row r="1828" spans="14:14" ht="15.75">
      <c r="N1828" s="976">
        <v>0</v>
      </c>
    </row>
    <row r="1829" spans="14:14" ht="15.75">
      <c r="N1829" s="976">
        <v>0</v>
      </c>
    </row>
    <row r="1830" spans="14:14" ht="15.75">
      <c r="N1830" s="976">
        <v>0</v>
      </c>
    </row>
    <row r="1831" spans="14:14" ht="15.75">
      <c r="N1831" s="976">
        <v>0</v>
      </c>
    </row>
    <row r="1832" spans="14:14" ht="15.75">
      <c r="N1832" s="976">
        <v>0</v>
      </c>
    </row>
    <row r="1833" spans="14:14" ht="15.75">
      <c r="N1833" s="976">
        <v>0</v>
      </c>
    </row>
    <row r="1834" spans="14:14" ht="15.75">
      <c r="N1834" s="976">
        <v>0</v>
      </c>
    </row>
    <row r="1835" spans="14:14" ht="15.75">
      <c r="N1835" s="976">
        <v>0</v>
      </c>
    </row>
    <row r="1836" spans="14:14" ht="15.75">
      <c r="N1836" s="976">
        <v>0</v>
      </c>
    </row>
    <row r="1837" spans="14:14" ht="15.75">
      <c r="N1837" s="976">
        <v>0</v>
      </c>
    </row>
    <row r="1838" spans="14:14" ht="15.75">
      <c r="N1838" s="976">
        <v>0</v>
      </c>
    </row>
    <row r="1839" spans="14:14" ht="15.75">
      <c r="N1839" s="976">
        <v>0</v>
      </c>
    </row>
    <row r="1840" spans="14:14" ht="15.75">
      <c r="N1840" s="976">
        <v>0</v>
      </c>
    </row>
    <row r="1841" spans="14:14" ht="15.75">
      <c r="N1841" s="976">
        <v>0</v>
      </c>
    </row>
    <row r="1842" spans="14:14" ht="15.75">
      <c r="N1842" s="976">
        <v>0</v>
      </c>
    </row>
    <row r="1843" spans="14:14" ht="15.75">
      <c r="N1843" s="976">
        <v>0</v>
      </c>
    </row>
    <row r="1844" spans="14:14" ht="15.75">
      <c r="N1844" s="976">
        <v>0</v>
      </c>
    </row>
    <row r="1845" spans="14:14" ht="15.75">
      <c r="N1845" s="976">
        <v>0</v>
      </c>
    </row>
    <row r="1846" spans="14:14" ht="15.75">
      <c r="N1846" s="976">
        <v>0</v>
      </c>
    </row>
    <row r="1847" spans="14:14" ht="15.75">
      <c r="N1847" s="976">
        <v>0</v>
      </c>
    </row>
    <row r="1848" spans="14:14" ht="15.75">
      <c r="N1848" s="976">
        <v>0</v>
      </c>
    </row>
    <row r="1849" spans="14:14" ht="15.75">
      <c r="N1849" s="976">
        <v>0</v>
      </c>
    </row>
    <row r="1850" spans="14:14" ht="15.75">
      <c r="N1850" s="976">
        <v>0</v>
      </c>
    </row>
    <row r="1851" spans="14:14" ht="15.75">
      <c r="N1851" s="976">
        <v>0</v>
      </c>
    </row>
    <row r="1852" spans="14:14" ht="15.75">
      <c r="N1852" s="976">
        <v>0</v>
      </c>
    </row>
    <row r="1853" spans="14:14" ht="15.75">
      <c r="N1853" s="976">
        <v>0</v>
      </c>
    </row>
    <row r="1854" spans="14:14" ht="15.75">
      <c r="N1854" s="976">
        <v>0</v>
      </c>
    </row>
    <row r="1855" spans="14:14" ht="15.75">
      <c r="N1855" s="976">
        <v>0</v>
      </c>
    </row>
    <row r="1856" spans="14:14" ht="15.75">
      <c r="N1856" s="976">
        <v>0</v>
      </c>
    </row>
    <row r="1857" spans="14:14" ht="15.75">
      <c r="N1857" s="976">
        <v>0</v>
      </c>
    </row>
    <row r="1858" spans="14:14" ht="15.75">
      <c r="N1858" s="976">
        <v>0</v>
      </c>
    </row>
    <row r="1859" spans="14:14" ht="15.75">
      <c r="N1859" s="976">
        <v>0</v>
      </c>
    </row>
    <row r="1860" spans="14:14" ht="15.75">
      <c r="N1860" s="976">
        <v>0</v>
      </c>
    </row>
    <row r="1861" spans="14:14" ht="15.75">
      <c r="N1861" s="976">
        <v>0</v>
      </c>
    </row>
    <row r="1862" spans="14:14" ht="15.75">
      <c r="N1862" s="976">
        <v>0</v>
      </c>
    </row>
    <row r="1863" spans="14:14" ht="15.75">
      <c r="N1863" s="976">
        <v>0</v>
      </c>
    </row>
    <row r="1864" spans="14:14" ht="15.75">
      <c r="N1864" s="976">
        <v>0</v>
      </c>
    </row>
    <row r="1865" spans="14:14" ht="15.75">
      <c r="N1865" s="976">
        <v>0</v>
      </c>
    </row>
    <row r="1866" spans="14:14" ht="15.75">
      <c r="N1866" s="976">
        <v>0</v>
      </c>
    </row>
    <row r="1867" spans="14:14" ht="15.75">
      <c r="N1867" s="976">
        <v>0</v>
      </c>
    </row>
    <row r="1868" spans="14:14" ht="15.75">
      <c r="N1868" s="976">
        <v>0</v>
      </c>
    </row>
    <row r="1869" spans="14:14" ht="15.75">
      <c r="N1869" s="976">
        <v>0</v>
      </c>
    </row>
    <row r="1870" spans="14:14" ht="15.75">
      <c r="N1870" s="976">
        <v>0</v>
      </c>
    </row>
    <row r="1871" spans="14:14" ht="15.75">
      <c r="N1871" s="976">
        <v>0</v>
      </c>
    </row>
    <row r="1872" spans="14:14" ht="15.75">
      <c r="N1872" s="976">
        <v>0</v>
      </c>
    </row>
    <row r="1873" spans="14:14" ht="15.75">
      <c r="N1873" s="976">
        <v>0</v>
      </c>
    </row>
    <row r="1874" spans="14:14" ht="15.75">
      <c r="N1874" s="976">
        <v>0</v>
      </c>
    </row>
    <row r="1875" spans="14:14" ht="15.75">
      <c r="N1875" s="976">
        <v>0</v>
      </c>
    </row>
    <row r="1876" spans="14:14" ht="15.75">
      <c r="N1876" s="976">
        <v>0</v>
      </c>
    </row>
    <row r="1877" spans="14:14" ht="15.75">
      <c r="N1877" s="976">
        <v>0</v>
      </c>
    </row>
    <row r="1878" spans="14:14" ht="15.75">
      <c r="N1878" s="976">
        <v>0</v>
      </c>
    </row>
    <row r="1879" spans="14:14" ht="15.75">
      <c r="N1879" s="976">
        <v>0</v>
      </c>
    </row>
    <row r="1880" spans="14:14" ht="15.75">
      <c r="N1880" s="976">
        <v>0</v>
      </c>
    </row>
    <row r="1881" spans="14:14" ht="15.75">
      <c r="N1881" s="976">
        <v>0</v>
      </c>
    </row>
    <row r="1882" spans="14:14" ht="15.75">
      <c r="N1882" s="976">
        <v>0</v>
      </c>
    </row>
    <row r="1883" spans="14:14" ht="15.75">
      <c r="N1883" s="976">
        <v>0</v>
      </c>
    </row>
    <row r="1884" spans="14:14" ht="15.75">
      <c r="N1884" s="976">
        <v>0</v>
      </c>
    </row>
    <row r="1885" spans="14:14" ht="15.75">
      <c r="N1885" s="976">
        <v>0</v>
      </c>
    </row>
    <row r="1886" spans="14:14" ht="15.75">
      <c r="N1886" s="976">
        <v>0</v>
      </c>
    </row>
    <row r="1887" spans="14:14" ht="15.75">
      <c r="N1887" s="976">
        <v>0</v>
      </c>
    </row>
    <row r="1888" spans="14:14" ht="15.75">
      <c r="N1888" s="976">
        <v>0</v>
      </c>
    </row>
    <row r="1889" spans="14:14" ht="15.75">
      <c r="N1889" s="976">
        <v>0</v>
      </c>
    </row>
    <row r="1890" spans="14:14" ht="15.75">
      <c r="N1890" s="976">
        <v>0</v>
      </c>
    </row>
    <row r="1891" spans="14:14" ht="15.75">
      <c r="N1891" s="976">
        <v>0</v>
      </c>
    </row>
    <row r="1892" spans="14:14" ht="15.75">
      <c r="N1892" s="976">
        <v>0</v>
      </c>
    </row>
    <row r="1893" spans="14:14" ht="15.75">
      <c r="N1893" s="976">
        <v>0</v>
      </c>
    </row>
    <row r="1894" spans="14:14" ht="15.75">
      <c r="N1894" s="976">
        <v>0</v>
      </c>
    </row>
    <row r="1895" spans="14:14" ht="15.75">
      <c r="N1895" s="976">
        <v>0</v>
      </c>
    </row>
    <row r="1896" spans="14:14" ht="15.75">
      <c r="N1896" s="976">
        <v>0</v>
      </c>
    </row>
    <row r="1897" spans="14:14" ht="15.75">
      <c r="N1897" s="976">
        <v>0</v>
      </c>
    </row>
    <row r="1898" spans="14:14" ht="15.75">
      <c r="N1898" s="976">
        <v>0</v>
      </c>
    </row>
    <row r="1899" spans="14:14" ht="15.75">
      <c r="N1899" s="976">
        <v>0</v>
      </c>
    </row>
    <row r="1900" spans="14:14" ht="15.75">
      <c r="N1900" s="976">
        <v>0</v>
      </c>
    </row>
    <row r="1901" spans="14:14" ht="15.75">
      <c r="N1901" s="976">
        <v>0</v>
      </c>
    </row>
    <row r="1902" spans="14:14" ht="15.75">
      <c r="N1902" s="976">
        <v>0</v>
      </c>
    </row>
    <row r="1903" spans="14:14" ht="15.75">
      <c r="N1903" s="976">
        <v>0</v>
      </c>
    </row>
    <row r="1904" spans="14:14" ht="15.75">
      <c r="N1904" s="976">
        <v>0</v>
      </c>
    </row>
    <row r="1905" spans="14:14" ht="15.75">
      <c r="N1905" s="976">
        <v>0</v>
      </c>
    </row>
    <row r="1906" spans="14:14" ht="15.75">
      <c r="N1906" s="976">
        <v>0</v>
      </c>
    </row>
    <row r="1907" spans="14:14" ht="15.75">
      <c r="N1907" s="976">
        <v>0</v>
      </c>
    </row>
    <row r="1908" spans="14:14" ht="15.75">
      <c r="N1908" s="976">
        <v>0</v>
      </c>
    </row>
    <row r="1909" spans="14:14" ht="15.75">
      <c r="N1909" s="976">
        <v>0</v>
      </c>
    </row>
    <row r="1910" spans="14:14" ht="15.75">
      <c r="N1910" s="976">
        <v>0</v>
      </c>
    </row>
    <row r="1911" spans="14:14" ht="15.75">
      <c r="N1911" s="976">
        <v>0</v>
      </c>
    </row>
    <row r="1912" spans="14:14" ht="15.75">
      <c r="N1912" s="976">
        <v>0</v>
      </c>
    </row>
    <row r="1913" spans="14:14" ht="15.75">
      <c r="N1913" s="976">
        <v>0</v>
      </c>
    </row>
    <row r="1914" spans="14:14" ht="15.75">
      <c r="N1914" s="976">
        <v>0</v>
      </c>
    </row>
    <row r="1915" spans="14:14" ht="15.75">
      <c r="N1915" s="976">
        <v>0</v>
      </c>
    </row>
    <row r="1916" spans="14:14" ht="15.75">
      <c r="N1916" s="976">
        <v>0</v>
      </c>
    </row>
    <row r="1917" spans="14:14" ht="15.75">
      <c r="N1917" s="976">
        <v>0</v>
      </c>
    </row>
    <row r="1918" spans="14:14" ht="15.75">
      <c r="N1918" s="976">
        <v>0</v>
      </c>
    </row>
    <row r="1919" spans="14:14" ht="15.75">
      <c r="N1919" s="976">
        <v>0</v>
      </c>
    </row>
    <row r="1920" spans="14:14" ht="15.75">
      <c r="N1920" s="976">
        <v>0</v>
      </c>
    </row>
    <row r="1921" spans="14:14" ht="15.75">
      <c r="N1921" s="976">
        <v>0</v>
      </c>
    </row>
    <row r="1922" spans="14:14" ht="15.75">
      <c r="N1922" s="976">
        <v>0</v>
      </c>
    </row>
    <row r="1923" spans="14:14" ht="15.75">
      <c r="N1923" s="976">
        <v>0</v>
      </c>
    </row>
    <row r="1924" spans="14:14" ht="15.75">
      <c r="N1924" s="976">
        <v>0</v>
      </c>
    </row>
    <row r="1925" spans="14:14" ht="15.75">
      <c r="N1925" s="976">
        <v>0</v>
      </c>
    </row>
    <row r="1926" spans="14:14" ht="15.75">
      <c r="N1926" s="976">
        <v>0</v>
      </c>
    </row>
    <row r="1927" spans="14:14" ht="15.75">
      <c r="N1927" s="976">
        <v>0</v>
      </c>
    </row>
    <row r="1928" spans="14:14" ht="15.75">
      <c r="N1928" s="976">
        <v>0</v>
      </c>
    </row>
    <row r="1929" spans="14:14" ht="15.75">
      <c r="N1929" s="976">
        <v>0</v>
      </c>
    </row>
    <row r="1930" spans="14:14" ht="15.75">
      <c r="N1930" s="976">
        <v>0</v>
      </c>
    </row>
    <row r="1931" spans="14:14" ht="15.75">
      <c r="N1931" s="976">
        <v>0</v>
      </c>
    </row>
    <row r="1932" spans="14:14" ht="15.75">
      <c r="N1932" s="976">
        <v>0</v>
      </c>
    </row>
    <row r="1933" spans="14:14" ht="15.75">
      <c r="N1933" s="976">
        <v>0</v>
      </c>
    </row>
    <row r="1934" spans="14:14" ht="15.75">
      <c r="N1934" s="976">
        <v>0</v>
      </c>
    </row>
    <row r="1935" spans="14:14" ht="15.75">
      <c r="N1935" s="976">
        <v>0</v>
      </c>
    </row>
    <row r="1936" spans="14:14" ht="15.75">
      <c r="N1936" s="976">
        <v>0</v>
      </c>
    </row>
    <row r="1937" spans="14:14" ht="15.75">
      <c r="N1937" s="976">
        <v>0</v>
      </c>
    </row>
    <row r="1938" spans="14:14" ht="15.75">
      <c r="N1938" s="976">
        <v>0</v>
      </c>
    </row>
    <row r="1939" spans="14:14" ht="15.75">
      <c r="N1939" s="976">
        <v>0</v>
      </c>
    </row>
    <row r="1940" spans="14:14" ht="15.75">
      <c r="N1940" s="976">
        <v>0</v>
      </c>
    </row>
    <row r="1941" spans="14:14" ht="15.75">
      <c r="N1941" s="976">
        <v>0</v>
      </c>
    </row>
    <row r="1942" spans="14:14" ht="15.75">
      <c r="N1942" s="976">
        <v>0</v>
      </c>
    </row>
    <row r="1943" spans="14:14" ht="15.75">
      <c r="N1943" s="976">
        <v>0</v>
      </c>
    </row>
    <row r="1944" spans="14:14" ht="15.75">
      <c r="N1944" s="976">
        <v>0</v>
      </c>
    </row>
    <row r="1945" spans="14:14" ht="15.75">
      <c r="N1945" s="976">
        <v>0</v>
      </c>
    </row>
    <row r="1946" spans="14:14" ht="15.75">
      <c r="N1946" s="976">
        <v>0</v>
      </c>
    </row>
    <row r="1947" spans="14:14" ht="15.75">
      <c r="N1947" s="976">
        <v>0</v>
      </c>
    </row>
    <row r="1948" spans="14:14" ht="15.75">
      <c r="N1948" s="976">
        <v>0</v>
      </c>
    </row>
    <row r="1949" spans="14:14" ht="15.75">
      <c r="N1949" s="976">
        <v>0</v>
      </c>
    </row>
    <row r="1950" spans="14:14" ht="15.75">
      <c r="N1950" s="976">
        <v>0</v>
      </c>
    </row>
    <row r="1951" spans="14:14" ht="15.75">
      <c r="N1951" s="976">
        <v>0</v>
      </c>
    </row>
    <row r="1952" spans="14:14" ht="15.75">
      <c r="N1952" s="976">
        <v>0</v>
      </c>
    </row>
    <row r="1953" spans="14:14" ht="15.75">
      <c r="N1953" s="976">
        <v>0</v>
      </c>
    </row>
    <row r="1954" spans="14:14" ht="15.75">
      <c r="N1954" s="976">
        <v>0</v>
      </c>
    </row>
    <row r="1955" spans="14:14" ht="15.75">
      <c r="N1955" s="976">
        <v>0</v>
      </c>
    </row>
    <row r="1956" spans="14:14" ht="15.75">
      <c r="N1956" s="976">
        <v>0</v>
      </c>
    </row>
    <row r="1957" spans="14:14" ht="15.75">
      <c r="N1957" s="976">
        <v>0</v>
      </c>
    </row>
    <row r="1958" spans="14:14" ht="15.75">
      <c r="N1958" s="976">
        <v>0</v>
      </c>
    </row>
    <row r="1959" spans="14:14" ht="15.75">
      <c r="N1959" s="976">
        <v>0</v>
      </c>
    </row>
    <row r="1960" spans="14:14" ht="15.75">
      <c r="N1960" s="976">
        <v>0</v>
      </c>
    </row>
    <row r="1961" spans="14:14" ht="15.75">
      <c r="N1961" s="976">
        <v>0</v>
      </c>
    </row>
    <row r="1962" spans="14:14" ht="15.75">
      <c r="N1962" s="976">
        <v>0</v>
      </c>
    </row>
    <row r="1963" spans="14:14" ht="15.75">
      <c r="N1963" s="976">
        <v>0</v>
      </c>
    </row>
    <row r="1964" spans="14:14" ht="15.75">
      <c r="N1964" s="976">
        <v>0</v>
      </c>
    </row>
    <row r="1965" spans="14:14" ht="15.75">
      <c r="N1965" s="976">
        <v>0</v>
      </c>
    </row>
    <row r="1966" spans="14:14" ht="15.75">
      <c r="N1966" s="976">
        <v>0</v>
      </c>
    </row>
    <row r="1967" spans="14:14" ht="15.75">
      <c r="N1967" s="976">
        <v>0</v>
      </c>
    </row>
    <row r="1968" spans="14:14" ht="15.75">
      <c r="N1968" s="976">
        <v>0</v>
      </c>
    </row>
    <row r="1969" spans="14:14" ht="15.75">
      <c r="N1969" s="976">
        <v>0</v>
      </c>
    </row>
    <row r="1970" spans="14:14" ht="15.75">
      <c r="N1970" s="976">
        <v>0</v>
      </c>
    </row>
    <row r="1971" spans="14:14" ht="15.75">
      <c r="N1971" s="976">
        <v>0</v>
      </c>
    </row>
    <row r="1972" spans="14:14" ht="15.75">
      <c r="N1972" s="976">
        <v>0</v>
      </c>
    </row>
    <row r="1973" spans="14:14" ht="15.75">
      <c r="N1973" s="976">
        <v>0</v>
      </c>
    </row>
    <row r="1974" spans="14:14" ht="15.75">
      <c r="N1974" s="976">
        <v>0</v>
      </c>
    </row>
    <row r="1975" spans="14:14" ht="15.75">
      <c r="N1975" s="976">
        <v>0</v>
      </c>
    </row>
    <row r="1976" spans="14:14" ht="15.75">
      <c r="N1976" s="976">
        <v>0</v>
      </c>
    </row>
    <row r="1977" spans="14:14" ht="15.75">
      <c r="N1977" s="976">
        <v>0</v>
      </c>
    </row>
    <row r="1978" spans="14:14" ht="15.75">
      <c r="N1978" s="976">
        <v>0</v>
      </c>
    </row>
    <row r="1979" spans="14:14" ht="15.75">
      <c r="N1979" s="976">
        <v>0</v>
      </c>
    </row>
    <row r="1980" spans="14:14" ht="15.75">
      <c r="N1980" s="976">
        <v>0</v>
      </c>
    </row>
    <row r="1981" spans="14:14" ht="15.75">
      <c r="N1981" s="976">
        <v>0</v>
      </c>
    </row>
    <row r="1982" spans="14:14" ht="15.75">
      <c r="N1982" s="976">
        <v>0</v>
      </c>
    </row>
    <row r="1983" spans="14:14" ht="15.75">
      <c r="N1983" s="976">
        <v>0</v>
      </c>
    </row>
    <row r="1984" spans="14:14" ht="15.75">
      <c r="N1984" s="976">
        <v>0</v>
      </c>
    </row>
    <row r="1985" spans="14:14" ht="15.75">
      <c r="N1985" s="976">
        <v>0</v>
      </c>
    </row>
    <row r="1986" spans="14:14" ht="15.75">
      <c r="N1986" s="976">
        <v>0</v>
      </c>
    </row>
    <row r="1987" spans="14:14" ht="15.75">
      <c r="N1987" s="976">
        <v>0</v>
      </c>
    </row>
    <row r="1988" spans="14:14" ht="15.75">
      <c r="N1988" s="976">
        <v>0</v>
      </c>
    </row>
    <row r="1989" spans="14:14" ht="15.75">
      <c r="N1989" s="976">
        <v>0</v>
      </c>
    </row>
    <row r="1990" spans="14:14" ht="15.75">
      <c r="N1990" s="976">
        <v>0</v>
      </c>
    </row>
    <row r="1991" spans="14:14" ht="15.75">
      <c r="N1991" s="976">
        <v>0</v>
      </c>
    </row>
    <row r="1992" spans="14:14" ht="15.75">
      <c r="N1992" s="976">
        <v>0</v>
      </c>
    </row>
    <row r="1993" spans="14:14" ht="15.75">
      <c r="N1993" s="976">
        <v>0</v>
      </c>
    </row>
    <row r="1994" spans="14:14" ht="15.75">
      <c r="N1994" s="976">
        <v>0</v>
      </c>
    </row>
    <row r="1995" spans="14:14" ht="15.75">
      <c r="N1995" s="976">
        <v>0</v>
      </c>
    </row>
    <row r="1996" spans="14:14" ht="15.75">
      <c r="N1996" s="976">
        <v>0</v>
      </c>
    </row>
    <row r="1997" spans="14:14" ht="15.75">
      <c r="N1997" s="976">
        <v>0</v>
      </c>
    </row>
    <row r="1998" spans="14:14" ht="15.75">
      <c r="N1998" s="976">
        <v>0</v>
      </c>
    </row>
    <row r="1999" spans="14:14" ht="15.75">
      <c r="N1999" s="976">
        <v>0</v>
      </c>
    </row>
    <row r="2000" spans="14:14" ht="15.75">
      <c r="N2000" s="976">
        <v>0</v>
      </c>
    </row>
    <row r="2001" spans="14:14" ht="15.75">
      <c r="N2001" s="976">
        <v>0</v>
      </c>
    </row>
    <row r="2002" spans="14:14" ht="15.75">
      <c r="N2002" s="976">
        <v>0</v>
      </c>
    </row>
    <row r="2003" spans="14:14" ht="15.75">
      <c r="N2003" s="976">
        <v>0</v>
      </c>
    </row>
    <row r="2004" spans="14:14" ht="15.75">
      <c r="N2004" s="976">
        <v>0</v>
      </c>
    </row>
    <row r="2005" spans="14:14" ht="15.75">
      <c r="N2005" s="976">
        <v>0</v>
      </c>
    </row>
    <row r="2006" spans="14:14" ht="15.75">
      <c r="N2006" s="976">
        <v>0</v>
      </c>
    </row>
    <row r="2007" spans="14:14" ht="15.75">
      <c r="N2007" s="976">
        <v>0</v>
      </c>
    </row>
    <row r="2008" spans="14:14" ht="15.75">
      <c r="N2008" s="976">
        <v>0</v>
      </c>
    </row>
    <row r="2009" spans="14:14" ht="15.75">
      <c r="N2009" s="976">
        <v>0</v>
      </c>
    </row>
    <row r="2010" spans="14:14" ht="15.75">
      <c r="N2010" s="976">
        <v>0</v>
      </c>
    </row>
    <row r="2011" spans="14:14" ht="15.75">
      <c r="N2011" s="976">
        <v>0</v>
      </c>
    </row>
    <row r="2012" spans="14:14" ht="15.75">
      <c r="N2012" s="976">
        <v>0</v>
      </c>
    </row>
    <row r="2013" spans="14:14" ht="15.75">
      <c r="N2013" s="976">
        <v>0</v>
      </c>
    </row>
    <row r="2014" spans="14:14" ht="15.75">
      <c r="N2014" s="976">
        <v>0</v>
      </c>
    </row>
    <row r="2015" spans="14:14" ht="15.75">
      <c r="N2015" s="976">
        <v>0</v>
      </c>
    </row>
    <row r="2016" spans="14:14" ht="15.75">
      <c r="N2016" s="976">
        <v>0</v>
      </c>
    </row>
    <row r="2017" spans="14:14" ht="15.75">
      <c r="N2017" s="976">
        <v>0</v>
      </c>
    </row>
    <row r="2018" spans="14:14" ht="15.75">
      <c r="N2018" s="976">
        <v>0</v>
      </c>
    </row>
    <row r="2019" spans="14:14" ht="15.75">
      <c r="N2019" s="976">
        <v>0</v>
      </c>
    </row>
    <row r="2020" spans="14:14" ht="15.75">
      <c r="N2020" s="976">
        <v>0</v>
      </c>
    </row>
    <row r="2021" spans="14:14" ht="15.75">
      <c r="N2021" s="976">
        <v>0</v>
      </c>
    </row>
    <row r="2022" spans="14:14" ht="15.75">
      <c r="N2022" s="976">
        <v>0</v>
      </c>
    </row>
    <row r="2023" spans="14:14" ht="15.75">
      <c r="N2023" s="976">
        <v>0</v>
      </c>
    </row>
    <row r="2024" spans="14:14" ht="15.75">
      <c r="N2024" s="976">
        <v>0</v>
      </c>
    </row>
    <row r="2025" spans="14:14" ht="15.75">
      <c r="N2025" s="976">
        <v>0</v>
      </c>
    </row>
    <row r="2026" spans="14:14" ht="15.75">
      <c r="N2026" s="976">
        <v>0</v>
      </c>
    </row>
    <row r="2027" spans="14:14" ht="15.75">
      <c r="N2027" s="976">
        <v>0</v>
      </c>
    </row>
    <row r="2028" spans="14:14" ht="15.75">
      <c r="N2028" s="976">
        <v>0</v>
      </c>
    </row>
    <row r="2029" spans="14:14" ht="15.75">
      <c r="N2029" s="976">
        <v>0</v>
      </c>
    </row>
    <row r="2030" spans="14:14" ht="15.75">
      <c r="N2030" s="976">
        <v>0</v>
      </c>
    </row>
    <row r="2031" spans="14:14" ht="15.75">
      <c r="N2031" s="976">
        <v>0</v>
      </c>
    </row>
    <row r="2032" spans="14:14" ht="15.75">
      <c r="N2032" s="976">
        <v>0</v>
      </c>
    </row>
    <row r="2033" spans="14:14" ht="15.75">
      <c r="N2033" s="976">
        <v>0</v>
      </c>
    </row>
    <row r="2034" spans="14:14" ht="15.75">
      <c r="N2034" s="976">
        <v>0</v>
      </c>
    </row>
    <row r="2035" spans="14:14" ht="15.75">
      <c r="N2035" s="976">
        <v>0</v>
      </c>
    </row>
    <row r="2036" spans="14:14" ht="15.75">
      <c r="N2036" s="976">
        <v>0</v>
      </c>
    </row>
    <row r="2037" spans="14:14" ht="15.75">
      <c r="N2037" s="976">
        <v>0</v>
      </c>
    </row>
    <row r="2038" spans="14:14" ht="15.75">
      <c r="N2038" s="976">
        <v>0</v>
      </c>
    </row>
    <row r="2039" spans="14:14" ht="15.75">
      <c r="N2039" s="976">
        <v>0</v>
      </c>
    </row>
    <row r="2040" spans="14:14" ht="15.75">
      <c r="N2040" s="976">
        <v>0</v>
      </c>
    </row>
    <row r="2041" spans="14:14" ht="15.75">
      <c r="N2041" s="976">
        <v>0</v>
      </c>
    </row>
    <row r="2042" spans="14:14" ht="15.75">
      <c r="N2042" s="976">
        <v>0</v>
      </c>
    </row>
    <row r="2043" spans="14:14" ht="15.75">
      <c r="N2043" s="976">
        <v>0</v>
      </c>
    </row>
    <row r="2044" spans="14:14" ht="15.75">
      <c r="N2044" s="976">
        <v>0</v>
      </c>
    </row>
    <row r="2045" spans="14:14" ht="15.75">
      <c r="N2045" s="976">
        <v>0</v>
      </c>
    </row>
    <row r="2046" spans="14:14" ht="15.75">
      <c r="N2046" s="976">
        <v>0</v>
      </c>
    </row>
    <row r="2047" spans="14:14" ht="15.75">
      <c r="N2047" s="976">
        <v>0</v>
      </c>
    </row>
    <row r="2048" spans="14:14" ht="15.75">
      <c r="N2048" s="976">
        <v>0</v>
      </c>
    </row>
    <row r="2049" spans="14:14" ht="15.75">
      <c r="N2049" s="976">
        <v>0</v>
      </c>
    </row>
    <row r="2050" spans="14:14" ht="15.75">
      <c r="N2050" s="976">
        <v>0</v>
      </c>
    </row>
    <row r="2051" spans="14:14" ht="15.75">
      <c r="N2051" s="976">
        <v>0</v>
      </c>
    </row>
    <row r="2052" spans="14:14" ht="15.75">
      <c r="N2052" s="976">
        <v>0</v>
      </c>
    </row>
    <row r="2053" spans="14:14" ht="15.75">
      <c r="N2053" s="976">
        <v>0</v>
      </c>
    </row>
    <row r="2054" spans="14:14" ht="15.75">
      <c r="N2054" s="976">
        <v>0</v>
      </c>
    </row>
    <row r="2055" spans="14:14" ht="15.75">
      <c r="N2055" s="976">
        <v>0</v>
      </c>
    </row>
    <row r="2056" spans="14:14" ht="15.75">
      <c r="N2056" s="976">
        <v>0</v>
      </c>
    </row>
    <row r="2057" spans="14:14" ht="15.75">
      <c r="N2057" s="976">
        <v>0</v>
      </c>
    </row>
    <row r="2058" spans="14:14" ht="15.75">
      <c r="N2058" s="976">
        <v>0</v>
      </c>
    </row>
    <row r="2059" spans="14:14" ht="15.75">
      <c r="N2059" s="976">
        <v>0</v>
      </c>
    </row>
    <row r="2060" spans="14:14" ht="15.75">
      <c r="N2060" s="976">
        <v>0</v>
      </c>
    </row>
    <row r="2061" spans="14:14" ht="15.75">
      <c r="N2061" s="976">
        <v>0</v>
      </c>
    </row>
    <row r="2062" spans="14:14" ht="15.75">
      <c r="N2062" s="976">
        <v>0</v>
      </c>
    </row>
    <row r="2063" spans="14:14" ht="15.75">
      <c r="N2063" s="976">
        <v>0</v>
      </c>
    </row>
    <row r="2064" spans="14:14" ht="15.75">
      <c r="N2064" s="976">
        <v>0</v>
      </c>
    </row>
    <row r="2065" spans="14:14" ht="15.75">
      <c r="N2065" s="976">
        <v>0</v>
      </c>
    </row>
    <row r="2066" spans="14:14" ht="15.75">
      <c r="N2066" s="976">
        <v>0</v>
      </c>
    </row>
    <row r="2067" spans="14:14" ht="15.75">
      <c r="N2067" s="976">
        <v>0</v>
      </c>
    </row>
    <row r="2068" spans="14:14" ht="15.75">
      <c r="N2068" s="976">
        <v>0</v>
      </c>
    </row>
    <row r="2069" spans="14:14" ht="15.75">
      <c r="N2069" s="976">
        <v>0</v>
      </c>
    </row>
    <row r="2070" spans="14:14" ht="15.75">
      <c r="N2070" s="976">
        <v>0</v>
      </c>
    </row>
    <row r="2071" spans="14:14" ht="15.75">
      <c r="N2071" s="976">
        <v>0</v>
      </c>
    </row>
    <row r="2072" spans="14:14" ht="15.75">
      <c r="N2072" s="976">
        <v>0</v>
      </c>
    </row>
    <row r="2073" spans="14:14" ht="15.75">
      <c r="N2073" s="976">
        <v>0</v>
      </c>
    </row>
    <row r="2074" spans="14:14" ht="15.75">
      <c r="N2074" s="976">
        <v>0</v>
      </c>
    </row>
    <row r="2075" spans="14:14" ht="15.75">
      <c r="N2075" s="976">
        <v>0</v>
      </c>
    </row>
    <row r="2076" spans="14:14" ht="15.75">
      <c r="N2076" s="976">
        <v>0</v>
      </c>
    </row>
    <row r="2077" spans="14:14" ht="15.75">
      <c r="N2077" s="976">
        <v>0</v>
      </c>
    </row>
    <row r="2078" spans="14:14" ht="15.75">
      <c r="N2078" s="976">
        <v>0</v>
      </c>
    </row>
    <row r="2079" spans="14:14" ht="15.75">
      <c r="N2079" s="976">
        <v>0</v>
      </c>
    </row>
    <row r="2080" spans="14:14" ht="15.75">
      <c r="N2080" s="976">
        <v>0</v>
      </c>
    </row>
    <row r="2081" spans="14:14" ht="15.75">
      <c r="N2081" s="976">
        <v>0</v>
      </c>
    </row>
    <row r="2082" spans="14:14" ht="15.75">
      <c r="N2082" s="976">
        <v>0</v>
      </c>
    </row>
    <row r="2083" spans="14:14" ht="15.75">
      <c r="N2083" s="976">
        <v>0</v>
      </c>
    </row>
    <row r="2084" spans="14:14" ht="15.75">
      <c r="N2084" s="976">
        <v>0</v>
      </c>
    </row>
    <row r="2085" spans="14:14" ht="15.75">
      <c r="N2085" s="976">
        <v>0</v>
      </c>
    </row>
    <row r="2086" spans="14:14" ht="15.75">
      <c r="N2086" s="976">
        <v>0</v>
      </c>
    </row>
    <row r="2087" spans="14:14" ht="15.75">
      <c r="N2087" s="976">
        <v>0</v>
      </c>
    </row>
    <row r="2088" spans="14:14" ht="15.75">
      <c r="N2088" s="976">
        <v>0</v>
      </c>
    </row>
    <row r="2089" spans="14:14" ht="15.75">
      <c r="N2089" s="976">
        <v>0</v>
      </c>
    </row>
    <row r="2090" spans="14:14" ht="15.75">
      <c r="N2090" s="976">
        <v>0</v>
      </c>
    </row>
    <row r="2091" spans="14:14" ht="15.75">
      <c r="N2091" s="976">
        <v>0</v>
      </c>
    </row>
    <row r="2092" spans="14:14" ht="15.75">
      <c r="N2092" s="976">
        <v>0</v>
      </c>
    </row>
    <row r="2093" spans="14:14" ht="15.75">
      <c r="N2093" s="976">
        <v>0</v>
      </c>
    </row>
    <row r="2094" spans="14:14" ht="15.75">
      <c r="N2094" s="976">
        <v>0</v>
      </c>
    </row>
    <row r="2095" spans="14:14" ht="15.75">
      <c r="N2095" s="976">
        <v>0</v>
      </c>
    </row>
    <row r="2096" spans="14:14" ht="15.75">
      <c r="N2096" s="976">
        <v>0</v>
      </c>
    </row>
    <row r="2097" spans="14:14" ht="15.75">
      <c r="N2097" s="976">
        <v>0</v>
      </c>
    </row>
    <row r="2098" spans="14:14" ht="15.75">
      <c r="N2098" s="976">
        <v>0</v>
      </c>
    </row>
    <row r="2099" spans="14:14" ht="15.75">
      <c r="N2099" s="976">
        <v>0</v>
      </c>
    </row>
    <row r="2100" spans="14:14" ht="15.75">
      <c r="N2100" s="976">
        <v>0</v>
      </c>
    </row>
    <row r="2101" spans="14:14" ht="15.75">
      <c r="N2101" s="976">
        <v>0</v>
      </c>
    </row>
    <row r="2102" spans="14:14" ht="15.75">
      <c r="N2102" s="976">
        <v>0</v>
      </c>
    </row>
    <row r="2103" spans="14:14" ht="15.75">
      <c r="N2103" s="976">
        <v>0</v>
      </c>
    </row>
    <row r="2104" spans="14:14" ht="15.75">
      <c r="N2104" s="976">
        <v>0</v>
      </c>
    </row>
    <row r="2105" spans="14:14" ht="15.75">
      <c r="N2105" s="976">
        <v>0</v>
      </c>
    </row>
    <row r="2106" spans="14:14" ht="15.75">
      <c r="N2106" s="976">
        <v>0</v>
      </c>
    </row>
    <row r="2107" spans="14:14" ht="15.75">
      <c r="N2107" s="976">
        <v>0</v>
      </c>
    </row>
    <row r="2108" spans="14:14" ht="15.75">
      <c r="N2108" s="976">
        <v>0</v>
      </c>
    </row>
    <row r="2109" spans="14:14" ht="15.75">
      <c r="N2109" s="976">
        <v>0</v>
      </c>
    </row>
    <row r="2110" spans="14:14" ht="15.75">
      <c r="N2110" s="976">
        <v>0</v>
      </c>
    </row>
    <row r="2111" spans="14:14" ht="15.75">
      <c r="N2111" s="976">
        <v>0</v>
      </c>
    </row>
    <row r="2112" spans="14:14" ht="15.75">
      <c r="N2112" s="976">
        <v>0</v>
      </c>
    </row>
    <row r="2113" spans="14:14" ht="15.75">
      <c r="N2113" s="976">
        <v>0</v>
      </c>
    </row>
    <row r="2114" spans="14:14" ht="15.75">
      <c r="N2114" s="976">
        <v>0</v>
      </c>
    </row>
    <row r="2115" spans="14:14" ht="15.75">
      <c r="N2115" s="976">
        <v>0</v>
      </c>
    </row>
    <row r="2116" spans="14:14" ht="15.75">
      <c r="N2116" s="976">
        <v>0</v>
      </c>
    </row>
    <row r="2117" spans="14:14" ht="15.75">
      <c r="N2117" s="976">
        <v>0</v>
      </c>
    </row>
    <row r="2118" spans="14:14" ht="15.75">
      <c r="N2118" s="976">
        <v>0</v>
      </c>
    </row>
    <row r="2119" spans="14:14" ht="15.75">
      <c r="N2119" s="976">
        <v>0</v>
      </c>
    </row>
    <row r="2120" spans="14:14" ht="15.75">
      <c r="N2120" s="976">
        <v>0</v>
      </c>
    </row>
    <row r="2121" spans="14:14" ht="15.75">
      <c r="N2121" s="976">
        <v>0</v>
      </c>
    </row>
    <row r="2122" spans="14:14" ht="15.75">
      <c r="N2122" s="976">
        <v>0</v>
      </c>
    </row>
    <row r="2123" spans="14:14" ht="15.75">
      <c r="N2123" s="976">
        <v>0</v>
      </c>
    </row>
    <row r="2124" spans="14:14" ht="15.75">
      <c r="N2124" s="976">
        <v>0</v>
      </c>
    </row>
    <row r="2125" spans="14:14" ht="15.75">
      <c r="N2125" s="976">
        <v>0</v>
      </c>
    </row>
    <row r="2126" spans="14:14" ht="15.75">
      <c r="N2126" s="976">
        <v>0</v>
      </c>
    </row>
    <row r="2127" spans="14:14" ht="15.75">
      <c r="N2127" s="976">
        <v>0</v>
      </c>
    </row>
    <row r="2128" spans="14:14" ht="15.75">
      <c r="N2128" s="976">
        <v>0</v>
      </c>
    </row>
    <row r="2129" spans="14:14" ht="15.75">
      <c r="N2129" s="976">
        <v>0</v>
      </c>
    </row>
    <row r="2130" spans="14:14" ht="15.75">
      <c r="N2130" s="976">
        <v>0</v>
      </c>
    </row>
    <row r="2131" spans="14:14" ht="15.75">
      <c r="N2131" s="976">
        <v>0</v>
      </c>
    </row>
    <row r="2132" spans="14:14" ht="15.75">
      <c r="N2132" s="976">
        <v>0</v>
      </c>
    </row>
    <row r="2133" spans="14:14" ht="15.75">
      <c r="N2133" s="976">
        <v>0</v>
      </c>
    </row>
    <row r="2134" spans="14:14" ht="15.75">
      <c r="N2134" s="976">
        <v>0</v>
      </c>
    </row>
    <row r="2135" spans="14:14" ht="15.75">
      <c r="N2135" s="976">
        <v>0</v>
      </c>
    </row>
    <row r="2136" spans="14:14" ht="15.75">
      <c r="N2136" s="976">
        <v>0</v>
      </c>
    </row>
    <row r="2137" spans="14:14" ht="15.75">
      <c r="N2137" s="976">
        <v>0</v>
      </c>
    </row>
    <row r="2138" spans="14:14" ht="15.75">
      <c r="N2138" s="976">
        <v>0</v>
      </c>
    </row>
    <row r="2139" spans="14:14" ht="15.75">
      <c r="N2139" s="976">
        <v>0</v>
      </c>
    </row>
    <row r="2140" spans="14:14" ht="15.75">
      <c r="N2140" s="976">
        <v>0</v>
      </c>
    </row>
    <row r="2141" spans="14:14" ht="15.75">
      <c r="N2141" s="976">
        <v>0</v>
      </c>
    </row>
    <row r="2142" spans="14:14" ht="15.75">
      <c r="N2142" s="976">
        <v>0</v>
      </c>
    </row>
    <row r="2143" spans="14:14" ht="15.75">
      <c r="N2143" s="976">
        <v>0</v>
      </c>
    </row>
    <row r="2144" spans="14:14" ht="15.75">
      <c r="N2144" s="976">
        <v>0</v>
      </c>
    </row>
    <row r="2145" spans="14:14" ht="15.75">
      <c r="N2145" s="976">
        <v>0</v>
      </c>
    </row>
    <row r="2146" spans="14:14" ht="15.75">
      <c r="N2146" s="976">
        <v>0</v>
      </c>
    </row>
    <row r="2147" spans="14:14" ht="15.75">
      <c r="N2147" s="976">
        <v>0</v>
      </c>
    </row>
    <row r="2148" spans="14:14" ht="15.75">
      <c r="N2148" s="976">
        <v>0</v>
      </c>
    </row>
    <row r="2149" spans="14:14" ht="15.75">
      <c r="N2149" s="976">
        <v>0</v>
      </c>
    </row>
    <row r="2150" spans="14:14" ht="15.75">
      <c r="N2150" s="976">
        <v>0</v>
      </c>
    </row>
    <row r="2151" spans="14:14" ht="15.75">
      <c r="N2151" s="976">
        <v>0</v>
      </c>
    </row>
    <row r="2152" spans="14:14" ht="15.75">
      <c r="N2152" s="976">
        <v>0</v>
      </c>
    </row>
    <row r="2153" spans="14:14" ht="15.75">
      <c r="N2153" s="976">
        <v>0</v>
      </c>
    </row>
    <row r="2154" spans="14:14" ht="15.75">
      <c r="N2154" s="976">
        <v>0</v>
      </c>
    </row>
    <row r="2155" spans="14:14" ht="15.75">
      <c r="N2155" s="976">
        <v>0</v>
      </c>
    </row>
    <row r="2156" spans="14:14" ht="15.75">
      <c r="N2156" s="976">
        <v>0</v>
      </c>
    </row>
    <row r="2157" spans="14:14" ht="15.75">
      <c r="N2157" s="976">
        <v>0</v>
      </c>
    </row>
    <row r="2158" spans="14:14" ht="15.75">
      <c r="N2158" s="976">
        <v>0</v>
      </c>
    </row>
    <row r="2159" spans="14:14" ht="15.75">
      <c r="N2159" s="976">
        <v>0</v>
      </c>
    </row>
    <row r="2160" spans="14:14" ht="15.75">
      <c r="N2160" s="976">
        <v>0</v>
      </c>
    </row>
    <row r="2161" spans="14:14" ht="15.75">
      <c r="N2161" s="976">
        <v>0</v>
      </c>
    </row>
    <row r="2162" spans="14:14" ht="15.75">
      <c r="N2162" s="976">
        <v>0</v>
      </c>
    </row>
    <row r="2163" spans="14:14" ht="15.75">
      <c r="N2163" s="976">
        <v>0</v>
      </c>
    </row>
    <row r="2164" spans="14:14" ht="15.75">
      <c r="N2164" s="976">
        <v>0</v>
      </c>
    </row>
    <row r="2165" spans="14:14" ht="15.75">
      <c r="N2165" s="976">
        <v>0</v>
      </c>
    </row>
    <row r="2166" spans="14:14" ht="15.75">
      <c r="N2166" s="976">
        <v>0</v>
      </c>
    </row>
    <row r="2167" spans="14:14" ht="15.75">
      <c r="N2167" s="976">
        <v>0</v>
      </c>
    </row>
    <row r="2168" spans="14:14" ht="15.75">
      <c r="N2168" s="976">
        <v>0</v>
      </c>
    </row>
    <row r="2169" spans="14:14" ht="15.75">
      <c r="N2169" s="976">
        <v>0</v>
      </c>
    </row>
    <row r="2170" spans="14:14" ht="15.75">
      <c r="N2170" s="976">
        <v>0</v>
      </c>
    </row>
    <row r="2171" spans="14:14" ht="15.75">
      <c r="N2171" s="976">
        <v>0</v>
      </c>
    </row>
    <row r="2172" spans="14:14" ht="15.75">
      <c r="N2172" s="976">
        <v>0</v>
      </c>
    </row>
    <row r="2173" spans="14:14" ht="15.75">
      <c r="N2173" s="976">
        <v>0</v>
      </c>
    </row>
    <row r="2174" spans="14:14" ht="15.75">
      <c r="N2174" s="976">
        <v>0</v>
      </c>
    </row>
    <row r="2175" spans="14:14" ht="15.75">
      <c r="N2175" s="976">
        <v>0</v>
      </c>
    </row>
    <row r="2176" spans="14:14" ht="15.75">
      <c r="N2176" s="976">
        <v>0</v>
      </c>
    </row>
    <row r="2177" spans="14:14" ht="15.75">
      <c r="N2177" s="976">
        <v>0</v>
      </c>
    </row>
    <row r="2178" spans="14:14" ht="15.75">
      <c r="N2178" s="976">
        <v>0</v>
      </c>
    </row>
    <row r="2179" spans="14:14" ht="15.75">
      <c r="N2179" s="976">
        <v>0</v>
      </c>
    </row>
    <row r="2180" spans="14:14" ht="15.75">
      <c r="N2180" s="976">
        <v>0</v>
      </c>
    </row>
    <row r="2181" spans="14:14" ht="15.75">
      <c r="N2181" s="976">
        <v>0</v>
      </c>
    </row>
    <row r="2182" spans="14:14" ht="15.75">
      <c r="N2182" s="976">
        <v>0</v>
      </c>
    </row>
    <row r="2183" spans="14:14" ht="15.75">
      <c r="N2183" s="976">
        <v>0</v>
      </c>
    </row>
    <row r="2184" spans="14:14" ht="15.75">
      <c r="N2184" s="976">
        <v>0</v>
      </c>
    </row>
    <row r="2185" spans="14:14" ht="15.75">
      <c r="N2185" s="976">
        <v>0</v>
      </c>
    </row>
    <row r="2186" spans="14:14" ht="15.75">
      <c r="N2186" s="976">
        <v>0</v>
      </c>
    </row>
    <row r="2187" spans="14:14" ht="15.75">
      <c r="N2187" s="976">
        <v>0</v>
      </c>
    </row>
    <row r="2188" spans="14:14" ht="15.75">
      <c r="N2188" s="976">
        <v>0</v>
      </c>
    </row>
    <row r="2189" spans="14:14" ht="15.75">
      <c r="N2189" s="976">
        <v>0</v>
      </c>
    </row>
    <row r="2190" spans="14:14" ht="15.75">
      <c r="N2190" s="976">
        <v>0</v>
      </c>
    </row>
    <row r="2191" spans="14:14" ht="15.75">
      <c r="N2191" s="976">
        <v>0</v>
      </c>
    </row>
    <row r="2192" spans="14:14" ht="15.75">
      <c r="N2192" s="976">
        <v>0</v>
      </c>
    </row>
    <row r="2193" spans="14:14" ht="15.75">
      <c r="N2193" s="976">
        <v>0</v>
      </c>
    </row>
    <row r="2194" spans="14:14" ht="15.75">
      <c r="N2194" s="976">
        <v>0</v>
      </c>
    </row>
    <row r="2195" spans="14:14" ht="15.75">
      <c r="N2195" s="976">
        <v>0</v>
      </c>
    </row>
    <row r="2196" spans="14:14" ht="15.75">
      <c r="N2196" s="976">
        <v>0</v>
      </c>
    </row>
    <row r="2197" spans="14:14" ht="15.75">
      <c r="N2197" s="976">
        <v>0</v>
      </c>
    </row>
    <row r="2198" spans="14:14" ht="15.75">
      <c r="N2198" s="976">
        <v>0</v>
      </c>
    </row>
    <row r="2199" spans="14:14" ht="15.75">
      <c r="N2199" s="976">
        <v>0</v>
      </c>
    </row>
    <row r="2200" spans="14:14" ht="15.75">
      <c r="N2200" s="976">
        <v>0</v>
      </c>
    </row>
    <row r="2201" spans="14:14" ht="15.75">
      <c r="N2201" s="976">
        <v>0</v>
      </c>
    </row>
    <row r="2202" spans="14:14" ht="15.75">
      <c r="N2202" s="976">
        <v>0</v>
      </c>
    </row>
    <row r="2203" spans="14:14" ht="15.75">
      <c r="N2203" s="976">
        <v>0</v>
      </c>
    </row>
    <row r="2204" spans="14:14" ht="15.75">
      <c r="N2204" s="976">
        <v>0</v>
      </c>
    </row>
    <row r="2205" spans="14:14" ht="15.75">
      <c r="N2205" s="976">
        <v>0</v>
      </c>
    </row>
    <row r="2206" spans="14:14" ht="15.75">
      <c r="N2206" s="976">
        <v>0</v>
      </c>
    </row>
    <row r="2207" spans="14:14" ht="15.75">
      <c r="N2207" s="976">
        <v>0</v>
      </c>
    </row>
    <row r="2208" spans="14:14" ht="15.75">
      <c r="N2208" s="976">
        <v>0</v>
      </c>
    </row>
    <row r="2209" spans="14:14" ht="15.75">
      <c r="N2209" s="976">
        <v>0</v>
      </c>
    </row>
    <row r="2210" spans="14:14" ht="15.75">
      <c r="N2210" s="976">
        <v>0</v>
      </c>
    </row>
    <row r="2211" spans="14:14" ht="15.75">
      <c r="N2211" s="976">
        <v>0</v>
      </c>
    </row>
    <row r="2212" spans="14:14" ht="15.75">
      <c r="N2212" s="976">
        <v>0</v>
      </c>
    </row>
    <row r="2213" spans="14:14" ht="15.75">
      <c r="N2213" s="976">
        <v>0</v>
      </c>
    </row>
    <row r="2214" spans="14:14" ht="15.75">
      <c r="N2214" s="976">
        <v>0</v>
      </c>
    </row>
    <row r="2215" spans="14:14" ht="15.75">
      <c r="N2215" s="976">
        <v>0</v>
      </c>
    </row>
    <row r="2216" spans="14:14" ht="15.75">
      <c r="N2216" s="976">
        <v>0</v>
      </c>
    </row>
    <row r="2217" spans="14:14" ht="15.75">
      <c r="N2217" s="976">
        <v>0</v>
      </c>
    </row>
    <row r="2218" spans="14:14" ht="15.75">
      <c r="N2218" s="976">
        <v>0</v>
      </c>
    </row>
    <row r="2219" spans="14:14" ht="15.75">
      <c r="N2219" s="976">
        <v>0</v>
      </c>
    </row>
    <row r="2220" spans="14:14" ht="15.75">
      <c r="N2220" s="976">
        <v>0</v>
      </c>
    </row>
    <row r="2221" spans="14:14" ht="15.75">
      <c r="N2221" s="976">
        <v>0</v>
      </c>
    </row>
    <row r="2222" spans="14:14" ht="15.75">
      <c r="N2222" s="976">
        <v>0</v>
      </c>
    </row>
    <row r="2223" spans="14:14" ht="15.75">
      <c r="N2223" s="976">
        <v>0</v>
      </c>
    </row>
    <row r="2224" spans="14:14" ht="15.75">
      <c r="N2224" s="976">
        <v>0</v>
      </c>
    </row>
    <row r="2225" spans="14:14" ht="15.75">
      <c r="N2225" s="976">
        <v>0</v>
      </c>
    </row>
    <row r="2226" spans="14:14" ht="15.75">
      <c r="N2226" s="976">
        <v>0</v>
      </c>
    </row>
    <row r="2227" spans="14:14" ht="15.75">
      <c r="N2227" s="976">
        <v>0</v>
      </c>
    </row>
    <row r="2228" spans="14:14" ht="15.75">
      <c r="N2228" s="976">
        <v>0</v>
      </c>
    </row>
    <row r="2229" spans="14:14" ht="15.75">
      <c r="N2229" s="976">
        <v>0</v>
      </c>
    </row>
    <row r="2230" spans="14:14" ht="15.75">
      <c r="N2230" s="976">
        <v>0</v>
      </c>
    </row>
    <row r="2231" spans="14:14" ht="15.75">
      <c r="N2231" s="976">
        <v>0</v>
      </c>
    </row>
    <row r="2232" spans="14:14" ht="15.75">
      <c r="N2232" s="976">
        <v>0</v>
      </c>
    </row>
    <row r="2233" spans="14:14" ht="15.75">
      <c r="N2233" s="976">
        <v>0</v>
      </c>
    </row>
    <row r="2234" spans="14:14" ht="15.75">
      <c r="N2234" s="976">
        <v>0</v>
      </c>
    </row>
    <row r="2235" spans="14:14" ht="15.75">
      <c r="N2235" s="976">
        <v>0</v>
      </c>
    </row>
    <row r="2236" spans="14:14" ht="15.75">
      <c r="N2236" s="976">
        <v>0</v>
      </c>
    </row>
    <row r="2237" spans="14:14" ht="15.75">
      <c r="N2237" s="976">
        <v>0</v>
      </c>
    </row>
    <row r="2238" spans="14:14" ht="15.75">
      <c r="N2238" s="976">
        <v>0</v>
      </c>
    </row>
    <row r="2239" spans="14:14" ht="15.75">
      <c r="N2239" s="976">
        <v>0</v>
      </c>
    </row>
    <row r="2240" spans="14:14" ht="15.75">
      <c r="N2240" s="976">
        <v>0</v>
      </c>
    </row>
    <row r="2241" spans="14:14" ht="15.75">
      <c r="N2241" s="976">
        <v>0</v>
      </c>
    </row>
    <row r="2242" spans="14:14" ht="15.75">
      <c r="N2242" s="976">
        <v>0</v>
      </c>
    </row>
    <row r="2243" spans="14:14" ht="15.75">
      <c r="N2243" s="976">
        <v>0</v>
      </c>
    </row>
    <row r="2244" spans="14:14" ht="15.75">
      <c r="N2244" s="976">
        <v>0</v>
      </c>
    </row>
    <row r="2245" spans="14:14" ht="15.75">
      <c r="N2245" s="976">
        <v>0</v>
      </c>
    </row>
    <row r="2246" spans="14:14" ht="15.75">
      <c r="N2246" s="976">
        <v>0</v>
      </c>
    </row>
    <row r="2247" spans="14:14" ht="15.75">
      <c r="N2247" s="976">
        <v>0</v>
      </c>
    </row>
    <row r="2248" spans="14:14" ht="15.75">
      <c r="N2248" s="976">
        <v>0</v>
      </c>
    </row>
    <row r="2249" spans="14:14" ht="15.75">
      <c r="N2249" s="976">
        <v>0</v>
      </c>
    </row>
    <row r="2250" spans="14:14" ht="15.75">
      <c r="N2250" s="976">
        <v>0</v>
      </c>
    </row>
    <row r="2251" spans="14:14" ht="15.75">
      <c r="N2251" s="976">
        <v>0</v>
      </c>
    </row>
    <row r="2252" spans="14:14" ht="15.75">
      <c r="N2252" s="976">
        <v>0</v>
      </c>
    </row>
    <row r="2253" spans="14:14" ht="15.75">
      <c r="N2253" s="976">
        <v>0</v>
      </c>
    </row>
    <row r="2254" spans="14:14" ht="15.75">
      <c r="N2254" s="976">
        <v>0</v>
      </c>
    </row>
    <row r="2255" spans="14:14" ht="15.75">
      <c r="N2255" s="976">
        <v>0</v>
      </c>
    </row>
    <row r="2256" spans="14:14" ht="15.75">
      <c r="N2256" s="976">
        <v>0</v>
      </c>
    </row>
    <row r="2257" spans="14:14" ht="15.75">
      <c r="N2257" s="976">
        <v>0</v>
      </c>
    </row>
    <row r="2258" spans="14:14" ht="15.75">
      <c r="N2258" s="976">
        <v>0</v>
      </c>
    </row>
    <row r="2259" spans="14:14" ht="15.75">
      <c r="N2259" s="976">
        <v>0</v>
      </c>
    </row>
    <row r="2260" spans="14:14" ht="15.75">
      <c r="N2260" s="976">
        <v>0</v>
      </c>
    </row>
    <row r="2261" spans="14:14" ht="15.75">
      <c r="N2261" s="976">
        <v>0</v>
      </c>
    </row>
    <row r="2262" spans="14:14" ht="15.75">
      <c r="N2262" s="976">
        <v>0</v>
      </c>
    </row>
    <row r="2263" spans="14:14" ht="15.75">
      <c r="N2263" s="976">
        <v>0</v>
      </c>
    </row>
    <row r="2264" spans="14:14" ht="15.75">
      <c r="N2264" s="976">
        <v>0</v>
      </c>
    </row>
    <row r="2265" spans="14:14" ht="15.75">
      <c r="N2265" s="976">
        <v>0</v>
      </c>
    </row>
    <row r="2266" spans="14:14" ht="15.75">
      <c r="N2266" s="976">
        <v>0</v>
      </c>
    </row>
    <row r="2267" spans="14:14" ht="15.75">
      <c r="N2267" s="976">
        <v>0</v>
      </c>
    </row>
    <row r="2268" spans="14:14" ht="15.75">
      <c r="N2268" s="976">
        <v>0</v>
      </c>
    </row>
    <row r="2269" spans="14:14" ht="15.75">
      <c r="N2269" s="976">
        <v>0</v>
      </c>
    </row>
    <row r="2270" spans="14:14" ht="15.75">
      <c r="N2270" s="976">
        <v>0</v>
      </c>
    </row>
    <row r="2271" spans="14:14" ht="15.75">
      <c r="N2271" s="976">
        <v>0</v>
      </c>
    </row>
    <row r="2272" spans="14:14" ht="15.75">
      <c r="N2272" s="976">
        <v>0</v>
      </c>
    </row>
    <row r="2273" spans="14:14" ht="15.75">
      <c r="N2273" s="976">
        <v>0</v>
      </c>
    </row>
    <row r="2274" spans="14:14" ht="15.75">
      <c r="N2274" s="976">
        <v>0</v>
      </c>
    </row>
    <row r="2275" spans="14:14" ht="15.75">
      <c r="N2275" s="976">
        <v>0</v>
      </c>
    </row>
    <row r="2276" spans="14:14" ht="15.75">
      <c r="N2276" s="976">
        <v>0</v>
      </c>
    </row>
    <row r="2277" spans="14:14" ht="15.75">
      <c r="N2277" s="976">
        <v>0</v>
      </c>
    </row>
    <row r="2278" spans="14:14" ht="15.75">
      <c r="N2278" s="976">
        <v>0</v>
      </c>
    </row>
    <row r="2279" spans="14:14" ht="15.75">
      <c r="N2279" s="976">
        <v>0</v>
      </c>
    </row>
    <row r="2280" spans="14:14" ht="15.75">
      <c r="N2280" s="976">
        <v>0</v>
      </c>
    </row>
    <row r="2281" spans="14:14" ht="15.75">
      <c r="N2281" s="976">
        <v>0</v>
      </c>
    </row>
    <row r="2282" spans="14:14" ht="15.75">
      <c r="N2282" s="976">
        <v>0</v>
      </c>
    </row>
    <row r="2283" spans="14:14" ht="15.75">
      <c r="N2283" s="976">
        <v>0</v>
      </c>
    </row>
    <row r="2284" spans="14:14" ht="15.75">
      <c r="N2284" s="976">
        <v>0</v>
      </c>
    </row>
    <row r="2285" spans="14:14" ht="15.75">
      <c r="N2285" s="976">
        <v>0</v>
      </c>
    </row>
    <row r="2286" spans="14:14" ht="15.75">
      <c r="N2286" s="976">
        <v>0</v>
      </c>
    </row>
    <row r="2287" spans="14:14" ht="15.75">
      <c r="N2287" s="976">
        <v>0</v>
      </c>
    </row>
    <row r="2288" spans="14:14" ht="15.75">
      <c r="N2288" s="976">
        <v>0</v>
      </c>
    </row>
    <row r="2289" spans="14:14" ht="15.75">
      <c r="N2289" s="976">
        <v>0</v>
      </c>
    </row>
    <row r="2290" spans="14:14" ht="15.75">
      <c r="N2290" s="976">
        <v>0</v>
      </c>
    </row>
    <row r="2291" spans="14:14" ht="15.75">
      <c r="N2291" s="976">
        <v>0</v>
      </c>
    </row>
    <row r="2292" spans="14:14" ht="15.75">
      <c r="N2292" s="976">
        <v>0</v>
      </c>
    </row>
    <row r="2293" spans="14:14" ht="15.75">
      <c r="N2293" s="976">
        <v>0</v>
      </c>
    </row>
    <row r="2294" spans="14:14" ht="15.75">
      <c r="N2294" s="976">
        <v>0</v>
      </c>
    </row>
    <row r="2295" spans="14:14" ht="15.75">
      <c r="N2295" s="976">
        <v>0</v>
      </c>
    </row>
    <row r="2296" spans="14:14" ht="15.75">
      <c r="N2296" s="976">
        <v>0</v>
      </c>
    </row>
    <row r="2297" spans="14:14" ht="15.75">
      <c r="N2297" s="976">
        <v>0</v>
      </c>
    </row>
    <row r="2298" spans="14:14" ht="15.75">
      <c r="N2298" s="976">
        <v>0</v>
      </c>
    </row>
    <row r="2299" spans="14:14" ht="15.75">
      <c r="N2299" s="976">
        <v>0</v>
      </c>
    </row>
    <row r="2300" spans="14:14" ht="15.75">
      <c r="N2300" s="976">
        <v>0</v>
      </c>
    </row>
    <row r="2301" spans="14:14" ht="15.75">
      <c r="N2301" s="976">
        <v>0</v>
      </c>
    </row>
    <row r="2302" spans="14:14" ht="15.75">
      <c r="N2302" s="976">
        <v>0</v>
      </c>
    </row>
    <row r="2303" spans="14:14" ht="15.75">
      <c r="N2303" s="976">
        <v>0</v>
      </c>
    </row>
    <row r="2304" spans="14:14" ht="15.75">
      <c r="N2304" s="976">
        <v>0</v>
      </c>
    </row>
    <row r="2305" spans="14:14" ht="15.75">
      <c r="N2305" s="976">
        <v>0</v>
      </c>
    </row>
    <row r="2306" spans="14:14" ht="15.75">
      <c r="N2306" s="976">
        <v>0</v>
      </c>
    </row>
    <row r="2307" spans="14:14" ht="15.75">
      <c r="N2307" s="976">
        <v>0</v>
      </c>
    </row>
    <row r="2308" spans="14:14" ht="15.75">
      <c r="N2308" s="976">
        <v>0</v>
      </c>
    </row>
    <row r="2309" spans="14:14" ht="15.75">
      <c r="N2309" s="976">
        <v>0</v>
      </c>
    </row>
    <row r="2310" spans="14:14" ht="15.75">
      <c r="N2310" s="976">
        <v>0</v>
      </c>
    </row>
    <row r="2311" spans="14:14" ht="15.75">
      <c r="N2311" s="976">
        <v>0</v>
      </c>
    </row>
    <row r="2312" spans="14:14" ht="15.75">
      <c r="N2312" s="976">
        <v>0</v>
      </c>
    </row>
    <row r="2313" spans="14:14" ht="15.75">
      <c r="N2313" s="976">
        <v>0</v>
      </c>
    </row>
    <row r="2314" spans="14:14" ht="15.75">
      <c r="N2314" s="976">
        <v>0</v>
      </c>
    </row>
    <row r="2315" spans="14:14" ht="15.75">
      <c r="N2315" s="976">
        <v>0</v>
      </c>
    </row>
    <row r="2316" spans="14:14" ht="15.75">
      <c r="N2316" s="976">
        <v>0</v>
      </c>
    </row>
    <row r="2317" spans="14:14" ht="15.75">
      <c r="N2317" s="976">
        <v>0</v>
      </c>
    </row>
    <row r="2318" spans="14:14" ht="15.75">
      <c r="N2318" s="976">
        <v>0</v>
      </c>
    </row>
    <row r="2319" spans="14:14" ht="15.75">
      <c r="N2319" s="976">
        <v>0</v>
      </c>
    </row>
    <row r="2320" spans="14:14" ht="15.75">
      <c r="N2320" s="976">
        <v>0</v>
      </c>
    </row>
    <row r="2321" spans="14:14" ht="15.75">
      <c r="N2321" s="976">
        <v>0</v>
      </c>
    </row>
    <row r="2322" spans="14:14" ht="15.75">
      <c r="N2322" s="976">
        <v>0</v>
      </c>
    </row>
    <row r="2323" spans="14:14" ht="15.75">
      <c r="N2323" s="976">
        <v>0</v>
      </c>
    </row>
    <row r="2324" spans="14:14" ht="15.75">
      <c r="N2324" s="976">
        <v>0</v>
      </c>
    </row>
    <row r="2325" spans="14:14" ht="15.75">
      <c r="N2325" s="976">
        <v>0</v>
      </c>
    </row>
    <row r="2326" spans="14:14" ht="15.75">
      <c r="N2326" s="976">
        <v>0</v>
      </c>
    </row>
    <row r="2327" spans="14:14" ht="15.75">
      <c r="N2327" s="976">
        <v>0</v>
      </c>
    </row>
    <row r="2328" spans="14:14" ht="15.75">
      <c r="N2328" s="976">
        <v>0</v>
      </c>
    </row>
    <row r="2329" spans="14:14" ht="15.75">
      <c r="N2329" s="976">
        <v>0</v>
      </c>
    </row>
    <row r="2330" spans="14:14" ht="15.75">
      <c r="N2330" s="976">
        <v>0</v>
      </c>
    </row>
    <row r="2331" spans="14:14" ht="15.75">
      <c r="N2331" s="976">
        <v>0</v>
      </c>
    </row>
    <row r="2332" spans="14:14" ht="15.75">
      <c r="N2332" s="976">
        <v>0</v>
      </c>
    </row>
    <row r="2333" spans="14:14" ht="15.75">
      <c r="N2333" s="976">
        <v>0</v>
      </c>
    </row>
    <row r="2334" spans="14:14" ht="15.75">
      <c r="N2334" s="976">
        <v>0</v>
      </c>
    </row>
    <row r="2335" spans="14:14" ht="15.75">
      <c r="N2335" s="976">
        <v>0</v>
      </c>
    </row>
    <row r="2336" spans="14:14" ht="15.75">
      <c r="N2336" s="976">
        <v>0</v>
      </c>
    </row>
    <row r="2337" spans="14:14" ht="15.75">
      <c r="N2337" s="976">
        <v>0</v>
      </c>
    </row>
    <row r="2338" spans="14:14" ht="15.75">
      <c r="N2338" s="976">
        <v>0</v>
      </c>
    </row>
    <row r="2339" spans="14:14" ht="15.75">
      <c r="N2339" s="976">
        <v>0</v>
      </c>
    </row>
    <row r="2340" spans="14:14" ht="15.75">
      <c r="N2340" s="976">
        <v>0</v>
      </c>
    </row>
    <row r="2341" spans="14:14" ht="15.75">
      <c r="N2341" s="976">
        <v>0</v>
      </c>
    </row>
    <row r="2342" spans="14:14" ht="15.75">
      <c r="N2342" s="976">
        <v>0</v>
      </c>
    </row>
    <row r="2343" spans="14:14" ht="15.75">
      <c r="N2343" s="976">
        <v>0</v>
      </c>
    </row>
    <row r="2344" spans="14:14" ht="15.75">
      <c r="N2344" s="976">
        <v>0</v>
      </c>
    </row>
    <row r="2345" spans="14:14" ht="15.75">
      <c r="N2345" s="976">
        <v>0</v>
      </c>
    </row>
    <row r="2346" spans="14:14" ht="15.75">
      <c r="N2346" s="976">
        <v>0</v>
      </c>
    </row>
    <row r="2347" spans="14:14" ht="15.75">
      <c r="N2347" s="976">
        <v>0</v>
      </c>
    </row>
    <row r="2348" spans="14:14" ht="15.75">
      <c r="N2348" s="976">
        <v>0</v>
      </c>
    </row>
    <row r="2349" spans="14:14" ht="15.75">
      <c r="N2349" s="976">
        <v>0</v>
      </c>
    </row>
    <row r="2350" spans="14:14" ht="15.75">
      <c r="N2350" s="976">
        <v>0</v>
      </c>
    </row>
    <row r="2351" spans="14:14" ht="15.75">
      <c r="N2351" s="976">
        <v>0</v>
      </c>
    </row>
    <row r="2352" spans="14:14" ht="15.75">
      <c r="N2352" s="976">
        <v>0</v>
      </c>
    </row>
    <row r="2353" spans="14:14" ht="15.75">
      <c r="N2353" s="976">
        <v>0</v>
      </c>
    </row>
    <row r="2354" spans="14:14" ht="15.75">
      <c r="N2354" s="976">
        <v>0</v>
      </c>
    </row>
    <row r="2355" spans="14:14" ht="15.75">
      <c r="N2355" s="976">
        <v>0</v>
      </c>
    </row>
    <row r="2356" spans="14:14" ht="15.75">
      <c r="N2356" s="976">
        <v>0</v>
      </c>
    </row>
    <row r="2357" spans="14:14" ht="15.75">
      <c r="N2357" s="976">
        <v>0</v>
      </c>
    </row>
    <row r="2358" spans="14:14" ht="15.75">
      <c r="N2358" s="976">
        <v>0</v>
      </c>
    </row>
    <row r="2359" spans="14:14" ht="15.75">
      <c r="N2359" s="976">
        <v>0</v>
      </c>
    </row>
    <row r="2360" spans="14:14" ht="15.75">
      <c r="N2360" s="976">
        <v>0</v>
      </c>
    </row>
    <row r="2361" spans="14:14" ht="15.75">
      <c r="N2361" s="976">
        <v>0</v>
      </c>
    </row>
    <row r="2362" spans="14:14" ht="15.75">
      <c r="N2362" s="976">
        <v>0</v>
      </c>
    </row>
    <row r="2363" spans="14:14" ht="15.75">
      <c r="N2363" s="976">
        <v>0</v>
      </c>
    </row>
    <row r="2364" spans="14:14" ht="15.75">
      <c r="N2364" s="976">
        <v>0</v>
      </c>
    </row>
    <row r="2365" spans="14:14" ht="15.75">
      <c r="N2365" s="976">
        <v>0</v>
      </c>
    </row>
    <row r="2366" spans="14:14" ht="15.75">
      <c r="N2366" s="976">
        <v>0</v>
      </c>
    </row>
    <row r="2367" spans="14:14" ht="15.75">
      <c r="N2367" s="976">
        <v>0</v>
      </c>
    </row>
    <row r="2368" spans="14:14" ht="15.75">
      <c r="N2368" s="976">
        <v>0</v>
      </c>
    </row>
    <row r="2369" spans="14:14" ht="15.75">
      <c r="N2369" s="976">
        <v>0</v>
      </c>
    </row>
    <row r="2370" spans="14:14" ht="15.75">
      <c r="N2370" s="976">
        <v>0</v>
      </c>
    </row>
    <row r="2371" spans="14:14" ht="15.75">
      <c r="N2371" s="976">
        <v>0</v>
      </c>
    </row>
    <row r="2372" spans="14:14" ht="15.75">
      <c r="N2372" s="976">
        <v>0</v>
      </c>
    </row>
    <row r="2373" spans="14:14" ht="15.75">
      <c r="N2373" s="976">
        <v>0</v>
      </c>
    </row>
    <row r="2374" spans="14:14" ht="15.75">
      <c r="N2374" s="976">
        <v>0</v>
      </c>
    </row>
    <row r="2375" spans="14:14" ht="15.75">
      <c r="N2375" s="976">
        <v>0</v>
      </c>
    </row>
    <row r="2376" spans="14:14" ht="15.75">
      <c r="N2376" s="976">
        <v>0</v>
      </c>
    </row>
    <row r="2377" spans="14:14" ht="15.75">
      <c r="N2377" s="976">
        <v>0</v>
      </c>
    </row>
    <row r="2378" spans="14:14" ht="15.75">
      <c r="N2378" s="976">
        <v>0</v>
      </c>
    </row>
    <row r="2379" spans="14:14" ht="15.75">
      <c r="N2379" s="976">
        <v>0</v>
      </c>
    </row>
    <row r="2380" spans="14:14" ht="15.75">
      <c r="N2380" s="976">
        <v>0</v>
      </c>
    </row>
  </sheetData>
  <sortState ref="N271:AA273">
    <sortCondition ref="N271:N273"/>
  </sortState>
  <mergeCells count="82">
    <mergeCell ref="Q51:S51"/>
    <mergeCell ref="T51:V51"/>
    <mergeCell ref="A1:N1"/>
    <mergeCell ref="L29:M29"/>
    <mergeCell ref="A42:C42"/>
    <mergeCell ref="A35:E35"/>
    <mergeCell ref="I35:L35"/>
    <mergeCell ref="J23:L23"/>
    <mergeCell ref="J24:L24"/>
    <mergeCell ref="J25:L25"/>
    <mergeCell ref="B34:C34"/>
    <mergeCell ref="D34:E34"/>
    <mergeCell ref="F34:G34"/>
    <mergeCell ref="J33:K33"/>
    <mergeCell ref="F23:G23"/>
    <mergeCell ref="B23:C23"/>
    <mergeCell ref="B20:C20"/>
    <mergeCell ref="B18:C18"/>
    <mergeCell ref="D20:E20"/>
    <mergeCell ref="H29:I29"/>
    <mergeCell ref="J26:L26"/>
    <mergeCell ref="D23:E23"/>
    <mergeCell ref="B29:C29"/>
    <mergeCell ref="D29:E29"/>
    <mergeCell ref="F29:G29"/>
    <mergeCell ref="J22:L22"/>
    <mergeCell ref="D15:E15"/>
    <mergeCell ref="D16:E16"/>
    <mergeCell ref="D18:E18"/>
    <mergeCell ref="D17:E17"/>
    <mergeCell ref="F22:G22"/>
    <mergeCell ref="D22:E22"/>
    <mergeCell ref="D14:E14"/>
    <mergeCell ref="B9:C9"/>
    <mergeCell ref="D10:E10"/>
    <mergeCell ref="B10:C10"/>
    <mergeCell ref="B11:C11"/>
    <mergeCell ref="B12:C12"/>
    <mergeCell ref="D9:E9"/>
    <mergeCell ref="D11:E11"/>
    <mergeCell ref="D12:E12"/>
    <mergeCell ref="B13:C13"/>
    <mergeCell ref="B14:C14"/>
    <mergeCell ref="F35:H35"/>
    <mergeCell ref="H34:I34"/>
    <mergeCell ref="A9:A10"/>
    <mergeCell ref="B28:C28"/>
    <mergeCell ref="D28:E28"/>
    <mergeCell ref="F28:G28"/>
    <mergeCell ref="H28:I28"/>
    <mergeCell ref="B19:C19"/>
    <mergeCell ref="H22:I22"/>
    <mergeCell ref="B22:C22"/>
    <mergeCell ref="H23:I23"/>
    <mergeCell ref="D19:E19"/>
    <mergeCell ref="D13:E13"/>
    <mergeCell ref="B15:C15"/>
    <mergeCell ref="B16:C16"/>
    <mergeCell ref="B17:C17"/>
    <mergeCell ref="N9:N10"/>
    <mergeCell ref="P9:Q9"/>
    <mergeCell ref="Q10:R10"/>
    <mergeCell ref="F7:G7"/>
    <mergeCell ref="H7:J7"/>
    <mergeCell ref="N37:N41"/>
    <mergeCell ref="Q23:R23"/>
    <mergeCell ref="Q26:R26"/>
    <mergeCell ref="Q22:R22"/>
    <mergeCell ref="Q24:R24"/>
    <mergeCell ref="Q25:R25"/>
    <mergeCell ref="AA52:AA53"/>
    <mergeCell ref="O52:O53"/>
    <mergeCell ref="V52:V53"/>
    <mergeCell ref="W52:W53"/>
    <mergeCell ref="X52:X53"/>
    <mergeCell ref="Y52:Y53"/>
    <mergeCell ref="Z52:Z53"/>
    <mergeCell ref="P52:P53"/>
    <mergeCell ref="Q52:Q53"/>
    <mergeCell ref="R52:R53"/>
    <mergeCell ref="T52:T53"/>
    <mergeCell ref="U52:U53"/>
  </mergeCells>
  <dataValidations count="1">
    <dataValidation type="list" allowBlank="1" showInputMessage="1" showErrorMessage="1" sqref="M23:M26">
      <formula1>$S$10:$S$14</formula1>
    </dataValidation>
  </dataValidations>
  <hyperlinks>
    <hyperlink ref="S4" location="الرجوع!A1" display="الرجوع!A1"/>
  </hyperlinks>
  <pageMargins left="0.7" right="0.60416666666666663" top="0.75" bottom="0.75" header="0.3" footer="0.3"/>
  <pageSetup paperSize="9" scale="90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2"/>
  <dimension ref="A1:BZ753"/>
  <sheetViews>
    <sheetView rightToLeft="1" topLeftCell="A7" zoomScale="110" zoomScaleNormal="110" workbookViewId="0">
      <selection activeCell="V273" sqref="V273"/>
    </sheetView>
  </sheetViews>
  <sheetFormatPr baseColWidth="10" defaultRowHeight="15"/>
  <cols>
    <col min="1" max="1" width="9.140625" style="765" customWidth="1"/>
    <col min="2" max="2" width="5.28515625" style="765" customWidth="1"/>
    <col min="3" max="3" width="7.85546875" style="765" customWidth="1"/>
    <col min="4" max="4" width="6.5703125" style="166" customWidth="1"/>
    <col min="5" max="5" width="6.140625" style="166" customWidth="1"/>
    <col min="6" max="7" width="5.140625" style="166" customWidth="1"/>
    <col min="8" max="8" width="7" style="166" customWidth="1"/>
    <col min="9" max="10" width="6.5703125" style="765" customWidth="1"/>
    <col min="11" max="11" width="8.42578125" style="765" customWidth="1"/>
    <col min="12" max="12" width="9.85546875" style="765" customWidth="1"/>
    <col min="13" max="13" width="6.7109375" style="765" customWidth="1"/>
    <col min="14" max="14" width="11" style="765" customWidth="1"/>
    <col min="15" max="15" width="5.42578125" style="765" customWidth="1"/>
    <col min="16" max="16" width="19.140625" style="765" customWidth="1"/>
    <col min="17" max="17" width="7.42578125" style="765" customWidth="1"/>
    <col min="18" max="18" width="5" style="765" customWidth="1"/>
    <col min="19" max="19" width="11.85546875" style="765" hidden="1" customWidth="1"/>
    <col min="20" max="20" width="12" style="22" customWidth="1"/>
    <col min="21" max="24" width="6.5703125" style="23" customWidth="1"/>
    <col min="25" max="25" width="9.28515625" style="23" customWidth="1"/>
    <col min="26" max="26" width="7.7109375" style="23" customWidth="1"/>
    <col min="27" max="27" width="9.42578125" style="23" customWidth="1"/>
    <col min="28" max="31" width="6.7109375" style="23" customWidth="1"/>
    <col min="32" max="32" width="9" style="23" customWidth="1"/>
    <col min="33" max="34" width="11.42578125" style="765"/>
    <col min="35" max="35" width="5" style="765" customWidth="1"/>
    <col min="36" max="36" width="11" style="765" customWidth="1"/>
    <col min="37" max="47" width="8.5703125" style="765" customWidth="1"/>
    <col min="48" max="48" width="15.28515625" style="765" customWidth="1"/>
    <col min="49" max="72" width="11.42578125" style="765"/>
    <col min="73" max="78" width="11.42578125" style="497"/>
  </cols>
  <sheetData>
    <row r="1" spans="1:78" ht="16.5" customHeight="1">
      <c r="A1" s="1439" t="s">
        <v>253</v>
      </c>
      <c r="B1" s="1439"/>
      <c r="C1" s="1439"/>
      <c r="D1" s="1439"/>
      <c r="E1" s="1439"/>
      <c r="F1" s="1439"/>
      <c r="G1" s="1439"/>
      <c r="H1" s="1439"/>
      <c r="I1" s="1439"/>
      <c r="J1" s="1439"/>
      <c r="K1" s="1439"/>
      <c r="L1" s="1439"/>
      <c r="M1" s="1439"/>
      <c r="N1" s="1439"/>
      <c r="O1" s="21"/>
      <c r="P1" s="8"/>
      <c r="Q1" s="8"/>
      <c r="R1" s="20"/>
      <c r="S1" s="20"/>
      <c r="T1" s="20"/>
      <c r="U1" s="22"/>
      <c r="V1" s="978"/>
      <c r="W1" s="978"/>
      <c r="X1" s="978"/>
      <c r="Y1" s="978"/>
      <c r="Z1" s="978"/>
      <c r="AA1" s="978"/>
      <c r="AB1" s="978"/>
      <c r="AC1" s="978"/>
      <c r="AD1" s="978"/>
      <c r="AE1" s="978"/>
      <c r="AF1" s="978"/>
      <c r="AG1" s="978"/>
      <c r="AH1" s="505" t="s">
        <v>253</v>
      </c>
      <c r="AI1" s="504"/>
      <c r="AJ1" s="504"/>
      <c r="AK1" s="504"/>
      <c r="AL1" s="504"/>
      <c r="AM1" s="504"/>
      <c r="AN1" s="504"/>
      <c r="AO1" s="504"/>
      <c r="AP1" s="504"/>
      <c r="AQ1" s="504"/>
      <c r="AR1" s="504"/>
      <c r="AS1" s="504"/>
      <c r="AT1" s="504"/>
      <c r="AU1" s="504"/>
      <c r="AV1" s="504"/>
      <c r="AW1" s="504"/>
    </row>
    <row r="2" spans="1:78" ht="16.5" customHeight="1">
      <c r="A2" s="21"/>
      <c r="C2" s="21"/>
      <c r="D2" s="444"/>
      <c r="E2" s="444"/>
      <c r="F2" s="444" t="s">
        <v>254</v>
      </c>
      <c r="G2" s="444"/>
      <c r="H2" s="444"/>
      <c r="I2" s="21"/>
      <c r="J2" s="21"/>
      <c r="K2" s="21"/>
      <c r="L2" s="21"/>
      <c r="M2" s="21"/>
      <c r="N2" s="21"/>
      <c r="O2" s="21"/>
      <c r="P2" s="8"/>
      <c r="Q2" s="8"/>
      <c r="R2" s="20"/>
      <c r="S2" s="20"/>
      <c r="T2" s="20"/>
      <c r="U2" s="22"/>
      <c r="V2" s="25"/>
      <c r="W2" s="978"/>
      <c r="X2" s="978"/>
      <c r="Y2" s="978"/>
      <c r="Z2" s="978"/>
      <c r="AA2" s="978"/>
      <c r="AB2" s="978"/>
      <c r="AC2" s="978"/>
      <c r="AD2" s="978"/>
      <c r="AE2" s="978"/>
      <c r="AF2" s="978"/>
      <c r="AG2" s="978"/>
      <c r="AH2" s="505" t="s">
        <v>79</v>
      </c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</row>
    <row r="3" spans="1:78" ht="16.5" customHeight="1">
      <c r="A3" s="21" t="s">
        <v>255</v>
      </c>
      <c r="B3" s="21"/>
      <c r="C3" s="21"/>
      <c r="D3" s="444"/>
      <c r="E3" s="444"/>
      <c r="F3" s="444"/>
      <c r="G3" s="444"/>
      <c r="H3" s="444"/>
      <c r="I3" s="21"/>
      <c r="J3" s="21"/>
      <c r="K3" s="21"/>
      <c r="L3" s="21"/>
      <c r="M3" s="21"/>
      <c r="N3" s="21"/>
      <c r="O3" s="21"/>
      <c r="P3" s="8"/>
      <c r="Q3" s="8"/>
      <c r="R3" s="21"/>
      <c r="S3" s="21"/>
      <c r="T3" s="21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515" t="s">
        <v>1203</v>
      </c>
      <c r="AI3" s="515"/>
      <c r="AJ3" s="515"/>
      <c r="AK3" s="515"/>
      <c r="AL3" s="8"/>
      <c r="AM3" s="8"/>
      <c r="AN3" s="8"/>
      <c r="AO3" s="308"/>
      <c r="AP3" s="516"/>
      <c r="AQ3" s="516"/>
      <c r="AR3" s="516"/>
      <c r="AS3" s="516"/>
      <c r="AT3" s="516"/>
      <c r="AU3" s="516"/>
      <c r="AV3" s="516"/>
      <c r="AW3" s="516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</row>
    <row r="4" spans="1:78" s="25" customFormat="1" ht="16.5" customHeight="1" thickBot="1">
      <c r="A4" s="21" t="s">
        <v>256</v>
      </c>
      <c r="B4" s="21"/>
      <c r="C4" s="21"/>
      <c r="D4" s="444"/>
      <c r="E4" s="444"/>
      <c r="F4" s="444"/>
      <c r="G4" s="444"/>
      <c r="H4" s="444"/>
      <c r="I4" s="445" t="str">
        <f>etat!N4</f>
        <v>السنة الدراسية : 2025/2026</v>
      </c>
      <c r="J4" s="445"/>
      <c r="K4" s="445"/>
      <c r="L4" s="445"/>
      <c r="M4" s="21"/>
      <c r="N4" s="21"/>
      <c r="O4" s="21"/>
      <c r="P4" s="8"/>
      <c r="Q4" s="8"/>
      <c r="R4" s="21"/>
      <c r="S4" s="309" t="s">
        <v>496</v>
      </c>
      <c r="T4" s="310"/>
      <c r="U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7"/>
      <c r="AI4" s="8" t="s">
        <v>1204</v>
      </c>
      <c r="AJ4" s="8"/>
      <c r="AK4" s="8"/>
      <c r="AL4" s="13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</row>
    <row r="5" spans="1:78" s="25" customFormat="1" ht="16.5" customHeight="1" thickTop="1" thickBot="1">
      <c r="A5" s="21"/>
      <c r="B5" s="21"/>
      <c r="C5" s="21"/>
      <c r="D5" s="444"/>
      <c r="E5" s="444"/>
      <c r="F5" s="444"/>
      <c r="G5" s="444"/>
      <c r="H5" s="444"/>
      <c r="I5" s="21"/>
      <c r="J5" s="21"/>
      <c r="K5" s="21"/>
      <c r="L5" s="21"/>
      <c r="M5" s="21"/>
      <c r="N5" s="21"/>
      <c r="O5" s="21"/>
      <c r="P5" s="8"/>
      <c r="Q5" s="8"/>
      <c r="R5" s="21"/>
      <c r="S5" s="21"/>
      <c r="T5" s="21"/>
      <c r="U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506" t="s">
        <v>258</v>
      </c>
      <c r="AI5" s="392" t="s">
        <v>1197</v>
      </c>
      <c r="AJ5" s="393"/>
      <c r="AK5" s="312" t="s">
        <v>1198</v>
      </c>
      <c r="AL5" s="389" t="s">
        <v>1199</v>
      </c>
      <c r="AM5" s="389" t="s">
        <v>1474</v>
      </c>
      <c r="AN5" s="389" t="s">
        <v>1475</v>
      </c>
      <c r="AO5" s="389" t="s">
        <v>1476</v>
      </c>
      <c r="AP5" s="776"/>
      <c r="AQ5" s="390" t="s">
        <v>1200</v>
      </c>
      <c r="AR5" s="389" t="s">
        <v>1465</v>
      </c>
      <c r="AS5" s="389" t="s">
        <v>1466</v>
      </c>
      <c r="AT5" s="389" t="s">
        <v>1495</v>
      </c>
      <c r="AU5" s="313"/>
      <c r="AV5" s="3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</row>
    <row r="6" spans="1:78" s="25" customFormat="1" ht="16.5" customHeight="1" thickTop="1" thickBot="1">
      <c r="A6" s="21"/>
      <c r="B6" s="21"/>
      <c r="C6" s="21"/>
      <c r="D6" s="446" t="s">
        <v>2289</v>
      </c>
      <c r="E6" s="444"/>
      <c r="F6" s="444"/>
      <c r="G6" s="444"/>
      <c r="H6" s="444"/>
      <c r="I6" s="21"/>
      <c r="J6" s="447"/>
      <c r="K6" s="21"/>
      <c r="L6" s="21"/>
      <c r="M6" s="21"/>
      <c r="N6" s="21"/>
      <c r="O6" s="21"/>
      <c r="P6" s="8"/>
      <c r="Q6" s="8"/>
      <c r="R6" s="21"/>
      <c r="S6" s="21"/>
      <c r="T6" s="21"/>
      <c r="U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507"/>
      <c r="AI6" s="394" t="s">
        <v>1201</v>
      </c>
      <c r="AJ6" s="395"/>
      <c r="AK6" s="312" t="s">
        <v>259</v>
      </c>
      <c r="AL6" s="389" t="s">
        <v>1474</v>
      </c>
      <c r="AM6" s="389" t="s">
        <v>1475</v>
      </c>
      <c r="AN6" s="389" t="s">
        <v>1476</v>
      </c>
      <c r="AO6" s="389" t="s">
        <v>1477</v>
      </c>
      <c r="AP6" s="776"/>
      <c r="AQ6" s="390" t="s">
        <v>1465</v>
      </c>
      <c r="AR6" s="389" t="s">
        <v>1466</v>
      </c>
      <c r="AS6" s="389" t="s">
        <v>1495</v>
      </c>
      <c r="AT6" s="389" t="s">
        <v>1496</v>
      </c>
      <c r="AU6" s="314"/>
      <c r="AV6" s="314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</row>
    <row r="7" spans="1:78" s="25" customFormat="1" ht="16.5" customHeight="1" thickBot="1">
      <c r="A7" s="21"/>
      <c r="B7" s="21"/>
      <c r="C7" s="21"/>
      <c r="D7" s="21"/>
      <c r="E7" s="448" t="s">
        <v>257</v>
      </c>
      <c r="F7" s="1439" t="str">
        <f>TEXT($H$7,"dddd")</f>
        <v>dddd</v>
      </c>
      <c r="G7" s="1439"/>
      <c r="H7" s="1436">
        <f>T55</f>
        <v>45785</v>
      </c>
      <c r="I7" s="1436"/>
      <c r="J7" s="1436"/>
      <c r="K7" s="449"/>
      <c r="L7" s="449"/>
      <c r="M7" s="315"/>
      <c r="N7" s="315"/>
      <c r="O7" s="315"/>
      <c r="P7" s="27"/>
      <c r="Q7" s="27"/>
      <c r="R7" s="315"/>
      <c r="S7" s="315"/>
      <c r="T7" s="315"/>
      <c r="U7" s="13"/>
      <c r="V7" s="1065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488">
        <v>1</v>
      </c>
      <c r="AI7" s="994" t="s">
        <v>272</v>
      </c>
      <c r="AJ7" s="287"/>
      <c r="AK7" s="282" t="s">
        <v>262</v>
      </c>
      <c r="AL7" s="768"/>
      <c r="AM7" s="768"/>
      <c r="AN7" s="768"/>
      <c r="AO7" s="768"/>
      <c r="AP7" s="785"/>
      <c r="AQ7" s="282"/>
      <c r="AR7" s="282"/>
      <c r="AS7" s="282"/>
      <c r="AT7" s="318"/>
      <c r="AU7" s="318"/>
      <c r="AV7" s="318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</row>
    <row r="8" spans="1:78" s="25" customFormat="1" ht="16.5" customHeight="1" thickBot="1">
      <c r="A8" s="450">
        <v>-1</v>
      </c>
      <c r="B8" s="293" t="s">
        <v>261</v>
      </c>
      <c r="C8" s="293"/>
      <c r="D8" s="388"/>
      <c r="E8" s="451"/>
      <c r="F8" s="388"/>
      <c r="G8" s="388"/>
      <c r="H8" s="388"/>
      <c r="I8" s="293"/>
      <c r="J8" s="293"/>
      <c r="K8" s="293"/>
      <c r="L8" s="293"/>
      <c r="M8" s="293"/>
      <c r="N8" s="293"/>
      <c r="O8" s="293"/>
      <c r="P8" s="11"/>
      <c r="Q8" s="11"/>
      <c r="T8" s="293"/>
      <c r="AH8" s="488">
        <v>2</v>
      </c>
      <c r="AI8" s="994" t="s">
        <v>274</v>
      </c>
      <c r="AJ8" s="287"/>
      <c r="AK8" s="282" t="s">
        <v>262</v>
      </c>
      <c r="AL8" s="282"/>
      <c r="AM8" s="282"/>
      <c r="AN8" s="282"/>
      <c r="AO8" s="282"/>
      <c r="AP8" s="786"/>
      <c r="AQ8" s="768"/>
      <c r="AR8" s="768"/>
      <c r="AS8" s="768"/>
      <c r="AT8" s="281"/>
      <c r="AU8" s="281"/>
      <c r="AV8" s="281"/>
    </row>
    <row r="9" spans="1:78" s="25" customFormat="1" ht="16.5" customHeight="1" thickBot="1">
      <c r="A9" s="1422" t="s">
        <v>258</v>
      </c>
      <c r="B9" s="1422" t="s">
        <v>1197</v>
      </c>
      <c r="C9" s="1422"/>
      <c r="D9" s="1422" t="s">
        <v>1198</v>
      </c>
      <c r="E9" s="1422"/>
      <c r="F9" s="716" t="s">
        <v>1199</v>
      </c>
      <c r="G9" s="716" t="s">
        <v>1474</v>
      </c>
      <c r="H9" s="716" t="s">
        <v>1475</v>
      </c>
      <c r="I9" s="716" t="s">
        <v>1476</v>
      </c>
      <c r="J9" s="716" t="s">
        <v>1200</v>
      </c>
      <c r="K9" s="716" t="s">
        <v>1465</v>
      </c>
      <c r="L9" s="716" t="s">
        <v>1466</v>
      </c>
      <c r="M9" s="716" t="s">
        <v>1495</v>
      </c>
      <c r="N9" s="1442" t="s">
        <v>260</v>
      </c>
      <c r="O9" s="13"/>
      <c r="P9" s="1411" t="s">
        <v>607</v>
      </c>
      <c r="Q9" s="1411"/>
      <c r="S9" s="521" t="s">
        <v>304</v>
      </c>
      <c r="T9" s="293"/>
      <c r="AH9" s="488">
        <v>3</v>
      </c>
      <c r="AI9" s="994" t="s">
        <v>427</v>
      </c>
      <c r="AJ9" s="287"/>
      <c r="AK9" s="282" t="s">
        <v>262</v>
      </c>
      <c r="AL9" s="768"/>
      <c r="AM9" s="768"/>
      <c r="AN9" s="282"/>
      <c r="AO9" s="768"/>
      <c r="AP9" s="769"/>
      <c r="AQ9" s="768"/>
      <c r="AR9" s="768"/>
      <c r="AS9" s="768"/>
      <c r="AT9" s="281"/>
      <c r="AU9" s="274"/>
      <c r="AV9" s="274"/>
    </row>
    <row r="10" spans="1:78" s="25" customFormat="1" ht="16.5" customHeight="1" thickBot="1">
      <c r="A10" s="1422"/>
      <c r="B10" s="1422" t="s">
        <v>1201</v>
      </c>
      <c r="C10" s="1422"/>
      <c r="D10" s="1422" t="s">
        <v>259</v>
      </c>
      <c r="E10" s="1422"/>
      <c r="F10" s="716" t="s">
        <v>1474</v>
      </c>
      <c r="G10" s="716" t="s">
        <v>1475</v>
      </c>
      <c r="H10" s="716" t="s">
        <v>1476</v>
      </c>
      <c r="I10" s="716" t="s">
        <v>1477</v>
      </c>
      <c r="J10" s="716" t="s">
        <v>1465</v>
      </c>
      <c r="K10" s="716" t="s">
        <v>1466</v>
      </c>
      <c r="L10" s="716" t="s">
        <v>1495</v>
      </c>
      <c r="M10" s="716" t="s">
        <v>1496</v>
      </c>
      <c r="N10" s="1443"/>
      <c r="O10" s="293"/>
      <c r="P10" s="296" t="s">
        <v>608</v>
      </c>
      <c r="Q10" s="1412" t="s">
        <v>260</v>
      </c>
      <c r="R10" s="1413"/>
      <c r="S10" s="518" t="s">
        <v>614</v>
      </c>
      <c r="T10" s="293"/>
      <c r="AH10" s="488">
        <v>4</v>
      </c>
      <c r="AI10" s="994" t="s">
        <v>1943</v>
      </c>
      <c r="AJ10" s="287"/>
      <c r="AK10" s="282" t="s">
        <v>262</v>
      </c>
      <c r="AL10" s="768"/>
      <c r="AM10" s="768"/>
      <c r="AN10" s="768"/>
      <c r="AO10" s="768"/>
      <c r="AP10" s="785"/>
      <c r="AQ10" s="282"/>
      <c r="AR10" s="282"/>
      <c r="AS10" s="282"/>
      <c r="AT10" s="274"/>
      <c r="AU10" s="274"/>
      <c r="AV10" s="274"/>
    </row>
    <row r="11" spans="1:78" s="25" customFormat="1" ht="16.5" customHeight="1" thickBot="1">
      <c r="A11" s="531">
        <v>1</v>
      </c>
      <c r="B11" s="1457" t="str">
        <f t="shared" ref="B11:B20" si="0">VLOOKUP(P11,$AH$7:$AW$59,2,FALSE)</f>
        <v>المغراوي نسرين</v>
      </c>
      <c r="C11" s="1458"/>
      <c r="D11" s="1473" t="str">
        <f t="shared" ref="D11:D20" si="1">VLOOKUP(P11,$AH$7:$AW$59,4,FALSE)</f>
        <v>فرنسية</v>
      </c>
      <c r="E11" s="1473" t="str">
        <f t="shared" ref="E11:E20" si="2">VLOOKUP(P11,$AH$7:$AW$59,5,FALSE)</f>
        <v>2آف</v>
      </c>
      <c r="F11" s="1013" t="str">
        <f t="shared" ref="F11:F20" si="3">VLOOKUP(P11,$AH$7:$AW$59,5,FALSE)</f>
        <v>2آف</v>
      </c>
      <c r="G11" s="925">
        <f t="shared" ref="G11:G20" si="4">VLOOKUP(P11,$AH$7:$AW$59,6,FALSE)</f>
        <v>0</v>
      </c>
      <c r="H11" s="925">
        <f t="shared" ref="H11:H20" si="5">VLOOKUP(P11,$AH$7:$AW$59,7,FALSE)</f>
        <v>0</v>
      </c>
      <c r="I11" s="925">
        <f t="shared" ref="I11:I20" si="6">VLOOKUP(P11,$AH$7:$AW$59,8,FALSE)</f>
        <v>0</v>
      </c>
      <c r="J11" s="925" t="str">
        <f t="shared" ref="J11:J20" si="7">VLOOKUP(P11,$AH$7:$AW$59,10,FALSE)</f>
        <v>3ت اق2</v>
      </c>
      <c r="K11" s="925" t="str">
        <f t="shared" ref="K11:K20" si="8">VLOOKUP(P11,$AH$7:$AW$59,11,FALSE)</f>
        <v>3ت ر</v>
      </c>
      <c r="L11" s="925">
        <f t="shared" ref="L11:L20" si="9">VLOOKUP(P11,$AH$7:$AW$59,12,FALSE)</f>
        <v>0</v>
      </c>
      <c r="M11" s="907">
        <f t="shared" ref="M11:M20" si="10">VLOOKUP(P11,$AH$7:$AW$59,13,FALSE)</f>
        <v>0</v>
      </c>
      <c r="N11" s="1039" t="str">
        <f>VLOOKUP(Q11,اس!$S$3:$T$31,2,FALSE)</f>
        <v>.</v>
      </c>
      <c r="O11" s="293"/>
      <c r="P11" s="297">
        <v>38</v>
      </c>
      <c r="Q11" s="923">
        <v>5</v>
      </c>
      <c r="R11" s="812"/>
      <c r="S11" s="519" t="s">
        <v>615</v>
      </c>
      <c r="T11" s="293"/>
      <c r="AH11" s="488">
        <v>5</v>
      </c>
      <c r="AI11" s="994" t="s">
        <v>1220</v>
      </c>
      <c r="AJ11" s="287"/>
      <c r="AK11" s="282" t="s">
        <v>262</v>
      </c>
      <c r="AL11" s="282" t="s">
        <v>819</v>
      </c>
      <c r="AM11" s="282" t="s">
        <v>1505</v>
      </c>
      <c r="AN11" s="768" t="s">
        <v>1850</v>
      </c>
      <c r="AO11" s="768" t="s">
        <v>1850</v>
      </c>
      <c r="AP11" s="769"/>
      <c r="AQ11" s="282"/>
      <c r="AR11" s="282"/>
      <c r="AS11" s="282"/>
      <c r="AT11" s="282"/>
      <c r="AU11" s="274"/>
      <c r="AV11" s="274"/>
    </row>
    <row r="12" spans="1:78" s="25" customFormat="1" ht="16.5" customHeight="1" thickBot="1">
      <c r="A12" s="532">
        <v>2</v>
      </c>
      <c r="B12" s="1457" t="str">
        <f t="shared" si="0"/>
        <v>حمداد سيداحمد</v>
      </c>
      <c r="C12" s="1458"/>
      <c r="D12" s="1470" t="str">
        <f t="shared" si="1"/>
        <v>ت بدنية</v>
      </c>
      <c r="E12" s="1470">
        <f t="shared" si="2"/>
        <v>0</v>
      </c>
      <c r="F12" s="863">
        <f t="shared" si="3"/>
        <v>0</v>
      </c>
      <c r="G12" s="863">
        <f t="shared" si="4"/>
        <v>0</v>
      </c>
      <c r="H12" s="1014" t="str">
        <f t="shared" si="5"/>
        <v>1ع2</v>
      </c>
      <c r="I12" s="1014" t="str">
        <f t="shared" si="6"/>
        <v>1ع2</v>
      </c>
      <c r="J12" s="863">
        <f t="shared" si="7"/>
        <v>0</v>
      </c>
      <c r="K12" s="863">
        <f t="shared" si="8"/>
        <v>0</v>
      </c>
      <c r="L12" s="863">
        <f t="shared" si="9"/>
        <v>0</v>
      </c>
      <c r="M12" s="908">
        <f t="shared" si="10"/>
        <v>0</v>
      </c>
      <c r="N12" s="1039" t="str">
        <f>VLOOKUP(Q12,اس!$S$3:$T$31,2,FALSE)</f>
        <v>.</v>
      </c>
      <c r="O12" s="293"/>
      <c r="P12" s="297">
        <v>52</v>
      </c>
      <c r="Q12" s="923">
        <v>5</v>
      </c>
      <c r="R12" s="924"/>
      <c r="S12" s="519" t="s">
        <v>628</v>
      </c>
      <c r="T12" s="293"/>
      <c r="AH12" s="488">
        <v>6</v>
      </c>
      <c r="AI12" s="994" t="s">
        <v>1219</v>
      </c>
      <c r="AJ12" s="287"/>
      <c r="AK12" s="282" t="s">
        <v>262</v>
      </c>
      <c r="AL12" s="768"/>
      <c r="AM12" s="768"/>
      <c r="AN12" s="768"/>
      <c r="AO12" s="768"/>
      <c r="AP12" s="785"/>
      <c r="AQ12" s="282"/>
      <c r="AR12" s="282"/>
      <c r="AS12" s="282"/>
      <c r="AT12" s="274"/>
      <c r="AU12" s="274"/>
      <c r="AV12" s="274"/>
    </row>
    <row r="13" spans="1:78" s="25" customFormat="1" ht="16.5" customHeight="1" thickBot="1">
      <c r="A13" s="532">
        <v>3</v>
      </c>
      <c r="B13" s="1457" t="str">
        <f t="shared" si="0"/>
        <v>بنابي الغوثي</v>
      </c>
      <c r="C13" s="1458"/>
      <c r="D13" s="1470" t="str">
        <f t="shared" si="1"/>
        <v>ت بدنية</v>
      </c>
      <c r="E13" s="1470">
        <f t="shared" si="2"/>
        <v>0</v>
      </c>
      <c r="F13" s="863">
        <f t="shared" si="3"/>
        <v>0</v>
      </c>
      <c r="G13" s="863">
        <f t="shared" si="4"/>
        <v>0</v>
      </c>
      <c r="H13" s="1014" t="str">
        <f t="shared" si="5"/>
        <v>1ع4</v>
      </c>
      <c r="I13" s="1014" t="str">
        <f t="shared" si="6"/>
        <v>1ع4</v>
      </c>
      <c r="J13" s="863">
        <f t="shared" si="7"/>
        <v>0</v>
      </c>
      <c r="K13" s="863">
        <f t="shared" si="8"/>
        <v>0</v>
      </c>
      <c r="L13" s="863">
        <f t="shared" si="9"/>
        <v>0</v>
      </c>
      <c r="M13" s="908">
        <f t="shared" si="10"/>
        <v>0</v>
      </c>
      <c r="N13" s="1039" t="str">
        <f>VLOOKUP(Q13,اس!$S$3:$T$31,2,FALSE)</f>
        <v>.</v>
      </c>
      <c r="O13" s="293"/>
      <c r="P13" s="297">
        <v>53</v>
      </c>
      <c r="Q13" s="923">
        <v>5</v>
      </c>
      <c r="R13" s="924"/>
      <c r="S13" s="520"/>
      <c r="T13" s="293"/>
      <c r="AH13" s="488">
        <v>7</v>
      </c>
      <c r="AI13" s="994" t="s">
        <v>808</v>
      </c>
      <c r="AJ13" s="287"/>
      <c r="AK13" s="282" t="s">
        <v>270</v>
      </c>
      <c r="AL13" s="282"/>
      <c r="AM13" s="282"/>
      <c r="AN13" s="282"/>
      <c r="AO13" s="282"/>
      <c r="AP13" s="769"/>
      <c r="AQ13" s="282" t="s">
        <v>2261</v>
      </c>
      <c r="AR13" s="282" t="s">
        <v>2261</v>
      </c>
      <c r="AS13" s="768"/>
      <c r="AT13" s="281"/>
      <c r="AU13" s="281"/>
      <c r="AV13" s="281"/>
    </row>
    <row r="14" spans="1:78" s="25" customFormat="1" ht="16.5" customHeight="1" thickBot="1">
      <c r="A14" s="533">
        <v>4</v>
      </c>
      <c r="B14" s="1420" t="e">
        <f t="shared" si="0"/>
        <v>#N/A</v>
      </c>
      <c r="C14" s="1421"/>
      <c r="D14" s="1448" t="e">
        <f t="shared" si="1"/>
        <v>#N/A</v>
      </c>
      <c r="E14" s="1448" t="e">
        <f t="shared" si="2"/>
        <v>#N/A</v>
      </c>
      <c r="F14" s="863" t="e">
        <f t="shared" si="3"/>
        <v>#N/A</v>
      </c>
      <c r="G14" s="863" t="e">
        <f t="shared" si="4"/>
        <v>#N/A</v>
      </c>
      <c r="H14" s="863" t="e">
        <f t="shared" si="5"/>
        <v>#N/A</v>
      </c>
      <c r="I14" s="863" t="e">
        <f t="shared" si="6"/>
        <v>#N/A</v>
      </c>
      <c r="J14" s="1141" t="e">
        <f t="shared" si="7"/>
        <v>#N/A</v>
      </c>
      <c r="K14" s="1026" t="e">
        <f t="shared" si="8"/>
        <v>#N/A</v>
      </c>
      <c r="L14" s="1026" t="e">
        <f t="shared" si="9"/>
        <v>#N/A</v>
      </c>
      <c r="M14" s="908" t="e">
        <f t="shared" si="10"/>
        <v>#N/A</v>
      </c>
      <c r="N14" s="1039" t="str">
        <f>VLOOKUP(Q14,اس!$S$3:$T$31,2,FALSE)</f>
        <v>.</v>
      </c>
      <c r="O14" s="293"/>
      <c r="P14" s="297"/>
      <c r="Q14" s="923">
        <v>5</v>
      </c>
      <c r="R14" s="924"/>
      <c r="T14" s="293"/>
      <c r="AH14" s="488">
        <v>8</v>
      </c>
      <c r="AI14" s="994" t="s">
        <v>955</v>
      </c>
      <c r="AJ14" s="287"/>
      <c r="AK14" s="282" t="s">
        <v>270</v>
      </c>
      <c r="AL14" s="282"/>
      <c r="AM14" s="282"/>
      <c r="AN14" s="282"/>
      <c r="AO14" s="282"/>
      <c r="AP14" s="769"/>
      <c r="AQ14" s="282"/>
      <c r="AR14" s="282" t="s">
        <v>820</v>
      </c>
      <c r="AS14" s="282" t="s">
        <v>1530</v>
      </c>
      <c r="AT14" s="274"/>
      <c r="AU14" s="274"/>
      <c r="AV14" s="274"/>
    </row>
    <row r="15" spans="1:78" s="420" customFormat="1" ht="16.5" customHeight="1" thickBot="1">
      <c r="A15" s="533">
        <v>5</v>
      </c>
      <c r="B15" s="1420" t="e">
        <f t="shared" si="0"/>
        <v>#N/A</v>
      </c>
      <c r="C15" s="1421"/>
      <c r="D15" s="1448" t="e">
        <f t="shared" si="1"/>
        <v>#N/A</v>
      </c>
      <c r="E15" s="1448" t="e">
        <f t="shared" si="2"/>
        <v>#N/A</v>
      </c>
      <c r="F15" s="863" t="e">
        <f t="shared" si="3"/>
        <v>#N/A</v>
      </c>
      <c r="G15" s="863" t="e">
        <f t="shared" si="4"/>
        <v>#N/A</v>
      </c>
      <c r="H15" s="863" t="e">
        <f t="shared" si="5"/>
        <v>#N/A</v>
      </c>
      <c r="I15" s="863" t="e">
        <f t="shared" si="6"/>
        <v>#N/A</v>
      </c>
      <c r="J15" s="863" t="e">
        <f t="shared" si="7"/>
        <v>#N/A</v>
      </c>
      <c r="K15" s="863" t="e">
        <f t="shared" si="8"/>
        <v>#N/A</v>
      </c>
      <c r="L15" s="863" t="e">
        <f t="shared" si="9"/>
        <v>#N/A</v>
      </c>
      <c r="M15" s="908" t="e">
        <f t="shared" si="10"/>
        <v>#N/A</v>
      </c>
      <c r="N15" s="1039" t="str">
        <f>VLOOKUP(Q15,اس!$S$3:$T$31,2,FALSE)</f>
        <v>.</v>
      </c>
      <c r="O15" s="293"/>
      <c r="P15" s="297"/>
      <c r="Q15" s="923">
        <v>5</v>
      </c>
      <c r="R15" s="924"/>
      <c r="S15" s="25"/>
      <c r="T15" s="293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488">
        <v>9</v>
      </c>
      <c r="AI15" s="994" t="s">
        <v>1250</v>
      </c>
      <c r="AJ15" s="513"/>
      <c r="AK15" s="282" t="s">
        <v>270</v>
      </c>
      <c r="AL15" s="768"/>
      <c r="AM15" s="768"/>
      <c r="AN15" s="768"/>
      <c r="AO15" s="768"/>
      <c r="AP15" s="769"/>
      <c r="AQ15" s="282" t="s">
        <v>824</v>
      </c>
      <c r="AR15" s="282" t="s">
        <v>326</v>
      </c>
      <c r="AS15" s="282" t="s">
        <v>1529</v>
      </c>
      <c r="AT15" s="274"/>
      <c r="AU15" s="274"/>
      <c r="AV15" s="274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</row>
    <row r="16" spans="1:78" s="420" customFormat="1" ht="16.5" customHeight="1" thickBot="1">
      <c r="A16" s="533">
        <v>6</v>
      </c>
      <c r="B16" s="1420" t="e">
        <f t="shared" si="0"/>
        <v>#N/A</v>
      </c>
      <c r="C16" s="1421"/>
      <c r="D16" s="1438" t="e">
        <f t="shared" si="1"/>
        <v>#N/A</v>
      </c>
      <c r="E16" s="1438" t="e">
        <f t="shared" si="2"/>
        <v>#N/A</v>
      </c>
      <c r="F16" s="1026" t="e">
        <f t="shared" si="3"/>
        <v>#N/A</v>
      </c>
      <c r="G16" s="1026" t="e">
        <f t="shared" si="4"/>
        <v>#N/A</v>
      </c>
      <c r="H16" s="1026" t="e">
        <f t="shared" si="5"/>
        <v>#N/A</v>
      </c>
      <c r="I16" s="1026" t="e">
        <f t="shared" si="6"/>
        <v>#N/A</v>
      </c>
      <c r="J16" s="863" t="e">
        <f t="shared" si="7"/>
        <v>#N/A</v>
      </c>
      <c r="K16" s="863" t="e">
        <f t="shared" si="8"/>
        <v>#N/A</v>
      </c>
      <c r="L16" s="863" t="e">
        <f t="shared" si="9"/>
        <v>#N/A</v>
      </c>
      <c r="M16" s="1027" t="e">
        <f t="shared" si="10"/>
        <v>#N/A</v>
      </c>
      <c r="N16" s="1039" t="str">
        <f>VLOOKUP(Q16,اس!$S$3:$T$31,2,FALSE)</f>
        <v>.</v>
      </c>
      <c r="O16" s="293"/>
      <c r="P16" s="297"/>
      <c r="Q16" s="923">
        <v>5</v>
      </c>
      <c r="R16" s="924"/>
      <c r="S16" s="25"/>
      <c r="T16" s="293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488">
        <v>10</v>
      </c>
      <c r="AI16" s="994" t="s">
        <v>1221</v>
      </c>
      <c r="AJ16" s="287"/>
      <c r="AK16" s="282" t="s">
        <v>270</v>
      </c>
      <c r="AL16" s="768" t="s">
        <v>821</v>
      </c>
      <c r="AM16" s="768" t="s">
        <v>821</v>
      </c>
      <c r="AN16" s="768" t="s">
        <v>821</v>
      </c>
      <c r="AO16" s="768" t="s">
        <v>821</v>
      </c>
      <c r="AP16" s="769"/>
      <c r="AQ16" s="282"/>
      <c r="AR16" s="282" t="s">
        <v>2212</v>
      </c>
      <c r="AS16" s="282" t="s">
        <v>1175</v>
      </c>
      <c r="AT16" s="274"/>
      <c r="AU16" s="274"/>
      <c r="AV16" s="274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</row>
    <row r="17" spans="1:78" s="420" customFormat="1" ht="16.5" customHeight="1" thickBot="1">
      <c r="A17" s="533">
        <v>7</v>
      </c>
      <c r="B17" s="1420" t="e">
        <f t="shared" si="0"/>
        <v>#N/A</v>
      </c>
      <c r="C17" s="1421"/>
      <c r="D17" s="1438" t="e">
        <f t="shared" si="1"/>
        <v>#N/A</v>
      </c>
      <c r="E17" s="1438" t="e">
        <f t="shared" si="2"/>
        <v>#N/A</v>
      </c>
      <c r="F17" s="863" t="e">
        <f t="shared" si="3"/>
        <v>#N/A</v>
      </c>
      <c r="G17" s="863" t="e">
        <f t="shared" si="4"/>
        <v>#N/A</v>
      </c>
      <c r="H17" s="863" t="e">
        <f t="shared" si="5"/>
        <v>#N/A</v>
      </c>
      <c r="I17" s="863" t="e">
        <f t="shared" si="6"/>
        <v>#N/A</v>
      </c>
      <c r="J17" s="863" t="e">
        <f t="shared" si="7"/>
        <v>#N/A</v>
      </c>
      <c r="K17" s="1026" t="e">
        <f t="shared" si="8"/>
        <v>#N/A</v>
      </c>
      <c r="L17" s="1026" t="e">
        <f t="shared" si="9"/>
        <v>#N/A</v>
      </c>
      <c r="M17" s="1027" t="e">
        <f t="shared" si="10"/>
        <v>#N/A</v>
      </c>
      <c r="N17" s="1039" t="str">
        <f>VLOOKUP(Q17,اس!$S$3:$T$31,2,FALSE)</f>
        <v>.</v>
      </c>
      <c r="O17" s="293"/>
      <c r="P17" s="297"/>
      <c r="Q17" s="923">
        <v>5</v>
      </c>
      <c r="R17" s="924"/>
      <c r="S17" s="25"/>
      <c r="T17" s="293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488">
        <v>11</v>
      </c>
      <c r="AI17" s="995" t="s">
        <v>941</v>
      </c>
      <c r="AJ17" s="287"/>
      <c r="AK17" s="282" t="s">
        <v>270</v>
      </c>
      <c r="AL17" s="768"/>
      <c r="AM17" s="768"/>
      <c r="AN17" s="768"/>
      <c r="AO17" s="768"/>
      <c r="AP17" s="769"/>
      <c r="AQ17" s="282"/>
      <c r="AR17" s="282"/>
      <c r="AS17" s="282"/>
      <c r="AT17" s="274"/>
      <c r="AU17" s="274"/>
      <c r="AV17" s="274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</row>
    <row r="18" spans="1:78" s="420" customFormat="1" ht="16.5" customHeight="1" thickBot="1">
      <c r="A18" s="533">
        <v>8</v>
      </c>
      <c r="B18" s="1420" t="e">
        <f t="shared" si="0"/>
        <v>#N/A</v>
      </c>
      <c r="C18" s="1421"/>
      <c r="D18" s="1438" t="e">
        <f t="shared" si="1"/>
        <v>#N/A</v>
      </c>
      <c r="E18" s="1438" t="e">
        <f t="shared" si="2"/>
        <v>#N/A</v>
      </c>
      <c r="F18" s="863" t="e">
        <f t="shared" si="3"/>
        <v>#N/A</v>
      </c>
      <c r="G18" s="863" t="e">
        <f t="shared" si="4"/>
        <v>#N/A</v>
      </c>
      <c r="H18" s="863" t="e">
        <f t="shared" si="5"/>
        <v>#N/A</v>
      </c>
      <c r="I18" s="1026" t="e">
        <f t="shared" si="6"/>
        <v>#N/A</v>
      </c>
      <c r="J18" s="1026" t="e">
        <f t="shared" si="7"/>
        <v>#N/A</v>
      </c>
      <c r="K18" s="1026" t="e">
        <f t="shared" si="8"/>
        <v>#N/A</v>
      </c>
      <c r="L18" s="1026" t="e">
        <f t="shared" si="9"/>
        <v>#N/A</v>
      </c>
      <c r="M18" s="1030" t="e">
        <f t="shared" si="10"/>
        <v>#N/A</v>
      </c>
      <c r="N18" s="1080" t="str">
        <f>VLOOKUP(Q18,اس!$S$3:$T$31,2,FALSE)</f>
        <v>.</v>
      </c>
      <c r="O18" s="293"/>
      <c r="P18" s="297"/>
      <c r="Q18" s="923">
        <v>5</v>
      </c>
      <c r="R18" s="924"/>
      <c r="S18" s="25"/>
      <c r="T18" s="293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488">
        <v>12</v>
      </c>
      <c r="AI18" s="995" t="s">
        <v>811</v>
      </c>
      <c r="AJ18" s="287"/>
      <c r="AK18" s="282" t="s">
        <v>408</v>
      </c>
      <c r="AL18" s="282"/>
      <c r="AM18" s="282"/>
      <c r="AN18" s="768"/>
      <c r="AO18" s="768"/>
      <c r="AP18" s="785"/>
      <c r="AQ18" s="282"/>
      <c r="AR18" s="282" t="s">
        <v>326</v>
      </c>
      <c r="AS18" s="282" t="s">
        <v>327</v>
      </c>
      <c r="AT18" s="282" t="s">
        <v>328</v>
      </c>
      <c r="AU18" s="274"/>
      <c r="AV18" s="274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</row>
    <row r="19" spans="1:78" s="420" customFormat="1" ht="16.5" customHeight="1" thickBot="1">
      <c r="A19" s="533">
        <v>9</v>
      </c>
      <c r="B19" s="1420" t="e">
        <f t="shared" si="0"/>
        <v>#N/A</v>
      </c>
      <c r="C19" s="1421"/>
      <c r="D19" s="1486" t="e">
        <f t="shared" si="1"/>
        <v>#N/A</v>
      </c>
      <c r="E19" s="1486" t="e">
        <f t="shared" si="2"/>
        <v>#N/A</v>
      </c>
      <c r="F19" s="439" t="e">
        <f t="shared" si="3"/>
        <v>#N/A</v>
      </c>
      <c r="G19" s="439" t="e">
        <f t="shared" si="4"/>
        <v>#N/A</v>
      </c>
      <c r="H19" s="439" t="e">
        <f t="shared" si="5"/>
        <v>#N/A</v>
      </c>
      <c r="I19" s="439" t="e">
        <f t="shared" si="6"/>
        <v>#N/A</v>
      </c>
      <c r="J19" s="439" t="e">
        <f t="shared" si="7"/>
        <v>#N/A</v>
      </c>
      <c r="K19" s="1131" t="e">
        <f t="shared" si="8"/>
        <v>#N/A</v>
      </c>
      <c r="L19" s="1131" t="e">
        <f t="shared" si="9"/>
        <v>#N/A</v>
      </c>
      <c r="M19" s="1137" t="e">
        <f t="shared" si="10"/>
        <v>#N/A</v>
      </c>
      <c r="N19" s="1039" t="str">
        <f>VLOOKUP(Q19,اس!$S$3:$T$31,2,FALSE)</f>
        <v>.</v>
      </c>
      <c r="O19" s="293"/>
      <c r="P19" s="297"/>
      <c r="Q19" s="923">
        <v>5</v>
      </c>
      <c r="R19" s="924"/>
      <c r="S19" s="25"/>
      <c r="T19" s="293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488">
        <v>13</v>
      </c>
      <c r="AI19" s="994" t="s">
        <v>1222</v>
      </c>
      <c r="AJ19" s="513"/>
      <c r="AK19" s="282" t="s">
        <v>408</v>
      </c>
      <c r="AL19" s="282"/>
      <c r="AM19" s="282"/>
      <c r="AN19" s="282" t="s">
        <v>1850</v>
      </c>
      <c r="AO19" s="282"/>
      <c r="AP19" s="769"/>
      <c r="AQ19" s="789"/>
      <c r="AR19" s="789"/>
      <c r="AS19" s="282"/>
      <c r="AT19" s="274"/>
      <c r="AU19" s="274"/>
      <c r="AV19" s="274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</row>
    <row r="20" spans="1:78" s="420" customFormat="1" ht="16.5" customHeight="1" thickBot="1">
      <c r="A20" s="534">
        <v>10</v>
      </c>
      <c r="B20" s="1487" t="e">
        <f t="shared" si="0"/>
        <v>#N/A</v>
      </c>
      <c r="C20" s="1488"/>
      <c r="D20" s="1450" t="e">
        <f t="shared" si="1"/>
        <v>#N/A</v>
      </c>
      <c r="E20" s="1450" t="e">
        <f t="shared" si="2"/>
        <v>#N/A</v>
      </c>
      <c r="F20" s="859" t="e">
        <f t="shared" si="3"/>
        <v>#N/A</v>
      </c>
      <c r="G20" s="859" t="e">
        <f t="shared" si="4"/>
        <v>#N/A</v>
      </c>
      <c r="H20" s="859" t="e">
        <f t="shared" si="5"/>
        <v>#N/A</v>
      </c>
      <c r="I20" s="859" t="e">
        <f t="shared" si="6"/>
        <v>#N/A</v>
      </c>
      <c r="J20" s="859" t="e">
        <f t="shared" si="7"/>
        <v>#N/A</v>
      </c>
      <c r="K20" s="902" t="e">
        <f t="shared" si="8"/>
        <v>#N/A</v>
      </c>
      <c r="L20" s="902" t="e">
        <f t="shared" si="9"/>
        <v>#N/A</v>
      </c>
      <c r="M20" s="903" t="e">
        <f t="shared" si="10"/>
        <v>#N/A</v>
      </c>
      <c r="N20" s="1016" t="str">
        <f>VLOOKUP(Q20,اس!$S$3:$T$31,2,FALSE)</f>
        <v>.</v>
      </c>
      <c r="O20" s="293"/>
      <c r="P20" s="297"/>
      <c r="Q20" s="923">
        <v>5</v>
      </c>
      <c r="R20" s="924"/>
      <c r="S20" s="25"/>
      <c r="T20" s="293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488">
        <v>14</v>
      </c>
      <c r="AI20" s="994" t="s">
        <v>812</v>
      </c>
      <c r="AJ20" s="287"/>
      <c r="AK20" s="282" t="s">
        <v>408</v>
      </c>
      <c r="AL20" s="282" t="s">
        <v>328</v>
      </c>
      <c r="AM20" s="282" t="s">
        <v>328</v>
      </c>
      <c r="AN20" s="282" t="s">
        <v>328</v>
      </c>
      <c r="AO20" s="282" t="s">
        <v>328</v>
      </c>
      <c r="AP20" s="785"/>
      <c r="AQ20" s="282" t="s">
        <v>820</v>
      </c>
      <c r="AR20" s="282" t="s">
        <v>1529</v>
      </c>
      <c r="AS20" s="282"/>
      <c r="AT20" s="281"/>
      <c r="AU20" s="281"/>
      <c r="AV20" s="281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</row>
    <row r="21" spans="1:78" s="25" customFormat="1" ht="16.5" customHeight="1" thickBot="1">
      <c r="A21" s="522">
        <v>-2</v>
      </c>
      <c r="B21" s="523" t="s">
        <v>294</v>
      </c>
      <c r="C21" s="523"/>
      <c r="D21" s="523"/>
      <c r="E21" s="524"/>
      <c r="F21" s="525"/>
      <c r="G21" s="525"/>
      <c r="H21" s="525"/>
      <c r="I21" s="525"/>
      <c r="J21" s="565" t="s">
        <v>954</v>
      </c>
      <c r="K21" s="526"/>
      <c r="L21" s="526"/>
      <c r="M21" s="526"/>
      <c r="N21" s="298"/>
      <c r="O21" s="298"/>
      <c r="P21" s="297"/>
      <c r="Q21" s="923">
        <v>5</v>
      </c>
      <c r="R21" s="924"/>
      <c r="T21" s="293"/>
      <c r="AH21" s="488">
        <v>15</v>
      </c>
      <c r="AI21" s="994" t="s">
        <v>1944</v>
      </c>
      <c r="AJ21" s="287"/>
      <c r="AK21" s="282" t="s">
        <v>408</v>
      </c>
      <c r="AL21" s="768"/>
      <c r="AM21" s="768"/>
      <c r="AN21" s="768"/>
      <c r="AO21" s="768"/>
      <c r="AP21" s="785"/>
      <c r="AQ21" s="768"/>
      <c r="AR21" s="282"/>
      <c r="AS21" s="768"/>
      <c r="AT21" s="281"/>
      <c r="AU21" s="274"/>
      <c r="AV21" s="274"/>
    </row>
    <row r="22" spans="1:78" s="25" customFormat="1" ht="16.5" customHeight="1" thickBot="1">
      <c r="A22" s="529" t="s">
        <v>298</v>
      </c>
      <c r="B22" s="1417" t="s">
        <v>299</v>
      </c>
      <c r="C22" s="1417"/>
      <c r="D22" s="1417" t="s">
        <v>300</v>
      </c>
      <c r="E22" s="1417"/>
      <c r="F22" s="1417" t="s">
        <v>301</v>
      </c>
      <c r="G22" s="1417"/>
      <c r="H22" s="1417" t="s">
        <v>302</v>
      </c>
      <c r="I22" s="1441"/>
      <c r="J22" s="1437" t="s">
        <v>303</v>
      </c>
      <c r="K22" s="1437"/>
      <c r="L22" s="1437"/>
      <c r="M22" s="982" t="s">
        <v>304</v>
      </c>
      <c r="N22" s="555" t="s">
        <v>541</v>
      </c>
      <c r="O22" s="503"/>
      <c r="P22" s="387" t="s">
        <v>825</v>
      </c>
      <c r="Q22" s="1415" t="s">
        <v>260</v>
      </c>
      <c r="R22" s="1415"/>
      <c r="T22" s="293"/>
      <c r="AH22" s="488">
        <v>16</v>
      </c>
      <c r="AI22" s="994" t="s">
        <v>1964</v>
      </c>
      <c r="AJ22" s="287"/>
      <c r="AK22" s="282" t="s">
        <v>408</v>
      </c>
      <c r="AL22" s="768"/>
      <c r="AM22" s="768"/>
      <c r="AN22" s="768"/>
      <c r="AO22" s="768"/>
      <c r="AP22" s="785"/>
      <c r="AQ22" s="282" t="s">
        <v>1248</v>
      </c>
      <c r="AR22" s="282" t="s">
        <v>1176</v>
      </c>
      <c r="AS22" s="282"/>
      <c r="AT22" s="274"/>
      <c r="AU22" s="274"/>
      <c r="AV22" s="274"/>
    </row>
    <row r="23" spans="1:78" s="25" customFormat="1" ht="16.5" customHeight="1" thickBot="1">
      <c r="A23" s="541" t="s">
        <v>307</v>
      </c>
      <c r="B23" s="1432">
        <f>SUM(C25+B25)</f>
        <v>245</v>
      </c>
      <c r="C23" s="1432"/>
      <c r="D23" s="1432">
        <f>SUM(E25+D25)</f>
        <v>250</v>
      </c>
      <c r="E23" s="1432"/>
      <c r="F23" s="1432">
        <f>SUM(G25+F25)</f>
        <v>72</v>
      </c>
      <c r="G23" s="1432"/>
      <c r="H23" s="1432">
        <f>SUM(I25+H25)</f>
        <v>567</v>
      </c>
      <c r="I23" s="1449"/>
      <c r="J23" s="1451" t="e">
        <f>VLOOKUP(P23,اس!$S$3:$X$31,5,FALSE)</f>
        <v>#N/A</v>
      </c>
      <c r="K23" s="1451"/>
      <c r="L23" s="1451"/>
      <c r="M23" s="774" t="s">
        <v>615</v>
      </c>
      <c r="N23" s="775" t="e">
        <f>VLOOKUP(Q23,اس!$S$3:$X$31,2,FALSE)</f>
        <v>#N/A</v>
      </c>
      <c r="O23" s="503"/>
      <c r="P23" s="387"/>
      <c r="Q23" s="1415"/>
      <c r="R23" s="1415"/>
      <c r="T23" s="293"/>
      <c r="AH23" s="488">
        <v>17</v>
      </c>
      <c r="AI23" s="994" t="s">
        <v>283</v>
      </c>
      <c r="AJ23" s="285"/>
      <c r="AK23" s="282" t="s">
        <v>1207</v>
      </c>
      <c r="AL23" s="282"/>
      <c r="AM23" s="282"/>
      <c r="AN23" s="282"/>
      <c r="AO23" s="282"/>
      <c r="AP23" s="769"/>
      <c r="AQ23" s="282"/>
      <c r="AR23" s="282"/>
      <c r="AS23" s="282"/>
      <c r="AT23" s="274"/>
      <c r="AU23" s="274"/>
      <c r="AV23" s="274"/>
    </row>
    <row r="24" spans="1:78" s="25" customFormat="1" ht="16.5" customHeight="1" thickBot="1">
      <c r="A24" s="530" t="s">
        <v>310</v>
      </c>
      <c r="B24" s="982" t="s">
        <v>311</v>
      </c>
      <c r="C24" s="1032" t="s">
        <v>2242</v>
      </c>
      <c r="D24" s="982" t="s">
        <v>311</v>
      </c>
      <c r="E24" s="1032" t="s">
        <v>2242</v>
      </c>
      <c r="F24" s="982" t="s">
        <v>311</v>
      </c>
      <c r="G24" s="1032" t="s">
        <v>2242</v>
      </c>
      <c r="H24" s="982" t="s">
        <v>311</v>
      </c>
      <c r="I24" s="1032" t="s">
        <v>2242</v>
      </c>
      <c r="J24" s="1451" t="e">
        <f>VLOOKUP(P24,اس!$S$3:$X$31,5,FALSE)</f>
        <v>#N/A</v>
      </c>
      <c r="K24" s="1451"/>
      <c r="L24" s="1451"/>
      <c r="M24" s="564"/>
      <c r="N24" s="775" t="e">
        <f>VLOOKUP(Q24,اس!$S$3:$X$31,2,FALSE)</f>
        <v>#N/A</v>
      </c>
      <c r="O24" s="503"/>
      <c r="P24" s="387"/>
      <c r="Q24" s="1415"/>
      <c r="R24" s="1415"/>
      <c r="T24" s="293"/>
      <c r="AH24" s="488">
        <v>18</v>
      </c>
      <c r="AI24" s="996" t="s">
        <v>1965</v>
      </c>
      <c r="AJ24" s="511"/>
      <c r="AK24" s="282" t="s">
        <v>1207</v>
      </c>
      <c r="AL24" s="282"/>
      <c r="AM24" s="789"/>
      <c r="AN24" s="789"/>
      <c r="AO24" s="789"/>
      <c r="AP24" s="769"/>
      <c r="AQ24" s="282"/>
      <c r="AR24" s="282"/>
      <c r="AS24" s="282"/>
      <c r="AT24" s="274"/>
      <c r="AU24" s="274"/>
      <c r="AV24" s="274"/>
    </row>
    <row r="25" spans="1:78" s="25" customFormat="1" ht="16.5" customHeight="1" thickBot="1">
      <c r="A25" s="537" t="s">
        <v>315</v>
      </c>
      <c r="B25" s="537">
        <f>COUNTIF(etat!$P$9:$P$1136,"ذن/د3")+COUNTIF(etat!$P$9:$P$1136,"ذخ3")</f>
        <v>110</v>
      </c>
      <c r="C25" s="537">
        <f>COUNTIF(etat!$P$9:$P$1136,"ان/د3")+COUNTIF(etat!$P$9:$P$1136,"اخ3")</f>
        <v>135</v>
      </c>
      <c r="D25" s="537">
        <f>COUNTIF(etat!$P$9:$P$1136,"ذن/د2")+COUNTIF(etat!$P$9:$P$1136,"ذخ2")</f>
        <v>93</v>
      </c>
      <c r="E25" s="537">
        <f>COUNTIF(etat!$P$9:$P$1136,"ان/د2")+COUNTIF(etat!$P$9:$P$1136,"اخ2")</f>
        <v>157</v>
      </c>
      <c r="F25" s="537">
        <f>COUNTIF(etat!$P$9:$P$1136,"ذن/د1")+COUNTIF(etat!$P$9:$P$1136,"ذخ1")</f>
        <v>29</v>
      </c>
      <c r="G25" s="537">
        <f>COUNTIF(etat!$P$9:$P$1136,"ان/د1")+COUNTIF(etat!$P$9:$P$1136,"اخ1")</f>
        <v>43</v>
      </c>
      <c r="H25" s="980">
        <f>SUM(B25+D25+F25)</f>
        <v>232</v>
      </c>
      <c r="I25" s="979">
        <f>SUM(C25+E25+G25)</f>
        <v>335</v>
      </c>
      <c r="J25" s="1451" t="e">
        <f>VLOOKUP(P25,اس!$S$3:$X$31,5,FALSE)</f>
        <v>#N/A</v>
      </c>
      <c r="K25" s="1451"/>
      <c r="L25" s="1451"/>
      <c r="M25" s="564"/>
      <c r="N25" s="775" t="e">
        <f>VLOOKUP(Q25,اس!$S$3:$X$31,2,FALSE)</f>
        <v>#N/A</v>
      </c>
      <c r="O25" s="503"/>
      <c r="P25" s="387"/>
      <c r="Q25" s="1461">
        <v>0</v>
      </c>
      <c r="R25" s="1461"/>
      <c r="T25" s="293"/>
      <c r="AH25" s="488">
        <v>19</v>
      </c>
      <c r="AI25" s="997" t="s">
        <v>1509</v>
      </c>
      <c r="AJ25" s="511"/>
      <c r="AK25" s="282" t="s">
        <v>1207</v>
      </c>
      <c r="AL25" s="282"/>
      <c r="AM25" s="768"/>
      <c r="AN25" s="768"/>
      <c r="AO25" s="282"/>
      <c r="AP25" s="769"/>
      <c r="AQ25" s="768"/>
      <c r="AR25" s="768"/>
      <c r="AS25" s="768"/>
      <c r="AT25" s="274"/>
      <c r="AU25" s="274"/>
      <c r="AV25" s="274"/>
    </row>
    <row r="26" spans="1:78" s="25" customFormat="1" ht="16.5" customHeight="1" thickBot="1">
      <c r="A26" s="538" t="s">
        <v>316</v>
      </c>
      <c r="B26" s="539">
        <f t="shared" ref="B26:I26" si="11">SUM(B25-B30)</f>
        <v>49</v>
      </c>
      <c r="C26" s="539">
        <f t="shared" si="11"/>
        <v>52</v>
      </c>
      <c r="D26" s="539">
        <f t="shared" si="11"/>
        <v>76</v>
      </c>
      <c r="E26" s="539">
        <f t="shared" si="11"/>
        <v>125</v>
      </c>
      <c r="F26" s="539">
        <f t="shared" si="11"/>
        <v>28</v>
      </c>
      <c r="G26" s="539">
        <f t="shared" si="11"/>
        <v>39</v>
      </c>
      <c r="H26" s="539">
        <f t="shared" si="11"/>
        <v>153</v>
      </c>
      <c r="I26" s="563">
        <f t="shared" si="11"/>
        <v>216</v>
      </c>
      <c r="J26" s="1451" t="e">
        <f>VLOOKUP(P26,اس!$S$3:$X$31,5,FALSE)</f>
        <v>#N/A</v>
      </c>
      <c r="K26" s="1451"/>
      <c r="L26" s="1451"/>
      <c r="M26" s="774"/>
      <c r="N26" s="775" t="e">
        <f>VLOOKUP(Q26,اس!$S$3:$X$31,2,FALSE)</f>
        <v>#N/A</v>
      </c>
      <c r="O26" s="503"/>
      <c r="P26" s="387"/>
      <c r="Q26" s="1461">
        <v>0</v>
      </c>
      <c r="R26" s="1461"/>
      <c r="T26" s="293"/>
      <c r="AH26" s="488">
        <v>20</v>
      </c>
      <c r="AI26" s="994" t="s">
        <v>942</v>
      </c>
      <c r="AJ26" s="287"/>
      <c r="AK26" s="282" t="s">
        <v>279</v>
      </c>
      <c r="AL26" s="768"/>
      <c r="AM26" s="768"/>
      <c r="AN26" s="282"/>
      <c r="AO26" s="282"/>
      <c r="AP26" s="769"/>
      <c r="AQ26" s="768" t="s">
        <v>2234</v>
      </c>
      <c r="AR26" s="768" t="s">
        <v>2234</v>
      </c>
      <c r="AS26" s="282"/>
      <c r="AT26" s="274"/>
      <c r="AU26" s="274"/>
      <c r="AV26" s="274"/>
    </row>
    <row r="27" spans="1:78" s="25" customFormat="1" ht="16.5" customHeight="1" thickBot="1">
      <c r="A27" s="553">
        <v>-2</v>
      </c>
      <c r="B27" s="551" t="s">
        <v>294</v>
      </c>
      <c r="C27" s="551"/>
      <c r="D27" s="551"/>
      <c r="E27" s="554"/>
      <c r="F27" s="551"/>
      <c r="G27" s="551"/>
      <c r="H27" s="551"/>
      <c r="I27" s="551"/>
      <c r="J27" s="294"/>
      <c r="K27" s="294"/>
      <c r="L27" s="294"/>
      <c r="M27" s="294"/>
      <c r="N27" s="294"/>
      <c r="O27" s="142"/>
      <c r="T27" s="293"/>
      <c r="AH27" s="488">
        <v>21</v>
      </c>
      <c r="AI27" s="997" t="s">
        <v>278</v>
      </c>
      <c r="AJ27" s="513"/>
      <c r="AK27" s="282" t="s">
        <v>279</v>
      </c>
      <c r="AL27" s="768"/>
      <c r="AM27" s="768"/>
      <c r="AN27" s="768" t="s">
        <v>500</v>
      </c>
      <c r="AO27" s="282"/>
      <c r="AP27" s="785"/>
      <c r="AQ27" s="282"/>
      <c r="AR27" s="282"/>
      <c r="AS27" s="282"/>
      <c r="AT27" s="274"/>
      <c r="AU27" s="274"/>
      <c r="AV27" s="274"/>
      <c r="AW27" s="150"/>
    </row>
    <row r="28" spans="1:78" s="25" customFormat="1" ht="16.5" customHeight="1" thickBot="1">
      <c r="A28" s="552" t="s">
        <v>827</v>
      </c>
      <c r="B28" s="1430" t="s">
        <v>299</v>
      </c>
      <c r="C28" s="1430"/>
      <c r="D28" s="1424" t="s">
        <v>300</v>
      </c>
      <c r="E28" s="1424"/>
      <c r="F28" s="1424" t="s">
        <v>301</v>
      </c>
      <c r="G28" s="1424"/>
      <c r="H28" s="1424" t="s">
        <v>302</v>
      </c>
      <c r="I28" s="1424"/>
      <c r="J28" s="560" t="s">
        <v>952</v>
      </c>
      <c r="K28" s="741"/>
      <c r="L28" s="741"/>
      <c r="M28" s="741"/>
      <c r="N28" s="741"/>
      <c r="O28" s="142"/>
      <c r="T28" s="293"/>
      <c r="AH28" s="488">
        <v>22</v>
      </c>
      <c r="AI28" s="994" t="s">
        <v>2247</v>
      </c>
      <c r="AJ28" s="513"/>
      <c r="AK28" s="282" t="s">
        <v>279</v>
      </c>
      <c r="AL28" s="282"/>
      <c r="AM28" s="282"/>
      <c r="AN28" s="771"/>
      <c r="AO28" s="282"/>
      <c r="AP28" s="785"/>
      <c r="AQ28" s="768" t="s">
        <v>2227</v>
      </c>
      <c r="AR28" s="768"/>
      <c r="AS28" s="768" t="s">
        <v>2231</v>
      </c>
      <c r="AT28" s="274"/>
      <c r="AU28" s="274"/>
      <c r="AV28" s="274"/>
      <c r="AW28" s="154"/>
    </row>
    <row r="29" spans="1:78" s="25" customFormat="1" ht="16.5" customHeight="1" thickBot="1">
      <c r="A29" s="921" t="s">
        <v>302</v>
      </c>
      <c r="B29" s="1423">
        <f>SUM(C30+B30)</f>
        <v>144</v>
      </c>
      <c r="C29" s="1423"/>
      <c r="D29" s="1423">
        <f>SUM(E30+D30)</f>
        <v>49</v>
      </c>
      <c r="E29" s="1423"/>
      <c r="F29" s="1423">
        <f>SUM(G30+F30)</f>
        <v>5</v>
      </c>
      <c r="G29" s="1423"/>
      <c r="H29" s="1423">
        <f>SUM(I30+H30)</f>
        <v>198</v>
      </c>
      <c r="I29" s="1423"/>
      <c r="J29" s="738" t="s">
        <v>1247</v>
      </c>
      <c r="K29" s="739"/>
      <c r="L29" s="738" t="s">
        <v>1247</v>
      </c>
      <c r="M29" s="1095" t="s">
        <v>1545</v>
      </c>
      <c r="N29" s="724" t="s">
        <v>1546</v>
      </c>
      <c r="O29" s="142"/>
      <c r="P29" s="142"/>
      <c r="Q29" s="29"/>
      <c r="R29" s="142"/>
      <c r="S29" s="299"/>
      <c r="T29" s="293"/>
      <c r="AH29" s="488">
        <v>23</v>
      </c>
      <c r="AI29" s="995" t="s">
        <v>1205</v>
      </c>
      <c r="AJ29" s="998"/>
      <c r="AK29" s="282" t="s">
        <v>1202</v>
      </c>
      <c r="AL29" s="282" t="s">
        <v>819</v>
      </c>
      <c r="AM29" s="282" t="s">
        <v>820</v>
      </c>
      <c r="AN29" s="768"/>
      <c r="AO29" s="282" t="s">
        <v>2215</v>
      </c>
      <c r="AP29" s="785"/>
      <c r="AQ29" s="768"/>
      <c r="AR29" s="768"/>
      <c r="AS29" s="282"/>
      <c r="AT29" s="274"/>
      <c r="AU29" s="274"/>
      <c r="AV29" s="274"/>
      <c r="AW29" s="154"/>
    </row>
    <row r="30" spans="1:78" s="25" customFormat="1" ht="16.5" customHeight="1" thickBot="1">
      <c r="A30" s="736" t="s">
        <v>317</v>
      </c>
      <c r="B30" s="983">
        <f t="shared" ref="B30:I30" si="12">SUM(B31:B32)</f>
        <v>61</v>
      </c>
      <c r="C30" s="983">
        <f t="shared" si="12"/>
        <v>83</v>
      </c>
      <c r="D30" s="983">
        <f t="shared" si="12"/>
        <v>17</v>
      </c>
      <c r="E30" s="983">
        <f t="shared" si="12"/>
        <v>32</v>
      </c>
      <c r="F30" s="983">
        <f t="shared" si="12"/>
        <v>1</v>
      </c>
      <c r="G30" s="983">
        <f t="shared" si="12"/>
        <v>4</v>
      </c>
      <c r="H30" s="983">
        <f t="shared" si="12"/>
        <v>79</v>
      </c>
      <c r="I30" s="983">
        <f t="shared" si="12"/>
        <v>119</v>
      </c>
      <c r="J30" s="737" t="s">
        <v>302</v>
      </c>
      <c r="K30" s="737"/>
      <c r="L30" s="502">
        <f>COUNT(AH7:AH60)</f>
        <v>54</v>
      </c>
      <c r="M30" s="502">
        <f>COUNT(اس!V3:W8)</f>
        <v>6</v>
      </c>
      <c r="N30" s="502">
        <f>COUNT(اس!V1:X3)</f>
        <v>1</v>
      </c>
      <c r="O30" s="142"/>
      <c r="P30" s="142"/>
      <c r="Q30" s="26"/>
      <c r="R30" s="142"/>
      <c r="S30" s="501"/>
      <c r="T30" s="293"/>
      <c r="AH30" s="488">
        <v>24</v>
      </c>
      <c r="AI30" s="995" t="s">
        <v>286</v>
      </c>
      <c r="AJ30" s="999"/>
      <c r="AK30" s="282" t="s">
        <v>1202</v>
      </c>
      <c r="AL30" s="282"/>
      <c r="AM30" s="282"/>
      <c r="AN30" s="772"/>
      <c r="AO30" s="282"/>
      <c r="AP30" s="769"/>
      <c r="AQ30" s="768"/>
      <c r="AR30" s="768"/>
      <c r="AS30" s="768"/>
      <c r="AT30" s="281"/>
      <c r="AU30" s="281"/>
      <c r="AV30" s="281"/>
      <c r="AW30" s="154"/>
    </row>
    <row r="31" spans="1:78" s="25" customFormat="1" ht="16.5" customHeight="1" thickBot="1">
      <c r="A31" s="736" t="s">
        <v>318</v>
      </c>
      <c r="B31" s="454">
        <f>COUNTIF($S$57:$S$696,"ذن/د3")</f>
        <v>6</v>
      </c>
      <c r="C31" s="454">
        <f>COUNTIF($S$57:$S$696,"ان/د3")</f>
        <v>17</v>
      </c>
      <c r="D31" s="454">
        <f>COUNTIF($S$57:$S$696,"ذن/د2")</f>
        <v>1</v>
      </c>
      <c r="E31" s="454">
        <f>COUNTIF($S$57:$S$696,"ان/د2")</f>
        <v>10</v>
      </c>
      <c r="F31" s="454">
        <f>COUNTIF($S$57:$S$696,"ذن/د1")</f>
        <v>0</v>
      </c>
      <c r="G31" s="454">
        <f>COUNTIF($S$57:$S$696,"ان/د1")</f>
        <v>0</v>
      </c>
      <c r="H31" s="454">
        <f t="shared" ref="H31:I32" si="13">B31+D31+F31</f>
        <v>7</v>
      </c>
      <c r="I31" s="454">
        <f t="shared" si="13"/>
        <v>27</v>
      </c>
      <c r="J31" s="737" t="s">
        <v>316</v>
      </c>
      <c r="K31" s="737"/>
      <c r="L31" s="502">
        <f>SUM(L30-L32)</f>
        <v>51</v>
      </c>
      <c r="M31" s="502">
        <f>SUM(M30-M32)</f>
        <v>6</v>
      </c>
      <c r="N31" s="502">
        <f t="shared" ref="N31" si="14">SUM(N30-N32)</f>
        <v>0</v>
      </c>
      <c r="O31" s="142"/>
      <c r="P31" s="142"/>
      <c r="Q31" s="142"/>
      <c r="R31" s="142"/>
      <c r="S31" s="142"/>
      <c r="T31" s="293"/>
      <c r="AH31" s="488">
        <v>25</v>
      </c>
      <c r="AI31" s="995" t="s">
        <v>287</v>
      </c>
      <c r="AJ31" s="999"/>
      <c r="AK31" s="282" t="s">
        <v>1202</v>
      </c>
      <c r="AL31" s="792" t="s">
        <v>824</v>
      </c>
      <c r="AM31" s="792" t="s">
        <v>327</v>
      </c>
      <c r="AN31" s="792" t="s">
        <v>828</v>
      </c>
      <c r="AO31" s="792" t="s">
        <v>2231</v>
      </c>
      <c r="AP31" s="788"/>
      <c r="AQ31" s="783"/>
      <c r="AR31" s="789"/>
      <c r="AS31" s="282"/>
      <c r="AT31" s="274"/>
      <c r="AW31" s="154"/>
    </row>
    <row r="32" spans="1:78" s="25" customFormat="1" ht="16.5" customHeight="1" thickBot="1">
      <c r="A32" s="736" t="s">
        <v>319</v>
      </c>
      <c r="B32" s="454">
        <f>COUNTIF($S$57:$S$696,"ذخ3")</f>
        <v>55</v>
      </c>
      <c r="C32" s="454">
        <f>COUNTIF($S$57:$S$696,"اخ3")</f>
        <v>66</v>
      </c>
      <c r="D32" s="454">
        <f>COUNTIF($S$57:$S$696,"ذخ2")</f>
        <v>16</v>
      </c>
      <c r="E32" s="454">
        <f>COUNTIF($S$57:$S$696,"اخ2")</f>
        <v>22</v>
      </c>
      <c r="F32" s="454">
        <f>COUNTIF($S$57:$S$696,"ذخ1")</f>
        <v>1</v>
      </c>
      <c r="G32" s="454">
        <f>COUNTIF($S$57:$S$696,"اخ1")</f>
        <v>4</v>
      </c>
      <c r="H32" s="454">
        <f>B32+D32+F32</f>
        <v>72</v>
      </c>
      <c r="I32" s="454">
        <f t="shared" si="13"/>
        <v>92</v>
      </c>
      <c r="J32" s="737" t="s">
        <v>321</v>
      </c>
      <c r="K32" s="737"/>
      <c r="L32" s="502">
        <f>COUNT(P11:P21)</f>
        <v>3</v>
      </c>
      <c r="M32" s="502">
        <v>0</v>
      </c>
      <c r="N32" s="502">
        <v>1</v>
      </c>
      <c r="O32" s="142"/>
      <c r="P32" s="142"/>
      <c r="Q32" s="142"/>
      <c r="R32" s="142"/>
      <c r="S32" s="142"/>
      <c r="T32" s="293"/>
      <c r="AH32" s="488">
        <v>26</v>
      </c>
      <c r="AI32" s="995" t="s">
        <v>284</v>
      </c>
      <c r="AJ32" s="999"/>
      <c r="AK32" s="282" t="s">
        <v>1202</v>
      </c>
      <c r="AL32" s="768" t="s">
        <v>2227</v>
      </c>
      <c r="AM32" s="768" t="s">
        <v>1850</v>
      </c>
      <c r="AN32" s="282" t="s">
        <v>1176</v>
      </c>
      <c r="AO32" s="768" t="s">
        <v>1529</v>
      </c>
      <c r="AP32" s="785"/>
      <c r="AQ32" s="282"/>
      <c r="AR32" s="282"/>
      <c r="AS32" s="282"/>
      <c r="AT32" s="274"/>
      <c r="AU32" s="274"/>
      <c r="AV32" s="274"/>
      <c r="AW32" s="154"/>
    </row>
    <row r="33" spans="1:78" s="25" customFormat="1" ht="16.5" customHeight="1" thickBot="1">
      <c r="A33" s="514" t="s">
        <v>320</v>
      </c>
      <c r="B33" s="767">
        <f t="shared" ref="B33:I33" si="15">SUM(B30/B25*100)</f>
        <v>55.454545454545453</v>
      </c>
      <c r="C33" s="514">
        <f t="shared" si="15"/>
        <v>61.481481481481481</v>
      </c>
      <c r="D33" s="514">
        <f t="shared" si="15"/>
        <v>18.27956989247312</v>
      </c>
      <c r="E33" s="767">
        <f t="shared" si="15"/>
        <v>20.382165605095544</v>
      </c>
      <c r="F33" s="496">
        <f t="shared" si="15"/>
        <v>3.4482758620689653</v>
      </c>
      <c r="G33" s="767">
        <f t="shared" si="15"/>
        <v>9.3023255813953494</v>
      </c>
      <c r="H33" s="767">
        <f t="shared" si="15"/>
        <v>34.051724137931032</v>
      </c>
      <c r="I33" s="767">
        <f t="shared" si="15"/>
        <v>35.522388059701491</v>
      </c>
      <c r="J33" s="1449" t="s">
        <v>323</v>
      </c>
      <c r="K33" s="1455"/>
      <c r="L33" s="550">
        <f>SUM(L32/L30*100)</f>
        <v>5.5555555555555554</v>
      </c>
      <c r="M33" s="980">
        <f t="shared" ref="M33:N33" si="16">SUM(M32/M30*100)</f>
        <v>0</v>
      </c>
      <c r="N33" s="980">
        <f t="shared" si="16"/>
        <v>100</v>
      </c>
      <c r="O33" s="142"/>
      <c r="P33" s="142"/>
      <c r="Q33" s="142"/>
      <c r="R33" s="142"/>
      <c r="S33" s="142"/>
      <c r="T33" s="501"/>
      <c r="AH33" s="488">
        <v>27</v>
      </c>
      <c r="AI33" s="995" t="s">
        <v>1228</v>
      </c>
      <c r="AJ33" s="1001"/>
      <c r="AK33" s="282" t="s">
        <v>1202</v>
      </c>
      <c r="AL33" s="771"/>
      <c r="AM33" s="771"/>
      <c r="AN33" s="768"/>
      <c r="AO33" s="768"/>
      <c r="AP33" s="769"/>
      <c r="AQ33" s="768" t="s">
        <v>1174</v>
      </c>
      <c r="AR33" s="768" t="s">
        <v>821</v>
      </c>
      <c r="AS33" s="768"/>
      <c r="AT33" s="281"/>
      <c r="AU33" s="281"/>
      <c r="AV33" s="281"/>
      <c r="AW33" s="154"/>
    </row>
    <row r="34" spans="1:78" s="25" customFormat="1" ht="16.5" customHeight="1" thickBot="1">
      <c r="A34" s="536" t="s">
        <v>322</v>
      </c>
      <c r="B34" s="1465">
        <f>SUM(B29/B23)*100</f>
        <v>58.775510204081641</v>
      </c>
      <c r="C34" s="1465"/>
      <c r="D34" s="1465">
        <f>SUM(D29/D23)*100</f>
        <v>19.600000000000001</v>
      </c>
      <c r="E34" s="1465"/>
      <c r="F34" s="1462">
        <f>SUM(F29/F23)*100</f>
        <v>6.9444444444444446</v>
      </c>
      <c r="G34" s="1462"/>
      <c r="H34" s="1462">
        <f>SUM(H29/H23)*100</f>
        <v>34.920634920634917</v>
      </c>
      <c r="I34" s="1462"/>
      <c r="J34" s="561"/>
      <c r="K34" s="561"/>
      <c r="L34" s="561"/>
      <c r="M34" s="561"/>
      <c r="N34" s="561"/>
      <c r="O34" s="142"/>
      <c r="P34" s="142"/>
      <c r="Q34" s="142"/>
      <c r="R34" s="142"/>
      <c r="S34" s="142"/>
      <c r="T34" s="981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488">
        <v>28</v>
      </c>
      <c r="AI34" s="995" t="s">
        <v>1510</v>
      </c>
      <c r="AJ34" s="513"/>
      <c r="AK34" s="282" t="s">
        <v>1202</v>
      </c>
      <c r="AL34" s="282"/>
      <c r="AM34" s="282"/>
      <c r="AN34" s="282" t="s">
        <v>1530</v>
      </c>
      <c r="AO34" s="282" t="s">
        <v>1530</v>
      </c>
      <c r="AP34" s="769"/>
      <c r="AQ34" s="282" t="s">
        <v>2260</v>
      </c>
      <c r="AR34" s="282" t="s">
        <v>2260</v>
      </c>
      <c r="AS34" s="282"/>
      <c r="AT34" s="318"/>
      <c r="AU34" s="318"/>
      <c r="AV34" s="318"/>
      <c r="AW34" s="319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</row>
    <row r="35" spans="1:78" s="25" customFormat="1" ht="16.5" customHeight="1" thickBot="1">
      <c r="A35" s="1427"/>
      <c r="B35" s="1428"/>
      <c r="C35" s="1428"/>
      <c r="D35" s="1428"/>
      <c r="E35" s="1428"/>
      <c r="F35" s="1429"/>
      <c r="G35" s="1429"/>
      <c r="H35" s="1429"/>
      <c r="I35" s="1429"/>
      <c r="J35" s="1429"/>
      <c r="K35" s="1429"/>
      <c r="L35" s="1429"/>
      <c r="M35" s="562"/>
      <c r="N35" s="562"/>
      <c r="O35" s="320"/>
      <c r="P35" s="142"/>
      <c r="Q35" s="142"/>
      <c r="R35" s="142"/>
      <c r="S35" s="142"/>
      <c r="T35" s="501"/>
      <c r="AH35" s="488">
        <v>29</v>
      </c>
      <c r="AI35" s="994" t="s">
        <v>271</v>
      </c>
      <c r="AJ35" s="287"/>
      <c r="AK35" s="282" t="s">
        <v>1229</v>
      </c>
      <c r="AL35" s="771" t="s">
        <v>1173</v>
      </c>
      <c r="AM35" s="768" t="s">
        <v>1174</v>
      </c>
      <c r="AN35" s="768" t="s">
        <v>2215</v>
      </c>
      <c r="AO35" s="282" t="s">
        <v>820</v>
      </c>
      <c r="AP35" s="769"/>
      <c r="AQ35" s="768"/>
      <c r="AR35" s="768"/>
      <c r="AS35" s="282"/>
      <c r="AT35" s="281"/>
      <c r="AU35" s="281"/>
      <c r="AV35" s="274"/>
      <c r="AW35" s="154"/>
    </row>
    <row r="36" spans="1:78" s="25" customFormat="1" ht="16.5" customHeight="1" thickBot="1">
      <c r="A36" s="530" t="s">
        <v>324</v>
      </c>
      <c r="B36" s="856" t="s">
        <v>500</v>
      </c>
      <c r="C36" s="856" t="s">
        <v>1519</v>
      </c>
      <c r="D36" s="856" t="s">
        <v>1497</v>
      </c>
      <c r="E36" s="856" t="s">
        <v>820</v>
      </c>
      <c r="F36" s="856" t="s">
        <v>819</v>
      </c>
      <c r="G36" s="856" t="s">
        <v>1850</v>
      </c>
      <c r="H36" s="856" t="s">
        <v>1851</v>
      </c>
      <c r="I36" s="856" t="s">
        <v>1852</v>
      </c>
      <c r="J36" s="856" t="s">
        <v>268</v>
      </c>
      <c r="K36" s="556"/>
      <c r="L36" s="556"/>
      <c r="M36" s="901" t="s">
        <v>302</v>
      </c>
      <c r="N36" s="756" t="s">
        <v>302</v>
      </c>
      <c r="O36" s="300"/>
      <c r="P36" s="300"/>
      <c r="Q36" s="142"/>
      <c r="R36" s="142"/>
      <c r="S36" s="142"/>
      <c r="T36" s="501"/>
      <c r="AH36" s="488">
        <v>30</v>
      </c>
      <c r="AI36" s="994" t="s">
        <v>944</v>
      </c>
      <c r="AJ36" s="287"/>
      <c r="AK36" s="282" t="s">
        <v>1229</v>
      </c>
      <c r="AL36" s="282"/>
      <c r="AM36" s="282" t="s">
        <v>1530</v>
      </c>
      <c r="AN36" s="282" t="s">
        <v>1505</v>
      </c>
      <c r="AO36" s="282" t="s">
        <v>1505</v>
      </c>
      <c r="AP36" s="769"/>
      <c r="AQ36" s="282" t="s">
        <v>328</v>
      </c>
      <c r="AR36" s="282" t="s">
        <v>819</v>
      </c>
      <c r="AS36" s="282"/>
      <c r="AT36" s="274"/>
      <c r="AU36" s="274"/>
      <c r="AV36" s="274"/>
      <c r="AW36" s="154"/>
    </row>
    <row r="37" spans="1:78" s="25" customFormat="1" ht="16.5" customHeight="1" thickBot="1">
      <c r="A37" s="736" t="s">
        <v>325</v>
      </c>
      <c r="B37" s="454">
        <f>COUNTIF($Q$51:$Q$2278,"3ت ر")</f>
        <v>0</v>
      </c>
      <c r="C37" s="454">
        <f>COUNTIF($Q$51:$Q$2278,"3ت ا ق1")</f>
        <v>13</v>
      </c>
      <c r="D37" s="454">
        <f>COUNTIF($Q$51:$Q$2278,"3ت ا ق2")</f>
        <v>7</v>
      </c>
      <c r="E37" s="454">
        <f>COUNTIF($Q$51:$Q$2278,"3ع ت1")</f>
        <v>16</v>
      </c>
      <c r="F37" s="454">
        <f>COUNTIF($Q$51:$Q$2278,"3ع ت2")</f>
        <v>15</v>
      </c>
      <c r="G37" s="454">
        <f>COUNTIF($Q$51:$Q$2277,"3ع ت3")</f>
        <v>0</v>
      </c>
      <c r="H37" s="454">
        <f>COUNTIF($Q$51:$Q$2278,"3آ ف1")</f>
        <v>0</v>
      </c>
      <c r="I37" s="454">
        <f>COUNTIF($Q$51:$Q$2278,"3آ ف2")</f>
        <v>0</v>
      </c>
      <c r="J37" s="454">
        <f>COUNTIF($Q$51:$Q$2278,"3ل أ")</f>
        <v>17</v>
      </c>
      <c r="K37" s="573"/>
      <c r="L37" s="573"/>
      <c r="M37" s="735">
        <f>SUM(B37:L37)</f>
        <v>68</v>
      </c>
      <c r="N37" s="1452">
        <f>SUM(M37+M39+M41)</f>
        <v>117</v>
      </c>
      <c r="O37" s="300"/>
      <c r="P37" s="300"/>
      <c r="Q37" s="11"/>
      <c r="R37" s="142"/>
      <c r="S37" s="501"/>
      <c r="T37" s="501"/>
      <c r="AH37" s="488">
        <v>31</v>
      </c>
      <c r="AI37" s="994" t="s">
        <v>1218</v>
      </c>
      <c r="AJ37" s="287"/>
      <c r="AK37" s="282" t="s">
        <v>1229</v>
      </c>
      <c r="AL37" s="316"/>
      <c r="AM37" s="316"/>
      <c r="AN37" s="316"/>
      <c r="AO37" s="316"/>
      <c r="AP37" s="769"/>
      <c r="AQ37" s="282"/>
      <c r="AR37" s="282"/>
      <c r="AS37" s="282"/>
      <c r="AT37" s="274"/>
      <c r="AU37" s="274"/>
      <c r="AV37" s="274"/>
      <c r="AW37" s="154"/>
    </row>
    <row r="38" spans="1:78" s="25" customFormat="1" ht="16.5" customHeight="1" thickBot="1">
      <c r="A38" s="736" t="s">
        <v>324</v>
      </c>
      <c r="B38" s="982" t="s">
        <v>6</v>
      </c>
      <c r="C38" s="982" t="s">
        <v>1173</v>
      </c>
      <c r="D38" s="982" t="s">
        <v>1174</v>
      </c>
      <c r="E38" s="982" t="s">
        <v>1520</v>
      </c>
      <c r="F38" s="982" t="s">
        <v>1521</v>
      </c>
      <c r="G38" s="982" t="s">
        <v>2153</v>
      </c>
      <c r="H38" s="982" t="s">
        <v>4</v>
      </c>
      <c r="I38" s="982"/>
      <c r="J38" s="982"/>
      <c r="K38" s="982"/>
      <c r="L38" s="556"/>
      <c r="M38" s="901" t="s">
        <v>302</v>
      </c>
      <c r="N38" s="1453"/>
      <c r="O38" s="300"/>
      <c r="P38" s="300"/>
      <c r="T38" s="501"/>
      <c r="AH38" s="488">
        <v>32</v>
      </c>
      <c r="AI38" s="994" t="s">
        <v>1230</v>
      </c>
      <c r="AJ38" s="287"/>
      <c r="AK38" s="282" t="s">
        <v>1229</v>
      </c>
      <c r="AL38" s="771" t="s">
        <v>828</v>
      </c>
      <c r="AM38" s="282"/>
      <c r="AN38" s="768" t="s">
        <v>326</v>
      </c>
      <c r="AO38" s="282" t="s">
        <v>1529</v>
      </c>
      <c r="AP38" s="785"/>
      <c r="AQ38" s="282"/>
      <c r="AR38" s="282"/>
      <c r="AS38" s="768"/>
      <c r="AT38" s="274"/>
      <c r="AU38" s="274"/>
      <c r="AV38" s="274"/>
      <c r="AW38" s="154"/>
    </row>
    <row r="39" spans="1:78" s="25" customFormat="1" ht="16.5" customHeight="1" thickBot="1">
      <c r="A39" s="736" t="s">
        <v>325</v>
      </c>
      <c r="B39" s="454">
        <f>COUNTIF($Q$51:$Q$2278,"2ت ر")</f>
        <v>0</v>
      </c>
      <c r="C39" s="454">
        <f>COUNTIF($Q$51:$Q$2278,"2ت ا ق1")</f>
        <v>23</v>
      </c>
      <c r="D39" s="454">
        <f>COUNTIF($Q$51:$Q$2278,"2ت ا ق2")</f>
        <v>0</v>
      </c>
      <c r="E39" s="454">
        <f>COUNTIF($Q$51:$Q$2278,"2ع ت1")</f>
        <v>2</v>
      </c>
      <c r="F39" s="454">
        <f>COUNTIF($Q$51:$Q$2278,"2ع ت2")</f>
        <v>11</v>
      </c>
      <c r="G39" s="454">
        <f>COUNTIF($Q$51:$Q$2278,"2أ ف")</f>
        <v>0</v>
      </c>
      <c r="H39" s="454">
        <f>COUNTIF($Q$51:$Q$2278,"2ل أ")</f>
        <v>0</v>
      </c>
      <c r="I39" s="454"/>
      <c r="J39" s="454"/>
      <c r="K39" s="454"/>
      <c r="L39" s="573"/>
      <c r="M39" s="735">
        <f>SUM(B39:L39)</f>
        <v>36</v>
      </c>
      <c r="N39" s="1453"/>
      <c r="O39" s="300"/>
      <c r="P39" s="300"/>
      <c r="Q39" s="11"/>
      <c r="R39" s="142"/>
      <c r="S39" s="501"/>
      <c r="T39" s="501"/>
      <c r="AH39" s="488">
        <v>33</v>
      </c>
      <c r="AI39" s="994" t="s">
        <v>1945</v>
      </c>
      <c r="AJ39" s="287"/>
      <c r="AK39" s="282" t="s">
        <v>1229</v>
      </c>
      <c r="AL39" s="282"/>
      <c r="AM39" s="282"/>
      <c r="AN39" s="282"/>
      <c r="AO39" s="282"/>
      <c r="AP39" s="769"/>
      <c r="AQ39" s="768"/>
      <c r="AR39" s="768"/>
      <c r="AS39" s="768"/>
      <c r="AT39" s="281"/>
      <c r="AU39" s="274"/>
      <c r="AV39" s="274"/>
      <c r="AW39" s="154"/>
    </row>
    <row r="40" spans="1:78" s="25" customFormat="1" ht="16.5" customHeight="1" thickBot="1">
      <c r="A40" s="736" t="s">
        <v>324</v>
      </c>
      <c r="B40" s="982" t="s">
        <v>326</v>
      </c>
      <c r="C40" s="982" t="s">
        <v>327</v>
      </c>
      <c r="D40" s="982" t="s">
        <v>328</v>
      </c>
      <c r="E40" s="982" t="s">
        <v>1175</v>
      </c>
      <c r="F40" s="982" t="s">
        <v>1176</v>
      </c>
      <c r="G40" s="982" t="s">
        <v>329</v>
      </c>
      <c r="H40" s="982" t="s">
        <v>330</v>
      </c>
      <c r="I40" s="982" t="s">
        <v>2154</v>
      </c>
      <c r="J40" s="982"/>
      <c r="K40" s="982"/>
      <c r="L40" s="556"/>
      <c r="M40" s="901" t="s">
        <v>302</v>
      </c>
      <c r="N40" s="1453"/>
      <c r="O40" s="300"/>
      <c r="P40" s="300"/>
      <c r="Q40" s="11"/>
      <c r="R40" s="142"/>
      <c r="S40" s="501"/>
      <c r="T40" s="501"/>
      <c r="AH40" s="488">
        <v>34</v>
      </c>
      <c r="AI40" s="994" t="s">
        <v>396</v>
      </c>
      <c r="AJ40" s="513"/>
      <c r="AK40" s="282" t="s">
        <v>290</v>
      </c>
      <c r="AL40" s="768" t="s">
        <v>6</v>
      </c>
      <c r="AM40" s="768" t="s">
        <v>824</v>
      </c>
      <c r="AN40" s="768"/>
      <c r="AO40" s="768" t="s">
        <v>828</v>
      </c>
      <c r="AP40" s="785"/>
      <c r="AQ40" s="768"/>
      <c r="AR40" s="768"/>
      <c r="AS40" s="282"/>
      <c r="AT40" s="274"/>
      <c r="AU40" s="274"/>
      <c r="AV40" s="274"/>
      <c r="AW40" s="154"/>
    </row>
    <row r="41" spans="1:78" s="25" customFormat="1" ht="16.5" customHeight="1" thickBot="1">
      <c r="A41" s="736" t="s">
        <v>325</v>
      </c>
      <c r="B41" s="454">
        <f>COUNTIF($Q$51:$Q$2278,"1ج م ع1")</f>
        <v>1</v>
      </c>
      <c r="C41" s="454">
        <f>COUNTIF($Q$51:$Q$2278,"1ج م ع2")</f>
        <v>2</v>
      </c>
      <c r="D41" s="454">
        <f>COUNTIF($Q$51:$Q$2278,"1ج م ع3")</f>
        <v>7</v>
      </c>
      <c r="E41" s="454">
        <f>COUNTIF($Q$51:$Q$2278,"1ج م ع4")</f>
        <v>3</v>
      </c>
      <c r="F41" s="454">
        <f>COUNTIF($Q$51:$Q$2278,"1ج م ع5")</f>
        <v>0</v>
      </c>
      <c r="G41" s="454">
        <f>COUNTIF($Q$51:$Q$2278,"1ج م ا1")</f>
        <v>0</v>
      </c>
      <c r="H41" s="454">
        <f>COUNTIF($Q$51:$Q$2278,"1ج م ا2")</f>
        <v>0</v>
      </c>
      <c r="I41" s="454">
        <f>COUNTIF($Q$51:$Q$2278,"1ج م ا3")</f>
        <v>0</v>
      </c>
      <c r="J41" s="455"/>
      <c r="K41" s="455"/>
      <c r="L41" s="573"/>
      <c r="M41" s="735">
        <f>SUM(B41:L41)</f>
        <v>13</v>
      </c>
      <c r="N41" s="1454"/>
      <c r="O41" s="300"/>
      <c r="P41" s="300"/>
      <c r="Q41" s="10"/>
      <c r="R41" s="10"/>
      <c r="S41" s="246"/>
      <c r="T41" s="501"/>
      <c r="AH41" s="488">
        <v>35</v>
      </c>
      <c r="AI41" s="994" t="s">
        <v>291</v>
      </c>
      <c r="AJ41" s="513"/>
      <c r="AK41" s="282" t="s">
        <v>290</v>
      </c>
      <c r="AL41" s="771" t="s">
        <v>820</v>
      </c>
      <c r="AM41" s="282" t="s">
        <v>1248</v>
      </c>
      <c r="AN41" s="282"/>
      <c r="AO41" s="768" t="s">
        <v>2227</v>
      </c>
      <c r="AP41" s="769"/>
      <c r="AQ41" s="768"/>
      <c r="AR41" s="768"/>
      <c r="AS41" s="768"/>
      <c r="AT41" s="281"/>
      <c r="AU41" s="274"/>
      <c r="AV41" s="274"/>
      <c r="AW41" s="154"/>
    </row>
    <row r="42" spans="1:78" s="25" customFormat="1" ht="16.5" customHeight="1" thickBot="1">
      <c r="A42" s="1425" t="s">
        <v>331</v>
      </c>
      <c r="B42" s="1425"/>
      <c r="C42" s="1425"/>
      <c r="D42" s="460"/>
      <c r="E42" s="460"/>
      <c r="F42" s="483"/>
      <c r="G42" s="484" t="s">
        <v>332</v>
      </c>
      <c r="H42" s="485"/>
      <c r="I42" s="367"/>
      <c r="J42" s="461"/>
      <c r="K42" s="461"/>
      <c r="L42" s="462" t="s">
        <v>333</v>
      </c>
      <c r="M42" s="367"/>
      <c r="N42" s="367"/>
      <c r="O42" s="12"/>
      <c r="P42" s="9"/>
      <c r="Q42" s="9"/>
      <c r="R42" s="311"/>
      <c r="S42" s="981"/>
      <c r="T42" s="981"/>
      <c r="U42" s="13"/>
      <c r="V42" s="13"/>
      <c r="W42" s="13"/>
      <c r="X42" s="13"/>
      <c r="Y42" s="13"/>
      <c r="AA42" s="13"/>
      <c r="AB42" s="13"/>
      <c r="AC42" s="13"/>
      <c r="AD42" s="13"/>
      <c r="AE42" s="13"/>
      <c r="AF42" s="13"/>
      <c r="AG42" s="13"/>
      <c r="AH42" s="488">
        <v>36</v>
      </c>
      <c r="AI42" s="995" t="s">
        <v>2094</v>
      </c>
      <c r="AJ42" s="513"/>
      <c r="AK42" s="282" t="s">
        <v>290</v>
      </c>
      <c r="AL42" s="768"/>
      <c r="AM42" s="768"/>
      <c r="AN42" s="768"/>
      <c r="AO42" s="768"/>
      <c r="AP42" s="785"/>
      <c r="AQ42" s="282" t="s">
        <v>1530</v>
      </c>
      <c r="AR42" s="282" t="s">
        <v>1850</v>
      </c>
      <c r="AS42" s="282" t="s">
        <v>1963</v>
      </c>
      <c r="AT42" s="318"/>
      <c r="AU42" s="318"/>
      <c r="AV42" s="318"/>
      <c r="AW42" s="319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</row>
    <row r="43" spans="1:78" s="25" customFormat="1" ht="16.5" customHeight="1" thickBot="1">
      <c r="A43" s="1028"/>
      <c r="B43" s="458"/>
      <c r="C43" s="458"/>
      <c r="D43" s="458"/>
      <c r="E43" s="459"/>
      <c r="F43" s="459"/>
      <c r="G43" s="459"/>
      <c r="H43" s="460"/>
      <c r="I43" s="367"/>
      <c r="J43" s="367"/>
      <c r="K43" s="367"/>
      <c r="L43" s="367"/>
      <c r="M43" s="21"/>
      <c r="N43" s="21"/>
      <c r="O43" s="8"/>
      <c r="P43" s="8"/>
      <c r="Q43" s="8"/>
      <c r="R43" s="311"/>
      <c r="S43" s="981"/>
      <c r="T43" s="981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488">
        <v>37</v>
      </c>
      <c r="AI43" s="995" t="s">
        <v>1958</v>
      </c>
      <c r="AJ43" s="287"/>
      <c r="AK43" s="282" t="s">
        <v>290</v>
      </c>
      <c r="AL43" s="282"/>
      <c r="AM43" s="282"/>
      <c r="AN43" s="282"/>
      <c r="AO43" s="282"/>
      <c r="AP43" s="769"/>
      <c r="AQ43" s="768"/>
      <c r="AR43" s="768"/>
      <c r="AS43" s="768"/>
      <c r="AT43" s="318"/>
      <c r="AU43" s="318"/>
      <c r="AV43" s="318"/>
      <c r="AW43" s="319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</row>
    <row r="44" spans="1:78" s="25" customFormat="1" ht="16.5" customHeight="1" thickBot="1">
      <c r="A44" s="457"/>
      <c r="N44" s="367"/>
      <c r="O44" s="12"/>
      <c r="P44" s="12"/>
      <c r="Q44" s="11"/>
      <c r="R44" s="142"/>
      <c r="S44" s="501"/>
      <c r="T44" s="501"/>
      <c r="AH44" s="488">
        <v>38</v>
      </c>
      <c r="AI44" s="995" t="s">
        <v>1536</v>
      </c>
      <c r="AJ44" s="287"/>
      <c r="AK44" s="282" t="s">
        <v>290</v>
      </c>
      <c r="AL44" s="792" t="s">
        <v>2231</v>
      </c>
      <c r="AM44" s="792"/>
      <c r="AN44" s="789"/>
      <c r="AO44" s="789"/>
      <c r="AP44" s="790"/>
      <c r="AQ44" s="789" t="s">
        <v>2226</v>
      </c>
      <c r="AR44" s="789" t="s">
        <v>500</v>
      </c>
      <c r="AS44" s="282"/>
      <c r="AT44" s="274"/>
      <c r="AU44" s="274"/>
      <c r="AV44" s="274"/>
      <c r="AW44" s="154"/>
    </row>
    <row r="45" spans="1:78" s="25" customFormat="1" ht="16.5" customHeight="1" thickBot="1">
      <c r="A45" s="462" t="s">
        <v>334</v>
      </c>
      <c r="B45" s="462"/>
      <c r="C45" s="462"/>
      <c r="D45" s="461"/>
      <c r="E45" s="460"/>
      <c r="F45" s="460"/>
      <c r="G45" s="461" t="s">
        <v>334</v>
      </c>
      <c r="H45" s="461"/>
      <c r="I45" s="367"/>
      <c r="J45" s="367"/>
      <c r="K45" s="21"/>
      <c r="L45" s="462" t="s">
        <v>334</v>
      </c>
      <c r="M45" s="21"/>
      <c r="N45" s="367"/>
      <c r="O45" s="12"/>
      <c r="P45" s="12"/>
      <c r="Q45" s="11"/>
      <c r="R45" s="142"/>
      <c r="S45" s="501"/>
      <c r="T45" s="501"/>
      <c r="AH45" s="488">
        <v>39</v>
      </c>
      <c r="AI45" s="994" t="s">
        <v>2217</v>
      </c>
      <c r="AJ45" s="287"/>
      <c r="AK45" s="282" t="s">
        <v>290</v>
      </c>
      <c r="AL45" s="768"/>
      <c r="AM45" s="316"/>
      <c r="AN45" s="316"/>
      <c r="AO45" s="316"/>
      <c r="AP45" s="769"/>
      <c r="AQ45" s="282"/>
      <c r="AR45" s="282"/>
      <c r="AS45" s="282"/>
      <c r="AT45" s="274"/>
      <c r="AU45" s="274"/>
      <c r="AV45" s="274"/>
      <c r="AW45" s="154"/>
    </row>
    <row r="46" spans="1:78" s="25" customFormat="1" ht="16.5" customHeight="1" thickBot="1">
      <c r="A46" s="457"/>
      <c r="N46" s="367"/>
      <c r="O46" s="12"/>
      <c r="P46" s="12"/>
      <c r="Q46" s="11"/>
      <c r="R46" s="142"/>
      <c r="S46" s="501"/>
      <c r="T46" s="501"/>
      <c r="AH46" s="488">
        <v>40</v>
      </c>
      <c r="AI46" s="994" t="s">
        <v>296</v>
      </c>
      <c r="AJ46" s="287"/>
      <c r="AK46" s="282" t="s">
        <v>1206</v>
      </c>
      <c r="AL46" s="768" t="s">
        <v>1248</v>
      </c>
      <c r="AM46" s="24" t="s">
        <v>2226</v>
      </c>
      <c r="AN46" s="24" t="s">
        <v>2227</v>
      </c>
      <c r="AO46" s="24" t="s">
        <v>326</v>
      </c>
      <c r="AP46" s="769"/>
      <c r="AQ46" s="282"/>
      <c r="AR46" s="282"/>
      <c r="AS46" s="282"/>
      <c r="AT46" s="274"/>
      <c r="AU46" s="274"/>
      <c r="AV46" s="274"/>
      <c r="AW46" s="154"/>
    </row>
    <row r="47" spans="1:78" s="25" customFormat="1" ht="16.5" customHeight="1" thickBot="1">
      <c r="N47" s="457"/>
      <c r="O47" s="12"/>
      <c r="P47" s="12"/>
      <c r="Q47" s="11"/>
      <c r="R47" s="142"/>
      <c r="S47" s="501"/>
      <c r="T47" s="501"/>
      <c r="AH47" s="488">
        <v>41</v>
      </c>
      <c r="AI47" s="994" t="s">
        <v>1946</v>
      </c>
      <c r="AJ47" s="287"/>
      <c r="AK47" s="282" t="s">
        <v>1206</v>
      </c>
      <c r="AL47" s="768"/>
      <c r="AM47" s="768"/>
      <c r="AN47" s="282"/>
      <c r="AO47" s="282"/>
      <c r="AP47" s="769"/>
      <c r="AQ47" s="282" t="s">
        <v>2215</v>
      </c>
      <c r="AR47" s="282" t="s">
        <v>328</v>
      </c>
      <c r="AS47" s="282" t="s">
        <v>500</v>
      </c>
      <c r="AT47" s="282"/>
      <c r="AU47" s="282"/>
      <c r="AV47" s="274"/>
      <c r="AW47" s="24"/>
    </row>
    <row r="48" spans="1:78" s="25" customFormat="1" ht="16.5" customHeight="1" thickBot="1">
      <c r="N48" s="457"/>
      <c r="O48" s="12"/>
      <c r="P48" s="12"/>
      <c r="Q48" s="11"/>
      <c r="R48" s="142"/>
      <c r="S48" s="501"/>
      <c r="T48" s="501"/>
      <c r="AH48" s="488">
        <v>42</v>
      </c>
      <c r="AI48" s="994" t="s">
        <v>640</v>
      </c>
      <c r="AJ48" s="287"/>
      <c r="AK48" s="282" t="s">
        <v>1206</v>
      </c>
      <c r="AL48" s="768"/>
      <c r="AM48" s="768"/>
      <c r="AN48" s="282"/>
      <c r="AO48" s="282"/>
      <c r="AP48" s="769"/>
      <c r="AQ48" s="282"/>
      <c r="AR48" s="282"/>
      <c r="AS48" s="282"/>
      <c r="AT48" s="282"/>
      <c r="AU48" s="282"/>
      <c r="AV48" s="274"/>
      <c r="AW48" s="24"/>
    </row>
    <row r="49" spans="1:72" s="25" customFormat="1" ht="16.5" customHeight="1" thickBot="1">
      <c r="O49" s="11"/>
      <c r="P49" s="11"/>
      <c r="Q49" s="11"/>
      <c r="R49" s="142"/>
      <c r="S49" s="501"/>
      <c r="T49" s="501"/>
      <c r="V49" s="542"/>
      <c r="W49" s="542"/>
      <c r="AH49" s="488">
        <v>43</v>
      </c>
      <c r="AI49" s="994" t="s">
        <v>2219</v>
      </c>
      <c r="AJ49" s="287"/>
      <c r="AK49" s="282" t="s">
        <v>270</v>
      </c>
      <c r="AL49" s="768"/>
      <c r="AM49" s="768"/>
      <c r="AN49" s="282" t="s">
        <v>1530</v>
      </c>
      <c r="AO49" s="282" t="s">
        <v>1530</v>
      </c>
      <c r="AP49" s="769"/>
      <c r="AQ49" s="282"/>
      <c r="AR49" s="282"/>
      <c r="AS49" s="282"/>
      <c r="AT49" s="282"/>
      <c r="AU49" s="282"/>
      <c r="AV49" s="274"/>
      <c r="AW49" s="24"/>
    </row>
    <row r="50" spans="1:72" s="25" customFormat="1" ht="16.5" customHeight="1" thickBot="1">
      <c r="D50" s="295"/>
      <c r="E50" s="295"/>
      <c r="F50" s="295"/>
      <c r="G50" s="295"/>
      <c r="H50" s="295"/>
      <c r="AH50" s="488">
        <v>44</v>
      </c>
      <c r="AI50" s="994" t="s">
        <v>1537</v>
      </c>
      <c r="AJ50" s="285"/>
      <c r="AK50" s="282" t="s">
        <v>1206</v>
      </c>
      <c r="AL50" s="316"/>
      <c r="AM50" s="316" t="s">
        <v>6</v>
      </c>
      <c r="AN50" s="316" t="s">
        <v>639</v>
      </c>
      <c r="AO50" s="316" t="s">
        <v>819</v>
      </c>
      <c r="AP50" s="770"/>
      <c r="AQ50" s="316"/>
      <c r="AR50" s="316"/>
      <c r="AS50" s="316"/>
      <c r="AT50" s="24"/>
      <c r="AU50" s="24"/>
      <c r="AV50" s="24"/>
      <c r="AW50" s="13"/>
    </row>
    <row r="51" spans="1:72" s="25" customFormat="1" ht="16.5" customHeight="1" thickBot="1">
      <c r="D51" s="295"/>
      <c r="E51" s="295"/>
      <c r="F51" s="295"/>
      <c r="G51" s="295"/>
      <c r="H51" s="295"/>
      <c r="AH51" s="488">
        <v>45</v>
      </c>
      <c r="AI51" s="994" t="s">
        <v>1232</v>
      </c>
      <c r="AJ51" s="285"/>
      <c r="AK51" s="282" t="s">
        <v>1206</v>
      </c>
      <c r="AL51" s="316"/>
      <c r="AM51" s="316"/>
      <c r="AN51" s="316"/>
      <c r="AO51" s="282"/>
      <c r="AP51" s="770"/>
      <c r="AQ51" s="24" t="s">
        <v>1529</v>
      </c>
      <c r="AR51" s="282" t="s">
        <v>1530</v>
      </c>
      <c r="AS51" s="24" t="s">
        <v>1962</v>
      </c>
      <c r="AT51" s="24"/>
      <c r="AU51" s="24"/>
      <c r="AV51" s="24"/>
      <c r="AW51" s="13"/>
    </row>
    <row r="52" spans="1:72" s="25" customFormat="1" ht="16.5" customHeight="1" thickBot="1">
      <c r="D52" s="295"/>
      <c r="E52" s="295"/>
      <c r="F52" s="295"/>
      <c r="G52" s="295"/>
      <c r="H52" s="295"/>
      <c r="AH52" s="488">
        <v>46</v>
      </c>
      <c r="AI52" s="994" t="s">
        <v>1502</v>
      </c>
      <c r="AJ52" s="285"/>
      <c r="AK52" s="282" t="s">
        <v>1959</v>
      </c>
      <c r="AL52" s="316"/>
      <c r="AM52" s="316"/>
      <c r="AN52" s="316"/>
      <c r="AO52" s="316"/>
      <c r="AP52" s="770"/>
      <c r="AQ52" s="316"/>
      <c r="AR52" s="316"/>
      <c r="AS52" s="768"/>
      <c r="AT52" s="24"/>
      <c r="AU52" s="24"/>
      <c r="AV52" s="24"/>
      <c r="AW52" s="13"/>
    </row>
    <row r="53" spans="1:72" s="25" customFormat="1" ht="16.5" customHeight="1" thickBot="1">
      <c r="D53" s="295"/>
      <c r="E53" s="295"/>
      <c r="F53" s="295"/>
      <c r="G53" s="295"/>
      <c r="H53" s="295"/>
      <c r="AH53" s="488">
        <v>47</v>
      </c>
      <c r="AI53" s="994" t="s">
        <v>2097</v>
      </c>
      <c r="AJ53" s="285"/>
      <c r="AK53" s="849" t="s">
        <v>1959</v>
      </c>
      <c r="AL53" s="24"/>
      <c r="AM53" s="24"/>
      <c r="AN53" s="24"/>
      <c r="AO53" s="24"/>
      <c r="AP53" s="1015"/>
      <c r="AQ53" s="24"/>
      <c r="AR53" s="24"/>
      <c r="AS53" s="24"/>
      <c r="AT53" s="316"/>
      <c r="AU53" s="316"/>
      <c r="AV53" s="316"/>
      <c r="AW53" s="13"/>
    </row>
    <row r="54" spans="1:72" s="25" customFormat="1" ht="16.5" customHeight="1" thickBot="1">
      <c r="D54" s="295"/>
      <c r="E54" s="295"/>
      <c r="F54" s="295"/>
      <c r="G54" s="295"/>
      <c r="H54" s="295"/>
      <c r="AH54" s="488">
        <v>48</v>
      </c>
      <c r="AI54" s="1002" t="s">
        <v>1947</v>
      </c>
      <c r="AJ54" s="285"/>
      <c r="AK54" s="849" t="s">
        <v>1960</v>
      </c>
      <c r="AL54" s="316"/>
      <c r="AM54" s="316"/>
      <c r="AN54" s="316"/>
      <c r="AO54" s="316"/>
      <c r="AP54" s="770"/>
      <c r="AQ54" s="316"/>
      <c r="AR54" s="316"/>
      <c r="AS54" s="316"/>
      <c r="AT54" s="316"/>
      <c r="AU54" s="316"/>
      <c r="AV54" s="316"/>
      <c r="AW54" s="13"/>
    </row>
    <row r="55" spans="1:72" s="25" customFormat="1" ht="16.5" customHeight="1" thickBot="1">
      <c r="D55" s="295"/>
      <c r="E55" s="295"/>
      <c r="F55" s="295"/>
      <c r="G55" s="295"/>
      <c r="H55" s="295"/>
      <c r="L55" s="367"/>
      <c r="M55" s="367"/>
      <c r="O55" s="1478" t="s">
        <v>335</v>
      </c>
      <c r="P55" s="1478"/>
      <c r="Q55" s="1478" t="s">
        <v>349</v>
      </c>
      <c r="R55" s="1478"/>
      <c r="S55" s="1041"/>
      <c r="T55" s="1467">
        <v>45785</v>
      </c>
      <c r="U55" s="1467"/>
      <c r="V55" s="1042"/>
      <c r="W55" s="304"/>
      <c r="X55" s="1043"/>
      <c r="Y55" s="1044"/>
      <c r="Z55" s="1044"/>
      <c r="AA55" s="1044"/>
      <c r="AH55" s="488">
        <v>49</v>
      </c>
      <c r="AI55" s="1002" t="s">
        <v>1236</v>
      </c>
      <c r="AJ55" s="285"/>
      <c r="AK55" s="849" t="s">
        <v>1238</v>
      </c>
      <c r="AL55" s="316"/>
      <c r="AM55" s="316"/>
      <c r="AN55" s="316"/>
      <c r="AO55" s="316"/>
      <c r="AP55" s="770"/>
      <c r="AQ55" s="316"/>
      <c r="AR55" s="316"/>
      <c r="AS55" s="316"/>
      <c r="AT55" s="316"/>
      <c r="AU55" s="316"/>
      <c r="AV55" s="316"/>
      <c r="AW55" s="13"/>
    </row>
    <row r="56" spans="1:72" s="25" customFormat="1" ht="16.5" customHeight="1" thickBot="1">
      <c r="D56" s="295"/>
      <c r="E56" s="295"/>
      <c r="F56" s="295"/>
      <c r="G56" s="295"/>
      <c r="H56" s="295"/>
      <c r="L56" s="1017" t="s">
        <v>339</v>
      </c>
      <c r="M56" s="1468" t="s">
        <v>1564</v>
      </c>
      <c r="N56" s="1469"/>
      <c r="O56" s="1444" t="s">
        <v>258</v>
      </c>
      <c r="P56" s="1444" t="s">
        <v>336</v>
      </c>
      <c r="Q56" s="1444" t="s">
        <v>5</v>
      </c>
      <c r="R56" s="1444" t="s">
        <v>7</v>
      </c>
      <c r="S56" s="566"/>
      <c r="T56" s="1444" t="s">
        <v>634</v>
      </c>
      <c r="U56" s="1446" t="s">
        <v>356</v>
      </c>
      <c r="V56" s="1444" t="s">
        <v>635</v>
      </c>
      <c r="W56" s="1444" t="s">
        <v>636</v>
      </c>
      <c r="X56" s="1484" t="s">
        <v>337</v>
      </c>
      <c r="Y56" s="1480" t="s">
        <v>338</v>
      </c>
      <c r="Z56" s="1482" t="s">
        <v>339</v>
      </c>
      <c r="AA56" s="1482" t="s">
        <v>2211</v>
      </c>
      <c r="AH56" s="488">
        <v>50</v>
      </c>
      <c r="AI56" s="1002" t="s">
        <v>2218</v>
      </c>
      <c r="AJ56" s="285"/>
      <c r="AK56" s="849" t="s">
        <v>1961</v>
      </c>
      <c r="AL56" s="316" t="s">
        <v>500</v>
      </c>
      <c r="AM56" s="316" t="s">
        <v>500</v>
      </c>
      <c r="AN56" s="316" t="s">
        <v>6</v>
      </c>
      <c r="AO56" s="316" t="s">
        <v>6</v>
      </c>
      <c r="AP56" s="770"/>
      <c r="AQ56" s="316" t="s">
        <v>1175</v>
      </c>
      <c r="AR56" s="316"/>
      <c r="AS56" s="316"/>
      <c r="AT56" s="316"/>
      <c r="AU56" s="316"/>
      <c r="AV56" s="316"/>
      <c r="AW56" s="13"/>
    </row>
    <row r="57" spans="1:72" s="305" customFormat="1" ht="16.5" customHeight="1" thickBot="1">
      <c r="A57" s="25"/>
      <c r="B57" s="25"/>
      <c r="C57" s="25"/>
      <c r="D57" s="295"/>
      <c r="E57" s="295"/>
      <c r="F57" s="295"/>
      <c r="G57" s="295"/>
      <c r="H57" s="295"/>
      <c r="I57" s="25"/>
      <c r="J57" s="25"/>
      <c r="K57" s="25"/>
      <c r="L57" s="1017"/>
      <c r="M57" s="1017"/>
      <c r="N57" s="1017"/>
      <c r="O57" s="1445"/>
      <c r="P57" s="1445"/>
      <c r="Q57" s="1445"/>
      <c r="R57" s="1445"/>
      <c r="S57" s="567"/>
      <c r="T57" s="1445"/>
      <c r="U57" s="1447"/>
      <c r="V57" s="1445"/>
      <c r="W57" s="1445"/>
      <c r="X57" s="1485"/>
      <c r="Y57" s="1481"/>
      <c r="Z57" s="1483"/>
      <c r="AA57" s="1483"/>
      <c r="AB57" s="25"/>
      <c r="AC57" s="25"/>
      <c r="AD57" s="25"/>
      <c r="AE57" s="25"/>
      <c r="AF57" s="25"/>
      <c r="AG57" s="25"/>
      <c r="AH57" s="488">
        <v>51</v>
      </c>
      <c r="AI57" s="1003" t="s">
        <v>1237</v>
      </c>
      <c r="AJ57" s="285"/>
      <c r="AK57" s="849" t="s">
        <v>1238</v>
      </c>
      <c r="AL57" s="316"/>
      <c r="AM57" s="316"/>
      <c r="AN57" s="316"/>
      <c r="AO57" s="316"/>
      <c r="AP57" s="770"/>
      <c r="AQ57" s="24" t="s">
        <v>326</v>
      </c>
      <c r="AR57" s="24" t="s">
        <v>327</v>
      </c>
      <c r="AS57" s="24" t="s">
        <v>327</v>
      </c>
      <c r="AT57" s="316"/>
      <c r="AU57" s="316"/>
      <c r="AV57" s="316"/>
      <c r="AW57" s="13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</row>
    <row r="58" spans="1:72" s="25" customFormat="1" ht="16.5" customHeight="1" thickBot="1">
      <c r="D58" s="295"/>
      <c r="E58" s="295"/>
      <c r="F58" s="295"/>
      <c r="G58" s="295"/>
      <c r="H58" s="295"/>
      <c r="L58" s="777">
        <v>5</v>
      </c>
      <c r="M58" s="778"/>
      <c r="N58" s="976">
        <v>2</v>
      </c>
      <c r="O58" s="1020">
        <v>1</v>
      </c>
      <c r="P58" s="847">
        <f>VLOOKUP(N58,etat!$A$9:$N$1004,2,FALSE)</f>
        <v>0</v>
      </c>
      <c r="Q58" s="797" t="str">
        <f>VLOOKUP(N58,etat!$A$9:$N$963,7,FALSE)</f>
        <v xml:space="preserve"> 3ت ر كه </v>
      </c>
      <c r="R58" s="797" t="str">
        <f>VLOOKUP(N58,etat!$A$9:$N$1003,9,FALSE)</f>
        <v>خ</v>
      </c>
      <c r="S58" s="866" t="str">
        <f>VLOOKUP(N58,etat!$A$9:$P$905,16,FALSE)</f>
        <v>اخ3</v>
      </c>
      <c r="T58" s="755">
        <v>45782</v>
      </c>
      <c r="U58" s="791">
        <v>4</v>
      </c>
      <c r="V58" s="784" t="s">
        <v>2287</v>
      </c>
      <c r="W58" s="784"/>
      <c r="X58" s="784"/>
      <c r="Y58" s="975"/>
      <c r="Z58" s="975"/>
      <c r="AA58" s="967">
        <v>7</v>
      </c>
      <c r="AH58" s="488">
        <v>52</v>
      </c>
      <c r="AI58" s="1003" t="s">
        <v>1239</v>
      </c>
      <c r="AJ58" s="285"/>
      <c r="AK58" s="849" t="s">
        <v>387</v>
      </c>
      <c r="AL58" s="316"/>
      <c r="AM58" s="316"/>
      <c r="AN58" s="316" t="s">
        <v>327</v>
      </c>
      <c r="AO58" s="316" t="s">
        <v>327</v>
      </c>
      <c r="AP58" s="770"/>
      <c r="AQ58" s="316"/>
      <c r="AR58" s="316"/>
      <c r="AS58" s="316"/>
      <c r="AT58" s="316"/>
      <c r="AU58" s="316"/>
      <c r="AV58" s="316"/>
      <c r="AW58" s="24"/>
    </row>
    <row r="59" spans="1:72" s="25" customFormat="1" ht="16.5" customHeight="1" thickBot="1">
      <c r="D59" s="295"/>
      <c r="E59" s="295"/>
      <c r="F59" s="295"/>
      <c r="G59" s="295"/>
      <c r="H59" s="295"/>
      <c r="L59" s="777">
        <v>5</v>
      </c>
      <c r="M59" s="778"/>
      <c r="N59" s="976">
        <v>3</v>
      </c>
      <c r="O59" s="1020">
        <v>2</v>
      </c>
      <c r="P59" s="847">
        <f>VLOOKUP(N59,etat!$A$9:$N$1004,2,FALSE)</f>
        <v>0</v>
      </c>
      <c r="Q59" s="797" t="str">
        <f>VLOOKUP(N59,etat!$A$9:$N$963,7,FALSE)</f>
        <v xml:space="preserve"> 3ت ر كه </v>
      </c>
      <c r="R59" s="797" t="str">
        <f>VLOOKUP(N59,etat!$A$9:$N$1003,9,FALSE)</f>
        <v>خ</v>
      </c>
      <c r="S59" s="866" t="str">
        <f>VLOOKUP(N59,etat!$A$9:$P$905,16,FALSE)</f>
        <v>اخ3</v>
      </c>
      <c r="T59" s="755">
        <v>45782</v>
      </c>
      <c r="U59" s="791">
        <v>4</v>
      </c>
      <c r="V59" s="784" t="s">
        <v>2287</v>
      </c>
      <c r="W59" s="784"/>
      <c r="X59" s="784"/>
      <c r="Y59" s="975"/>
      <c r="Z59" s="975"/>
      <c r="AA59" s="967">
        <v>7</v>
      </c>
      <c r="AH59" s="488">
        <v>53</v>
      </c>
      <c r="AI59" s="1003" t="s">
        <v>314</v>
      </c>
      <c r="AJ59" s="285"/>
      <c r="AK59" s="849" t="s">
        <v>387</v>
      </c>
      <c r="AL59" s="316"/>
      <c r="AM59" s="316"/>
      <c r="AN59" s="316" t="s">
        <v>1175</v>
      </c>
      <c r="AO59" s="316" t="s">
        <v>1175</v>
      </c>
      <c r="AP59" s="770"/>
      <c r="AQ59" s="316"/>
      <c r="AR59" s="316"/>
      <c r="AS59" s="316"/>
      <c r="AT59" s="316"/>
      <c r="AU59" s="316"/>
      <c r="AV59" s="316"/>
    </row>
    <row r="60" spans="1:72" s="25" customFormat="1" ht="16.5" customHeight="1" thickBot="1">
      <c r="D60" s="295"/>
      <c r="E60" s="295"/>
      <c r="F60" s="295"/>
      <c r="G60" s="295"/>
      <c r="H60" s="295"/>
      <c r="L60" s="777">
        <v>5</v>
      </c>
      <c r="M60" s="778"/>
      <c r="N60" s="976">
        <v>4</v>
      </c>
      <c r="O60" s="1020">
        <v>3</v>
      </c>
      <c r="P60" s="847">
        <f>VLOOKUP(N60,etat!$A$9:$N$1004,2,FALSE)</f>
        <v>0</v>
      </c>
      <c r="Q60" s="797" t="str">
        <f>VLOOKUP(N60,etat!$A$9:$N$963,7,FALSE)</f>
        <v xml:space="preserve"> 3ت ر كه </v>
      </c>
      <c r="R60" s="797" t="str">
        <f>VLOOKUP(N60,etat!$A$9:$N$1003,9,FALSE)</f>
        <v>خ</v>
      </c>
      <c r="S60" s="866" t="str">
        <f>VLOOKUP(N60,etat!$A$9:$P$905,16,FALSE)</f>
        <v>اخ3</v>
      </c>
      <c r="T60" s="755">
        <v>45781</v>
      </c>
      <c r="U60" s="791">
        <v>5</v>
      </c>
      <c r="V60" s="784" t="s">
        <v>2285</v>
      </c>
      <c r="W60" s="784"/>
      <c r="X60" s="784"/>
      <c r="Y60" s="975"/>
      <c r="Z60" s="967"/>
      <c r="AA60" s="967">
        <v>7</v>
      </c>
      <c r="AH60" s="488">
        <v>54</v>
      </c>
      <c r="AI60" s="1003" t="s">
        <v>1240</v>
      </c>
      <c r="AJ60" s="285"/>
      <c r="AK60" s="849" t="s">
        <v>387</v>
      </c>
      <c r="AL60" s="316"/>
      <c r="AM60" s="316"/>
      <c r="AN60" s="316"/>
      <c r="AO60" s="316"/>
      <c r="AP60" s="770"/>
      <c r="AQ60" s="316"/>
      <c r="AR60" s="316"/>
      <c r="AS60" s="316"/>
      <c r="AT60" s="316"/>
      <c r="AU60" s="316"/>
      <c r="AV60" s="316"/>
    </row>
    <row r="61" spans="1:72" s="25" customFormat="1" ht="16.5" customHeight="1" thickBot="1">
      <c r="D61" s="295"/>
      <c r="E61" s="295"/>
      <c r="F61" s="295"/>
      <c r="G61" s="295"/>
      <c r="H61" s="295"/>
      <c r="L61" s="777">
        <v>5</v>
      </c>
      <c r="M61" s="778"/>
      <c r="N61" s="976">
        <v>5</v>
      </c>
      <c r="O61" s="1020">
        <v>4</v>
      </c>
      <c r="P61" s="847">
        <f>VLOOKUP(N61,etat!$A$9:$N$1004,2,FALSE)</f>
        <v>0</v>
      </c>
      <c r="Q61" s="797" t="str">
        <f>VLOOKUP(N61,etat!$A$9:$N$963,7,FALSE)</f>
        <v xml:space="preserve"> 3ت ر كه </v>
      </c>
      <c r="R61" s="797" t="str">
        <f>VLOOKUP(N61,etat!$A$9:$N$1003,9,FALSE)</f>
        <v>خ</v>
      </c>
      <c r="S61" s="866" t="str">
        <f>VLOOKUP(N61,etat!$A$9:$P$905,16,FALSE)</f>
        <v>ذخ3</v>
      </c>
      <c r="T61" s="755">
        <v>45782</v>
      </c>
      <c r="U61" s="791">
        <v>4</v>
      </c>
      <c r="V61" s="784" t="s">
        <v>2287</v>
      </c>
      <c r="W61" s="784"/>
      <c r="X61" s="784"/>
      <c r="Y61" s="975"/>
      <c r="Z61" s="975"/>
      <c r="AA61" s="967">
        <v>7</v>
      </c>
      <c r="AH61" s="488">
        <v>55</v>
      </c>
      <c r="AI61" s="962" t="s">
        <v>497</v>
      </c>
      <c r="AJ61" s="285"/>
      <c r="AK61" s="316"/>
      <c r="AL61" s="316"/>
      <c r="AM61" s="316"/>
      <c r="AN61" s="316"/>
      <c r="AO61" s="316"/>
      <c r="AP61" s="770"/>
      <c r="AQ61" s="316"/>
      <c r="AR61" s="316"/>
      <c r="AS61" s="316"/>
      <c r="AT61" s="316"/>
      <c r="AU61" s="316"/>
      <c r="AV61" s="316"/>
    </row>
    <row r="62" spans="1:72" s="25" customFormat="1" ht="16.5" customHeight="1" thickBot="1">
      <c r="D62" s="295"/>
      <c r="E62" s="295"/>
      <c r="F62" s="295"/>
      <c r="G62" s="295"/>
      <c r="H62" s="295"/>
      <c r="L62" s="777">
        <v>5</v>
      </c>
      <c r="M62" s="778"/>
      <c r="N62" s="976">
        <v>8</v>
      </c>
      <c r="O62" s="1020">
        <v>5</v>
      </c>
      <c r="P62" s="847">
        <f>VLOOKUP(N62,etat!$A$9:$N$1004,2,FALSE)</f>
        <v>0</v>
      </c>
      <c r="Q62" s="797" t="str">
        <f>VLOOKUP(N62,etat!$A$9:$N$963,7,FALSE)</f>
        <v xml:space="preserve"> 3ت ر كه </v>
      </c>
      <c r="R62" s="797" t="str">
        <f>VLOOKUP(N62,etat!$A$9:$N$1003,9,FALSE)</f>
        <v>خ</v>
      </c>
      <c r="S62" s="866" t="str">
        <f>VLOOKUP(N62,etat!$A$9:$P$905,16,FALSE)</f>
        <v>ذخ3</v>
      </c>
      <c r="T62" s="755">
        <v>45782</v>
      </c>
      <c r="U62" s="791">
        <v>4</v>
      </c>
      <c r="V62" s="784" t="s">
        <v>2287</v>
      </c>
      <c r="W62" s="784"/>
      <c r="X62" s="784"/>
      <c r="Y62" s="975"/>
      <c r="Z62" s="967"/>
      <c r="AA62" s="967">
        <v>7</v>
      </c>
      <c r="AH62" s="488">
        <v>56</v>
      </c>
      <c r="AI62" s="962" t="s">
        <v>497</v>
      </c>
      <c r="AJ62" s="285"/>
      <c r="AK62" s="849"/>
      <c r="AL62" s="316"/>
      <c r="AM62" s="316"/>
      <c r="AN62" s="316"/>
      <c r="AO62" s="316"/>
      <c r="AP62" s="770"/>
      <c r="AQ62" s="316"/>
      <c r="AR62" s="316"/>
      <c r="AS62" s="316"/>
      <c r="AT62" s="316"/>
      <c r="AU62" s="316"/>
      <c r="AV62" s="316"/>
    </row>
    <row r="63" spans="1:72" s="25" customFormat="1" ht="16.5" customHeight="1" thickBot="1">
      <c r="D63" s="295"/>
      <c r="E63" s="295"/>
      <c r="F63" s="295"/>
      <c r="G63" s="295"/>
      <c r="H63" s="295"/>
      <c r="L63" s="777">
        <v>5</v>
      </c>
      <c r="M63" s="778"/>
      <c r="N63" s="976">
        <v>9</v>
      </c>
      <c r="O63" s="1020">
        <v>6</v>
      </c>
      <c r="P63" s="847">
        <f>VLOOKUP(N63,etat!$A$9:$N$1004,2,FALSE)</f>
        <v>0</v>
      </c>
      <c r="Q63" s="797" t="str">
        <f>VLOOKUP(N63,etat!$A$9:$N$963,7,FALSE)</f>
        <v xml:space="preserve"> 3ت ر كه </v>
      </c>
      <c r="R63" s="797" t="str">
        <f>VLOOKUP(N63,etat!$A$9:$N$1003,9,FALSE)</f>
        <v>خ</v>
      </c>
      <c r="S63" s="866" t="str">
        <f>VLOOKUP(N63,etat!$A$9:$P$905,16,FALSE)</f>
        <v>ذخ3</v>
      </c>
      <c r="T63" s="755">
        <v>45781</v>
      </c>
      <c r="U63" s="791">
        <v>5</v>
      </c>
      <c r="V63" s="784" t="s">
        <v>2285</v>
      </c>
      <c r="W63" s="784"/>
      <c r="X63" s="784"/>
      <c r="Y63" s="975"/>
      <c r="Z63" s="975"/>
      <c r="AA63" s="967">
        <v>7</v>
      </c>
      <c r="AH63" s="488">
        <v>57</v>
      </c>
      <c r="AI63" s="962" t="s">
        <v>497</v>
      </c>
      <c r="AJ63" s="285"/>
      <c r="AK63" s="316"/>
      <c r="AL63" s="316"/>
      <c r="AM63" s="316"/>
      <c r="AN63" s="316"/>
      <c r="AO63" s="316"/>
      <c r="AP63" s="770"/>
      <c r="AQ63" s="316"/>
      <c r="AR63" s="316"/>
      <c r="AS63" s="316"/>
      <c r="AT63" s="316"/>
      <c r="AU63" s="316"/>
      <c r="AV63" s="316"/>
    </row>
    <row r="64" spans="1:72" s="25" customFormat="1" ht="16.5" customHeight="1" thickBot="1">
      <c r="D64" s="295"/>
      <c r="E64" s="295"/>
      <c r="F64" s="295"/>
      <c r="G64" s="295"/>
      <c r="H64" s="295"/>
      <c r="L64" s="777">
        <v>5</v>
      </c>
      <c r="M64" s="778"/>
      <c r="N64" s="976">
        <v>10</v>
      </c>
      <c r="O64" s="1020">
        <v>7</v>
      </c>
      <c r="P64" s="847">
        <f>VLOOKUP(N64,etat!$A$9:$N$1004,2,FALSE)</f>
        <v>0</v>
      </c>
      <c r="Q64" s="797" t="str">
        <f>VLOOKUP(N64,etat!$A$9:$N$963,7,FALSE)</f>
        <v xml:space="preserve"> 3ت ر كه </v>
      </c>
      <c r="R64" s="797" t="str">
        <f>VLOOKUP(N64,etat!$A$9:$N$1003,9,FALSE)</f>
        <v>خ</v>
      </c>
      <c r="S64" s="866" t="str">
        <f>VLOOKUP(N64,etat!$A$9:$P$905,16,FALSE)</f>
        <v>ذخ3</v>
      </c>
      <c r="T64" s="755">
        <v>45782</v>
      </c>
      <c r="U64" s="791">
        <v>4</v>
      </c>
      <c r="V64" s="784" t="s">
        <v>2287</v>
      </c>
      <c r="W64" s="784"/>
      <c r="X64" s="784"/>
      <c r="Y64" s="975"/>
      <c r="Z64" s="967"/>
      <c r="AA64" s="967">
        <v>7</v>
      </c>
      <c r="AH64" s="488"/>
      <c r="AI64" s="962" t="s">
        <v>497</v>
      </c>
      <c r="AJ64" s="285"/>
      <c r="AK64" s="316"/>
      <c r="AL64" s="316"/>
      <c r="AM64" s="316"/>
      <c r="AN64" s="316"/>
      <c r="AO64" s="316"/>
      <c r="AP64" s="770"/>
      <c r="AQ64" s="316"/>
      <c r="AR64" s="316"/>
      <c r="AS64" s="316"/>
      <c r="AT64" s="316"/>
      <c r="AU64" s="316"/>
      <c r="AV64" s="316"/>
    </row>
    <row r="65" spans="4:48" s="25" customFormat="1" ht="16.5" customHeight="1" thickBot="1">
      <c r="D65" s="295"/>
      <c r="E65" s="295"/>
      <c r="F65" s="295"/>
      <c r="G65" s="295"/>
      <c r="H65" s="295"/>
      <c r="L65" s="777">
        <v>5</v>
      </c>
      <c r="M65" s="778"/>
      <c r="N65" s="976">
        <v>11</v>
      </c>
      <c r="O65" s="1020">
        <v>8</v>
      </c>
      <c r="P65" s="847">
        <f>VLOOKUP(N65,etat!$A$9:$N$1004,2,FALSE)</f>
        <v>0</v>
      </c>
      <c r="Q65" s="797" t="str">
        <f>VLOOKUP(N65,etat!$A$9:$N$963,7,FALSE)</f>
        <v xml:space="preserve"> 3ت ر كه </v>
      </c>
      <c r="R65" s="797" t="str">
        <f>VLOOKUP(N65,etat!$A$9:$N$1003,9,FALSE)</f>
        <v>خ</v>
      </c>
      <c r="S65" s="866" t="str">
        <f>VLOOKUP(N65,etat!$A$9:$P$905,16,FALSE)</f>
        <v>اخ3</v>
      </c>
      <c r="T65" s="755">
        <v>45781</v>
      </c>
      <c r="U65" s="791">
        <v>5</v>
      </c>
      <c r="V65" s="784" t="s">
        <v>2285</v>
      </c>
      <c r="W65" s="784"/>
      <c r="X65" s="784"/>
      <c r="Y65" s="975"/>
      <c r="Z65" s="967"/>
      <c r="AA65" s="967">
        <v>7</v>
      </c>
      <c r="AH65" s="488"/>
      <c r="AI65" s="962" t="s">
        <v>497</v>
      </c>
      <c r="AJ65" s="285"/>
      <c r="AK65" s="282"/>
      <c r="AL65" s="316"/>
      <c r="AM65" s="316"/>
      <c r="AN65" s="316"/>
      <c r="AO65" s="316"/>
      <c r="AP65" s="770"/>
      <c r="AQ65" s="316"/>
      <c r="AR65" s="316"/>
      <c r="AS65" s="316"/>
      <c r="AT65" s="24"/>
      <c r="AU65" s="24"/>
      <c r="AV65" s="24"/>
    </row>
    <row r="66" spans="4:48" s="25" customFormat="1" ht="16.5" customHeight="1" thickBot="1">
      <c r="D66" s="295"/>
      <c r="E66" s="295"/>
      <c r="F66" s="295"/>
      <c r="G66" s="295"/>
      <c r="H66" s="295"/>
      <c r="L66" s="777">
        <v>5</v>
      </c>
      <c r="M66" s="778"/>
      <c r="N66" s="976">
        <v>12</v>
      </c>
      <c r="O66" s="1020">
        <v>9</v>
      </c>
      <c r="P66" s="847">
        <f>VLOOKUP(N66,etat!$A$9:$N$1004,2,FALSE)</f>
        <v>0</v>
      </c>
      <c r="Q66" s="797" t="str">
        <f>VLOOKUP(N66,etat!$A$9:$N$963,7,FALSE)</f>
        <v xml:space="preserve"> 3ت ر كه </v>
      </c>
      <c r="R66" s="797" t="str">
        <f>VLOOKUP(N66,etat!$A$9:$N$1003,9,FALSE)</f>
        <v>خ</v>
      </c>
      <c r="S66" s="866" t="str">
        <f>VLOOKUP(N66,etat!$A$9:$P$905,16,FALSE)</f>
        <v>اخ3</v>
      </c>
      <c r="T66" s="755">
        <v>45781</v>
      </c>
      <c r="U66" s="791">
        <v>5</v>
      </c>
      <c r="V66" s="784" t="s">
        <v>2285</v>
      </c>
      <c r="W66" s="784"/>
      <c r="X66" s="784"/>
      <c r="Y66" s="975"/>
      <c r="Z66" s="975"/>
      <c r="AA66" s="967">
        <v>7</v>
      </c>
      <c r="AH66" s="488"/>
      <c r="AI66" s="962" t="s">
        <v>497</v>
      </c>
      <c r="AJ66" s="285"/>
      <c r="AK66" s="861"/>
      <c r="AL66" s="316"/>
      <c r="AM66" s="316"/>
      <c r="AN66" s="316"/>
      <c r="AO66" s="316"/>
      <c r="AP66" s="770"/>
      <c r="AQ66" s="316"/>
      <c r="AR66" s="316"/>
      <c r="AS66" s="316"/>
      <c r="AT66" s="24"/>
      <c r="AU66" s="24"/>
      <c r="AV66" s="24"/>
    </row>
    <row r="67" spans="4:48" s="25" customFormat="1" ht="16.5" customHeight="1" thickBot="1">
      <c r="D67" s="295"/>
      <c r="E67" s="295"/>
      <c r="F67" s="295"/>
      <c r="G67" s="295"/>
      <c r="H67" s="295"/>
      <c r="L67" s="777">
        <v>5</v>
      </c>
      <c r="M67" s="778"/>
      <c r="N67" s="976">
        <v>14</v>
      </c>
      <c r="O67" s="1020">
        <v>10</v>
      </c>
      <c r="P67" s="847">
        <f>VLOOKUP(N67,etat!$A$9:$N$1004,2,FALSE)</f>
        <v>0</v>
      </c>
      <c r="Q67" s="797" t="str">
        <f>VLOOKUP(N67,etat!$A$9:$N$963,7,FALSE)</f>
        <v xml:space="preserve"> 3ت ر مك </v>
      </c>
      <c r="R67" s="797" t="str">
        <f>VLOOKUP(N67,etat!$A$9:$N$1003,9,FALSE)</f>
        <v>خ</v>
      </c>
      <c r="S67" s="866" t="str">
        <f>VLOOKUP(N67,etat!$A$9:$P$905,16,FALSE)</f>
        <v>ذخ3</v>
      </c>
      <c r="T67" s="755">
        <v>45781</v>
      </c>
      <c r="U67" s="791">
        <v>5</v>
      </c>
      <c r="V67" s="784" t="s">
        <v>2285</v>
      </c>
      <c r="W67" s="784"/>
      <c r="X67" s="784"/>
      <c r="Y67" s="1116"/>
      <c r="Z67" s="975"/>
      <c r="AA67" s="967">
        <v>7</v>
      </c>
      <c r="AH67" s="910"/>
      <c r="AI67" s="962" t="s">
        <v>497</v>
      </c>
      <c r="AJ67" s="285"/>
      <c r="AK67" s="488"/>
      <c r="AL67" s="316"/>
      <c r="AM67" s="316"/>
      <c r="AN67" s="316"/>
      <c r="AO67" s="316"/>
      <c r="AP67" s="770"/>
      <c r="AQ67" s="316"/>
      <c r="AR67" s="316"/>
      <c r="AS67" s="316"/>
      <c r="AT67" s="24"/>
      <c r="AU67" s="24"/>
      <c r="AV67" s="24"/>
    </row>
    <row r="68" spans="4:48" s="25" customFormat="1" ht="16.5" customHeight="1">
      <c r="D68" s="295"/>
      <c r="E68" s="295"/>
      <c r="F68" s="295"/>
      <c r="G68" s="295"/>
      <c r="H68" s="295"/>
      <c r="L68" s="777">
        <v>5</v>
      </c>
      <c r="M68" s="778"/>
      <c r="N68" s="976">
        <v>15</v>
      </c>
      <c r="O68" s="1020">
        <v>11</v>
      </c>
      <c r="P68" s="847">
        <f>VLOOKUP(N68,etat!$A$9:$N$1004,2,FALSE)</f>
        <v>0</v>
      </c>
      <c r="Q68" s="797" t="str">
        <f>VLOOKUP(N68,etat!$A$9:$N$963,7,FALSE)</f>
        <v xml:space="preserve"> 3ت ر مك </v>
      </c>
      <c r="R68" s="797" t="str">
        <f>VLOOKUP(N68,etat!$A$9:$N$1003,9,FALSE)</f>
        <v>خ</v>
      </c>
      <c r="S68" s="866" t="str">
        <f>VLOOKUP(N68,etat!$A$9:$P$905,16,FALSE)</f>
        <v>ذخ3</v>
      </c>
      <c r="T68" s="755">
        <v>45768</v>
      </c>
      <c r="U68" s="791">
        <v>18</v>
      </c>
      <c r="V68" s="784" t="s">
        <v>2275</v>
      </c>
      <c r="W68" s="784" t="s">
        <v>2283</v>
      </c>
      <c r="X68" s="784" t="s">
        <v>2287</v>
      </c>
      <c r="Y68" s="1117"/>
      <c r="Z68" s="967"/>
      <c r="AA68" s="967">
        <v>7</v>
      </c>
      <c r="AH68" s="910"/>
      <c r="AI68" s="862"/>
      <c r="AJ68" s="302"/>
      <c r="AK68" s="910"/>
      <c r="AL68" s="911"/>
      <c r="AM68" s="911"/>
      <c r="AN68" s="911"/>
      <c r="AO68" s="911"/>
      <c r="AP68" s="912"/>
      <c r="AQ68" s="911"/>
      <c r="AR68" s="911"/>
      <c r="AS68" s="911"/>
      <c r="AT68" s="26"/>
      <c r="AU68" s="26"/>
      <c r="AV68" s="26"/>
    </row>
    <row r="69" spans="4:48" s="25" customFormat="1" ht="16.5" customHeight="1">
      <c r="D69" s="295"/>
      <c r="E69" s="295"/>
      <c r="F69" s="295"/>
      <c r="G69" s="295"/>
      <c r="H69" s="295"/>
      <c r="L69" s="777">
        <v>5</v>
      </c>
      <c r="M69" s="778"/>
      <c r="N69" s="976">
        <v>16</v>
      </c>
      <c r="O69" s="1020">
        <v>12</v>
      </c>
      <c r="P69" s="847">
        <f>VLOOKUP(N69,etat!$A$9:$N$1004,2,FALSE)</f>
        <v>0</v>
      </c>
      <c r="Q69" s="797" t="str">
        <f>VLOOKUP(N69,etat!$A$9:$N$963,7,FALSE)</f>
        <v xml:space="preserve"> 3ت ر مك </v>
      </c>
      <c r="R69" s="797" t="str">
        <f>VLOOKUP(N69,etat!$A$9:$N$1003,9,FALSE)</f>
        <v>خ</v>
      </c>
      <c r="S69" s="866" t="str">
        <f>VLOOKUP(N69,etat!$A$9:$P$905,16,FALSE)</f>
        <v>ذخ3</v>
      </c>
      <c r="T69" s="755">
        <v>45782</v>
      </c>
      <c r="U69" s="791">
        <v>4</v>
      </c>
      <c r="V69" s="784" t="s">
        <v>2287</v>
      </c>
      <c r="W69" s="784"/>
      <c r="X69" s="784"/>
      <c r="Y69" s="975"/>
      <c r="Z69" s="975"/>
      <c r="AA69" s="967">
        <v>7</v>
      </c>
      <c r="AH69" s="910"/>
      <c r="AI69" s="862"/>
      <c r="AJ69" s="302"/>
      <c r="AK69" s="910"/>
      <c r="AL69" s="911"/>
      <c r="AM69" s="911"/>
      <c r="AN69" s="911"/>
      <c r="AO69" s="911"/>
      <c r="AP69" s="912"/>
      <c r="AQ69" s="911"/>
      <c r="AR69" s="911"/>
      <c r="AS69" s="911"/>
      <c r="AT69" s="26"/>
      <c r="AU69" s="26"/>
      <c r="AV69" s="26"/>
    </row>
    <row r="70" spans="4:48" s="25" customFormat="1" ht="16.5" customHeight="1">
      <c r="D70" s="295"/>
      <c r="E70" s="295"/>
      <c r="F70" s="295"/>
      <c r="G70" s="295"/>
      <c r="H70" s="295"/>
      <c r="L70" s="777">
        <v>5</v>
      </c>
      <c r="M70" s="778"/>
      <c r="N70" s="976">
        <v>17</v>
      </c>
      <c r="O70" s="1020">
        <v>13</v>
      </c>
      <c r="P70" s="847">
        <f>VLOOKUP(N70,etat!$A$9:$N$1004,2,FALSE)</f>
        <v>0</v>
      </c>
      <c r="Q70" s="797" t="str">
        <f>VLOOKUP(N70,etat!$A$9:$N$963,7,FALSE)</f>
        <v xml:space="preserve"> 3ت ر مك </v>
      </c>
      <c r="R70" s="797" t="str">
        <f>VLOOKUP(N70,etat!$A$9:$N$1003,9,FALSE)</f>
        <v>خ</v>
      </c>
      <c r="S70" s="866" t="str">
        <f>VLOOKUP(N70,etat!$A$9:$P$905,16,FALSE)</f>
        <v>ذخ3</v>
      </c>
      <c r="T70" s="755">
        <v>45768</v>
      </c>
      <c r="U70" s="791">
        <v>18</v>
      </c>
      <c r="V70" s="784" t="s">
        <v>2275</v>
      </c>
      <c r="W70" s="784" t="s">
        <v>2283</v>
      </c>
      <c r="X70" s="784" t="s">
        <v>2287</v>
      </c>
      <c r="Y70" s="1117"/>
      <c r="Z70" s="967"/>
      <c r="AA70" s="967">
        <v>7</v>
      </c>
      <c r="AH70" s="910"/>
      <c r="AI70" s="862"/>
      <c r="AJ70" s="302"/>
      <c r="AK70" s="910"/>
      <c r="AL70" s="911"/>
      <c r="AM70" s="911"/>
      <c r="AN70" s="911"/>
      <c r="AO70" s="911"/>
      <c r="AP70" s="912"/>
      <c r="AQ70" s="911"/>
      <c r="AR70" s="911"/>
      <c r="AS70" s="911"/>
      <c r="AT70" s="26"/>
      <c r="AU70" s="26"/>
      <c r="AV70" s="26"/>
    </row>
    <row r="71" spans="4:48" s="25" customFormat="1" ht="16.5" customHeight="1">
      <c r="D71" s="295"/>
      <c r="E71" s="295"/>
      <c r="F71" s="295"/>
      <c r="G71" s="295"/>
      <c r="H71" s="295"/>
      <c r="L71" s="777">
        <v>5</v>
      </c>
      <c r="M71" s="778"/>
      <c r="N71" s="976">
        <v>18</v>
      </c>
      <c r="O71" s="1020">
        <v>14</v>
      </c>
      <c r="P71" s="847">
        <f>VLOOKUP(N71,etat!$A$9:$N$1004,2,FALSE)</f>
        <v>0</v>
      </c>
      <c r="Q71" s="797" t="str">
        <f>VLOOKUP(N71,etat!$A$9:$N$963,7,FALSE)</f>
        <v xml:space="preserve"> 3ت ر مك </v>
      </c>
      <c r="R71" s="797" t="str">
        <f>VLOOKUP(N71,etat!$A$9:$N$1003,9,FALSE)</f>
        <v>خ</v>
      </c>
      <c r="S71" s="866" t="str">
        <f>VLOOKUP(N71,etat!$A$9:$P$905,16,FALSE)</f>
        <v>ذخ3</v>
      </c>
      <c r="T71" s="755">
        <v>45768</v>
      </c>
      <c r="U71" s="791">
        <v>18</v>
      </c>
      <c r="V71" s="784" t="s">
        <v>2275</v>
      </c>
      <c r="W71" s="784" t="s">
        <v>2283</v>
      </c>
      <c r="X71" s="784" t="s">
        <v>2287</v>
      </c>
      <c r="Y71" s="1117"/>
      <c r="Z71" s="967"/>
      <c r="AA71" s="967">
        <v>7</v>
      </c>
      <c r="AH71" s="910"/>
      <c r="AI71" s="862"/>
      <c r="AJ71" s="302"/>
      <c r="AK71" s="910"/>
      <c r="AL71" s="911"/>
      <c r="AM71" s="911"/>
      <c r="AN71" s="911"/>
      <c r="AO71" s="911"/>
      <c r="AP71" s="912"/>
      <c r="AQ71" s="911"/>
      <c r="AR71" s="911"/>
      <c r="AS71" s="911"/>
      <c r="AT71" s="26"/>
      <c r="AU71" s="26"/>
      <c r="AV71" s="26"/>
    </row>
    <row r="72" spans="4:48" s="25" customFormat="1" ht="16.5" customHeight="1">
      <c r="D72" s="295"/>
      <c r="E72" s="295"/>
      <c r="F72" s="295"/>
      <c r="G72" s="295"/>
      <c r="H72" s="295"/>
      <c r="L72" s="777">
        <v>5</v>
      </c>
      <c r="M72" s="778"/>
      <c r="N72" s="976">
        <v>19</v>
      </c>
      <c r="O72" s="1020">
        <v>15</v>
      </c>
      <c r="P72" s="847">
        <f>VLOOKUP(N72,etat!$A$9:$N$1004,2,FALSE)</f>
        <v>0</v>
      </c>
      <c r="Q72" s="797" t="str">
        <f>VLOOKUP(N72,etat!$A$9:$N$963,7,FALSE)</f>
        <v xml:space="preserve"> 3ت ر مك </v>
      </c>
      <c r="R72" s="797" t="str">
        <f>VLOOKUP(N72,etat!$A$9:$N$1003,9,FALSE)</f>
        <v>خ</v>
      </c>
      <c r="S72" s="866" t="str">
        <f>VLOOKUP(N72,etat!$A$9:$P$905,16,FALSE)</f>
        <v>ذخ3</v>
      </c>
      <c r="T72" s="755">
        <v>45769</v>
      </c>
      <c r="U72" s="791">
        <v>17</v>
      </c>
      <c r="V72" s="784" t="s">
        <v>2278</v>
      </c>
      <c r="W72" s="784" t="s">
        <v>2283</v>
      </c>
      <c r="X72" s="784"/>
      <c r="Y72" s="975"/>
      <c r="Z72" s="967"/>
      <c r="AA72" s="967">
        <v>7</v>
      </c>
      <c r="AH72" s="910"/>
      <c r="AI72" s="862"/>
      <c r="AJ72" s="302"/>
      <c r="AK72" s="910"/>
      <c r="AL72" s="911"/>
      <c r="AM72" s="911"/>
      <c r="AN72" s="911"/>
      <c r="AO72" s="911"/>
      <c r="AP72" s="912"/>
      <c r="AQ72" s="911"/>
      <c r="AR72" s="911"/>
      <c r="AS72" s="911"/>
      <c r="AT72" s="26"/>
      <c r="AU72" s="26"/>
      <c r="AV72" s="26"/>
    </row>
    <row r="73" spans="4:48" s="25" customFormat="1" ht="16.5" customHeight="1">
      <c r="D73" s="295"/>
      <c r="E73" s="295"/>
      <c r="F73" s="295"/>
      <c r="G73" s="295"/>
      <c r="H73" s="295"/>
      <c r="L73" s="777">
        <v>5</v>
      </c>
      <c r="M73" s="778"/>
      <c r="N73" s="976">
        <v>21</v>
      </c>
      <c r="O73" s="1020">
        <v>16</v>
      </c>
      <c r="P73" s="847">
        <f>VLOOKUP(N73,etat!$A$9:$N$1004,2,FALSE)</f>
        <v>0</v>
      </c>
      <c r="Q73" s="797" t="str">
        <f>VLOOKUP(N73,etat!$A$9:$N$963,7,FALSE)</f>
        <v xml:space="preserve"> 3ت ر طرا </v>
      </c>
      <c r="R73" s="797" t="str">
        <f>VLOOKUP(N73,etat!$A$9:$N$1003,9,FALSE)</f>
        <v>ن/د</v>
      </c>
      <c r="S73" s="866" t="str">
        <f>VLOOKUP(N73,etat!$A$9:$P$905,16,FALSE)</f>
        <v>ذن/د3</v>
      </c>
      <c r="T73" s="755">
        <v>45775</v>
      </c>
      <c r="U73" s="791">
        <v>11</v>
      </c>
      <c r="V73" s="784" t="s">
        <v>2282</v>
      </c>
      <c r="W73" s="784" t="s">
        <v>2287</v>
      </c>
      <c r="X73" s="784"/>
      <c r="Y73" s="1118"/>
      <c r="Z73" s="975"/>
      <c r="AA73" s="967">
        <v>6</v>
      </c>
      <c r="AH73" s="910"/>
      <c r="AI73" s="862"/>
      <c r="AJ73" s="302"/>
      <c r="AK73" s="910"/>
      <c r="AL73" s="911"/>
      <c r="AM73" s="911"/>
      <c r="AN73" s="911"/>
      <c r="AO73" s="911"/>
      <c r="AP73" s="912"/>
      <c r="AQ73" s="911"/>
      <c r="AR73" s="911"/>
      <c r="AS73" s="911"/>
      <c r="AT73" s="26"/>
      <c r="AU73" s="26"/>
      <c r="AV73" s="26"/>
    </row>
    <row r="74" spans="4:48" s="25" customFormat="1" ht="16.5" customHeight="1">
      <c r="D74" s="295"/>
      <c r="E74" s="295"/>
      <c r="F74" s="295"/>
      <c r="G74" s="295"/>
      <c r="H74" s="295"/>
      <c r="L74" s="777">
        <v>5</v>
      </c>
      <c r="M74" s="778"/>
      <c r="N74" s="976">
        <v>23</v>
      </c>
      <c r="O74" s="1020">
        <v>17</v>
      </c>
      <c r="P74" s="847">
        <f>VLOOKUP(N74,etat!$A$9:$N$1004,2,FALSE)</f>
        <v>0</v>
      </c>
      <c r="Q74" s="797" t="str">
        <f>VLOOKUP(N74,etat!$A$9:$N$963,7,FALSE)</f>
        <v xml:space="preserve"> 3ت ر طرا </v>
      </c>
      <c r="R74" s="797" t="str">
        <f>VLOOKUP(N74,etat!$A$9:$N$1003,9,FALSE)</f>
        <v>خ</v>
      </c>
      <c r="S74" s="866" t="str">
        <f>VLOOKUP(N74,etat!$A$9:$P$905,16,FALSE)</f>
        <v>اخ3</v>
      </c>
      <c r="T74" s="755">
        <v>45768</v>
      </c>
      <c r="U74" s="791">
        <v>18</v>
      </c>
      <c r="V74" s="784" t="s">
        <v>2275</v>
      </c>
      <c r="W74" s="784" t="s">
        <v>2283</v>
      </c>
      <c r="X74" s="784" t="s">
        <v>2287</v>
      </c>
      <c r="Y74" s="1118"/>
      <c r="Z74" s="975"/>
      <c r="AA74" s="967">
        <v>6</v>
      </c>
      <c r="AH74" s="910"/>
      <c r="AI74" s="862"/>
      <c r="AJ74" s="302"/>
      <c r="AK74" s="910"/>
      <c r="AL74" s="911"/>
      <c r="AM74" s="911"/>
      <c r="AN74" s="911"/>
      <c r="AO74" s="911"/>
      <c r="AP74" s="912"/>
      <c r="AQ74" s="911"/>
      <c r="AR74" s="911"/>
      <c r="AS74" s="911"/>
      <c r="AT74" s="26"/>
      <c r="AU74" s="26"/>
      <c r="AV74" s="26"/>
    </row>
    <row r="75" spans="4:48" s="25" customFormat="1" ht="16.5" customHeight="1">
      <c r="D75" s="295"/>
      <c r="E75" s="295"/>
      <c r="F75" s="295"/>
      <c r="G75" s="295"/>
      <c r="H75" s="295"/>
      <c r="L75" s="777">
        <v>5</v>
      </c>
      <c r="M75" s="778"/>
      <c r="N75" s="976">
        <v>24</v>
      </c>
      <c r="O75" s="1020">
        <v>18</v>
      </c>
      <c r="P75" s="847">
        <f>VLOOKUP(N75,etat!$A$9:$N$1004,2,FALSE)</f>
        <v>0</v>
      </c>
      <c r="Q75" s="797" t="str">
        <f>VLOOKUP(N75,etat!$A$9:$N$963,7,FALSE)</f>
        <v xml:space="preserve"> 3ت ر طرا </v>
      </c>
      <c r="R75" s="797" t="str">
        <f>VLOOKUP(N75,etat!$A$9:$N$1003,9,FALSE)</f>
        <v>خ</v>
      </c>
      <c r="S75" s="866" t="str">
        <f>VLOOKUP(N75,etat!$A$9:$P$905,16,FALSE)</f>
        <v>اخ3</v>
      </c>
      <c r="T75" s="755">
        <v>45784</v>
      </c>
      <c r="U75" s="791">
        <v>2</v>
      </c>
      <c r="V75" s="784"/>
      <c r="W75" s="784"/>
      <c r="X75" s="784"/>
      <c r="Y75" s="1117"/>
      <c r="Z75" s="967"/>
      <c r="AA75" s="967">
        <v>6</v>
      </c>
      <c r="AH75" s="910"/>
      <c r="AI75" s="862"/>
      <c r="AJ75" s="302"/>
      <c r="AK75" s="910"/>
      <c r="AL75" s="911"/>
      <c r="AM75" s="911"/>
      <c r="AN75" s="911"/>
      <c r="AO75" s="911"/>
      <c r="AP75" s="912"/>
      <c r="AQ75" s="911"/>
      <c r="AR75" s="911"/>
      <c r="AS75" s="911"/>
      <c r="AT75" s="26"/>
      <c r="AU75" s="26"/>
      <c r="AV75" s="26"/>
    </row>
    <row r="76" spans="4:48" s="25" customFormat="1" ht="16.5" customHeight="1">
      <c r="D76" s="295"/>
      <c r="E76" s="295"/>
      <c r="F76" s="295"/>
      <c r="G76" s="295"/>
      <c r="H76" s="295"/>
      <c r="L76" s="777">
        <v>5</v>
      </c>
      <c r="M76" s="778"/>
      <c r="N76" s="976">
        <v>25</v>
      </c>
      <c r="O76" s="1020">
        <v>19</v>
      </c>
      <c r="P76" s="847">
        <f>VLOOKUP(N76,etat!$A$9:$N$1004,2,FALSE)</f>
        <v>0</v>
      </c>
      <c r="Q76" s="797" t="str">
        <f>VLOOKUP(N76,etat!$A$9:$N$963,7,FALSE)</f>
        <v xml:space="preserve"> 3ت ر طرا </v>
      </c>
      <c r="R76" s="797" t="str">
        <f>VLOOKUP(N76,etat!$A$9:$N$1003,9,FALSE)</f>
        <v>خ</v>
      </c>
      <c r="S76" s="866" t="str">
        <f>VLOOKUP(N76,etat!$A$9:$P$905,16,FALSE)</f>
        <v>ذخ3</v>
      </c>
      <c r="T76" s="755">
        <v>45781</v>
      </c>
      <c r="U76" s="791">
        <v>5</v>
      </c>
      <c r="V76" s="784" t="s">
        <v>2285</v>
      </c>
      <c r="W76" s="784"/>
      <c r="X76" s="784"/>
      <c r="Y76" s="975"/>
      <c r="Z76" s="967"/>
      <c r="AA76" s="967">
        <v>6</v>
      </c>
      <c r="AH76" s="910"/>
      <c r="AI76" s="862"/>
      <c r="AJ76" s="302"/>
      <c r="AK76" s="910"/>
      <c r="AL76" s="911"/>
      <c r="AM76" s="911"/>
      <c r="AN76" s="911"/>
      <c r="AO76" s="911"/>
      <c r="AP76" s="912"/>
      <c r="AQ76" s="911"/>
      <c r="AR76" s="911"/>
      <c r="AS76" s="911"/>
      <c r="AT76" s="26"/>
      <c r="AU76" s="26"/>
      <c r="AV76" s="26"/>
    </row>
    <row r="77" spans="4:48" s="25" customFormat="1" ht="16.5" customHeight="1">
      <c r="D77" s="295"/>
      <c r="E77" s="295"/>
      <c r="F77" s="295"/>
      <c r="G77" s="295"/>
      <c r="H77" s="295"/>
      <c r="L77" s="777">
        <v>5</v>
      </c>
      <c r="M77" s="778"/>
      <c r="N77" s="976">
        <v>27</v>
      </c>
      <c r="O77" s="1020">
        <v>20</v>
      </c>
      <c r="P77" s="847">
        <f>VLOOKUP(N77,etat!$A$9:$N$1004,2,FALSE)</f>
        <v>0</v>
      </c>
      <c r="Q77" s="797" t="str">
        <f>VLOOKUP(N77,etat!$A$9:$N$963,7,FALSE)</f>
        <v xml:space="preserve"> 3ت ر طرا </v>
      </c>
      <c r="R77" s="797" t="str">
        <f>VLOOKUP(N77,etat!$A$9:$N$1003,9,FALSE)</f>
        <v>خ</v>
      </c>
      <c r="S77" s="866" t="str">
        <f>VLOOKUP(N77,etat!$A$9:$P$905,16,FALSE)</f>
        <v>ذخ3</v>
      </c>
      <c r="T77" s="755">
        <v>45781</v>
      </c>
      <c r="U77" s="791">
        <v>5</v>
      </c>
      <c r="V77" s="784" t="s">
        <v>2285</v>
      </c>
      <c r="W77" s="784"/>
      <c r="X77" s="784"/>
      <c r="Y77" s="975"/>
      <c r="Z77" s="975"/>
      <c r="AA77" s="967">
        <v>6</v>
      </c>
      <c r="AH77" s="910"/>
      <c r="AI77" s="862"/>
      <c r="AJ77" s="302"/>
      <c r="AK77" s="910"/>
      <c r="AL77" s="911"/>
      <c r="AM77" s="911"/>
      <c r="AN77" s="911"/>
      <c r="AO77" s="911"/>
      <c r="AP77" s="912"/>
      <c r="AQ77" s="911"/>
      <c r="AR77" s="911"/>
      <c r="AS77" s="911"/>
      <c r="AT77" s="26"/>
      <c r="AU77" s="26"/>
      <c r="AV77" s="26"/>
    </row>
    <row r="78" spans="4:48" s="25" customFormat="1" ht="16.5" customHeight="1">
      <c r="D78" s="295"/>
      <c r="E78" s="295"/>
      <c r="F78" s="295"/>
      <c r="G78" s="295"/>
      <c r="H78" s="295"/>
      <c r="L78" s="777">
        <v>5</v>
      </c>
      <c r="M78" s="778"/>
      <c r="N78" s="976">
        <v>29</v>
      </c>
      <c r="O78" s="1020">
        <v>21</v>
      </c>
      <c r="P78" s="847">
        <f>VLOOKUP(N78,etat!$A$9:$N$1004,2,FALSE)</f>
        <v>0</v>
      </c>
      <c r="Q78" s="797" t="str">
        <f>VLOOKUP(N78,etat!$A$9:$N$963,7,FALSE)</f>
        <v>3ت ا ق1</v>
      </c>
      <c r="R78" s="797" t="str">
        <f>VLOOKUP(N78,etat!$A$9:$N$1003,9,FALSE)</f>
        <v>ن/د</v>
      </c>
      <c r="S78" s="866" t="str">
        <f>VLOOKUP(N78,etat!$A$9:$P$905,16,FALSE)</f>
        <v>ذخ3</v>
      </c>
      <c r="T78" s="755">
        <v>45761</v>
      </c>
      <c r="U78" s="791">
        <v>25</v>
      </c>
      <c r="V78" s="784" t="s">
        <v>2267</v>
      </c>
      <c r="W78" s="784" t="s">
        <v>2275</v>
      </c>
      <c r="X78" s="784" t="s">
        <v>2283</v>
      </c>
      <c r="Y78" s="975"/>
      <c r="Z78" s="975" t="str">
        <f>VLOOKUP(L78,[2]اس!$S$3:$X$31,3,FALSE)</f>
        <v>.</v>
      </c>
      <c r="AA78" s="967">
        <v>6</v>
      </c>
      <c r="AH78" s="910"/>
      <c r="AI78" s="862"/>
      <c r="AJ78" s="302"/>
      <c r="AK78" s="910"/>
      <c r="AL78" s="911"/>
      <c r="AM78" s="911"/>
      <c r="AN78" s="911"/>
      <c r="AO78" s="911"/>
      <c r="AP78" s="912"/>
      <c r="AQ78" s="911"/>
      <c r="AR78" s="911"/>
      <c r="AS78" s="911"/>
      <c r="AT78" s="26"/>
      <c r="AU78" s="26"/>
      <c r="AV78" s="26"/>
    </row>
    <row r="79" spans="4:48" s="25" customFormat="1" ht="16.5" customHeight="1">
      <c r="D79" s="295"/>
      <c r="E79" s="295"/>
      <c r="F79" s="295"/>
      <c r="G79" s="295"/>
      <c r="H79" s="295"/>
      <c r="L79" s="777">
        <v>5</v>
      </c>
      <c r="M79" s="778"/>
      <c r="N79" s="976">
        <v>30</v>
      </c>
      <c r="O79" s="1020">
        <v>22</v>
      </c>
      <c r="P79" s="847">
        <f>VLOOKUP(N79,etat!$A$9:$N$1004,2,FALSE)</f>
        <v>0</v>
      </c>
      <c r="Q79" s="797" t="str">
        <f>VLOOKUP(N79,etat!$A$9:$N$963,7,FALSE)</f>
        <v>3ت ا ق1</v>
      </c>
      <c r="R79" s="797" t="str">
        <f>VLOOKUP(N79,etat!$A$9:$N$1003,9,FALSE)</f>
        <v>ن/د</v>
      </c>
      <c r="S79" s="866" t="str">
        <f>VLOOKUP(N79,etat!$A$9:$P$905,16,FALSE)</f>
        <v>اخ3</v>
      </c>
      <c r="T79" s="755">
        <v>45776</v>
      </c>
      <c r="U79" s="791">
        <v>10</v>
      </c>
      <c r="V79" s="784" t="s">
        <v>2283</v>
      </c>
      <c r="W79" s="784"/>
      <c r="X79" s="784"/>
      <c r="Y79" s="975"/>
      <c r="Z79" s="967"/>
      <c r="AA79" s="967">
        <v>6</v>
      </c>
      <c r="AH79" s="910"/>
      <c r="AI79" s="862"/>
      <c r="AJ79" s="302"/>
      <c r="AK79" s="910"/>
      <c r="AL79" s="911"/>
      <c r="AM79" s="911"/>
      <c r="AN79" s="911"/>
      <c r="AO79" s="911"/>
      <c r="AP79" s="912"/>
      <c r="AQ79" s="911"/>
      <c r="AR79" s="911"/>
      <c r="AS79" s="911"/>
      <c r="AT79" s="26"/>
      <c r="AU79" s="26"/>
      <c r="AV79" s="26"/>
    </row>
    <row r="80" spans="4:48" s="25" customFormat="1" ht="16.5" customHeight="1">
      <c r="D80" s="295"/>
      <c r="E80" s="295"/>
      <c r="F80" s="295"/>
      <c r="G80" s="295"/>
      <c r="H80" s="295"/>
      <c r="L80" s="777">
        <v>5</v>
      </c>
      <c r="M80" s="778"/>
      <c r="N80" s="976">
        <v>31</v>
      </c>
      <c r="O80" s="1020">
        <v>23</v>
      </c>
      <c r="P80" s="847">
        <f>VLOOKUP(N80,etat!$A$9:$N$1004,2,FALSE)</f>
        <v>0</v>
      </c>
      <c r="Q80" s="797" t="str">
        <f>VLOOKUP(N80,etat!$A$9:$N$963,7,FALSE)</f>
        <v>3ت ا ق1</v>
      </c>
      <c r="R80" s="797" t="str">
        <f>VLOOKUP(N80,etat!$A$9:$N$1003,9,FALSE)</f>
        <v>خ</v>
      </c>
      <c r="S80" s="866" t="str">
        <f>VLOOKUP(N80,etat!$A$9:$P$905,16,FALSE)</f>
        <v>اخ3</v>
      </c>
      <c r="T80" s="755">
        <v>45769</v>
      </c>
      <c r="U80" s="791">
        <v>17</v>
      </c>
      <c r="V80" s="784" t="s">
        <v>2278</v>
      </c>
      <c r="W80" s="784" t="s">
        <v>2283</v>
      </c>
      <c r="X80" s="784"/>
      <c r="Y80" s="975"/>
      <c r="Z80" s="975"/>
      <c r="AA80" s="967">
        <v>6</v>
      </c>
      <c r="AH80" s="910"/>
      <c r="AI80" s="862"/>
      <c r="AJ80" s="302"/>
      <c r="AK80" s="910"/>
      <c r="AL80" s="911"/>
      <c r="AM80" s="911"/>
      <c r="AN80" s="911"/>
      <c r="AO80" s="911"/>
      <c r="AP80" s="912"/>
      <c r="AQ80" s="911"/>
      <c r="AR80" s="911"/>
      <c r="AS80" s="911"/>
      <c r="AT80" s="26"/>
      <c r="AU80" s="26"/>
      <c r="AV80" s="26"/>
    </row>
    <row r="81" spans="4:48" s="25" customFormat="1" ht="16.5" customHeight="1">
      <c r="D81" s="295"/>
      <c r="E81" s="295"/>
      <c r="F81" s="295"/>
      <c r="G81" s="295"/>
      <c r="H81" s="295"/>
      <c r="L81" s="777">
        <v>5</v>
      </c>
      <c r="M81" s="778"/>
      <c r="N81" s="976">
        <v>33</v>
      </c>
      <c r="O81" s="1020">
        <v>24</v>
      </c>
      <c r="P81" s="847">
        <f>VLOOKUP(N81,etat!$A$9:$N$1004,2,FALSE)</f>
        <v>0</v>
      </c>
      <c r="Q81" s="797" t="str">
        <f>VLOOKUP(N81,etat!$A$9:$N$963,7,FALSE)</f>
        <v>3ت ا ق1</v>
      </c>
      <c r="R81" s="797" t="str">
        <f>VLOOKUP(N81,etat!$A$9:$N$1003,9,FALSE)</f>
        <v>خ</v>
      </c>
      <c r="S81" s="866" t="str">
        <f>VLOOKUP(N81,etat!$A$9:$P$905,16,FALSE)</f>
        <v>اخ3</v>
      </c>
      <c r="T81" s="755">
        <v>45781</v>
      </c>
      <c r="U81" s="791">
        <v>5</v>
      </c>
      <c r="V81" s="784" t="s">
        <v>2285</v>
      </c>
      <c r="W81" s="784"/>
      <c r="X81" s="784"/>
      <c r="Y81" s="975"/>
      <c r="Z81" s="967"/>
      <c r="AA81" s="967">
        <v>6</v>
      </c>
      <c r="AH81" s="910"/>
      <c r="AI81" s="862"/>
      <c r="AJ81" s="302"/>
      <c r="AK81" s="910"/>
      <c r="AL81" s="911"/>
      <c r="AM81" s="911"/>
      <c r="AN81" s="911"/>
      <c r="AO81" s="911"/>
      <c r="AP81" s="912"/>
      <c r="AQ81" s="911"/>
      <c r="AR81" s="911"/>
      <c r="AS81" s="911"/>
      <c r="AT81" s="26"/>
      <c r="AU81" s="26"/>
      <c r="AV81" s="26"/>
    </row>
    <row r="82" spans="4:48" s="25" customFormat="1" ht="16.5" customHeight="1">
      <c r="D82" s="295"/>
      <c r="E82" s="295"/>
      <c r="F82" s="295"/>
      <c r="G82" s="295"/>
      <c r="H82" s="295"/>
      <c r="L82" s="777">
        <v>5</v>
      </c>
      <c r="M82" s="778"/>
      <c r="N82" s="976">
        <v>34</v>
      </c>
      <c r="O82" s="1020">
        <v>25</v>
      </c>
      <c r="P82" s="847">
        <f>VLOOKUP(N82,etat!$A$9:$N$1004,2,FALSE)</f>
        <v>0</v>
      </c>
      <c r="Q82" s="797" t="str">
        <f>VLOOKUP(N82,etat!$A$9:$N$963,7,FALSE)</f>
        <v>3ت ا ق1</v>
      </c>
      <c r="R82" s="797" t="str">
        <f>VLOOKUP(N82,etat!$A$9:$N$1003,9,FALSE)</f>
        <v>خ</v>
      </c>
      <c r="S82" s="866" t="str">
        <f>VLOOKUP(N82,etat!$A$9:$P$905,16,FALSE)</f>
        <v>ذخ3</v>
      </c>
      <c r="T82" s="755">
        <v>45774</v>
      </c>
      <c r="U82" s="791">
        <v>12</v>
      </c>
      <c r="V82" s="784" t="s">
        <v>2281</v>
      </c>
      <c r="W82" s="784" t="s">
        <v>2285</v>
      </c>
      <c r="X82" s="784"/>
      <c r="Y82" s="1117"/>
      <c r="Z82" s="975" t="str">
        <f>VLOOKUP(L82,[2]اس!$S$3:$X$31,3,FALSE)</f>
        <v>.</v>
      </c>
      <c r="AA82" s="967">
        <v>6</v>
      </c>
      <c r="AH82" s="910"/>
      <c r="AI82" s="862"/>
      <c r="AJ82" s="302"/>
      <c r="AK82" s="910"/>
      <c r="AL82" s="911"/>
      <c r="AM82" s="911"/>
      <c r="AN82" s="911"/>
      <c r="AO82" s="911"/>
      <c r="AP82" s="912"/>
      <c r="AQ82" s="911"/>
      <c r="AR82" s="911"/>
      <c r="AS82" s="911"/>
      <c r="AT82" s="26"/>
      <c r="AU82" s="26"/>
      <c r="AV82" s="26"/>
    </row>
    <row r="83" spans="4:48" s="25" customFormat="1" ht="16.5" customHeight="1">
      <c r="D83" s="295"/>
      <c r="E83" s="295"/>
      <c r="F83" s="295"/>
      <c r="G83" s="295"/>
      <c r="H83" s="295"/>
      <c r="L83" s="777">
        <v>5</v>
      </c>
      <c r="M83" s="778"/>
      <c r="N83" s="976">
        <v>39</v>
      </c>
      <c r="O83" s="1020">
        <v>26</v>
      </c>
      <c r="P83" s="847">
        <f>VLOOKUP(N83,etat!$A$9:$N$1004,2,FALSE)</f>
        <v>0</v>
      </c>
      <c r="Q83" s="797" t="str">
        <f>VLOOKUP(N83,etat!$A$9:$N$963,7,FALSE)</f>
        <v>3ت ا ق1</v>
      </c>
      <c r="R83" s="797" t="str">
        <f>VLOOKUP(N83,etat!$A$9:$N$1003,9,FALSE)</f>
        <v>خ</v>
      </c>
      <c r="S83" s="866" t="str">
        <f>VLOOKUP(N83,etat!$A$9:$P$905,16,FALSE)</f>
        <v>اخ3</v>
      </c>
      <c r="T83" s="755">
        <v>45768</v>
      </c>
      <c r="U83" s="791">
        <v>18</v>
      </c>
      <c r="V83" s="784" t="s">
        <v>2275</v>
      </c>
      <c r="W83" s="784" t="s">
        <v>2283</v>
      </c>
      <c r="X83" s="784" t="s">
        <v>2287</v>
      </c>
      <c r="Y83" s="975"/>
      <c r="Z83" s="975" t="str">
        <f>VLOOKUP(L83,[2]اس!$S$3:$X$31,3,FALSE)</f>
        <v>.</v>
      </c>
      <c r="AA83" s="967">
        <v>6</v>
      </c>
      <c r="AH83" s="910"/>
      <c r="AI83" s="862"/>
      <c r="AJ83" s="302"/>
      <c r="AK83" s="910"/>
      <c r="AL83" s="911"/>
      <c r="AM83" s="911"/>
      <c r="AN83" s="911"/>
      <c r="AO83" s="911"/>
      <c r="AP83" s="912"/>
      <c r="AQ83" s="911"/>
      <c r="AR83" s="911"/>
      <c r="AS83" s="911"/>
      <c r="AT83" s="26"/>
      <c r="AU83" s="26"/>
      <c r="AV83" s="26"/>
    </row>
    <row r="84" spans="4:48" s="25" customFormat="1" ht="16.5" customHeight="1">
      <c r="D84" s="295"/>
      <c r="E84" s="295"/>
      <c r="F84" s="295"/>
      <c r="G84" s="295"/>
      <c r="H84" s="295"/>
      <c r="L84" s="777">
        <v>5</v>
      </c>
      <c r="M84" s="778"/>
      <c r="N84" s="976">
        <v>40</v>
      </c>
      <c r="O84" s="1020">
        <v>27</v>
      </c>
      <c r="P84" s="847">
        <f>VLOOKUP(N84,etat!$A$9:$N$1004,2,FALSE)</f>
        <v>0</v>
      </c>
      <c r="Q84" s="797" t="str">
        <f>VLOOKUP(N84,etat!$A$9:$N$963,7,FALSE)</f>
        <v>3ت ا ق1</v>
      </c>
      <c r="R84" s="797" t="str">
        <f>VLOOKUP(N84,etat!$A$9:$N$1003,9,FALSE)</f>
        <v>خ</v>
      </c>
      <c r="S84" s="866" t="str">
        <f>VLOOKUP(N84,etat!$A$9:$P$905,16,FALSE)</f>
        <v>اخ3</v>
      </c>
      <c r="T84" s="755">
        <v>45768</v>
      </c>
      <c r="U84" s="791">
        <v>18</v>
      </c>
      <c r="V84" s="784" t="s">
        <v>2275</v>
      </c>
      <c r="W84" s="784" t="s">
        <v>2283</v>
      </c>
      <c r="X84" s="784" t="s">
        <v>2287</v>
      </c>
      <c r="Y84" s="1118"/>
      <c r="Z84" s="975" t="str">
        <f>VLOOKUP(L84,[2]اس!$S$3:$X$31,3,FALSE)</f>
        <v>.</v>
      </c>
      <c r="AA84" s="967">
        <v>6</v>
      </c>
      <c r="AH84" s="910"/>
      <c r="AI84" s="862"/>
      <c r="AJ84" s="302"/>
      <c r="AK84" s="910"/>
      <c r="AL84" s="911"/>
      <c r="AM84" s="911"/>
      <c r="AN84" s="911"/>
      <c r="AO84" s="911"/>
      <c r="AP84" s="912"/>
      <c r="AQ84" s="911"/>
      <c r="AR84" s="911"/>
      <c r="AS84" s="911"/>
      <c r="AT84" s="26"/>
      <c r="AU84" s="26"/>
      <c r="AV84" s="26"/>
    </row>
    <row r="85" spans="4:48" s="25" customFormat="1" ht="16.5" customHeight="1">
      <c r="D85" s="295"/>
      <c r="E85" s="295"/>
      <c r="F85" s="295"/>
      <c r="G85" s="295"/>
      <c r="H85" s="295"/>
      <c r="L85" s="777">
        <v>5</v>
      </c>
      <c r="M85" s="778"/>
      <c r="N85" s="976">
        <v>41</v>
      </c>
      <c r="O85" s="1020">
        <v>28</v>
      </c>
      <c r="P85" s="847">
        <f>VLOOKUP(N85,etat!$A$9:$N$1004,2,FALSE)</f>
        <v>0</v>
      </c>
      <c r="Q85" s="797" t="str">
        <f>VLOOKUP(N85,etat!$A$9:$N$963,7,FALSE)</f>
        <v>3ت ا ق1</v>
      </c>
      <c r="R85" s="797" t="str">
        <f>VLOOKUP(N85,etat!$A$9:$N$1003,9,FALSE)</f>
        <v>خ</v>
      </c>
      <c r="S85" s="866" t="str">
        <f>VLOOKUP(N85,etat!$A$9:$P$905,16,FALSE)</f>
        <v>ذخ3</v>
      </c>
      <c r="T85" s="755">
        <v>45768</v>
      </c>
      <c r="U85" s="791">
        <v>18</v>
      </c>
      <c r="V85" s="784" t="s">
        <v>2275</v>
      </c>
      <c r="W85" s="784" t="s">
        <v>2283</v>
      </c>
      <c r="X85" s="784" t="s">
        <v>2287</v>
      </c>
      <c r="Y85" s="975"/>
      <c r="Z85" s="975" t="str">
        <f>VLOOKUP(L85,[2]اس!$S$3:$X$31,3,FALSE)</f>
        <v>.</v>
      </c>
      <c r="AA85" s="967">
        <v>6</v>
      </c>
      <c r="AH85" s="910"/>
      <c r="AI85" s="862"/>
      <c r="AJ85" s="302"/>
      <c r="AK85" s="910"/>
      <c r="AL85" s="911"/>
      <c r="AM85" s="911"/>
      <c r="AN85" s="911"/>
      <c r="AO85" s="911"/>
      <c r="AP85" s="912"/>
      <c r="AQ85" s="911"/>
      <c r="AR85" s="911"/>
      <c r="AS85" s="911"/>
      <c r="AT85" s="26"/>
      <c r="AU85" s="26"/>
      <c r="AV85" s="26"/>
    </row>
    <row r="86" spans="4:48" s="25" customFormat="1" ht="16.5" customHeight="1">
      <c r="D86" s="295"/>
      <c r="E86" s="295"/>
      <c r="F86" s="295"/>
      <c r="G86" s="295"/>
      <c r="H86" s="295"/>
      <c r="L86" s="777">
        <v>5</v>
      </c>
      <c r="M86" s="778"/>
      <c r="N86" s="976">
        <v>42</v>
      </c>
      <c r="O86" s="1020">
        <v>29</v>
      </c>
      <c r="P86" s="847">
        <f>VLOOKUP(N86,etat!$A$9:$N$1004,2,FALSE)</f>
        <v>0</v>
      </c>
      <c r="Q86" s="797" t="str">
        <f>VLOOKUP(N86,etat!$A$9:$N$963,7,FALSE)</f>
        <v>3ت ا ق1</v>
      </c>
      <c r="R86" s="797" t="str">
        <f>VLOOKUP(N86,etat!$A$9:$N$1003,9,FALSE)</f>
        <v>خ</v>
      </c>
      <c r="S86" s="866" t="str">
        <f>VLOOKUP(N86,etat!$A$9:$P$905,16,FALSE)</f>
        <v>ذن/د3</v>
      </c>
      <c r="T86" s="755">
        <v>45767</v>
      </c>
      <c r="U86" s="791">
        <v>19</v>
      </c>
      <c r="V86" s="784" t="s">
        <v>2273</v>
      </c>
      <c r="W86" s="784" t="s">
        <v>2282</v>
      </c>
      <c r="X86" s="784" t="s">
        <v>2285</v>
      </c>
      <c r="Y86" s="975"/>
      <c r="Z86" s="975" t="str">
        <f>VLOOKUP(L86,[2]اس!$S$3:$X$31,3,FALSE)</f>
        <v>.</v>
      </c>
      <c r="AA86" s="967">
        <v>6</v>
      </c>
      <c r="AH86" s="910"/>
      <c r="AI86" s="862"/>
      <c r="AJ86" s="302"/>
      <c r="AK86" s="910"/>
      <c r="AL86" s="911"/>
      <c r="AM86" s="911"/>
      <c r="AN86" s="911"/>
      <c r="AO86" s="911"/>
      <c r="AP86" s="912"/>
      <c r="AQ86" s="911"/>
      <c r="AR86" s="911"/>
      <c r="AS86" s="911"/>
      <c r="AT86" s="26"/>
      <c r="AU86" s="26"/>
      <c r="AV86" s="26"/>
    </row>
    <row r="87" spans="4:48" s="25" customFormat="1" ht="16.5" customHeight="1">
      <c r="D87" s="295"/>
      <c r="E87" s="295"/>
      <c r="F87" s="295"/>
      <c r="G87" s="295"/>
      <c r="H87" s="295"/>
      <c r="L87" s="777">
        <v>5</v>
      </c>
      <c r="M87" s="778"/>
      <c r="N87" s="976">
        <v>44</v>
      </c>
      <c r="O87" s="1020">
        <v>30</v>
      </c>
      <c r="P87" s="847">
        <f>VLOOKUP(N87,etat!$A$9:$N$1004,2,FALSE)</f>
        <v>0</v>
      </c>
      <c r="Q87" s="797" t="str">
        <f>VLOOKUP(N87,etat!$A$9:$N$963,7,FALSE)</f>
        <v>3ت ا ق1</v>
      </c>
      <c r="R87" s="797" t="str">
        <f>VLOOKUP(N87,etat!$A$9:$N$1003,9,FALSE)</f>
        <v>خ</v>
      </c>
      <c r="S87" s="866" t="str">
        <f>VLOOKUP(N87,etat!$A$9:$P$905,16,FALSE)</f>
        <v>ان/د3</v>
      </c>
      <c r="T87" s="755">
        <v>45782</v>
      </c>
      <c r="U87" s="791">
        <v>4</v>
      </c>
      <c r="V87" s="784" t="s">
        <v>2287</v>
      </c>
      <c r="W87" s="784"/>
      <c r="X87" s="784"/>
      <c r="Y87" s="975"/>
      <c r="Z87" s="975" t="str">
        <f>VLOOKUP(L87,[2]اس!$S$3:$X$31,3,FALSE)</f>
        <v>.</v>
      </c>
      <c r="AA87" s="967">
        <v>6</v>
      </c>
      <c r="AH87" s="910"/>
      <c r="AI87" s="862"/>
      <c r="AJ87" s="302"/>
      <c r="AK87" s="910"/>
      <c r="AL87" s="911"/>
      <c r="AM87" s="911"/>
      <c r="AN87" s="911"/>
      <c r="AO87" s="911"/>
      <c r="AP87" s="912"/>
      <c r="AQ87" s="911"/>
      <c r="AR87" s="911"/>
      <c r="AS87" s="911"/>
      <c r="AT87" s="26"/>
      <c r="AU87" s="26"/>
      <c r="AV87" s="26"/>
    </row>
    <row r="88" spans="4:48" s="25" customFormat="1" ht="16.5" customHeight="1">
      <c r="D88" s="295"/>
      <c r="E88" s="295"/>
      <c r="F88" s="295"/>
      <c r="G88" s="295"/>
      <c r="H88" s="295"/>
      <c r="L88" s="777">
        <v>5</v>
      </c>
      <c r="M88" s="778"/>
      <c r="N88" s="976">
        <v>45</v>
      </c>
      <c r="O88" s="1020">
        <v>31</v>
      </c>
      <c r="P88" s="847">
        <f>VLOOKUP(N88,etat!$A$9:$N$1004,2,FALSE)</f>
        <v>0</v>
      </c>
      <c r="Q88" s="797" t="str">
        <f>VLOOKUP(N88,etat!$A$9:$N$963,7,FALSE)</f>
        <v>3ت ا ق1</v>
      </c>
      <c r="R88" s="797" t="str">
        <f>VLOOKUP(N88,etat!$A$9:$N$1003,9,FALSE)</f>
        <v>خ</v>
      </c>
      <c r="S88" s="866" t="str">
        <f>VLOOKUP(N88,etat!$A$9:$P$905,16,FALSE)</f>
        <v>ان/د3</v>
      </c>
      <c r="T88" s="755">
        <v>45775</v>
      </c>
      <c r="U88" s="791">
        <v>11</v>
      </c>
      <c r="V88" s="784" t="s">
        <v>2282</v>
      </c>
      <c r="W88" s="784" t="s">
        <v>2287</v>
      </c>
      <c r="X88" s="784"/>
      <c r="Y88" s="975"/>
      <c r="Z88" s="975" t="str">
        <f>VLOOKUP(L88,[2]اس!$S$3:$X$31,3,FALSE)</f>
        <v>.</v>
      </c>
      <c r="AA88" s="967">
        <v>6</v>
      </c>
      <c r="AH88" s="910"/>
      <c r="AI88" s="862"/>
      <c r="AJ88" s="302"/>
      <c r="AK88" s="910"/>
      <c r="AL88" s="911"/>
      <c r="AM88" s="911"/>
      <c r="AN88" s="911"/>
      <c r="AO88" s="911"/>
      <c r="AP88" s="912"/>
      <c r="AQ88" s="911"/>
      <c r="AR88" s="911"/>
      <c r="AS88" s="911"/>
      <c r="AT88" s="26"/>
      <c r="AU88" s="26"/>
      <c r="AV88" s="26"/>
    </row>
    <row r="89" spans="4:48" s="25" customFormat="1" ht="16.5" customHeight="1">
      <c r="D89" s="295"/>
      <c r="E89" s="295"/>
      <c r="F89" s="295"/>
      <c r="G89" s="295"/>
      <c r="H89" s="295"/>
      <c r="L89" s="777">
        <v>5</v>
      </c>
      <c r="M89" s="778"/>
      <c r="N89" s="976">
        <v>46</v>
      </c>
      <c r="O89" s="1020">
        <v>32</v>
      </c>
      <c r="P89" s="847">
        <f>VLOOKUP(N89,etat!$A$9:$N$1004,2,FALSE)</f>
        <v>0</v>
      </c>
      <c r="Q89" s="797" t="str">
        <f>VLOOKUP(N89,etat!$A$9:$N$963,7,FALSE)</f>
        <v>3ت ا ق1</v>
      </c>
      <c r="R89" s="797" t="str">
        <f>VLOOKUP(N89,etat!$A$9:$N$1003,9,FALSE)</f>
        <v>خ</v>
      </c>
      <c r="S89" s="866" t="str">
        <f>VLOOKUP(N89,etat!$A$9:$P$905,16,FALSE)</f>
        <v>اخ3</v>
      </c>
      <c r="T89" s="755">
        <v>45775</v>
      </c>
      <c r="U89" s="791">
        <v>11</v>
      </c>
      <c r="V89" s="784" t="s">
        <v>2282</v>
      </c>
      <c r="W89" s="784" t="s">
        <v>2287</v>
      </c>
      <c r="X89" s="784"/>
      <c r="Y89" s="975"/>
      <c r="Z89" s="975" t="str">
        <f>VLOOKUP(L89,[2]اس!$S$3:$X$31,3,FALSE)</f>
        <v>.</v>
      </c>
      <c r="AA89" s="967">
        <v>6</v>
      </c>
      <c r="AH89" s="910"/>
      <c r="AI89" s="862"/>
      <c r="AJ89" s="302"/>
      <c r="AK89" s="910"/>
      <c r="AL89" s="911"/>
      <c r="AM89" s="911"/>
      <c r="AN89" s="911"/>
      <c r="AO89" s="911"/>
      <c r="AP89" s="912"/>
      <c r="AQ89" s="911"/>
      <c r="AR89" s="911"/>
      <c r="AS89" s="911"/>
      <c r="AT89" s="26"/>
      <c r="AU89" s="26"/>
      <c r="AV89" s="26"/>
    </row>
    <row r="90" spans="4:48" s="25" customFormat="1" ht="16.5" customHeight="1">
      <c r="D90" s="295"/>
      <c r="E90" s="295"/>
      <c r="F90" s="295"/>
      <c r="G90" s="295"/>
      <c r="H90" s="295"/>
      <c r="L90" s="777">
        <v>5</v>
      </c>
      <c r="M90" s="778"/>
      <c r="N90" s="976">
        <v>47</v>
      </c>
      <c r="O90" s="1020">
        <v>33</v>
      </c>
      <c r="P90" s="847">
        <f>VLOOKUP(N90,etat!$A$9:$N$1004,2,FALSE)</f>
        <v>0</v>
      </c>
      <c r="Q90" s="797" t="str">
        <f>VLOOKUP(N90,etat!$A$9:$N$963,7,FALSE)</f>
        <v>3ت ا ق1</v>
      </c>
      <c r="R90" s="797" t="str">
        <f>VLOOKUP(N90,etat!$A$9:$N$1003,9,FALSE)</f>
        <v>خ</v>
      </c>
      <c r="S90" s="866" t="str">
        <f>VLOOKUP(N90,etat!$A$9:$P$905,16,FALSE)</f>
        <v>اخ3</v>
      </c>
      <c r="T90" s="755">
        <v>45781</v>
      </c>
      <c r="U90" s="791">
        <v>5</v>
      </c>
      <c r="V90" s="784" t="s">
        <v>2285</v>
      </c>
      <c r="W90" s="784"/>
      <c r="X90" s="784"/>
      <c r="Y90" s="1116"/>
      <c r="Z90" s="975"/>
      <c r="AA90" s="967">
        <v>6</v>
      </c>
      <c r="AH90" s="910"/>
      <c r="AI90" s="862"/>
      <c r="AJ90" s="302"/>
      <c r="AK90" s="910"/>
      <c r="AL90" s="911"/>
      <c r="AM90" s="911"/>
      <c r="AN90" s="911"/>
      <c r="AO90" s="911"/>
      <c r="AP90" s="912"/>
      <c r="AQ90" s="911"/>
      <c r="AR90" s="911"/>
      <c r="AS90" s="911"/>
      <c r="AT90" s="26"/>
      <c r="AU90" s="26"/>
      <c r="AV90" s="26"/>
    </row>
    <row r="91" spans="4:48" s="25" customFormat="1" ht="16.5" customHeight="1">
      <c r="D91" s="295"/>
      <c r="E91" s="295"/>
      <c r="F91" s="295"/>
      <c r="G91" s="295"/>
      <c r="H91" s="295"/>
      <c r="L91" s="777">
        <v>5</v>
      </c>
      <c r="M91" s="778"/>
      <c r="N91" s="976">
        <v>48</v>
      </c>
      <c r="O91" s="1020">
        <v>34</v>
      </c>
      <c r="P91" s="847">
        <f>VLOOKUP(N91,etat!$A$9:$N$1004,2,FALSE)</f>
        <v>0</v>
      </c>
      <c r="Q91" s="797" t="str">
        <f>VLOOKUP(N91,etat!$A$9:$N$963,7,FALSE)</f>
        <v>3ت ا ق2</v>
      </c>
      <c r="R91" s="797" t="str">
        <f>VLOOKUP(N91,etat!$A$9:$N$1003,9,FALSE)</f>
        <v>ن/د</v>
      </c>
      <c r="S91" s="866" t="str">
        <f>VLOOKUP(N91,etat!$A$9:$P$905,16,FALSE)</f>
        <v>ذخ3</v>
      </c>
      <c r="T91" s="755">
        <v>45768</v>
      </c>
      <c r="U91" s="791">
        <v>18</v>
      </c>
      <c r="V91" s="784" t="s">
        <v>2275</v>
      </c>
      <c r="W91" s="784" t="s">
        <v>2282</v>
      </c>
      <c r="X91" s="784" t="s">
        <v>2287</v>
      </c>
      <c r="Y91" s="975"/>
      <c r="Z91" s="975" t="str">
        <f>VLOOKUP(L91,[2]اس!$S$3:$X$31,3,FALSE)</f>
        <v>.</v>
      </c>
      <c r="AA91" s="967">
        <v>6</v>
      </c>
      <c r="AH91" s="910"/>
      <c r="AI91" s="862"/>
      <c r="AJ91" s="302"/>
      <c r="AK91" s="910"/>
      <c r="AL91" s="911"/>
      <c r="AM91" s="911"/>
      <c r="AN91" s="911"/>
      <c r="AO91" s="911"/>
      <c r="AP91" s="912"/>
      <c r="AQ91" s="911"/>
      <c r="AR91" s="911"/>
      <c r="AS91" s="911"/>
      <c r="AT91" s="26"/>
      <c r="AU91" s="26"/>
      <c r="AV91" s="26"/>
    </row>
    <row r="92" spans="4:48" s="25" customFormat="1" ht="16.5" customHeight="1">
      <c r="D92" s="295"/>
      <c r="E92" s="295"/>
      <c r="F92" s="295"/>
      <c r="G92" s="295"/>
      <c r="H92" s="295"/>
      <c r="L92" s="777">
        <v>5</v>
      </c>
      <c r="M92" s="778"/>
      <c r="N92" s="976">
        <v>54</v>
      </c>
      <c r="O92" s="1020">
        <v>35</v>
      </c>
      <c r="P92" s="847">
        <f>VLOOKUP(N92,etat!$A$9:$N$1004,2,FALSE)</f>
        <v>0</v>
      </c>
      <c r="Q92" s="797" t="str">
        <f>VLOOKUP(N92,etat!$A$9:$N$963,7,FALSE)</f>
        <v>3ت ا ق2</v>
      </c>
      <c r="R92" s="797" t="str">
        <f>VLOOKUP(N92,etat!$A$9:$N$1003,9,FALSE)</f>
        <v>خ</v>
      </c>
      <c r="S92" s="866" t="str">
        <f>VLOOKUP(N92,etat!$A$9:$P$905,16,FALSE)</f>
        <v>ذخ3</v>
      </c>
      <c r="T92" s="755">
        <v>45782</v>
      </c>
      <c r="U92" s="791">
        <v>4</v>
      </c>
      <c r="V92" s="784" t="s">
        <v>2287</v>
      </c>
      <c r="W92" s="784"/>
      <c r="X92" s="784"/>
      <c r="Y92" s="1117"/>
      <c r="Z92" s="967"/>
      <c r="AA92" s="967">
        <v>6</v>
      </c>
      <c r="AH92" s="910"/>
      <c r="AI92" s="862"/>
      <c r="AJ92" s="302"/>
      <c r="AK92" s="910"/>
      <c r="AL92" s="911"/>
      <c r="AM92" s="911"/>
      <c r="AN92" s="911"/>
      <c r="AO92" s="911"/>
      <c r="AP92" s="912"/>
      <c r="AQ92" s="911"/>
      <c r="AR92" s="911"/>
      <c r="AS92" s="911"/>
      <c r="AT92" s="26"/>
      <c r="AU92" s="26"/>
      <c r="AV92" s="26"/>
    </row>
    <row r="93" spans="4:48" s="25" customFormat="1" ht="16.5" customHeight="1">
      <c r="D93" s="295"/>
      <c r="E93" s="295"/>
      <c r="F93" s="295"/>
      <c r="G93" s="295"/>
      <c r="H93" s="295"/>
      <c r="L93" s="777">
        <v>5</v>
      </c>
      <c r="M93" s="778"/>
      <c r="N93" s="976">
        <v>57</v>
      </c>
      <c r="O93" s="1020">
        <v>36</v>
      </c>
      <c r="P93" s="847">
        <f>VLOOKUP(N93,etat!$A$9:$N$1004,2,FALSE)</f>
        <v>0</v>
      </c>
      <c r="Q93" s="797" t="str">
        <f>VLOOKUP(N93,etat!$A$9:$N$963,7,FALSE)</f>
        <v>3ت ا ق2</v>
      </c>
      <c r="R93" s="797" t="str">
        <f>VLOOKUP(N93,etat!$A$9:$N$1003,9,FALSE)</f>
        <v>خ</v>
      </c>
      <c r="S93" s="866" t="str">
        <f>VLOOKUP(N93,etat!$A$9:$P$905,16,FALSE)</f>
        <v>ذخ3</v>
      </c>
      <c r="T93" s="755">
        <v>45781</v>
      </c>
      <c r="U93" s="791">
        <v>5</v>
      </c>
      <c r="V93" s="784" t="s">
        <v>2285</v>
      </c>
      <c r="W93" s="784"/>
      <c r="X93" s="784"/>
      <c r="Y93" s="975"/>
      <c r="Z93" s="975"/>
      <c r="AA93" s="967">
        <v>6</v>
      </c>
      <c r="AH93" s="910"/>
      <c r="AI93" s="862"/>
      <c r="AJ93" s="302"/>
      <c r="AK93" s="910"/>
      <c r="AL93" s="911"/>
      <c r="AM93" s="911"/>
      <c r="AN93" s="911"/>
      <c r="AO93" s="911"/>
      <c r="AP93" s="912"/>
      <c r="AQ93" s="911"/>
      <c r="AR93" s="911"/>
      <c r="AS93" s="911"/>
      <c r="AT93" s="26"/>
      <c r="AU93" s="26"/>
      <c r="AV93" s="26"/>
    </row>
    <row r="94" spans="4:48" s="25" customFormat="1" ht="16.5" customHeight="1">
      <c r="D94" s="295"/>
      <c r="E94" s="295"/>
      <c r="F94" s="295"/>
      <c r="G94" s="295"/>
      <c r="H94" s="295"/>
      <c r="L94" s="777">
        <v>5</v>
      </c>
      <c r="M94" s="778"/>
      <c r="N94" s="976">
        <v>62</v>
      </c>
      <c r="O94" s="1020">
        <v>37</v>
      </c>
      <c r="P94" s="847">
        <f>VLOOKUP(N94,etat!$A$9:$N$1004,2,FALSE)</f>
        <v>0</v>
      </c>
      <c r="Q94" s="797" t="str">
        <f>VLOOKUP(N94,etat!$A$9:$N$963,7,FALSE)</f>
        <v>3ت ا ق2</v>
      </c>
      <c r="R94" s="797" t="str">
        <f>VLOOKUP(N94,etat!$A$9:$N$1003,9,FALSE)</f>
        <v>خ</v>
      </c>
      <c r="S94" s="866" t="str">
        <f>VLOOKUP(N94,etat!$A$9:$P$905,16,FALSE)</f>
        <v>ذخ3</v>
      </c>
      <c r="T94" s="755">
        <v>45769</v>
      </c>
      <c r="U94" s="791">
        <v>17</v>
      </c>
      <c r="V94" s="784" t="s">
        <v>2278</v>
      </c>
      <c r="W94" s="784" t="s">
        <v>2283</v>
      </c>
      <c r="X94" s="784"/>
      <c r="Y94" s="975"/>
      <c r="Z94" s="975" t="str">
        <f>VLOOKUP(L94,[2]اس!$S$3:$X$31,3,FALSE)</f>
        <v>.</v>
      </c>
      <c r="AA94" s="967">
        <v>6</v>
      </c>
      <c r="AH94" s="910"/>
      <c r="AI94" s="862"/>
      <c r="AJ94" s="302"/>
      <c r="AK94" s="910"/>
      <c r="AL94" s="911"/>
      <c r="AM94" s="911"/>
      <c r="AN94" s="911"/>
      <c r="AO94" s="911"/>
      <c r="AP94" s="912"/>
      <c r="AQ94" s="911"/>
      <c r="AR94" s="911"/>
      <c r="AS94" s="911"/>
      <c r="AT94" s="26"/>
      <c r="AU94" s="26"/>
      <c r="AV94" s="26"/>
    </row>
    <row r="95" spans="4:48" s="25" customFormat="1" ht="16.5" customHeight="1">
      <c r="D95" s="295"/>
      <c r="E95" s="295"/>
      <c r="F95" s="295"/>
      <c r="G95" s="295"/>
      <c r="H95" s="295"/>
      <c r="L95" s="777">
        <v>5</v>
      </c>
      <c r="M95" s="778"/>
      <c r="N95" s="976">
        <v>63</v>
      </c>
      <c r="O95" s="1020">
        <v>38</v>
      </c>
      <c r="P95" s="847">
        <f>VLOOKUP(N95,etat!$A$9:$N$1004,2,FALSE)</f>
        <v>0</v>
      </c>
      <c r="Q95" s="797" t="str">
        <f>VLOOKUP(N95,etat!$A$9:$N$963,7,FALSE)</f>
        <v>3ت ا ق2</v>
      </c>
      <c r="R95" s="797" t="str">
        <f>VLOOKUP(N95,etat!$A$9:$N$1003,9,FALSE)</f>
        <v>خ</v>
      </c>
      <c r="S95" s="866" t="str">
        <f>VLOOKUP(N95,etat!$A$9:$P$905,16,FALSE)</f>
        <v>اخ3</v>
      </c>
      <c r="T95" s="755">
        <v>45763</v>
      </c>
      <c r="U95" s="791">
        <v>23</v>
      </c>
      <c r="V95" s="784" t="s">
        <v>2269</v>
      </c>
      <c r="W95" s="784" t="s">
        <v>2280</v>
      </c>
      <c r="X95" s="784" t="s">
        <v>2283</v>
      </c>
      <c r="Y95" s="975"/>
      <c r="Z95" s="975" t="str">
        <f>VLOOKUP(L95,[2]اس!$S$3:$X$31,3,FALSE)</f>
        <v>.</v>
      </c>
      <c r="AA95" s="967">
        <v>6</v>
      </c>
      <c r="AH95" s="910"/>
      <c r="AI95" s="862"/>
      <c r="AJ95" s="302"/>
      <c r="AK95" s="910"/>
      <c r="AL95" s="911"/>
      <c r="AM95" s="911"/>
      <c r="AN95" s="911"/>
      <c r="AO95" s="911"/>
      <c r="AP95" s="912"/>
      <c r="AQ95" s="911"/>
      <c r="AR95" s="911"/>
      <c r="AS95" s="911"/>
      <c r="AT95" s="26"/>
      <c r="AU95" s="26"/>
      <c r="AV95" s="26"/>
    </row>
    <row r="96" spans="4:48" s="25" customFormat="1" ht="16.5" customHeight="1">
      <c r="D96" s="295"/>
      <c r="E96" s="295"/>
      <c r="F96" s="295"/>
      <c r="G96" s="295"/>
      <c r="H96" s="295"/>
      <c r="L96" s="777">
        <v>5</v>
      </c>
      <c r="M96" s="778"/>
      <c r="N96" s="976">
        <v>64</v>
      </c>
      <c r="O96" s="1020">
        <v>39</v>
      </c>
      <c r="P96" s="847">
        <f>VLOOKUP(N96,etat!$A$9:$N$1004,2,FALSE)</f>
        <v>0</v>
      </c>
      <c r="Q96" s="797" t="str">
        <f>VLOOKUP(N96,etat!$A$9:$N$963,7,FALSE)</f>
        <v>3ت ا ق2</v>
      </c>
      <c r="R96" s="797" t="str">
        <f>VLOOKUP(N96,etat!$A$9:$N$1003,9,FALSE)</f>
        <v>خ</v>
      </c>
      <c r="S96" s="866" t="str">
        <f>VLOOKUP(N96,etat!$A$9:$P$905,16,FALSE)</f>
        <v>اخ3</v>
      </c>
      <c r="T96" s="755">
        <v>45776</v>
      </c>
      <c r="U96" s="791">
        <v>10</v>
      </c>
      <c r="V96" s="784" t="s">
        <v>2283</v>
      </c>
      <c r="W96" s="784" t="s">
        <v>2291</v>
      </c>
      <c r="X96" s="784"/>
      <c r="Y96" s="975"/>
      <c r="Z96" s="975"/>
      <c r="AA96" s="967">
        <v>6</v>
      </c>
      <c r="AH96" s="910"/>
      <c r="AI96" s="862"/>
      <c r="AJ96" s="302"/>
      <c r="AK96" s="910"/>
      <c r="AL96" s="911"/>
      <c r="AM96" s="911"/>
      <c r="AN96" s="911"/>
      <c r="AO96" s="911"/>
      <c r="AP96" s="912"/>
      <c r="AQ96" s="911"/>
      <c r="AR96" s="911"/>
      <c r="AS96" s="911"/>
      <c r="AT96" s="26"/>
      <c r="AU96" s="26"/>
      <c r="AV96" s="26"/>
    </row>
    <row r="97" spans="4:48" s="25" customFormat="1" ht="16.5" customHeight="1">
      <c r="D97" s="295"/>
      <c r="E97" s="295"/>
      <c r="F97" s="295"/>
      <c r="G97" s="295"/>
      <c r="H97" s="295"/>
      <c r="L97" s="777">
        <v>5</v>
      </c>
      <c r="M97" s="778"/>
      <c r="N97" s="976">
        <v>66</v>
      </c>
      <c r="O97" s="1020">
        <v>40</v>
      </c>
      <c r="P97" s="847">
        <f>VLOOKUP(N97,etat!$A$9:$N$1004,2,FALSE)</f>
        <v>0</v>
      </c>
      <c r="Q97" s="797" t="str">
        <f>VLOOKUP(N97,etat!$A$9:$N$963,7,FALSE)</f>
        <v>3ت ا ق2</v>
      </c>
      <c r="R97" s="797" t="str">
        <f>VLOOKUP(N97,etat!$A$9:$N$1003,9,FALSE)</f>
        <v>خ</v>
      </c>
      <c r="S97" s="866" t="str">
        <f>VLOOKUP(N97,etat!$A$9:$P$905,16,FALSE)</f>
        <v>ذخ3</v>
      </c>
      <c r="T97" s="755">
        <v>45782</v>
      </c>
      <c r="U97" s="784" t="s">
        <v>393</v>
      </c>
      <c r="V97" s="784" t="s">
        <v>2291</v>
      </c>
      <c r="W97" s="784"/>
      <c r="X97" s="784"/>
      <c r="Y97" s="1117"/>
      <c r="Z97" s="967"/>
      <c r="AA97" s="967">
        <v>6</v>
      </c>
      <c r="AH97" s="910"/>
      <c r="AI97" s="862"/>
      <c r="AJ97" s="302"/>
      <c r="AK97" s="910"/>
      <c r="AL97" s="911"/>
      <c r="AM97" s="911"/>
      <c r="AN97" s="911"/>
      <c r="AO97" s="911"/>
      <c r="AP97" s="912"/>
      <c r="AQ97" s="911"/>
      <c r="AR97" s="911"/>
      <c r="AS97" s="911"/>
      <c r="AT97" s="26"/>
      <c r="AU97" s="26"/>
      <c r="AV97" s="26"/>
    </row>
    <row r="98" spans="4:48" s="25" customFormat="1" ht="16.5" customHeight="1">
      <c r="D98" s="295"/>
      <c r="E98" s="295"/>
      <c r="F98" s="295"/>
      <c r="G98" s="295"/>
      <c r="H98" s="295"/>
      <c r="L98" s="777">
        <v>5</v>
      </c>
      <c r="M98" s="778"/>
      <c r="N98" s="976">
        <v>69</v>
      </c>
      <c r="O98" s="1020">
        <v>41</v>
      </c>
      <c r="P98" s="847">
        <f>VLOOKUP(N98,etat!$A$9:$N$1004,2,FALSE)</f>
        <v>0</v>
      </c>
      <c r="Q98" s="797" t="str">
        <f>VLOOKUP(N98,etat!$A$9:$N$963,7,FALSE)</f>
        <v>3ع ت1</v>
      </c>
      <c r="R98" s="797" t="str">
        <f>VLOOKUP(N98,etat!$A$9:$N$1003,9,FALSE)</f>
        <v>ن/د</v>
      </c>
      <c r="S98" s="866" t="str">
        <f>VLOOKUP(N98,etat!$A$9:$P$905,16,FALSE)</f>
        <v>ذخ3</v>
      </c>
      <c r="T98" s="755">
        <v>45768</v>
      </c>
      <c r="U98" s="791">
        <v>18</v>
      </c>
      <c r="V98" s="784" t="s">
        <v>2275</v>
      </c>
      <c r="W98" s="784" t="s">
        <v>2283</v>
      </c>
      <c r="X98" s="784" t="s">
        <v>2287</v>
      </c>
      <c r="Y98" s="975"/>
      <c r="Z98" s="975" t="str">
        <f>VLOOKUP(L98,[2]اس!$S$3:$X$31,3,FALSE)</f>
        <v>.</v>
      </c>
      <c r="AA98" s="967">
        <v>6</v>
      </c>
      <c r="AH98" s="910"/>
      <c r="AI98" s="862"/>
      <c r="AJ98" s="302"/>
      <c r="AK98" s="910"/>
      <c r="AL98" s="911"/>
      <c r="AM98" s="911"/>
      <c r="AN98" s="911"/>
      <c r="AO98" s="911"/>
      <c r="AP98" s="912"/>
      <c r="AQ98" s="911"/>
      <c r="AR98" s="911"/>
      <c r="AS98" s="911"/>
      <c r="AT98" s="26"/>
      <c r="AU98" s="26"/>
      <c r="AV98" s="26"/>
    </row>
    <row r="99" spans="4:48" s="25" customFormat="1" ht="16.5" customHeight="1">
      <c r="D99" s="295"/>
      <c r="E99" s="295"/>
      <c r="F99" s="295"/>
      <c r="G99" s="295"/>
      <c r="H99" s="295"/>
      <c r="L99" s="777">
        <v>5</v>
      </c>
      <c r="M99" s="778"/>
      <c r="N99" s="976">
        <v>70</v>
      </c>
      <c r="O99" s="1020">
        <v>42</v>
      </c>
      <c r="P99" s="847">
        <f>VLOOKUP(N99,etat!$A$9:$N$1004,2,FALSE)</f>
        <v>0</v>
      </c>
      <c r="Q99" s="797" t="str">
        <f>VLOOKUP(N99,etat!$A$9:$N$963,7,FALSE)</f>
        <v>3ع ت1</v>
      </c>
      <c r="R99" s="797" t="str">
        <f>VLOOKUP(N99,etat!$A$9:$N$1003,9,FALSE)</f>
        <v>ن/د</v>
      </c>
      <c r="S99" s="866" t="str">
        <f>VLOOKUP(N99,etat!$A$9:$P$905,16,FALSE)</f>
        <v>ذخ3</v>
      </c>
      <c r="T99" s="755">
        <v>45781</v>
      </c>
      <c r="U99" s="791">
        <v>5</v>
      </c>
      <c r="V99" s="784" t="s">
        <v>2285</v>
      </c>
      <c r="W99" s="784"/>
      <c r="X99" s="784"/>
      <c r="Y99" s="1116"/>
      <c r="Z99" s="975"/>
      <c r="AA99" s="967">
        <v>6</v>
      </c>
      <c r="AH99" s="910"/>
      <c r="AI99" s="862"/>
      <c r="AJ99" s="302"/>
      <c r="AK99" s="910"/>
      <c r="AL99" s="911"/>
      <c r="AM99" s="911"/>
      <c r="AN99" s="911"/>
      <c r="AO99" s="911"/>
      <c r="AP99" s="912"/>
      <c r="AQ99" s="911"/>
      <c r="AR99" s="911"/>
      <c r="AS99" s="911"/>
      <c r="AT99" s="26"/>
      <c r="AU99" s="26"/>
      <c r="AV99" s="26"/>
    </row>
    <row r="100" spans="4:48" s="25" customFormat="1" ht="16.5" customHeight="1">
      <c r="D100" s="295"/>
      <c r="E100" s="295"/>
      <c r="F100" s="295"/>
      <c r="G100" s="295"/>
      <c r="H100" s="295"/>
      <c r="L100" s="777">
        <v>5</v>
      </c>
      <c r="M100" s="778"/>
      <c r="N100" s="976">
        <v>74</v>
      </c>
      <c r="O100" s="1020">
        <v>43</v>
      </c>
      <c r="P100" s="847">
        <f>VLOOKUP(N100,etat!$A$9:$N$1004,2,FALSE)</f>
        <v>0</v>
      </c>
      <c r="Q100" s="797" t="str">
        <f>VLOOKUP(N100,etat!$A$9:$N$963,7,FALSE)</f>
        <v>3ع ت1</v>
      </c>
      <c r="R100" s="797" t="str">
        <f>VLOOKUP(N100,etat!$A$9:$N$1003,9,FALSE)</f>
        <v>خ</v>
      </c>
      <c r="S100" s="866" t="str">
        <f>VLOOKUP(N100,etat!$A$9:$P$905,16,FALSE)</f>
        <v>ان/د3</v>
      </c>
      <c r="T100" s="755">
        <v>45782</v>
      </c>
      <c r="U100" s="784" t="s">
        <v>393</v>
      </c>
      <c r="V100" s="784" t="s">
        <v>2291</v>
      </c>
      <c r="W100" s="784"/>
      <c r="X100" s="784"/>
      <c r="Y100" s="1117"/>
      <c r="Z100" s="967"/>
      <c r="AA100" s="967">
        <v>6</v>
      </c>
      <c r="AH100" s="910"/>
      <c r="AI100" s="862"/>
      <c r="AJ100" s="302"/>
      <c r="AK100" s="910"/>
      <c r="AL100" s="911"/>
      <c r="AM100" s="911"/>
      <c r="AN100" s="911"/>
      <c r="AO100" s="911"/>
      <c r="AP100" s="912"/>
      <c r="AQ100" s="911"/>
      <c r="AR100" s="911"/>
      <c r="AS100" s="911"/>
      <c r="AT100" s="26"/>
      <c r="AU100" s="26"/>
      <c r="AV100" s="26"/>
    </row>
    <row r="101" spans="4:48" s="25" customFormat="1" ht="16.5" customHeight="1">
      <c r="D101" s="295"/>
      <c r="E101" s="295"/>
      <c r="F101" s="295"/>
      <c r="G101" s="295"/>
      <c r="H101" s="295"/>
      <c r="L101" s="777">
        <v>5</v>
      </c>
      <c r="M101" s="778"/>
      <c r="N101" s="976">
        <v>77</v>
      </c>
      <c r="O101" s="1020">
        <v>44</v>
      </c>
      <c r="P101" s="847">
        <f>VLOOKUP(N101,etat!$A$9:$N$1004,2,FALSE)</f>
        <v>0</v>
      </c>
      <c r="Q101" s="797" t="str">
        <f>VLOOKUP(N101,etat!$A$9:$N$963,7,FALSE)</f>
        <v>3ع ت1</v>
      </c>
      <c r="R101" s="797" t="str">
        <f>VLOOKUP(N101,etat!$A$9:$N$1003,9,FALSE)</f>
        <v>خ</v>
      </c>
      <c r="S101" s="866" t="str">
        <f>VLOOKUP(N101,etat!$A$9:$P$905,16,FALSE)</f>
        <v>ذخ3</v>
      </c>
      <c r="T101" s="755">
        <v>45782</v>
      </c>
      <c r="U101" s="784" t="s">
        <v>393</v>
      </c>
      <c r="V101" s="784" t="s">
        <v>2291</v>
      </c>
      <c r="W101" s="784"/>
      <c r="X101" s="784"/>
      <c r="Y101" s="1117"/>
      <c r="Z101" s="967"/>
      <c r="AA101" s="967">
        <v>6</v>
      </c>
      <c r="AH101" s="910"/>
      <c r="AI101" s="862"/>
      <c r="AJ101" s="302"/>
      <c r="AK101" s="910"/>
      <c r="AL101" s="911"/>
      <c r="AM101" s="911"/>
      <c r="AN101" s="911"/>
      <c r="AO101" s="911"/>
      <c r="AP101" s="912"/>
      <c r="AQ101" s="911"/>
      <c r="AR101" s="911"/>
      <c r="AS101" s="911"/>
      <c r="AT101" s="26"/>
      <c r="AU101" s="26"/>
      <c r="AV101" s="26"/>
    </row>
    <row r="102" spans="4:48" s="25" customFormat="1" ht="16.5" customHeight="1">
      <c r="D102" s="295"/>
      <c r="E102" s="295"/>
      <c r="F102" s="295"/>
      <c r="G102" s="295"/>
      <c r="H102" s="295"/>
      <c r="L102" s="777">
        <v>5</v>
      </c>
      <c r="M102" s="778"/>
      <c r="N102" s="976">
        <v>79</v>
      </c>
      <c r="O102" s="1020">
        <v>45</v>
      </c>
      <c r="P102" s="847">
        <f>VLOOKUP(N102,etat!$A$9:$N$1004,2,FALSE)</f>
        <v>0</v>
      </c>
      <c r="Q102" s="797" t="str">
        <f>VLOOKUP(N102,etat!$A$9:$N$963,7,FALSE)</f>
        <v>3ع ت1</v>
      </c>
      <c r="R102" s="797" t="str">
        <f>VLOOKUP(N102,etat!$A$9:$N$1003,9,FALSE)</f>
        <v>خ</v>
      </c>
      <c r="S102" s="866" t="str">
        <f>VLOOKUP(N102,etat!$A$9:$P$905,16,FALSE)</f>
        <v>ذخ3</v>
      </c>
      <c r="T102" s="755">
        <v>45782</v>
      </c>
      <c r="U102" s="784" t="s">
        <v>393</v>
      </c>
      <c r="V102" s="784" t="s">
        <v>2291</v>
      </c>
      <c r="W102" s="784"/>
      <c r="X102" s="784"/>
      <c r="Y102" s="975"/>
      <c r="Z102" s="975"/>
      <c r="AA102" s="967">
        <v>7</v>
      </c>
      <c r="AH102" s="910"/>
      <c r="AI102" s="862"/>
      <c r="AJ102" s="302"/>
      <c r="AK102" s="910"/>
      <c r="AL102" s="911"/>
      <c r="AM102" s="911"/>
      <c r="AN102" s="911"/>
      <c r="AO102" s="911"/>
      <c r="AP102" s="912"/>
      <c r="AQ102" s="911"/>
      <c r="AR102" s="911"/>
      <c r="AS102" s="911"/>
      <c r="AT102" s="26"/>
      <c r="AU102" s="26"/>
      <c r="AV102" s="26"/>
    </row>
    <row r="103" spans="4:48" s="25" customFormat="1" ht="16.5" customHeight="1">
      <c r="D103" s="295"/>
      <c r="E103" s="295"/>
      <c r="F103" s="295"/>
      <c r="G103" s="295"/>
      <c r="H103" s="295"/>
      <c r="L103" s="777">
        <v>5</v>
      </c>
      <c r="M103" s="778"/>
      <c r="N103" s="976">
        <v>80</v>
      </c>
      <c r="O103" s="1020">
        <v>46</v>
      </c>
      <c r="P103" s="847">
        <f>VLOOKUP(N103,etat!$A$9:$N$1004,2,FALSE)</f>
        <v>0</v>
      </c>
      <c r="Q103" s="797" t="str">
        <f>VLOOKUP(N103,etat!$A$9:$N$963,7,FALSE)</f>
        <v>3ع ت1</v>
      </c>
      <c r="R103" s="797" t="str">
        <f>VLOOKUP(N103,etat!$A$9:$N$1003,9,FALSE)</f>
        <v>خ</v>
      </c>
      <c r="S103" s="866" t="str">
        <f>VLOOKUP(N103,etat!$A$9:$P$905,16,FALSE)</f>
        <v>اخ3</v>
      </c>
      <c r="T103" s="755">
        <v>45782</v>
      </c>
      <c r="U103" s="784" t="s">
        <v>393</v>
      </c>
      <c r="V103" s="784" t="s">
        <v>2291</v>
      </c>
      <c r="W103" s="784"/>
      <c r="X103" s="784"/>
      <c r="Y103" s="975"/>
      <c r="Z103" s="975"/>
      <c r="AA103" s="967">
        <v>7</v>
      </c>
      <c r="AH103" s="910"/>
      <c r="AI103" s="862"/>
      <c r="AJ103" s="302"/>
      <c r="AK103" s="910"/>
      <c r="AL103" s="911"/>
      <c r="AM103" s="911"/>
      <c r="AN103" s="911"/>
      <c r="AO103" s="911"/>
      <c r="AP103" s="912"/>
      <c r="AQ103" s="911"/>
      <c r="AR103" s="911"/>
      <c r="AS103" s="911"/>
      <c r="AT103" s="26"/>
      <c r="AU103" s="26"/>
      <c r="AV103" s="26"/>
    </row>
    <row r="104" spans="4:48" s="25" customFormat="1" ht="16.5" customHeight="1">
      <c r="D104" s="295"/>
      <c r="E104" s="295"/>
      <c r="F104" s="295"/>
      <c r="G104" s="295"/>
      <c r="H104" s="295"/>
      <c r="L104" s="777">
        <v>5</v>
      </c>
      <c r="M104" s="778"/>
      <c r="N104" s="976">
        <v>81</v>
      </c>
      <c r="O104" s="1020">
        <v>47</v>
      </c>
      <c r="P104" s="847">
        <f>VLOOKUP(N104,etat!$A$9:$N$1004,2,FALSE)</f>
        <v>0</v>
      </c>
      <c r="Q104" s="797" t="str">
        <f>VLOOKUP(N104,etat!$A$9:$N$963,7,FALSE)</f>
        <v>3ع ت1</v>
      </c>
      <c r="R104" s="797" t="str">
        <f>VLOOKUP(N104,etat!$A$9:$N$1003,9,FALSE)</f>
        <v>خ</v>
      </c>
      <c r="S104" s="866" t="str">
        <f>VLOOKUP(N104,etat!$A$9:$P$905,16,FALSE)</f>
        <v>ذخ3</v>
      </c>
      <c r="T104" s="755">
        <v>45782</v>
      </c>
      <c r="U104" s="784" t="s">
        <v>393</v>
      </c>
      <c r="V104" s="784" t="s">
        <v>2291</v>
      </c>
      <c r="W104" s="784"/>
      <c r="X104" s="784"/>
      <c r="Y104" s="975"/>
      <c r="Z104" s="975"/>
      <c r="AA104" s="967">
        <v>7</v>
      </c>
      <c r="AH104" s="910"/>
      <c r="AI104" s="862"/>
      <c r="AJ104" s="302"/>
      <c r="AK104" s="910"/>
      <c r="AL104" s="911"/>
      <c r="AM104" s="911"/>
      <c r="AN104" s="911"/>
      <c r="AO104" s="911"/>
      <c r="AP104" s="912"/>
      <c r="AQ104" s="911"/>
      <c r="AR104" s="911"/>
      <c r="AS104" s="911"/>
      <c r="AT104" s="26"/>
      <c r="AU104" s="26"/>
      <c r="AV104" s="26"/>
    </row>
    <row r="105" spans="4:48" s="25" customFormat="1" ht="16.5" customHeight="1">
      <c r="D105" s="295"/>
      <c r="E105" s="295"/>
      <c r="F105" s="295"/>
      <c r="G105" s="295"/>
      <c r="H105" s="295"/>
      <c r="L105" s="777">
        <v>5</v>
      </c>
      <c r="M105" s="778"/>
      <c r="N105" s="976">
        <v>82</v>
      </c>
      <c r="O105" s="1020">
        <v>48</v>
      </c>
      <c r="P105" s="847">
        <f>VLOOKUP(N105,etat!$A$9:$N$1004,2,FALSE)</f>
        <v>0</v>
      </c>
      <c r="Q105" s="797" t="str">
        <f>VLOOKUP(N105,etat!$A$9:$N$963,7,FALSE)</f>
        <v>3ع ت1</v>
      </c>
      <c r="R105" s="797" t="str">
        <f>VLOOKUP(N105,etat!$A$9:$N$1003,9,FALSE)</f>
        <v>خ</v>
      </c>
      <c r="S105" s="866" t="str">
        <f>VLOOKUP(N105,etat!$A$9:$P$905,16,FALSE)</f>
        <v>اخ3</v>
      </c>
      <c r="T105" s="755">
        <v>45782</v>
      </c>
      <c r="U105" s="784" t="s">
        <v>393</v>
      </c>
      <c r="V105" s="784" t="s">
        <v>2291</v>
      </c>
      <c r="W105" s="784"/>
      <c r="X105" s="784"/>
      <c r="Y105" s="975"/>
      <c r="Z105" s="967"/>
      <c r="AA105" s="967">
        <v>7</v>
      </c>
      <c r="AH105" s="910"/>
      <c r="AI105" s="862"/>
      <c r="AJ105" s="302"/>
      <c r="AK105" s="910"/>
      <c r="AL105" s="911"/>
      <c r="AM105" s="911"/>
      <c r="AN105" s="911"/>
      <c r="AO105" s="911"/>
      <c r="AP105" s="912"/>
      <c r="AQ105" s="911"/>
      <c r="AR105" s="911"/>
      <c r="AS105" s="911"/>
      <c r="AT105" s="26"/>
      <c r="AU105" s="26"/>
      <c r="AV105" s="26"/>
    </row>
    <row r="106" spans="4:48" s="25" customFormat="1" ht="16.5" customHeight="1">
      <c r="D106" s="295"/>
      <c r="E106" s="295"/>
      <c r="F106" s="295"/>
      <c r="G106" s="295"/>
      <c r="H106" s="295"/>
      <c r="L106" s="777">
        <v>5</v>
      </c>
      <c r="M106" s="778"/>
      <c r="N106" s="976">
        <v>84</v>
      </c>
      <c r="O106" s="1020">
        <v>49</v>
      </c>
      <c r="P106" s="847">
        <f>VLOOKUP(N106,etat!$A$9:$N$1004,2,FALSE)</f>
        <v>0</v>
      </c>
      <c r="Q106" s="797" t="str">
        <f>VLOOKUP(N106,etat!$A$9:$N$963,7,FALSE)</f>
        <v>3ع ت1</v>
      </c>
      <c r="R106" s="797" t="str">
        <f>VLOOKUP(N106,etat!$A$9:$N$1003,9,FALSE)</f>
        <v>خ</v>
      </c>
      <c r="S106" s="866" t="str">
        <f>VLOOKUP(N106,etat!$A$9:$P$905,16,FALSE)</f>
        <v>اخ3</v>
      </c>
      <c r="T106" s="755">
        <v>45781</v>
      </c>
      <c r="U106" s="791">
        <v>5</v>
      </c>
      <c r="V106" s="784" t="s">
        <v>2285</v>
      </c>
      <c r="W106" s="784"/>
      <c r="X106" s="784"/>
      <c r="Y106" s="975"/>
      <c r="Z106" s="975"/>
      <c r="AA106" s="967">
        <v>7</v>
      </c>
      <c r="AH106" s="910"/>
      <c r="AI106" s="862"/>
      <c r="AJ106" s="302"/>
      <c r="AK106" s="910"/>
      <c r="AL106" s="911"/>
      <c r="AM106" s="911"/>
      <c r="AN106" s="911"/>
      <c r="AO106" s="911"/>
      <c r="AP106" s="912"/>
      <c r="AQ106" s="911"/>
      <c r="AR106" s="911"/>
      <c r="AS106" s="911"/>
      <c r="AT106" s="26"/>
      <c r="AU106" s="26"/>
      <c r="AV106" s="26"/>
    </row>
    <row r="107" spans="4:48" s="25" customFormat="1" ht="16.5" customHeight="1">
      <c r="D107" s="295"/>
      <c r="E107" s="295"/>
      <c r="F107" s="295"/>
      <c r="G107" s="295"/>
      <c r="H107" s="295"/>
      <c r="L107" s="777">
        <v>5</v>
      </c>
      <c r="M107" s="778"/>
      <c r="N107" s="976">
        <v>87</v>
      </c>
      <c r="O107" s="1020">
        <v>50</v>
      </c>
      <c r="P107" s="847">
        <f>VLOOKUP(N107,etat!$A$9:$N$1004,2,FALSE)</f>
        <v>0</v>
      </c>
      <c r="Q107" s="797" t="str">
        <f>VLOOKUP(N107,etat!$A$9:$N$963,7,FALSE)</f>
        <v>3ع ت1</v>
      </c>
      <c r="R107" s="797" t="str">
        <f>VLOOKUP(N107,etat!$A$9:$N$1003,9,FALSE)</f>
        <v>خ</v>
      </c>
      <c r="S107" s="866" t="str">
        <f>VLOOKUP(N107,etat!$A$9:$P$905,16,FALSE)</f>
        <v>اخ3</v>
      </c>
      <c r="T107" s="755">
        <v>45769</v>
      </c>
      <c r="U107" s="791">
        <v>17</v>
      </c>
      <c r="V107" s="784" t="s">
        <v>2278</v>
      </c>
      <c r="W107" s="784" t="s">
        <v>2283</v>
      </c>
      <c r="X107" s="784"/>
      <c r="Y107" s="975"/>
      <c r="Z107" s="975" t="str">
        <f>VLOOKUP(L107,[2]اس!$S$3:$X$31,3,FALSE)</f>
        <v>.</v>
      </c>
      <c r="AA107" s="967">
        <v>7</v>
      </c>
      <c r="AH107" s="910"/>
      <c r="AI107" s="862"/>
      <c r="AJ107" s="302"/>
      <c r="AK107" s="910"/>
      <c r="AL107" s="911"/>
      <c r="AM107" s="911"/>
      <c r="AN107" s="911"/>
      <c r="AO107" s="911"/>
      <c r="AP107" s="912"/>
      <c r="AQ107" s="911"/>
      <c r="AR107" s="911"/>
      <c r="AS107" s="911"/>
      <c r="AT107" s="26"/>
      <c r="AU107" s="26"/>
      <c r="AV107" s="26"/>
    </row>
    <row r="108" spans="4:48" s="25" customFormat="1" ht="16.5" customHeight="1">
      <c r="D108" s="295"/>
      <c r="E108" s="295"/>
      <c r="F108" s="295"/>
      <c r="G108" s="295"/>
      <c r="H108" s="295"/>
      <c r="L108" s="777">
        <v>5</v>
      </c>
      <c r="M108" s="778"/>
      <c r="N108" s="976">
        <v>88</v>
      </c>
      <c r="O108" s="1020">
        <v>51</v>
      </c>
      <c r="P108" s="847">
        <f>VLOOKUP(N108,etat!$A$9:$N$1004,2,FALSE)</f>
        <v>0</v>
      </c>
      <c r="Q108" s="797" t="str">
        <f>VLOOKUP(N108,etat!$A$9:$N$963,7,FALSE)</f>
        <v>3ع ت1</v>
      </c>
      <c r="R108" s="797" t="str">
        <f>VLOOKUP(N108,etat!$A$9:$N$1003,9,FALSE)</f>
        <v>خ</v>
      </c>
      <c r="S108" s="866" t="str">
        <f>VLOOKUP(N108,etat!$A$9:$P$905,16,FALSE)</f>
        <v>ذخ3</v>
      </c>
      <c r="T108" s="755">
        <v>45770</v>
      </c>
      <c r="U108" s="791">
        <v>16</v>
      </c>
      <c r="V108" s="784" t="s">
        <v>2280</v>
      </c>
      <c r="W108" s="784" t="s">
        <v>2283</v>
      </c>
      <c r="X108" s="784"/>
      <c r="Y108" s="975"/>
      <c r="Z108" s="975" t="str">
        <f>VLOOKUP(L108,[2]اس!$S$3:$X$31,3,FALSE)</f>
        <v>.</v>
      </c>
      <c r="AA108" s="967">
        <v>7</v>
      </c>
      <c r="AH108" s="910"/>
      <c r="AI108" s="862"/>
      <c r="AJ108" s="302"/>
      <c r="AK108" s="910"/>
      <c r="AL108" s="911"/>
      <c r="AM108" s="911"/>
      <c r="AN108" s="911"/>
      <c r="AO108" s="911"/>
      <c r="AP108" s="912"/>
      <c r="AQ108" s="911"/>
      <c r="AR108" s="911"/>
      <c r="AS108" s="911"/>
      <c r="AT108" s="26"/>
      <c r="AU108" s="26"/>
      <c r="AV108" s="26"/>
    </row>
    <row r="109" spans="4:48" s="25" customFormat="1" ht="16.5" customHeight="1">
      <c r="D109" s="295"/>
      <c r="E109" s="295"/>
      <c r="F109" s="295"/>
      <c r="G109" s="295"/>
      <c r="H109" s="295"/>
      <c r="L109" s="777">
        <v>5</v>
      </c>
      <c r="M109" s="778"/>
      <c r="N109" s="976">
        <v>89</v>
      </c>
      <c r="O109" s="1020">
        <v>52</v>
      </c>
      <c r="P109" s="847">
        <f>VLOOKUP(N109,etat!$A$9:$N$1004,2,FALSE)</f>
        <v>0</v>
      </c>
      <c r="Q109" s="797" t="str">
        <f>VLOOKUP(N109,etat!$A$9:$N$963,7,FALSE)</f>
        <v>3ع ت1</v>
      </c>
      <c r="R109" s="797" t="str">
        <f>VLOOKUP(N109,etat!$A$9:$N$1003,9,FALSE)</f>
        <v>خ</v>
      </c>
      <c r="S109" s="866" t="str">
        <f>VLOOKUP(N109,etat!$A$9:$P$905,16,FALSE)</f>
        <v>ذخ3</v>
      </c>
      <c r="T109" s="755">
        <v>45769</v>
      </c>
      <c r="U109" s="791">
        <v>17</v>
      </c>
      <c r="V109" s="784" t="s">
        <v>2278</v>
      </c>
      <c r="W109" s="784" t="s">
        <v>2283</v>
      </c>
      <c r="X109" s="784"/>
      <c r="Y109" s="975"/>
      <c r="Z109" s="975" t="str">
        <f>VLOOKUP(L109,[2]اس!$S$3:$X$31,3,FALSE)</f>
        <v>.</v>
      </c>
      <c r="AA109" s="967">
        <v>7</v>
      </c>
      <c r="AH109" s="910"/>
      <c r="AI109" s="862"/>
      <c r="AJ109" s="302"/>
      <c r="AK109" s="910"/>
      <c r="AL109" s="911"/>
      <c r="AM109" s="911"/>
      <c r="AN109" s="911"/>
      <c r="AO109" s="911"/>
      <c r="AP109" s="912"/>
      <c r="AQ109" s="911"/>
      <c r="AR109" s="911"/>
      <c r="AS109" s="911"/>
      <c r="AT109" s="26"/>
      <c r="AU109" s="26"/>
      <c r="AV109" s="26"/>
    </row>
    <row r="110" spans="4:48" s="25" customFormat="1" ht="16.5" customHeight="1">
      <c r="D110" s="295"/>
      <c r="E110" s="295"/>
      <c r="F110" s="295"/>
      <c r="G110" s="295"/>
      <c r="H110" s="295"/>
      <c r="L110" s="777">
        <v>5</v>
      </c>
      <c r="M110" s="778"/>
      <c r="N110" s="976">
        <v>90</v>
      </c>
      <c r="O110" s="1020">
        <v>53</v>
      </c>
      <c r="P110" s="847">
        <f>VLOOKUP(N110,etat!$A$9:$N$1004,2,FALSE)</f>
        <v>0</v>
      </c>
      <c r="Q110" s="797" t="str">
        <f>VLOOKUP(N110,etat!$A$9:$N$963,7,FALSE)</f>
        <v>3ع ت1</v>
      </c>
      <c r="R110" s="797" t="str">
        <f>VLOOKUP(N110,etat!$A$9:$N$1003,9,FALSE)</f>
        <v>خ</v>
      </c>
      <c r="S110" s="866" t="str">
        <f>VLOOKUP(N110,etat!$A$9:$P$905,16,FALSE)</f>
        <v>ذخ3</v>
      </c>
      <c r="T110" s="755">
        <v>45762</v>
      </c>
      <c r="U110" s="791">
        <v>24</v>
      </c>
      <c r="V110" s="784" t="s">
        <v>2268</v>
      </c>
      <c r="W110" s="784" t="s">
        <v>2278</v>
      </c>
      <c r="X110" s="784" t="s">
        <v>2283</v>
      </c>
      <c r="Y110" s="975"/>
      <c r="Z110" s="975" t="str">
        <f>VLOOKUP(L110,[2]اس!$S$3:$X$31,3,FALSE)</f>
        <v>.</v>
      </c>
      <c r="AA110" s="967">
        <v>7</v>
      </c>
      <c r="AH110" s="910"/>
      <c r="AI110" s="862"/>
      <c r="AJ110" s="302"/>
      <c r="AK110" s="910"/>
      <c r="AL110" s="911"/>
      <c r="AM110" s="911"/>
      <c r="AN110" s="911"/>
      <c r="AO110" s="911"/>
      <c r="AP110" s="912"/>
      <c r="AQ110" s="911"/>
      <c r="AR110" s="911"/>
      <c r="AS110" s="911"/>
      <c r="AT110" s="26"/>
      <c r="AU110" s="26"/>
      <c r="AV110" s="26"/>
    </row>
    <row r="111" spans="4:48" s="25" customFormat="1" ht="16.5" customHeight="1">
      <c r="D111" s="295"/>
      <c r="E111" s="295"/>
      <c r="F111" s="295"/>
      <c r="G111" s="295"/>
      <c r="H111" s="295"/>
      <c r="L111" s="777">
        <v>5</v>
      </c>
      <c r="M111" s="778"/>
      <c r="N111" s="976">
        <v>92</v>
      </c>
      <c r="O111" s="1020">
        <v>54</v>
      </c>
      <c r="P111" s="847">
        <f>VLOOKUP(N111,etat!$A$9:$N$1004,2,FALSE)</f>
        <v>0</v>
      </c>
      <c r="Q111" s="797" t="str">
        <f>VLOOKUP(N111,etat!$A$9:$N$963,7,FALSE)</f>
        <v>3ع ت1</v>
      </c>
      <c r="R111" s="797" t="str">
        <f>VLOOKUP(N111,etat!$A$9:$N$1003,9,FALSE)</f>
        <v>خ</v>
      </c>
      <c r="S111" s="866" t="str">
        <f>VLOOKUP(N111,etat!$A$9:$P$905,16,FALSE)</f>
        <v>ذخ3</v>
      </c>
      <c r="T111" s="755">
        <v>45781</v>
      </c>
      <c r="U111" s="791">
        <v>5</v>
      </c>
      <c r="V111" s="784" t="s">
        <v>2285</v>
      </c>
      <c r="W111" s="784"/>
      <c r="X111" s="784"/>
      <c r="Y111" s="975"/>
      <c r="Z111" s="975"/>
      <c r="AA111" s="967">
        <v>7</v>
      </c>
      <c r="AH111" s="910"/>
      <c r="AI111" s="862"/>
      <c r="AJ111" s="302"/>
      <c r="AK111" s="910"/>
      <c r="AL111" s="911"/>
      <c r="AM111" s="911"/>
      <c r="AN111" s="911"/>
      <c r="AO111" s="911"/>
      <c r="AP111" s="912"/>
      <c r="AQ111" s="911"/>
      <c r="AR111" s="911"/>
      <c r="AS111" s="911"/>
      <c r="AT111" s="26"/>
      <c r="AU111" s="26"/>
      <c r="AV111" s="26"/>
    </row>
    <row r="112" spans="4:48" s="25" customFormat="1" ht="16.5" customHeight="1">
      <c r="D112" s="295"/>
      <c r="E112" s="295"/>
      <c r="F112" s="295"/>
      <c r="G112" s="295"/>
      <c r="H112" s="295"/>
      <c r="L112" s="777">
        <v>5</v>
      </c>
      <c r="M112" s="778"/>
      <c r="N112" s="976">
        <v>93</v>
      </c>
      <c r="O112" s="1020">
        <v>55</v>
      </c>
      <c r="P112" s="847">
        <f>VLOOKUP(N112,etat!$A$9:$N$1004,2,FALSE)</f>
        <v>0</v>
      </c>
      <c r="Q112" s="797" t="str">
        <f>VLOOKUP(N112,etat!$A$9:$N$963,7,FALSE)</f>
        <v>3ع ت1</v>
      </c>
      <c r="R112" s="797" t="str">
        <f>VLOOKUP(N112,etat!$A$9:$N$1003,9,FALSE)</f>
        <v>خ</v>
      </c>
      <c r="S112" s="866" t="str">
        <f>VLOOKUP(N112,etat!$A$9:$P$905,16,FALSE)</f>
        <v>اخ3</v>
      </c>
      <c r="T112" s="755">
        <v>45781</v>
      </c>
      <c r="U112" s="791">
        <v>5</v>
      </c>
      <c r="V112" s="784" t="s">
        <v>2285</v>
      </c>
      <c r="W112" s="784"/>
      <c r="X112" s="784"/>
      <c r="Y112" s="975"/>
      <c r="Z112" s="967"/>
      <c r="AA112" s="967">
        <v>7</v>
      </c>
    </row>
    <row r="113" spans="4:27" s="25" customFormat="1" ht="16.5" customHeight="1">
      <c r="D113" s="295"/>
      <c r="E113" s="295"/>
      <c r="F113" s="295"/>
      <c r="G113" s="295"/>
      <c r="H113" s="295"/>
      <c r="L113" s="777">
        <v>5</v>
      </c>
      <c r="M113" s="778"/>
      <c r="N113" s="976">
        <v>94</v>
      </c>
      <c r="O113" s="1020">
        <v>56</v>
      </c>
      <c r="P113" s="847">
        <f>VLOOKUP(N113,etat!$A$9:$N$1004,2,FALSE)</f>
        <v>0</v>
      </c>
      <c r="Q113" s="797" t="str">
        <f>VLOOKUP(N113,etat!$A$9:$N$963,7,FALSE)</f>
        <v>3ع ت1</v>
      </c>
      <c r="R113" s="797" t="str">
        <f>VLOOKUP(N113,etat!$A$9:$N$1003,9,FALSE)</f>
        <v>خ</v>
      </c>
      <c r="S113" s="866" t="str">
        <f>VLOOKUP(N113,etat!$A$9:$P$905,16,FALSE)</f>
        <v>اخ3</v>
      </c>
      <c r="T113" s="755">
        <v>45781</v>
      </c>
      <c r="U113" s="791">
        <v>5</v>
      </c>
      <c r="V113" s="784" t="s">
        <v>2285</v>
      </c>
      <c r="W113" s="784"/>
      <c r="X113" s="784"/>
      <c r="Y113" s="975"/>
      <c r="Z113" s="975"/>
      <c r="AA113" s="967">
        <v>7</v>
      </c>
    </row>
    <row r="114" spans="4:27" s="25" customFormat="1" ht="16.5" customHeight="1">
      <c r="D114" s="295"/>
      <c r="E114" s="295"/>
      <c r="F114" s="295"/>
      <c r="G114" s="295"/>
      <c r="H114" s="295"/>
      <c r="L114" s="777">
        <v>5</v>
      </c>
      <c r="M114" s="778"/>
      <c r="N114" s="976">
        <v>95</v>
      </c>
      <c r="O114" s="1020">
        <v>57</v>
      </c>
      <c r="P114" s="847">
        <f>VLOOKUP(N114,etat!$A$9:$N$1004,2,FALSE)</f>
        <v>0</v>
      </c>
      <c r="Q114" s="797" t="str">
        <f>VLOOKUP(N114,etat!$A$9:$N$963,7,FALSE)</f>
        <v>3ع ت2</v>
      </c>
      <c r="R114" s="797" t="str">
        <f>VLOOKUP(N114,etat!$A$9:$N$1003,9,FALSE)</f>
        <v>ن/د</v>
      </c>
      <c r="S114" s="866" t="str">
        <f>VLOOKUP(N114,etat!$A$9:$P$905,16,FALSE)</f>
        <v>ذخ3</v>
      </c>
      <c r="T114" s="755">
        <v>45781</v>
      </c>
      <c r="U114" s="791">
        <v>5</v>
      </c>
      <c r="V114" s="784" t="s">
        <v>2285</v>
      </c>
      <c r="W114" s="784"/>
      <c r="X114" s="784"/>
      <c r="Y114" s="1116"/>
      <c r="Z114" s="975"/>
      <c r="AA114" s="967">
        <v>7</v>
      </c>
    </row>
    <row r="115" spans="4:27" s="25" customFormat="1" ht="16.5" customHeight="1">
      <c r="D115" s="295"/>
      <c r="E115" s="295"/>
      <c r="F115" s="295"/>
      <c r="G115" s="295"/>
      <c r="H115" s="295"/>
      <c r="L115" s="777">
        <v>5</v>
      </c>
      <c r="M115" s="778"/>
      <c r="N115" s="976">
        <v>97</v>
      </c>
      <c r="O115" s="1020">
        <v>58</v>
      </c>
      <c r="P115" s="847">
        <f>VLOOKUP(N115,etat!$A$9:$N$1004,2,FALSE)</f>
        <v>0</v>
      </c>
      <c r="Q115" s="797" t="str">
        <f>VLOOKUP(N115,etat!$A$9:$N$963,7,FALSE)</f>
        <v>3ع ت2</v>
      </c>
      <c r="R115" s="797" t="str">
        <f>VLOOKUP(N115,etat!$A$9:$N$1003,9,FALSE)</f>
        <v>خ</v>
      </c>
      <c r="S115" s="866" t="str">
        <f>VLOOKUP(N115,etat!$A$9:$P$905,16,FALSE)</f>
        <v>اخ3</v>
      </c>
      <c r="T115" s="755">
        <v>45769</v>
      </c>
      <c r="U115" s="1125">
        <v>17</v>
      </c>
      <c r="V115" s="784" t="s">
        <v>2278</v>
      </c>
      <c r="W115" s="784" t="s">
        <v>2283</v>
      </c>
      <c r="X115" s="784"/>
      <c r="Y115" s="975"/>
      <c r="Z115" s="975"/>
      <c r="AA115" s="967">
        <v>7</v>
      </c>
    </row>
    <row r="116" spans="4:27" s="25" customFormat="1" ht="16.5" customHeight="1">
      <c r="D116" s="295"/>
      <c r="E116" s="295"/>
      <c r="F116" s="295"/>
      <c r="G116" s="295"/>
      <c r="H116" s="295"/>
      <c r="L116" s="777">
        <v>5</v>
      </c>
      <c r="M116" s="778"/>
      <c r="N116" s="976">
        <v>98</v>
      </c>
      <c r="O116" s="1020">
        <v>59</v>
      </c>
      <c r="P116" s="847">
        <f>VLOOKUP(N116,etat!$A$9:$N$1004,2,FALSE)</f>
        <v>0</v>
      </c>
      <c r="Q116" s="797" t="str">
        <f>VLOOKUP(N116,etat!$A$9:$N$963,7,FALSE)</f>
        <v>3ع ت2</v>
      </c>
      <c r="R116" s="797" t="str">
        <f>VLOOKUP(N116,etat!$A$9:$N$1003,9,FALSE)</f>
        <v>خ</v>
      </c>
      <c r="S116" s="866" t="str">
        <f>VLOOKUP(N116,etat!$A$9:$P$905,16,FALSE)</f>
        <v>اخ3</v>
      </c>
      <c r="T116" s="755">
        <v>45782</v>
      </c>
      <c r="U116" s="1129" t="s">
        <v>393</v>
      </c>
      <c r="V116" s="784" t="s">
        <v>2291</v>
      </c>
      <c r="W116" s="784"/>
      <c r="X116" s="784"/>
      <c r="Y116" s="975"/>
      <c r="Z116" s="975"/>
      <c r="AA116" s="967">
        <v>7</v>
      </c>
    </row>
    <row r="117" spans="4:27" s="25" customFormat="1" ht="16.5" customHeight="1">
      <c r="D117" s="295"/>
      <c r="E117" s="295"/>
      <c r="F117" s="295"/>
      <c r="G117" s="295"/>
      <c r="H117" s="295"/>
      <c r="L117" s="777">
        <v>5</v>
      </c>
      <c r="M117" s="778"/>
      <c r="N117" s="976">
        <v>99</v>
      </c>
      <c r="O117" s="1020">
        <v>60</v>
      </c>
      <c r="P117" s="847">
        <f>VLOOKUP(N117,etat!$A$9:$N$1004,2,FALSE)</f>
        <v>0</v>
      </c>
      <c r="Q117" s="797" t="str">
        <f>VLOOKUP(N117,etat!$A$9:$N$963,7,FALSE)</f>
        <v>3ع ت2</v>
      </c>
      <c r="R117" s="797" t="str">
        <f>VLOOKUP(N117,etat!$A$9:$N$1003,9,FALSE)</f>
        <v>خ</v>
      </c>
      <c r="S117" s="866" t="str">
        <f>VLOOKUP(N117,etat!$A$9:$P$905,16,FALSE)</f>
        <v>ذخ3</v>
      </c>
      <c r="T117" s="755">
        <v>45781</v>
      </c>
      <c r="U117" s="791">
        <v>5</v>
      </c>
      <c r="V117" s="784" t="s">
        <v>2285</v>
      </c>
      <c r="W117" s="784"/>
      <c r="X117" s="784"/>
      <c r="Y117" s="975"/>
      <c r="Z117" s="975"/>
      <c r="AA117" s="967">
        <v>7</v>
      </c>
    </row>
    <row r="118" spans="4:27" s="25" customFormat="1" ht="16.5" customHeight="1">
      <c r="D118" s="295"/>
      <c r="E118" s="295"/>
      <c r="F118" s="295"/>
      <c r="G118" s="295"/>
      <c r="H118" s="295"/>
      <c r="L118" s="777">
        <v>5</v>
      </c>
      <c r="M118" s="778"/>
      <c r="N118" s="976">
        <v>100</v>
      </c>
      <c r="O118" s="1020">
        <v>61</v>
      </c>
      <c r="P118" s="847">
        <f>VLOOKUP(N118,etat!$A$9:$N$1004,2,FALSE)</f>
        <v>0</v>
      </c>
      <c r="Q118" s="797" t="str">
        <f>VLOOKUP(N118,etat!$A$9:$N$963,7,FALSE)</f>
        <v>3ع ت2</v>
      </c>
      <c r="R118" s="797" t="str">
        <f>VLOOKUP(N118,etat!$A$9:$N$1003,9,FALSE)</f>
        <v>خ</v>
      </c>
      <c r="S118" s="866" t="str">
        <f>VLOOKUP(N118,etat!$A$9:$P$905,16,FALSE)</f>
        <v>ذخ3</v>
      </c>
      <c r="T118" s="755">
        <v>45769</v>
      </c>
      <c r="U118" s="791">
        <v>17</v>
      </c>
      <c r="V118" s="784" t="s">
        <v>2278</v>
      </c>
      <c r="W118" s="784" t="s">
        <v>2283</v>
      </c>
      <c r="X118" s="784"/>
      <c r="Y118" s="1118"/>
      <c r="Z118" s="975" t="str">
        <f>VLOOKUP(L118,[2]اس!$S$3:$X$31,3,FALSE)</f>
        <v>.</v>
      </c>
      <c r="AA118" s="967">
        <v>7</v>
      </c>
    </row>
    <row r="119" spans="4:27" s="25" customFormat="1" ht="16.5" customHeight="1">
      <c r="D119" s="295"/>
      <c r="E119" s="295"/>
      <c r="F119" s="295"/>
      <c r="G119" s="295"/>
      <c r="H119" s="295"/>
      <c r="L119" s="777">
        <v>5</v>
      </c>
      <c r="M119" s="778"/>
      <c r="N119" s="976">
        <v>101</v>
      </c>
      <c r="O119" s="1020">
        <v>62</v>
      </c>
      <c r="P119" s="847">
        <f>VLOOKUP(N119,etat!$A$9:$N$1004,2,FALSE)</f>
        <v>0</v>
      </c>
      <c r="Q119" s="797" t="str">
        <f>VLOOKUP(N119,etat!$A$9:$N$963,7,FALSE)</f>
        <v>3ع ت2</v>
      </c>
      <c r="R119" s="797" t="str">
        <f>VLOOKUP(N119,etat!$A$9:$N$1003,9,FALSE)</f>
        <v>خ</v>
      </c>
      <c r="S119" s="866" t="str">
        <f>VLOOKUP(N119,etat!$A$9:$P$905,16,FALSE)</f>
        <v>ذخ3</v>
      </c>
      <c r="T119" s="755">
        <v>45769</v>
      </c>
      <c r="U119" s="1125">
        <v>17</v>
      </c>
      <c r="V119" s="784" t="s">
        <v>2278</v>
      </c>
      <c r="W119" s="784" t="s">
        <v>2283</v>
      </c>
      <c r="X119" s="784"/>
      <c r="Y119" s="1118"/>
      <c r="Z119" s="975" t="str">
        <f>VLOOKUP(L119,[2]اس!$S$3:$X$31,3,FALSE)</f>
        <v>.</v>
      </c>
      <c r="AA119" s="967">
        <v>7</v>
      </c>
    </row>
    <row r="120" spans="4:27" s="25" customFormat="1" ht="16.5" customHeight="1">
      <c r="D120" s="295"/>
      <c r="E120" s="295"/>
      <c r="F120" s="295"/>
      <c r="G120" s="295"/>
      <c r="H120" s="295"/>
      <c r="L120" s="777">
        <v>5</v>
      </c>
      <c r="M120" s="778"/>
      <c r="N120" s="976">
        <v>103</v>
      </c>
      <c r="O120" s="1020">
        <v>63</v>
      </c>
      <c r="P120" s="847">
        <f>VLOOKUP(N120,etat!$A$9:$N$1004,2,FALSE)</f>
        <v>0</v>
      </c>
      <c r="Q120" s="797" t="str">
        <f>VLOOKUP(N120,etat!$A$9:$N$963,7,FALSE)</f>
        <v>3ع ت2</v>
      </c>
      <c r="R120" s="797" t="str">
        <f>VLOOKUP(N120,etat!$A$9:$N$1003,9,FALSE)</f>
        <v>خ</v>
      </c>
      <c r="S120" s="866" t="str">
        <f>VLOOKUP(N120,etat!$A$9:$P$905,16,FALSE)</f>
        <v>اخ3</v>
      </c>
      <c r="T120" s="755">
        <v>45775</v>
      </c>
      <c r="U120" s="791">
        <v>11</v>
      </c>
      <c r="V120" s="784" t="s">
        <v>2282</v>
      </c>
      <c r="W120" s="784" t="s">
        <v>2287</v>
      </c>
      <c r="X120" s="869"/>
      <c r="Y120" s="975"/>
      <c r="Z120" s="967"/>
      <c r="AA120" s="967">
        <v>7</v>
      </c>
    </row>
    <row r="121" spans="4:27" s="25" customFormat="1" ht="16.5" customHeight="1">
      <c r="D121" s="295"/>
      <c r="E121" s="295"/>
      <c r="F121" s="295"/>
      <c r="G121" s="295"/>
      <c r="H121" s="295"/>
      <c r="L121" s="777">
        <v>5</v>
      </c>
      <c r="M121" s="778"/>
      <c r="N121" s="976">
        <v>105</v>
      </c>
      <c r="O121" s="1020">
        <v>64</v>
      </c>
      <c r="P121" s="847">
        <f>VLOOKUP(N121,etat!$A$9:$N$1004,2,FALSE)</f>
        <v>0</v>
      </c>
      <c r="Q121" s="797" t="str">
        <f>VLOOKUP(N121,etat!$A$9:$N$963,7,FALSE)</f>
        <v>3ع ت2</v>
      </c>
      <c r="R121" s="797" t="str">
        <f>VLOOKUP(N121,etat!$A$9:$N$1003,9,FALSE)</f>
        <v>خ</v>
      </c>
      <c r="S121" s="866" t="str">
        <f>VLOOKUP(N121,etat!$A$9:$P$905,16,FALSE)</f>
        <v>ان/د3</v>
      </c>
      <c r="T121" s="755">
        <v>45781</v>
      </c>
      <c r="U121" s="791">
        <v>5</v>
      </c>
      <c r="V121" s="784" t="s">
        <v>2285</v>
      </c>
      <c r="W121" s="784"/>
      <c r="X121" s="784"/>
      <c r="Y121" s="975"/>
      <c r="Z121" s="975"/>
      <c r="AA121" s="967">
        <v>7</v>
      </c>
    </row>
    <row r="122" spans="4:27" s="25" customFormat="1" ht="16.5" customHeight="1">
      <c r="D122" s="295"/>
      <c r="E122" s="295"/>
      <c r="F122" s="295"/>
      <c r="G122" s="295"/>
      <c r="H122" s="295"/>
      <c r="L122" s="777">
        <v>5</v>
      </c>
      <c r="M122" s="778"/>
      <c r="N122" s="976">
        <v>108</v>
      </c>
      <c r="O122" s="1020">
        <v>65</v>
      </c>
      <c r="P122" s="847">
        <f>VLOOKUP(N122,etat!$A$9:$N$1004,2,FALSE)</f>
        <v>0</v>
      </c>
      <c r="Q122" s="797" t="str">
        <f>VLOOKUP(N122,etat!$A$9:$N$963,7,FALSE)</f>
        <v>3ع ت2</v>
      </c>
      <c r="R122" s="797" t="str">
        <f>VLOOKUP(N122,etat!$A$9:$N$1003,9,FALSE)</f>
        <v>خ</v>
      </c>
      <c r="S122" s="866" t="str">
        <f>VLOOKUP(N122,etat!$A$9:$P$905,16,FALSE)</f>
        <v>ان/د3</v>
      </c>
      <c r="T122" s="755">
        <v>45781</v>
      </c>
      <c r="U122" s="791">
        <v>5</v>
      </c>
      <c r="V122" s="784" t="s">
        <v>2285</v>
      </c>
      <c r="W122" s="784"/>
      <c r="X122" s="784"/>
      <c r="Y122" s="975"/>
      <c r="Z122" s="975"/>
      <c r="AA122" s="967">
        <v>7</v>
      </c>
    </row>
    <row r="123" spans="4:27" s="25" customFormat="1" ht="16.5" customHeight="1">
      <c r="D123" s="295"/>
      <c r="E123" s="295"/>
      <c r="F123" s="295"/>
      <c r="G123" s="295"/>
      <c r="H123" s="295"/>
      <c r="L123" s="777">
        <v>5</v>
      </c>
      <c r="M123" s="778"/>
      <c r="N123" s="976">
        <v>109</v>
      </c>
      <c r="O123" s="1020">
        <v>66</v>
      </c>
      <c r="P123" s="847">
        <f>VLOOKUP(N123,etat!$A$9:$N$1004,2,FALSE)</f>
        <v>0</v>
      </c>
      <c r="Q123" s="797" t="str">
        <f>VLOOKUP(N123,etat!$A$9:$N$963,7,FALSE)</f>
        <v>3ع ت2</v>
      </c>
      <c r="R123" s="797" t="str">
        <f>VLOOKUP(N123,etat!$A$9:$N$1003,9,FALSE)</f>
        <v>خ</v>
      </c>
      <c r="S123" s="866" t="str">
        <f>VLOOKUP(N123,etat!$A$9:$P$905,16,FALSE)</f>
        <v>اخ3</v>
      </c>
      <c r="T123" s="755">
        <v>45782</v>
      </c>
      <c r="U123" s="791">
        <v>3</v>
      </c>
      <c r="V123" s="784" t="s">
        <v>2291</v>
      </c>
      <c r="W123" s="784"/>
      <c r="X123" s="784"/>
      <c r="Y123" s="1117"/>
      <c r="Z123" s="975"/>
      <c r="AA123" s="967">
        <v>7</v>
      </c>
    </row>
    <row r="124" spans="4:27" s="25" customFormat="1" ht="16.5" customHeight="1">
      <c r="D124" s="295"/>
      <c r="E124" s="295"/>
      <c r="F124" s="295"/>
      <c r="G124" s="295"/>
      <c r="H124" s="295"/>
      <c r="L124" s="777">
        <v>5</v>
      </c>
      <c r="M124" s="778"/>
      <c r="N124" s="976">
        <v>110</v>
      </c>
      <c r="O124" s="1020">
        <v>67</v>
      </c>
      <c r="P124" s="847">
        <f>VLOOKUP(N124,etat!$A$9:$N$1004,2,FALSE)</f>
        <v>0</v>
      </c>
      <c r="Q124" s="797" t="str">
        <f>VLOOKUP(N124,etat!$A$9:$N$963,7,FALSE)</f>
        <v>3ع ت2</v>
      </c>
      <c r="R124" s="797" t="str">
        <f>VLOOKUP(N124,etat!$A$9:$N$1003,9,FALSE)</f>
        <v>خ</v>
      </c>
      <c r="S124" s="866" t="str">
        <f>VLOOKUP(N124,etat!$A$9:$P$905,16,FALSE)</f>
        <v>ذخ3</v>
      </c>
      <c r="T124" s="755">
        <v>45781</v>
      </c>
      <c r="U124" s="791">
        <v>5</v>
      </c>
      <c r="V124" s="784" t="s">
        <v>2285</v>
      </c>
      <c r="W124" s="784"/>
      <c r="X124" s="784"/>
      <c r="Y124" s="975"/>
      <c r="Z124" s="975"/>
      <c r="AA124" s="967">
        <v>7</v>
      </c>
    </row>
    <row r="125" spans="4:27" s="25" customFormat="1" ht="16.5" customHeight="1">
      <c r="D125" s="295"/>
      <c r="E125" s="295"/>
      <c r="F125" s="295"/>
      <c r="G125" s="295"/>
      <c r="H125" s="295"/>
      <c r="L125" s="777">
        <v>5</v>
      </c>
      <c r="M125" s="778"/>
      <c r="N125" s="976">
        <v>111</v>
      </c>
      <c r="O125" s="1020">
        <v>68</v>
      </c>
      <c r="P125" s="847">
        <f>VLOOKUP(N125,etat!$A$9:$N$1004,2,FALSE)</f>
        <v>0</v>
      </c>
      <c r="Q125" s="797" t="str">
        <f>VLOOKUP(N125,etat!$A$9:$N$963,7,FALSE)</f>
        <v>3ع ت2</v>
      </c>
      <c r="R125" s="797" t="str">
        <f>VLOOKUP(N125,etat!$A$9:$N$1003,9,FALSE)</f>
        <v>خ</v>
      </c>
      <c r="S125" s="866" t="str">
        <f>VLOOKUP(N125,etat!$A$9:$P$905,16,FALSE)</f>
        <v>اخ3</v>
      </c>
      <c r="T125" s="755">
        <v>45781</v>
      </c>
      <c r="U125" s="791">
        <v>5</v>
      </c>
      <c r="V125" s="784" t="s">
        <v>2285</v>
      </c>
      <c r="W125" s="784"/>
      <c r="X125" s="784"/>
      <c r="Y125" s="975"/>
      <c r="Z125" s="975"/>
      <c r="AA125" s="967">
        <v>7</v>
      </c>
    </row>
    <row r="126" spans="4:27" s="25" customFormat="1" ht="16.5" customHeight="1">
      <c r="D126" s="295"/>
      <c r="E126" s="295"/>
      <c r="F126" s="295"/>
      <c r="G126" s="295"/>
      <c r="H126" s="295"/>
      <c r="L126" s="777">
        <v>5</v>
      </c>
      <c r="M126" s="778"/>
      <c r="N126" s="976">
        <v>118</v>
      </c>
      <c r="O126" s="1020">
        <v>69</v>
      </c>
      <c r="P126" s="847">
        <f>VLOOKUP(N126,etat!$A$9:$N$1004,2,FALSE)</f>
        <v>0</v>
      </c>
      <c r="Q126" s="797" t="str">
        <f>VLOOKUP(N126,etat!$A$9:$N$963,7,FALSE)</f>
        <v>3ع ت2</v>
      </c>
      <c r="R126" s="797" t="str">
        <f>VLOOKUP(N126,etat!$A$9:$N$1003,9,FALSE)</f>
        <v>خ</v>
      </c>
      <c r="S126" s="866" t="str">
        <f>VLOOKUP(N126,etat!$A$9:$P$905,16,FALSE)</f>
        <v>اخ3</v>
      </c>
      <c r="T126" s="755">
        <v>45771</v>
      </c>
      <c r="U126" s="791">
        <v>15</v>
      </c>
      <c r="V126" s="784" t="s">
        <v>2280</v>
      </c>
      <c r="W126" s="784" t="s">
        <v>2283</v>
      </c>
      <c r="X126" s="784"/>
      <c r="Y126" s="975"/>
      <c r="Z126" s="975"/>
      <c r="AA126" s="967">
        <v>6</v>
      </c>
    </row>
    <row r="127" spans="4:27" s="25" customFormat="1" ht="16.5" customHeight="1">
      <c r="D127" s="295"/>
      <c r="E127" s="295"/>
      <c r="F127" s="295"/>
      <c r="G127" s="295"/>
      <c r="H127" s="295"/>
      <c r="L127" s="777">
        <v>5</v>
      </c>
      <c r="M127" s="778"/>
      <c r="N127" s="976">
        <v>119</v>
      </c>
      <c r="O127" s="1020">
        <v>70</v>
      </c>
      <c r="P127" s="847">
        <f>VLOOKUP(N127,etat!$A$9:$N$1004,2,FALSE)</f>
        <v>0</v>
      </c>
      <c r="Q127" s="797" t="str">
        <f>VLOOKUP(N127,etat!$A$9:$N$963,7,FALSE)</f>
        <v>3ع ت2</v>
      </c>
      <c r="R127" s="797" t="str">
        <f>VLOOKUP(N127,etat!$A$9:$N$1003,9,FALSE)</f>
        <v>خ</v>
      </c>
      <c r="S127" s="866" t="str">
        <f>VLOOKUP(N127,etat!$A$9:$P$905,16,FALSE)</f>
        <v>اخ3</v>
      </c>
      <c r="T127" s="755">
        <v>45782</v>
      </c>
      <c r="U127" s="1129" t="s">
        <v>393</v>
      </c>
      <c r="V127" s="784" t="s">
        <v>2291</v>
      </c>
      <c r="W127" s="784"/>
      <c r="X127" s="784"/>
      <c r="Y127" s="975"/>
      <c r="Z127" s="975"/>
      <c r="AA127" s="967">
        <v>6</v>
      </c>
    </row>
    <row r="128" spans="4:27" s="25" customFormat="1" ht="16.5" customHeight="1">
      <c r="D128" s="295"/>
      <c r="E128" s="295"/>
      <c r="F128" s="295"/>
      <c r="G128" s="295"/>
      <c r="H128" s="295"/>
      <c r="L128" s="777">
        <v>5</v>
      </c>
      <c r="M128" s="778"/>
      <c r="N128" s="976">
        <v>120</v>
      </c>
      <c r="O128" s="1020">
        <v>71</v>
      </c>
      <c r="P128" s="847">
        <f>VLOOKUP(N128,etat!$A$9:$N$1004,2,FALSE)</f>
        <v>0</v>
      </c>
      <c r="Q128" s="797" t="str">
        <f>VLOOKUP(N128,etat!$A$9:$N$963,7,FALSE)</f>
        <v>3ع ت2</v>
      </c>
      <c r="R128" s="797" t="str">
        <f>VLOOKUP(N128,etat!$A$9:$N$1003,9,FALSE)</f>
        <v>خ</v>
      </c>
      <c r="S128" s="866" t="str">
        <f>VLOOKUP(N128,etat!$A$9:$P$905,16,FALSE)</f>
        <v>اخ3</v>
      </c>
      <c r="T128" s="755">
        <v>45782</v>
      </c>
      <c r="U128" s="1129" t="s">
        <v>393</v>
      </c>
      <c r="V128" s="784" t="s">
        <v>2291</v>
      </c>
      <c r="W128" s="784"/>
      <c r="X128" s="784"/>
      <c r="Y128" s="1117"/>
      <c r="Z128" s="967"/>
      <c r="AA128" s="967">
        <v>6</v>
      </c>
    </row>
    <row r="129" spans="4:27" s="25" customFormat="1" ht="16.5" customHeight="1">
      <c r="D129" s="295"/>
      <c r="E129" s="295"/>
      <c r="F129" s="295"/>
      <c r="G129" s="295"/>
      <c r="H129" s="295"/>
      <c r="L129" s="777">
        <v>5</v>
      </c>
      <c r="M129" s="778"/>
      <c r="N129" s="976">
        <v>126</v>
      </c>
      <c r="O129" s="1020">
        <v>72</v>
      </c>
      <c r="P129" s="847">
        <f>VLOOKUP(N129,etat!$A$9:$N$1004,2,FALSE)</f>
        <v>0</v>
      </c>
      <c r="Q129" s="797" t="str">
        <f>VLOOKUP(N129,etat!$A$9:$N$963,7,FALSE)</f>
        <v>3أ ف1</v>
      </c>
      <c r="R129" s="797" t="str">
        <f>VLOOKUP(N129,etat!$A$9:$N$1003,9,FALSE)</f>
        <v>ن/د</v>
      </c>
      <c r="S129" s="866" t="str">
        <f>VLOOKUP(N129,etat!$A$9:$P$905,16,FALSE)</f>
        <v>اخ3</v>
      </c>
      <c r="T129" s="755">
        <v>45774</v>
      </c>
      <c r="U129" s="791">
        <v>12</v>
      </c>
      <c r="V129" s="784" t="s">
        <v>2281</v>
      </c>
      <c r="W129" s="784" t="s">
        <v>2285</v>
      </c>
      <c r="X129" s="784"/>
      <c r="Y129" s="1117"/>
      <c r="Z129" s="967"/>
      <c r="AA129" s="967">
        <v>6</v>
      </c>
    </row>
    <row r="130" spans="4:27" s="25" customFormat="1" ht="16.5" customHeight="1">
      <c r="D130" s="295"/>
      <c r="E130" s="295"/>
      <c r="F130" s="295"/>
      <c r="G130" s="295"/>
      <c r="H130" s="295"/>
      <c r="L130" s="777">
        <v>5</v>
      </c>
      <c r="M130" s="778"/>
      <c r="N130" s="976">
        <v>128</v>
      </c>
      <c r="O130" s="1020">
        <v>73</v>
      </c>
      <c r="P130" s="847">
        <f>VLOOKUP(N130,etat!$A$9:$N$1004,2,FALSE)</f>
        <v>0</v>
      </c>
      <c r="Q130" s="797" t="str">
        <f>VLOOKUP(N130,etat!$A$9:$N$963,7,FALSE)</f>
        <v>3أ ف1</v>
      </c>
      <c r="R130" s="797" t="str">
        <f>VLOOKUP(N130,etat!$A$9:$N$1003,9,FALSE)</f>
        <v>خ</v>
      </c>
      <c r="S130" s="866" t="str">
        <f>VLOOKUP(N130,etat!$A$9:$P$905,16,FALSE)</f>
        <v>اخ3</v>
      </c>
      <c r="T130" s="755">
        <v>45782</v>
      </c>
      <c r="U130" s="1129" t="s">
        <v>393</v>
      </c>
      <c r="V130" s="784" t="s">
        <v>2291</v>
      </c>
      <c r="W130" s="784"/>
      <c r="X130" s="784"/>
      <c r="Y130" s="1116"/>
      <c r="Z130" s="975"/>
      <c r="AA130" s="967">
        <v>6</v>
      </c>
    </row>
    <row r="131" spans="4:27" s="25" customFormat="1" ht="16.5" customHeight="1">
      <c r="D131" s="295"/>
      <c r="E131" s="295"/>
      <c r="F131" s="295"/>
      <c r="G131" s="295"/>
      <c r="H131" s="295"/>
      <c r="L131" s="777">
        <v>5</v>
      </c>
      <c r="M131" s="778"/>
      <c r="N131" s="976">
        <v>130</v>
      </c>
      <c r="O131" s="1020">
        <v>74</v>
      </c>
      <c r="P131" s="847">
        <f>VLOOKUP(N131,etat!$A$9:$N$1004,2,FALSE)</f>
        <v>0</v>
      </c>
      <c r="Q131" s="797" t="str">
        <f>VLOOKUP(N131,etat!$A$9:$N$963,7,FALSE)</f>
        <v>3أ ف1</v>
      </c>
      <c r="R131" s="797" t="str">
        <f>VLOOKUP(N131,etat!$A$9:$N$1003,9,FALSE)</f>
        <v>خ</v>
      </c>
      <c r="S131" s="866" t="str">
        <f>VLOOKUP(N131,etat!$A$9:$P$905,16,FALSE)</f>
        <v>اخ3</v>
      </c>
      <c r="T131" s="755">
        <v>45782</v>
      </c>
      <c r="U131" s="1129" t="s">
        <v>393</v>
      </c>
      <c r="V131" s="784" t="s">
        <v>2291</v>
      </c>
      <c r="W131" s="784"/>
      <c r="X131" s="784"/>
      <c r="Y131" s="975"/>
      <c r="Z131" s="975"/>
      <c r="AA131" s="967">
        <v>6</v>
      </c>
    </row>
    <row r="132" spans="4:27" s="25" customFormat="1" ht="16.5" customHeight="1">
      <c r="D132" s="295"/>
      <c r="E132" s="295"/>
      <c r="F132" s="295"/>
      <c r="G132" s="295"/>
      <c r="H132" s="295"/>
      <c r="L132" s="777">
        <v>5</v>
      </c>
      <c r="M132" s="778"/>
      <c r="N132" s="976">
        <v>131</v>
      </c>
      <c r="O132" s="1020">
        <v>75</v>
      </c>
      <c r="P132" s="847">
        <f>VLOOKUP(N132,etat!$A$9:$N$1004,2,FALSE)</f>
        <v>0</v>
      </c>
      <c r="Q132" s="797" t="str">
        <f>VLOOKUP(N132,etat!$A$9:$N$963,7,FALSE)</f>
        <v>3أ ف1</v>
      </c>
      <c r="R132" s="797" t="str">
        <f>VLOOKUP(N132,etat!$A$9:$N$1003,9,FALSE)</f>
        <v>خ</v>
      </c>
      <c r="S132" s="866" t="str">
        <f>VLOOKUP(N132,etat!$A$9:$P$905,16,FALSE)</f>
        <v>ذخ3</v>
      </c>
      <c r="T132" s="755">
        <v>45764</v>
      </c>
      <c r="U132" s="791">
        <v>22</v>
      </c>
      <c r="V132" s="784" t="s">
        <v>2269</v>
      </c>
      <c r="W132" s="784" t="s">
        <v>2280</v>
      </c>
      <c r="X132" s="784" t="s">
        <v>2283</v>
      </c>
      <c r="Y132" s="975"/>
      <c r="Z132" s="975" t="str">
        <f>VLOOKUP(L132,[2]اس!$S$3:$X$31,3,FALSE)</f>
        <v>.</v>
      </c>
      <c r="AA132" s="967">
        <v>6</v>
      </c>
    </row>
    <row r="133" spans="4:27" s="25" customFormat="1" ht="16.5" customHeight="1">
      <c r="D133" s="295"/>
      <c r="E133" s="295"/>
      <c r="F133" s="295"/>
      <c r="G133" s="295"/>
      <c r="H133" s="295"/>
      <c r="L133" s="777">
        <v>5</v>
      </c>
      <c r="M133" s="778"/>
      <c r="N133" s="976">
        <v>133</v>
      </c>
      <c r="O133" s="1020">
        <v>76</v>
      </c>
      <c r="P133" s="847">
        <f>VLOOKUP(N133,etat!$A$9:$N$1004,2,FALSE)</f>
        <v>0</v>
      </c>
      <c r="Q133" s="797" t="str">
        <f>VLOOKUP(N133,etat!$A$9:$N$963,7,FALSE)</f>
        <v>3أ ف1</v>
      </c>
      <c r="R133" s="797" t="str">
        <f>VLOOKUP(N133,etat!$A$9:$N$1003,9,FALSE)</f>
        <v>خ</v>
      </c>
      <c r="S133" s="866" t="str">
        <f>VLOOKUP(N133,etat!$A$9:$P$905,16,FALSE)</f>
        <v>ذخ3</v>
      </c>
      <c r="T133" s="755">
        <v>45782</v>
      </c>
      <c r="U133" s="1129" t="s">
        <v>393</v>
      </c>
      <c r="V133" s="784" t="s">
        <v>2291</v>
      </c>
      <c r="W133" s="784"/>
      <c r="X133" s="784"/>
      <c r="Y133" s="975"/>
      <c r="Z133" s="975"/>
      <c r="AA133" s="967">
        <v>6</v>
      </c>
    </row>
    <row r="134" spans="4:27" s="25" customFormat="1" ht="16.5" customHeight="1">
      <c r="D134" s="295"/>
      <c r="E134" s="295"/>
      <c r="F134" s="295"/>
      <c r="G134" s="295"/>
      <c r="H134" s="295"/>
      <c r="L134" s="777">
        <v>5</v>
      </c>
      <c r="M134" s="778"/>
      <c r="N134" s="976">
        <v>137</v>
      </c>
      <c r="O134" s="1020">
        <v>77</v>
      </c>
      <c r="P134" s="847">
        <f>VLOOKUP(N134,etat!$A$9:$N$1004,2,FALSE)</f>
        <v>0</v>
      </c>
      <c r="Q134" s="797" t="str">
        <f>VLOOKUP(N134,etat!$A$9:$N$963,7,FALSE)</f>
        <v>3أ ف1</v>
      </c>
      <c r="R134" s="797" t="str">
        <f>VLOOKUP(N134,etat!$A$9:$N$1003,9,FALSE)</f>
        <v>خ</v>
      </c>
      <c r="S134" s="866" t="str">
        <f>VLOOKUP(N134,etat!$A$9:$P$905,16,FALSE)</f>
        <v>ان/د3</v>
      </c>
      <c r="T134" s="755">
        <v>45771</v>
      </c>
      <c r="U134" s="791">
        <v>15</v>
      </c>
      <c r="V134" s="784" t="s">
        <v>2280</v>
      </c>
      <c r="W134" s="784" t="s">
        <v>2283</v>
      </c>
      <c r="X134" s="784"/>
      <c r="Y134" s="975"/>
      <c r="Z134" s="975"/>
      <c r="AA134" s="967">
        <v>6</v>
      </c>
    </row>
    <row r="135" spans="4:27" s="25" customFormat="1" ht="16.5" customHeight="1">
      <c r="D135" s="295"/>
      <c r="E135" s="295"/>
      <c r="F135" s="295"/>
      <c r="G135" s="295"/>
      <c r="H135" s="295"/>
      <c r="L135" s="777">
        <v>5</v>
      </c>
      <c r="M135" s="778"/>
      <c r="N135" s="976">
        <v>140</v>
      </c>
      <c r="O135" s="1020">
        <v>78</v>
      </c>
      <c r="P135" s="847">
        <f>VLOOKUP(N135,etat!$A$9:$N$1004,2,FALSE)</f>
        <v>0</v>
      </c>
      <c r="Q135" s="797" t="str">
        <f>VLOOKUP(N135,etat!$A$9:$N$963,7,FALSE)</f>
        <v>3أ ف1</v>
      </c>
      <c r="R135" s="797" t="str">
        <f>VLOOKUP(N135,etat!$A$9:$N$1003,9,FALSE)</f>
        <v>خ</v>
      </c>
      <c r="S135" s="866" t="str">
        <f>VLOOKUP(N135,etat!$A$9:$P$905,16,FALSE)</f>
        <v>ان/د3</v>
      </c>
      <c r="T135" s="755">
        <v>45781</v>
      </c>
      <c r="U135" s="791">
        <v>5</v>
      </c>
      <c r="V135" s="784" t="s">
        <v>2285</v>
      </c>
      <c r="W135" s="784"/>
      <c r="X135" s="784"/>
      <c r="Y135" s="975"/>
      <c r="Z135" s="975"/>
      <c r="AA135" s="967">
        <v>6</v>
      </c>
    </row>
    <row r="136" spans="4:27" s="25" customFormat="1" ht="16.5" customHeight="1">
      <c r="D136" s="295"/>
      <c r="E136" s="295"/>
      <c r="F136" s="295"/>
      <c r="G136" s="295"/>
      <c r="H136" s="295"/>
      <c r="L136" s="777">
        <v>5</v>
      </c>
      <c r="M136" s="778"/>
      <c r="N136" s="976">
        <v>143</v>
      </c>
      <c r="O136" s="1020">
        <v>79</v>
      </c>
      <c r="P136" s="847">
        <f>VLOOKUP(N136,etat!$A$9:$N$1004,2,FALSE)</f>
        <v>0</v>
      </c>
      <c r="Q136" s="797" t="str">
        <f>VLOOKUP(N136,etat!$A$9:$N$963,7,FALSE)</f>
        <v>3أ ف1</v>
      </c>
      <c r="R136" s="797" t="str">
        <f>VLOOKUP(N136,etat!$A$9:$N$1003,9,FALSE)</f>
        <v>خ</v>
      </c>
      <c r="S136" s="866" t="str">
        <f>VLOOKUP(N136,etat!$A$9:$P$905,16,FALSE)</f>
        <v>اخ3</v>
      </c>
      <c r="T136" s="755">
        <v>45771</v>
      </c>
      <c r="U136" s="791">
        <v>15</v>
      </c>
      <c r="V136" s="784" t="s">
        <v>2280</v>
      </c>
      <c r="W136" s="784" t="s">
        <v>2283</v>
      </c>
      <c r="X136" s="784"/>
      <c r="Y136" s="975"/>
      <c r="Z136" s="975"/>
      <c r="AA136" s="967">
        <v>6</v>
      </c>
    </row>
    <row r="137" spans="4:27" s="25" customFormat="1" ht="16.5" customHeight="1">
      <c r="D137" s="295"/>
      <c r="E137" s="295"/>
      <c r="F137" s="295"/>
      <c r="G137" s="295"/>
      <c r="H137" s="295"/>
      <c r="L137" s="777">
        <v>5</v>
      </c>
      <c r="M137" s="778"/>
      <c r="N137" s="976">
        <v>142</v>
      </c>
      <c r="O137" s="1020">
        <v>80</v>
      </c>
      <c r="P137" s="847">
        <f>VLOOKUP(N137,etat!$A$9:$N$1004,2,FALSE)</f>
        <v>0</v>
      </c>
      <c r="Q137" s="797" t="str">
        <f>VLOOKUP(N137,etat!$A$9:$N$963,7,FALSE)</f>
        <v>3أ ف1</v>
      </c>
      <c r="R137" s="797" t="str">
        <f>VLOOKUP(N137,etat!$A$9:$N$1003,9,FALSE)</f>
        <v>خ</v>
      </c>
      <c r="S137" s="866" t="str">
        <f>VLOOKUP(N137,etat!$A$9:$P$905,16,FALSE)</f>
        <v>اخ3</v>
      </c>
      <c r="T137" s="755">
        <v>45775</v>
      </c>
      <c r="U137" s="1125">
        <v>11</v>
      </c>
      <c r="V137" s="784" t="s">
        <v>2282</v>
      </c>
      <c r="W137" s="784" t="s">
        <v>2287</v>
      </c>
      <c r="X137" s="869"/>
      <c r="Y137" s="975"/>
      <c r="Z137" s="975"/>
      <c r="AA137" s="967">
        <v>6</v>
      </c>
    </row>
    <row r="138" spans="4:27" s="25" customFormat="1" ht="16.5" customHeight="1">
      <c r="D138" s="295"/>
      <c r="E138" s="295"/>
      <c r="F138" s="295"/>
      <c r="G138" s="295"/>
      <c r="H138" s="295"/>
      <c r="L138" s="777">
        <v>5</v>
      </c>
      <c r="M138" s="778"/>
      <c r="N138" s="976">
        <v>146</v>
      </c>
      <c r="O138" s="1020">
        <v>81</v>
      </c>
      <c r="P138" s="847">
        <f>VLOOKUP(N138,etat!$A$9:$N$1004,2,FALSE)</f>
        <v>0</v>
      </c>
      <c r="Q138" s="797" t="str">
        <f>VLOOKUP(N138,etat!$A$9:$N$963,7,FALSE)</f>
        <v>3أ ف1</v>
      </c>
      <c r="R138" s="797" t="str">
        <f>VLOOKUP(N138,etat!$A$9:$N$1003,9,FALSE)</f>
        <v>خ</v>
      </c>
      <c r="S138" s="866" t="str">
        <f>VLOOKUP(N138,etat!$A$9:$P$905,16,FALSE)</f>
        <v>ذخ3</v>
      </c>
      <c r="T138" s="755">
        <v>45777</v>
      </c>
      <c r="U138" s="784" t="s">
        <v>2290</v>
      </c>
      <c r="V138" s="784" t="s">
        <v>2283</v>
      </c>
      <c r="W138" s="784"/>
      <c r="X138" s="784"/>
      <c r="Y138" s="975"/>
      <c r="Z138" s="975" t="str">
        <f>VLOOKUP(L138,[2]اس!$S$3:$X$31,3,FALSE)</f>
        <v>.</v>
      </c>
      <c r="AA138" s="967">
        <v>6</v>
      </c>
    </row>
    <row r="139" spans="4:27" s="25" customFormat="1" ht="16.5" customHeight="1">
      <c r="D139" s="295"/>
      <c r="E139" s="295"/>
      <c r="F139" s="295"/>
      <c r="G139" s="295"/>
      <c r="H139" s="295"/>
      <c r="L139" s="777">
        <v>5</v>
      </c>
      <c r="M139" s="778"/>
      <c r="N139" s="976">
        <v>147</v>
      </c>
      <c r="O139" s="1020">
        <v>82</v>
      </c>
      <c r="P139" s="847">
        <f>VLOOKUP(N139,etat!$A$9:$N$1004,2,FALSE)</f>
        <v>0</v>
      </c>
      <c r="Q139" s="797" t="str">
        <f>VLOOKUP(N139,etat!$A$9:$N$963,7,FALSE)</f>
        <v>3أ ف1</v>
      </c>
      <c r="R139" s="797" t="str">
        <f>VLOOKUP(N139,etat!$A$9:$N$1003,9,FALSE)</f>
        <v>خ</v>
      </c>
      <c r="S139" s="866" t="str">
        <f>VLOOKUP(N139,etat!$A$9:$P$905,16,FALSE)</f>
        <v>اخ3</v>
      </c>
      <c r="T139" s="755">
        <v>45777</v>
      </c>
      <c r="U139" s="784" t="s">
        <v>2290</v>
      </c>
      <c r="V139" s="784" t="s">
        <v>2283</v>
      </c>
      <c r="W139" s="784"/>
      <c r="X139" s="784"/>
      <c r="Y139" s="975"/>
      <c r="Z139" s="975" t="str">
        <f>VLOOKUP(L139,[2]اس!$S$3:$X$31,3,FALSE)</f>
        <v>.</v>
      </c>
      <c r="AA139" s="967">
        <v>7</v>
      </c>
    </row>
    <row r="140" spans="4:27" s="25" customFormat="1" ht="16.5" customHeight="1">
      <c r="D140" s="295"/>
      <c r="E140" s="295"/>
      <c r="F140" s="295"/>
      <c r="G140" s="295"/>
      <c r="H140" s="295"/>
      <c r="L140" s="777">
        <v>5</v>
      </c>
      <c r="M140" s="778"/>
      <c r="N140" s="976">
        <v>149</v>
      </c>
      <c r="O140" s="1020">
        <v>83</v>
      </c>
      <c r="P140" s="847">
        <f>VLOOKUP(N140,etat!$A$9:$N$1004,2,FALSE)</f>
        <v>0</v>
      </c>
      <c r="Q140" s="797" t="str">
        <f>VLOOKUP(N140,etat!$A$9:$N$963,7,FALSE)</f>
        <v>3أ ف1</v>
      </c>
      <c r="R140" s="797" t="str">
        <f>VLOOKUP(N140,etat!$A$9:$N$1003,9,FALSE)</f>
        <v>خ</v>
      </c>
      <c r="S140" s="866" t="str">
        <f>VLOOKUP(N140,etat!$A$9:$P$905,16,FALSE)</f>
        <v>اخ3</v>
      </c>
      <c r="T140" s="755">
        <v>45769</v>
      </c>
      <c r="U140" s="791">
        <v>17</v>
      </c>
      <c r="V140" s="784" t="s">
        <v>2278</v>
      </c>
      <c r="W140" s="784" t="s">
        <v>2283</v>
      </c>
      <c r="X140" s="784"/>
      <c r="Y140" s="975"/>
      <c r="Z140" s="967"/>
      <c r="AA140" s="967">
        <v>7</v>
      </c>
    </row>
    <row r="141" spans="4:27" s="25" customFormat="1" ht="16.5" customHeight="1">
      <c r="D141" s="295"/>
      <c r="E141" s="295"/>
      <c r="F141" s="295"/>
      <c r="G141" s="295"/>
      <c r="H141" s="295"/>
      <c r="L141" s="777">
        <v>5</v>
      </c>
      <c r="M141" s="778"/>
      <c r="N141" s="976">
        <v>150</v>
      </c>
      <c r="O141" s="1020">
        <v>84</v>
      </c>
      <c r="P141" s="847">
        <f>VLOOKUP(N141,etat!$A$9:$N$1004,2,FALSE)</f>
        <v>0</v>
      </c>
      <c r="Q141" s="797" t="str">
        <f>VLOOKUP(N141,etat!$A$9:$N$963,7,FALSE)</f>
        <v>3أ ف1</v>
      </c>
      <c r="R141" s="797" t="str">
        <f>VLOOKUP(N141,etat!$A$9:$N$1003,9,FALSE)</f>
        <v>خ</v>
      </c>
      <c r="S141" s="866" t="str">
        <f>VLOOKUP(N141,etat!$A$9:$P$905,16,FALSE)</f>
        <v>ذخ3</v>
      </c>
      <c r="T141" s="755">
        <v>45776</v>
      </c>
      <c r="U141" s="791">
        <v>10</v>
      </c>
      <c r="V141" s="784" t="s">
        <v>2283</v>
      </c>
      <c r="W141" s="784"/>
      <c r="X141" s="784"/>
      <c r="Y141" s="975"/>
      <c r="Z141" s="975"/>
      <c r="AA141" s="967">
        <v>7</v>
      </c>
    </row>
    <row r="142" spans="4:27" s="25" customFormat="1" ht="16.5" customHeight="1">
      <c r="D142" s="295"/>
      <c r="E142" s="295"/>
      <c r="F142" s="295"/>
      <c r="G142" s="295"/>
      <c r="H142" s="295"/>
      <c r="L142" s="777">
        <v>5</v>
      </c>
      <c r="M142" s="778"/>
      <c r="N142" s="976">
        <v>154</v>
      </c>
      <c r="O142" s="1020">
        <v>85</v>
      </c>
      <c r="P142" s="847">
        <f>VLOOKUP(N142,etat!$A$9:$N$1004,2,FALSE)</f>
        <v>0</v>
      </c>
      <c r="Q142" s="797" t="str">
        <f>VLOOKUP(N142,etat!$A$9:$N$963,7,FALSE)</f>
        <v>3أ ف2</v>
      </c>
      <c r="R142" s="797" t="str">
        <f>VLOOKUP(N142,etat!$A$9:$N$1003,9,FALSE)</f>
        <v>ن/د</v>
      </c>
      <c r="S142" s="866" t="str">
        <f>VLOOKUP(N142,etat!$A$9:$P$905,16,FALSE)</f>
        <v>ذخ3</v>
      </c>
      <c r="T142" s="755">
        <v>45776</v>
      </c>
      <c r="U142" s="791">
        <v>10</v>
      </c>
      <c r="V142" s="784" t="s">
        <v>2283</v>
      </c>
      <c r="W142" s="784"/>
      <c r="X142" s="784"/>
      <c r="Y142" s="1118"/>
      <c r="Z142" s="975" t="str">
        <f>VLOOKUP(L143,[2]اس!$S$3:$X$31,3,FALSE)</f>
        <v>.</v>
      </c>
      <c r="AA142" s="967">
        <v>7</v>
      </c>
    </row>
    <row r="143" spans="4:27" s="25" customFormat="1" ht="16.5" customHeight="1">
      <c r="D143" s="295"/>
      <c r="E143" s="295"/>
      <c r="F143" s="295"/>
      <c r="G143" s="295"/>
      <c r="H143" s="295"/>
      <c r="L143" s="777">
        <v>5</v>
      </c>
      <c r="M143" s="778"/>
      <c r="N143" s="976">
        <v>155</v>
      </c>
      <c r="O143" s="1020">
        <v>86</v>
      </c>
      <c r="P143" s="847">
        <f>VLOOKUP(N143,etat!$A$9:$N$1004,2,FALSE)</f>
        <v>0</v>
      </c>
      <c r="Q143" s="797" t="str">
        <f>VLOOKUP(N143,etat!$A$9:$N$963,7,FALSE)</f>
        <v>3أ ف2</v>
      </c>
      <c r="R143" s="797" t="str">
        <f>VLOOKUP(N143,etat!$A$9:$N$1003,9,FALSE)</f>
        <v>ن/د</v>
      </c>
      <c r="S143" s="866" t="str">
        <f>VLOOKUP(N143,etat!$A$9:$P$905,16,FALSE)</f>
        <v>اخ3</v>
      </c>
      <c r="T143" s="755">
        <v>45776</v>
      </c>
      <c r="U143" s="791">
        <v>10</v>
      </c>
      <c r="V143" s="784" t="s">
        <v>2283</v>
      </c>
      <c r="W143" s="784"/>
      <c r="X143" s="784"/>
      <c r="Y143" s="975"/>
      <c r="Z143" s="967"/>
      <c r="AA143" s="967">
        <v>7</v>
      </c>
    </row>
    <row r="144" spans="4:27" s="25" customFormat="1" ht="16.5" customHeight="1">
      <c r="D144" s="295"/>
      <c r="E144" s="295"/>
      <c r="F144" s="295"/>
      <c r="G144" s="295"/>
      <c r="H144" s="295"/>
      <c r="L144" s="777">
        <v>5</v>
      </c>
      <c r="M144" s="778"/>
      <c r="N144" s="976">
        <v>156</v>
      </c>
      <c r="O144" s="1020">
        <v>87</v>
      </c>
      <c r="P144" s="847">
        <f>VLOOKUP(N144,etat!$A$9:$N$1004,2,FALSE)</f>
        <v>0</v>
      </c>
      <c r="Q144" s="797" t="str">
        <f>VLOOKUP(N144,etat!$A$9:$N$963,7,FALSE)</f>
        <v>3أ ف2</v>
      </c>
      <c r="R144" s="797" t="str">
        <f>VLOOKUP(N144,etat!$A$9:$N$1003,9,FALSE)</f>
        <v>ن/د</v>
      </c>
      <c r="S144" s="866" t="str">
        <f>VLOOKUP(N144,etat!$A$9:$P$905,16,FALSE)</f>
        <v>ذخ3</v>
      </c>
      <c r="T144" s="755">
        <v>45782</v>
      </c>
      <c r="U144" s="784" t="s">
        <v>393</v>
      </c>
      <c r="V144" s="784" t="s">
        <v>2291</v>
      </c>
      <c r="W144" s="784"/>
      <c r="X144" s="784"/>
      <c r="Y144" s="1118"/>
      <c r="Z144" s="967"/>
      <c r="AA144" s="967">
        <v>7</v>
      </c>
    </row>
    <row r="145" spans="4:53" s="25" customFormat="1" ht="16.5" customHeight="1">
      <c r="D145" s="295"/>
      <c r="E145" s="295"/>
      <c r="F145" s="295"/>
      <c r="G145" s="295"/>
      <c r="H145" s="295"/>
      <c r="L145" s="777">
        <v>5</v>
      </c>
      <c r="M145" s="778"/>
      <c r="N145" s="976">
        <v>157</v>
      </c>
      <c r="O145" s="1020">
        <v>88</v>
      </c>
      <c r="P145" s="847">
        <f>VLOOKUP(N145,etat!$A$9:$N$1004,2,FALSE)</f>
        <v>0</v>
      </c>
      <c r="Q145" s="797" t="str">
        <f>VLOOKUP(N145,etat!$A$9:$N$963,7,FALSE)</f>
        <v>3أ ف2</v>
      </c>
      <c r="R145" s="797" t="str">
        <f>VLOOKUP(N145,etat!$A$9:$N$1003,9,FALSE)</f>
        <v>ن/د</v>
      </c>
      <c r="S145" s="866" t="str">
        <f>VLOOKUP(N145,etat!$A$9:$P$905,16,FALSE)</f>
        <v>اخ3</v>
      </c>
      <c r="T145" s="755">
        <v>45782</v>
      </c>
      <c r="U145" s="784" t="s">
        <v>393</v>
      </c>
      <c r="V145" s="784" t="s">
        <v>2291</v>
      </c>
      <c r="W145" s="784"/>
      <c r="X145" s="784"/>
      <c r="Y145" s="1134"/>
      <c r="Z145" s="967"/>
      <c r="AA145" s="967">
        <v>7</v>
      </c>
    </row>
    <row r="146" spans="4:53" s="25" customFormat="1" ht="16.5" customHeight="1">
      <c r="D146" s="295"/>
      <c r="E146" s="295"/>
      <c r="F146" s="295"/>
      <c r="G146" s="295"/>
      <c r="H146" s="295"/>
      <c r="L146" s="777">
        <v>5</v>
      </c>
      <c r="M146" s="778"/>
      <c r="N146" s="976">
        <v>160</v>
      </c>
      <c r="O146" s="1020">
        <v>89</v>
      </c>
      <c r="P146" s="847">
        <f>VLOOKUP(N146,etat!$A$9:$N$1004,2,FALSE)</f>
        <v>0</v>
      </c>
      <c r="Q146" s="797" t="str">
        <f>VLOOKUP(N146,etat!$A$9:$N$963,7,FALSE)</f>
        <v>3أ ف2</v>
      </c>
      <c r="R146" s="797" t="str">
        <f>VLOOKUP(N146,etat!$A$9:$N$1003,9,FALSE)</f>
        <v>خ</v>
      </c>
      <c r="S146" s="866" t="str">
        <f>VLOOKUP(N146,etat!$A$9:$P$905,16,FALSE)</f>
        <v>ذخ3</v>
      </c>
      <c r="T146" s="755">
        <v>45757</v>
      </c>
      <c r="U146" s="791">
        <v>29</v>
      </c>
      <c r="V146" s="784" t="s">
        <v>2265</v>
      </c>
      <c r="W146" s="784" t="s">
        <v>2269</v>
      </c>
      <c r="X146" s="784" t="s">
        <v>2280</v>
      </c>
      <c r="Y146" s="975"/>
      <c r="Z146" s="975" t="str">
        <f>VLOOKUP(L147,[2]اس!$S$3:$X$31,3,FALSE)</f>
        <v>.</v>
      </c>
      <c r="AA146" s="967">
        <v>7</v>
      </c>
    </row>
    <row r="147" spans="4:53" s="25" customFormat="1" ht="16.5" customHeight="1">
      <c r="D147" s="295"/>
      <c r="E147" s="295"/>
      <c r="F147" s="295"/>
      <c r="G147" s="295"/>
      <c r="H147" s="295"/>
      <c r="L147" s="777">
        <v>5</v>
      </c>
      <c r="M147" s="778"/>
      <c r="N147" s="976">
        <v>161</v>
      </c>
      <c r="O147" s="1020">
        <v>90</v>
      </c>
      <c r="P147" s="847">
        <f>VLOOKUP(N147,etat!$A$9:$N$1004,2,FALSE)</f>
        <v>0</v>
      </c>
      <c r="Q147" s="797" t="str">
        <f>VLOOKUP(N147,etat!$A$9:$N$963,7,FALSE)</f>
        <v>3أ ف2</v>
      </c>
      <c r="R147" s="797" t="str">
        <f>VLOOKUP(N147,etat!$A$9:$N$1003,9,FALSE)</f>
        <v>خ</v>
      </c>
      <c r="S147" s="866" t="str">
        <f>VLOOKUP(N147,etat!$A$9:$P$905,16,FALSE)</f>
        <v>اخ3</v>
      </c>
      <c r="T147" s="755">
        <v>45774</v>
      </c>
      <c r="U147" s="791">
        <v>12</v>
      </c>
      <c r="V147" s="784" t="s">
        <v>2281</v>
      </c>
      <c r="W147" s="784" t="s">
        <v>2285</v>
      </c>
      <c r="X147" s="784"/>
      <c r="Y147" s="1117"/>
      <c r="Z147" s="967"/>
      <c r="AA147" s="967">
        <v>7</v>
      </c>
    </row>
    <row r="148" spans="4:53" s="25" customFormat="1" ht="16.5" customHeight="1">
      <c r="D148" s="295"/>
      <c r="E148" s="295"/>
      <c r="F148" s="295"/>
      <c r="G148" s="295"/>
      <c r="H148" s="295"/>
      <c r="L148" s="777">
        <v>5</v>
      </c>
      <c r="M148" s="778"/>
      <c r="N148" s="976">
        <v>163</v>
      </c>
      <c r="O148" s="1020">
        <v>91</v>
      </c>
      <c r="P148" s="847">
        <f>VLOOKUP(N148,etat!$A$9:$N$1004,2,FALSE)</f>
        <v>0</v>
      </c>
      <c r="Q148" s="797" t="str">
        <f>VLOOKUP(N148,etat!$A$9:$N$963,7,FALSE)</f>
        <v>3أ ف2</v>
      </c>
      <c r="R148" s="797" t="str">
        <f>VLOOKUP(N148,etat!$A$9:$N$1003,9,FALSE)</f>
        <v>خ</v>
      </c>
      <c r="S148" s="866" t="str">
        <f>VLOOKUP(N148,etat!$A$9:$P$905,16,FALSE)</f>
        <v>اخ3</v>
      </c>
      <c r="T148" s="755">
        <v>45770</v>
      </c>
      <c r="U148" s="791">
        <v>16</v>
      </c>
      <c r="V148" s="784" t="s">
        <v>2280</v>
      </c>
      <c r="W148" s="784" t="s">
        <v>2283</v>
      </c>
      <c r="X148" s="784"/>
      <c r="Y148" s="1116"/>
      <c r="Z148" s="975" t="str">
        <f>VLOOKUP(L149,[2]اس!$S$3:$X$31,3,FALSE)</f>
        <v>.</v>
      </c>
      <c r="AA148" s="967">
        <v>7</v>
      </c>
    </row>
    <row r="149" spans="4:53" s="25" customFormat="1" ht="16.5" customHeight="1">
      <c r="D149" s="295"/>
      <c r="E149" s="295"/>
      <c r="F149" s="295"/>
      <c r="G149" s="295"/>
      <c r="H149" s="295"/>
      <c r="L149" s="777">
        <v>5</v>
      </c>
      <c r="M149" s="778"/>
      <c r="N149" s="976">
        <v>166</v>
      </c>
      <c r="O149" s="1020">
        <v>92</v>
      </c>
      <c r="P149" s="847">
        <f>VLOOKUP(N149,etat!$A$9:$N$1004,2,FALSE)</f>
        <v>0</v>
      </c>
      <c r="Q149" s="797" t="str">
        <f>VLOOKUP(N149,etat!$A$9:$N$963,7,FALSE)</f>
        <v>3أ ف2</v>
      </c>
      <c r="R149" s="797" t="str">
        <f>VLOOKUP(N149,etat!$A$9:$N$1003,9,FALSE)</f>
        <v>خ</v>
      </c>
      <c r="S149" s="866" t="str">
        <f>VLOOKUP(N149,etat!$A$9:$P$905,16,FALSE)</f>
        <v>ذن/د3</v>
      </c>
      <c r="T149" s="755">
        <v>45770</v>
      </c>
      <c r="U149" s="791">
        <v>16</v>
      </c>
      <c r="V149" s="784" t="s">
        <v>2280</v>
      </c>
      <c r="W149" s="784" t="s">
        <v>2283</v>
      </c>
      <c r="X149" s="784"/>
      <c r="Y149" s="1116"/>
      <c r="Z149" s="967"/>
      <c r="AA149" s="967">
        <v>7</v>
      </c>
    </row>
    <row r="150" spans="4:53" s="25" customFormat="1" ht="16.5" customHeight="1">
      <c r="D150" s="295"/>
      <c r="E150" s="295"/>
      <c r="F150" s="295"/>
      <c r="G150" s="295"/>
      <c r="H150" s="295"/>
      <c r="L150" s="777">
        <v>5</v>
      </c>
      <c r="M150" s="778"/>
      <c r="N150" s="976">
        <v>169</v>
      </c>
      <c r="O150" s="1020">
        <v>93</v>
      </c>
      <c r="P150" s="847">
        <f>VLOOKUP(N150,etat!$A$9:$N$1004,2,FALSE)</f>
        <v>0</v>
      </c>
      <c r="Q150" s="797" t="str">
        <f>VLOOKUP(N150,etat!$A$9:$N$963,7,FALSE)</f>
        <v>3أ ف2</v>
      </c>
      <c r="R150" s="797" t="str">
        <f>VLOOKUP(N150,etat!$A$9:$N$1003,9,FALSE)</f>
        <v>خ</v>
      </c>
      <c r="S150" s="866" t="str">
        <f>VLOOKUP(N150,etat!$A$9:$P$905,16,FALSE)</f>
        <v>ان/د3</v>
      </c>
      <c r="T150" s="755">
        <v>45757</v>
      </c>
      <c r="U150" s="791">
        <v>29</v>
      </c>
      <c r="V150" s="784" t="s">
        <v>2265</v>
      </c>
      <c r="W150" s="784" t="s">
        <v>2269</v>
      </c>
      <c r="X150" s="784" t="s">
        <v>2280</v>
      </c>
      <c r="Y150" s="975"/>
      <c r="Z150" s="967"/>
      <c r="AA150" s="967">
        <v>7</v>
      </c>
    </row>
    <row r="151" spans="4:53" s="25" customFormat="1" ht="16.5" customHeight="1">
      <c r="D151" s="295"/>
      <c r="E151" s="295"/>
      <c r="F151" s="295"/>
      <c r="G151" s="295"/>
      <c r="H151" s="295"/>
      <c r="L151" s="777">
        <v>5</v>
      </c>
      <c r="M151" s="778"/>
      <c r="N151" s="976">
        <v>170</v>
      </c>
      <c r="O151" s="1020">
        <v>94</v>
      </c>
      <c r="P151" s="847">
        <f>VLOOKUP(N151,etat!$A$9:$N$1004,2,FALSE)</f>
        <v>0</v>
      </c>
      <c r="Q151" s="797" t="str">
        <f>VLOOKUP(N151,etat!$A$9:$N$963,7,FALSE)</f>
        <v>3أ ف2</v>
      </c>
      <c r="R151" s="797" t="str">
        <f>VLOOKUP(N151,etat!$A$9:$N$1003,9,FALSE)</f>
        <v>خ</v>
      </c>
      <c r="S151" s="866" t="str">
        <f>VLOOKUP(N151,etat!$A$9:$P$905,16,FALSE)</f>
        <v>ان/د3</v>
      </c>
      <c r="T151" s="755">
        <v>45775</v>
      </c>
      <c r="U151" s="791">
        <v>11</v>
      </c>
      <c r="V151" s="784" t="s">
        <v>2282</v>
      </c>
      <c r="W151" s="784" t="s">
        <v>2287</v>
      </c>
      <c r="X151" s="869"/>
      <c r="Y151" s="1118"/>
      <c r="Z151" s="975"/>
      <c r="AA151" s="967">
        <v>7</v>
      </c>
    </row>
    <row r="152" spans="4:53" s="25" customFormat="1" ht="16.5" customHeight="1">
      <c r="D152" s="295"/>
      <c r="E152" s="295"/>
      <c r="F152" s="295"/>
      <c r="G152" s="295"/>
      <c r="H152" s="295"/>
      <c r="L152" s="777">
        <v>5</v>
      </c>
      <c r="M152" s="778"/>
      <c r="N152" s="976">
        <v>171</v>
      </c>
      <c r="O152" s="1020">
        <v>95</v>
      </c>
      <c r="P152" s="847">
        <f>VLOOKUP(N152,etat!$A$9:$N$1004,2,FALSE)</f>
        <v>0</v>
      </c>
      <c r="Q152" s="797" t="str">
        <f>VLOOKUP(N152,etat!$A$9:$N$963,7,FALSE)</f>
        <v>3أ ف2</v>
      </c>
      <c r="R152" s="797" t="str">
        <f>VLOOKUP(N152,etat!$A$9:$N$1003,9,FALSE)</f>
        <v>خ</v>
      </c>
      <c r="S152" s="866" t="str">
        <f>VLOOKUP(N152,etat!$A$9:$P$905,16,FALSE)</f>
        <v>ذن/د3</v>
      </c>
      <c r="T152" s="755">
        <v>45776</v>
      </c>
      <c r="U152" s="791">
        <v>10</v>
      </c>
      <c r="V152" s="784" t="s">
        <v>2283</v>
      </c>
      <c r="W152" s="784" t="s">
        <v>2291</v>
      </c>
      <c r="X152" s="784"/>
      <c r="Y152" s="975"/>
      <c r="Z152" s="975"/>
      <c r="AA152" s="967">
        <v>7</v>
      </c>
    </row>
    <row r="153" spans="4:53" s="25" customFormat="1" ht="16.5" customHeight="1">
      <c r="D153" s="295"/>
      <c r="E153" s="295"/>
      <c r="F153" s="295"/>
      <c r="G153" s="295"/>
      <c r="H153" s="295"/>
      <c r="L153" s="777">
        <v>5</v>
      </c>
      <c r="M153" s="778"/>
      <c r="N153" s="976">
        <v>172</v>
      </c>
      <c r="O153" s="1020">
        <v>96</v>
      </c>
      <c r="P153" s="847">
        <f>VLOOKUP(N153,etat!$A$9:$N$1004,2,FALSE)</f>
        <v>0</v>
      </c>
      <c r="Q153" s="797" t="str">
        <f>VLOOKUP(N153,etat!$A$9:$N$963,7,FALSE)</f>
        <v>3أ ف2</v>
      </c>
      <c r="R153" s="797" t="str">
        <f>VLOOKUP(N153,etat!$A$9:$N$1003,9,FALSE)</f>
        <v>خ</v>
      </c>
      <c r="S153" s="866" t="str">
        <f>VLOOKUP(N153,etat!$A$9:$P$905,16,FALSE)</f>
        <v>ان/د3</v>
      </c>
      <c r="T153" s="755">
        <v>45777</v>
      </c>
      <c r="U153" s="784" t="s">
        <v>2290</v>
      </c>
      <c r="V153" s="784" t="s">
        <v>2283</v>
      </c>
      <c r="W153" s="784"/>
      <c r="X153" s="784"/>
      <c r="Y153" s="975"/>
      <c r="Z153" s="975"/>
      <c r="AA153" s="967">
        <v>7</v>
      </c>
      <c r="AX153" s="302"/>
      <c r="AY153" s="302"/>
      <c r="AZ153" s="302"/>
      <c r="BA153" s="302"/>
    </row>
    <row r="154" spans="4:53" s="25" customFormat="1" ht="16.5" customHeight="1">
      <c r="D154" s="295"/>
      <c r="E154" s="295"/>
      <c r="F154" s="295"/>
      <c r="G154" s="295"/>
      <c r="H154" s="295"/>
      <c r="L154" s="777">
        <v>5</v>
      </c>
      <c r="M154" s="778"/>
      <c r="N154" s="976">
        <v>174</v>
      </c>
      <c r="O154" s="1020">
        <v>97</v>
      </c>
      <c r="P154" s="847">
        <f>VLOOKUP(N154,etat!$A$9:$N$1004,2,FALSE)</f>
        <v>0</v>
      </c>
      <c r="Q154" s="797" t="str">
        <f>VLOOKUP(N154,etat!$A$9:$N$963,7,FALSE)</f>
        <v>3أ ف2</v>
      </c>
      <c r="R154" s="797" t="str">
        <f>VLOOKUP(N154,etat!$A$9:$N$1003,9,FALSE)</f>
        <v>خ</v>
      </c>
      <c r="S154" s="866" t="str">
        <f>VLOOKUP(N154,etat!$A$9:$P$905,16,FALSE)</f>
        <v>ذخ3</v>
      </c>
      <c r="T154" s="755">
        <v>45782</v>
      </c>
      <c r="U154" s="784" t="s">
        <v>393</v>
      </c>
      <c r="V154" s="784" t="s">
        <v>2291</v>
      </c>
      <c r="W154" s="784"/>
      <c r="X154" s="869"/>
      <c r="Y154" s="975"/>
      <c r="Z154" s="975"/>
      <c r="AA154" s="967">
        <v>7</v>
      </c>
      <c r="AX154" s="302"/>
      <c r="AY154" s="302"/>
      <c r="AZ154" s="302"/>
      <c r="BA154" s="302"/>
    </row>
    <row r="155" spans="4:53" s="25" customFormat="1" ht="16.5" customHeight="1">
      <c r="D155" s="295"/>
      <c r="E155" s="295"/>
      <c r="F155" s="295"/>
      <c r="G155" s="295"/>
      <c r="H155" s="295"/>
      <c r="L155" s="777">
        <v>5</v>
      </c>
      <c r="M155" s="778"/>
      <c r="N155" s="976">
        <v>175</v>
      </c>
      <c r="O155" s="1020">
        <v>98</v>
      </c>
      <c r="P155" s="847">
        <f>VLOOKUP(N155,etat!$A$9:$N$1004,2,FALSE)</f>
        <v>0</v>
      </c>
      <c r="Q155" s="797" t="str">
        <f>VLOOKUP(N155,etat!$A$9:$N$963,7,FALSE)</f>
        <v>3أ ف2</v>
      </c>
      <c r="R155" s="797" t="str">
        <f>VLOOKUP(N155,etat!$A$9:$N$1003,9,FALSE)</f>
        <v>خ</v>
      </c>
      <c r="S155" s="866" t="str">
        <f>VLOOKUP(N155,etat!$A$9:$P$905,16,FALSE)</f>
        <v>اخ3</v>
      </c>
      <c r="T155" s="755">
        <v>45777</v>
      </c>
      <c r="U155" s="784" t="s">
        <v>2290</v>
      </c>
      <c r="V155" s="784" t="s">
        <v>2283</v>
      </c>
      <c r="W155" s="784"/>
      <c r="X155" s="784"/>
      <c r="Y155" s="975"/>
      <c r="Z155" s="967"/>
      <c r="AA155" s="967">
        <v>7</v>
      </c>
      <c r="AX155" s="302"/>
      <c r="AY155" s="302"/>
      <c r="AZ155" s="302"/>
      <c r="BA155" s="302"/>
    </row>
    <row r="156" spans="4:53" s="25" customFormat="1" ht="16.5" customHeight="1">
      <c r="D156" s="295"/>
      <c r="E156" s="295"/>
      <c r="F156" s="295"/>
      <c r="G156" s="295"/>
      <c r="H156" s="295"/>
      <c r="L156" s="777">
        <v>5</v>
      </c>
      <c r="M156" s="778"/>
      <c r="N156" s="976">
        <v>177</v>
      </c>
      <c r="O156" s="1020">
        <v>99</v>
      </c>
      <c r="P156" s="847">
        <f>VLOOKUP(N156,etat!$A$9:$N$1004,2,FALSE)</f>
        <v>0</v>
      </c>
      <c r="Q156" s="797" t="str">
        <f>VLOOKUP(N156,etat!$A$9:$N$963,7,FALSE)</f>
        <v>3أ ف2</v>
      </c>
      <c r="R156" s="797" t="str">
        <f>VLOOKUP(N156,etat!$A$9:$N$1003,9,FALSE)</f>
        <v>خ</v>
      </c>
      <c r="S156" s="866" t="str">
        <f>VLOOKUP(N156,etat!$A$9:$P$905,16,FALSE)</f>
        <v>اخ3</v>
      </c>
      <c r="T156" s="755">
        <v>45771</v>
      </c>
      <c r="U156" s="791">
        <v>15</v>
      </c>
      <c r="V156" s="784" t="s">
        <v>2280</v>
      </c>
      <c r="W156" s="784" t="s">
        <v>2283</v>
      </c>
      <c r="X156" s="784"/>
      <c r="Y156" s="975"/>
      <c r="Z156" s="975" t="str">
        <f>VLOOKUP(L156,[2]اس!$S$3:$X$31,3,FALSE)</f>
        <v>.</v>
      </c>
      <c r="AA156" s="967">
        <v>7</v>
      </c>
      <c r="AX156" s="302"/>
      <c r="AY156" s="302"/>
      <c r="AZ156" s="302"/>
      <c r="BA156" s="302"/>
    </row>
    <row r="157" spans="4:53" s="25" customFormat="1" ht="16.5" customHeight="1">
      <c r="D157" s="295"/>
      <c r="E157" s="295"/>
      <c r="F157" s="295"/>
      <c r="G157" s="295"/>
      <c r="H157" s="295"/>
      <c r="L157" s="777">
        <v>5</v>
      </c>
      <c r="M157" s="778"/>
      <c r="N157" s="976">
        <v>181</v>
      </c>
      <c r="O157" s="1020">
        <v>100</v>
      </c>
      <c r="P157" s="847">
        <f>VLOOKUP(N157,etat!$A$9:$N$1004,2,FALSE)</f>
        <v>0</v>
      </c>
      <c r="Q157" s="797" t="str">
        <f>VLOOKUP(N157,etat!$A$9:$N$963,7,FALSE)</f>
        <v>3ل أ</v>
      </c>
      <c r="R157" s="797" t="str">
        <f>VLOOKUP(N157,etat!$A$9:$N$1003,9,FALSE)</f>
        <v>ن/د</v>
      </c>
      <c r="S157" s="866" t="str">
        <f>VLOOKUP(N157,etat!$A$9:$P$905,16,FALSE)</f>
        <v>اخ3</v>
      </c>
      <c r="T157" s="755">
        <v>45770</v>
      </c>
      <c r="U157" s="791">
        <v>16</v>
      </c>
      <c r="V157" s="784" t="s">
        <v>2280</v>
      </c>
      <c r="W157" s="784" t="s">
        <v>2283</v>
      </c>
      <c r="X157" s="784"/>
      <c r="Y157" s="975"/>
      <c r="Z157" s="975" t="str">
        <f>VLOOKUP(L157,[2]اس!$S$3:$X$31,3,FALSE)</f>
        <v>.</v>
      </c>
      <c r="AA157" s="967">
        <v>7</v>
      </c>
      <c r="AX157" s="302"/>
      <c r="AY157" s="302"/>
      <c r="AZ157" s="302"/>
      <c r="BA157" s="302"/>
    </row>
    <row r="158" spans="4:53" s="25" customFormat="1" ht="16.5" customHeight="1">
      <c r="D158" s="295"/>
      <c r="E158" s="295"/>
      <c r="F158" s="295"/>
      <c r="G158" s="295"/>
      <c r="H158" s="295"/>
      <c r="L158" s="777">
        <v>5</v>
      </c>
      <c r="M158" s="778"/>
      <c r="N158" s="976">
        <v>182</v>
      </c>
      <c r="O158" s="1020">
        <v>101</v>
      </c>
      <c r="P158" s="847">
        <f>VLOOKUP(N158,etat!$A$9:$N$1004,2,FALSE)</f>
        <v>0</v>
      </c>
      <c r="Q158" s="797" t="str">
        <f>VLOOKUP(N158,etat!$A$9:$N$963,7,FALSE)</f>
        <v>3ل أ</v>
      </c>
      <c r="R158" s="797" t="str">
        <f>VLOOKUP(N158,etat!$A$9:$N$1003,9,FALSE)</f>
        <v>خ</v>
      </c>
      <c r="S158" s="866" t="str">
        <f>VLOOKUP(N158,etat!$A$9:$P$905,16,FALSE)</f>
        <v>اخ3</v>
      </c>
      <c r="T158" s="755">
        <v>45769</v>
      </c>
      <c r="U158" s="791">
        <v>17</v>
      </c>
      <c r="V158" s="784" t="s">
        <v>2278</v>
      </c>
      <c r="W158" s="784" t="s">
        <v>2283</v>
      </c>
      <c r="X158" s="784"/>
      <c r="Y158" s="975"/>
      <c r="Z158" s="975" t="str">
        <f>VLOOKUP(L158,[2]اس!$S$3:$X$31,3,FALSE)</f>
        <v>.</v>
      </c>
      <c r="AA158" s="967">
        <v>7</v>
      </c>
      <c r="AX158" s="302"/>
      <c r="AY158" s="302"/>
      <c r="AZ158" s="302"/>
      <c r="BA158" s="302"/>
    </row>
    <row r="159" spans="4:53" s="25" customFormat="1" ht="16.5" customHeight="1">
      <c r="D159" s="295"/>
      <c r="E159" s="295"/>
      <c r="F159" s="295"/>
      <c r="G159" s="295"/>
      <c r="H159" s="295"/>
      <c r="L159" s="777">
        <v>5</v>
      </c>
      <c r="M159" s="778"/>
      <c r="N159" s="976">
        <v>183</v>
      </c>
      <c r="O159" s="1020">
        <v>102</v>
      </c>
      <c r="P159" s="847">
        <f>VLOOKUP(N159,etat!$A$9:$N$1004,2,FALSE)</f>
        <v>0</v>
      </c>
      <c r="Q159" s="797" t="str">
        <f>VLOOKUP(N159,etat!$A$9:$N$963,7,FALSE)</f>
        <v>3ل أ</v>
      </c>
      <c r="R159" s="797" t="str">
        <f>VLOOKUP(N159,etat!$A$9:$N$1003,9,FALSE)</f>
        <v>خ</v>
      </c>
      <c r="S159" s="866" t="str">
        <f>VLOOKUP(N159,etat!$A$9:$P$905,16,FALSE)</f>
        <v>اخ3</v>
      </c>
      <c r="T159" s="755">
        <v>45756</v>
      </c>
      <c r="U159" s="791">
        <v>30</v>
      </c>
      <c r="V159" s="784" t="s">
        <v>2265</v>
      </c>
      <c r="W159" s="784" t="s">
        <v>2269</v>
      </c>
      <c r="X159" s="784" t="s">
        <v>2280</v>
      </c>
      <c r="Y159" s="975"/>
      <c r="Z159" s="975" t="str">
        <f>VLOOKUP(L159,[2]اس!$S$3:$X$31,3,FALSE)</f>
        <v>.</v>
      </c>
      <c r="AA159" s="967">
        <v>7</v>
      </c>
      <c r="AX159" s="302"/>
      <c r="AY159" s="302"/>
      <c r="AZ159" s="302"/>
      <c r="BA159" s="302"/>
    </row>
    <row r="160" spans="4:53" s="25" customFormat="1" ht="16.5" customHeight="1">
      <c r="D160" s="295"/>
      <c r="E160" s="295"/>
      <c r="F160" s="295"/>
      <c r="G160" s="295"/>
      <c r="H160" s="295"/>
      <c r="L160" s="777">
        <v>5</v>
      </c>
      <c r="M160" s="778"/>
      <c r="N160" s="976">
        <v>192</v>
      </c>
      <c r="O160" s="1020">
        <v>103</v>
      </c>
      <c r="P160" s="847">
        <f>VLOOKUP(N160,etat!$A$9:$N$1004,2,FALSE)</f>
        <v>0</v>
      </c>
      <c r="Q160" s="797" t="str">
        <f>VLOOKUP(N160,etat!$A$9:$N$963,7,FALSE)</f>
        <v>3ل أ</v>
      </c>
      <c r="R160" s="797" t="str">
        <f>VLOOKUP(N160,etat!$A$9:$N$1003,9,FALSE)</f>
        <v>خ</v>
      </c>
      <c r="S160" s="866" t="str">
        <f>VLOOKUP(N160,etat!$A$9:$P$905,16,FALSE)</f>
        <v>ان/د3</v>
      </c>
      <c r="T160" s="755">
        <v>45762</v>
      </c>
      <c r="U160" s="791">
        <v>24</v>
      </c>
      <c r="V160" s="784" t="s">
        <v>2268</v>
      </c>
      <c r="W160" s="784" t="s">
        <v>2278</v>
      </c>
      <c r="X160" s="784" t="s">
        <v>2283</v>
      </c>
      <c r="Y160" s="975"/>
      <c r="Z160" s="975" t="str">
        <f>VLOOKUP(L160,[2]اس!$S$3:$X$31,3,FALSE)</f>
        <v>.</v>
      </c>
      <c r="AA160" s="967">
        <v>7</v>
      </c>
      <c r="AX160" s="302"/>
      <c r="AY160" s="302"/>
      <c r="AZ160" s="302"/>
      <c r="BA160" s="302"/>
    </row>
    <row r="161" spans="4:53" s="25" customFormat="1" ht="16.5" customHeight="1">
      <c r="D161" s="295"/>
      <c r="E161" s="295"/>
      <c r="F161" s="295"/>
      <c r="G161" s="295"/>
      <c r="H161" s="295"/>
      <c r="L161" s="777">
        <v>5</v>
      </c>
      <c r="M161" s="778"/>
      <c r="N161" s="976">
        <v>197</v>
      </c>
      <c r="O161" s="1020">
        <v>104</v>
      </c>
      <c r="P161" s="847">
        <f>VLOOKUP(N161,etat!$A$9:$N$1004,2,FALSE)</f>
        <v>0</v>
      </c>
      <c r="Q161" s="797" t="str">
        <f>VLOOKUP(N161,etat!$A$9:$N$963,7,FALSE)</f>
        <v>2ت ر كه</v>
      </c>
      <c r="R161" s="797" t="str">
        <f>VLOOKUP(N161,etat!$A$9:$N$1003,9,FALSE)</f>
        <v>ن/د</v>
      </c>
      <c r="S161" s="866" t="str">
        <f>VLOOKUP(N161,etat!$A$9:$P$905,16,FALSE)</f>
        <v>ان/د3</v>
      </c>
      <c r="T161" s="755">
        <v>45775</v>
      </c>
      <c r="U161" s="791">
        <v>11</v>
      </c>
      <c r="V161" s="784" t="s">
        <v>2282</v>
      </c>
      <c r="W161" s="784" t="s">
        <v>2287</v>
      </c>
      <c r="X161" s="784"/>
      <c r="Y161" s="975"/>
      <c r="Z161" s="975"/>
      <c r="AA161" s="967">
        <v>7</v>
      </c>
      <c r="AX161" s="302"/>
      <c r="AY161" s="302"/>
      <c r="AZ161" s="302"/>
      <c r="BA161" s="302"/>
    </row>
    <row r="162" spans="4:53" s="25" customFormat="1" ht="16.5" customHeight="1">
      <c r="D162" s="295"/>
      <c r="E162" s="295"/>
      <c r="F162" s="295"/>
      <c r="G162" s="295"/>
      <c r="H162" s="295"/>
      <c r="L162" s="777">
        <v>5</v>
      </c>
      <c r="M162" s="778"/>
      <c r="N162" s="976">
        <v>198</v>
      </c>
      <c r="O162" s="1020">
        <v>105</v>
      </c>
      <c r="P162" s="268">
        <f>VLOOKUP(N162,etat!$A$9:$N$1004,2,FALSE)</f>
        <v>0</v>
      </c>
      <c r="Q162" s="797" t="str">
        <f>VLOOKUP(N162,etat!$A$9:$N$963,7,FALSE)</f>
        <v>2ت ر كه</v>
      </c>
      <c r="R162" s="797" t="str">
        <f>VLOOKUP(N162,etat!$A$9:$N$1003,9,FALSE)</f>
        <v>خ</v>
      </c>
      <c r="S162" s="866" t="str">
        <f>VLOOKUP(N162,etat!$A$9:$P$905,16,FALSE)</f>
        <v>ذخ3</v>
      </c>
      <c r="T162" s="755">
        <v>45777</v>
      </c>
      <c r="U162" s="784" t="s">
        <v>2290</v>
      </c>
      <c r="V162" s="784" t="s">
        <v>2283</v>
      </c>
      <c r="W162" s="784"/>
      <c r="X162" s="784"/>
      <c r="Y162" s="975"/>
      <c r="Z162" s="975" t="str">
        <f>VLOOKUP(L162,[2]اس!$S$3:$X$31,3,FALSE)</f>
        <v>.</v>
      </c>
      <c r="AA162" s="967">
        <v>7</v>
      </c>
      <c r="AX162" s="302"/>
      <c r="AY162" s="302"/>
      <c r="AZ162" s="302"/>
      <c r="BA162" s="302"/>
    </row>
    <row r="163" spans="4:53" s="25" customFormat="1" ht="16.5" customHeight="1">
      <c r="D163" s="295"/>
      <c r="E163" s="295"/>
      <c r="F163" s="295"/>
      <c r="G163" s="295"/>
      <c r="H163" s="295"/>
      <c r="L163" s="777">
        <v>5</v>
      </c>
      <c r="M163" s="778"/>
      <c r="N163" s="976">
        <v>201</v>
      </c>
      <c r="O163" s="1020">
        <v>106</v>
      </c>
      <c r="P163" s="847">
        <f>VLOOKUP(N163,etat!$A$9:$N$1004,2,FALSE)</f>
        <v>0</v>
      </c>
      <c r="Q163" s="797" t="str">
        <f>VLOOKUP(N163,etat!$A$9:$N$963,7,FALSE)</f>
        <v>2ت ر كه</v>
      </c>
      <c r="R163" s="797" t="str">
        <f>VLOOKUP(N163,etat!$A$9:$N$1003,9,FALSE)</f>
        <v>خ</v>
      </c>
      <c r="S163" s="866" t="str">
        <f>VLOOKUP(N163,etat!$A$9:$P$905,16,FALSE)</f>
        <v>اخ3</v>
      </c>
      <c r="T163" s="755">
        <v>45769</v>
      </c>
      <c r="U163" s="791">
        <v>17</v>
      </c>
      <c r="V163" s="784" t="s">
        <v>2278</v>
      </c>
      <c r="W163" s="784" t="s">
        <v>2283</v>
      </c>
      <c r="X163" s="784"/>
      <c r="Y163" s="975"/>
      <c r="Z163" s="975" t="str">
        <f>VLOOKUP(L163,[2]اس!$S$3:$X$31,3,FALSE)</f>
        <v>.</v>
      </c>
      <c r="AA163" s="967">
        <v>7</v>
      </c>
      <c r="AX163" s="302"/>
      <c r="AY163" s="302"/>
      <c r="AZ163" s="302"/>
      <c r="BA163" s="302"/>
    </row>
    <row r="164" spans="4:53" s="25" customFormat="1" ht="16.5" customHeight="1">
      <c r="D164" s="295"/>
      <c r="E164" s="295"/>
      <c r="F164" s="295"/>
      <c r="G164" s="295"/>
      <c r="H164" s="295"/>
      <c r="L164" s="777">
        <v>5</v>
      </c>
      <c r="M164" s="778"/>
      <c r="N164" s="976">
        <v>202</v>
      </c>
      <c r="O164" s="1020">
        <v>107</v>
      </c>
      <c r="P164" s="847">
        <f>VLOOKUP(N164,etat!$A$9:$N$1004,2,FALSE)</f>
        <v>0</v>
      </c>
      <c r="Q164" s="797" t="str">
        <f>VLOOKUP(N164,etat!$A$9:$N$963,7,FALSE)</f>
        <v>2ت ر كه</v>
      </c>
      <c r="R164" s="797" t="str">
        <f>VLOOKUP(N164,etat!$A$9:$N$1003,9,FALSE)</f>
        <v>خ</v>
      </c>
      <c r="S164" s="866" t="str">
        <f>VLOOKUP(N164,etat!$A$9:$P$905,16,FALSE)</f>
        <v>اخ3</v>
      </c>
      <c r="T164" s="755">
        <v>45764</v>
      </c>
      <c r="U164" s="791">
        <v>22</v>
      </c>
      <c r="V164" s="784" t="s">
        <v>2269</v>
      </c>
      <c r="W164" s="784" t="s">
        <v>2280</v>
      </c>
      <c r="X164" s="784"/>
      <c r="Y164" s="1116"/>
      <c r="Z164" s="975" t="str">
        <f>VLOOKUP(L164,[2]اس!$S$3:$X$31,3,FALSE)</f>
        <v>.</v>
      </c>
      <c r="AA164" s="967">
        <v>7</v>
      </c>
      <c r="AX164" s="302"/>
      <c r="AY164" s="302"/>
      <c r="AZ164" s="302"/>
      <c r="BA164" s="302"/>
    </row>
    <row r="165" spans="4:53" s="25" customFormat="1" ht="16.5" customHeight="1">
      <c r="D165" s="295"/>
      <c r="E165" s="295"/>
      <c r="F165" s="295"/>
      <c r="G165" s="295"/>
      <c r="H165" s="295"/>
      <c r="L165" s="777">
        <v>5</v>
      </c>
      <c r="M165" s="778"/>
      <c r="N165" s="976">
        <v>786</v>
      </c>
      <c r="O165" s="1020">
        <v>108</v>
      </c>
      <c r="P165" s="847">
        <f>VLOOKUP(N165,etat!$A$9:$N$1004,2,FALSE)</f>
        <v>0</v>
      </c>
      <c r="Q165" s="797">
        <f>VLOOKUP(N165,etat!$A$9:$N$963,7,FALSE)</f>
        <v>0</v>
      </c>
      <c r="R165" s="797">
        <f>VLOOKUP(N165,etat!$A$9:$N$1003,9,FALSE)</f>
        <v>0</v>
      </c>
      <c r="S165" s="866">
        <f>VLOOKUP(N165,etat!$A$9:$P$905,16,FALSE)</f>
        <v>0</v>
      </c>
      <c r="T165" s="755">
        <v>45775</v>
      </c>
      <c r="U165" s="791">
        <v>11</v>
      </c>
      <c r="V165" s="784" t="s">
        <v>2282</v>
      </c>
      <c r="W165" s="784" t="s">
        <v>2287</v>
      </c>
      <c r="X165" s="869"/>
      <c r="Y165" s="975"/>
      <c r="Z165" s="975"/>
      <c r="AA165" s="967">
        <v>7</v>
      </c>
      <c r="AX165" s="302"/>
      <c r="AY165" s="302"/>
      <c r="AZ165" s="302"/>
      <c r="BA165" s="302"/>
    </row>
    <row r="166" spans="4:53" s="25" customFormat="1" ht="16.5" customHeight="1">
      <c r="D166" s="295"/>
      <c r="E166" s="295"/>
      <c r="F166" s="295"/>
      <c r="G166" s="295"/>
      <c r="H166" s="295"/>
      <c r="L166" s="777">
        <v>5</v>
      </c>
      <c r="M166" s="778"/>
      <c r="N166" s="976">
        <v>176</v>
      </c>
      <c r="O166" s="1020">
        <v>109</v>
      </c>
      <c r="P166" s="268">
        <f>VLOOKUP(N166,etat!$A$9:$N$1004,2,FALSE)</f>
        <v>0</v>
      </c>
      <c r="Q166" s="797" t="str">
        <f>VLOOKUP(N166,etat!$A$9:$N$963,7,FALSE)</f>
        <v>3أ ف2</v>
      </c>
      <c r="R166" s="797" t="str">
        <f>VLOOKUP(N166,etat!$A$9:$N$1003,9,FALSE)</f>
        <v>خ</v>
      </c>
      <c r="S166" s="866" t="str">
        <f>VLOOKUP(N166,etat!$A$9:$P$905,16,FALSE)</f>
        <v>اخ3</v>
      </c>
      <c r="T166" s="755">
        <v>45785</v>
      </c>
      <c r="U166" s="791">
        <v>1</v>
      </c>
      <c r="V166" s="784"/>
      <c r="W166" s="784"/>
      <c r="X166" s="784"/>
      <c r="Y166" s="975"/>
      <c r="Z166" s="967"/>
      <c r="AA166" s="967">
        <v>7</v>
      </c>
      <c r="AX166" s="302"/>
      <c r="AY166" s="302"/>
      <c r="AZ166" s="302"/>
      <c r="BA166" s="302"/>
    </row>
    <row r="167" spans="4:53" s="25" customFormat="1" ht="16.5" customHeight="1">
      <c r="D167" s="295"/>
      <c r="E167" s="295"/>
      <c r="F167" s="295"/>
      <c r="G167" s="295"/>
      <c r="H167" s="295"/>
      <c r="L167" s="777">
        <v>5</v>
      </c>
      <c r="M167" s="778"/>
      <c r="N167" s="976">
        <v>178</v>
      </c>
      <c r="O167" s="1020">
        <v>110</v>
      </c>
      <c r="P167" s="847">
        <f>VLOOKUP(N167,etat!$A$9:$N$1004,2,FALSE)</f>
        <v>0</v>
      </c>
      <c r="Q167" s="797" t="str">
        <f>VLOOKUP(N167,etat!$A$9:$N$963,7,FALSE)</f>
        <v>3ل أ</v>
      </c>
      <c r="R167" s="797" t="str">
        <f>VLOOKUP(N167,etat!$A$9:$N$1003,9,FALSE)</f>
        <v>ن/د</v>
      </c>
      <c r="S167" s="866" t="str">
        <f>VLOOKUP(N167,etat!$A$9:$P$905,16,FALSE)</f>
        <v>ذخ3</v>
      </c>
      <c r="T167" s="755">
        <v>45785</v>
      </c>
      <c r="U167" s="791">
        <v>1</v>
      </c>
      <c r="V167" s="784"/>
      <c r="W167" s="784"/>
      <c r="X167" s="784"/>
      <c r="Y167" s="975"/>
      <c r="Z167" s="975"/>
      <c r="AA167" s="967">
        <v>7</v>
      </c>
      <c r="AX167" s="302"/>
      <c r="AY167" s="302"/>
      <c r="AZ167" s="302"/>
      <c r="BA167" s="302"/>
    </row>
    <row r="168" spans="4:53" s="25" customFormat="1" ht="16.5" customHeight="1">
      <c r="D168" s="295"/>
      <c r="E168" s="295"/>
      <c r="F168" s="295"/>
      <c r="G168" s="295"/>
      <c r="H168" s="295"/>
      <c r="L168" s="777">
        <v>5</v>
      </c>
      <c r="M168" s="778"/>
      <c r="N168" s="976">
        <v>179</v>
      </c>
      <c r="O168" s="1020">
        <v>111</v>
      </c>
      <c r="P168" s="268">
        <f>VLOOKUP(N168,etat!$A$9:$N$1004,2,FALSE)</f>
        <v>0</v>
      </c>
      <c r="Q168" s="797" t="str">
        <f>VLOOKUP(N168,etat!$A$9:$N$963,7,FALSE)</f>
        <v>3ل أ</v>
      </c>
      <c r="R168" s="797" t="str">
        <f>VLOOKUP(N168,etat!$A$9:$N$1003,9,FALSE)</f>
        <v>ن/د</v>
      </c>
      <c r="S168" s="866" t="str">
        <f>VLOOKUP(N168,etat!$A$9:$P$905,16,FALSE)</f>
        <v>ذخ3</v>
      </c>
      <c r="T168" s="755">
        <v>45785</v>
      </c>
      <c r="U168" s="791">
        <v>1</v>
      </c>
      <c r="V168" s="784"/>
      <c r="W168" s="784"/>
      <c r="X168" s="784"/>
      <c r="Y168" s="975"/>
      <c r="Z168" s="967"/>
      <c r="AA168" s="967">
        <v>7</v>
      </c>
      <c r="AX168" s="302"/>
      <c r="AY168" s="302"/>
      <c r="AZ168" s="302"/>
      <c r="BA168" s="302"/>
    </row>
    <row r="169" spans="4:53" s="25" customFormat="1" ht="16.5" customHeight="1">
      <c r="D169" s="295"/>
      <c r="E169" s="295"/>
      <c r="F169" s="295"/>
      <c r="G169" s="295"/>
      <c r="H169" s="295"/>
      <c r="L169" s="777">
        <v>5</v>
      </c>
      <c r="M169" s="778"/>
      <c r="N169" s="976">
        <v>184</v>
      </c>
      <c r="O169" s="1020">
        <v>112</v>
      </c>
      <c r="P169" s="847">
        <f>VLOOKUP(N169,etat!$A$9:$N$1004,2,FALSE)</f>
        <v>0</v>
      </c>
      <c r="Q169" s="797" t="str">
        <f>VLOOKUP(N169,etat!$A$9:$N$963,7,FALSE)</f>
        <v>3ل أ</v>
      </c>
      <c r="R169" s="797" t="str">
        <f>VLOOKUP(N169,etat!$A$9:$N$1003,9,FALSE)</f>
        <v>خ</v>
      </c>
      <c r="S169" s="866" t="str">
        <f>VLOOKUP(N169,etat!$A$9:$P$905,16,FALSE)</f>
        <v>اخ3</v>
      </c>
      <c r="T169" s="755">
        <v>45785</v>
      </c>
      <c r="U169" s="791">
        <v>1</v>
      </c>
      <c r="V169" s="784"/>
      <c r="W169" s="784"/>
      <c r="X169" s="784"/>
      <c r="Y169" s="975"/>
      <c r="Z169" s="975"/>
      <c r="AA169" s="967">
        <v>7</v>
      </c>
      <c r="AX169" s="302"/>
      <c r="AY169" s="302"/>
      <c r="AZ169" s="302"/>
      <c r="BA169" s="302"/>
    </row>
    <row r="170" spans="4:53" s="25" customFormat="1" ht="16.5" customHeight="1">
      <c r="D170" s="295"/>
      <c r="E170" s="295"/>
      <c r="F170" s="295"/>
      <c r="G170" s="295"/>
      <c r="H170" s="295"/>
      <c r="L170" s="777">
        <v>5</v>
      </c>
      <c r="M170" s="778"/>
      <c r="N170" s="976">
        <v>185</v>
      </c>
      <c r="O170" s="1020">
        <v>113</v>
      </c>
      <c r="P170" s="847">
        <f>VLOOKUP(N170,etat!$A$9:$N$1004,2,FALSE)</f>
        <v>0</v>
      </c>
      <c r="Q170" s="797" t="str">
        <f>VLOOKUP(N170,etat!$A$9:$N$963,7,FALSE)</f>
        <v>3ل أ</v>
      </c>
      <c r="R170" s="797" t="str">
        <f>VLOOKUP(N170,etat!$A$9:$N$1003,9,FALSE)</f>
        <v>خ</v>
      </c>
      <c r="S170" s="866" t="str">
        <f>VLOOKUP(N170,etat!$A$9:$P$905,16,FALSE)</f>
        <v>اخ3</v>
      </c>
      <c r="T170" s="755">
        <v>45785</v>
      </c>
      <c r="U170" s="791">
        <v>1</v>
      </c>
      <c r="V170" s="784"/>
      <c r="W170" s="784"/>
      <c r="X170" s="784"/>
      <c r="Y170" s="975"/>
      <c r="Z170" s="975"/>
      <c r="AA170" s="967">
        <v>7</v>
      </c>
      <c r="AX170" s="302"/>
      <c r="AY170" s="302"/>
      <c r="AZ170" s="302"/>
      <c r="BA170" s="302"/>
    </row>
    <row r="171" spans="4:53" s="25" customFormat="1" ht="16.5" customHeight="1">
      <c r="D171" s="295"/>
      <c r="E171" s="295"/>
      <c r="F171" s="295"/>
      <c r="G171" s="295"/>
      <c r="H171" s="295"/>
      <c r="L171" s="777">
        <v>5</v>
      </c>
      <c r="M171" s="778"/>
      <c r="N171" s="976">
        <v>186</v>
      </c>
      <c r="O171" s="1020">
        <v>114</v>
      </c>
      <c r="P171" s="847">
        <f>VLOOKUP(N171,etat!$A$9:$N$1004,2,FALSE)</f>
        <v>0</v>
      </c>
      <c r="Q171" s="797" t="str">
        <f>VLOOKUP(N171,etat!$A$9:$N$963,7,FALSE)</f>
        <v>3ل أ</v>
      </c>
      <c r="R171" s="797" t="str">
        <f>VLOOKUP(N171,etat!$A$9:$N$1003,9,FALSE)</f>
        <v>خ</v>
      </c>
      <c r="S171" s="866" t="str">
        <f>VLOOKUP(N171,etat!$A$9:$P$905,16,FALSE)</f>
        <v>اخ3</v>
      </c>
      <c r="T171" s="755">
        <v>45785</v>
      </c>
      <c r="U171" s="791">
        <v>1</v>
      </c>
      <c r="V171" s="784"/>
      <c r="W171" s="784"/>
      <c r="X171" s="784"/>
      <c r="Y171" s="975"/>
      <c r="Z171" s="975"/>
      <c r="AA171" s="967">
        <v>7</v>
      </c>
      <c r="AX171" s="302"/>
      <c r="AY171" s="302"/>
      <c r="AZ171" s="302"/>
      <c r="BA171" s="302"/>
    </row>
    <row r="172" spans="4:53" s="25" customFormat="1" ht="16.5" customHeight="1">
      <c r="D172" s="295"/>
      <c r="E172" s="295"/>
      <c r="F172" s="295"/>
      <c r="G172" s="295"/>
      <c r="H172" s="295"/>
      <c r="L172" s="777">
        <v>5</v>
      </c>
      <c r="M172" s="778"/>
      <c r="N172" s="976">
        <v>187</v>
      </c>
      <c r="O172" s="1020">
        <v>115</v>
      </c>
      <c r="P172" s="847">
        <f>VLOOKUP(N172,etat!$A$9:$N$1004,2,FALSE)</f>
        <v>0</v>
      </c>
      <c r="Q172" s="797" t="str">
        <f>VLOOKUP(N172,etat!$A$9:$N$963,7,FALSE)</f>
        <v>3ل أ</v>
      </c>
      <c r="R172" s="797" t="str">
        <f>VLOOKUP(N172,etat!$A$9:$N$1003,9,FALSE)</f>
        <v>خ</v>
      </c>
      <c r="S172" s="866" t="str">
        <f>VLOOKUP(N172,etat!$A$9:$P$905,16,FALSE)</f>
        <v>ذخ3</v>
      </c>
      <c r="T172" s="755">
        <v>45785</v>
      </c>
      <c r="U172" s="791">
        <v>1</v>
      </c>
      <c r="V172" s="784"/>
      <c r="W172" s="784"/>
      <c r="X172" s="784"/>
      <c r="Y172" s="975"/>
      <c r="Z172" s="975"/>
      <c r="AA172" s="967">
        <v>7</v>
      </c>
      <c r="AX172" s="302"/>
      <c r="AY172" s="302"/>
      <c r="AZ172" s="302"/>
      <c r="BA172" s="302"/>
    </row>
    <row r="173" spans="4:53" s="25" customFormat="1" ht="16.5" customHeight="1">
      <c r="D173" s="295"/>
      <c r="E173" s="295"/>
      <c r="F173" s="295"/>
      <c r="G173" s="295"/>
      <c r="H173" s="295"/>
      <c r="L173" s="777">
        <v>5</v>
      </c>
      <c r="M173" s="778"/>
      <c r="N173" s="976">
        <v>188</v>
      </c>
      <c r="O173" s="1020">
        <v>116</v>
      </c>
      <c r="P173" s="1121">
        <f>VLOOKUP(N173,etat!$A$9:$N$1004,2,FALSE)</f>
        <v>0</v>
      </c>
      <c r="Q173" s="797" t="str">
        <f>VLOOKUP(N173,etat!$A$9:$N$963,7,FALSE)</f>
        <v>3ل أ</v>
      </c>
      <c r="R173" s="797" t="str">
        <f>VLOOKUP(N173,etat!$A$9:$N$1003,9,FALSE)</f>
        <v>خ</v>
      </c>
      <c r="S173" s="866" t="str">
        <f>VLOOKUP(N173,etat!$A$9:$P$905,16,FALSE)</f>
        <v>ذخ3</v>
      </c>
      <c r="T173" s="755">
        <v>45785</v>
      </c>
      <c r="U173" s="791">
        <v>1</v>
      </c>
      <c r="V173" s="784"/>
      <c r="W173" s="784"/>
      <c r="X173" s="784"/>
      <c r="Y173" s="975"/>
      <c r="Z173" s="975"/>
      <c r="AA173" s="967">
        <v>7</v>
      </c>
      <c r="AX173" s="302"/>
      <c r="AY173" s="302"/>
      <c r="AZ173" s="302"/>
      <c r="BA173" s="302"/>
    </row>
    <row r="174" spans="4:53" s="25" customFormat="1" ht="16.5" customHeight="1">
      <c r="D174" s="295"/>
      <c r="E174" s="295"/>
      <c r="F174" s="295"/>
      <c r="G174" s="295"/>
      <c r="H174" s="295"/>
      <c r="L174" s="777">
        <v>5</v>
      </c>
      <c r="M174" s="778"/>
      <c r="N174" s="976">
        <v>189</v>
      </c>
      <c r="O174" s="1020">
        <v>117</v>
      </c>
      <c r="P174" s="858">
        <f>VLOOKUP(N174,etat!$A$9:$N$1004,2,FALSE)</f>
        <v>0</v>
      </c>
      <c r="Q174" s="797" t="str">
        <f>VLOOKUP(N174,etat!$A$9:$N$963,7,FALSE)</f>
        <v>3ل أ</v>
      </c>
      <c r="R174" s="797" t="str">
        <f>VLOOKUP(N174,etat!$A$9:$N$1003,9,FALSE)</f>
        <v>خ</v>
      </c>
      <c r="S174" s="866" t="str">
        <f>VLOOKUP(N174,etat!$A$9:$P$905,16,FALSE)</f>
        <v>ذخ3</v>
      </c>
      <c r="T174" s="755">
        <v>45785</v>
      </c>
      <c r="U174" s="791">
        <v>1</v>
      </c>
      <c r="V174" s="784"/>
      <c r="W174" s="784"/>
      <c r="X174" s="784"/>
      <c r="Y174" s="975"/>
      <c r="Z174" s="975"/>
      <c r="AA174" s="967">
        <v>7</v>
      </c>
      <c r="AX174" s="302"/>
      <c r="AY174" s="302"/>
      <c r="AZ174" s="302"/>
      <c r="BA174" s="302"/>
    </row>
    <row r="175" spans="4:53" s="25" customFormat="1" ht="16.5" customHeight="1">
      <c r="D175" s="295"/>
      <c r="E175" s="295"/>
      <c r="F175" s="295"/>
      <c r="G175" s="295"/>
      <c r="H175" s="295"/>
      <c r="L175" s="777">
        <v>5</v>
      </c>
      <c r="M175" s="778"/>
      <c r="N175" s="976">
        <v>191</v>
      </c>
      <c r="O175" s="1020">
        <v>118</v>
      </c>
      <c r="P175" s="847">
        <f>VLOOKUP(N175,etat!$A$9:$N$1004,2,FALSE)</f>
        <v>0</v>
      </c>
      <c r="Q175" s="797" t="str">
        <f>VLOOKUP(N175,etat!$A$9:$N$963,7,FALSE)</f>
        <v>3ل أ</v>
      </c>
      <c r="R175" s="797" t="str">
        <f>VLOOKUP(N175,etat!$A$9:$N$1003,9,FALSE)</f>
        <v>خ</v>
      </c>
      <c r="S175" s="866" t="str">
        <f>VLOOKUP(N175,etat!$A$9:$P$905,16,FALSE)</f>
        <v>ان/د3</v>
      </c>
      <c r="T175" s="755">
        <v>45785</v>
      </c>
      <c r="U175" s="791">
        <v>1</v>
      </c>
      <c r="V175" s="784"/>
      <c r="W175" s="784"/>
      <c r="X175" s="784"/>
      <c r="Y175" s="975"/>
      <c r="Z175" s="975"/>
      <c r="AA175" s="967">
        <v>7</v>
      </c>
      <c r="AX175" s="302"/>
      <c r="AY175" s="302"/>
      <c r="AZ175" s="302"/>
      <c r="BA175" s="302"/>
    </row>
    <row r="176" spans="4:53" s="25" customFormat="1" ht="16.5" customHeight="1">
      <c r="D176" s="295"/>
      <c r="E176" s="295"/>
      <c r="F176" s="295"/>
      <c r="G176" s="295"/>
      <c r="H176" s="295"/>
      <c r="L176" s="777">
        <v>5</v>
      </c>
      <c r="M176" s="778"/>
      <c r="N176" s="976">
        <v>193</v>
      </c>
      <c r="O176" s="1020">
        <v>119</v>
      </c>
      <c r="P176" s="268">
        <f>VLOOKUP(N176,etat!$A$9:$N$1004,2,FALSE)</f>
        <v>0</v>
      </c>
      <c r="Q176" s="797" t="str">
        <f>VLOOKUP(N176,etat!$A$9:$N$963,7,FALSE)</f>
        <v>3ل أ</v>
      </c>
      <c r="R176" s="797" t="str">
        <f>VLOOKUP(N176,etat!$A$9:$N$1003,9,FALSE)</f>
        <v>خ</v>
      </c>
      <c r="S176" s="866" t="str">
        <f>VLOOKUP(N176,etat!$A$9:$P$905,16,FALSE)</f>
        <v>ان/د3</v>
      </c>
      <c r="T176" s="755">
        <v>45785</v>
      </c>
      <c r="U176" s="791">
        <v>1</v>
      </c>
      <c r="V176" s="784"/>
      <c r="W176" s="784"/>
      <c r="X176" s="784"/>
      <c r="Y176" s="975"/>
      <c r="Z176" s="975"/>
      <c r="AA176" s="967">
        <v>7</v>
      </c>
      <c r="AX176" s="302"/>
      <c r="AY176" s="302"/>
      <c r="AZ176" s="302"/>
      <c r="BA176" s="302"/>
    </row>
    <row r="177" spans="4:53" s="25" customFormat="1" ht="16.5" customHeight="1">
      <c r="D177" s="295"/>
      <c r="E177" s="295"/>
      <c r="F177" s="295"/>
      <c r="G177" s="295"/>
      <c r="H177" s="295"/>
      <c r="L177" s="777">
        <v>5</v>
      </c>
      <c r="M177" s="778"/>
      <c r="N177" s="976">
        <v>194</v>
      </c>
      <c r="O177" s="1020">
        <v>120</v>
      </c>
      <c r="P177" s="847">
        <f>VLOOKUP(N177,etat!$A$9:$N$1004,2,FALSE)</f>
        <v>0</v>
      </c>
      <c r="Q177" s="797" t="str">
        <f>VLOOKUP(N177,etat!$A$9:$N$963,7,FALSE)</f>
        <v>3ل أ</v>
      </c>
      <c r="R177" s="797" t="str">
        <f>VLOOKUP(N177,etat!$A$9:$N$1003,9,FALSE)</f>
        <v>خ</v>
      </c>
      <c r="S177" s="866" t="str">
        <f>VLOOKUP(N177,etat!$A$9:$P$905,16,FALSE)</f>
        <v>ذن/د3</v>
      </c>
      <c r="T177" s="755">
        <v>45785</v>
      </c>
      <c r="U177" s="791">
        <v>1</v>
      </c>
      <c r="V177" s="784"/>
      <c r="W177" s="784"/>
      <c r="X177" s="784"/>
      <c r="Y177" s="975"/>
      <c r="Z177" s="975"/>
      <c r="AA177" s="967">
        <v>7</v>
      </c>
      <c r="AX177" s="302"/>
      <c r="AY177" s="302"/>
      <c r="AZ177" s="302"/>
      <c r="BA177" s="302"/>
    </row>
    <row r="178" spans="4:53" s="25" customFormat="1" ht="16.5" customHeight="1">
      <c r="D178" s="295"/>
      <c r="E178" s="295"/>
      <c r="F178" s="295"/>
      <c r="G178" s="295"/>
      <c r="H178" s="295"/>
      <c r="L178" s="777">
        <v>5</v>
      </c>
      <c r="M178" s="778"/>
      <c r="N178" s="976">
        <v>195</v>
      </c>
      <c r="O178" s="1020">
        <v>121</v>
      </c>
      <c r="P178" s="847">
        <f>VLOOKUP(N178,etat!$A$9:$N$1004,2,FALSE)</f>
        <v>0</v>
      </c>
      <c r="Q178" s="797" t="str">
        <f>VLOOKUP(N178,etat!$A$9:$N$963,7,FALSE)</f>
        <v>3ل أ</v>
      </c>
      <c r="R178" s="797" t="str">
        <f>VLOOKUP(N178,etat!$A$9:$N$1003,9,FALSE)</f>
        <v>خ</v>
      </c>
      <c r="S178" s="866" t="str">
        <f>VLOOKUP(N178,etat!$A$9:$P$905,16,FALSE)</f>
        <v>ان/د3</v>
      </c>
      <c r="T178" s="755">
        <v>45785</v>
      </c>
      <c r="U178" s="791">
        <v>1</v>
      </c>
      <c r="V178" s="784"/>
      <c r="W178" s="784"/>
      <c r="X178" s="784"/>
      <c r="Y178" s="975"/>
      <c r="Z178" s="975"/>
      <c r="AA178" s="967">
        <v>7</v>
      </c>
      <c r="AX178" s="302"/>
      <c r="AY178" s="302"/>
      <c r="AZ178" s="302"/>
      <c r="BA178" s="302"/>
    </row>
    <row r="179" spans="4:53" s="25" customFormat="1" ht="16.5" customHeight="1">
      <c r="D179" s="295"/>
      <c r="E179" s="295"/>
      <c r="F179" s="295"/>
      <c r="G179" s="295"/>
      <c r="H179" s="295"/>
      <c r="L179" s="777">
        <v>5</v>
      </c>
      <c r="M179" s="778"/>
      <c r="N179" s="976">
        <v>196</v>
      </c>
      <c r="O179" s="1020">
        <v>122</v>
      </c>
      <c r="P179" s="847">
        <f>VLOOKUP(N179,etat!$A$9:$N$1004,2,FALSE)</f>
        <v>0</v>
      </c>
      <c r="Q179" s="797" t="str">
        <f>VLOOKUP(N179,etat!$A$9:$N$963,7,FALSE)</f>
        <v>3ل أ</v>
      </c>
      <c r="R179" s="797" t="str">
        <f>VLOOKUP(N179,etat!$A$9:$N$1003,9,FALSE)</f>
        <v>خ</v>
      </c>
      <c r="S179" s="866" t="str">
        <f>VLOOKUP(N179,etat!$A$9:$P$905,16,FALSE)</f>
        <v>ذن/د3</v>
      </c>
      <c r="T179" s="755">
        <v>45785</v>
      </c>
      <c r="U179" s="791">
        <v>1</v>
      </c>
      <c r="V179" s="784"/>
      <c r="W179" s="784"/>
      <c r="X179" s="784"/>
      <c r="Y179" s="975"/>
      <c r="Z179" s="975"/>
      <c r="AA179" s="967">
        <v>7</v>
      </c>
      <c r="AB179" s="302"/>
      <c r="AC179" s="302"/>
      <c r="AD179" s="302"/>
      <c r="AE179" s="302"/>
      <c r="AF179" s="302"/>
      <c r="AG179" s="302"/>
      <c r="AH179" s="302"/>
      <c r="AI179" s="302"/>
      <c r="AJ179" s="302"/>
      <c r="AK179" s="302"/>
      <c r="AL179" s="302"/>
      <c r="AM179" s="302"/>
      <c r="AN179" s="302"/>
      <c r="AO179" s="302"/>
      <c r="AP179" s="302"/>
      <c r="AQ179" s="302"/>
      <c r="AR179" s="302"/>
      <c r="AS179" s="302"/>
      <c r="AT179" s="302"/>
      <c r="AU179" s="302"/>
      <c r="AV179" s="302"/>
      <c r="AW179" s="302"/>
      <c r="AX179" s="302"/>
      <c r="AY179" s="302"/>
      <c r="AZ179" s="302"/>
      <c r="BA179" s="302"/>
    </row>
    <row r="180" spans="4:53" s="25" customFormat="1" ht="16.5" customHeight="1">
      <c r="D180" s="295"/>
      <c r="E180" s="295"/>
      <c r="F180" s="295"/>
      <c r="G180" s="295"/>
      <c r="H180" s="295"/>
      <c r="L180" s="777">
        <v>5</v>
      </c>
      <c r="M180" s="778"/>
      <c r="N180" s="976">
        <v>199</v>
      </c>
      <c r="O180" s="1020">
        <v>123</v>
      </c>
      <c r="P180" s="847">
        <f>VLOOKUP(N180,etat!$A$9:$N$1004,2,FALSE)</f>
        <v>0</v>
      </c>
      <c r="Q180" s="797" t="str">
        <f>VLOOKUP(N180,etat!$A$9:$N$963,7,FALSE)</f>
        <v>2ت ر كه</v>
      </c>
      <c r="R180" s="797" t="str">
        <f>VLOOKUP(N180,etat!$A$9:$N$1003,9,FALSE)</f>
        <v>خ</v>
      </c>
      <c r="S180" s="866" t="str">
        <f>VLOOKUP(N180,etat!$A$9:$P$905,16,FALSE)</f>
        <v>ذخ3</v>
      </c>
      <c r="T180" s="755">
        <v>45785</v>
      </c>
      <c r="U180" s="791">
        <v>1</v>
      </c>
      <c r="V180" s="784"/>
      <c r="W180" s="784"/>
      <c r="X180" s="784"/>
      <c r="Y180" s="975"/>
      <c r="Z180" s="975"/>
      <c r="AA180" s="967">
        <v>7</v>
      </c>
      <c r="AB180" s="302"/>
      <c r="AC180" s="302"/>
      <c r="AD180" s="302"/>
      <c r="AE180" s="302"/>
      <c r="AF180" s="302"/>
      <c r="AG180" s="302"/>
      <c r="AH180" s="302"/>
      <c r="AI180" s="302"/>
      <c r="AJ180" s="302"/>
      <c r="AK180" s="302"/>
      <c r="AL180" s="302"/>
      <c r="AM180" s="302"/>
      <c r="AN180" s="302"/>
      <c r="AO180" s="302"/>
      <c r="AP180" s="302"/>
      <c r="AQ180" s="302"/>
      <c r="AR180" s="302"/>
      <c r="AS180" s="302"/>
      <c r="AT180" s="302"/>
      <c r="AU180" s="302"/>
      <c r="AV180" s="302"/>
      <c r="AW180" s="302"/>
      <c r="AX180" s="302"/>
      <c r="AY180" s="302"/>
      <c r="AZ180" s="302"/>
      <c r="BA180" s="302"/>
    </row>
    <row r="181" spans="4:53" s="25" customFormat="1" ht="16.5" customHeight="1">
      <c r="D181" s="295"/>
      <c r="E181" s="295"/>
      <c r="F181" s="295"/>
      <c r="G181" s="295"/>
      <c r="H181" s="295"/>
      <c r="L181" s="777">
        <v>5</v>
      </c>
      <c r="M181" s="778"/>
      <c r="N181" s="976">
        <v>200</v>
      </c>
      <c r="O181" s="1020">
        <v>124</v>
      </c>
      <c r="P181" s="1121">
        <f>VLOOKUP(N181,etat!$A$9:$N$1004,2,FALSE)</f>
        <v>0</v>
      </c>
      <c r="Q181" s="797" t="str">
        <f>VLOOKUP(N181,etat!$A$9:$N$963,7,FALSE)</f>
        <v>2ت ر كه</v>
      </c>
      <c r="R181" s="797" t="str">
        <f>VLOOKUP(N181,etat!$A$9:$N$1003,9,FALSE)</f>
        <v>خ</v>
      </c>
      <c r="S181" s="866" t="str">
        <f>VLOOKUP(N181,etat!$A$9:$P$905,16,FALSE)</f>
        <v>اخ3</v>
      </c>
      <c r="T181" s="755">
        <v>45785</v>
      </c>
      <c r="U181" s="791">
        <v>1</v>
      </c>
      <c r="V181" s="784"/>
      <c r="W181" s="784"/>
      <c r="X181" s="784"/>
      <c r="Y181" s="975"/>
      <c r="Z181" s="975"/>
      <c r="AA181" s="967">
        <v>7</v>
      </c>
      <c r="AB181" s="302"/>
      <c r="AC181" s="302"/>
      <c r="AD181" s="302"/>
      <c r="AE181" s="302"/>
      <c r="AF181" s="302"/>
      <c r="AG181" s="302"/>
      <c r="AH181" s="302"/>
      <c r="AI181" s="302"/>
      <c r="AJ181" s="302"/>
      <c r="AK181" s="302"/>
      <c r="AL181" s="302"/>
      <c r="AM181" s="302"/>
      <c r="AN181" s="302"/>
      <c r="AO181" s="302"/>
      <c r="AP181" s="302"/>
      <c r="AQ181" s="302"/>
      <c r="AR181" s="302"/>
      <c r="AS181" s="302"/>
      <c r="AT181" s="302"/>
      <c r="AU181" s="302"/>
      <c r="AV181" s="302"/>
      <c r="AW181" s="302"/>
      <c r="AX181" s="302"/>
      <c r="AY181" s="302"/>
      <c r="AZ181" s="302"/>
      <c r="BA181" s="302"/>
    </row>
    <row r="182" spans="4:53" s="25" customFormat="1" ht="16.5" customHeight="1">
      <c r="D182" s="295"/>
      <c r="E182" s="295"/>
      <c r="F182" s="295"/>
      <c r="G182" s="295"/>
      <c r="H182" s="295"/>
      <c r="L182" s="777">
        <v>5</v>
      </c>
      <c r="M182" s="778"/>
      <c r="N182" s="976">
        <v>204</v>
      </c>
      <c r="O182" s="1020">
        <v>125</v>
      </c>
      <c r="P182" s="268">
        <f>VLOOKUP(N182,etat!$A$9:$N$1004,2,FALSE)</f>
        <v>0</v>
      </c>
      <c r="Q182" s="797" t="str">
        <f>VLOOKUP(N182,etat!$A$9:$N$963,7,FALSE)</f>
        <v>2ت ر مك</v>
      </c>
      <c r="R182" s="797" t="str">
        <f>VLOOKUP(N182,etat!$A$9:$N$1003,9,FALSE)</f>
        <v>خ</v>
      </c>
      <c r="S182" s="866" t="str">
        <f>VLOOKUP(N182,etat!$A$9:$P$905,16,FALSE)</f>
        <v>ذخ3</v>
      </c>
      <c r="T182" s="755">
        <v>45771</v>
      </c>
      <c r="U182" s="791">
        <v>15</v>
      </c>
      <c r="V182" s="784" t="s">
        <v>2280</v>
      </c>
      <c r="W182" s="784" t="s">
        <v>2283</v>
      </c>
      <c r="X182" s="784"/>
      <c r="Y182" s="975"/>
      <c r="Z182" s="967"/>
      <c r="AA182" s="967">
        <v>6</v>
      </c>
      <c r="AB182" s="302"/>
      <c r="AC182" s="302"/>
      <c r="AD182" s="302"/>
      <c r="AE182" s="302"/>
      <c r="AF182" s="302"/>
      <c r="AG182" s="302"/>
      <c r="AH182" s="302"/>
      <c r="AI182" s="302"/>
      <c r="AJ182" s="302"/>
      <c r="AK182" s="302"/>
      <c r="AL182" s="302"/>
      <c r="AM182" s="302"/>
      <c r="AN182" s="302"/>
      <c r="AO182" s="302"/>
      <c r="AP182" s="302"/>
      <c r="AQ182" s="302"/>
      <c r="AR182" s="302"/>
      <c r="AS182" s="302"/>
      <c r="AT182" s="302"/>
      <c r="AU182" s="302"/>
      <c r="AV182" s="302"/>
      <c r="AW182" s="302"/>
      <c r="AX182" s="302"/>
      <c r="AY182" s="302"/>
      <c r="AZ182" s="302"/>
      <c r="BA182" s="302"/>
    </row>
    <row r="183" spans="4:53" s="25" customFormat="1" ht="16.5" customHeight="1">
      <c r="D183" s="295"/>
      <c r="E183" s="295"/>
      <c r="F183" s="295"/>
      <c r="G183" s="295"/>
      <c r="H183" s="295"/>
      <c r="L183" s="777">
        <v>5</v>
      </c>
      <c r="M183" s="778"/>
      <c r="N183" s="976">
        <v>205</v>
      </c>
      <c r="O183" s="1020">
        <v>126</v>
      </c>
      <c r="P183" s="847">
        <f>VLOOKUP(N183,etat!$A$9:$N$1004,2,FALSE)</f>
        <v>0</v>
      </c>
      <c r="Q183" s="797" t="str">
        <f>VLOOKUP(N183,etat!$A$9:$N$963,7,FALSE)</f>
        <v>2ت ر مك</v>
      </c>
      <c r="R183" s="797" t="str">
        <f>VLOOKUP(N183,etat!$A$9:$N$1003,9,FALSE)</f>
        <v>خ</v>
      </c>
      <c r="S183" s="866" t="str">
        <f>VLOOKUP(N183,etat!$A$9:$P$905,16,FALSE)</f>
        <v>اخ3</v>
      </c>
      <c r="T183" s="755">
        <v>45781</v>
      </c>
      <c r="U183" s="791">
        <v>5</v>
      </c>
      <c r="V183" s="784" t="s">
        <v>2285</v>
      </c>
      <c r="W183" s="784"/>
      <c r="X183" s="784"/>
      <c r="Y183" s="975"/>
      <c r="Z183" s="975"/>
      <c r="AA183" s="967">
        <v>6</v>
      </c>
      <c r="AB183" s="302"/>
      <c r="AC183" s="302"/>
      <c r="AD183" s="302"/>
      <c r="AE183" s="302"/>
      <c r="AF183" s="302"/>
      <c r="AG183" s="302"/>
      <c r="AH183" s="302"/>
      <c r="AI183" s="302"/>
      <c r="AJ183" s="302"/>
      <c r="AK183" s="302"/>
      <c r="AL183" s="302"/>
      <c r="AM183" s="302"/>
      <c r="AN183" s="302"/>
      <c r="AO183" s="302"/>
      <c r="AP183" s="302"/>
      <c r="AQ183" s="302"/>
      <c r="AR183" s="302"/>
      <c r="AS183" s="302"/>
      <c r="AT183" s="302"/>
      <c r="AU183" s="302"/>
      <c r="AV183" s="302"/>
      <c r="AW183" s="302"/>
      <c r="AX183" s="302"/>
      <c r="AY183" s="302"/>
      <c r="AZ183" s="302"/>
      <c r="BA183" s="302"/>
    </row>
    <row r="184" spans="4:53" s="25" customFormat="1" ht="16.5" customHeight="1">
      <c r="D184" s="295"/>
      <c r="E184" s="295"/>
      <c r="F184" s="295"/>
      <c r="G184" s="295"/>
      <c r="H184" s="295"/>
      <c r="L184" s="777">
        <v>5</v>
      </c>
      <c r="M184" s="778"/>
      <c r="N184" s="976">
        <v>208</v>
      </c>
      <c r="O184" s="1020">
        <v>127</v>
      </c>
      <c r="P184" s="847">
        <f>VLOOKUP(N184,etat!$A$9:$N$1004,2,FALSE)</f>
        <v>0</v>
      </c>
      <c r="Q184" s="797" t="str">
        <f>VLOOKUP(N184,etat!$A$9:$N$963,7,FALSE)</f>
        <v>2ت ر طرا</v>
      </c>
      <c r="R184" s="797" t="str">
        <f>VLOOKUP(N184,etat!$A$9:$N$1003,9,FALSE)</f>
        <v>خ</v>
      </c>
      <c r="S184" s="866" t="str">
        <f>VLOOKUP(N184,etat!$A$9:$P$905,16,FALSE)</f>
        <v>ذخ3</v>
      </c>
      <c r="T184" s="755">
        <v>45782</v>
      </c>
      <c r="U184" s="791">
        <v>4</v>
      </c>
      <c r="V184" s="784" t="s">
        <v>2287</v>
      </c>
      <c r="W184" s="784"/>
      <c r="X184" s="784"/>
      <c r="Y184" s="975"/>
      <c r="Z184" s="975"/>
      <c r="AA184" s="967">
        <v>6</v>
      </c>
      <c r="AB184" s="302"/>
      <c r="AC184" s="302"/>
      <c r="AD184" s="302"/>
      <c r="AE184" s="302"/>
      <c r="AF184" s="302"/>
      <c r="AG184" s="302"/>
      <c r="AH184" s="302"/>
      <c r="AI184" s="302"/>
      <c r="AJ184" s="302"/>
      <c r="AK184" s="302"/>
      <c r="AL184" s="302"/>
      <c r="AM184" s="302"/>
      <c r="AN184" s="302"/>
      <c r="AO184" s="302"/>
      <c r="AP184" s="302"/>
      <c r="AQ184" s="302"/>
      <c r="AR184" s="302"/>
      <c r="AS184" s="302"/>
      <c r="AT184" s="302"/>
      <c r="AU184" s="302"/>
      <c r="AV184" s="302"/>
      <c r="AW184" s="302"/>
      <c r="AX184" s="302"/>
      <c r="AY184" s="302"/>
      <c r="AZ184" s="302"/>
      <c r="BA184" s="302"/>
    </row>
    <row r="185" spans="4:53" s="25" customFormat="1" ht="16.5" customHeight="1">
      <c r="D185" s="295"/>
      <c r="E185" s="295"/>
      <c r="F185" s="295"/>
      <c r="G185" s="295"/>
      <c r="H185" s="295"/>
      <c r="L185" s="777">
        <v>5</v>
      </c>
      <c r="M185" s="778"/>
      <c r="N185" s="976">
        <v>209</v>
      </c>
      <c r="O185" s="1020">
        <v>128</v>
      </c>
      <c r="P185" s="847">
        <f>VLOOKUP(N185,etat!$A$9:$N$1004,2,FALSE)</f>
        <v>0</v>
      </c>
      <c r="Q185" s="797" t="str">
        <f>VLOOKUP(N185,etat!$A$9:$N$963,7,FALSE)</f>
        <v>2ت ر طرا</v>
      </c>
      <c r="R185" s="797" t="str">
        <f>VLOOKUP(N185,etat!$A$9:$N$1003,9,FALSE)</f>
        <v>خ</v>
      </c>
      <c r="S185" s="866" t="str">
        <f>VLOOKUP(N185,etat!$A$9:$P$905,16,FALSE)</f>
        <v>ذخ3</v>
      </c>
      <c r="T185" s="755">
        <v>45781</v>
      </c>
      <c r="U185" s="791">
        <v>5</v>
      </c>
      <c r="V185" s="784" t="s">
        <v>2285</v>
      </c>
      <c r="W185" s="784"/>
      <c r="X185" s="784"/>
      <c r="Y185" s="975"/>
      <c r="Z185" s="975"/>
      <c r="AA185" s="967">
        <v>6</v>
      </c>
      <c r="AB185" s="302"/>
      <c r="AC185" s="302"/>
      <c r="AD185" s="302"/>
      <c r="AE185" s="302"/>
      <c r="AF185" s="302"/>
      <c r="AG185" s="302"/>
      <c r="AH185" s="302"/>
      <c r="AI185" s="302"/>
      <c r="AJ185" s="302"/>
      <c r="AK185" s="302"/>
      <c r="AL185" s="302"/>
      <c r="AM185" s="302"/>
      <c r="AN185" s="302"/>
      <c r="AO185" s="302"/>
      <c r="AP185" s="302"/>
      <c r="AQ185" s="302"/>
      <c r="AR185" s="302"/>
      <c r="AS185" s="302"/>
      <c r="AT185" s="302"/>
      <c r="AU185" s="302"/>
      <c r="AV185" s="302"/>
      <c r="AW185" s="302"/>
      <c r="AX185" s="302"/>
      <c r="AY185" s="302"/>
      <c r="AZ185" s="302"/>
      <c r="BA185" s="302"/>
    </row>
    <row r="186" spans="4:53" s="25" customFormat="1" ht="16.5" customHeight="1">
      <c r="D186" s="295"/>
      <c r="E186" s="295"/>
      <c r="F186" s="295"/>
      <c r="G186" s="295"/>
      <c r="H186" s="295"/>
      <c r="L186" s="777">
        <v>5</v>
      </c>
      <c r="M186" s="778"/>
      <c r="N186" s="976">
        <v>210</v>
      </c>
      <c r="O186" s="1020">
        <v>129</v>
      </c>
      <c r="P186" s="847">
        <f>VLOOKUP(N186,etat!$A$9:$N$1004,2,FALSE)</f>
        <v>0</v>
      </c>
      <c r="Q186" s="797" t="str">
        <f>VLOOKUP(N186,etat!$A$9:$N$963,7,FALSE)</f>
        <v>2ت ر طرا</v>
      </c>
      <c r="R186" s="797" t="str">
        <f>VLOOKUP(N186,etat!$A$9:$N$1003,9,FALSE)</f>
        <v>خ</v>
      </c>
      <c r="S186" s="866" t="str">
        <f>VLOOKUP(N186,etat!$A$9:$P$905,16,FALSE)</f>
        <v>اخ3</v>
      </c>
      <c r="T186" s="755">
        <v>45782</v>
      </c>
      <c r="U186" s="791">
        <v>4</v>
      </c>
      <c r="V186" s="784" t="s">
        <v>2287</v>
      </c>
      <c r="W186" s="784"/>
      <c r="X186" s="784"/>
      <c r="Y186" s="975"/>
      <c r="Z186" s="975"/>
      <c r="AA186" s="967">
        <v>6</v>
      </c>
      <c r="AB186" s="302"/>
      <c r="AC186" s="302"/>
      <c r="AD186" s="302"/>
      <c r="AE186" s="302"/>
      <c r="AF186" s="302"/>
      <c r="AG186" s="302"/>
      <c r="AH186" s="302"/>
      <c r="AI186" s="302"/>
      <c r="AJ186" s="302"/>
      <c r="AK186" s="302"/>
      <c r="AL186" s="302"/>
      <c r="AM186" s="302"/>
      <c r="AN186" s="302"/>
      <c r="AO186" s="302"/>
      <c r="AP186" s="302"/>
      <c r="AQ186" s="302"/>
      <c r="AR186" s="302"/>
      <c r="AS186" s="302"/>
      <c r="AT186" s="302"/>
      <c r="AU186" s="302"/>
      <c r="AV186" s="302"/>
      <c r="AW186" s="302"/>
      <c r="AX186" s="302"/>
      <c r="AY186" s="302"/>
      <c r="AZ186" s="302"/>
      <c r="BA186" s="302"/>
    </row>
    <row r="187" spans="4:53" s="25" customFormat="1" ht="16.5" customHeight="1">
      <c r="D187" s="295"/>
      <c r="E187" s="295"/>
      <c r="F187" s="295"/>
      <c r="G187" s="295"/>
      <c r="H187" s="295"/>
      <c r="L187" s="777">
        <v>5</v>
      </c>
      <c r="M187" s="778"/>
      <c r="N187" s="976">
        <v>213</v>
      </c>
      <c r="O187" s="1020">
        <v>130</v>
      </c>
      <c r="P187" s="1121">
        <f>VLOOKUP(N187,etat!$A$9:$N$1004,2,FALSE)</f>
        <v>0</v>
      </c>
      <c r="Q187" s="797" t="str">
        <f>VLOOKUP(N187,etat!$A$9:$N$963,7,FALSE)</f>
        <v>2ت ر طرا</v>
      </c>
      <c r="R187" s="797" t="str">
        <f>VLOOKUP(N187,etat!$A$9:$N$1003,9,FALSE)</f>
        <v>خ</v>
      </c>
      <c r="S187" s="866" t="str">
        <f>VLOOKUP(N187,etat!$A$9:$P$905,16,FALSE)</f>
        <v>اخ3</v>
      </c>
      <c r="T187" s="755">
        <v>45782</v>
      </c>
      <c r="U187" s="791">
        <v>4</v>
      </c>
      <c r="V187" s="784" t="s">
        <v>2287</v>
      </c>
      <c r="W187" s="784"/>
      <c r="X187" s="784"/>
      <c r="Y187" s="975"/>
      <c r="Z187" s="967"/>
      <c r="AA187" s="967">
        <v>6</v>
      </c>
      <c r="AB187" s="302"/>
      <c r="AC187" s="302"/>
      <c r="AD187" s="302"/>
      <c r="AE187" s="302"/>
      <c r="AF187" s="302"/>
      <c r="AG187" s="302"/>
      <c r="AH187" s="302"/>
      <c r="AI187" s="302"/>
      <c r="AJ187" s="302"/>
      <c r="AK187" s="302"/>
      <c r="AL187" s="302"/>
      <c r="AM187" s="302"/>
      <c r="AN187" s="302"/>
      <c r="AO187" s="302"/>
      <c r="AP187" s="302"/>
      <c r="AQ187" s="302"/>
      <c r="AR187" s="302"/>
      <c r="AS187" s="302"/>
      <c r="AT187" s="302"/>
      <c r="AU187" s="302"/>
      <c r="AV187" s="302"/>
      <c r="AW187" s="302"/>
      <c r="AX187" s="302"/>
      <c r="AY187" s="302"/>
      <c r="AZ187" s="302"/>
      <c r="BA187" s="302"/>
    </row>
    <row r="188" spans="4:53" s="25" customFormat="1" ht="16.5" customHeight="1">
      <c r="D188" s="295"/>
      <c r="E188" s="295"/>
      <c r="F188" s="295"/>
      <c r="G188" s="295"/>
      <c r="H188" s="295"/>
      <c r="L188" s="777">
        <v>5</v>
      </c>
      <c r="M188" s="778"/>
      <c r="N188" s="976">
        <v>215</v>
      </c>
      <c r="O188" s="1020">
        <v>131</v>
      </c>
      <c r="P188" s="858">
        <f>VLOOKUP(N188,etat!$A$9:$N$1004,2,FALSE)</f>
        <v>0</v>
      </c>
      <c r="Q188" s="797" t="str">
        <f>VLOOKUP(N188,etat!$A$9:$N$963,7,FALSE)</f>
        <v>2ت ر طرا</v>
      </c>
      <c r="R188" s="797" t="str">
        <f>VLOOKUP(N188,etat!$A$9:$N$1003,9,FALSE)</f>
        <v>خ</v>
      </c>
      <c r="S188" s="866" t="str">
        <f>VLOOKUP(N188,etat!$A$9:$P$905,16,FALSE)</f>
        <v>اخ3</v>
      </c>
      <c r="T188" s="755">
        <v>45771</v>
      </c>
      <c r="U188" s="791">
        <v>15</v>
      </c>
      <c r="V188" s="784" t="s">
        <v>2280</v>
      </c>
      <c r="W188" s="784" t="s">
        <v>2283</v>
      </c>
      <c r="X188" s="784"/>
      <c r="Y188" s="975"/>
      <c r="Z188" s="975"/>
      <c r="AA188" s="967">
        <v>6</v>
      </c>
      <c r="AB188" s="302"/>
      <c r="AC188" s="302"/>
      <c r="AD188" s="302"/>
      <c r="AE188" s="302"/>
      <c r="AF188" s="302"/>
      <c r="AG188" s="302"/>
      <c r="AH188" s="302"/>
      <c r="AI188" s="302"/>
      <c r="AJ188" s="302"/>
      <c r="AK188" s="302"/>
      <c r="AL188" s="302"/>
      <c r="AM188" s="302"/>
      <c r="AN188" s="302"/>
      <c r="AO188" s="302"/>
      <c r="AP188" s="302"/>
      <c r="AQ188" s="302"/>
      <c r="AR188" s="302"/>
      <c r="AS188" s="302"/>
      <c r="AT188" s="302"/>
      <c r="AU188" s="302"/>
      <c r="AV188" s="302"/>
      <c r="AW188" s="302"/>
      <c r="AX188" s="302"/>
      <c r="AY188" s="302"/>
      <c r="AZ188" s="302"/>
      <c r="BA188" s="302"/>
    </row>
    <row r="189" spans="4:53" s="25" customFormat="1" ht="16.5" customHeight="1">
      <c r="D189" s="295"/>
      <c r="E189" s="295"/>
      <c r="F189" s="295"/>
      <c r="G189" s="295"/>
      <c r="H189" s="295"/>
      <c r="L189" s="777">
        <v>5</v>
      </c>
      <c r="M189" s="778"/>
      <c r="N189" s="976">
        <v>217</v>
      </c>
      <c r="O189" s="1020">
        <v>132</v>
      </c>
      <c r="P189" s="847">
        <f>VLOOKUP(N189,etat!$A$9:$N$1004,2,FALSE)</f>
        <v>0</v>
      </c>
      <c r="Q189" s="797" t="str">
        <f>VLOOKUP(N189,etat!$A$9:$N$963,7,FALSE)</f>
        <v>2ت ر طرا</v>
      </c>
      <c r="R189" s="797" t="str">
        <f>VLOOKUP(N189,etat!$A$9:$N$1003,9,FALSE)</f>
        <v>خ</v>
      </c>
      <c r="S189" s="866" t="str">
        <f>VLOOKUP(N189,etat!$A$9:$P$905,16,FALSE)</f>
        <v>ان/د3</v>
      </c>
      <c r="T189" s="755">
        <v>45782</v>
      </c>
      <c r="U189" s="791">
        <v>4</v>
      </c>
      <c r="V189" s="784" t="s">
        <v>2287</v>
      </c>
      <c r="W189" s="784"/>
      <c r="X189" s="784"/>
      <c r="Y189" s="975"/>
      <c r="Z189" s="967"/>
      <c r="AA189" s="967">
        <v>6</v>
      </c>
      <c r="AB189" s="302"/>
      <c r="AC189" s="302"/>
      <c r="AD189" s="302"/>
      <c r="AE189" s="302"/>
      <c r="AF189" s="302"/>
      <c r="AG189" s="302"/>
      <c r="AH189" s="302"/>
      <c r="AI189" s="302"/>
      <c r="AJ189" s="302"/>
      <c r="AK189" s="302"/>
      <c r="AL189" s="302"/>
      <c r="AM189" s="302"/>
      <c r="AN189" s="302"/>
      <c r="AO189" s="302"/>
      <c r="AP189" s="302"/>
      <c r="AQ189" s="302"/>
      <c r="AR189" s="302"/>
      <c r="AS189" s="302"/>
      <c r="AT189" s="302"/>
      <c r="AU189" s="302"/>
      <c r="AV189" s="302"/>
      <c r="AW189" s="302"/>
      <c r="AX189" s="302"/>
      <c r="AY189" s="302"/>
      <c r="AZ189" s="302"/>
      <c r="BA189" s="302"/>
    </row>
    <row r="190" spans="4:53" s="25" customFormat="1" ht="16.5" customHeight="1">
      <c r="D190" s="295"/>
      <c r="E190" s="295"/>
      <c r="F190" s="295"/>
      <c r="G190" s="295"/>
      <c r="H190" s="295"/>
      <c r="L190" s="777">
        <v>5</v>
      </c>
      <c r="M190" s="778"/>
      <c r="N190" s="976">
        <v>219</v>
      </c>
      <c r="O190" s="1020">
        <v>133</v>
      </c>
      <c r="P190" s="268">
        <f>VLOOKUP(N190,etat!$A$9:$N$1004,2,FALSE)</f>
        <v>0</v>
      </c>
      <c r="Q190" s="797" t="str">
        <f>VLOOKUP(N190,etat!$A$9:$N$963,7,FALSE)</f>
        <v>2ت ا ق1</v>
      </c>
      <c r="R190" s="797" t="str">
        <f>VLOOKUP(N190,etat!$A$9:$N$1003,9,FALSE)</f>
        <v>ن/د</v>
      </c>
      <c r="S190" s="866" t="str">
        <f>VLOOKUP(N190,etat!$A$9:$P$905,16,FALSE)</f>
        <v>ان/د3</v>
      </c>
      <c r="T190" s="755">
        <v>45781</v>
      </c>
      <c r="U190" s="791">
        <v>5</v>
      </c>
      <c r="V190" s="784" t="s">
        <v>2285</v>
      </c>
      <c r="W190" s="784"/>
      <c r="X190" s="784"/>
      <c r="Y190" s="975"/>
      <c r="Z190" s="975"/>
      <c r="AA190" s="967">
        <v>6</v>
      </c>
      <c r="AB190" s="302"/>
      <c r="AC190" s="302"/>
      <c r="AD190" s="302"/>
      <c r="AE190" s="302"/>
      <c r="AF190" s="302"/>
      <c r="AG190" s="302"/>
      <c r="AH190" s="302"/>
      <c r="AI190" s="302"/>
      <c r="AJ190" s="302"/>
      <c r="AK190" s="302"/>
      <c r="AL190" s="302"/>
      <c r="AM190" s="302"/>
      <c r="AN190" s="302"/>
      <c r="AO190" s="302"/>
      <c r="AP190" s="302"/>
      <c r="AQ190" s="302"/>
      <c r="AR190" s="302"/>
      <c r="AS190" s="302"/>
      <c r="AT190" s="302"/>
      <c r="AU190" s="302"/>
      <c r="AV190" s="302"/>
      <c r="AW190" s="302"/>
      <c r="AX190" s="302"/>
      <c r="AY190" s="302"/>
      <c r="AZ190" s="302"/>
      <c r="BA190" s="302"/>
    </row>
    <row r="191" spans="4:53" s="25" customFormat="1" ht="16.5" customHeight="1">
      <c r="D191" s="295"/>
      <c r="E191" s="295"/>
      <c r="F191" s="295"/>
      <c r="G191" s="295"/>
      <c r="H191" s="295"/>
      <c r="L191" s="777">
        <v>5</v>
      </c>
      <c r="M191" s="778"/>
      <c r="N191" s="976">
        <v>222</v>
      </c>
      <c r="O191" s="1020">
        <v>134</v>
      </c>
      <c r="P191" s="847">
        <f>VLOOKUP(N191,etat!$A$9:$N$1004,2,FALSE)</f>
        <v>0</v>
      </c>
      <c r="Q191" s="797" t="str">
        <f>VLOOKUP(N191,etat!$A$9:$N$963,7,FALSE)</f>
        <v>2ت ا ق1</v>
      </c>
      <c r="R191" s="797" t="str">
        <f>VLOOKUP(N191,etat!$A$9:$N$1003,9,FALSE)</f>
        <v>ن/د</v>
      </c>
      <c r="S191" s="866" t="str">
        <f>VLOOKUP(N191,etat!$A$9:$P$905,16,FALSE)</f>
        <v>اخ3</v>
      </c>
      <c r="T191" s="755">
        <v>45775</v>
      </c>
      <c r="U191" s="791">
        <v>12</v>
      </c>
      <c r="V191" s="784" t="s">
        <v>2282</v>
      </c>
      <c r="W191" s="869"/>
      <c r="X191" s="869"/>
      <c r="Y191" s="975"/>
      <c r="Z191" s="975"/>
      <c r="AA191" s="967">
        <v>6</v>
      </c>
      <c r="AB191" s="302"/>
      <c r="AC191" s="302"/>
      <c r="AD191" s="302"/>
      <c r="AE191" s="302"/>
      <c r="AF191" s="302"/>
      <c r="AG191" s="302"/>
      <c r="AH191" s="302"/>
      <c r="AI191" s="302"/>
      <c r="AJ191" s="302"/>
      <c r="AK191" s="302"/>
      <c r="AL191" s="302"/>
      <c r="AM191" s="302"/>
      <c r="AN191" s="302"/>
      <c r="AO191" s="302"/>
      <c r="AP191" s="302"/>
      <c r="AQ191" s="302"/>
      <c r="AR191" s="302"/>
      <c r="AS191" s="302"/>
      <c r="AT191" s="302"/>
      <c r="AU191" s="302"/>
      <c r="AV191" s="302"/>
      <c r="AW191" s="302"/>
      <c r="AX191" s="302"/>
      <c r="AY191" s="302"/>
      <c r="AZ191" s="302"/>
      <c r="BA191" s="302"/>
    </row>
    <row r="192" spans="4:53" s="25" customFormat="1" ht="16.5" customHeight="1">
      <c r="D192" s="295"/>
      <c r="E192" s="295"/>
      <c r="F192" s="295"/>
      <c r="G192" s="295"/>
      <c r="H192" s="295"/>
      <c r="L192" s="777">
        <v>5</v>
      </c>
      <c r="M192" s="778"/>
      <c r="N192" s="976">
        <v>224</v>
      </c>
      <c r="O192" s="1020">
        <v>135</v>
      </c>
      <c r="P192" s="847">
        <f>VLOOKUP(N192,etat!$A$9:$N$1004,2,FALSE)</f>
        <v>0</v>
      </c>
      <c r="Q192" s="797" t="str">
        <f>VLOOKUP(N192,etat!$A$9:$N$963,7,FALSE)</f>
        <v>2ت ا ق1</v>
      </c>
      <c r="R192" s="797" t="str">
        <f>VLOOKUP(N192,etat!$A$9:$N$1003,9,FALSE)</f>
        <v>خ</v>
      </c>
      <c r="S192" s="866" t="str">
        <f>VLOOKUP(N192,etat!$A$9:$P$905,16,FALSE)</f>
        <v>اخ3</v>
      </c>
      <c r="T192" s="755">
        <v>45782</v>
      </c>
      <c r="U192" s="791">
        <v>4</v>
      </c>
      <c r="V192" s="784" t="s">
        <v>2287</v>
      </c>
      <c r="W192" s="784"/>
      <c r="X192" s="784"/>
      <c r="Y192" s="975"/>
      <c r="Z192" s="975"/>
      <c r="AA192" s="967">
        <v>6</v>
      </c>
      <c r="AB192" s="302"/>
      <c r="AC192" s="302"/>
      <c r="AD192" s="302"/>
      <c r="AE192" s="302"/>
      <c r="AF192" s="302"/>
      <c r="AG192" s="302"/>
      <c r="AH192" s="302"/>
      <c r="AI192" s="302"/>
      <c r="AJ192" s="302"/>
      <c r="AK192" s="302"/>
      <c r="AL192" s="302"/>
      <c r="AM192" s="302"/>
      <c r="AN192" s="302"/>
      <c r="AO192" s="302"/>
      <c r="AP192" s="302"/>
      <c r="AQ192" s="302"/>
      <c r="AR192" s="302"/>
      <c r="AS192" s="302"/>
      <c r="AT192" s="302"/>
      <c r="AU192" s="302"/>
      <c r="AV192" s="302"/>
      <c r="AW192" s="302"/>
      <c r="AX192" s="302"/>
      <c r="AY192" s="302"/>
      <c r="AZ192" s="302"/>
      <c r="BA192" s="302"/>
    </row>
    <row r="193" spans="1:78" s="25" customFormat="1" ht="16.5" customHeight="1">
      <c r="D193" s="295"/>
      <c r="E193" s="295"/>
      <c r="F193" s="295"/>
      <c r="G193" s="295"/>
      <c r="H193" s="295"/>
      <c r="L193" s="777">
        <v>5</v>
      </c>
      <c r="M193" s="778"/>
      <c r="N193" s="976">
        <v>226</v>
      </c>
      <c r="O193" s="1020">
        <v>136</v>
      </c>
      <c r="P193" s="847">
        <f>VLOOKUP(N193,etat!$A$9:$N$1004,2,FALSE)</f>
        <v>0</v>
      </c>
      <c r="Q193" s="797" t="str">
        <f>VLOOKUP(N193,etat!$A$9:$N$963,7,FALSE)</f>
        <v>2ت ا ق1</v>
      </c>
      <c r="R193" s="797" t="str">
        <f>VLOOKUP(N193,etat!$A$9:$N$1003,9,FALSE)</f>
        <v>خ</v>
      </c>
      <c r="S193" s="866" t="str">
        <f>VLOOKUP(N193,etat!$A$9:$P$905,16,FALSE)</f>
        <v>اخ3</v>
      </c>
      <c r="T193" s="755">
        <v>45781</v>
      </c>
      <c r="U193" s="791">
        <v>5</v>
      </c>
      <c r="V193" s="784" t="s">
        <v>2285</v>
      </c>
      <c r="W193" s="784"/>
      <c r="X193" s="784"/>
      <c r="Y193" s="975"/>
      <c r="Z193" s="967"/>
      <c r="AA193" s="967">
        <v>6</v>
      </c>
      <c r="AB193" s="302"/>
      <c r="AC193" s="302"/>
      <c r="AD193" s="302"/>
      <c r="AE193" s="302"/>
      <c r="AF193" s="302"/>
      <c r="AG193" s="302"/>
      <c r="AH193" s="302"/>
      <c r="AI193" s="302"/>
      <c r="AJ193" s="302"/>
      <c r="AK193" s="302"/>
      <c r="AL193" s="302"/>
      <c r="AM193" s="302"/>
      <c r="AN193" s="302"/>
      <c r="AO193" s="302"/>
      <c r="AP193" s="302"/>
      <c r="AQ193" s="302"/>
      <c r="AR193" s="302"/>
      <c r="AS193" s="302"/>
      <c r="AT193" s="302"/>
      <c r="AU193" s="302"/>
      <c r="AV193" s="302"/>
      <c r="AW193" s="302"/>
      <c r="AX193" s="302"/>
      <c r="AY193" s="302"/>
      <c r="AZ193" s="302"/>
      <c r="BA193" s="302"/>
      <c r="BB193" s="302"/>
      <c r="BC193" s="302"/>
      <c r="BD193" s="302"/>
      <c r="BE193" s="302"/>
      <c r="BF193" s="302"/>
      <c r="BG193" s="302"/>
      <c r="BH193" s="302"/>
      <c r="BI193" s="302"/>
      <c r="BJ193" s="302"/>
      <c r="BK193" s="302"/>
      <c r="BL193" s="302"/>
      <c r="BM193" s="302"/>
      <c r="BN193" s="302"/>
      <c r="BO193" s="302"/>
      <c r="BP193" s="302"/>
      <c r="BQ193" s="302"/>
      <c r="BR193" s="302"/>
      <c r="BS193" s="302"/>
      <c r="BT193" s="302"/>
    </row>
    <row r="194" spans="1:78" s="25" customFormat="1" ht="16.5" customHeight="1">
      <c r="A194" s="302"/>
      <c r="B194" s="302"/>
      <c r="C194" s="302"/>
      <c r="D194" s="303"/>
      <c r="E194" s="303"/>
      <c r="F194" s="303"/>
      <c r="G194" s="303"/>
      <c r="H194" s="303"/>
      <c r="I194" s="302"/>
      <c r="J194" s="302"/>
      <c r="K194" s="302"/>
      <c r="L194" s="777">
        <v>5</v>
      </c>
      <c r="M194" s="778"/>
      <c r="N194" s="976">
        <v>229</v>
      </c>
      <c r="O194" s="1020">
        <v>137</v>
      </c>
      <c r="P194" s="847">
        <f>VLOOKUP(N194,etat!$A$9:$N$1004,2,FALSE)</f>
        <v>0</v>
      </c>
      <c r="Q194" s="797" t="str">
        <f>VLOOKUP(N194,etat!$A$9:$N$963,7,FALSE)</f>
        <v>2ت ا ق1</v>
      </c>
      <c r="R194" s="797" t="str">
        <f>VLOOKUP(N194,etat!$A$9:$N$1003,9,FALSE)</f>
        <v>خ</v>
      </c>
      <c r="S194" s="866" t="str">
        <f>VLOOKUP(N194,etat!$A$9:$P$905,16,FALSE)</f>
        <v>ذخ3</v>
      </c>
      <c r="T194" s="755">
        <v>45763</v>
      </c>
      <c r="U194" s="791">
        <v>23</v>
      </c>
      <c r="V194" s="784" t="s">
        <v>2269</v>
      </c>
      <c r="W194" s="784" t="s">
        <v>2280</v>
      </c>
      <c r="X194" s="784" t="s">
        <v>2283</v>
      </c>
      <c r="Y194" s="975"/>
      <c r="Z194" s="975"/>
      <c r="AA194" s="967">
        <v>6</v>
      </c>
      <c r="AB194" s="302"/>
      <c r="AC194" s="302"/>
      <c r="AD194" s="302"/>
      <c r="AE194" s="302"/>
      <c r="AF194" s="302"/>
      <c r="AG194" s="302"/>
      <c r="AH194" s="302"/>
      <c r="AI194" s="302"/>
      <c r="AJ194" s="302"/>
      <c r="AK194" s="302"/>
      <c r="AL194" s="302"/>
      <c r="AM194" s="302"/>
      <c r="AN194" s="302"/>
      <c r="AO194" s="302"/>
      <c r="AP194" s="302"/>
      <c r="AQ194" s="302"/>
      <c r="AR194" s="302"/>
      <c r="AS194" s="302"/>
      <c r="AT194" s="302"/>
      <c r="AU194" s="302"/>
      <c r="AV194" s="302"/>
      <c r="AW194" s="302"/>
      <c r="AX194" s="302"/>
      <c r="AY194" s="302"/>
      <c r="AZ194" s="302"/>
      <c r="BA194" s="302"/>
      <c r="BB194" s="302"/>
      <c r="BC194" s="302"/>
      <c r="BD194" s="302"/>
      <c r="BE194" s="302"/>
      <c r="BF194" s="302"/>
      <c r="BG194" s="302"/>
      <c r="BH194" s="302"/>
      <c r="BI194" s="302"/>
      <c r="BJ194" s="302"/>
      <c r="BK194" s="302"/>
      <c r="BL194" s="302"/>
      <c r="BM194" s="302"/>
      <c r="BN194" s="302"/>
      <c r="BO194" s="302"/>
      <c r="BP194" s="302"/>
      <c r="BQ194" s="302"/>
      <c r="BR194" s="302"/>
      <c r="BS194" s="302"/>
      <c r="BT194" s="302"/>
    </row>
    <row r="195" spans="1:78" s="25" customFormat="1" ht="16.5" customHeight="1">
      <c r="A195" s="302"/>
      <c r="B195" s="302"/>
      <c r="C195" s="302"/>
      <c r="D195" s="303"/>
      <c r="E195" s="303"/>
      <c r="F195" s="303"/>
      <c r="G195" s="303"/>
      <c r="H195" s="303"/>
      <c r="I195" s="302"/>
      <c r="J195" s="302"/>
      <c r="K195" s="302"/>
      <c r="L195" s="777">
        <v>5</v>
      </c>
      <c r="M195" s="778"/>
      <c r="N195" s="976">
        <v>230</v>
      </c>
      <c r="O195" s="1020">
        <v>138</v>
      </c>
      <c r="P195" s="847">
        <f>VLOOKUP(N195,etat!$A$9:$N$1004,2,FALSE)</f>
        <v>0</v>
      </c>
      <c r="Q195" s="797" t="str">
        <f>VLOOKUP(N195,etat!$A$9:$N$963,7,FALSE)</f>
        <v>2ت ا ق1</v>
      </c>
      <c r="R195" s="797" t="str">
        <f>VLOOKUP(N195,etat!$A$9:$N$1003,9,FALSE)</f>
        <v>خ</v>
      </c>
      <c r="S195" s="866" t="str">
        <f>VLOOKUP(N195,etat!$A$9:$P$905,16,FALSE)</f>
        <v>اخ3</v>
      </c>
      <c r="T195" s="755">
        <v>45763</v>
      </c>
      <c r="U195" s="791">
        <v>23</v>
      </c>
      <c r="V195" s="784" t="s">
        <v>2269</v>
      </c>
      <c r="W195" s="784" t="s">
        <v>2280</v>
      </c>
      <c r="X195" s="784" t="s">
        <v>2283</v>
      </c>
      <c r="Y195" s="975"/>
      <c r="Z195" s="975"/>
      <c r="AA195" s="967">
        <v>6</v>
      </c>
      <c r="AB195" s="302"/>
      <c r="AC195" s="302"/>
      <c r="AD195" s="302"/>
      <c r="AE195" s="302"/>
      <c r="AF195" s="302"/>
      <c r="AG195" s="302"/>
      <c r="AH195" s="302"/>
      <c r="AI195" s="302"/>
      <c r="AJ195" s="302"/>
      <c r="AK195" s="302"/>
      <c r="AL195" s="302"/>
      <c r="AM195" s="302"/>
      <c r="AN195" s="302"/>
      <c r="AO195" s="302"/>
      <c r="AP195" s="302"/>
      <c r="AQ195" s="302"/>
      <c r="AR195" s="302"/>
      <c r="AS195" s="302"/>
      <c r="AT195" s="302"/>
      <c r="AU195" s="302"/>
      <c r="AV195" s="302"/>
      <c r="AW195" s="302"/>
      <c r="AX195" s="302"/>
      <c r="AY195" s="302"/>
      <c r="AZ195" s="302"/>
      <c r="BA195" s="302"/>
      <c r="BB195" s="302"/>
      <c r="BC195" s="302"/>
      <c r="BD195" s="302"/>
      <c r="BE195" s="302"/>
      <c r="BF195" s="302"/>
      <c r="BG195" s="302"/>
      <c r="BH195" s="302"/>
      <c r="BI195" s="302"/>
      <c r="BJ195" s="302"/>
      <c r="BK195" s="302"/>
      <c r="BL195" s="302"/>
      <c r="BM195" s="302"/>
      <c r="BN195" s="302"/>
      <c r="BO195" s="302"/>
      <c r="BP195" s="302"/>
      <c r="BQ195" s="302"/>
      <c r="BR195" s="302"/>
      <c r="BS195" s="302"/>
      <c r="BT195" s="302"/>
      <c r="BU195" s="302"/>
      <c r="BV195" s="302"/>
      <c r="BW195" s="302"/>
      <c r="BX195" s="302"/>
      <c r="BY195" s="302"/>
      <c r="BZ195" s="302"/>
    </row>
    <row r="196" spans="1:78" s="25" customFormat="1" ht="16.5" customHeight="1">
      <c r="A196" s="302"/>
      <c r="B196" s="302"/>
      <c r="C196" s="302"/>
      <c r="D196" s="303"/>
      <c r="E196" s="303"/>
      <c r="F196" s="303"/>
      <c r="G196" s="303"/>
      <c r="H196" s="303"/>
      <c r="I196" s="302"/>
      <c r="J196" s="302"/>
      <c r="K196" s="302"/>
      <c r="L196" s="777">
        <v>5</v>
      </c>
      <c r="M196" s="778"/>
      <c r="N196" s="976">
        <v>795</v>
      </c>
      <c r="O196" s="1020">
        <v>139</v>
      </c>
      <c r="P196" s="268">
        <f>VLOOKUP(N196,etat!$A$9:$N$1004,2,FALSE)</f>
        <v>0</v>
      </c>
      <c r="Q196" s="797">
        <f>VLOOKUP(N196,etat!$A$9:$N$963,7,FALSE)</f>
        <v>0</v>
      </c>
      <c r="R196" s="797">
        <f>VLOOKUP(N196,etat!$A$9:$N$1003,9,FALSE)</f>
        <v>0</v>
      </c>
      <c r="S196" s="866">
        <f>VLOOKUP(N196,etat!$A$9:$P$905,16,FALSE)</f>
        <v>0</v>
      </c>
      <c r="T196" s="755">
        <v>45781</v>
      </c>
      <c r="U196" s="791">
        <v>5</v>
      </c>
      <c r="V196" s="784" t="s">
        <v>2285</v>
      </c>
      <c r="W196" s="784"/>
      <c r="X196" s="784"/>
      <c r="Y196" s="975"/>
      <c r="Z196" s="975" t="str">
        <f>VLOOKUP(L196,[2]اس!$S$3:$X$31,3,FALSE)</f>
        <v>.</v>
      </c>
      <c r="AA196" s="967">
        <v>6</v>
      </c>
      <c r="AB196" s="302"/>
      <c r="AC196" s="302"/>
      <c r="AD196" s="302"/>
      <c r="AE196" s="302"/>
      <c r="AF196" s="302"/>
      <c r="AG196" s="302"/>
      <c r="AH196" s="302"/>
      <c r="AI196" s="302"/>
      <c r="AJ196" s="302"/>
      <c r="AK196" s="302"/>
      <c r="AL196" s="302"/>
      <c r="AM196" s="302"/>
      <c r="AN196" s="302"/>
      <c r="AO196" s="302"/>
      <c r="AP196" s="302"/>
      <c r="AQ196" s="302"/>
      <c r="AR196" s="302"/>
      <c r="AS196" s="302"/>
      <c r="AT196" s="302"/>
      <c r="AU196" s="302"/>
      <c r="AV196" s="302"/>
      <c r="AW196" s="302"/>
      <c r="AX196" s="302"/>
      <c r="AY196" s="302"/>
      <c r="AZ196" s="302"/>
      <c r="BA196" s="302"/>
      <c r="BB196" s="302"/>
      <c r="BC196" s="302"/>
      <c r="BD196" s="302"/>
      <c r="BE196" s="302"/>
      <c r="BF196" s="302"/>
      <c r="BG196" s="302"/>
      <c r="BH196" s="302"/>
      <c r="BI196" s="302"/>
      <c r="BJ196" s="302"/>
      <c r="BK196" s="302"/>
      <c r="BL196" s="302"/>
      <c r="BM196" s="302"/>
      <c r="BN196" s="302"/>
      <c r="BO196" s="302"/>
      <c r="BP196" s="302"/>
      <c r="BQ196" s="302"/>
      <c r="BR196" s="302"/>
      <c r="BS196" s="302"/>
      <c r="BT196" s="302"/>
      <c r="BU196" s="302"/>
      <c r="BV196" s="302"/>
      <c r="BW196" s="302"/>
      <c r="BX196" s="302"/>
      <c r="BY196" s="302"/>
      <c r="BZ196" s="302"/>
    </row>
    <row r="197" spans="1:78" s="25" customFormat="1" ht="16.5" customHeight="1">
      <c r="A197" s="302"/>
      <c r="B197" s="302"/>
      <c r="C197" s="302"/>
      <c r="D197" s="303"/>
      <c r="E197" s="303"/>
      <c r="F197" s="303"/>
      <c r="G197" s="303"/>
      <c r="H197" s="303"/>
      <c r="I197" s="302"/>
      <c r="J197" s="302"/>
      <c r="K197" s="302"/>
      <c r="L197" s="777">
        <v>5</v>
      </c>
      <c r="M197" s="778"/>
      <c r="N197" s="976">
        <v>231</v>
      </c>
      <c r="O197" s="1020">
        <v>140</v>
      </c>
      <c r="P197" s="847">
        <f>VLOOKUP(N197,etat!$A$9:$N$1004,2,FALSE)</f>
        <v>0</v>
      </c>
      <c r="Q197" s="797" t="str">
        <f>VLOOKUP(N197,etat!$A$9:$N$963,7,FALSE)</f>
        <v>2ت ا ق1</v>
      </c>
      <c r="R197" s="797" t="str">
        <f>VLOOKUP(N197,etat!$A$9:$N$1003,9,FALSE)</f>
        <v>خ</v>
      </c>
      <c r="S197" s="866" t="str">
        <f>VLOOKUP(N197,etat!$A$9:$P$905,16,FALSE)</f>
        <v>ذخ3</v>
      </c>
      <c r="T197" s="755">
        <v>45769</v>
      </c>
      <c r="U197" s="791">
        <v>17</v>
      </c>
      <c r="V197" s="784" t="s">
        <v>2278</v>
      </c>
      <c r="W197" s="784" t="s">
        <v>2283</v>
      </c>
      <c r="X197" s="784"/>
      <c r="Y197" s="975"/>
      <c r="Z197" s="975" t="str">
        <f>VLOOKUP(L197,[2]اس!$S$3:$X$31,3,FALSE)</f>
        <v>.</v>
      </c>
      <c r="AA197" s="967">
        <v>6</v>
      </c>
      <c r="AB197" s="302"/>
      <c r="AC197" s="302"/>
      <c r="AD197" s="302"/>
      <c r="AE197" s="302"/>
      <c r="AF197" s="302"/>
      <c r="AG197" s="302"/>
      <c r="AH197" s="302"/>
      <c r="AI197" s="302"/>
      <c r="AJ197" s="302"/>
      <c r="AK197" s="302"/>
      <c r="AL197" s="302"/>
      <c r="AM197" s="302"/>
      <c r="AN197" s="302"/>
      <c r="AO197" s="302"/>
      <c r="AP197" s="302"/>
      <c r="AQ197" s="302"/>
      <c r="AR197" s="302"/>
      <c r="AS197" s="302"/>
      <c r="AT197" s="302"/>
      <c r="AU197" s="302"/>
      <c r="AV197" s="302"/>
      <c r="AW197" s="302"/>
      <c r="AX197" s="302"/>
      <c r="AY197" s="302"/>
      <c r="AZ197" s="302"/>
      <c r="BA197" s="302"/>
      <c r="BB197" s="302"/>
      <c r="BC197" s="302"/>
      <c r="BD197" s="302"/>
      <c r="BE197" s="302"/>
      <c r="BF197" s="302"/>
      <c r="BG197" s="302"/>
      <c r="BH197" s="302"/>
      <c r="BI197" s="302"/>
      <c r="BJ197" s="302"/>
      <c r="BK197" s="302"/>
      <c r="BL197" s="302"/>
      <c r="BM197" s="302"/>
      <c r="BN197" s="302"/>
      <c r="BO197" s="302"/>
      <c r="BP197" s="302"/>
      <c r="BQ197" s="302"/>
      <c r="BR197" s="302"/>
      <c r="BS197" s="302"/>
      <c r="BT197" s="302"/>
      <c r="BU197" s="302"/>
      <c r="BV197" s="302"/>
      <c r="BW197" s="302"/>
      <c r="BX197" s="302"/>
      <c r="BY197" s="302"/>
      <c r="BZ197" s="302"/>
    </row>
    <row r="198" spans="1:78" s="25" customFormat="1" ht="16.5" customHeight="1">
      <c r="A198" s="302"/>
      <c r="B198" s="302"/>
      <c r="C198" s="302"/>
      <c r="D198" s="303"/>
      <c r="E198" s="303"/>
      <c r="F198" s="303"/>
      <c r="G198" s="303"/>
      <c r="H198" s="303"/>
      <c r="I198" s="302"/>
      <c r="J198" s="302"/>
      <c r="K198" s="302"/>
      <c r="L198" s="777">
        <v>5</v>
      </c>
      <c r="M198" s="778"/>
      <c r="N198" s="976">
        <v>233</v>
      </c>
      <c r="O198" s="1020">
        <v>141</v>
      </c>
      <c r="P198" s="847">
        <f>VLOOKUP(N198,etat!$A$9:$N$1004,2,FALSE)</f>
        <v>0</v>
      </c>
      <c r="Q198" s="797" t="str">
        <f>VLOOKUP(N198,etat!$A$9:$N$963,7,FALSE)</f>
        <v>2ت ا ق1</v>
      </c>
      <c r="R198" s="797" t="str">
        <f>VLOOKUP(N198,etat!$A$9:$N$1003,9,FALSE)</f>
        <v>خ</v>
      </c>
      <c r="S198" s="866" t="str">
        <f>VLOOKUP(N198,etat!$A$9:$P$905,16,FALSE)</f>
        <v>ذخ3</v>
      </c>
      <c r="T198" s="755">
        <v>45775</v>
      </c>
      <c r="U198" s="791">
        <v>11</v>
      </c>
      <c r="V198" s="784" t="s">
        <v>2282</v>
      </c>
      <c r="W198" s="784" t="s">
        <v>2287</v>
      </c>
      <c r="X198" s="869"/>
      <c r="Y198" s="975"/>
      <c r="Z198" s="975"/>
      <c r="AA198" s="967">
        <v>6</v>
      </c>
      <c r="AB198" s="302"/>
      <c r="AC198" s="302"/>
      <c r="AD198" s="302"/>
      <c r="AE198" s="302"/>
      <c r="AF198" s="302"/>
      <c r="AG198" s="302"/>
      <c r="AH198" s="302"/>
      <c r="AI198" s="302"/>
      <c r="AJ198" s="302"/>
      <c r="AK198" s="302"/>
      <c r="AL198" s="302"/>
      <c r="AM198" s="302"/>
      <c r="AN198" s="302"/>
      <c r="AO198" s="302"/>
      <c r="AP198" s="302"/>
      <c r="AQ198" s="302"/>
      <c r="AR198" s="302"/>
      <c r="AS198" s="302"/>
      <c r="AT198" s="302"/>
      <c r="AU198" s="302"/>
      <c r="AV198" s="302"/>
      <c r="AW198" s="302"/>
      <c r="AX198" s="302"/>
      <c r="AY198" s="302"/>
      <c r="AZ198" s="302"/>
      <c r="BA198" s="302"/>
      <c r="BB198" s="302"/>
      <c r="BC198" s="302"/>
      <c r="BD198" s="302"/>
      <c r="BE198" s="302"/>
      <c r="BF198" s="302"/>
      <c r="BG198" s="302"/>
      <c r="BH198" s="302"/>
      <c r="BI198" s="302"/>
      <c r="BJ198" s="302"/>
      <c r="BK198" s="302"/>
      <c r="BL198" s="302"/>
      <c r="BM198" s="302"/>
      <c r="BN198" s="302"/>
      <c r="BO198" s="302"/>
      <c r="BP198" s="302"/>
      <c r="BQ198" s="302"/>
      <c r="BR198" s="302"/>
      <c r="BS198" s="302"/>
      <c r="BT198" s="302"/>
      <c r="BU198" s="302"/>
      <c r="BV198" s="302"/>
      <c r="BW198" s="302"/>
      <c r="BX198" s="302"/>
      <c r="BY198" s="302"/>
      <c r="BZ198" s="302"/>
    </row>
    <row r="199" spans="1:78" s="25" customFormat="1" ht="16.5" customHeight="1">
      <c r="A199" s="302"/>
      <c r="B199" s="302"/>
      <c r="C199" s="302"/>
      <c r="D199" s="303"/>
      <c r="E199" s="303"/>
      <c r="F199" s="303"/>
      <c r="G199" s="303"/>
      <c r="H199" s="303"/>
      <c r="I199" s="302"/>
      <c r="J199" s="302"/>
      <c r="K199" s="302"/>
      <c r="L199" s="777">
        <v>5</v>
      </c>
      <c r="M199" s="778"/>
      <c r="N199" s="976">
        <v>234</v>
      </c>
      <c r="O199" s="1020">
        <v>142</v>
      </c>
      <c r="P199" s="847">
        <f>VLOOKUP(N199,etat!$A$9:$N$1004,2,FALSE)</f>
        <v>0</v>
      </c>
      <c r="Q199" s="797" t="str">
        <f>VLOOKUP(N199,etat!$A$9:$N$963,7,FALSE)</f>
        <v>2ت ا ق1</v>
      </c>
      <c r="R199" s="797" t="str">
        <f>VLOOKUP(N199,etat!$A$9:$N$1003,9,FALSE)</f>
        <v>خ</v>
      </c>
      <c r="S199" s="866" t="str">
        <f>VLOOKUP(N199,etat!$A$9:$P$905,16,FALSE)</f>
        <v>اخ3</v>
      </c>
      <c r="T199" s="755">
        <v>45775</v>
      </c>
      <c r="U199" s="791">
        <v>11</v>
      </c>
      <c r="V199" s="784" t="s">
        <v>2282</v>
      </c>
      <c r="W199" s="784" t="s">
        <v>2287</v>
      </c>
      <c r="X199" s="869"/>
      <c r="Y199" s="975"/>
      <c r="Z199" s="975"/>
      <c r="AA199" s="967">
        <v>6</v>
      </c>
      <c r="AB199" s="302"/>
      <c r="AC199" s="302"/>
      <c r="AD199" s="302"/>
      <c r="AE199" s="302"/>
      <c r="AF199" s="302"/>
      <c r="AG199" s="302"/>
      <c r="AH199" s="302"/>
      <c r="AI199" s="302"/>
      <c r="AJ199" s="302"/>
      <c r="AK199" s="302"/>
      <c r="AL199" s="302"/>
      <c r="AM199" s="302"/>
      <c r="AN199" s="302"/>
      <c r="AO199" s="302"/>
      <c r="AP199" s="302"/>
      <c r="AQ199" s="302"/>
      <c r="AR199" s="302"/>
      <c r="AS199" s="302"/>
      <c r="AT199" s="302"/>
      <c r="AU199" s="302"/>
      <c r="AV199" s="302"/>
      <c r="AW199" s="302"/>
      <c r="AX199" s="302"/>
      <c r="AY199" s="302"/>
      <c r="AZ199" s="302"/>
      <c r="BA199" s="302"/>
      <c r="BB199" s="302"/>
      <c r="BC199" s="302"/>
      <c r="BD199" s="302"/>
      <c r="BE199" s="302"/>
      <c r="BF199" s="302"/>
      <c r="BG199" s="302"/>
      <c r="BH199" s="302"/>
      <c r="BI199" s="302"/>
      <c r="BJ199" s="302"/>
      <c r="BK199" s="302"/>
      <c r="BL199" s="302"/>
      <c r="BM199" s="302"/>
      <c r="BN199" s="302"/>
      <c r="BO199" s="302"/>
      <c r="BP199" s="302"/>
      <c r="BQ199" s="302"/>
      <c r="BR199" s="302"/>
      <c r="BS199" s="302"/>
      <c r="BT199" s="302"/>
      <c r="BU199" s="302"/>
      <c r="BV199" s="302"/>
      <c r="BW199" s="302"/>
      <c r="BX199" s="302"/>
      <c r="BY199" s="302"/>
      <c r="BZ199" s="302"/>
    </row>
    <row r="200" spans="1:78" s="25" customFormat="1" ht="16.5" customHeight="1">
      <c r="A200" s="302"/>
      <c r="B200" s="302"/>
      <c r="C200" s="302"/>
      <c r="D200" s="303"/>
      <c r="E200" s="303"/>
      <c r="F200" s="303"/>
      <c r="G200" s="303"/>
      <c r="H200" s="303"/>
      <c r="I200" s="302"/>
      <c r="J200" s="302"/>
      <c r="K200" s="302"/>
      <c r="L200" s="777">
        <v>5</v>
      </c>
      <c r="M200" s="778"/>
      <c r="N200" s="976">
        <v>235</v>
      </c>
      <c r="O200" s="1020">
        <v>143</v>
      </c>
      <c r="P200" s="847">
        <f>VLOOKUP(N200,etat!$A$9:$N$1004,2,FALSE)</f>
        <v>0</v>
      </c>
      <c r="Q200" s="797" t="str">
        <f>VLOOKUP(N200,etat!$A$9:$N$963,7,FALSE)</f>
        <v>2ت ا ق1</v>
      </c>
      <c r="R200" s="797" t="str">
        <f>VLOOKUP(N200,etat!$A$9:$N$1003,9,FALSE)</f>
        <v>خ</v>
      </c>
      <c r="S200" s="866" t="str">
        <f>VLOOKUP(N200,etat!$A$9:$P$905,16,FALSE)</f>
        <v>اخ3</v>
      </c>
      <c r="T200" s="755">
        <v>45775</v>
      </c>
      <c r="U200" s="791">
        <v>11</v>
      </c>
      <c r="V200" s="784" t="s">
        <v>2282</v>
      </c>
      <c r="W200" s="784" t="s">
        <v>2287</v>
      </c>
      <c r="X200" s="869"/>
      <c r="Y200" s="975"/>
      <c r="Z200" s="975"/>
      <c r="AA200" s="967">
        <v>6</v>
      </c>
      <c r="AB200" s="302"/>
      <c r="AC200" s="302"/>
      <c r="AD200" s="302"/>
      <c r="AE200" s="302"/>
      <c r="AF200" s="302"/>
      <c r="AG200" s="302"/>
      <c r="AH200" s="302"/>
      <c r="AI200" s="302"/>
      <c r="AJ200" s="302"/>
      <c r="AK200" s="302"/>
      <c r="AL200" s="302"/>
      <c r="AM200" s="302"/>
      <c r="AN200" s="302"/>
      <c r="AO200" s="302"/>
      <c r="AP200" s="302"/>
      <c r="AQ200" s="302"/>
      <c r="AR200" s="302"/>
      <c r="AS200" s="302"/>
      <c r="AT200" s="302"/>
      <c r="AU200" s="302"/>
      <c r="AV200" s="302"/>
      <c r="AW200" s="302"/>
      <c r="AX200" s="302"/>
      <c r="AY200" s="302"/>
      <c r="AZ200" s="302"/>
      <c r="BA200" s="302"/>
      <c r="BB200" s="302"/>
      <c r="BC200" s="302"/>
      <c r="BD200" s="302"/>
      <c r="BE200" s="302"/>
      <c r="BF200" s="302"/>
      <c r="BG200" s="302"/>
      <c r="BH200" s="302"/>
      <c r="BI200" s="302"/>
      <c r="BJ200" s="302"/>
      <c r="BK200" s="302"/>
      <c r="BL200" s="302"/>
      <c r="BM200" s="302"/>
      <c r="BN200" s="302"/>
      <c r="BO200" s="302"/>
      <c r="BP200" s="302"/>
      <c r="BQ200" s="302"/>
      <c r="BR200" s="302"/>
      <c r="BS200" s="302"/>
      <c r="BT200" s="302"/>
      <c r="BU200" s="302"/>
      <c r="BV200" s="302"/>
      <c r="BW200" s="302"/>
      <c r="BX200" s="302"/>
      <c r="BY200" s="302"/>
      <c r="BZ200" s="302"/>
    </row>
    <row r="201" spans="1:78" s="25" customFormat="1" ht="16.5" customHeight="1">
      <c r="A201" s="302"/>
      <c r="B201" s="302"/>
      <c r="C201" s="302"/>
      <c r="D201" s="303"/>
      <c r="E201" s="303"/>
      <c r="F201" s="303"/>
      <c r="G201" s="303"/>
      <c r="H201" s="303"/>
      <c r="I201" s="302"/>
      <c r="J201" s="302"/>
      <c r="K201" s="302"/>
      <c r="L201" s="777">
        <v>5</v>
      </c>
      <c r="M201" s="778"/>
      <c r="N201" s="976">
        <v>237</v>
      </c>
      <c r="O201" s="1020">
        <v>144</v>
      </c>
      <c r="P201" s="847">
        <f>VLOOKUP(N201,etat!$A$9:$N$1004,2,FALSE)</f>
        <v>0</v>
      </c>
      <c r="Q201" s="797" t="str">
        <f>VLOOKUP(N201,etat!$A$9:$N$963,7,FALSE)</f>
        <v>2ت ا ق1</v>
      </c>
      <c r="R201" s="797" t="str">
        <f>VLOOKUP(N201,etat!$A$9:$N$1003,9,FALSE)</f>
        <v>خ</v>
      </c>
      <c r="S201" s="866" t="str">
        <f>VLOOKUP(N201,etat!$A$9:$P$905,16,FALSE)</f>
        <v>اخ3</v>
      </c>
      <c r="T201" s="755">
        <v>45763</v>
      </c>
      <c r="U201" s="791">
        <v>23</v>
      </c>
      <c r="V201" s="784" t="s">
        <v>2269</v>
      </c>
      <c r="W201" s="784" t="s">
        <v>2280</v>
      </c>
      <c r="X201" s="784" t="s">
        <v>2283</v>
      </c>
      <c r="Y201" s="975"/>
      <c r="Z201" s="975" t="str">
        <f>VLOOKUP(L201,[2]اس!$S$3:$X$31,3,FALSE)</f>
        <v>.</v>
      </c>
      <c r="AA201" s="967">
        <v>6</v>
      </c>
      <c r="AB201" s="302"/>
      <c r="AC201" s="302"/>
      <c r="AD201" s="302"/>
      <c r="AE201" s="302"/>
      <c r="AF201" s="302"/>
      <c r="AG201" s="302"/>
      <c r="AH201" s="302"/>
      <c r="AI201" s="302"/>
      <c r="AJ201" s="302"/>
      <c r="AK201" s="302"/>
      <c r="AL201" s="302"/>
      <c r="AM201" s="302"/>
      <c r="AN201" s="302"/>
      <c r="AO201" s="302"/>
      <c r="AP201" s="302"/>
      <c r="AQ201" s="302"/>
      <c r="AR201" s="302"/>
      <c r="AS201" s="302"/>
      <c r="AT201" s="302"/>
      <c r="AU201" s="302"/>
      <c r="AV201" s="302"/>
      <c r="AW201" s="302"/>
      <c r="AX201" s="302"/>
      <c r="AY201" s="302"/>
      <c r="AZ201" s="302"/>
      <c r="BA201" s="302"/>
      <c r="BB201" s="302"/>
      <c r="BC201" s="302"/>
      <c r="BD201" s="302"/>
      <c r="BE201" s="302"/>
      <c r="BF201" s="302"/>
      <c r="BG201" s="302"/>
      <c r="BH201" s="302"/>
      <c r="BI201" s="302"/>
      <c r="BJ201" s="302"/>
      <c r="BK201" s="302"/>
      <c r="BL201" s="302"/>
      <c r="BM201" s="302"/>
      <c r="BN201" s="302"/>
      <c r="BO201" s="302"/>
      <c r="BP201" s="302"/>
      <c r="BQ201" s="302"/>
      <c r="BR201" s="302"/>
      <c r="BS201" s="302"/>
      <c r="BT201" s="302"/>
      <c r="BU201" s="302"/>
      <c r="BV201" s="302"/>
      <c r="BW201" s="302"/>
      <c r="BX201" s="302"/>
      <c r="BY201" s="302"/>
      <c r="BZ201" s="302"/>
    </row>
    <row r="202" spans="1:78" s="25" customFormat="1" ht="16.5" customHeight="1">
      <c r="A202" s="302"/>
      <c r="B202" s="302"/>
      <c r="C202" s="302"/>
      <c r="D202" s="303"/>
      <c r="E202" s="303"/>
      <c r="F202" s="303"/>
      <c r="G202" s="303"/>
      <c r="H202" s="303"/>
      <c r="I202" s="302"/>
      <c r="J202" s="302"/>
      <c r="K202" s="302"/>
      <c r="L202" s="777">
        <v>5</v>
      </c>
      <c r="M202" s="778"/>
      <c r="N202" s="976">
        <v>238</v>
      </c>
      <c r="O202" s="1020">
        <v>145</v>
      </c>
      <c r="P202" s="847">
        <f>VLOOKUP(N202,etat!$A$9:$N$1004,2,FALSE)</f>
        <v>0</v>
      </c>
      <c r="Q202" s="797" t="str">
        <f>VLOOKUP(N202,etat!$A$9:$N$963,7,FALSE)</f>
        <v>2ت ا ق1</v>
      </c>
      <c r="R202" s="797" t="str">
        <f>VLOOKUP(N202,etat!$A$9:$N$1003,9,FALSE)</f>
        <v>خ</v>
      </c>
      <c r="S202" s="866" t="str">
        <f>VLOOKUP(N202,etat!$A$9:$P$905,16,FALSE)</f>
        <v>اخ3</v>
      </c>
      <c r="T202" s="755">
        <v>45770</v>
      </c>
      <c r="U202" s="791">
        <v>16</v>
      </c>
      <c r="V202" s="784" t="s">
        <v>2280</v>
      </c>
      <c r="W202" s="784" t="s">
        <v>2283</v>
      </c>
      <c r="X202" s="784"/>
      <c r="Y202" s="975"/>
      <c r="Z202" s="967"/>
      <c r="AA202" s="967">
        <v>6</v>
      </c>
      <c r="AB202" s="302"/>
      <c r="AC202" s="302"/>
      <c r="AD202" s="302"/>
      <c r="AE202" s="302"/>
      <c r="AF202" s="302"/>
      <c r="AG202" s="302"/>
      <c r="AH202" s="302"/>
      <c r="AI202" s="302"/>
      <c r="AJ202" s="302"/>
      <c r="AK202" s="302"/>
      <c r="AL202" s="302"/>
      <c r="AM202" s="302"/>
      <c r="AN202" s="302"/>
      <c r="AO202" s="302"/>
      <c r="AP202" s="302"/>
      <c r="AQ202" s="302"/>
      <c r="AR202" s="302"/>
      <c r="AS202" s="302"/>
      <c r="AT202" s="302"/>
      <c r="AU202" s="302"/>
      <c r="AV202" s="302"/>
      <c r="AW202" s="302"/>
      <c r="AX202" s="302"/>
      <c r="AY202" s="302"/>
      <c r="AZ202" s="302"/>
      <c r="BA202" s="302"/>
      <c r="BB202" s="302"/>
      <c r="BC202" s="302"/>
      <c r="BD202" s="302"/>
      <c r="BE202" s="302"/>
      <c r="BF202" s="302"/>
      <c r="BG202" s="302"/>
      <c r="BH202" s="302"/>
      <c r="BI202" s="302"/>
      <c r="BJ202" s="302"/>
      <c r="BK202" s="302"/>
      <c r="BL202" s="302"/>
      <c r="BM202" s="302"/>
      <c r="BN202" s="302"/>
      <c r="BO202" s="302"/>
      <c r="BP202" s="302"/>
      <c r="BQ202" s="302"/>
      <c r="BR202" s="302"/>
      <c r="BS202" s="302"/>
      <c r="BT202" s="302"/>
      <c r="BU202" s="302"/>
      <c r="BV202" s="302"/>
      <c r="BW202" s="302"/>
      <c r="BX202" s="302"/>
      <c r="BY202" s="302"/>
      <c r="BZ202" s="302"/>
    </row>
    <row r="203" spans="1:78" s="25" customFormat="1" ht="16.5" customHeight="1">
      <c r="A203" s="302"/>
      <c r="B203" s="302"/>
      <c r="C203" s="302"/>
      <c r="D203" s="303"/>
      <c r="E203" s="303"/>
      <c r="F203" s="303"/>
      <c r="G203" s="303"/>
      <c r="H203" s="303"/>
      <c r="I203" s="302"/>
      <c r="J203" s="302"/>
      <c r="K203" s="302"/>
      <c r="L203" s="777">
        <v>5</v>
      </c>
      <c r="M203" s="778"/>
      <c r="N203" s="976">
        <v>244</v>
      </c>
      <c r="O203" s="1020">
        <v>146</v>
      </c>
      <c r="P203" s="847">
        <f>VLOOKUP(N203,etat!$A$9:$N$1004,2,FALSE)</f>
        <v>0</v>
      </c>
      <c r="Q203" s="797" t="str">
        <f>VLOOKUP(N203,etat!$A$9:$N$963,7,FALSE)</f>
        <v>2ت ا ق1</v>
      </c>
      <c r="R203" s="797" t="str">
        <f>VLOOKUP(N203,etat!$A$9:$N$1003,9,FALSE)</f>
        <v>خ</v>
      </c>
      <c r="S203" s="866" t="str">
        <f>VLOOKUP(N203,etat!$A$9:$P$905,16,FALSE)</f>
        <v>اخ3</v>
      </c>
      <c r="T203" s="755">
        <v>45760</v>
      </c>
      <c r="U203" s="791">
        <v>26</v>
      </c>
      <c r="V203" s="784" t="s">
        <v>2266</v>
      </c>
      <c r="W203" s="784" t="s">
        <v>2273</v>
      </c>
      <c r="X203" s="784" t="s">
        <v>2281</v>
      </c>
      <c r="Y203" s="975"/>
      <c r="Z203" s="975" t="str">
        <f>VLOOKUP(L203,[2]اس!$S$3:$X$31,3,FALSE)</f>
        <v>.</v>
      </c>
      <c r="AA203" s="967">
        <v>6</v>
      </c>
      <c r="AB203" s="302"/>
      <c r="AC203" s="302"/>
      <c r="AD203" s="302"/>
      <c r="AE203" s="302"/>
      <c r="AF203" s="302"/>
      <c r="AG203" s="302"/>
      <c r="AH203" s="302"/>
      <c r="AI203" s="302"/>
      <c r="AJ203" s="302"/>
      <c r="AK203" s="302"/>
      <c r="AL203" s="302"/>
      <c r="AM203" s="302"/>
      <c r="AN203" s="302"/>
      <c r="AO203" s="302"/>
      <c r="AP203" s="302"/>
      <c r="AQ203" s="302"/>
      <c r="AR203" s="302"/>
      <c r="AS203" s="302"/>
      <c r="AT203" s="302"/>
      <c r="AU203" s="302"/>
      <c r="AV203" s="302"/>
      <c r="AW203" s="302"/>
      <c r="AX203" s="302"/>
      <c r="AY203" s="302"/>
      <c r="AZ203" s="302"/>
      <c r="BA203" s="302"/>
      <c r="BB203" s="302"/>
      <c r="BC203" s="302"/>
      <c r="BD203" s="302"/>
      <c r="BE203" s="302"/>
      <c r="BF203" s="302"/>
      <c r="BG203" s="302"/>
      <c r="BH203" s="302"/>
      <c r="BI203" s="302"/>
      <c r="BJ203" s="302"/>
      <c r="BK203" s="302"/>
      <c r="BL203" s="302"/>
      <c r="BM203" s="302"/>
      <c r="BN203" s="302"/>
      <c r="BO203" s="302"/>
      <c r="BP203" s="302"/>
      <c r="BQ203" s="302"/>
      <c r="BR203" s="302"/>
      <c r="BS203" s="302"/>
      <c r="BT203" s="302"/>
      <c r="BU203" s="302"/>
      <c r="BV203" s="302"/>
      <c r="BW203" s="302"/>
      <c r="BX203" s="302"/>
      <c r="BY203" s="302"/>
      <c r="BZ203" s="302"/>
    </row>
    <row r="204" spans="1:78" s="25" customFormat="1" ht="16.5" customHeight="1">
      <c r="A204" s="302"/>
      <c r="B204" s="302"/>
      <c r="C204" s="302"/>
      <c r="D204" s="303"/>
      <c r="E204" s="303"/>
      <c r="F204" s="303"/>
      <c r="G204" s="303"/>
      <c r="H204" s="303"/>
      <c r="I204" s="302"/>
      <c r="J204" s="302"/>
      <c r="K204" s="302"/>
      <c r="L204" s="777">
        <v>5</v>
      </c>
      <c r="M204" s="778"/>
      <c r="N204" s="976">
        <v>246</v>
      </c>
      <c r="O204" s="1020">
        <v>147</v>
      </c>
      <c r="P204" s="847">
        <f>VLOOKUP(N204,etat!$A$9:$N$1004,2,FALSE)</f>
        <v>0</v>
      </c>
      <c r="Q204" s="797" t="str">
        <f>VLOOKUP(N204,etat!$A$9:$N$963,7,FALSE)</f>
        <v>2ت ا ق1</v>
      </c>
      <c r="R204" s="797" t="str">
        <f>VLOOKUP(N204,etat!$A$9:$N$1003,9,FALSE)</f>
        <v>خ</v>
      </c>
      <c r="S204" s="866" t="str">
        <f>VLOOKUP(N204,etat!$A$9:$P$905,16,FALSE)</f>
        <v>ان/د2</v>
      </c>
      <c r="T204" s="755">
        <v>45775</v>
      </c>
      <c r="U204" s="791">
        <v>11</v>
      </c>
      <c r="V204" s="784" t="s">
        <v>2282</v>
      </c>
      <c r="W204" s="784" t="s">
        <v>2287</v>
      </c>
      <c r="X204" s="869"/>
      <c r="Y204" s="975"/>
      <c r="Z204" s="975"/>
      <c r="AA204" s="967">
        <v>6</v>
      </c>
      <c r="AB204" s="302"/>
      <c r="AC204" s="302"/>
      <c r="AD204" s="302"/>
      <c r="AE204" s="302"/>
      <c r="AF204" s="302"/>
      <c r="AG204" s="302"/>
      <c r="AH204" s="302"/>
      <c r="AI204" s="302"/>
      <c r="AJ204" s="302"/>
      <c r="AK204" s="302"/>
      <c r="AL204" s="302"/>
      <c r="AM204" s="302"/>
      <c r="AN204" s="302"/>
      <c r="AO204" s="302"/>
      <c r="AP204" s="302"/>
      <c r="AQ204" s="302"/>
      <c r="AR204" s="302"/>
      <c r="AS204" s="302"/>
      <c r="AT204" s="302"/>
      <c r="AU204" s="302"/>
      <c r="AV204" s="302"/>
      <c r="AW204" s="302"/>
      <c r="AX204" s="302"/>
      <c r="AY204" s="302"/>
      <c r="AZ204" s="302"/>
      <c r="BA204" s="302"/>
      <c r="BB204" s="302"/>
      <c r="BC204" s="302"/>
      <c r="BD204" s="302"/>
      <c r="BE204" s="302"/>
      <c r="BF204" s="302"/>
      <c r="BG204" s="302"/>
      <c r="BH204" s="302"/>
      <c r="BI204" s="302"/>
      <c r="BJ204" s="302"/>
      <c r="BK204" s="302"/>
      <c r="BL204" s="302"/>
      <c r="BM204" s="302"/>
      <c r="BN204" s="302"/>
      <c r="BO204" s="302"/>
      <c r="BP204" s="302"/>
      <c r="BQ204" s="302"/>
      <c r="BR204" s="302"/>
      <c r="BS204" s="302"/>
      <c r="BT204" s="302"/>
      <c r="BU204" s="302"/>
      <c r="BV204" s="302"/>
      <c r="BW204" s="302"/>
      <c r="BX204" s="302"/>
      <c r="BY204" s="302"/>
      <c r="BZ204" s="302"/>
    </row>
    <row r="205" spans="1:78" s="25" customFormat="1" ht="16.5" customHeight="1">
      <c r="A205" s="302"/>
      <c r="B205" s="302"/>
      <c r="C205" s="302"/>
      <c r="D205" s="303"/>
      <c r="E205" s="303"/>
      <c r="F205" s="303"/>
      <c r="G205" s="303"/>
      <c r="H205" s="303"/>
      <c r="I205" s="302"/>
      <c r="J205" s="302"/>
      <c r="K205" s="302"/>
      <c r="L205" s="777">
        <v>5</v>
      </c>
      <c r="M205" s="778"/>
      <c r="N205" s="976">
        <v>247</v>
      </c>
      <c r="O205" s="1020">
        <v>148</v>
      </c>
      <c r="P205" s="847">
        <f>VLOOKUP(N205,etat!$A$9:$N$1004,2,FALSE)</f>
        <v>0</v>
      </c>
      <c r="Q205" s="797" t="str">
        <f>VLOOKUP(N205,etat!$A$9:$N$963,7,FALSE)</f>
        <v>2ت ا ق1</v>
      </c>
      <c r="R205" s="797" t="str">
        <f>VLOOKUP(N205,etat!$A$9:$N$1003,9,FALSE)</f>
        <v>خ</v>
      </c>
      <c r="S205" s="866" t="str">
        <f>VLOOKUP(N205,etat!$A$9:$P$905,16,FALSE)</f>
        <v>ذن/د2</v>
      </c>
      <c r="T205" s="755">
        <v>45767</v>
      </c>
      <c r="U205" s="791">
        <v>19</v>
      </c>
      <c r="V205" s="784" t="s">
        <v>2273</v>
      </c>
      <c r="W205" s="784" t="s">
        <v>2281</v>
      </c>
      <c r="X205" s="784"/>
      <c r="Y205" s="975"/>
      <c r="Z205" s="967"/>
      <c r="AA205" s="967">
        <v>6</v>
      </c>
      <c r="AB205" s="23"/>
      <c r="AC205" s="23"/>
      <c r="AD205" s="23"/>
      <c r="AE205" s="23"/>
      <c r="AF205" s="23"/>
      <c r="AG205" s="765"/>
      <c r="AH205" s="765"/>
      <c r="AI205" s="765"/>
      <c r="AJ205" s="765"/>
      <c r="AK205" s="765"/>
      <c r="AL205" s="765"/>
      <c r="AM205" s="765"/>
      <c r="AN205" s="765"/>
      <c r="AO205" s="765"/>
      <c r="AP205" s="765"/>
      <c r="AQ205" s="765"/>
      <c r="AR205" s="765"/>
      <c r="AS205" s="765"/>
      <c r="AT205" s="765"/>
      <c r="AU205" s="765"/>
      <c r="AV205" s="765"/>
      <c r="AW205" s="765"/>
      <c r="AX205" s="765"/>
      <c r="AY205" s="765"/>
      <c r="AZ205" s="765"/>
      <c r="BA205" s="765"/>
      <c r="BB205" s="302"/>
      <c r="BC205" s="302"/>
      <c r="BD205" s="302"/>
      <c r="BE205" s="302"/>
      <c r="BF205" s="302"/>
      <c r="BG205" s="302"/>
      <c r="BH205" s="302"/>
      <c r="BI205" s="302"/>
      <c r="BJ205" s="302"/>
      <c r="BK205" s="302"/>
      <c r="BL205" s="302"/>
      <c r="BM205" s="302"/>
      <c r="BN205" s="302"/>
      <c r="BO205" s="302"/>
      <c r="BP205" s="302"/>
      <c r="BQ205" s="302"/>
      <c r="BR205" s="302"/>
      <c r="BS205" s="302"/>
      <c r="BT205" s="302"/>
      <c r="BU205" s="302"/>
      <c r="BV205" s="302"/>
      <c r="BW205" s="302"/>
      <c r="BX205" s="302"/>
      <c r="BY205" s="302"/>
      <c r="BZ205" s="302"/>
    </row>
    <row r="206" spans="1:78" s="25" customFormat="1" ht="16.5" customHeight="1">
      <c r="A206" s="302"/>
      <c r="B206" s="302"/>
      <c r="C206" s="302"/>
      <c r="D206" s="303"/>
      <c r="E206" s="303"/>
      <c r="F206" s="303"/>
      <c r="G206" s="303"/>
      <c r="H206" s="303"/>
      <c r="I206" s="302"/>
      <c r="J206" s="302"/>
      <c r="K206" s="302"/>
      <c r="L206" s="777">
        <v>5</v>
      </c>
      <c r="M206" s="778"/>
      <c r="N206" s="976">
        <v>250</v>
      </c>
      <c r="O206" s="1020">
        <v>149</v>
      </c>
      <c r="P206" s="847">
        <f>VLOOKUP(N206,etat!$A$9:$N$1004,2,FALSE)</f>
        <v>0</v>
      </c>
      <c r="Q206" s="797" t="str">
        <f>VLOOKUP(N206,etat!$A$9:$N$963,7,FALSE)</f>
        <v>2ت ا ق1</v>
      </c>
      <c r="R206" s="797" t="str">
        <f>VLOOKUP(N206,etat!$A$9:$N$1003,9,FALSE)</f>
        <v>خ</v>
      </c>
      <c r="S206" s="866" t="str">
        <f>VLOOKUP(N206,etat!$A$9:$P$905,16,FALSE)</f>
        <v>ذخ2</v>
      </c>
      <c r="T206" s="755">
        <v>45775</v>
      </c>
      <c r="U206" s="791">
        <v>11</v>
      </c>
      <c r="V206" s="784" t="s">
        <v>2282</v>
      </c>
      <c r="W206" s="784" t="s">
        <v>2287</v>
      </c>
      <c r="X206" s="869"/>
      <c r="Y206" s="975"/>
      <c r="Z206" s="975"/>
      <c r="AA206" s="967">
        <v>6</v>
      </c>
      <c r="AB206" s="23"/>
      <c r="AC206" s="23"/>
      <c r="AD206" s="23"/>
      <c r="AE206" s="23"/>
      <c r="AF206" s="23"/>
      <c r="AG206" s="765"/>
      <c r="AH206" s="765"/>
      <c r="AI206" s="765"/>
      <c r="AJ206" s="765"/>
      <c r="AK206" s="765"/>
      <c r="AL206" s="765"/>
      <c r="AM206" s="765"/>
      <c r="AN206" s="765"/>
      <c r="AO206" s="765"/>
      <c r="AP206" s="765"/>
      <c r="AQ206" s="765"/>
      <c r="AR206" s="765"/>
      <c r="AS206" s="765"/>
      <c r="AT206" s="765"/>
      <c r="AU206" s="765"/>
      <c r="AV206" s="765"/>
      <c r="AW206" s="765"/>
      <c r="AX206" s="765"/>
      <c r="AY206" s="765"/>
      <c r="AZ206" s="765"/>
      <c r="BA206" s="765"/>
      <c r="BB206" s="302"/>
      <c r="BC206" s="302"/>
      <c r="BD206" s="302"/>
      <c r="BE206" s="302"/>
      <c r="BF206" s="302"/>
      <c r="BG206" s="302"/>
      <c r="BH206" s="302"/>
      <c r="BI206" s="302"/>
      <c r="BJ206" s="302"/>
      <c r="BK206" s="302"/>
      <c r="BL206" s="302"/>
      <c r="BM206" s="302"/>
      <c r="BN206" s="302"/>
      <c r="BO206" s="302"/>
      <c r="BP206" s="302"/>
      <c r="BQ206" s="302"/>
      <c r="BR206" s="302"/>
      <c r="BS206" s="302"/>
      <c r="BT206" s="302"/>
      <c r="BU206" s="302"/>
      <c r="BV206" s="302"/>
      <c r="BW206" s="302"/>
      <c r="BX206" s="302"/>
      <c r="BY206" s="302"/>
      <c r="BZ206" s="302"/>
    </row>
    <row r="207" spans="1:78" s="25" customFormat="1" ht="16.5" customHeight="1">
      <c r="A207" s="302"/>
      <c r="B207" s="302"/>
      <c r="C207" s="302"/>
      <c r="D207" s="303"/>
      <c r="E207" s="303"/>
      <c r="F207" s="303"/>
      <c r="G207" s="303"/>
      <c r="H207" s="303"/>
      <c r="I207" s="302"/>
      <c r="J207" s="302"/>
      <c r="K207" s="302"/>
      <c r="L207" s="777">
        <v>5</v>
      </c>
      <c r="M207" s="778"/>
      <c r="N207" s="976">
        <v>252</v>
      </c>
      <c r="O207" s="1020">
        <v>150</v>
      </c>
      <c r="P207" s="847">
        <f>VLOOKUP(N207,etat!$A$9:$N$1004,2,FALSE)</f>
        <v>0</v>
      </c>
      <c r="Q207" s="797" t="str">
        <f>VLOOKUP(N207,etat!$A$9:$N$963,7,FALSE)</f>
        <v>2ت ا ق1</v>
      </c>
      <c r="R207" s="797" t="str">
        <f>VLOOKUP(N207,etat!$A$9:$N$1003,9,FALSE)</f>
        <v>خ</v>
      </c>
      <c r="S207" s="866" t="str">
        <f>VLOOKUP(N207,etat!$A$9:$P$905,16,FALSE)</f>
        <v>اخ2</v>
      </c>
      <c r="T207" s="755">
        <v>45774</v>
      </c>
      <c r="U207" s="791">
        <v>12</v>
      </c>
      <c r="V207" s="784" t="s">
        <v>2281</v>
      </c>
      <c r="W207" s="784" t="s">
        <v>2285</v>
      </c>
      <c r="X207" s="784"/>
      <c r="Y207" s="1117"/>
      <c r="Z207" s="967"/>
      <c r="AA207" s="967">
        <v>6</v>
      </c>
      <c r="AB207" s="23"/>
      <c r="AC207" s="23"/>
      <c r="AD207" s="23"/>
      <c r="AE207" s="23"/>
      <c r="AF207" s="23"/>
      <c r="AG207" s="765"/>
      <c r="AH207" s="765"/>
      <c r="AI207" s="765"/>
      <c r="AJ207" s="765"/>
      <c r="AK207" s="765"/>
      <c r="AL207" s="765"/>
      <c r="AM207" s="765"/>
      <c r="AN207" s="765"/>
      <c r="AO207" s="765"/>
      <c r="AP207" s="765"/>
      <c r="AQ207" s="765"/>
      <c r="AR207" s="765"/>
      <c r="AS207" s="765"/>
      <c r="AT207" s="765"/>
      <c r="AU207" s="765"/>
      <c r="AV207" s="765"/>
      <c r="AW207" s="765"/>
      <c r="AX207" s="765"/>
      <c r="AY207" s="765"/>
      <c r="AZ207" s="765"/>
      <c r="BA207" s="765"/>
      <c r="BB207" s="302"/>
      <c r="BC207" s="302"/>
      <c r="BD207" s="302"/>
      <c r="BE207" s="302"/>
      <c r="BF207" s="302"/>
      <c r="BG207" s="302"/>
      <c r="BH207" s="302"/>
      <c r="BI207" s="302"/>
      <c r="BJ207" s="302"/>
      <c r="BK207" s="302"/>
      <c r="BL207" s="302"/>
      <c r="BM207" s="302"/>
      <c r="BN207" s="302"/>
      <c r="BO207" s="302"/>
      <c r="BP207" s="302"/>
      <c r="BQ207" s="302"/>
      <c r="BR207" s="302"/>
      <c r="BS207" s="302"/>
      <c r="BT207" s="302"/>
      <c r="BU207" s="302"/>
      <c r="BV207" s="302"/>
      <c r="BW207" s="302"/>
      <c r="BX207" s="302"/>
      <c r="BY207" s="302"/>
      <c r="BZ207" s="302"/>
    </row>
    <row r="208" spans="1:78" s="25" customFormat="1" ht="16.5" customHeight="1">
      <c r="A208" s="302"/>
      <c r="B208" s="302"/>
      <c r="C208" s="302"/>
      <c r="D208" s="303"/>
      <c r="E208" s="303"/>
      <c r="F208" s="303"/>
      <c r="G208" s="303"/>
      <c r="H208" s="303"/>
      <c r="I208" s="302"/>
      <c r="J208" s="302"/>
      <c r="K208" s="302"/>
      <c r="L208" s="777">
        <v>5</v>
      </c>
      <c r="M208" s="778"/>
      <c r="N208" s="976">
        <v>253</v>
      </c>
      <c r="O208" s="1020">
        <v>151</v>
      </c>
      <c r="P208" s="847">
        <f>VLOOKUP(N208,etat!$A$9:$N$1004,2,FALSE)</f>
        <v>0</v>
      </c>
      <c r="Q208" s="797" t="str">
        <f>VLOOKUP(N208,etat!$A$9:$N$963,7,FALSE)</f>
        <v>2ت ا ق1</v>
      </c>
      <c r="R208" s="797" t="str">
        <f>VLOOKUP(N208,etat!$A$9:$N$1003,9,FALSE)</f>
        <v>خ</v>
      </c>
      <c r="S208" s="866" t="str">
        <f>VLOOKUP(N208,etat!$A$9:$P$905,16,FALSE)</f>
        <v>اخ2</v>
      </c>
      <c r="T208" s="755">
        <v>45776</v>
      </c>
      <c r="U208" s="791">
        <v>10</v>
      </c>
      <c r="V208" s="784" t="s">
        <v>2283</v>
      </c>
      <c r="W208" s="784" t="s">
        <v>2291</v>
      </c>
      <c r="X208" s="784"/>
      <c r="Y208" s="975"/>
      <c r="Z208" s="975"/>
      <c r="AA208" s="967">
        <v>6</v>
      </c>
      <c r="AB208" s="947"/>
      <c r="AC208" s="947"/>
      <c r="AD208" s="947"/>
      <c r="AE208" s="947"/>
      <c r="AF208" s="947"/>
      <c r="AG208" s="946"/>
      <c r="AH208" s="946"/>
      <c r="AI208" s="946"/>
      <c r="AJ208" s="946"/>
      <c r="AK208" s="946"/>
      <c r="AL208" s="946"/>
      <c r="AM208" s="946"/>
      <c r="AN208" s="946"/>
      <c r="AO208" s="946"/>
      <c r="AP208" s="946"/>
      <c r="AQ208" s="946"/>
      <c r="AR208" s="946"/>
      <c r="AS208" s="946"/>
      <c r="AT208" s="946"/>
      <c r="AU208" s="946"/>
      <c r="AV208" s="946"/>
      <c r="AW208" s="946"/>
      <c r="AX208" s="946"/>
      <c r="AY208" s="946"/>
      <c r="AZ208" s="946"/>
      <c r="BA208" s="946"/>
      <c r="BB208" s="302"/>
      <c r="BC208" s="302"/>
      <c r="BD208" s="302"/>
      <c r="BE208" s="302"/>
      <c r="BF208" s="302"/>
      <c r="BG208" s="302"/>
      <c r="BH208" s="302"/>
      <c r="BI208" s="302"/>
      <c r="BJ208" s="302"/>
      <c r="BK208" s="302"/>
      <c r="BL208" s="302"/>
      <c r="BM208" s="302"/>
      <c r="BN208" s="302"/>
      <c r="BO208" s="302"/>
      <c r="BP208" s="302"/>
      <c r="BQ208" s="302"/>
      <c r="BR208" s="302"/>
      <c r="BS208" s="302"/>
      <c r="BT208" s="302"/>
      <c r="BU208" s="302"/>
      <c r="BV208" s="302"/>
      <c r="BW208" s="302"/>
      <c r="BX208" s="302"/>
      <c r="BY208" s="302"/>
      <c r="BZ208" s="302"/>
    </row>
    <row r="209" spans="1:78" s="25" customFormat="1" ht="16.5" customHeight="1">
      <c r="A209" s="302"/>
      <c r="B209" s="302"/>
      <c r="C209" s="302"/>
      <c r="D209" s="303"/>
      <c r="E209" s="303"/>
      <c r="F209" s="303"/>
      <c r="G209" s="303"/>
      <c r="H209" s="303"/>
      <c r="I209" s="302"/>
      <c r="J209" s="302"/>
      <c r="K209" s="302"/>
      <c r="L209" s="777">
        <v>5</v>
      </c>
      <c r="M209" s="778"/>
      <c r="N209" s="976">
        <v>254</v>
      </c>
      <c r="O209" s="1020">
        <v>152</v>
      </c>
      <c r="P209" s="847">
        <f>VLOOKUP(N209,etat!$A$9:$N$1004,2,FALSE)</f>
        <v>0</v>
      </c>
      <c r="Q209" s="797" t="str">
        <f>VLOOKUP(N209,etat!$A$9:$N$963,7,FALSE)</f>
        <v>2ت ا ق1</v>
      </c>
      <c r="R209" s="797" t="str">
        <f>VLOOKUP(N209,etat!$A$9:$N$1003,9,FALSE)</f>
        <v>خ</v>
      </c>
      <c r="S209" s="866" t="str">
        <f>VLOOKUP(N209,etat!$A$9:$P$905,16,FALSE)</f>
        <v>اخ2</v>
      </c>
      <c r="T209" s="755">
        <v>45770</v>
      </c>
      <c r="U209" s="791">
        <v>16</v>
      </c>
      <c r="V209" s="784" t="s">
        <v>2280</v>
      </c>
      <c r="W209" s="784" t="s">
        <v>2283</v>
      </c>
      <c r="X209" s="784"/>
      <c r="Y209" s="975"/>
      <c r="Z209" s="967"/>
      <c r="AA209" s="967">
        <v>6</v>
      </c>
      <c r="AB209" s="947"/>
      <c r="AC209" s="947"/>
      <c r="AD209" s="947"/>
      <c r="AE209" s="947"/>
      <c r="AF209" s="947"/>
      <c r="AG209" s="946"/>
      <c r="AH209" s="946"/>
      <c r="AI209" s="946"/>
      <c r="AJ209" s="946"/>
      <c r="AK209" s="946"/>
      <c r="AL209" s="946"/>
      <c r="AM209" s="946"/>
      <c r="AN209" s="946"/>
      <c r="AO209" s="946"/>
      <c r="AP209" s="946"/>
      <c r="AQ209" s="946"/>
      <c r="AR209" s="946"/>
      <c r="AS209" s="946"/>
      <c r="AT209" s="946"/>
      <c r="AU209" s="946"/>
      <c r="AV209" s="946"/>
      <c r="AW209" s="946"/>
      <c r="AX209" s="946"/>
      <c r="AY209" s="946"/>
      <c r="AZ209" s="946"/>
      <c r="BA209" s="946"/>
      <c r="BB209" s="302"/>
      <c r="BC209" s="302"/>
      <c r="BD209" s="302"/>
      <c r="BE209" s="302"/>
      <c r="BF209" s="302"/>
      <c r="BG209" s="302"/>
      <c r="BH209" s="302"/>
      <c r="BI209" s="302"/>
      <c r="BJ209" s="302"/>
      <c r="BK209" s="302"/>
      <c r="BL209" s="302"/>
      <c r="BM209" s="302"/>
      <c r="BN209" s="302"/>
      <c r="BO209" s="302"/>
      <c r="BP209" s="302"/>
      <c r="BQ209" s="302"/>
      <c r="BR209" s="302"/>
      <c r="BS209" s="302"/>
      <c r="BT209" s="302"/>
      <c r="BU209" s="302"/>
      <c r="BV209" s="302"/>
      <c r="BW209" s="302"/>
      <c r="BX209" s="302"/>
      <c r="BY209" s="302"/>
      <c r="BZ209" s="302"/>
    </row>
    <row r="210" spans="1:78" s="25" customFormat="1" ht="16.5" customHeight="1">
      <c r="A210" s="302"/>
      <c r="B210" s="302"/>
      <c r="C210" s="302"/>
      <c r="D210" s="303"/>
      <c r="E210" s="303"/>
      <c r="F210" s="303"/>
      <c r="G210" s="303"/>
      <c r="H210" s="303"/>
      <c r="I210" s="302"/>
      <c r="J210" s="302"/>
      <c r="K210" s="302"/>
      <c r="L210" s="777">
        <v>5</v>
      </c>
      <c r="M210" s="778"/>
      <c r="N210" s="976">
        <v>255</v>
      </c>
      <c r="O210" s="1020">
        <v>153</v>
      </c>
      <c r="P210" s="847">
        <f>VLOOKUP(N210,etat!$A$9:$N$1004,2,FALSE)</f>
        <v>0</v>
      </c>
      <c r="Q210" s="797" t="str">
        <f>VLOOKUP(N210,etat!$A$9:$N$963,7,FALSE)</f>
        <v>2ت ا ق1</v>
      </c>
      <c r="R210" s="797" t="str">
        <f>VLOOKUP(N210,etat!$A$9:$N$1003,9,FALSE)</f>
        <v>خ</v>
      </c>
      <c r="S210" s="866" t="str">
        <f>VLOOKUP(N210,etat!$A$9:$P$905,16,FALSE)</f>
        <v>اخ2</v>
      </c>
      <c r="T210" s="755">
        <v>45775</v>
      </c>
      <c r="U210" s="791">
        <v>11</v>
      </c>
      <c r="V210" s="784" t="s">
        <v>2282</v>
      </c>
      <c r="W210" s="784" t="s">
        <v>2287</v>
      </c>
      <c r="X210" s="869"/>
      <c r="Y210" s="975"/>
      <c r="Z210" s="975"/>
      <c r="AA210" s="967">
        <v>6</v>
      </c>
      <c r="AB210" s="1092"/>
      <c r="AC210" s="1092"/>
      <c r="AD210" s="1092"/>
      <c r="AE210" s="1092"/>
      <c r="AF210" s="1092"/>
      <c r="AG210" s="1093"/>
      <c r="AH210" s="1093"/>
      <c r="AI210" s="1093"/>
      <c r="AJ210" s="1093"/>
      <c r="AK210" s="1093"/>
      <c r="AL210" s="1093"/>
      <c r="AM210" s="1093"/>
      <c r="AN210" s="1093"/>
      <c r="AO210" s="1093"/>
      <c r="AP210" s="1093"/>
      <c r="AQ210" s="1093"/>
      <c r="AR210" s="1093"/>
      <c r="AS210" s="1093"/>
      <c r="AT210" s="1093"/>
      <c r="AU210" s="1093"/>
      <c r="AV210" s="1093"/>
      <c r="AW210" s="1093"/>
      <c r="AX210" s="1093"/>
      <c r="AY210" s="1093"/>
      <c r="AZ210" s="1093"/>
      <c r="BA210" s="1093"/>
      <c r="BB210" s="302"/>
      <c r="BC210" s="302"/>
      <c r="BD210" s="302"/>
      <c r="BE210" s="302"/>
      <c r="BF210" s="302"/>
      <c r="BG210" s="302"/>
      <c r="BH210" s="302"/>
      <c r="BI210" s="302"/>
      <c r="BJ210" s="302"/>
      <c r="BK210" s="302"/>
      <c r="BL210" s="302"/>
      <c r="BM210" s="302"/>
      <c r="BN210" s="302"/>
      <c r="BO210" s="302"/>
      <c r="BP210" s="302"/>
      <c r="BQ210" s="302"/>
      <c r="BR210" s="302"/>
      <c r="BS210" s="302"/>
      <c r="BT210" s="302"/>
      <c r="BU210" s="302"/>
      <c r="BV210" s="302"/>
      <c r="BW210" s="302"/>
      <c r="BX210" s="302"/>
      <c r="BY210" s="302"/>
      <c r="BZ210" s="302"/>
    </row>
    <row r="211" spans="1:78" s="25" customFormat="1" ht="16.5" customHeight="1">
      <c r="A211" s="302"/>
      <c r="B211" s="302"/>
      <c r="C211" s="302"/>
      <c r="D211" s="303"/>
      <c r="E211" s="303"/>
      <c r="F211" s="303"/>
      <c r="G211" s="303"/>
      <c r="H211" s="303"/>
      <c r="I211" s="302"/>
      <c r="J211" s="302"/>
      <c r="K211" s="302"/>
      <c r="L211" s="777">
        <v>5</v>
      </c>
      <c r="M211" s="778"/>
      <c r="N211" s="976">
        <v>257</v>
      </c>
      <c r="O211" s="1020">
        <v>154</v>
      </c>
      <c r="P211" s="847">
        <f>VLOOKUP(N211,etat!$A$9:$N$1004,2,FALSE)</f>
        <v>0</v>
      </c>
      <c r="Q211" s="797" t="str">
        <f>VLOOKUP(N211,etat!$A$9:$N$963,7,FALSE)</f>
        <v>2ت ا ق1</v>
      </c>
      <c r="R211" s="797" t="str">
        <f>VLOOKUP(N211,etat!$A$9:$N$1003,9,FALSE)</f>
        <v>خ</v>
      </c>
      <c r="S211" s="866" t="str">
        <f>VLOOKUP(N211,etat!$A$9:$P$905,16,FALSE)</f>
        <v>ذخ2</v>
      </c>
      <c r="T211" s="755">
        <v>45775</v>
      </c>
      <c r="U211" s="791">
        <v>11</v>
      </c>
      <c r="V211" s="784" t="s">
        <v>2282</v>
      </c>
      <c r="W211" s="784" t="s">
        <v>2287</v>
      </c>
      <c r="X211" s="869"/>
      <c r="Y211" s="975"/>
      <c r="Z211" s="975"/>
      <c r="AA211" s="967">
        <v>6</v>
      </c>
      <c r="AB211" s="1092"/>
      <c r="AC211" s="1092"/>
      <c r="AD211" s="1092"/>
      <c r="AE211" s="1092"/>
      <c r="AF211" s="1092"/>
      <c r="AG211" s="1093"/>
      <c r="AH211" s="1093"/>
      <c r="AI211" s="1093"/>
      <c r="AJ211" s="1093"/>
      <c r="AK211" s="1093"/>
      <c r="AL211" s="1093"/>
      <c r="AM211" s="1093"/>
      <c r="AN211" s="1093"/>
      <c r="AO211" s="1093"/>
      <c r="AP211" s="1093"/>
      <c r="AQ211" s="1093"/>
      <c r="AR211" s="1093"/>
      <c r="AS211" s="1093"/>
      <c r="AT211" s="1093"/>
      <c r="AU211" s="1093"/>
      <c r="AV211" s="1093"/>
      <c r="AW211" s="1093"/>
      <c r="AX211" s="1093"/>
      <c r="AY211" s="1093"/>
      <c r="AZ211" s="1093"/>
      <c r="BA211" s="1093"/>
      <c r="BB211" s="302"/>
      <c r="BC211" s="302"/>
      <c r="BD211" s="302"/>
      <c r="BE211" s="302"/>
      <c r="BF211" s="302"/>
      <c r="BG211" s="302"/>
      <c r="BH211" s="302"/>
      <c r="BI211" s="302"/>
      <c r="BJ211" s="302"/>
      <c r="BK211" s="302"/>
      <c r="BL211" s="302"/>
      <c r="BM211" s="302"/>
      <c r="BN211" s="302"/>
      <c r="BO211" s="302"/>
      <c r="BP211" s="302"/>
      <c r="BQ211" s="302"/>
      <c r="BR211" s="302"/>
      <c r="BS211" s="302"/>
      <c r="BT211" s="302"/>
      <c r="BU211" s="302"/>
      <c r="BV211" s="302"/>
      <c r="BW211" s="302"/>
      <c r="BX211" s="302"/>
      <c r="BY211" s="302"/>
      <c r="BZ211" s="302"/>
    </row>
    <row r="212" spans="1:78" s="25" customFormat="1" ht="16.5" customHeight="1">
      <c r="A212" s="302"/>
      <c r="B212" s="302"/>
      <c r="C212" s="302"/>
      <c r="D212" s="303"/>
      <c r="E212" s="303"/>
      <c r="F212" s="303"/>
      <c r="G212" s="303"/>
      <c r="H212" s="303"/>
      <c r="I212" s="302"/>
      <c r="J212" s="302"/>
      <c r="K212" s="302"/>
      <c r="L212" s="777">
        <v>5</v>
      </c>
      <c r="M212" s="778"/>
      <c r="N212" s="976">
        <v>258</v>
      </c>
      <c r="O212" s="1020">
        <v>155</v>
      </c>
      <c r="P212" s="847">
        <f>VLOOKUP(N212,etat!$A$9:$N$1004,2,FALSE)</f>
        <v>0</v>
      </c>
      <c r="Q212" s="797" t="str">
        <f>VLOOKUP(N212,etat!$A$9:$N$963,7,FALSE)</f>
        <v>2ت ا ق1</v>
      </c>
      <c r="R212" s="797" t="str">
        <f>VLOOKUP(N212,etat!$A$9:$N$1003,9,FALSE)</f>
        <v>خ</v>
      </c>
      <c r="S212" s="866" t="str">
        <f>VLOOKUP(N212,etat!$A$9:$P$905,16,FALSE)</f>
        <v>اخ2</v>
      </c>
      <c r="T212" s="755">
        <v>45775</v>
      </c>
      <c r="U212" s="791">
        <v>11</v>
      </c>
      <c r="V212" s="784" t="s">
        <v>2282</v>
      </c>
      <c r="W212" s="784" t="s">
        <v>2287</v>
      </c>
      <c r="X212" s="869"/>
      <c r="Y212" s="975"/>
      <c r="Z212" s="975"/>
      <c r="AA212" s="967">
        <v>6</v>
      </c>
      <c r="AB212" s="947"/>
      <c r="AC212" s="947"/>
      <c r="AD212" s="947"/>
      <c r="AE212" s="947"/>
      <c r="AF212" s="947"/>
      <c r="AG212" s="946"/>
      <c r="AH212" s="946"/>
      <c r="AI212" s="946"/>
      <c r="AJ212" s="946"/>
      <c r="AK212" s="946"/>
      <c r="AL212" s="946"/>
      <c r="AM212" s="946"/>
      <c r="AN212" s="946"/>
      <c r="AO212" s="946"/>
      <c r="AP212" s="946"/>
      <c r="AQ212" s="946"/>
      <c r="AR212" s="946"/>
      <c r="AS212" s="946"/>
      <c r="AT212" s="946"/>
      <c r="AU212" s="946"/>
      <c r="AV212" s="946"/>
      <c r="AW212" s="946"/>
      <c r="AX212" s="946"/>
      <c r="AY212" s="946"/>
      <c r="AZ212" s="946"/>
      <c r="BA212" s="946"/>
      <c r="BB212" s="302"/>
      <c r="BC212" s="302"/>
      <c r="BD212" s="302"/>
      <c r="BE212" s="302"/>
      <c r="BF212" s="302"/>
      <c r="BG212" s="302"/>
      <c r="BH212" s="302"/>
      <c r="BI212" s="302"/>
      <c r="BJ212" s="302"/>
      <c r="BK212" s="302"/>
      <c r="BL212" s="302"/>
      <c r="BM212" s="302"/>
      <c r="BN212" s="302"/>
      <c r="BO212" s="302"/>
      <c r="BP212" s="302"/>
      <c r="BQ212" s="302"/>
      <c r="BR212" s="302"/>
      <c r="BS212" s="302"/>
      <c r="BT212" s="302"/>
      <c r="BU212" s="302"/>
      <c r="BV212" s="302"/>
      <c r="BW212" s="302"/>
      <c r="BX212" s="302"/>
      <c r="BY212" s="302"/>
      <c r="BZ212" s="302"/>
    </row>
    <row r="213" spans="1:78" s="25" customFormat="1" ht="16.5" customHeight="1">
      <c r="A213" s="302"/>
      <c r="B213" s="302"/>
      <c r="C213" s="302"/>
      <c r="D213" s="303"/>
      <c r="E213" s="303"/>
      <c r="F213" s="303"/>
      <c r="G213" s="303"/>
      <c r="H213" s="303"/>
      <c r="I213" s="302"/>
      <c r="J213" s="302"/>
      <c r="K213" s="302"/>
      <c r="L213" s="777">
        <v>5</v>
      </c>
      <c r="M213" s="778"/>
      <c r="N213" s="976">
        <v>259</v>
      </c>
      <c r="O213" s="1020">
        <v>156</v>
      </c>
      <c r="P213" s="847">
        <f>VLOOKUP(N213,etat!$A$9:$N$1004,2,FALSE)</f>
        <v>0</v>
      </c>
      <c r="Q213" s="797" t="str">
        <f>VLOOKUP(N213,etat!$A$9:$N$963,7,FALSE)</f>
        <v>2ت ا ق1</v>
      </c>
      <c r="R213" s="797" t="str">
        <f>VLOOKUP(N213,etat!$A$9:$N$1003,9,FALSE)</f>
        <v>خ</v>
      </c>
      <c r="S213" s="866" t="str">
        <f>VLOOKUP(N213,etat!$A$9:$P$905,16,FALSE)</f>
        <v>ذخ2</v>
      </c>
      <c r="T213" s="755">
        <v>45776</v>
      </c>
      <c r="U213" s="791">
        <v>10</v>
      </c>
      <c r="V213" s="784" t="s">
        <v>2283</v>
      </c>
      <c r="W213" s="784" t="s">
        <v>2291</v>
      </c>
      <c r="X213" s="784"/>
      <c r="Y213" s="975"/>
      <c r="Z213" s="975"/>
      <c r="AA213" s="967">
        <v>6</v>
      </c>
      <c r="AB213" s="947"/>
      <c r="AC213" s="947"/>
      <c r="AD213" s="947"/>
      <c r="AE213" s="947"/>
      <c r="AF213" s="947"/>
      <c r="AG213" s="946"/>
      <c r="AH213" s="946"/>
      <c r="AI213" s="946"/>
      <c r="AJ213" s="946"/>
      <c r="AK213" s="946"/>
      <c r="AL213" s="946"/>
      <c r="AM213" s="946"/>
      <c r="AN213" s="946"/>
      <c r="AO213" s="946"/>
      <c r="AP213" s="946"/>
      <c r="AQ213" s="946"/>
      <c r="AR213" s="946"/>
      <c r="AS213" s="946"/>
      <c r="AT213" s="946"/>
      <c r="AU213" s="946"/>
      <c r="AV213" s="946"/>
      <c r="AW213" s="946"/>
      <c r="AX213" s="946"/>
      <c r="AY213" s="946"/>
      <c r="AZ213" s="946"/>
      <c r="BA213" s="946"/>
      <c r="BB213" s="302"/>
      <c r="BC213" s="302"/>
      <c r="BD213" s="302"/>
      <c r="BE213" s="302"/>
      <c r="BF213" s="302"/>
      <c r="BG213" s="302"/>
      <c r="BH213" s="302"/>
      <c r="BI213" s="302"/>
      <c r="BJ213" s="302"/>
      <c r="BK213" s="302"/>
      <c r="BL213" s="302"/>
      <c r="BM213" s="302"/>
      <c r="BN213" s="302"/>
      <c r="BO213" s="302"/>
      <c r="BP213" s="302"/>
      <c r="BQ213" s="302"/>
      <c r="BR213" s="302"/>
      <c r="BS213" s="302"/>
      <c r="BT213" s="302"/>
      <c r="BU213" s="302"/>
      <c r="BV213" s="302"/>
      <c r="BW213" s="302"/>
      <c r="BX213" s="302"/>
      <c r="BY213" s="302"/>
      <c r="BZ213" s="302"/>
    </row>
    <row r="214" spans="1:78" s="25" customFormat="1" ht="16.5" customHeight="1">
      <c r="A214" s="302"/>
      <c r="B214" s="302"/>
      <c r="C214" s="302"/>
      <c r="D214" s="303"/>
      <c r="E214" s="303"/>
      <c r="F214" s="303"/>
      <c r="G214" s="303"/>
      <c r="H214" s="303"/>
      <c r="I214" s="302"/>
      <c r="J214" s="302"/>
      <c r="K214" s="302"/>
      <c r="L214" s="777">
        <v>5</v>
      </c>
      <c r="M214" s="778"/>
      <c r="N214" s="976">
        <v>264</v>
      </c>
      <c r="O214" s="1020">
        <v>157</v>
      </c>
      <c r="P214" s="847">
        <f>VLOOKUP(N214,etat!$A$9:$N$1004,2,FALSE)</f>
        <v>0</v>
      </c>
      <c r="Q214" s="797" t="str">
        <f>VLOOKUP(N214,etat!$A$9:$N$963,7,FALSE)</f>
        <v>2ع ت1</v>
      </c>
      <c r="R214" s="797" t="str">
        <f>VLOOKUP(N214,etat!$A$9:$N$1003,9,FALSE)</f>
        <v>ن/د</v>
      </c>
      <c r="S214" s="866" t="str">
        <f>VLOOKUP(N214,etat!$A$9:$P$905,16,FALSE)</f>
        <v>اخ2</v>
      </c>
      <c r="T214" s="755">
        <v>45775</v>
      </c>
      <c r="U214" s="791">
        <v>11</v>
      </c>
      <c r="V214" s="784" t="s">
        <v>2282</v>
      </c>
      <c r="W214" s="784" t="s">
        <v>2287</v>
      </c>
      <c r="X214" s="869"/>
      <c r="Y214" s="975"/>
      <c r="Z214" s="975"/>
      <c r="AA214" s="967">
        <v>6</v>
      </c>
      <c r="AB214" s="947"/>
      <c r="AC214" s="947"/>
      <c r="AD214" s="947"/>
      <c r="AE214" s="947"/>
      <c r="AF214" s="947"/>
      <c r="AG214" s="946"/>
      <c r="AH214" s="946"/>
      <c r="AI214" s="946"/>
      <c r="AJ214" s="946"/>
      <c r="AK214" s="946"/>
      <c r="AL214" s="946"/>
      <c r="AM214" s="946"/>
      <c r="AN214" s="946"/>
      <c r="AO214" s="946"/>
      <c r="AP214" s="946"/>
      <c r="AQ214" s="946"/>
      <c r="AR214" s="946"/>
      <c r="AS214" s="946"/>
      <c r="AT214" s="946"/>
      <c r="AU214" s="946"/>
      <c r="AV214" s="946"/>
      <c r="AW214" s="946"/>
      <c r="AX214" s="946"/>
      <c r="AY214" s="946"/>
      <c r="AZ214" s="946"/>
      <c r="BA214" s="946"/>
      <c r="BB214" s="302"/>
      <c r="BC214" s="302"/>
      <c r="BD214" s="302"/>
      <c r="BE214" s="302"/>
      <c r="BF214" s="302"/>
      <c r="BG214" s="302"/>
      <c r="BH214" s="302"/>
      <c r="BI214" s="302"/>
      <c r="BJ214" s="302"/>
      <c r="BK214" s="302"/>
      <c r="BL214" s="302"/>
      <c r="BM214" s="302"/>
      <c r="BN214" s="302"/>
      <c r="BO214" s="302"/>
      <c r="BP214" s="302"/>
      <c r="BQ214" s="302"/>
      <c r="BR214" s="302"/>
      <c r="BS214" s="302"/>
      <c r="BT214" s="302"/>
      <c r="BU214" s="302"/>
      <c r="BV214" s="302"/>
      <c r="BW214" s="302"/>
      <c r="BX214" s="302"/>
      <c r="BY214" s="302"/>
      <c r="BZ214" s="302"/>
    </row>
    <row r="215" spans="1:78" s="25" customFormat="1" ht="16.5" customHeight="1">
      <c r="A215" s="302"/>
      <c r="B215" s="302"/>
      <c r="C215" s="302"/>
      <c r="D215" s="303"/>
      <c r="E215" s="303"/>
      <c r="F215" s="303"/>
      <c r="G215" s="303"/>
      <c r="H215" s="303"/>
      <c r="I215" s="302"/>
      <c r="J215" s="302"/>
      <c r="K215" s="302"/>
      <c r="L215" s="777">
        <v>5</v>
      </c>
      <c r="M215" s="778"/>
      <c r="N215" s="976">
        <v>266</v>
      </c>
      <c r="O215" s="1020">
        <v>158</v>
      </c>
      <c r="P215" s="847">
        <f>VLOOKUP(N215,etat!$A$9:$N$1004,2,FALSE)</f>
        <v>0</v>
      </c>
      <c r="Q215" s="797" t="str">
        <f>VLOOKUP(N215,etat!$A$9:$N$963,7,FALSE)</f>
        <v>2ع ت1</v>
      </c>
      <c r="R215" s="797" t="str">
        <f>VLOOKUP(N215,etat!$A$9:$N$1003,9,FALSE)</f>
        <v>خ</v>
      </c>
      <c r="S215" s="866" t="str">
        <f>VLOOKUP(N215,etat!$A$9:$P$905,16,FALSE)</f>
        <v>اخ2</v>
      </c>
      <c r="T215" s="755">
        <v>45769</v>
      </c>
      <c r="U215" s="791">
        <v>17</v>
      </c>
      <c r="V215" s="784" t="s">
        <v>2278</v>
      </c>
      <c r="W215" s="784" t="s">
        <v>2283</v>
      </c>
      <c r="X215" s="784"/>
      <c r="Y215" s="975"/>
      <c r="Z215" s="975" t="str">
        <f>VLOOKUP(L215,[2]اس!$S$3:$X$31,3,FALSE)</f>
        <v>.</v>
      </c>
      <c r="AA215" s="967">
        <v>6</v>
      </c>
      <c r="AB215" s="947"/>
      <c r="AC215" s="947"/>
      <c r="AD215" s="947"/>
      <c r="AE215" s="947"/>
      <c r="AF215" s="947"/>
      <c r="AG215" s="946"/>
      <c r="AH215" s="946"/>
      <c r="AI215" s="946"/>
      <c r="AJ215" s="946"/>
      <c r="AK215" s="946"/>
      <c r="AL215" s="946"/>
      <c r="AM215" s="946"/>
      <c r="AN215" s="946"/>
      <c r="AO215" s="946"/>
      <c r="AP215" s="946"/>
      <c r="AQ215" s="946"/>
      <c r="AR215" s="946"/>
      <c r="AS215" s="946"/>
      <c r="AT215" s="946"/>
      <c r="AU215" s="946"/>
      <c r="AV215" s="946"/>
      <c r="AW215" s="946"/>
      <c r="AX215" s="946"/>
      <c r="AY215" s="946"/>
      <c r="AZ215" s="946"/>
      <c r="BA215" s="946"/>
      <c r="BB215" s="302"/>
      <c r="BC215" s="302"/>
      <c r="BD215" s="302"/>
      <c r="BE215" s="302"/>
      <c r="BF215" s="302"/>
      <c r="BG215" s="302"/>
      <c r="BH215" s="302"/>
      <c r="BI215" s="302"/>
      <c r="BJ215" s="302"/>
      <c r="BK215" s="302"/>
      <c r="BL215" s="302"/>
      <c r="BM215" s="302"/>
      <c r="BN215" s="302"/>
      <c r="BO215" s="302"/>
      <c r="BP215" s="302"/>
      <c r="BQ215" s="302"/>
      <c r="BR215" s="302"/>
      <c r="BS215" s="302"/>
      <c r="BT215" s="302"/>
      <c r="BU215" s="302"/>
      <c r="BV215" s="302"/>
      <c r="BW215" s="302"/>
      <c r="BX215" s="302"/>
      <c r="BY215" s="302"/>
      <c r="BZ215" s="302"/>
    </row>
    <row r="216" spans="1:78" s="25" customFormat="1" ht="16.5" customHeight="1">
      <c r="A216" s="302"/>
      <c r="B216" s="302"/>
      <c r="C216" s="302"/>
      <c r="D216" s="303"/>
      <c r="E216" s="303"/>
      <c r="F216" s="303"/>
      <c r="G216" s="303"/>
      <c r="H216" s="303"/>
      <c r="I216" s="302"/>
      <c r="J216" s="302"/>
      <c r="K216" s="302"/>
      <c r="L216" s="777">
        <v>5</v>
      </c>
      <c r="M216" s="778"/>
      <c r="N216" s="976">
        <v>787</v>
      </c>
      <c r="O216" s="1020">
        <v>159</v>
      </c>
      <c r="P216" s="1121">
        <f>VLOOKUP(N216,etat!$A$9:$N$1004,2,FALSE)</f>
        <v>0</v>
      </c>
      <c r="Q216" s="797">
        <f>VLOOKUP(N216,etat!$A$9:$N$963,7,FALSE)</f>
        <v>0</v>
      </c>
      <c r="R216" s="797">
        <f>VLOOKUP(N216,etat!$A$9:$N$1003,9,FALSE)</f>
        <v>0</v>
      </c>
      <c r="S216" s="866">
        <f>VLOOKUP(N216,etat!$A$9:$P$905,16,FALSE)</f>
        <v>0</v>
      </c>
      <c r="T216" s="755">
        <v>45781</v>
      </c>
      <c r="U216" s="791">
        <v>25</v>
      </c>
      <c r="V216" s="784" t="s">
        <v>2285</v>
      </c>
      <c r="W216" s="784"/>
      <c r="X216" s="784"/>
      <c r="Y216" s="975"/>
      <c r="Z216" s="975"/>
      <c r="AA216" s="967">
        <v>6</v>
      </c>
      <c r="AB216" s="947"/>
      <c r="AC216" s="947"/>
      <c r="AD216" s="947"/>
      <c r="AE216" s="947"/>
      <c r="AF216" s="947"/>
      <c r="AG216" s="946"/>
      <c r="AH216" s="946"/>
      <c r="AI216" s="946"/>
      <c r="AJ216" s="946"/>
      <c r="AK216" s="946"/>
      <c r="AL216" s="946"/>
      <c r="AM216" s="946"/>
      <c r="AN216" s="946"/>
      <c r="AO216" s="946"/>
      <c r="AP216" s="946"/>
      <c r="AQ216" s="946"/>
      <c r="AR216" s="946"/>
      <c r="AS216" s="946"/>
      <c r="AT216" s="946"/>
      <c r="AU216" s="946"/>
      <c r="AV216" s="946"/>
      <c r="AW216" s="946"/>
      <c r="AX216" s="946"/>
      <c r="AY216" s="946"/>
      <c r="AZ216" s="946"/>
      <c r="BA216" s="946"/>
      <c r="BB216" s="302"/>
      <c r="BC216" s="302"/>
      <c r="BD216" s="302"/>
      <c r="BE216" s="302"/>
      <c r="BF216" s="302"/>
      <c r="BG216" s="302"/>
      <c r="BH216" s="302"/>
      <c r="BI216" s="302"/>
      <c r="BJ216" s="302"/>
      <c r="BK216" s="302"/>
      <c r="BL216" s="302"/>
      <c r="BM216" s="302"/>
      <c r="BN216" s="302"/>
      <c r="BO216" s="302"/>
      <c r="BP216" s="302"/>
      <c r="BQ216" s="302"/>
      <c r="BR216" s="302"/>
      <c r="BS216" s="302"/>
      <c r="BT216" s="302"/>
      <c r="BU216" s="302"/>
      <c r="BV216" s="302"/>
      <c r="BW216" s="302"/>
      <c r="BX216" s="302"/>
      <c r="BY216" s="302"/>
      <c r="BZ216" s="302"/>
    </row>
    <row r="217" spans="1:78" s="25" customFormat="1" ht="16.5" customHeight="1">
      <c r="A217" s="302"/>
      <c r="B217" s="302"/>
      <c r="C217" s="302"/>
      <c r="D217" s="303"/>
      <c r="E217" s="303"/>
      <c r="F217" s="303"/>
      <c r="G217" s="303"/>
      <c r="H217" s="303"/>
      <c r="I217" s="302"/>
      <c r="J217" s="302"/>
      <c r="K217" s="302"/>
      <c r="L217" s="777">
        <v>5</v>
      </c>
      <c r="M217" s="778"/>
      <c r="N217" s="976">
        <v>280</v>
      </c>
      <c r="O217" s="1020">
        <v>160</v>
      </c>
      <c r="P217" s="847">
        <f>VLOOKUP(N217,etat!$A$9:$N$1004,2,FALSE)</f>
        <v>0</v>
      </c>
      <c r="Q217" s="797" t="str">
        <f>VLOOKUP(N217,etat!$A$9:$N$963,7,FALSE)</f>
        <v>2ع ت2</v>
      </c>
      <c r="R217" s="797" t="str">
        <f>VLOOKUP(N217,etat!$A$9:$N$1003,9,FALSE)</f>
        <v>خ</v>
      </c>
      <c r="S217" s="866" t="str">
        <f>VLOOKUP(N217,etat!$A$9:$P$905,16,FALSE)</f>
        <v>ذخ2</v>
      </c>
      <c r="T217" s="755">
        <v>45785</v>
      </c>
      <c r="U217" s="791">
        <v>1</v>
      </c>
      <c r="V217" s="784"/>
      <c r="W217" s="784"/>
      <c r="X217" s="784"/>
      <c r="Y217" s="975"/>
      <c r="Z217" s="975"/>
      <c r="AA217" s="967">
        <v>6</v>
      </c>
      <c r="AB217" s="947"/>
      <c r="AC217" s="947"/>
      <c r="AD217" s="947"/>
      <c r="AE217" s="947"/>
      <c r="AF217" s="947"/>
      <c r="AG217" s="946"/>
      <c r="AH217" s="946"/>
      <c r="AI217" s="946"/>
      <c r="AJ217" s="946"/>
      <c r="AK217" s="946"/>
      <c r="AL217" s="946"/>
      <c r="AM217" s="946"/>
      <c r="AN217" s="946"/>
      <c r="AO217" s="946"/>
      <c r="AP217" s="946"/>
      <c r="AQ217" s="946"/>
      <c r="AR217" s="946"/>
      <c r="AS217" s="946"/>
      <c r="AT217" s="946"/>
      <c r="AU217" s="946"/>
      <c r="AV217" s="946"/>
      <c r="AW217" s="946"/>
      <c r="AX217" s="946"/>
      <c r="AY217" s="946"/>
      <c r="AZ217" s="946"/>
      <c r="BA217" s="946"/>
      <c r="BB217" s="302"/>
      <c r="BC217" s="302"/>
      <c r="BD217" s="302"/>
      <c r="BE217" s="302"/>
      <c r="BF217" s="302"/>
      <c r="BG217" s="302"/>
      <c r="BH217" s="302"/>
      <c r="BI217" s="302"/>
      <c r="BJ217" s="302"/>
      <c r="BK217" s="302"/>
      <c r="BL217" s="302"/>
      <c r="BM217" s="302"/>
      <c r="BN217" s="302"/>
      <c r="BO217" s="302"/>
      <c r="BP217" s="302"/>
      <c r="BQ217" s="302"/>
      <c r="BR217" s="302"/>
      <c r="BS217" s="302"/>
      <c r="BT217" s="302"/>
      <c r="BU217" s="302"/>
      <c r="BV217" s="302"/>
      <c r="BW217" s="302"/>
      <c r="BX217" s="302"/>
      <c r="BY217" s="302"/>
      <c r="BZ217" s="302"/>
    </row>
    <row r="218" spans="1:78" s="25" customFormat="1" ht="16.5" customHeight="1">
      <c r="A218" s="302"/>
      <c r="B218" s="302"/>
      <c r="C218" s="302"/>
      <c r="D218" s="303"/>
      <c r="E218" s="303"/>
      <c r="F218" s="303"/>
      <c r="G218" s="303"/>
      <c r="H218" s="303"/>
      <c r="I218" s="302"/>
      <c r="J218" s="302"/>
      <c r="K218" s="302"/>
      <c r="L218" s="777">
        <v>5</v>
      </c>
      <c r="M218" s="778"/>
      <c r="N218" s="976">
        <v>281</v>
      </c>
      <c r="O218" s="1020">
        <v>161</v>
      </c>
      <c r="P218" s="847">
        <f>VLOOKUP(N218,etat!$A$9:$N$1004,2,FALSE)</f>
        <v>0</v>
      </c>
      <c r="Q218" s="797" t="str">
        <f>VLOOKUP(N218,etat!$A$9:$N$963,7,FALSE)</f>
        <v>2ع ت2</v>
      </c>
      <c r="R218" s="797" t="str">
        <f>VLOOKUP(N218,etat!$A$9:$N$1003,9,FALSE)</f>
        <v>ن/د</v>
      </c>
      <c r="S218" s="866" t="str">
        <f>VLOOKUP(N218,etat!$A$9:$P$905,16,FALSE)</f>
        <v>ذخ2</v>
      </c>
      <c r="T218" s="755">
        <v>45785</v>
      </c>
      <c r="U218" s="791">
        <v>1</v>
      </c>
      <c r="V218" s="784"/>
      <c r="W218" s="784"/>
      <c r="X218" s="784"/>
      <c r="Y218" s="975"/>
      <c r="Z218" s="975"/>
      <c r="AA218" s="967">
        <v>6</v>
      </c>
      <c r="AB218" s="947"/>
      <c r="AC218" s="947"/>
      <c r="AD218" s="947"/>
      <c r="AE218" s="947"/>
      <c r="AF218" s="947"/>
      <c r="AG218" s="946"/>
      <c r="AH218" s="946"/>
      <c r="AI218" s="946"/>
      <c r="AJ218" s="946"/>
      <c r="AK218" s="946"/>
      <c r="AL218" s="946"/>
      <c r="AM218" s="946"/>
      <c r="AN218" s="946"/>
      <c r="AO218" s="946"/>
      <c r="AP218" s="946"/>
      <c r="AQ218" s="946"/>
      <c r="AR218" s="946"/>
      <c r="AS218" s="946"/>
      <c r="AT218" s="946"/>
      <c r="AU218" s="946"/>
      <c r="AV218" s="946"/>
      <c r="AW218" s="946"/>
      <c r="AX218" s="946"/>
      <c r="AY218" s="946"/>
      <c r="AZ218" s="946"/>
      <c r="BA218" s="946"/>
      <c r="BB218" s="302"/>
      <c r="BC218" s="302"/>
      <c r="BD218" s="302"/>
      <c r="BE218" s="302"/>
      <c r="BF218" s="302"/>
      <c r="BG218" s="302"/>
      <c r="BH218" s="302"/>
      <c r="BI218" s="302"/>
      <c r="BJ218" s="302"/>
      <c r="BK218" s="302"/>
      <c r="BL218" s="302"/>
      <c r="BM218" s="302"/>
      <c r="BN218" s="302"/>
      <c r="BO218" s="302"/>
      <c r="BP218" s="302"/>
      <c r="BQ218" s="302"/>
      <c r="BR218" s="302"/>
      <c r="BS218" s="302"/>
      <c r="BT218" s="302"/>
      <c r="BU218" s="302"/>
      <c r="BV218" s="302"/>
      <c r="BW218" s="302"/>
      <c r="BX218" s="302"/>
      <c r="BY218" s="302"/>
      <c r="BZ218" s="302"/>
    </row>
    <row r="219" spans="1:78" s="25" customFormat="1" ht="16.5" customHeight="1">
      <c r="A219" s="302"/>
      <c r="B219" s="302"/>
      <c r="C219" s="302"/>
      <c r="D219" s="303"/>
      <c r="E219" s="303"/>
      <c r="F219" s="303"/>
      <c r="G219" s="303"/>
      <c r="H219" s="303"/>
      <c r="I219" s="302"/>
      <c r="J219" s="302"/>
      <c r="K219" s="302"/>
      <c r="L219" s="777">
        <v>5</v>
      </c>
      <c r="M219" s="864"/>
      <c r="N219" s="976">
        <v>283</v>
      </c>
      <c r="O219" s="1020">
        <v>162</v>
      </c>
      <c r="P219" s="847">
        <f>VLOOKUP(N219,etat!$A$9:$N$1004,2,FALSE)</f>
        <v>0</v>
      </c>
      <c r="Q219" s="797" t="str">
        <f>VLOOKUP(N219,etat!$A$9:$N$963,7,FALSE)</f>
        <v>2ع ت2</v>
      </c>
      <c r="R219" s="797" t="str">
        <f>VLOOKUP(N219,etat!$A$9:$N$1003,9,FALSE)</f>
        <v>ن/د</v>
      </c>
      <c r="S219" s="866" t="str">
        <f>VLOOKUP(N219,etat!$A$9:$P$905,16,FALSE)</f>
        <v>ذخ2</v>
      </c>
      <c r="T219" s="755">
        <v>45784</v>
      </c>
      <c r="U219" s="791">
        <v>2</v>
      </c>
      <c r="V219" s="784"/>
      <c r="W219" s="784"/>
      <c r="X219" s="869"/>
      <c r="Y219" s="975"/>
      <c r="Z219" s="975"/>
      <c r="AA219" s="967">
        <v>6</v>
      </c>
      <c r="AB219" s="947"/>
      <c r="AC219" s="947"/>
      <c r="AD219" s="947"/>
      <c r="AE219" s="947"/>
      <c r="AF219" s="947"/>
      <c r="AG219" s="946"/>
      <c r="AH219" s="946"/>
      <c r="AI219" s="946"/>
      <c r="AJ219" s="946"/>
      <c r="AK219" s="946"/>
      <c r="AL219" s="946"/>
      <c r="AM219" s="946"/>
      <c r="AN219" s="946"/>
      <c r="AO219" s="946"/>
      <c r="AP219" s="946"/>
      <c r="AQ219" s="946"/>
      <c r="AR219" s="946"/>
      <c r="AS219" s="946"/>
      <c r="AT219" s="946"/>
      <c r="AU219" s="946"/>
      <c r="AV219" s="946"/>
      <c r="AW219" s="946"/>
      <c r="AX219" s="946"/>
      <c r="AY219" s="946"/>
      <c r="AZ219" s="946"/>
      <c r="BA219" s="946"/>
      <c r="BB219" s="302"/>
      <c r="BC219" s="302"/>
      <c r="BD219" s="302"/>
      <c r="BE219" s="302"/>
      <c r="BF219" s="302"/>
      <c r="BG219" s="302"/>
      <c r="BH219" s="302"/>
      <c r="BI219" s="302"/>
      <c r="BJ219" s="302"/>
      <c r="BK219" s="302"/>
      <c r="BL219" s="302"/>
      <c r="BM219" s="302"/>
      <c r="BN219" s="302"/>
      <c r="BO219" s="302"/>
      <c r="BP219" s="302"/>
      <c r="BQ219" s="302"/>
      <c r="BR219" s="302"/>
      <c r="BS219" s="302"/>
      <c r="BT219" s="302"/>
      <c r="BU219" s="302"/>
      <c r="BV219" s="302"/>
      <c r="BW219" s="302"/>
      <c r="BX219" s="302"/>
      <c r="BY219" s="302"/>
      <c r="BZ219" s="302"/>
    </row>
    <row r="220" spans="1:78" s="25" customFormat="1" ht="16.5" customHeight="1">
      <c r="A220" s="302"/>
      <c r="B220" s="302"/>
      <c r="C220" s="302"/>
      <c r="D220" s="303"/>
      <c r="E220" s="303"/>
      <c r="F220" s="303"/>
      <c r="G220" s="303"/>
      <c r="H220" s="303"/>
      <c r="I220" s="302"/>
      <c r="J220" s="302"/>
      <c r="K220" s="302"/>
      <c r="L220" s="777">
        <v>5</v>
      </c>
      <c r="M220" s="778"/>
      <c r="N220" s="976">
        <v>284</v>
      </c>
      <c r="O220" s="1020">
        <v>163</v>
      </c>
      <c r="P220" s="847">
        <f>VLOOKUP(N220,etat!$A$9:$N$1004,2,FALSE)</f>
        <v>0</v>
      </c>
      <c r="Q220" s="797" t="str">
        <f>VLOOKUP(N220,etat!$A$9:$N$963,7,FALSE)</f>
        <v>2ع ت2</v>
      </c>
      <c r="R220" s="797" t="str">
        <f>VLOOKUP(N220,etat!$A$9:$N$1003,9,FALSE)</f>
        <v>خ</v>
      </c>
      <c r="S220" s="866" t="str">
        <f>VLOOKUP(N220,etat!$A$9:$P$905,16,FALSE)</f>
        <v>ذخ2</v>
      </c>
      <c r="T220" s="755">
        <v>45785</v>
      </c>
      <c r="U220" s="791">
        <v>1</v>
      </c>
      <c r="V220" s="784"/>
      <c r="W220" s="784"/>
      <c r="X220" s="784"/>
      <c r="Y220" s="975"/>
      <c r="Z220" s="975"/>
      <c r="AA220" s="967">
        <v>6</v>
      </c>
      <c r="AB220" s="947"/>
      <c r="AC220" s="947"/>
      <c r="AD220" s="947"/>
      <c r="AE220" s="947"/>
      <c r="AF220" s="947"/>
      <c r="AG220" s="946"/>
      <c r="AH220" s="946"/>
      <c r="AI220" s="946"/>
      <c r="AJ220" s="946"/>
      <c r="AK220" s="946"/>
      <c r="AL220" s="946"/>
      <c r="AM220" s="946"/>
      <c r="AN220" s="946"/>
      <c r="AO220" s="946"/>
      <c r="AP220" s="946"/>
      <c r="AQ220" s="946"/>
      <c r="AR220" s="946"/>
      <c r="AS220" s="946"/>
      <c r="AT220" s="946"/>
      <c r="AU220" s="946"/>
      <c r="AV220" s="946"/>
      <c r="AW220" s="946"/>
      <c r="AX220" s="946"/>
      <c r="AY220" s="946"/>
      <c r="AZ220" s="946"/>
      <c r="BA220" s="946"/>
      <c r="BB220" s="302"/>
      <c r="BC220" s="302"/>
      <c r="BD220" s="302"/>
      <c r="BE220" s="302"/>
      <c r="BF220" s="302"/>
      <c r="BG220" s="302"/>
      <c r="BH220" s="302"/>
      <c r="BI220" s="302"/>
      <c r="BJ220" s="302"/>
      <c r="BK220" s="302"/>
      <c r="BL220" s="302"/>
      <c r="BM220" s="302"/>
      <c r="BN220" s="302"/>
      <c r="BO220" s="302"/>
      <c r="BP220" s="302"/>
      <c r="BQ220" s="302"/>
      <c r="BR220" s="302"/>
      <c r="BS220" s="302"/>
      <c r="BT220" s="302"/>
      <c r="BU220" s="302"/>
      <c r="BV220" s="302"/>
      <c r="BW220" s="302"/>
      <c r="BX220" s="302"/>
      <c r="BY220" s="302"/>
      <c r="BZ220" s="302"/>
    </row>
    <row r="221" spans="1:78" s="25" customFormat="1" ht="16.5" customHeight="1">
      <c r="A221" s="302"/>
      <c r="B221" s="302"/>
      <c r="C221" s="302"/>
      <c r="D221" s="303"/>
      <c r="E221" s="303"/>
      <c r="F221" s="303"/>
      <c r="G221" s="303"/>
      <c r="H221" s="303"/>
      <c r="I221" s="302"/>
      <c r="J221" s="302"/>
      <c r="K221" s="302"/>
      <c r="L221" s="777">
        <v>5</v>
      </c>
      <c r="M221" s="778"/>
      <c r="N221" s="976">
        <v>287</v>
      </c>
      <c r="O221" s="1020">
        <v>164</v>
      </c>
      <c r="P221" s="847">
        <f>VLOOKUP(N221,etat!$A$9:$N$1004,2,FALSE)</f>
        <v>0</v>
      </c>
      <c r="Q221" s="797" t="str">
        <f>VLOOKUP(N221,etat!$A$9:$N$963,7,FALSE)</f>
        <v>2ع ت2</v>
      </c>
      <c r="R221" s="797" t="str">
        <f>VLOOKUP(N221,etat!$A$9:$N$1003,9,FALSE)</f>
        <v>خ</v>
      </c>
      <c r="S221" s="866" t="str">
        <f>VLOOKUP(N221,etat!$A$9:$P$905,16,FALSE)</f>
        <v>ذخ2</v>
      </c>
      <c r="T221" s="755">
        <v>45785</v>
      </c>
      <c r="U221" s="791">
        <v>1</v>
      </c>
      <c r="V221" s="784"/>
      <c r="W221" s="784"/>
      <c r="X221" s="784"/>
      <c r="Y221" s="975"/>
      <c r="Z221" s="975"/>
      <c r="AA221" s="967">
        <v>6</v>
      </c>
      <c r="AB221" s="947"/>
      <c r="AC221" s="947"/>
      <c r="AD221" s="947"/>
      <c r="AE221" s="947"/>
      <c r="AF221" s="947"/>
      <c r="AG221" s="946"/>
      <c r="AH221" s="946"/>
      <c r="AI221" s="946"/>
      <c r="AJ221" s="946"/>
      <c r="AK221" s="946"/>
      <c r="AL221" s="946"/>
      <c r="AM221" s="946"/>
      <c r="AN221" s="946"/>
      <c r="AO221" s="946"/>
      <c r="AP221" s="946"/>
      <c r="AQ221" s="946"/>
      <c r="AR221" s="946"/>
      <c r="AS221" s="946"/>
      <c r="AT221" s="946"/>
      <c r="AU221" s="946"/>
      <c r="AV221" s="946"/>
      <c r="AW221" s="946"/>
      <c r="AX221" s="946"/>
      <c r="AY221" s="946"/>
      <c r="AZ221" s="946"/>
      <c r="BA221" s="946"/>
      <c r="BB221" s="302"/>
      <c r="BC221" s="302"/>
      <c r="BD221" s="302"/>
      <c r="BE221" s="302"/>
      <c r="BF221" s="302"/>
      <c r="BG221" s="302"/>
      <c r="BH221" s="302"/>
      <c r="BI221" s="302"/>
      <c r="BJ221" s="302"/>
      <c r="BK221" s="302"/>
      <c r="BL221" s="302"/>
      <c r="BM221" s="302"/>
      <c r="BN221" s="302"/>
      <c r="BO221" s="302"/>
      <c r="BP221" s="302"/>
      <c r="BQ221" s="302"/>
      <c r="BR221" s="302"/>
      <c r="BS221" s="302"/>
      <c r="BT221" s="302"/>
      <c r="BU221" s="302"/>
      <c r="BV221" s="302"/>
      <c r="BW221" s="302"/>
      <c r="BX221" s="302"/>
      <c r="BY221" s="302"/>
      <c r="BZ221" s="302"/>
    </row>
    <row r="222" spans="1:78" s="25" customFormat="1" ht="16.5" customHeight="1">
      <c r="A222" s="302"/>
      <c r="B222" s="302"/>
      <c r="C222" s="302"/>
      <c r="D222" s="303"/>
      <c r="E222" s="303"/>
      <c r="F222" s="303"/>
      <c r="G222" s="303"/>
      <c r="H222" s="303"/>
      <c r="I222" s="302"/>
      <c r="J222" s="302"/>
      <c r="K222" s="302"/>
      <c r="L222" s="777">
        <v>5</v>
      </c>
      <c r="M222" s="778"/>
      <c r="N222" s="976">
        <v>288</v>
      </c>
      <c r="O222" s="1020">
        <v>165</v>
      </c>
      <c r="P222" s="847">
        <f>VLOOKUP(N222,etat!$A$9:$N$1004,2,FALSE)</f>
        <v>0</v>
      </c>
      <c r="Q222" s="797" t="str">
        <f>VLOOKUP(N222,etat!$A$9:$N$963,7,FALSE)</f>
        <v>2ع ت2</v>
      </c>
      <c r="R222" s="797" t="str">
        <f>VLOOKUP(N222,etat!$A$9:$N$1003,9,FALSE)</f>
        <v>خ</v>
      </c>
      <c r="S222" s="866" t="str">
        <f>VLOOKUP(N222,etat!$A$9:$P$905,16,FALSE)</f>
        <v>ذخ2</v>
      </c>
      <c r="T222" s="755">
        <v>45785</v>
      </c>
      <c r="U222" s="791">
        <v>1</v>
      </c>
      <c r="V222" s="784"/>
      <c r="W222" s="784"/>
      <c r="X222" s="784"/>
      <c r="Y222" s="975"/>
      <c r="Z222" s="975"/>
      <c r="AA222" s="967">
        <v>6</v>
      </c>
      <c r="AB222" s="940"/>
      <c r="AC222" s="940"/>
      <c r="AD222" s="940"/>
      <c r="AE222" s="940"/>
      <c r="AF222" s="940"/>
      <c r="AG222" s="939"/>
      <c r="AH222" s="939"/>
      <c r="AI222" s="939"/>
      <c r="AJ222" s="939"/>
      <c r="AK222" s="939"/>
      <c r="AL222" s="939"/>
      <c r="AM222" s="939"/>
      <c r="AN222" s="939"/>
      <c r="AO222" s="939"/>
      <c r="AP222" s="939"/>
      <c r="AQ222" s="939"/>
      <c r="AR222" s="939"/>
      <c r="AS222" s="939"/>
      <c r="AT222" s="939"/>
      <c r="AU222" s="939"/>
      <c r="AV222" s="939"/>
      <c r="AW222" s="939"/>
      <c r="AX222" s="939"/>
      <c r="AY222" s="939"/>
      <c r="AZ222" s="939"/>
      <c r="BA222" s="939"/>
      <c r="BB222" s="302"/>
      <c r="BC222" s="302"/>
      <c r="BD222" s="302"/>
      <c r="BE222" s="302"/>
      <c r="BF222" s="302"/>
      <c r="BG222" s="302"/>
      <c r="BH222" s="302"/>
      <c r="BI222" s="302"/>
      <c r="BJ222" s="302"/>
      <c r="BK222" s="302"/>
      <c r="BL222" s="302"/>
      <c r="BM222" s="302"/>
      <c r="BN222" s="302"/>
      <c r="BO222" s="302"/>
      <c r="BP222" s="302"/>
      <c r="BQ222" s="302"/>
      <c r="BR222" s="302"/>
      <c r="BS222" s="302"/>
      <c r="BT222" s="302"/>
      <c r="BU222" s="302"/>
      <c r="BV222" s="302"/>
      <c r="BW222" s="302"/>
      <c r="BX222" s="302"/>
      <c r="BY222" s="302"/>
      <c r="BZ222" s="302"/>
    </row>
    <row r="223" spans="1:78" s="25" customFormat="1" ht="16.5" customHeight="1">
      <c r="A223" s="302"/>
      <c r="B223" s="302"/>
      <c r="C223" s="302"/>
      <c r="D223" s="303"/>
      <c r="E223" s="303"/>
      <c r="F223" s="303"/>
      <c r="G223" s="303"/>
      <c r="H223" s="303"/>
      <c r="I223" s="302"/>
      <c r="J223" s="302"/>
      <c r="K223" s="302"/>
      <c r="L223" s="777">
        <v>5</v>
      </c>
      <c r="M223" s="778"/>
      <c r="N223" s="976">
        <v>289</v>
      </c>
      <c r="O223" s="1020">
        <v>166</v>
      </c>
      <c r="P223" s="847">
        <f>VLOOKUP(N223,etat!$A$9:$N$1004,2,FALSE)</f>
        <v>0</v>
      </c>
      <c r="Q223" s="797" t="str">
        <f>VLOOKUP(N223,etat!$A$9:$N$963,7,FALSE)</f>
        <v>2ع ت2</v>
      </c>
      <c r="R223" s="797" t="str">
        <f>VLOOKUP(N223,etat!$A$9:$N$1003,9,FALSE)</f>
        <v>خ</v>
      </c>
      <c r="S223" s="866" t="str">
        <f>VLOOKUP(N223,etat!$A$9:$P$905,16,FALSE)</f>
        <v>اخ2</v>
      </c>
      <c r="T223" s="755">
        <v>45785</v>
      </c>
      <c r="U223" s="791">
        <v>1</v>
      </c>
      <c r="V223" s="784"/>
      <c r="W223" s="784"/>
      <c r="X223" s="784"/>
      <c r="Y223" s="975"/>
      <c r="Z223" s="975"/>
      <c r="AA223" s="967">
        <v>6</v>
      </c>
      <c r="AB223" s="23"/>
      <c r="AC223" s="23"/>
      <c r="AD223" s="23"/>
      <c r="AE223" s="23"/>
      <c r="AF223" s="23"/>
      <c r="AG223" s="765"/>
      <c r="AH223" s="765"/>
      <c r="AI223" s="765"/>
      <c r="AJ223" s="765"/>
      <c r="AK223" s="765"/>
      <c r="AL223" s="765"/>
      <c r="AM223" s="765"/>
      <c r="AN223" s="765"/>
      <c r="AO223" s="765"/>
      <c r="AP223" s="765"/>
      <c r="AQ223" s="765"/>
      <c r="AR223" s="765"/>
      <c r="AS223" s="765"/>
      <c r="AT223" s="765"/>
      <c r="AU223" s="765"/>
      <c r="AV223" s="765"/>
      <c r="AW223" s="765"/>
      <c r="AX223" s="765"/>
      <c r="AY223" s="765"/>
      <c r="AZ223" s="765"/>
      <c r="BA223" s="765"/>
      <c r="BB223" s="302"/>
      <c r="BC223" s="302"/>
      <c r="BD223" s="302"/>
      <c r="BE223" s="302"/>
      <c r="BF223" s="302"/>
      <c r="BG223" s="302"/>
      <c r="BH223" s="302"/>
      <c r="BI223" s="302"/>
      <c r="BJ223" s="302"/>
      <c r="BK223" s="302"/>
      <c r="BL223" s="302"/>
      <c r="BM223" s="302"/>
      <c r="BN223" s="302"/>
      <c r="BO223" s="302"/>
      <c r="BP223" s="302"/>
      <c r="BQ223" s="302"/>
      <c r="BR223" s="302"/>
      <c r="BS223" s="302"/>
      <c r="BT223" s="302"/>
      <c r="BU223" s="302"/>
      <c r="BV223" s="302"/>
      <c r="BW223" s="302"/>
      <c r="BX223" s="302"/>
      <c r="BY223" s="302"/>
      <c r="BZ223" s="302"/>
    </row>
    <row r="224" spans="1:78" s="25" customFormat="1" ht="16.5" customHeight="1">
      <c r="A224" s="302"/>
      <c r="B224" s="302"/>
      <c r="C224" s="302"/>
      <c r="D224" s="303"/>
      <c r="E224" s="303"/>
      <c r="F224" s="303"/>
      <c r="G224" s="303"/>
      <c r="H224" s="303"/>
      <c r="I224" s="302"/>
      <c r="J224" s="302"/>
      <c r="K224" s="302"/>
      <c r="L224" s="777">
        <v>5</v>
      </c>
      <c r="M224" s="778"/>
      <c r="N224" s="976">
        <v>290</v>
      </c>
      <c r="O224" s="1020">
        <v>167</v>
      </c>
      <c r="P224" s="847">
        <f>VLOOKUP(N224,etat!$A$9:$N$1004,2,FALSE)</f>
        <v>0</v>
      </c>
      <c r="Q224" s="797" t="str">
        <f>VLOOKUP(N224,etat!$A$9:$N$963,7,FALSE)</f>
        <v>2ع ت2</v>
      </c>
      <c r="R224" s="797" t="str">
        <f>VLOOKUP(N224,etat!$A$9:$N$1003,9,FALSE)</f>
        <v>خ</v>
      </c>
      <c r="S224" s="866" t="str">
        <f>VLOOKUP(N224,etat!$A$9:$P$905,16,FALSE)</f>
        <v>ذخ2</v>
      </c>
      <c r="T224" s="755">
        <v>45785</v>
      </c>
      <c r="U224" s="791">
        <v>1</v>
      </c>
      <c r="V224" s="784"/>
      <c r="W224" s="784"/>
      <c r="X224" s="784"/>
      <c r="Y224" s="975"/>
      <c r="Z224" s="975"/>
      <c r="AA224" s="967">
        <v>6</v>
      </c>
      <c r="AB224" s="1114"/>
      <c r="AC224" s="1114"/>
      <c r="AD224" s="1114"/>
      <c r="AE224" s="1114"/>
      <c r="AF224" s="1114"/>
      <c r="AG224" s="1113"/>
      <c r="AH224" s="1113"/>
      <c r="AI224" s="1113"/>
      <c r="AJ224" s="1113"/>
      <c r="AK224" s="1113"/>
      <c r="AL224" s="1113"/>
      <c r="AM224" s="1113"/>
      <c r="AN224" s="1113"/>
      <c r="AO224" s="1113"/>
      <c r="AP224" s="1113"/>
      <c r="AQ224" s="1113"/>
      <c r="AR224" s="1113"/>
      <c r="AS224" s="1113"/>
      <c r="AT224" s="1113"/>
      <c r="AU224" s="1113"/>
      <c r="AV224" s="1113"/>
      <c r="AW224" s="1113"/>
      <c r="AX224" s="1113"/>
      <c r="AY224" s="1113"/>
      <c r="AZ224" s="1113"/>
      <c r="BA224" s="1113"/>
      <c r="BB224" s="302"/>
      <c r="BC224" s="302"/>
      <c r="BD224" s="302"/>
      <c r="BE224" s="302"/>
      <c r="BF224" s="302"/>
      <c r="BG224" s="302"/>
      <c r="BH224" s="302"/>
      <c r="BI224" s="302"/>
      <c r="BJ224" s="302"/>
      <c r="BK224" s="302"/>
      <c r="BL224" s="302"/>
      <c r="BM224" s="302"/>
      <c r="BN224" s="302"/>
      <c r="BO224" s="302"/>
      <c r="BP224" s="302"/>
      <c r="BQ224" s="302"/>
      <c r="BR224" s="302"/>
      <c r="BS224" s="302"/>
      <c r="BT224" s="302"/>
      <c r="BU224" s="302"/>
      <c r="BV224" s="302"/>
      <c r="BW224" s="302"/>
      <c r="BX224" s="302"/>
      <c r="BY224" s="302"/>
      <c r="BZ224" s="302"/>
    </row>
    <row r="225" spans="1:78" s="25" customFormat="1" ht="16.5" customHeight="1">
      <c r="A225" s="302"/>
      <c r="B225" s="302"/>
      <c r="C225" s="302"/>
      <c r="D225" s="303"/>
      <c r="E225" s="303"/>
      <c r="F225" s="303"/>
      <c r="G225" s="303"/>
      <c r="H225" s="303"/>
      <c r="I225" s="302"/>
      <c r="J225" s="302"/>
      <c r="K225" s="302"/>
      <c r="L225" s="777">
        <v>5</v>
      </c>
      <c r="M225" s="778"/>
      <c r="N225" s="976">
        <v>291</v>
      </c>
      <c r="O225" s="1020">
        <v>168</v>
      </c>
      <c r="P225" s="847">
        <f>VLOOKUP(N225,etat!$A$9:$N$1004,2,FALSE)</f>
        <v>0</v>
      </c>
      <c r="Q225" s="797" t="str">
        <f>VLOOKUP(N225,etat!$A$9:$N$963,7,FALSE)</f>
        <v>2ع ت2</v>
      </c>
      <c r="R225" s="797" t="str">
        <f>VLOOKUP(N225,etat!$A$9:$N$1003,9,FALSE)</f>
        <v>خ</v>
      </c>
      <c r="S225" s="866" t="str">
        <f>VLOOKUP(N225,etat!$A$9:$P$905,16,FALSE)</f>
        <v>اخ2</v>
      </c>
      <c r="T225" s="755">
        <v>45785</v>
      </c>
      <c r="U225" s="791">
        <v>1</v>
      </c>
      <c r="V225" s="784"/>
      <c r="W225" s="784"/>
      <c r="X225" s="784"/>
      <c r="Y225" s="975"/>
      <c r="Z225" s="975"/>
      <c r="AA225" s="967">
        <v>6</v>
      </c>
      <c r="AB225" s="1114"/>
      <c r="AC225" s="1114"/>
      <c r="AD225" s="1114"/>
      <c r="AE225" s="1114"/>
      <c r="AF225" s="1114"/>
      <c r="AG225" s="1113"/>
      <c r="AH225" s="1113"/>
      <c r="AI225" s="1113"/>
      <c r="AJ225" s="1113"/>
      <c r="AK225" s="1113"/>
      <c r="AL225" s="1113"/>
      <c r="AM225" s="1113"/>
      <c r="AN225" s="1113"/>
      <c r="AO225" s="1113"/>
      <c r="AP225" s="1113"/>
      <c r="AQ225" s="1113"/>
      <c r="AR225" s="1113"/>
      <c r="AS225" s="1113"/>
      <c r="AT225" s="1113"/>
      <c r="AU225" s="1113"/>
      <c r="AV225" s="1113"/>
      <c r="AW225" s="1113"/>
      <c r="AX225" s="1113"/>
      <c r="AY225" s="1113"/>
      <c r="AZ225" s="1113"/>
      <c r="BA225" s="1113"/>
      <c r="BB225" s="302"/>
      <c r="BC225" s="302"/>
      <c r="BD225" s="302"/>
      <c r="BE225" s="302"/>
      <c r="BF225" s="302"/>
      <c r="BG225" s="302"/>
      <c r="BH225" s="302"/>
      <c r="BI225" s="302"/>
      <c r="BJ225" s="302"/>
      <c r="BK225" s="302"/>
      <c r="BL225" s="302"/>
      <c r="BM225" s="302"/>
      <c r="BN225" s="302"/>
      <c r="BO225" s="302"/>
      <c r="BP225" s="302"/>
      <c r="BQ225" s="302"/>
      <c r="BR225" s="302"/>
      <c r="BS225" s="302"/>
      <c r="BT225" s="302"/>
      <c r="BU225" s="302"/>
      <c r="BV225" s="302"/>
      <c r="BW225" s="302"/>
      <c r="BX225" s="302"/>
      <c r="BY225" s="302"/>
      <c r="BZ225" s="302"/>
    </row>
    <row r="226" spans="1:78" s="25" customFormat="1" ht="16.5" customHeight="1">
      <c r="A226" s="302"/>
      <c r="B226" s="302"/>
      <c r="C226" s="302"/>
      <c r="D226" s="303"/>
      <c r="E226" s="303"/>
      <c r="F226" s="303"/>
      <c r="G226" s="303"/>
      <c r="H226" s="303"/>
      <c r="I226" s="302"/>
      <c r="J226" s="302"/>
      <c r="K226" s="302"/>
      <c r="L226" s="777">
        <v>5</v>
      </c>
      <c r="M226" s="778"/>
      <c r="N226" s="976">
        <v>292</v>
      </c>
      <c r="O226" s="1020">
        <v>169</v>
      </c>
      <c r="P226" s="847">
        <f>VLOOKUP(N226,etat!$A$9:$N$1004,2,FALSE)</f>
        <v>0</v>
      </c>
      <c r="Q226" s="797" t="str">
        <f>VLOOKUP(N226,etat!$A$9:$N$963,7,FALSE)</f>
        <v>2ع ت2</v>
      </c>
      <c r="R226" s="797" t="str">
        <f>VLOOKUP(N226,etat!$A$9:$N$1003,9,FALSE)</f>
        <v>خ</v>
      </c>
      <c r="S226" s="866" t="str">
        <f>VLOOKUP(N226,etat!$A$9:$P$905,16,FALSE)</f>
        <v>ذخ2</v>
      </c>
      <c r="T226" s="755">
        <v>45785</v>
      </c>
      <c r="U226" s="791">
        <v>1</v>
      </c>
      <c r="V226" s="784"/>
      <c r="W226" s="784"/>
      <c r="X226" s="784"/>
      <c r="Y226" s="975"/>
      <c r="Z226" s="975"/>
      <c r="AA226" s="967">
        <v>6</v>
      </c>
      <c r="AB226" s="1114"/>
      <c r="AC226" s="1114"/>
      <c r="AD226" s="1114"/>
      <c r="AE226" s="1114"/>
      <c r="AF226" s="1114"/>
      <c r="AG226" s="1113"/>
      <c r="AH226" s="1113"/>
      <c r="AI226" s="1113"/>
      <c r="AJ226" s="1113"/>
      <c r="AK226" s="1113"/>
      <c r="AL226" s="1113"/>
      <c r="AM226" s="1113"/>
      <c r="AN226" s="1113"/>
      <c r="AO226" s="1113"/>
      <c r="AP226" s="1113"/>
      <c r="AQ226" s="1113"/>
      <c r="AR226" s="1113"/>
      <c r="AS226" s="1113"/>
      <c r="AT226" s="1113"/>
      <c r="AU226" s="1113"/>
      <c r="AV226" s="1113"/>
      <c r="AW226" s="1113"/>
      <c r="AX226" s="1113"/>
      <c r="AY226" s="1113"/>
      <c r="AZ226" s="1113"/>
      <c r="BA226" s="1113"/>
      <c r="BB226" s="302"/>
      <c r="BC226" s="302"/>
      <c r="BD226" s="302"/>
      <c r="BE226" s="302"/>
      <c r="BF226" s="302"/>
      <c r="BG226" s="302"/>
      <c r="BH226" s="302"/>
      <c r="BI226" s="302"/>
      <c r="BJ226" s="302"/>
      <c r="BK226" s="302"/>
      <c r="BL226" s="302"/>
      <c r="BM226" s="302"/>
      <c r="BN226" s="302"/>
      <c r="BO226" s="302"/>
      <c r="BP226" s="302"/>
      <c r="BQ226" s="302"/>
      <c r="BR226" s="302"/>
      <c r="BS226" s="302"/>
      <c r="BT226" s="302"/>
      <c r="BU226" s="302"/>
      <c r="BV226" s="302"/>
      <c r="BW226" s="302"/>
      <c r="BX226" s="302"/>
      <c r="BY226" s="302"/>
      <c r="BZ226" s="302"/>
    </row>
    <row r="227" spans="1:78" s="25" customFormat="1" ht="16.5" customHeight="1">
      <c r="A227" s="302"/>
      <c r="B227" s="302"/>
      <c r="C227" s="302"/>
      <c r="D227" s="303"/>
      <c r="E227" s="303"/>
      <c r="F227" s="303"/>
      <c r="G227" s="303"/>
      <c r="H227" s="303"/>
      <c r="I227" s="302"/>
      <c r="J227" s="302"/>
      <c r="K227" s="302"/>
      <c r="L227" s="777">
        <v>5</v>
      </c>
      <c r="M227" s="778"/>
      <c r="N227" s="976">
        <v>296</v>
      </c>
      <c r="O227" s="1020">
        <v>170</v>
      </c>
      <c r="P227" s="847">
        <f>VLOOKUP(N227,etat!$A$9:$N$1004,2,FALSE)</f>
        <v>0</v>
      </c>
      <c r="Q227" s="797" t="str">
        <f>VLOOKUP(N227,etat!$A$9:$N$963,7,FALSE)</f>
        <v>2ع ت2</v>
      </c>
      <c r="R227" s="797" t="str">
        <f>VLOOKUP(N227,etat!$A$9:$N$1003,9,FALSE)</f>
        <v>خ</v>
      </c>
      <c r="S227" s="866" t="str">
        <f>VLOOKUP(N227,etat!$A$9:$P$905,16,FALSE)</f>
        <v>ذخ2</v>
      </c>
      <c r="T227" s="755">
        <v>45785</v>
      </c>
      <c r="U227" s="791">
        <v>1</v>
      </c>
      <c r="V227" s="784"/>
      <c r="W227" s="784"/>
      <c r="X227" s="784"/>
      <c r="Y227" s="975"/>
      <c r="Z227" s="975"/>
      <c r="AA227" s="967">
        <v>6</v>
      </c>
      <c r="AB227" s="1114"/>
      <c r="AC227" s="1114"/>
      <c r="AD227" s="1114"/>
      <c r="AE227" s="1114"/>
      <c r="AF227" s="1114"/>
      <c r="AG227" s="1113"/>
      <c r="AH227" s="1113"/>
      <c r="AI227" s="1113"/>
      <c r="AJ227" s="1113"/>
      <c r="AK227" s="1113"/>
      <c r="AL227" s="1113"/>
      <c r="AM227" s="1113"/>
      <c r="AN227" s="1113"/>
      <c r="AO227" s="1113"/>
      <c r="AP227" s="1113"/>
      <c r="AQ227" s="1113"/>
      <c r="AR227" s="1113"/>
      <c r="AS227" s="1113"/>
      <c r="AT227" s="1113"/>
      <c r="AU227" s="1113"/>
      <c r="AV227" s="1113"/>
      <c r="AW227" s="1113"/>
      <c r="AX227" s="1113"/>
      <c r="AY227" s="1113"/>
      <c r="AZ227" s="1113"/>
      <c r="BA227" s="1113"/>
      <c r="BB227" s="302"/>
      <c r="BC227" s="302"/>
      <c r="BD227" s="302"/>
      <c r="BE227" s="302"/>
      <c r="BF227" s="302"/>
      <c r="BG227" s="302"/>
      <c r="BH227" s="302"/>
      <c r="BI227" s="302"/>
      <c r="BJ227" s="302"/>
      <c r="BK227" s="302"/>
      <c r="BL227" s="302"/>
      <c r="BM227" s="302"/>
      <c r="BN227" s="302"/>
      <c r="BO227" s="302"/>
      <c r="BP227" s="302"/>
      <c r="BQ227" s="302"/>
      <c r="BR227" s="302"/>
      <c r="BS227" s="302"/>
      <c r="BT227" s="302"/>
      <c r="BU227" s="302"/>
      <c r="BV227" s="302"/>
      <c r="BW227" s="302"/>
      <c r="BX227" s="302"/>
      <c r="BY227" s="302"/>
      <c r="BZ227" s="302"/>
    </row>
    <row r="228" spans="1:78" s="25" customFormat="1" ht="16.5" customHeight="1">
      <c r="A228" s="302"/>
      <c r="B228" s="302"/>
      <c r="C228" s="302"/>
      <c r="D228" s="303"/>
      <c r="E228" s="303"/>
      <c r="F228" s="303"/>
      <c r="G228" s="303"/>
      <c r="H228" s="303"/>
      <c r="I228" s="302"/>
      <c r="J228" s="302"/>
      <c r="K228" s="302"/>
      <c r="L228" s="777">
        <v>5</v>
      </c>
      <c r="M228" s="778"/>
      <c r="N228" s="976">
        <v>297</v>
      </c>
      <c r="O228" s="1020">
        <v>171</v>
      </c>
      <c r="P228" s="847">
        <f>VLOOKUP(N228,etat!$A$9:$N$1004,2,FALSE)</f>
        <v>0</v>
      </c>
      <c r="Q228" s="797" t="str">
        <f>VLOOKUP(N228,etat!$A$9:$N$963,7,FALSE)</f>
        <v>2أف1</v>
      </c>
      <c r="R228" s="797" t="str">
        <f>VLOOKUP(N228,etat!$A$9:$N$1003,9,FALSE)</f>
        <v>خ</v>
      </c>
      <c r="S228" s="866" t="str">
        <f>VLOOKUP(N228,etat!$A$9:$P$905,16,FALSE)</f>
        <v>اخ2</v>
      </c>
      <c r="T228" s="755">
        <v>45785</v>
      </c>
      <c r="U228" s="791">
        <v>1</v>
      </c>
      <c r="V228" s="784"/>
      <c r="W228" s="784"/>
      <c r="X228" s="784"/>
      <c r="Y228" s="975"/>
      <c r="Z228" s="975"/>
      <c r="AA228" s="967">
        <v>6</v>
      </c>
      <c r="AB228" s="1114"/>
      <c r="AC228" s="1114"/>
      <c r="AD228" s="1114"/>
      <c r="AE228" s="1114"/>
      <c r="AF228" s="1114"/>
      <c r="AG228" s="1113"/>
      <c r="AH228" s="1113"/>
      <c r="AI228" s="1113"/>
      <c r="AJ228" s="1113"/>
      <c r="AK228" s="1113"/>
      <c r="AL228" s="1113"/>
      <c r="AM228" s="1113"/>
      <c r="AN228" s="1113"/>
      <c r="AO228" s="1113"/>
      <c r="AP228" s="1113"/>
      <c r="AQ228" s="1113"/>
      <c r="AR228" s="1113"/>
      <c r="AS228" s="1113"/>
      <c r="AT228" s="1113"/>
      <c r="AU228" s="1113"/>
      <c r="AV228" s="1113"/>
      <c r="AW228" s="1113"/>
      <c r="AX228" s="1113"/>
      <c r="AY228" s="1113"/>
      <c r="AZ228" s="1113"/>
      <c r="BA228" s="1113"/>
      <c r="BB228" s="302"/>
      <c r="BC228" s="302"/>
      <c r="BD228" s="302"/>
      <c r="BE228" s="302"/>
      <c r="BF228" s="302"/>
      <c r="BG228" s="302"/>
      <c r="BH228" s="302"/>
      <c r="BI228" s="302"/>
      <c r="BJ228" s="302"/>
      <c r="BK228" s="302"/>
      <c r="BL228" s="302"/>
      <c r="BM228" s="302"/>
      <c r="BN228" s="302"/>
      <c r="BO228" s="302"/>
      <c r="BP228" s="302"/>
      <c r="BQ228" s="302"/>
      <c r="BR228" s="302"/>
      <c r="BS228" s="302"/>
      <c r="BT228" s="302"/>
      <c r="BU228" s="302"/>
      <c r="BV228" s="302"/>
      <c r="BW228" s="302"/>
      <c r="BX228" s="302"/>
      <c r="BY228" s="302"/>
      <c r="BZ228" s="302"/>
    </row>
    <row r="229" spans="1:78" s="25" customFormat="1" ht="16.5" customHeight="1">
      <c r="A229" s="302"/>
      <c r="B229" s="302"/>
      <c r="C229" s="302"/>
      <c r="D229" s="303"/>
      <c r="E229" s="303"/>
      <c r="F229" s="303"/>
      <c r="G229" s="303"/>
      <c r="H229" s="303"/>
      <c r="I229" s="302"/>
      <c r="J229" s="302"/>
      <c r="K229" s="302"/>
      <c r="L229" s="777">
        <v>5</v>
      </c>
      <c r="M229" s="778"/>
      <c r="N229" s="976">
        <v>298</v>
      </c>
      <c r="O229" s="1020">
        <v>172</v>
      </c>
      <c r="P229" s="847">
        <f>VLOOKUP(N229,etat!$A$9:$N$1004,2,FALSE)</f>
        <v>0</v>
      </c>
      <c r="Q229" s="797" t="str">
        <f>VLOOKUP(N229,etat!$A$9:$N$963,7,FALSE)</f>
        <v>2أف1</v>
      </c>
      <c r="R229" s="797" t="str">
        <f>VLOOKUP(N229,etat!$A$9:$N$1003,9,FALSE)</f>
        <v>ن/د</v>
      </c>
      <c r="S229" s="866" t="str">
        <f>VLOOKUP(N229,etat!$A$9:$P$905,16,FALSE)</f>
        <v>اخ2</v>
      </c>
      <c r="T229" s="755">
        <v>45785</v>
      </c>
      <c r="U229" s="791">
        <v>1</v>
      </c>
      <c r="V229" s="784"/>
      <c r="W229" s="784"/>
      <c r="X229" s="784"/>
      <c r="Y229" s="975"/>
      <c r="Z229" s="975"/>
      <c r="AA229" s="967">
        <v>6</v>
      </c>
      <c r="AB229" s="916"/>
      <c r="AC229" s="916"/>
      <c r="AD229" s="916"/>
      <c r="AE229" s="916"/>
      <c r="AF229" s="916"/>
      <c r="AG229" s="917"/>
      <c r="AH229" s="917"/>
      <c r="AI229" s="917"/>
      <c r="AJ229" s="917"/>
      <c r="AK229" s="917"/>
      <c r="AL229" s="917"/>
      <c r="AM229" s="917"/>
      <c r="AN229" s="917"/>
      <c r="AO229" s="917"/>
      <c r="AP229" s="917"/>
      <c r="AQ229" s="917"/>
      <c r="AR229" s="917"/>
      <c r="AS229" s="917"/>
      <c r="AT229" s="917"/>
      <c r="AU229" s="917"/>
      <c r="AV229" s="917"/>
      <c r="AW229" s="917"/>
      <c r="AX229" s="917"/>
      <c r="AY229" s="917"/>
      <c r="AZ229" s="917"/>
      <c r="BA229" s="917"/>
      <c r="BB229" s="302"/>
      <c r="BC229" s="302"/>
      <c r="BD229" s="302"/>
      <c r="BE229" s="302"/>
      <c r="BF229" s="302"/>
      <c r="BG229" s="302"/>
      <c r="BH229" s="302"/>
      <c r="BI229" s="302"/>
      <c r="BJ229" s="302"/>
      <c r="BK229" s="302"/>
      <c r="BL229" s="302"/>
      <c r="BM229" s="302"/>
      <c r="BN229" s="302"/>
      <c r="BO229" s="302"/>
      <c r="BP229" s="302"/>
      <c r="BQ229" s="302"/>
      <c r="BR229" s="302"/>
      <c r="BS229" s="302"/>
      <c r="BT229" s="302"/>
      <c r="BU229" s="302"/>
      <c r="BV229" s="302"/>
      <c r="BW229" s="302"/>
      <c r="BX229" s="302"/>
      <c r="BY229" s="302"/>
      <c r="BZ229" s="302"/>
    </row>
    <row r="230" spans="1:78" s="25" customFormat="1" ht="16.5" customHeight="1">
      <c r="A230" s="302"/>
      <c r="B230" s="302"/>
      <c r="C230" s="302"/>
      <c r="D230" s="303"/>
      <c r="E230" s="303"/>
      <c r="F230" s="303"/>
      <c r="G230" s="303"/>
      <c r="H230" s="303"/>
      <c r="I230" s="302"/>
      <c r="J230" s="302"/>
      <c r="K230" s="302"/>
      <c r="L230" s="777">
        <v>5</v>
      </c>
      <c r="M230" s="778"/>
      <c r="N230" s="976">
        <v>299</v>
      </c>
      <c r="O230" s="1020">
        <v>173</v>
      </c>
      <c r="P230" s="847">
        <f>VLOOKUP(N230,etat!$A$9:$N$1004,2,FALSE)</f>
        <v>0</v>
      </c>
      <c r="Q230" s="797" t="str">
        <f>VLOOKUP(N230,etat!$A$9:$N$963,7,FALSE)</f>
        <v>2أف1</v>
      </c>
      <c r="R230" s="797" t="str">
        <f>VLOOKUP(N230,etat!$A$9:$N$1003,9,FALSE)</f>
        <v>ن/د</v>
      </c>
      <c r="S230" s="866" t="str">
        <f>VLOOKUP(N230,etat!$A$9:$P$905,16,FALSE)</f>
        <v>ان/د2</v>
      </c>
      <c r="T230" s="755">
        <v>45785</v>
      </c>
      <c r="U230" s="791">
        <v>1</v>
      </c>
      <c r="V230" s="784"/>
      <c r="W230" s="784"/>
      <c r="X230" s="784"/>
      <c r="Y230" s="975"/>
      <c r="Z230" s="975"/>
      <c r="AA230" s="967">
        <v>6</v>
      </c>
      <c r="AB230" s="916"/>
      <c r="AC230" s="916"/>
      <c r="AD230" s="916"/>
      <c r="AE230" s="916"/>
      <c r="AF230" s="916"/>
      <c r="AG230" s="917"/>
      <c r="AH230" s="917"/>
      <c r="AI230" s="917"/>
      <c r="AJ230" s="917"/>
      <c r="AK230" s="917"/>
      <c r="AL230" s="917"/>
      <c r="AM230" s="917"/>
      <c r="AN230" s="917"/>
      <c r="AO230" s="917"/>
      <c r="AP230" s="917"/>
      <c r="AQ230" s="917"/>
      <c r="AR230" s="917"/>
      <c r="AS230" s="917"/>
      <c r="AT230" s="917"/>
      <c r="AU230" s="917"/>
      <c r="AV230" s="917"/>
      <c r="AW230" s="917"/>
      <c r="AX230" s="917"/>
      <c r="AY230" s="917"/>
      <c r="AZ230" s="917"/>
      <c r="BA230" s="917"/>
      <c r="BB230" s="302"/>
      <c r="BC230" s="302"/>
      <c r="BD230" s="302"/>
      <c r="BE230" s="302"/>
      <c r="BF230" s="302"/>
      <c r="BG230" s="302"/>
      <c r="BH230" s="302"/>
      <c r="BI230" s="302"/>
      <c r="BJ230" s="302"/>
      <c r="BK230" s="302"/>
      <c r="BL230" s="302"/>
      <c r="BM230" s="302"/>
      <c r="BN230" s="302"/>
      <c r="BO230" s="302"/>
      <c r="BP230" s="302"/>
      <c r="BQ230" s="302"/>
      <c r="BR230" s="302"/>
      <c r="BS230" s="302"/>
      <c r="BT230" s="302"/>
      <c r="BU230" s="302"/>
      <c r="BV230" s="302"/>
      <c r="BW230" s="302"/>
      <c r="BX230" s="302"/>
      <c r="BY230" s="302"/>
      <c r="BZ230" s="302"/>
    </row>
    <row r="231" spans="1:78" s="25" customFormat="1" ht="16.5" customHeight="1">
      <c r="A231" s="302"/>
      <c r="B231" s="302"/>
      <c r="C231" s="302"/>
      <c r="D231" s="303"/>
      <c r="E231" s="303"/>
      <c r="F231" s="303"/>
      <c r="G231" s="303"/>
      <c r="H231" s="303"/>
      <c r="I231" s="302"/>
      <c r="J231" s="302"/>
      <c r="K231" s="302"/>
      <c r="L231" s="777">
        <v>5</v>
      </c>
      <c r="M231" s="778"/>
      <c r="N231" s="976">
        <v>301</v>
      </c>
      <c r="O231" s="1020">
        <v>174</v>
      </c>
      <c r="P231" s="847">
        <f>VLOOKUP(N231,etat!$A$9:$N$1004,2,FALSE)</f>
        <v>0</v>
      </c>
      <c r="Q231" s="797" t="str">
        <f>VLOOKUP(N231,etat!$A$9:$N$963,7,FALSE)</f>
        <v>2أف1</v>
      </c>
      <c r="R231" s="797" t="str">
        <f>VLOOKUP(N231,etat!$A$9:$N$1003,9,FALSE)</f>
        <v>ن/د</v>
      </c>
      <c r="S231" s="866" t="str">
        <f>VLOOKUP(N231,etat!$A$9:$P$905,16,FALSE)</f>
        <v>ان/د2</v>
      </c>
      <c r="T231" s="755">
        <v>45785</v>
      </c>
      <c r="U231" s="791">
        <v>1</v>
      </c>
      <c r="V231" s="784"/>
      <c r="W231" s="784"/>
      <c r="X231" s="784"/>
      <c r="Y231" s="975"/>
      <c r="Z231" s="975"/>
      <c r="AA231" s="967">
        <v>6</v>
      </c>
      <c r="AB231" s="916"/>
      <c r="AC231" s="916"/>
      <c r="AD231" s="916"/>
      <c r="AE231" s="916"/>
      <c r="AF231" s="916"/>
      <c r="AG231" s="917"/>
      <c r="AH231" s="917"/>
      <c r="AI231" s="917"/>
      <c r="AJ231" s="917"/>
      <c r="AK231" s="917"/>
      <c r="AL231" s="917"/>
      <c r="AM231" s="917"/>
      <c r="AN231" s="917"/>
      <c r="AO231" s="917"/>
      <c r="AP231" s="917"/>
      <c r="AQ231" s="917"/>
      <c r="AR231" s="917"/>
      <c r="AS231" s="917"/>
      <c r="AT231" s="917"/>
      <c r="AU231" s="917"/>
      <c r="AV231" s="917"/>
      <c r="AW231" s="917"/>
      <c r="AX231" s="917"/>
      <c r="AY231" s="917"/>
      <c r="AZ231" s="917"/>
      <c r="BA231" s="917"/>
      <c r="BB231" s="302"/>
      <c r="BC231" s="302"/>
      <c r="BD231" s="302"/>
      <c r="BE231" s="302"/>
      <c r="BF231" s="302"/>
      <c r="BG231" s="302"/>
      <c r="BH231" s="302"/>
      <c r="BI231" s="302"/>
      <c r="BJ231" s="302"/>
      <c r="BK231" s="302"/>
      <c r="BL231" s="302"/>
      <c r="BM231" s="302"/>
      <c r="BN231" s="302"/>
      <c r="BO231" s="302"/>
      <c r="BP231" s="302"/>
      <c r="BQ231" s="302"/>
      <c r="BR231" s="302"/>
      <c r="BS231" s="302"/>
      <c r="BT231" s="302"/>
      <c r="BU231" s="302"/>
      <c r="BV231" s="302"/>
      <c r="BW231" s="302"/>
      <c r="BX231" s="302"/>
      <c r="BY231" s="302"/>
      <c r="BZ231" s="302"/>
    </row>
    <row r="232" spans="1:78" s="25" customFormat="1" ht="16.5" customHeight="1">
      <c r="A232" s="302"/>
      <c r="B232" s="302"/>
      <c r="C232" s="302"/>
      <c r="D232" s="303"/>
      <c r="E232" s="303"/>
      <c r="F232" s="303"/>
      <c r="G232" s="303"/>
      <c r="H232" s="303"/>
      <c r="I232" s="302"/>
      <c r="J232" s="302"/>
      <c r="K232" s="302"/>
      <c r="L232" s="777">
        <v>5</v>
      </c>
      <c r="M232" s="778"/>
      <c r="N232" s="976">
        <v>302</v>
      </c>
      <c r="O232" s="1020">
        <v>175</v>
      </c>
      <c r="P232" s="847">
        <f>VLOOKUP(N232,etat!$A$9:$N$1004,2,FALSE)</f>
        <v>0</v>
      </c>
      <c r="Q232" s="797" t="str">
        <f>VLOOKUP(N232,etat!$A$9:$N$963,7,FALSE)</f>
        <v>2أف1</v>
      </c>
      <c r="R232" s="797" t="str">
        <f>VLOOKUP(N232,etat!$A$9:$N$1003,9,FALSE)</f>
        <v>ن/د</v>
      </c>
      <c r="S232" s="866" t="str">
        <f>VLOOKUP(N232,etat!$A$9:$P$905,16,FALSE)</f>
        <v>ان/د2</v>
      </c>
      <c r="T232" s="755">
        <v>45785</v>
      </c>
      <c r="U232" s="791">
        <v>1</v>
      </c>
      <c r="V232" s="784"/>
      <c r="W232" s="784"/>
      <c r="X232" s="784"/>
      <c r="Y232" s="975"/>
      <c r="Z232" s="975"/>
      <c r="AA232" s="967">
        <v>6</v>
      </c>
      <c r="AB232" s="916"/>
      <c r="AC232" s="916"/>
      <c r="AD232" s="916"/>
      <c r="AE232" s="916"/>
      <c r="AF232" s="916"/>
      <c r="AG232" s="917"/>
      <c r="AH232" s="917"/>
      <c r="AI232" s="917"/>
      <c r="AJ232" s="917"/>
      <c r="AK232" s="917"/>
      <c r="AL232" s="917"/>
      <c r="AM232" s="917"/>
      <c r="AN232" s="917"/>
      <c r="AO232" s="917"/>
      <c r="AP232" s="917"/>
      <c r="AQ232" s="917"/>
      <c r="AR232" s="917"/>
      <c r="AS232" s="917"/>
      <c r="AT232" s="917"/>
      <c r="AU232" s="917"/>
      <c r="AV232" s="917"/>
      <c r="AW232" s="917"/>
      <c r="AX232" s="917"/>
      <c r="AY232" s="917"/>
      <c r="AZ232" s="917"/>
      <c r="BA232" s="917"/>
      <c r="BB232" s="302"/>
      <c r="BC232" s="302"/>
      <c r="BD232" s="302"/>
      <c r="BE232" s="302"/>
      <c r="BF232" s="302"/>
      <c r="BG232" s="302"/>
      <c r="BH232" s="302"/>
      <c r="BI232" s="302"/>
      <c r="BJ232" s="302"/>
      <c r="BK232" s="302"/>
      <c r="BL232" s="302"/>
      <c r="BM232" s="302"/>
      <c r="BN232" s="302"/>
      <c r="BO232" s="302"/>
      <c r="BP232" s="302"/>
      <c r="BQ232" s="302"/>
      <c r="BR232" s="302"/>
      <c r="BS232" s="302"/>
      <c r="BT232" s="302"/>
      <c r="BU232" s="302"/>
      <c r="BV232" s="302"/>
      <c r="BW232" s="302"/>
      <c r="BX232" s="302"/>
      <c r="BY232" s="302"/>
      <c r="BZ232" s="302"/>
    </row>
    <row r="233" spans="1:78" s="25" customFormat="1" ht="16.5" customHeight="1">
      <c r="A233" s="922"/>
      <c r="B233" s="922"/>
      <c r="C233" s="922"/>
      <c r="D233" s="166"/>
      <c r="E233" s="166"/>
      <c r="F233" s="166"/>
      <c r="G233" s="166"/>
      <c r="H233" s="166"/>
      <c r="I233" s="922"/>
      <c r="J233" s="922"/>
      <c r="K233" s="922"/>
      <c r="L233" s="777">
        <v>5</v>
      </c>
      <c r="M233" s="778"/>
      <c r="N233" s="976">
        <v>303</v>
      </c>
      <c r="O233" s="1020">
        <v>176</v>
      </c>
      <c r="P233" s="847">
        <f>VLOOKUP(N233,etat!$A$9:$N$1004,2,FALSE)</f>
        <v>0</v>
      </c>
      <c r="Q233" s="797" t="str">
        <f>VLOOKUP(N233,etat!$A$9:$N$963,7,FALSE)</f>
        <v>2أف1</v>
      </c>
      <c r="R233" s="797" t="str">
        <f>VLOOKUP(N233,etat!$A$9:$N$1003,9,FALSE)</f>
        <v>ن/د</v>
      </c>
      <c r="S233" s="866" t="str">
        <f>VLOOKUP(N233,etat!$A$9:$P$905,16,FALSE)</f>
        <v>ان/د2</v>
      </c>
      <c r="T233" s="755">
        <v>45785</v>
      </c>
      <c r="U233" s="791">
        <v>1</v>
      </c>
      <c r="V233" s="784"/>
      <c r="W233" s="784"/>
      <c r="X233" s="784"/>
      <c r="Y233" s="975"/>
      <c r="Z233" s="975"/>
      <c r="AA233" s="967">
        <v>6</v>
      </c>
      <c r="AB233" s="916"/>
      <c r="AC233" s="916"/>
      <c r="AD233" s="916"/>
      <c r="AE233" s="916"/>
      <c r="AF233" s="916"/>
      <c r="AG233" s="917"/>
      <c r="AH233" s="917"/>
      <c r="AI233" s="917"/>
      <c r="AJ233" s="917"/>
      <c r="AK233" s="917"/>
      <c r="AL233" s="917"/>
      <c r="AM233" s="917"/>
      <c r="AN233" s="917"/>
      <c r="AO233" s="917"/>
      <c r="AP233" s="917"/>
      <c r="AQ233" s="917"/>
      <c r="AR233" s="917"/>
      <c r="AS233" s="917"/>
      <c r="AT233" s="917"/>
      <c r="AU233" s="917"/>
      <c r="AV233" s="917"/>
      <c r="AW233" s="917"/>
      <c r="AX233" s="917"/>
      <c r="AY233" s="917"/>
      <c r="AZ233" s="917"/>
      <c r="BA233" s="917"/>
      <c r="BB233" s="302"/>
      <c r="BC233" s="302"/>
      <c r="BD233" s="302"/>
      <c r="BE233" s="302"/>
      <c r="BF233" s="302"/>
      <c r="BG233" s="302"/>
      <c r="BH233" s="302"/>
      <c r="BI233" s="302"/>
      <c r="BJ233" s="302"/>
      <c r="BK233" s="302"/>
      <c r="BL233" s="302"/>
      <c r="BM233" s="302"/>
      <c r="BN233" s="302"/>
      <c r="BO233" s="302"/>
      <c r="BP233" s="302"/>
      <c r="BQ233" s="302"/>
      <c r="BR233" s="302"/>
      <c r="BS233" s="302"/>
      <c r="BT233" s="302"/>
      <c r="BU233" s="302"/>
      <c r="BV233" s="302"/>
      <c r="BW233" s="302"/>
      <c r="BX233" s="302"/>
      <c r="BY233" s="302"/>
      <c r="BZ233" s="302"/>
    </row>
    <row r="234" spans="1:78" s="25" customFormat="1" ht="16.5" customHeight="1">
      <c r="A234" s="922"/>
      <c r="B234" s="922"/>
      <c r="C234" s="922"/>
      <c r="D234" s="166"/>
      <c r="E234" s="166"/>
      <c r="F234" s="166"/>
      <c r="G234" s="166"/>
      <c r="H234" s="166"/>
      <c r="I234" s="922"/>
      <c r="J234" s="922"/>
      <c r="K234" s="922"/>
      <c r="L234" s="777">
        <v>5</v>
      </c>
      <c r="M234" s="778"/>
      <c r="N234" s="976">
        <v>304</v>
      </c>
      <c r="O234" s="1020">
        <v>177</v>
      </c>
      <c r="P234" s="847">
        <f>VLOOKUP(N234,etat!$A$9:$N$1004,2,FALSE)</f>
        <v>0</v>
      </c>
      <c r="Q234" s="797" t="str">
        <f>VLOOKUP(N234,etat!$A$9:$N$963,7,FALSE)</f>
        <v>2أف1</v>
      </c>
      <c r="R234" s="797" t="str">
        <f>VLOOKUP(N234,etat!$A$9:$N$1003,9,FALSE)</f>
        <v>ن/د</v>
      </c>
      <c r="S234" s="866" t="str">
        <f>VLOOKUP(N234,etat!$A$9:$P$905,16,FALSE)</f>
        <v>ان/د2</v>
      </c>
      <c r="T234" s="755">
        <v>45785</v>
      </c>
      <c r="U234" s="791">
        <v>1</v>
      </c>
      <c r="V234" s="784"/>
      <c r="W234" s="784"/>
      <c r="X234" s="784"/>
      <c r="Y234" s="975"/>
      <c r="Z234" s="975"/>
      <c r="AA234" s="967">
        <v>6</v>
      </c>
      <c r="AB234" s="916"/>
      <c r="AC234" s="916"/>
      <c r="AD234" s="916"/>
      <c r="AE234" s="916"/>
      <c r="AF234" s="916"/>
      <c r="AG234" s="917"/>
      <c r="AH234" s="917"/>
      <c r="AI234" s="917"/>
      <c r="AJ234" s="917"/>
      <c r="AK234" s="917"/>
      <c r="AL234" s="917"/>
      <c r="AM234" s="917"/>
      <c r="AN234" s="917"/>
      <c r="AO234" s="917"/>
      <c r="AP234" s="917"/>
      <c r="AQ234" s="917"/>
      <c r="AR234" s="917"/>
      <c r="AS234" s="917"/>
      <c r="AT234" s="917"/>
      <c r="AU234" s="917"/>
      <c r="AV234" s="917"/>
      <c r="AW234" s="917"/>
      <c r="AX234" s="917"/>
      <c r="AY234" s="917"/>
      <c r="AZ234" s="917"/>
      <c r="BA234" s="917"/>
      <c r="BB234" s="302"/>
      <c r="BC234" s="302"/>
      <c r="BD234" s="302"/>
      <c r="BE234" s="302"/>
      <c r="BF234" s="302"/>
      <c r="BG234" s="302"/>
      <c r="BH234" s="302"/>
      <c r="BI234" s="302"/>
      <c r="BJ234" s="302"/>
      <c r="BK234" s="302"/>
      <c r="BL234" s="302"/>
      <c r="BM234" s="302"/>
      <c r="BN234" s="302"/>
      <c r="BO234" s="302"/>
      <c r="BP234" s="302"/>
      <c r="BQ234" s="302"/>
      <c r="BR234" s="302"/>
      <c r="BS234" s="302"/>
      <c r="BT234" s="302"/>
      <c r="BU234" s="302"/>
      <c r="BV234" s="302"/>
      <c r="BW234" s="302"/>
      <c r="BX234" s="302"/>
      <c r="BY234" s="302"/>
      <c r="BZ234" s="302"/>
    </row>
    <row r="235" spans="1:78" s="25" customFormat="1" ht="16.5" customHeight="1">
      <c r="A235" s="922"/>
      <c r="B235" s="922"/>
      <c r="C235" s="922"/>
      <c r="D235" s="166"/>
      <c r="E235" s="166"/>
      <c r="F235" s="166"/>
      <c r="G235" s="166"/>
      <c r="H235" s="166"/>
      <c r="I235" s="922"/>
      <c r="J235" s="922"/>
      <c r="K235" s="922"/>
      <c r="L235" s="777">
        <v>5</v>
      </c>
      <c r="M235" s="778"/>
      <c r="N235" s="976">
        <v>305</v>
      </c>
      <c r="O235" s="1020">
        <v>178</v>
      </c>
      <c r="P235" s="847">
        <f>VLOOKUP(N235,etat!$A$9:$N$1004,2,FALSE)</f>
        <v>0</v>
      </c>
      <c r="Q235" s="797" t="str">
        <f>VLOOKUP(N235,etat!$A$9:$N$963,7,FALSE)</f>
        <v>2أف1</v>
      </c>
      <c r="R235" s="797" t="str">
        <f>VLOOKUP(N235,etat!$A$9:$N$1003,9,FALSE)</f>
        <v>ن/د</v>
      </c>
      <c r="S235" s="866" t="str">
        <f>VLOOKUP(N235,etat!$A$9:$P$905,16,FALSE)</f>
        <v>اخ2</v>
      </c>
      <c r="T235" s="755">
        <v>45785</v>
      </c>
      <c r="U235" s="791">
        <v>1</v>
      </c>
      <c r="V235" s="784"/>
      <c r="W235" s="784"/>
      <c r="X235" s="784"/>
      <c r="Y235" s="975"/>
      <c r="Z235" s="975"/>
      <c r="AA235" s="967">
        <v>6</v>
      </c>
      <c r="AB235" s="916"/>
      <c r="AC235" s="916"/>
      <c r="AD235" s="916"/>
      <c r="AE235" s="916"/>
      <c r="AF235" s="916"/>
      <c r="AG235" s="917"/>
      <c r="AH235" s="917"/>
      <c r="AI235" s="917"/>
      <c r="AJ235" s="917"/>
      <c r="AK235" s="917"/>
      <c r="AL235" s="917"/>
      <c r="AM235" s="917"/>
      <c r="AN235" s="917"/>
      <c r="AO235" s="917"/>
      <c r="AP235" s="917"/>
      <c r="AQ235" s="917"/>
      <c r="AR235" s="917"/>
      <c r="AS235" s="917"/>
      <c r="AT235" s="917"/>
      <c r="AU235" s="917"/>
      <c r="AV235" s="917"/>
      <c r="AW235" s="917"/>
      <c r="AX235" s="917"/>
      <c r="AY235" s="917"/>
      <c r="AZ235" s="917"/>
      <c r="BA235" s="917"/>
      <c r="BB235" s="302"/>
      <c r="BC235" s="302"/>
      <c r="BD235" s="302"/>
      <c r="BE235" s="302"/>
      <c r="BF235" s="302"/>
      <c r="BG235" s="302"/>
      <c r="BH235" s="302"/>
      <c r="BI235" s="302"/>
      <c r="BJ235" s="302"/>
      <c r="BK235" s="302"/>
      <c r="BL235" s="302"/>
      <c r="BM235" s="302"/>
      <c r="BN235" s="302"/>
      <c r="BO235" s="302"/>
      <c r="BP235" s="302"/>
      <c r="BQ235" s="302"/>
      <c r="BR235" s="302"/>
      <c r="BS235" s="302"/>
      <c r="BT235" s="302"/>
      <c r="BU235" s="302"/>
      <c r="BV235" s="302"/>
      <c r="BW235" s="302"/>
      <c r="BX235" s="302"/>
      <c r="BY235" s="302"/>
      <c r="BZ235" s="302"/>
    </row>
    <row r="236" spans="1:78" s="25" customFormat="1" ht="16.5" customHeight="1">
      <c r="A236" s="946"/>
      <c r="B236" s="946"/>
      <c r="C236" s="946"/>
      <c r="D236" s="166"/>
      <c r="E236" s="166"/>
      <c r="F236" s="166"/>
      <c r="G236" s="166"/>
      <c r="H236" s="166"/>
      <c r="I236" s="946"/>
      <c r="J236" s="946"/>
      <c r="K236" s="946"/>
      <c r="L236" s="777">
        <v>5</v>
      </c>
      <c r="M236" s="778"/>
      <c r="N236" s="976">
        <v>803</v>
      </c>
      <c r="O236" s="1020">
        <v>179</v>
      </c>
      <c r="P236" s="847">
        <f>VLOOKUP(N236,etat!$A$9:$N$1004,2,FALSE)</f>
        <v>0</v>
      </c>
      <c r="Q236" s="797">
        <f>VLOOKUP(N236,etat!$A$9:$N$963,7,FALSE)</f>
        <v>0</v>
      </c>
      <c r="R236" s="797">
        <f>VLOOKUP(N236,etat!$A$9:$N$1003,9,FALSE)</f>
        <v>0</v>
      </c>
      <c r="S236" s="866">
        <f>VLOOKUP(N236,etat!$A$9:$P$905,16,FALSE)</f>
        <v>0</v>
      </c>
      <c r="T236" s="755">
        <v>45785</v>
      </c>
      <c r="U236" s="791">
        <v>1</v>
      </c>
      <c r="V236" s="784"/>
      <c r="W236" s="784"/>
      <c r="X236" s="784"/>
      <c r="Y236" s="975"/>
      <c r="Z236" s="975"/>
      <c r="AA236" s="967">
        <v>6</v>
      </c>
      <c r="AB236" s="947"/>
      <c r="AC236" s="947"/>
      <c r="AD236" s="947"/>
      <c r="AE236" s="947"/>
      <c r="AF236" s="947"/>
      <c r="AG236" s="946"/>
      <c r="AH236" s="946"/>
      <c r="AI236" s="946"/>
      <c r="AJ236" s="946"/>
      <c r="AK236" s="946"/>
      <c r="AL236" s="946"/>
      <c r="AM236" s="946"/>
      <c r="AN236" s="946"/>
      <c r="AO236" s="946"/>
      <c r="AP236" s="946"/>
      <c r="AQ236" s="946"/>
      <c r="AR236" s="946"/>
      <c r="AS236" s="946"/>
      <c r="AT236" s="946"/>
      <c r="AU236" s="946"/>
      <c r="AV236" s="946"/>
      <c r="AW236" s="946"/>
      <c r="AX236" s="946"/>
      <c r="AY236" s="946"/>
      <c r="AZ236" s="946"/>
      <c r="BA236" s="946"/>
      <c r="BB236" s="302"/>
      <c r="BC236" s="302"/>
      <c r="BD236" s="302"/>
      <c r="BE236" s="302"/>
      <c r="BF236" s="302"/>
      <c r="BG236" s="302"/>
      <c r="BH236" s="302"/>
      <c r="BI236" s="302"/>
      <c r="BJ236" s="302"/>
      <c r="BK236" s="302"/>
      <c r="BL236" s="302"/>
      <c r="BM236" s="302"/>
      <c r="BN236" s="302"/>
      <c r="BO236" s="302"/>
      <c r="BP236" s="302"/>
      <c r="BQ236" s="302"/>
      <c r="BR236" s="302"/>
      <c r="BS236" s="302"/>
      <c r="BT236" s="302"/>
      <c r="BU236" s="302"/>
      <c r="BV236" s="302"/>
      <c r="BW236" s="302"/>
      <c r="BX236" s="302"/>
      <c r="BY236" s="302"/>
      <c r="BZ236" s="302"/>
    </row>
    <row r="237" spans="1:78" s="25" customFormat="1" ht="16.5" customHeight="1">
      <c r="A237" s="922"/>
      <c r="B237" s="922"/>
      <c r="C237" s="922"/>
      <c r="D237" s="166"/>
      <c r="E237" s="166"/>
      <c r="F237" s="166"/>
      <c r="G237" s="166"/>
      <c r="H237" s="166"/>
      <c r="I237" s="922"/>
      <c r="J237" s="922"/>
      <c r="K237" s="922"/>
      <c r="L237" s="777">
        <v>5</v>
      </c>
      <c r="M237" s="778"/>
      <c r="N237" s="976">
        <v>311</v>
      </c>
      <c r="O237" s="1020">
        <v>180</v>
      </c>
      <c r="P237" s="847">
        <f>VLOOKUP(N237,etat!$A$9:$N$1004,2,FALSE)</f>
        <v>0</v>
      </c>
      <c r="Q237" s="797" t="str">
        <f>VLOOKUP(N237,etat!$A$9:$N$963,7,FALSE)</f>
        <v>2أف1</v>
      </c>
      <c r="R237" s="797" t="str">
        <f>VLOOKUP(N237,etat!$A$9:$N$1003,9,FALSE)</f>
        <v>خ</v>
      </c>
      <c r="S237" s="866" t="str">
        <f>VLOOKUP(N237,etat!$A$9:$P$905,16,FALSE)</f>
        <v>اخ2</v>
      </c>
      <c r="T237" s="755">
        <v>45784</v>
      </c>
      <c r="U237" s="791">
        <v>2</v>
      </c>
      <c r="V237" s="784"/>
      <c r="W237" s="784"/>
      <c r="X237" s="784"/>
      <c r="Y237" s="1116"/>
      <c r="Z237" s="975"/>
      <c r="AA237" s="967">
        <v>7</v>
      </c>
      <c r="AB237" s="916"/>
      <c r="AC237" s="916"/>
      <c r="AD237" s="916"/>
      <c r="AE237" s="916"/>
      <c r="AF237" s="916"/>
      <c r="AG237" s="917"/>
      <c r="AH237" s="917"/>
      <c r="AI237" s="917"/>
      <c r="AJ237" s="917"/>
      <c r="AK237" s="917"/>
      <c r="AL237" s="917"/>
      <c r="AM237" s="917"/>
      <c r="AN237" s="917"/>
      <c r="AO237" s="917"/>
      <c r="AP237" s="917"/>
      <c r="AQ237" s="917"/>
      <c r="AR237" s="917"/>
      <c r="AS237" s="917"/>
      <c r="AT237" s="917"/>
      <c r="AU237" s="917"/>
      <c r="AV237" s="917"/>
      <c r="AW237" s="917"/>
      <c r="AX237" s="917"/>
      <c r="AY237" s="917"/>
      <c r="AZ237" s="917"/>
      <c r="BA237" s="917"/>
      <c r="BB237" s="302"/>
      <c r="BC237" s="302"/>
      <c r="BD237" s="302"/>
      <c r="BE237" s="302"/>
      <c r="BF237" s="302"/>
      <c r="BG237" s="302"/>
      <c r="BH237" s="302"/>
      <c r="BI237" s="302"/>
      <c r="BJ237" s="302"/>
      <c r="BK237" s="302"/>
      <c r="BL237" s="302"/>
      <c r="BM237" s="302"/>
      <c r="BN237" s="302"/>
      <c r="BO237" s="302"/>
      <c r="BP237" s="302"/>
      <c r="BQ237" s="302"/>
      <c r="BR237" s="302"/>
      <c r="BS237" s="302"/>
      <c r="BT237" s="302"/>
      <c r="BU237" s="302"/>
      <c r="BV237" s="302"/>
      <c r="BW237" s="302"/>
      <c r="BX237" s="302"/>
      <c r="BY237" s="302"/>
      <c r="BZ237" s="302"/>
    </row>
    <row r="238" spans="1:78" s="25" customFormat="1" ht="16.5" customHeight="1">
      <c r="A238" s="922"/>
      <c r="B238" s="922"/>
      <c r="C238" s="922"/>
      <c r="D238" s="166"/>
      <c r="E238" s="166"/>
      <c r="F238" s="166"/>
      <c r="G238" s="166"/>
      <c r="H238" s="166"/>
      <c r="I238" s="922"/>
      <c r="J238" s="922"/>
      <c r="K238" s="922"/>
      <c r="L238" s="777">
        <v>5</v>
      </c>
      <c r="M238" s="778"/>
      <c r="N238" s="976">
        <v>316</v>
      </c>
      <c r="O238" s="1020">
        <v>181</v>
      </c>
      <c r="P238" s="847">
        <f>VLOOKUP(N238,etat!$A$9:$N$1004,2,FALSE)</f>
        <v>0</v>
      </c>
      <c r="Q238" s="797" t="str">
        <f>VLOOKUP(N238,etat!$A$9:$N$963,7,FALSE)</f>
        <v>2أف1</v>
      </c>
      <c r="R238" s="797" t="str">
        <f>VLOOKUP(N238,etat!$A$9:$N$1003,9,FALSE)</f>
        <v>خ</v>
      </c>
      <c r="S238" s="866" t="str">
        <f>VLOOKUP(N238,etat!$A$9:$P$905,16,FALSE)</f>
        <v>اخ2</v>
      </c>
      <c r="T238" s="755">
        <v>45784</v>
      </c>
      <c r="U238" s="791">
        <v>2</v>
      </c>
      <c r="V238" s="784"/>
      <c r="W238" s="784"/>
      <c r="X238" s="784"/>
      <c r="Y238" s="975"/>
      <c r="Z238" s="975"/>
      <c r="AA238" s="967">
        <v>7</v>
      </c>
      <c r="AB238" s="23"/>
      <c r="AC238" s="23"/>
      <c r="AD238" s="23"/>
      <c r="AE238" s="23"/>
      <c r="AF238" s="23"/>
      <c r="AG238" s="765"/>
      <c r="AH238" s="765"/>
      <c r="AI238" s="765"/>
      <c r="AJ238" s="765"/>
      <c r="AK238" s="765"/>
      <c r="AL238" s="765"/>
      <c r="AM238" s="765"/>
      <c r="AN238" s="765"/>
      <c r="AO238" s="765"/>
      <c r="AP238" s="765"/>
      <c r="AQ238" s="765"/>
      <c r="AR238" s="765"/>
      <c r="AS238" s="765"/>
      <c r="AT238" s="765"/>
      <c r="AU238" s="765"/>
      <c r="AV238" s="765"/>
      <c r="AW238" s="765"/>
      <c r="AX238" s="765"/>
      <c r="AY238" s="765"/>
      <c r="AZ238" s="765"/>
      <c r="BA238" s="765"/>
      <c r="BB238" s="302"/>
      <c r="BC238" s="302"/>
      <c r="BD238" s="302"/>
      <c r="BE238" s="302"/>
      <c r="BF238" s="302"/>
      <c r="BG238" s="302"/>
      <c r="BH238" s="302"/>
      <c r="BI238" s="302"/>
      <c r="BJ238" s="302"/>
      <c r="BK238" s="302"/>
      <c r="BL238" s="302"/>
      <c r="BM238" s="302"/>
      <c r="BN238" s="302"/>
      <c r="BO238" s="302"/>
      <c r="BP238" s="302"/>
      <c r="BQ238" s="302"/>
      <c r="BR238" s="302"/>
      <c r="BS238" s="302"/>
      <c r="BT238" s="302"/>
      <c r="BU238" s="302"/>
      <c r="BV238" s="302"/>
      <c r="BW238" s="302"/>
      <c r="BX238" s="302"/>
      <c r="BY238" s="302"/>
      <c r="BZ238" s="302"/>
    </row>
    <row r="239" spans="1:78" s="25" customFormat="1" ht="16.5" customHeight="1">
      <c r="A239" s="922"/>
      <c r="B239" s="922"/>
      <c r="C239" s="922"/>
      <c r="D239" s="166"/>
      <c r="E239" s="166"/>
      <c r="F239" s="166"/>
      <c r="G239" s="166"/>
      <c r="H239" s="166"/>
      <c r="I239" s="922"/>
      <c r="J239" s="922"/>
      <c r="K239" s="922"/>
      <c r="L239" s="777">
        <v>5</v>
      </c>
      <c r="M239" s="778"/>
      <c r="N239" s="976">
        <v>328</v>
      </c>
      <c r="O239" s="1020">
        <v>182</v>
      </c>
      <c r="P239" s="847">
        <f>VLOOKUP(N239,etat!$A$9:$N$1004,2,FALSE)</f>
        <v>0</v>
      </c>
      <c r="Q239" s="797" t="str">
        <f>VLOOKUP(N239,etat!$A$9:$N$963,7,FALSE)</f>
        <v>2أف1</v>
      </c>
      <c r="R239" s="797" t="str">
        <f>VLOOKUP(N239,etat!$A$9:$N$1003,9,FALSE)</f>
        <v>خ</v>
      </c>
      <c r="S239" s="866" t="str">
        <f>VLOOKUP(N239,etat!$A$9:$P$905,16,FALSE)</f>
        <v>اخ2</v>
      </c>
      <c r="T239" s="755">
        <v>45784</v>
      </c>
      <c r="U239" s="791">
        <v>2</v>
      </c>
      <c r="V239" s="784"/>
      <c r="W239" s="784"/>
      <c r="X239" s="784"/>
      <c r="Y239" s="975"/>
      <c r="Z239" s="975"/>
      <c r="AA239" s="967">
        <v>7</v>
      </c>
      <c r="AB239" s="23"/>
      <c r="AC239" s="23"/>
      <c r="AD239" s="23"/>
      <c r="AE239" s="23"/>
      <c r="AF239" s="23"/>
      <c r="AG239" s="765"/>
      <c r="AH239" s="765"/>
      <c r="AI239" s="765"/>
      <c r="AJ239" s="765"/>
      <c r="AK239" s="765"/>
      <c r="AL239" s="765"/>
      <c r="AM239" s="765"/>
      <c r="AN239" s="765"/>
      <c r="AO239" s="765"/>
      <c r="AP239" s="765"/>
      <c r="AQ239" s="765"/>
      <c r="AR239" s="765"/>
      <c r="AS239" s="765"/>
      <c r="AT239" s="765"/>
      <c r="AU239" s="765"/>
      <c r="AV239" s="765"/>
      <c r="AW239" s="765"/>
      <c r="AX239" s="765"/>
      <c r="AY239" s="765"/>
      <c r="AZ239" s="765"/>
      <c r="BA239" s="765"/>
      <c r="BB239" s="302"/>
      <c r="BC239" s="302"/>
      <c r="BD239" s="302"/>
      <c r="BE239" s="302"/>
      <c r="BF239" s="302"/>
      <c r="BG239" s="302"/>
      <c r="BH239" s="302"/>
      <c r="BI239" s="302"/>
      <c r="BJ239" s="302"/>
      <c r="BK239" s="302"/>
      <c r="BL239" s="302"/>
      <c r="BM239" s="302"/>
      <c r="BN239" s="302"/>
      <c r="BO239" s="302"/>
      <c r="BP239" s="302"/>
      <c r="BQ239" s="302"/>
      <c r="BR239" s="302"/>
      <c r="BS239" s="302"/>
      <c r="BT239" s="302"/>
      <c r="BU239" s="302"/>
      <c r="BV239" s="302"/>
      <c r="BW239" s="302"/>
      <c r="BX239" s="302"/>
      <c r="BY239" s="302"/>
      <c r="BZ239" s="302"/>
    </row>
    <row r="240" spans="1:78" s="25" customFormat="1" ht="16.5" customHeight="1">
      <c r="A240" s="922"/>
      <c r="B240" s="922"/>
      <c r="C240" s="922"/>
      <c r="D240" s="166"/>
      <c r="E240" s="166"/>
      <c r="F240" s="166"/>
      <c r="G240" s="166"/>
      <c r="H240" s="166"/>
      <c r="I240" s="922"/>
      <c r="J240" s="922"/>
      <c r="K240" s="922"/>
      <c r="L240" s="777">
        <v>5</v>
      </c>
      <c r="M240" s="778"/>
      <c r="N240" s="976">
        <v>332</v>
      </c>
      <c r="O240" s="1020">
        <v>183</v>
      </c>
      <c r="P240" s="847">
        <f>VLOOKUP(N240,etat!$A$9:$N$1004,2,FALSE)</f>
        <v>0</v>
      </c>
      <c r="Q240" s="797" t="str">
        <f>VLOOKUP(N240,etat!$A$9:$N$963,7,FALSE)</f>
        <v>2أف1</v>
      </c>
      <c r="R240" s="797" t="str">
        <f>VLOOKUP(N240,etat!$A$9:$N$1003,9,FALSE)</f>
        <v>خ</v>
      </c>
      <c r="S240" s="866" t="str">
        <f>VLOOKUP(N240,etat!$A$9:$P$905,16,FALSE)</f>
        <v>اخ2</v>
      </c>
      <c r="T240" s="755">
        <v>45785</v>
      </c>
      <c r="U240" s="791">
        <v>1</v>
      </c>
      <c r="V240" s="784"/>
      <c r="W240" s="784"/>
      <c r="X240" s="784"/>
      <c r="Y240" s="975"/>
      <c r="Z240" s="975"/>
      <c r="AA240" s="967">
        <v>6</v>
      </c>
      <c r="AB240" s="23"/>
      <c r="AC240" s="23"/>
      <c r="AD240" s="23"/>
      <c r="AE240" s="23"/>
      <c r="AF240" s="23"/>
      <c r="AG240" s="765"/>
      <c r="AH240" s="765"/>
      <c r="AI240" s="765"/>
      <c r="AJ240" s="765"/>
      <c r="AK240" s="765"/>
      <c r="AL240" s="765"/>
      <c r="AM240" s="765"/>
      <c r="AN240" s="765"/>
      <c r="AO240" s="765"/>
      <c r="AP240" s="765"/>
      <c r="AQ240" s="765"/>
      <c r="AR240" s="765"/>
      <c r="AS240" s="765"/>
      <c r="AT240" s="765"/>
      <c r="AU240" s="765"/>
      <c r="AV240" s="765"/>
      <c r="AW240" s="765"/>
      <c r="AX240" s="765"/>
      <c r="AY240" s="765"/>
      <c r="AZ240" s="765"/>
      <c r="BA240" s="765"/>
      <c r="BB240" s="302"/>
      <c r="BC240" s="302"/>
      <c r="BD240" s="302"/>
      <c r="BE240" s="302"/>
      <c r="BF240" s="302"/>
      <c r="BG240" s="302"/>
      <c r="BH240" s="302"/>
      <c r="BI240" s="302"/>
      <c r="BJ240" s="302"/>
      <c r="BK240" s="302"/>
      <c r="BL240" s="302"/>
      <c r="BM240" s="302"/>
      <c r="BN240" s="302"/>
      <c r="BO240" s="302"/>
      <c r="BP240" s="302"/>
      <c r="BQ240" s="302"/>
      <c r="BR240" s="302"/>
      <c r="BS240" s="302"/>
      <c r="BT240" s="302"/>
      <c r="BU240" s="302"/>
      <c r="BV240" s="302"/>
      <c r="BW240" s="302"/>
      <c r="BX240" s="302"/>
      <c r="BY240" s="302"/>
      <c r="BZ240" s="302"/>
    </row>
    <row r="241" spans="1:78" s="25" customFormat="1" ht="16.5" customHeight="1">
      <c r="A241" s="922"/>
      <c r="B241" s="922"/>
      <c r="C241" s="922"/>
      <c r="D241" s="166"/>
      <c r="E241" s="166"/>
      <c r="F241" s="166"/>
      <c r="G241" s="166"/>
      <c r="H241" s="166"/>
      <c r="I241" s="922"/>
      <c r="J241" s="922"/>
      <c r="K241" s="922"/>
      <c r="L241" s="777">
        <v>5</v>
      </c>
      <c r="M241" s="778"/>
      <c r="N241" s="976">
        <v>380</v>
      </c>
      <c r="O241" s="1020">
        <v>184</v>
      </c>
      <c r="P241" s="847">
        <f>VLOOKUP(N241,etat!$A$9:$N$1004,2,FALSE)</f>
        <v>0</v>
      </c>
      <c r="Q241" s="797" t="str">
        <f>VLOOKUP(N241,etat!$A$9:$N$963,7,FALSE)</f>
        <v>1ج م ع1</v>
      </c>
      <c r="R241" s="797" t="str">
        <f>VLOOKUP(N241,etat!$A$9:$N$1003,9,FALSE)</f>
        <v>خ</v>
      </c>
      <c r="S241" s="866" t="str">
        <f>VLOOKUP(N241,etat!$A$9:$P$905,16,FALSE)</f>
        <v>اخ2</v>
      </c>
      <c r="T241" s="755">
        <v>45784</v>
      </c>
      <c r="U241" s="791">
        <v>2</v>
      </c>
      <c r="V241" s="784"/>
      <c r="W241" s="784"/>
      <c r="X241" s="784"/>
      <c r="Y241" s="1117"/>
      <c r="Z241" s="975" t="str">
        <f>VLOOKUP(L241,[2]اس!$S$3:$X$31,3,FALSE)</f>
        <v>.</v>
      </c>
      <c r="AA241" s="967">
        <v>6</v>
      </c>
      <c r="AB241" s="23"/>
      <c r="AC241" s="23"/>
      <c r="AD241" s="23"/>
      <c r="AE241" s="23"/>
      <c r="AF241" s="23"/>
      <c r="AG241" s="765"/>
      <c r="AH241" s="765"/>
      <c r="AI241" s="765"/>
      <c r="AJ241" s="765"/>
      <c r="AK241" s="765"/>
      <c r="AL241" s="765"/>
      <c r="AM241" s="765"/>
      <c r="AN241" s="765"/>
      <c r="AO241" s="765"/>
      <c r="AP241" s="765"/>
      <c r="AQ241" s="765"/>
      <c r="AR241" s="765"/>
      <c r="AS241" s="765"/>
      <c r="AT241" s="765"/>
      <c r="AU241" s="765"/>
      <c r="AV241" s="765"/>
      <c r="AW241" s="765"/>
      <c r="AX241" s="765"/>
      <c r="AY241" s="765"/>
      <c r="AZ241" s="765"/>
      <c r="BA241" s="765"/>
      <c r="BB241" s="765"/>
      <c r="BC241" s="765"/>
      <c r="BD241" s="765"/>
      <c r="BE241" s="765"/>
      <c r="BF241" s="765"/>
      <c r="BG241" s="765"/>
      <c r="BH241" s="765"/>
      <c r="BI241" s="765"/>
      <c r="BJ241" s="765"/>
      <c r="BK241" s="765"/>
      <c r="BL241" s="765"/>
      <c r="BM241" s="765"/>
      <c r="BN241" s="765"/>
      <c r="BO241" s="765"/>
      <c r="BP241" s="765"/>
      <c r="BQ241" s="765"/>
      <c r="BR241" s="765"/>
      <c r="BS241" s="765"/>
      <c r="BT241" s="765"/>
      <c r="BU241" s="302"/>
      <c r="BV241" s="302"/>
      <c r="BW241" s="302"/>
      <c r="BX241" s="302"/>
      <c r="BY241" s="302"/>
      <c r="BZ241" s="302"/>
    </row>
    <row r="242" spans="1:78" s="25" customFormat="1" ht="16.5" customHeight="1">
      <c r="A242" s="946"/>
      <c r="B242" s="946"/>
      <c r="C242" s="946"/>
      <c r="D242" s="166"/>
      <c r="E242" s="166"/>
      <c r="F242" s="166"/>
      <c r="G242" s="166"/>
      <c r="H242" s="166"/>
      <c r="I242" s="946"/>
      <c r="J242" s="946"/>
      <c r="K242" s="946"/>
      <c r="L242" s="777">
        <v>5</v>
      </c>
      <c r="M242" s="778"/>
      <c r="N242" s="976">
        <v>405</v>
      </c>
      <c r="O242" s="1020">
        <v>185</v>
      </c>
      <c r="P242" s="847">
        <f>VLOOKUP(N242,etat!$A$9:$N$1004,2,FALSE)</f>
        <v>0</v>
      </c>
      <c r="Q242" s="797" t="str">
        <f>VLOOKUP(N242,etat!$A$9:$N$963,7,FALSE)</f>
        <v>1ج م ع2</v>
      </c>
      <c r="R242" s="797" t="str">
        <f>VLOOKUP(N242,etat!$A$9:$N$1003,9,FALSE)</f>
        <v>خ</v>
      </c>
      <c r="S242" s="866" t="str">
        <f>VLOOKUP(N242,etat!$A$9:$P$905,16,FALSE)</f>
        <v>ان/د2</v>
      </c>
      <c r="T242" s="755">
        <v>45782</v>
      </c>
      <c r="U242" s="791">
        <v>4</v>
      </c>
      <c r="V242" s="784" t="s">
        <v>2287</v>
      </c>
      <c r="W242" s="784"/>
      <c r="X242" s="869"/>
      <c r="Y242" s="975"/>
      <c r="Z242" s="975"/>
      <c r="AA242" s="967">
        <v>6</v>
      </c>
      <c r="AB242" s="947"/>
      <c r="AC242" s="947"/>
      <c r="AD242" s="947"/>
      <c r="AE242" s="947"/>
      <c r="AF242" s="947"/>
      <c r="AG242" s="946"/>
      <c r="AH242" s="946"/>
      <c r="AI242" s="946"/>
      <c r="AJ242" s="946"/>
      <c r="AK242" s="946"/>
      <c r="AL242" s="946"/>
      <c r="AM242" s="946"/>
      <c r="AN242" s="946"/>
      <c r="AO242" s="946"/>
      <c r="AP242" s="946"/>
      <c r="AQ242" s="946"/>
      <c r="AR242" s="946"/>
      <c r="AS242" s="946"/>
      <c r="AT242" s="946"/>
      <c r="AU242" s="946"/>
      <c r="AV242" s="946"/>
      <c r="AW242" s="946"/>
      <c r="AX242" s="946"/>
      <c r="AY242" s="946"/>
      <c r="AZ242" s="946"/>
      <c r="BA242" s="946"/>
      <c r="BB242" s="946"/>
      <c r="BC242" s="946"/>
      <c r="BD242" s="946"/>
      <c r="BE242" s="946"/>
      <c r="BF242" s="946"/>
      <c r="BG242" s="946"/>
      <c r="BH242" s="946"/>
      <c r="BI242" s="946"/>
      <c r="BJ242" s="946"/>
      <c r="BK242" s="946"/>
      <c r="BL242" s="946"/>
      <c r="BM242" s="946"/>
      <c r="BN242" s="946"/>
      <c r="BO242" s="946"/>
      <c r="BP242" s="946"/>
      <c r="BQ242" s="946"/>
      <c r="BR242" s="946"/>
      <c r="BS242" s="946"/>
      <c r="BT242" s="946"/>
      <c r="BU242" s="302"/>
      <c r="BV242" s="302"/>
      <c r="BW242" s="302"/>
      <c r="BX242" s="302"/>
      <c r="BY242" s="302"/>
      <c r="BZ242" s="302"/>
    </row>
    <row r="243" spans="1:78" s="25" customFormat="1" ht="16.5" customHeight="1">
      <c r="A243" s="922"/>
      <c r="B243" s="922"/>
      <c r="C243" s="922"/>
      <c r="D243" s="166"/>
      <c r="E243" s="166"/>
      <c r="F243" s="166"/>
      <c r="G243" s="166"/>
      <c r="H243" s="166"/>
      <c r="I243" s="922"/>
      <c r="J243" s="922"/>
      <c r="K243" s="922"/>
      <c r="L243" s="777">
        <v>5</v>
      </c>
      <c r="M243" s="778"/>
      <c r="N243" s="976">
        <v>783</v>
      </c>
      <c r="O243" s="1020">
        <v>186</v>
      </c>
      <c r="P243" s="847">
        <f>VLOOKUP(N243,etat!$A$9:$N$1004,2,FALSE)</f>
        <v>0</v>
      </c>
      <c r="Q243" s="797">
        <f>VLOOKUP(N243,etat!$A$9:$N$963,7,FALSE)</f>
        <v>0</v>
      </c>
      <c r="R243" s="797">
        <f>VLOOKUP(N243,etat!$A$9:$N$1003,9,FALSE)</f>
        <v>0</v>
      </c>
      <c r="S243" s="866">
        <f>VLOOKUP(N243,etat!$A$9:$P$905,16,FALSE)</f>
        <v>0</v>
      </c>
      <c r="T243" s="755">
        <v>45784</v>
      </c>
      <c r="U243" s="791">
        <v>2</v>
      </c>
      <c r="V243" s="784"/>
      <c r="W243" s="784"/>
      <c r="X243" s="784"/>
      <c r="Y243" s="1116"/>
      <c r="Z243" s="975"/>
      <c r="AA243" s="967">
        <v>7</v>
      </c>
      <c r="AB243" s="23"/>
      <c r="AC243" s="23"/>
      <c r="AD243" s="23"/>
      <c r="AE243" s="23"/>
      <c r="AF243" s="23"/>
      <c r="AG243" s="765"/>
      <c r="AH243" s="765"/>
      <c r="AI243" s="765"/>
      <c r="AJ243" s="765"/>
      <c r="AK243" s="765"/>
      <c r="AL243" s="765"/>
      <c r="AM243" s="765"/>
      <c r="AN243" s="765"/>
      <c r="AO243" s="765"/>
      <c r="AP243" s="765"/>
      <c r="AQ243" s="765"/>
      <c r="AR243" s="765"/>
      <c r="AS243" s="765"/>
      <c r="AT243" s="765"/>
      <c r="AU243" s="765"/>
      <c r="AV243" s="765"/>
      <c r="AW243" s="765"/>
      <c r="AX243" s="765"/>
      <c r="AY243" s="765"/>
      <c r="AZ243" s="765"/>
      <c r="BA243" s="765"/>
      <c r="BB243" s="765"/>
      <c r="BC243" s="765"/>
      <c r="BD243" s="765"/>
      <c r="BE243" s="765"/>
      <c r="BF243" s="765"/>
      <c r="BG243" s="765"/>
      <c r="BH243" s="765"/>
      <c r="BI243" s="765"/>
      <c r="BJ243" s="765"/>
      <c r="BK243" s="765"/>
      <c r="BL243" s="765"/>
      <c r="BM243" s="765"/>
      <c r="BN243" s="765"/>
      <c r="BO243" s="765"/>
      <c r="BP243" s="765"/>
      <c r="BQ243" s="765"/>
      <c r="BR243" s="765"/>
      <c r="BS243" s="765"/>
      <c r="BT243" s="765"/>
      <c r="BU243" s="302"/>
      <c r="BV243" s="302"/>
      <c r="BW243" s="302"/>
      <c r="BX243" s="302"/>
      <c r="BY243" s="302"/>
      <c r="BZ243" s="302"/>
    </row>
    <row r="244" spans="1:78" s="25" customFormat="1" ht="16.5" customHeight="1">
      <c r="A244" s="922"/>
      <c r="B244" s="922"/>
      <c r="C244" s="922"/>
      <c r="D244" s="166"/>
      <c r="E244" s="166"/>
      <c r="F244" s="166"/>
      <c r="G244" s="166"/>
      <c r="H244" s="166"/>
      <c r="I244" s="922"/>
      <c r="J244" s="922"/>
      <c r="K244" s="922"/>
      <c r="L244" s="777">
        <v>5</v>
      </c>
      <c r="M244" s="864"/>
      <c r="N244" s="976">
        <v>415</v>
      </c>
      <c r="O244" s="1020">
        <v>187</v>
      </c>
      <c r="P244" s="847">
        <f>VLOOKUP(N244,etat!$A$9:$N$1004,2,FALSE)</f>
        <v>0</v>
      </c>
      <c r="Q244" s="797" t="str">
        <f>VLOOKUP(N244,etat!$A$9:$N$963,7,FALSE)</f>
        <v>1ج م ع2</v>
      </c>
      <c r="R244" s="797" t="str">
        <f>VLOOKUP(N244,etat!$A$9:$N$1003,9,FALSE)</f>
        <v>خ</v>
      </c>
      <c r="S244" s="866" t="str">
        <f>VLOOKUP(N244,etat!$A$9:$P$905,16,FALSE)</f>
        <v>اخ2</v>
      </c>
      <c r="T244" s="755">
        <v>45785</v>
      </c>
      <c r="U244" s="791">
        <v>1</v>
      </c>
      <c r="V244" s="784"/>
      <c r="W244" s="784"/>
      <c r="X244" s="784"/>
      <c r="Y244" s="1117"/>
      <c r="Z244" s="975"/>
      <c r="AA244" s="967">
        <v>7</v>
      </c>
      <c r="AB244" s="23"/>
      <c r="AC244" s="23"/>
      <c r="AD244" s="23"/>
      <c r="AE244" s="23"/>
      <c r="AF244" s="23"/>
      <c r="AG244" s="765"/>
      <c r="AH244" s="765"/>
      <c r="AI244" s="765"/>
      <c r="AJ244" s="765"/>
      <c r="AK244" s="765"/>
      <c r="AL244" s="765"/>
      <c r="AM244" s="765"/>
      <c r="AN244" s="765"/>
      <c r="AO244" s="765"/>
      <c r="AP244" s="765"/>
      <c r="AQ244" s="765"/>
      <c r="AR244" s="765"/>
      <c r="AS244" s="765"/>
      <c r="AT244" s="765"/>
      <c r="AU244" s="765"/>
      <c r="AV244" s="765"/>
      <c r="AW244" s="765"/>
      <c r="AX244" s="765"/>
      <c r="AY244" s="765"/>
      <c r="AZ244" s="765"/>
      <c r="BA244" s="765"/>
      <c r="BB244" s="765"/>
      <c r="BC244" s="765"/>
      <c r="BD244" s="765"/>
      <c r="BE244" s="765"/>
      <c r="BF244" s="765"/>
      <c r="BG244" s="765"/>
      <c r="BH244" s="765"/>
      <c r="BI244" s="765"/>
      <c r="BJ244" s="765"/>
      <c r="BK244" s="765"/>
      <c r="BL244" s="765"/>
      <c r="BM244" s="765"/>
      <c r="BN244" s="765"/>
      <c r="BO244" s="765"/>
      <c r="BP244" s="765"/>
      <c r="BQ244" s="765"/>
      <c r="BR244" s="765"/>
      <c r="BS244" s="765"/>
      <c r="BT244" s="765"/>
      <c r="BU244" s="302"/>
      <c r="BV244" s="302"/>
      <c r="BW244" s="302"/>
      <c r="BX244" s="302"/>
      <c r="BY244" s="302"/>
      <c r="BZ244" s="302"/>
    </row>
    <row r="245" spans="1:78" s="25" customFormat="1" ht="16.5" customHeight="1">
      <c r="A245" s="946"/>
      <c r="B245" s="946"/>
      <c r="C245" s="946"/>
      <c r="D245" s="166"/>
      <c r="E245" s="166"/>
      <c r="F245" s="166"/>
      <c r="G245" s="166"/>
      <c r="H245" s="166"/>
      <c r="I245" s="946"/>
      <c r="J245" s="946"/>
      <c r="K245" s="946"/>
      <c r="L245" s="777">
        <v>5</v>
      </c>
      <c r="M245" s="778"/>
      <c r="N245" s="976">
        <v>421</v>
      </c>
      <c r="O245" s="1020">
        <v>188</v>
      </c>
      <c r="P245" s="847">
        <f>VLOOKUP(N245,etat!$A$9:$N$1004,2,FALSE)</f>
        <v>0</v>
      </c>
      <c r="Q245" s="797" t="str">
        <f>VLOOKUP(N245,etat!$A$9:$N$963,7,FALSE)</f>
        <v>1ج م ع3</v>
      </c>
      <c r="R245" s="797" t="str">
        <f>VLOOKUP(N245,etat!$A$9:$N$1003,9,FALSE)</f>
        <v>خ</v>
      </c>
      <c r="S245" s="866" t="str">
        <f>VLOOKUP(N245,etat!$A$9:$P$905,16,FALSE)</f>
        <v>ذخ2</v>
      </c>
      <c r="T245" s="755">
        <v>45782</v>
      </c>
      <c r="U245" s="791">
        <v>4</v>
      </c>
      <c r="V245" s="784" t="s">
        <v>2287</v>
      </c>
      <c r="W245" s="784"/>
      <c r="X245" s="784"/>
      <c r="Y245" s="1116"/>
      <c r="Z245" s="975"/>
      <c r="AA245" s="967">
        <v>7</v>
      </c>
      <c r="AB245" s="947"/>
      <c r="AC245" s="947"/>
      <c r="AD245" s="947"/>
      <c r="AE245" s="947"/>
      <c r="AF245" s="947"/>
      <c r="AG245" s="946"/>
      <c r="AH245" s="946"/>
      <c r="AI245" s="946"/>
      <c r="AJ245" s="946"/>
      <c r="AK245" s="946"/>
      <c r="AL245" s="946"/>
      <c r="AM245" s="946"/>
      <c r="AN245" s="946"/>
      <c r="AO245" s="946"/>
      <c r="AP245" s="946"/>
      <c r="AQ245" s="946"/>
      <c r="AR245" s="946"/>
      <c r="AS245" s="946"/>
      <c r="AT245" s="946"/>
      <c r="AU245" s="946"/>
      <c r="AV245" s="946"/>
      <c r="AW245" s="946"/>
      <c r="AX245" s="946"/>
      <c r="AY245" s="946"/>
      <c r="AZ245" s="946"/>
      <c r="BA245" s="946"/>
      <c r="BB245" s="946"/>
      <c r="BC245" s="946"/>
      <c r="BD245" s="946"/>
      <c r="BE245" s="946"/>
      <c r="BF245" s="946"/>
      <c r="BG245" s="946"/>
      <c r="BH245" s="946"/>
      <c r="BI245" s="946"/>
      <c r="BJ245" s="946"/>
      <c r="BK245" s="946"/>
      <c r="BL245" s="946"/>
      <c r="BM245" s="946"/>
      <c r="BN245" s="946"/>
      <c r="BO245" s="946"/>
      <c r="BP245" s="946"/>
      <c r="BQ245" s="946"/>
      <c r="BR245" s="946"/>
      <c r="BS245" s="946"/>
      <c r="BT245" s="946"/>
      <c r="BU245" s="302"/>
      <c r="BV245" s="302"/>
      <c r="BW245" s="302"/>
      <c r="BX245" s="302"/>
      <c r="BY245" s="302"/>
      <c r="BZ245" s="302"/>
    </row>
    <row r="246" spans="1:78" s="25" customFormat="1" ht="16.5" customHeight="1">
      <c r="A246" s="949"/>
      <c r="B246" s="949"/>
      <c r="C246" s="949"/>
      <c r="D246" s="166"/>
      <c r="E246" s="166"/>
      <c r="F246" s="166"/>
      <c r="G246" s="166"/>
      <c r="H246" s="166"/>
      <c r="I246" s="949"/>
      <c r="J246" s="949"/>
      <c r="K246" s="949"/>
      <c r="L246" s="777">
        <v>5</v>
      </c>
      <c r="M246" s="778"/>
      <c r="N246" s="976">
        <v>422</v>
      </c>
      <c r="O246" s="1020">
        <v>189</v>
      </c>
      <c r="P246" s="847">
        <f>VLOOKUP(N246,etat!$A$9:$N$1004,2,FALSE)</f>
        <v>0</v>
      </c>
      <c r="Q246" s="797" t="str">
        <f>VLOOKUP(N246,etat!$A$9:$N$963,7,FALSE)</f>
        <v>1ج م ع3</v>
      </c>
      <c r="R246" s="797" t="str">
        <f>VLOOKUP(N246,etat!$A$9:$N$1003,9,FALSE)</f>
        <v>ن/د</v>
      </c>
      <c r="S246" s="866" t="str">
        <f>VLOOKUP(N246,etat!$A$9:$P$905,16,FALSE)</f>
        <v>اخ2</v>
      </c>
      <c r="T246" s="755">
        <v>45785</v>
      </c>
      <c r="U246" s="791">
        <v>1</v>
      </c>
      <c r="V246" s="784"/>
      <c r="W246" s="784"/>
      <c r="X246" s="784"/>
      <c r="Y246" s="1116"/>
      <c r="Z246" s="975"/>
      <c r="AA246" s="967">
        <v>7</v>
      </c>
      <c r="AB246" s="948"/>
      <c r="AC246" s="948"/>
      <c r="AD246" s="948"/>
      <c r="AE246" s="948"/>
      <c r="AF246" s="948"/>
      <c r="AG246" s="949"/>
      <c r="AH246" s="949"/>
      <c r="AI246" s="949"/>
      <c r="AJ246" s="949"/>
      <c r="AK246" s="949"/>
      <c r="AL246" s="949"/>
      <c r="AM246" s="949"/>
      <c r="AN246" s="949"/>
      <c r="AO246" s="949"/>
      <c r="AP246" s="949"/>
      <c r="AQ246" s="949"/>
      <c r="AR246" s="949"/>
      <c r="AS246" s="949"/>
      <c r="AT246" s="949"/>
      <c r="AU246" s="949"/>
      <c r="AV246" s="949"/>
      <c r="AW246" s="949"/>
      <c r="AX246" s="949"/>
      <c r="AY246" s="949"/>
      <c r="AZ246" s="949"/>
      <c r="BA246" s="949"/>
      <c r="BB246" s="949"/>
      <c r="BC246" s="949"/>
      <c r="BD246" s="949"/>
      <c r="BE246" s="949"/>
      <c r="BF246" s="949"/>
      <c r="BG246" s="949"/>
      <c r="BH246" s="949"/>
      <c r="BI246" s="949"/>
      <c r="BJ246" s="949"/>
      <c r="BK246" s="949"/>
      <c r="BL246" s="949"/>
      <c r="BM246" s="949"/>
      <c r="BN246" s="949"/>
      <c r="BO246" s="949"/>
      <c r="BP246" s="949"/>
      <c r="BQ246" s="949"/>
      <c r="BR246" s="949"/>
      <c r="BS246" s="949"/>
      <c r="BT246" s="949"/>
      <c r="BU246" s="302"/>
      <c r="BV246" s="302"/>
      <c r="BW246" s="302"/>
      <c r="BX246" s="302"/>
      <c r="BY246" s="302"/>
      <c r="BZ246" s="302"/>
    </row>
    <row r="247" spans="1:78" s="25" customFormat="1" ht="16.5" customHeight="1">
      <c r="A247" s="949"/>
      <c r="B247" s="949"/>
      <c r="C247" s="949"/>
      <c r="D247" s="166"/>
      <c r="E247" s="166"/>
      <c r="F247" s="166"/>
      <c r="G247" s="166"/>
      <c r="H247" s="166"/>
      <c r="I247" s="949"/>
      <c r="J247" s="949"/>
      <c r="K247" s="949"/>
      <c r="L247" s="777">
        <v>5</v>
      </c>
      <c r="M247" s="778"/>
      <c r="N247" s="976">
        <v>429</v>
      </c>
      <c r="O247" s="1020">
        <v>190</v>
      </c>
      <c r="P247" s="847">
        <f>VLOOKUP(N247,etat!$A$9:$N$1004,2,FALSE)</f>
        <v>0</v>
      </c>
      <c r="Q247" s="797" t="str">
        <f>VLOOKUP(N247,etat!$A$9:$N$963,7,FALSE)</f>
        <v>1ج م ع3</v>
      </c>
      <c r="R247" s="797" t="str">
        <f>VLOOKUP(N247,etat!$A$9:$N$1003,9,FALSE)</f>
        <v>خ</v>
      </c>
      <c r="S247" s="866" t="str">
        <f>VLOOKUP(N247,etat!$A$9:$P$905,16,FALSE)</f>
        <v>ذخ2</v>
      </c>
      <c r="T247" s="755">
        <v>45782</v>
      </c>
      <c r="U247" s="791">
        <v>4</v>
      </c>
      <c r="V247" s="784" t="s">
        <v>2287</v>
      </c>
      <c r="W247" s="784"/>
      <c r="X247" s="784"/>
      <c r="Y247" s="975"/>
      <c r="Z247" s="975"/>
      <c r="AA247" s="967">
        <v>7</v>
      </c>
      <c r="AB247" s="948"/>
      <c r="AC247" s="948"/>
      <c r="AD247" s="948"/>
      <c r="AE247" s="948"/>
      <c r="AF247" s="948"/>
      <c r="AG247" s="949"/>
      <c r="AH247" s="949"/>
      <c r="AI247" s="949"/>
      <c r="AJ247" s="949"/>
      <c r="AK247" s="949"/>
      <c r="AL247" s="949"/>
      <c r="AM247" s="949"/>
      <c r="AN247" s="949"/>
      <c r="AO247" s="949"/>
      <c r="AP247" s="949"/>
      <c r="AQ247" s="949"/>
      <c r="AR247" s="949"/>
      <c r="AS247" s="949"/>
      <c r="AT247" s="949"/>
      <c r="AU247" s="949"/>
      <c r="AV247" s="949"/>
      <c r="AW247" s="949"/>
      <c r="AX247" s="949"/>
      <c r="AY247" s="949"/>
      <c r="AZ247" s="949"/>
      <c r="BA247" s="949"/>
      <c r="BB247" s="949"/>
      <c r="BC247" s="949"/>
      <c r="BD247" s="949"/>
      <c r="BE247" s="949"/>
      <c r="BF247" s="949"/>
      <c r="BG247" s="949"/>
      <c r="BH247" s="949"/>
      <c r="BI247" s="949"/>
      <c r="BJ247" s="949"/>
      <c r="BK247" s="949"/>
      <c r="BL247" s="949"/>
      <c r="BM247" s="949"/>
      <c r="BN247" s="949"/>
      <c r="BO247" s="949"/>
      <c r="BP247" s="949"/>
      <c r="BQ247" s="949"/>
      <c r="BR247" s="949"/>
      <c r="BS247" s="949"/>
      <c r="BT247" s="949"/>
      <c r="BU247" s="302"/>
      <c r="BV247" s="302"/>
      <c r="BW247" s="302"/>
      <c r="BX247" s="302"/>
      <c r="BY247" s="302"/>
      <c r="BZ247" s="302"/>
    </row>
    <row r="248" spans="1:78" s="25" customFormat="1" ht="16.5" customHeight="1">
      <c r="A248" s="949"/>
      <c r="B248" s="949"/>
      <c r="C248" s="949"/>
      <c r="D248" s="166"/>
      <c r="E248" s="166"/>
      <c r="F248" s="166"/>
      <c r="G248" s="166"/>
      <c r="H248" s="166"/>
      <c r="I248" s="949"/>
      <c r="J248" s="949"/>
      <c r="K248" s="949"/>
      <c r="L248" s="777">
        <v>5</v>
      </c>
      <c r="M248" s="778"/>
      <c r="N248" s="976">
        <v>430</v>
      </c>
      <c r="O248" s="1020">
        <v>191</v>
      </c>
      <c r="P248" s="847">
        <f>VLOOKUP(N248,etat!$A$9:$N$1004,2,FALSE)</f>
        <v>0</v>
      </c>
      <c r="Q248" s="797" t="str">
        <f>VLOOKUP(N248,etat!$A$9:$N$963,7,FALSE)</f>
        <v>1ج م ع3</v>
      </c>
      <c r="R248" s="797" t="str">
        <f>VLOOKUP(N248,etat!$A$9:$N$1003,9,FALSE)</f>
        <v>خ</v>
      </c>
      <c r="S248" s="866" t="str">
        <f>VLOOKUP(N248,etat!$A$9:$P$905,16,FALSE)</f>
        <v>ذخ2</v>
      </c>
      <c r="T248" s="755">
        <v>45782</v>
      </c>
      <c r="U248" s="791">
        <v>4</v>
      </c>
      <c r="V248" s="784" t="s">
        <v>2287</v>
      </c>
      <c r="W248" s="784"/>
      <c r="X248" s="784"/>
      <c r="Y248" s="975"/>
      <c r="Z248" s="975"/>
      <c r="AA248" s="967">
        <v>7</v>
      </c>
      <c r="AB248" s="948"/>
      <c r="AC248" s="948"/>
      <c r="AD248" s="948"/>
      <c r="AE248" s="948"/>
      <c r="AF248" s="948"/>
      <c r="AG248" s="949"/>
      <c r="AH248" s="949"/>
      <c r="AI248" s="949"/>
      <c r="AJ248" s="949"/>
      <c r="AK248" s="949"/>
      <c r="AL248" s="949"/>
      <c r="AM248" s="949"/>
      <c r="AN248" s="949"/>
      <c r="AO248" s="949"/>
      <c r="AP248" s="949"/>
      <c r="AQ248" s="949"/>
      <c r="AR248" s="949"/>
      <c r="AS248" s="949"/>
      <c r="AT248" s="949"/>
      <c r="AU248" s="949"/>
      <c r="AV248" s="949"/>
      <c r="AW248" s="949"/>
      <c r="AX248" s="949"/>
      <c r="AY248" s="949"/>
      <c r="AZ248" s="949"/>
      <c r="BA248" s="949"/>
      <c r="BB248" s="949"/>
      <c r="BC248" s="949"/>
      <c r="BD248" s="949"/>
      <c r="BE248" s="949"/>
      <c r="BF248" s="949"/>
      <c r="BG248" s="949"/>
      <c r="BH248" s="949"/>
      <c r="BI248" s="949"/>
      <c r="BJ248" s="949"/>
      <c r="BK248" s="949"/>
      <c r="BL248" s="949"/>
      <c r="BM248" s="949"/>
      <c r="BN248" s="949"/>
      <c r="BO248" s="949"/>
      <c r="BP248" s="949"/>
      <c r="BQ248" s="949"/>
      <c r="BR248" s="949"/>
      <c r="BS248" s="949"/>
      <c r="BT248" s="949"/>
      <c r="BU248" s="302"/>
      <c r="BV248" s="302"/>
      <c r="BW248" s="302"/>
      <c r="BX248" s="302"/>
      <c r="BY248" s="302"/>
      <c r="BZ248" s="302"/>
    </row>
    <row r="249" spans="1:78" s="25" customFormat="1" ht="16.5" customHeight="1">
      <c r="A249" s="949"/>
      <c r="B249" s="949"/>
      <c r="C249" s="949"/>
      <c r="D249" s="166"/>
      <c r="E249" s="166"/>
      <c r="F249" s="166"/>
      <c r="G249" s="166"/>
      <c r="H249" s="166"/>
      <c r="I249" s="949"/>
      <c r="J249" s="949"/>
      <c r="K249" s="949"/>
      <c r="L249" s="777">
        <v>5</v>
      </c>
      <c r="M249" s="778"/>
      <c r="N249" s="976">
        <v>433</v>
      </c>
      <c r="O249" s="1020">
        <v>192</v>
      </c>
      <c r="P249" s="847">
        <f>VLOOKUP(N249,etat!$A$9:$N$1004,2,FALSE)</f>
        <v>0</v>
      </c>
      <c r="Q249" s="797" t="str">
        <f>VLOOKUP(N249,etat!$A$9:$N$963,7,FALSE)</f>
        <v>1ج م ع3</v>
      </c>
      <c r="R249" s="797" t="str">
        <f>VLOOKUP(N249,etat!$A$9:$N$1003,9,FALSE)</f>
        <v>خ</v>
      </c>
      <c r="S249" s="866" t="str">
        <f>VLOOKUP(N249,etat!$A$9:$P$905,16,FALSE)</f>
        <v>ان/د2</v>
      </c>
      <c r="T249" s="755">
        <v>45785</v>
      </c>
      <c r="U249" s="791">
        <v>1</v>
      </c>
      <c r="V249" s="784"/>
      <c r="W249" s="784"/>
      <c r="X249" s="869"/>
      <c r="Y249" s="975"/>
      <c r="Z249" s="975"/>
      <c r="AA249" s="967">
        <v>7</v>
      </c>
      <c r="AB249" s="948"/>
      <c r="AC249" s="948"/>
      <c r="AD249" s="948"/>
      <c r="AE249" s="948"/>
      <c r="AF249" s="948"/>
      <c r="AG249" s="949"/>
      <c r="AH249" s="949"/>
      <c r="AI249" s="949"/>
      <c r="AJ249" s="949"/>
      <c r="AK249" s="949"/>
      <c r="AL249" s="949"/>
      <c r="AM249" s="949"/>
      <c r="AN249" s="949"/>
      <c r="AO249" s="949"/>
      <c r="AP249" s="949"/>
      <c r="AQ249" s="949"/>
      <c r="AR249" s="949"/>
      <c r="AS249" s="949"/>
      <c r="AT249" s="949"/>
      <c r="AU249" s="949"/>
      <c r="AV249" s="949"/>
      <c r="AW249" s="949"/>
      <c r="AX249" s="949"/>
      <c r="AY249" s="949"/>
      <c r="AZ249" s="949"/>
      <c r="BA249" s="949"/>
      <c r="BB249" s="949"/>
      <c r="BC249" s="949"/>
      <c r="BD249" s="949"/>
      <c r="BE249" s="949"/>
      <c r="BF249" s="949"/>
      <c r="BG249" s="949"/>
      <c r="BH249" s="949"/>
      <c r="BI249" s="949"/>
      <c r="BJ249" s="949"/>
      <c r="BK249" s="949"/>
      <c r="BL249" s="949"/>
      <c r="BM249" s="949"/>
      <c r="BN249" s="949"/>
      <c r="BO249" s="949"/>
      <c r="BP249" s="949"/>
      <c r="BQ249" s="949"/>
      <c r="BR249" s="949"/>
      <c r="BS249" s="949"/>
      <c r="BT249" s="949"/>
      <c r="BU249" s="302"/>
      <c r="BV249" s="302"/>
      <c r="BW249" s="302"/>
      <c r="BX249" s="302"/>
      <c r="BY249" s="302"/>
      <c r="BZ249" s="302"/>
    </row>
    <row r="250" spans="1:78" s="25" customFormat="1" ht="16.5" customHeight="1">
      <c r="A250" s="922"/>
      <c r="B250" s="922"/>
      <c r="C250" s="922"/>
      <c r="D250" s="166"/>
      <c r="E250" s="166"/>
      <c r="F250" s="166"/>
      <c r="G250" s="166"/>
      <c r="H250" s="166"/>
      <c r="I250" s="922"/>
      <c r="J250" s="922"/>
      <c r="K250" s="922"/>
      <c r="L250" s="777">
        <v>5</v>
      </c>
      <c r="M250" s="778"/>
      <c r="N250" s="976">
        <v>437</v>
      </c>
      <c r="O250" s="1020">
        <v>193</v>
      </c>
      <c r="P250" s="847">
        <f>VLOOKUP(N250,etat!$A$9:$N$1004,2,FALSE)</f>
        <v>0</v>
      </c>
      <c r="Q250" s="797" t="str">
        <f>VLOOKUP(N250,etat!$A$9:$N$963,7,FALSE)</f>
        <v>1ج م ع3</v>
      </c>
      <c r="R250" s="797" t="str">
        <f>VLOOKUP(N250,etat!$A$9:$N$1003,9,FALSE)</f>
        <v>خ</v>
      </c>
      <c r="S250" s="866" t="str">
        <f>VLOOKUP(N250,etat!$A$9:$P$905,16,FALSE)</f>
        <v>ان/د2</v>
      </c>
      <c r="T250" s="755">
        <v>45781</v>
      </c>
      <c r="U250" s="791">
        <v>5</v>
      </c>
      <c r="V250" s="784" t="s">
        <v>2285</v>
      </c>
      <c r="W250" s="784"/>
      <c r="X250" s="784"/>
      <c r="Y250" s="848"/>
      <c r="Z250" s="975" t="str">
        <f>VLOOKUP(L250,[2]اس!$S$3:$X$31,3,FALSE)</f>
        <v>.</v>
      </c>
      <c r="AA250" s="967">
        <v>7</v>
      </c>
      <c r="AB250" s="23"/>
      <c r="AC250" s="23"/>
      <c r="AD250" s="23"/>
      <c r="AE250" s="23"/>
      <c r="AF250" s="23"/>
      <c r="AG250" s="765"/>
      <c r="AH250" s="765"/>
      <c r="AI250" s="765"/>
      <c r="AJ250" s="765"/>
      <c r="AK250" s="765"/>
      <c r="AL250" s="765"/>
      <c r="AM250" s="765"/>
      <c r="AN250" s="765"/>
      <c r="AO250" s="765"/>
      <c r="AP250" s="765"/>
      <c r="AQ250" s="765"/>
      <c r="AR250" s="765"/>
      <c r="AS250" s="765"/>
      <c r="AT250" s="765"/>
      <c r="AU250" s="765"/>
      <c r="AV250" s="765"/>
      <c r="AW250" s="765"/>
      <c r="AX250" s="765"/>
      <c r="AY250" s="765"/>
      <c r="AZ250" s="765"/>
      <c r="BA250" s="765"/>
      <c r="BB250" s="765"/>
      <c r="BC250" s="765"/>
      <c r="BD250" s="765"/>
      <c r="BE250" s="765"/>
      <c r="BF250" s="765"/>
      <c r="BG250" s="765"/>
      <c r="BH250" s="765"/>
      <c r="BI250" s="765"/>
      <c r="BJ250" s="765"/>
      <c r="BK250" s="765"/>
      <c r="BL250" s="765"/>
      <c r="BM250" s="765"/>
      <c r="BN250" s="765"/>
      <c r="BO250" s="765"/>
      <c r="BP250" s="765"/>
      <c r="BQ250" s="765"/>
      <c r="BR250" s="765"/>
      <c r="BS250" s="765"/>
      <c r="BT250" s="765"/>
      <c r="BU250" s="302"/>
      <c r="BV250" s="302"/>
      <c r="BW250" s="302"/>
      <c r="BX250" s="302"/>
      <c r="BY250" s="302"/>
      <c r="BZ250" s="302"/>
    </row>
    <row r="251" spans="1:78" s="25" customFormat="1" ht="16.5" customHeight="1">
      <c r="A251" s="939"/>
      <c r="B251" s="939"/>
      <c r="C251" s="939"/>
      <c r="D251" s="166"/>
      <c r="E251" s="166"/>
      <c r="F251" s="166"/>
      <c r="G251" s="166"/>
      <c r="H251" s="166"/>
      <c r="I251" s="939"/>
      <c r="J251" s="939"/>
      <c r="K251" s="939"/>
      <c r="L251" s="777">
        <v>5</v>
      </c>
      <c r="M251" s="778"/>
      <c r="N251" s="976">
        <v>438</v>
      </c>
      <c r="O251" s="1020">
        <v>194</v>
      </c>
      <c r="P251" s="847">
        <f>VLOOKUP(N251,etat!$A$9:$N$1004,2,FALSE)</f>
        <v>0</v>
      </c>
      <c r="Q251" s="797" t="str">
        <f>VLOOKUP(N251,etat!$A$9:$N$963,7,FALSE)</f>
        <v>1ج م ع3</v>
      </c>
      <c r="R251" s="797" t="str">
        <f>VLOOKUP(N251,etat!$A$9:$N$1003,9,FALSE)</f>
        <v>خ</v>
      </c>
      <c r="S251" s="866" t="str">
        <f>VLOOKUP(N251,etat!$A$9:$P$905,16,FALSE)</f>
        <v>ان/د2</v>
      </c>
      <c r="T251" s="755">
        <v>45784</v>
      </c>
      <c r="U251" s="791">
        <v>2</v>
      </c>
      <c r="V251" s="784"/>
      <c r="W251" s="784"/>
      <c r="X251" s="784"/>
      <c r="Y251" s="1116"/>
      <c r="Z251" s="967"/>
      <c r="AA251" s="967">
        <v>7</v>
      </c>
      <c r="AB251" s="940"/>
      <c r="AC251" s="940"/>
      <c r="AD251" s="940"/>
      <c r="AE251" s="940"/>
      <c r="AF251" s="940"/>
      <c r="AG251" s="939"/>
      <c r="AH251" s="939"/>
      <c r="AI251" s="939"/>
      <c r="AJ251" s="939"/>
      <c r="AK251" s="939"/>
      <c r="AL251" s="939"/>
      <c r="AM251" s="939"/>
      <c r="AN251" s="939"/>
      <c r="AO251" s="939"/>
      <c r="AP251" s="939"/>
      <c r="AQ251" s="939"/>
      <c r="AR251" s="939"/>
      <c r="AS251" s="939"/>
      <c r="AT251" s="939"/>
      <c r="AU251" s="939"/>
      <c r="AV251" s="939"/>
      <c r="AW251" s="939"/>
      <c r="AX251" s="939"/>
      <c r="AY251" s="939"/>
      <c r="AZ251" s="939"/>
      <c r="BA251" s="939"/>
      <c r="BB251" s="939"/>
      <c r="BC251" s="939"/>
      <c r="BD251" s="939"/>
      <c r="BE251" s="939"/>
      <c r="BF251" s="939"/>
      <c r="BG251" s="939"/>
      <c r="BH251" s="939"/>
      <c r="BI251" s="939"/>
      <c r="BJ251" s="939"/>
      <c r="BK251" s="939"/>
      <c r="BL251" s="939"/>
      <c r="BM251" s="939"/>
      <c r="BN251" s="939"/>
      <c r="BO251" s="939"/>
      <c r="BP251" s="939"/>
      <c r="BQ251" s="939"/>
      <c r="BR251" s="939"/>
      <c r="BS251" s="939"/>
      <c r="BT251" s="939"/>
      <c r="BU251" s="302"/>
      <c r="BV251" s="302"/>
      <c r="BW251" s="302"/>
      <c r="BX251" s="302"/>
      <c r="BY251" s="302"/>
      <c r="BZ251" s="302"/>
    </row>
    <row r="252" spans="1:78" ht="16.5" customHeight="1">
      <c r="A252" s="922"/>
      <c r="B252" s="922"/>
      <c r="C252" s="922"/>
      <c r="I252" s="922"/>
      <c r="J252" s="922"/>
      <c r="K252" s="922"/>
      <c r="L252" s="777">
        <v>5</v>
      </c>
      <c r="M252" s="778"/>
      <c r="N252" s="976">
        <v>462</v>
      </c>
      <c r="O252" s="1020">
        <v>195</v>
      </c>
      <c r="P252" s="847">
        <f>VLOOKUP(N252,etat!$A$9:$N$1004,2,FALSE)</f>
        <v>0</v>
      </c>
      <c r="Q252" s="797" t="str">
        <f>VLOOKUP(N252,etat!$A$9:$N$963,7,FALSE)</f>
        <v>1ج م ع4</v>
      </c>
      <c r="R252" s="797" t="str">
        <f>VLOOKUP(N252,etat!$A$9:$N$1003,9,FALSE)</f>
        <v>خ</v>
      </c>
      <c r="S252" s="866" t="str">
        <f>VLOOKUP(N252,etat!$A$9:$P$905,16,FALSE)</f>
        <v>اخ2</v>
      </c>
      <c r="T252" s="755">
        <v>45784</v>
      </c>
      <c r="U252" s="791">
        <v>2</v>
      </c>
      <c r="V252" s="784"/>
      <c r="W252" s="784"/>
      <c r="X252" s="784"/>
      <c r="Y252" s="1116"/>
      <c r="Z252" s="967"/>
      <c r="AA252" s="967">
        <v>6</v>
      </c>
      <c r="BU252" s="302"/>
      <c r="BV252" s="302"/>
      <c r="BW252" s="302"/>
      <c r="BX252" s="302"/>
      <c r="BY252" s="302"/>
      <c r="BZ252" s="302"/>
    </row>
    <row r="253" spans="1:78" s="917" customFormat="1" ht="16.5" customHeight="1">
      <c r="A253" s="922"/>
      <c r="B253" s="922"/>
      <c r="C253" s="922"/>
      <c r="D253" s="166"/>
      <c r="E253" s="166"/>
      <c r="F253" s="166"/>
      <c r="G253" s="166"/>
      <c r="H253" s="166"/>
      <c r="I253" s="922"/>
      <c r="J253" s="922"/>
      <c r="K253" s="922"/>
      <c r="L253" s="777">
        <v>5</v>
      </c>
      <c r="M253" s="778"/>
      <c r="N253" s="976">
        <v>460</v>
      </c>
      <c r="O253" s="1020">
        <v>196</v>
      </c>
      <c r="P253" s="847">
        <f>VLOOKUP(N253,etat!$A$9:$N$1004,2,FALSE)</f>
        <v>0</v>
      </c>
      <c r="Q253" s="797" t="str">
        <f>VLOOKUP(N253,etat!$A$9:$N$963,7,FALSE)</f>
        <v>1ج م ع4</v>
      </c>
      <c r="R253" s="797" t="str">
        <f>VLOOKUP(N253,etat!$A$9:$N$1003,9,FALSE)</f>
        <v>خ</v>
      </c>
      <c r="S253" s="866" t="str">
        <f>VLOOKUP(N253,etat!$A$9:$P$905,16,FALSE)</f>
        <v>اخ2</v>
      </c>
      <c r="T253" s="755">
        <v>45785</v>
      </c>
      <c r="U253" s="791">
        <v>1</v>
      </c>
      <c r="V253" s="784"/>
      <c r="W253" s="784"/>
      <c r="X253" s="784"/>
      <c r="Y253" s="1116"/>
      <c r="Z253" s="967"/>
      <c r="AA253" s="967">
        <v>6</v>
      </c>
      <c r="AB253" s="916"/>
      <c r="AC253" s="916"/>
      <c r="AD253" s="916"/>
      <c r="AE253" s="916"/>
      <c r="AF253" s="916"/>
      <c r="BU253" s="302"/>
      <c r="BV253" s="302"/>
      <c r="BW253" s="302"/>
      <c r="BX253" s="302"/>
      <c r="BY253" s="302"/>
      <c r="BZ253" s="302"/>
    </row>
    <row r="254" spans="1:78" ht="16.5" customHeight="1">
      <c r="A254" s="922"/>
      <c r="B254" s="922"/>
      <c r="C254" s="922"/>
      <c r="I254" s="922"/>
      <c r="J254" s="922"/>
      <c r="K254" s="922"/>
      <c r="L254" s="777">
        <v>5</v>
      </c>
      <c r="M254" s="778"/>
      <c r="N254" s="976">
        <v>455</v>
      </c>
      <c r="O254" s="1020">
        <v>197</v>
      </c>
      <c r="P254" s="847">
        <f>VLOOKUP(N254,etat!$A$9:$N$1004,2,FALSE)</f>
        <v>0</v>
      </c>
      <c r="Q254" s="797" t="str">
        <f>VLOOKUP(N254,etat!$A$9:$N$963,7,FALSE)</f>
        <v>1ج م ع4</v>
      </c>
      <c r="R254" s="797" t="str">
        <f>VLOOKUP(N254,etat!$A$9:$N$1003,9,FALSE)</f>
        <v>خ</v>
      </c>
      <c r="S254" s="866" t="str">
        <f>VLOOKUP(N254,etat!$A$9:$P$905,16,FALSE)</f>
        <v>ذخ2</v>
      </c>
      <c r="T254" s="755">
        <v>45785</v>
      </c>
      <c r="U254" s="791">
        <v>1</v>
      </c>
      <c r="V254" s="784"/>
      <c r="W254" s="784"/>
      <c r="X254" s="784"/>
      <c r="Y254" s="975"/>
      <c r="Z254" s="975"/>
      <c r="AA254" s="967">
        <v>6</v>
      </c>
    </row>
    <row r="255" spans="1:78" ht="16.5" customHeight="1">
      <c r="A255" s="922"/>
      <c r="B255" s="922"/>
      <c r="C255" s="922"/>
      <c r="I255" s="922"/>
      <c r="J255" s="922"/>
      <c r="K255" s="922"/>
      <c r="L255" s="777">
        <v>5</v>
      </c>
      <c r="M255" s="778"/>
      <c r="N255" s="976">
        <v>488</v>
      </c>
      <c r="O255" s="1020">
        <v>198</v>
      </c>
      <c r="P255" s="847">
        <f>VLOOKUP(N255,etat!$A$9:$N$1004,2,FALSE)</f>
        <v>0</v>
      </c>
      <c r="Q255" s="797" t="str">
        <f>VLOOKUP(N255,etat!$A$9:$N$963,7,FALSE)</f>
        <v>1ج م أ1</v>
      </c>
      <c r="R255" s="797" t="str">
        <f>VLOOKUP(N255,etat!$A$9:$N$1003,9,FALSE)</f>
        <v>ن/د</v>
      </c>
      <c r="S255" s="866" t="str">
        <f>VLOOKUP(N255,etat!$A$9:$P$905,16,FALSE)</f>
        <v>اخ2</v>
      </c>
      <c r="T255" s="755">
        <v>45784</v>
      </c>
      <c r="U255" s="791">
        <v>2</v>
      </c>
      <c r="V255" s="784"/>
      <c r="W255" s="784"/>
      <c r="X255" s="784"/>
      <c r="Y255" s="1116"/>
      <c r="Z255" s="967"/>
      <c r="AA255" s="967">
        <v>7</v>
      </c>
    </row>
    <row r="256" spans="1:78" ht="16.5" customHeight="1">
      <c r="A256" s="922"/>
      <c r="B256" s="922"/>
      <c r="C256" s="922"/>
      <c r="I256" s="922"/>
      <c r="J256" s="922"/>
      <c r="K256" s="922"/>
      <c r="L256" s="777">
        <v>5</v>
      </c>
      <c r="M256" s="778"/>
      <c r="N256" s="976">
        <v>506</v>
      </c>
      <c r="O256" s="1020">
        <v>199</v>
      </c>
      <c r="P256" s="847">
        <f>VLOOKUP(N256,etat!$A$9:$N$1004,2,FALSE)</f>
        <v>0</v>
      </c>
      <c r="Q256" s="797" t="str">
        <f>VLOOKUP(N256,etat!$A$9:$N$963,7,FALSE)</f>
        <v>1ج م أ1</v>
      </c>
      <c r="R256" s="797" t="str">
        <f>VLOOKUP(N256,etat!$A$9:$N$1003,9,FALSE)</f>
        <v>خ</v>
      </c>
      <c r="S256" s="866" t="str">
        <f>VLOOKUP(N256,etat!$A$9:$P$905,16,FALSE)</f>
        <v>ذخ1</v>
      </c>
      <c r="T256" s="755">
        <v>45782</v>
      </c>
      <c r="U256" s="791">
        <v>4</v>
      </c>
      <c r="V256" s="784" t="s">
        <v>2287</v>
      </c>
      <c r="W256" s="784"/>
      <c r="X256" s="784"/>
      <c r="Y256" s="975"/>
      <c r="Z256" s="975"/>
      <c r="AA256" s="967">
        <v>7</v>
      </c>
    </row>
    <row r="257" spans="1:32" s="949" customFormat="1" ht="16.5" customHeight="1">
      <c r="D257" s="166"/>
      <c r="E257" s="166"/>
      <c r="F257" s="166"/>
      <c r="G257" s="166"/>
      <c r="H257" s="166"/>
      <c r="L257" s="777">
        <v>5</v>
      </c>
      <c r="M257" s="778"/>
      <c r="N257" s="976">
        <v>519</v>
      </c>
      <c r="O257" s="1020">
        <v>200</v>
      </c>
      <c r="P257" s="847">
        <f>VLOOKUP(N257,etat!$A$9:$N$1004,2,FALSE)</f>
        <v>0</v>
      </c>
      <c r="Q257" s="797" t="str">
        <f>VLOOKUP(N257,etat!$A$9:$N$963,7,FALSE)</f>
        <v>1ج م أ1</v>
      </c>
      <c r="R257" s="797" t="str">
        <f>VLOOKUP(N257,etat!$A$9:$N$1003,9,FALSE)</f>
        <v>خ</v>
      </c>
      <c r="S257" s="866" t="str">
        <f>VLOOKUP(N257,etat!$A$9:$P$905,16,FALSE)</f>
        <v>اخ1</v>
      </c>
      <c r="T257" s="755">
        <v>45784</v>
      </c>
      <c r="U257" s="791">
        <v>2</v>
      </c>
      <c r="V257" s="784"/>
      <c r="W257" s="784"/>
      <c r="X257" s="784"/>
      <c r="Y257" s="1116"/>
      <c r="Z257" s="967"/>
      <c r="AA257" s="967">
        <v>7</v>
      </c>
      <c r="AB257" s="948"/>
      <c r="AC257" s="948"/>
      <c r="AD257" s="948"/>
      <c r="AE257" s="948"/>
      <c r="AF257" s="948"/>
    </row>
    <row r="258" spans="1:32" ht="16.5" customHeight="1">
      <c r="A258" s="922"/>
      <c r="B258" s="922"/>
      <c r="C258" s="922"/>
      <c r="I258" s="922"/>
      <c r="J258" s="922"/>
      <c r="K258" s="922"/>
      <c r="L258" s="777">
        <v>5</v>
      </c>
      <c r="M258" s="778"/>
      <c r="N258" s="976">
        <v>524</v>
      </c>
      <c r="O258" s="1020">
        <v>201</v>
      </c>
      <c r="P258" s="847">
        <f>VLOOKUP(N258,etat!$A$9:$N$1004,2,FALSE)</f>
        <v>0</v>
      </c>
      <c r="Q258" s="797" t="str">
        <f>VLOOKUP(N258,etat!$A$9:$N$963,7,FALSE)</f>
        <v>1ج م أ2</v>
      </c>
      <c r="R258" s="797" t="str">
        <f>VLOOKUP(N258,etat!$A$9:$N$1003,9,FALSE)</f>
        <v>ن/د</v>
      </c>
      <c r="S258" s="866" t="str">
        <f>VLOOKUP(N258,etat!$A$9:$P$905,16,FALSE)</f>
        <v>اخ1</v>
      </c>
      <c r="T258" s="755">
        <v>45785</v>
      </c>
      <c r="U258" s="791">
        <v>1</v>
      </c>
      <c r="V258" s="784"/>
      <c r="W258" s="784"/>
      <c r="X258" s="784"/>
      <c r="Y258" s="1116"/>
      <c r="Z258" s="975"/>
      <c r="AA258" s="967">
        <v>7</v>
      </c>
    </row>
    <row r="259" spans="1:32" ht="16.5" customHeight="1">
      <c r="A259" s="922"/>
      <c r="B259" s="922"/>
      <c r="C259" s="922"/>
      <c r="I259" s="922"/>
      <c r="J259" s="922"/>
      <c r="K259" s="922"/>
      <c r="L259" s="777">
        <v>5</v>
      </c>
      <c r="M259" s="778"/>
      <c r="N259" s="976">
        <v>528</v>
      </c>
      <c r="O259" s="1020">
        <v>202</v>
      </c>
      <c r="P259" s="847">
        <f>VLOOKUP(N259,etat!$A$9:$N$1004,2,FALSE)</f>
        <v>0</v>
      </c>
      <c r="Q259" s="797" t="str">
        <f>VLOOKUP(N259,etat!$A$9:$N$963,7,FALSE)</f>
        <v>1ج م أ2</v>
      </c>
      <c r="R259" s="797" t="str">
        <f>VLOOKUP(N259,etat!$A$9:$N$1003,9,FALSE)</f>
        <v>ن/د</v>
      </c>
      <c r="S259" s="866" t="str">
        <f>VLOOKUP(N259,etat!$A$9:$P$905,16,FALSE)</f>
        <v>اخ1</v>
      </c>
      <c r="T259" s="755">
        <v>45784</v>
      </c>
      <c r="U259" s="791">
        <v>2</v>
      </c>
      <c r="V259" s="784"/>
      <c r="W259" s="784"/>
      <c r="X259" s="784"/>
      <c r="Y259" s="1116"/>
      <c r="Z259" s="967"/>
      <c r="AA259" s="967">
        <v>7</v>
      </c>
    </row>
    <row r="260" spans="1:32" s="949" customFormat="1" ht="16.5" customHeight="1">
      <c r="D260" s="166"/>
      <c r="E260" s="166"/>
      <c r="F260" s="166"/>
      <c r="G260" s="166"/>
      <c r="H260" s="166"/>
      <c r="L260" s="777">
        <v>5</v>
      </c>
      <c r="M260" s="778"/>
      <c r="N260" s="976">
        <v>553</v>
      </c>
      <c r="O260" s="1020">
        <v>203</v>
      </c>
      <c r="P260" s="847">
        <f>VLOOKUP(N260,etat!$A$9:$N$1004,2,FALSE)</f>
        <v>0</v>
      </c>
      <c r="Q260" s="797" t="str">
        <f>VLOOKUP(N260,etat!$A$9:$N$963,7,FALSE)</f>
        <v>1ج م أ2</v>
      </c>
      <c r="R260" s="797" t="str">
        <f>VLOOKUP(N260,etat!$A$9:$N$1003,9,FALSE)</f>
        <v>خ</v>
      </c>
      <c r="S260" s="866" t="str">
        <f>VLOOKUP(N260,etat!$A$9:$P$905,16,FALSE)</f>
        <v>اخ1</v>
      </c>
      <c r="T260" s="755">
        <v>45784</v>
      </c>
      <c r="U260" s="791">
        <v>2</v>
      </c>
      <c r="V260" s="784"/>
      <c r="W260" s="784"/>
      <c r="X260" s="784"/>
      <c r="Y260" s="1116"/>
      <c r="Z260" s="975"/>
      <c r="AA260" s="967">
        <v>7</v>
      </c>
      <c r="AB260" s="948"/>
      <c r="AC260" s="948"/>
      <c r="AD260" s="948"/>
      <c r="AE260" s="948"/>
      <c r="AF260" s="948"/>
    </row>
    <row r="261" spans="1:32" ht="16.5" customHeight="1">
      <c r="A261" s="922"/>
      <c r="B261" s="922"/>
      <c r="C261" s="922"/>
      <c r="I261" s="922"/>
      <c r="J261" s="922"/>
      <c r="K261" s="922"/>
      <c r="L261" s="777">
        <v>5</v>
      </c>
      <c r="M261" s="778"/>
      <c r="N261" s="976">
        <v>569</v>
      </c>
      <c r="O261" s="1020">
        <v>204</v>
      </c>
      <c r="P261" s="847">
        <f>VLOOKUP(N261,etat!$A$9:$N$1004,2,FALSE)</f>
        <v>0</v>
      </c>
      <c r="Q261" s="797">
        <f>VLOOKUP(N261,etat!$A$9:$N$963,7,FALSE)</f>
        <v>0</v>
      </c>
      <c r="R261" s="797">
        <f>VLOOKUP(N261,etat!$A$9:$N$1003,9,FALSE)</f>
        <v>0</v>
      </c>
      <c r="S261" s="866">
        <f>VLOOKUP(N261,etat!$A$9:$P$905,16,FALSE)</f>
        <v>0</v>
      </c>
      <c r="T261" s="755">
        <v>45781</v>
      </c>
      <c r="U261" s="791">
        <v>5</v>
      </c>
      <c r="V261" s="784" t="s">
        <v>2285</v>
      </c>
      <c r="W261" s="784"/>
      <c r="X261" s="784"/>
      <c r="Y261" s="975"/>
      <c r="Z261" s="967"/>
      <c r="AA261" s="967">
        <v>7</v>
      </c>
    </row>
    <row r="262" spans="1:32" ht="16.5" customHeight="1">
      <c r="A262" s="922"/>
      <c r="B262" s="922"/>
      <c r="C262" s="922"/>
      <c r="I262" s="922"/>
      <c r="J262" s="922"/>
      <c r="K262" s="922"/>
      <c r="L262" s="777">
        <v>5</v>
      </c>
      <c r="M262" s="778"/>
      <c r="N262" s="976">
        <v>802</v>
      </c>
      <c r="O262" s="1020">
        <v>205</v>
      </c>
      <c r="P262" s="847">
        <f>VLOOKUP(N262,etat!$A$9:$N$1004,2,FALSE)</f>
        <v>0</v>
      </c>
      <c r="Q262" s="797">
        <f>VLOOKUP(N262,etat!$A$9:$N$963,7,FALSE)</f>
        <v>0</v>
      </c>
      <c r="R262" s="797">
        <f>VLOOKUP(N262,etat!$A$9:$N$1003,9,FALSE)</f>
        <v>0</v>
      </c>
      <c r="S262" s="866">
        <f>VLOOKUP(N262,etat!$A$9:$P$905,16,FALSE)</f>
        <v>0</v>
      </c>
      <c r="T262" s="755">
        <v>45785</v>
      </c>
      <c r="U262" s="791">
        <v>1</v>
      </c>
      <c r="V262" s="784"/>
      <c r="W262" s="784"/>
      <c r="X262" s="869"/>
      <c r="Y262" s="975"/>
      <c r="Z262" s="967"/>
      <c r="AA262" s="967">
        <v>7</v>
      </c>
    </row>
    <row r="263" spans="1:32" ht="16.5" customHeight="1">
      <c r="A263" s="922"/>
      <c r="B263" s="922"/>
      <c r="C263" s="922"/>
      <c r="I263" s="922"/>
      <c r="J263" s="922"/>
      <c r="K263" s="922"/>
      <c r="L263" s="777">
        <v>5</v>
      </c>
      <c r="M263" s="778"/>
      <c r="N263" s="976">
        <v>593</v>
      </c>
      <c r="O263" s="1020">
        <v>206</v>
      </c>
      <c r="P263" s="847">
        <f>VLOOKUP(N263,etat!$A$9:$N$1004,2,FALSE)</f>
        <v>0</v>
      </c>
      <c r="Q263" s="797">
        <f>VLOOKUP(N263,etat!$A$9:$N$963,7,FALSE)</f>
        <v>0</v>
      </c>
      <c r="R263" s="797">
        <f>VLOOKUP(N263,etat!$A$9:$N$1003,9,FALSE)</f>
        <v>0</v>
      </c>
      <c r="S263" s="866">
        <f>VLOOKUP(N263,etat!$A$9:$P$905,16,FALSE)</f>
        <v>0</v>
      </c>
      <c r="T263" s="755">
        <v>45784</v>
      </c>
      <c r="U263" s="791">
        <v>2</v>
      </c>
      <c r="V263" s="784"/>
      <c r="W263" s="784"/>
      <c r="X263" s="784"/>
      <c r="Y263" s="975"/>
      <c r="Z263" s="967"/>
      <c r="AA263" s="967">
        <v>7</v>
      </c>
    </row>
    <row r="264" spans="1:32" s="939" customFormat="1" ht="16.5" customHeight="1">
      <c r="D264" s="166"/>
      <c r="E264" s="166"/>
      <c r="F264" s="166"/>
      <c r="G264" s="166"/>
      <c r="H264" s="166"/>
      <c r="L264" s="777">
        <v>5</v>
      </c>
      <c r="M264" s="778"/>
      <c r="N264" s="976">
        <v>598</v>
      </c>
      <c r="O264" s="1020">
        <v>207</v>
      </c>
      <c r="P264" s="847">
        <f>VLOOKUP(N264,etat!$A$9:$N$1004,2,FALSE)</f>
        <v>0</v>
      </c>
      <c r="Q264" s="797">
        <f>VLOOKUP(N264,etat!$A$9:$N$963,7,FALSE)</f>
        <v>0</v>
      </c>
      <c r="R264" s="797">
        <f>VLOOKUP(N264,etat!$A$9:$N$1003,9,FALSE)</f>
        <v>0</v>
      </c>
      <c r="S264" s="866">
        <f>VLOOKUP(N264,etat!$A$9:$P$905,16,FALSE)</f>
        <v>0</v>
      </c>
      <c r="T264" s="755">
        <v>45771</v>
      </c>
      <c r="U264" s="791">
        <v>15</v>
      </c>
      <c r="V264" s="784" t="s">
        <v>2280</v>
      </c>
      <c r="W264" s="784" t="s">
        <v>2283</v>
      </c>
      <c r="X264" s="784"/>
      <c r="Y264" s="975"/>
      <c r="Z264" s="967"/>
      <c r="AA264" s="967">
        <v>7</v>
      </c>
      <c r="AB264" s="940"/>
      <c r="AC264" s="940"/>
      <c r="AD264" s="940"/>
      <c r="AE264" s="940"/>
      <c r="AF264" s="940"/>
    </row>
    <row r="265" spans="1:32" s="939" customFormat="1" ht="16.5" customHeight="1">
      <c r="D265" s="166"/>
      <c r="E265" s="166"/>
      <c r="F265" s="166"/>
      <c r="G265" s="166"/>
      <c r="H265" s="166"/>
      <c r="L265" s="777">
        <v>5</v>
      </c>
      <c r="M265" s="778"/>
      <c r="N265" s="976">
        <v>600</v>
      </c>
      <c r="O265" s="1020">
        <v>208</v>
      </c>
      <c r="P265" s="847">
        <f>VLOOKUP(N265,etat!$A$9:$N$1004,2,FALSE)</f>
        <v>0</v>
      </c>
      <c r="Q265" s="797">
        <f>VLOOKUP(N265,etat!$A$9:$N$963,7,FALSE)</f>
        <v>0</v>
      </c>
      <c r="R265" s="797">
        <f>VLOOKUP(N265,etat!$A$9:$N$1003,9,FALSE)</f>
        <v>0</v>
      </c>
      <c r="S265" s="866">
        <f>VLOOKUP(N265,etat!$A$9:$P$905,16,FALSE)</f>
        <v>0</v>
      </c>
      <c r="T265" s="755">
        <v>45784</v>
      </c>
      <c r="U265" s="1125">
        <v>2</v>
      </c>
      <c r="V265" s="784"/>
      <c r="W265" s="784"/>
      <c r="X265" s="784"/>
      <c r="Y265" s="975"/>
      <c r="Z265" s="975"/>
      <c r="AA265" s="967">
        <v>7</v>
      </c>
      <c r="AB265" s="940"/>
      <c r="AC265" s="940"/>
      <c r="AD265" s="940"/>
      <c r="AE265" s="940"/>
      <c r="AF265" s="940"/>
    </row>
    <row r="266" spans="1:32" s="939" customFormat="1" ht="16.5" customHeight="1">
      <c r="D266" s="166"/>
      <c r="E266" s="166"/>
      <c r="F266" s="166"/>
      <c r="G266" s="166"/>
      <c r="H266" s="166"/>
      <c r="L266" s="777">
        <v>5</v>
      </c>
      <c r="M266" s="778"/>
      <c r="N266" s="976">
        <v>602</v>
      </c>
      <c r="O266" s="1020">
        <v>209</v>
      </c>
      <c r="P266" s="847">
        <f>VLOOKUP(N266,etat!$A$9:$N$1004,2,FALSE)</f>
        <v>0</v>
      </c>
      <c r="Q266" s="797">
        <f>VLOOKUP(N266,etat!$A$9:$N$963,7,FALSE)</f>
        <v>0</v>
      </c>
      <c r="R266" s="797">
        <f>VLOOKUP(N266,etat!$A$9:$N$1003,9,FALSE)</f>
        <v>0</v>
      </c>
      <c r="S266" s="866">
        <f>VLOOKUP(N266,etat!$A$9:$P$905,16,FALSE)</f>
        <v>0</v>
      </c>
      <c r="T266" s="755">
        <v>45777</v>
      </c>
      <c r="U266" s="1129" t="s">
        <v>2290</v>
      </c>
      <c r="V266" s="784" t="s">
        <v>2283</v>
      </c>
      <c r="W266" s="784"/>
      <c r="X266" s="784"/>
      <c r="Y266" s="975"/>
      <c r="Z266" s="967"/>
      <c r="AA266" s="967">
        <v>7</v>
      </c>
      <c r="AB266" s="940"/>
      <c r="AC266" s="940"/>
      <c r="AD266" s="940"/>
      <c r="AE266" s="940"/>
      <c r="AF266" s="940"/>
    </row>
    <row r="267" spans="1:32" s="939" customFormat="1" ht="16.5" customHeight="1">
      <c r="D267" s="166"/>
      <c r="E267" s="166"/>
      <c r="F267" s="166"/>
      <c r="G267" s="166"/>
      <c r="H267" s="166"/>
      <c r="L267" s="777">
        <v>5</v>
      </c>
      <c r="M267" s="778"/>
      <c r="N267" s="976">
        <v>603</v>
      </c>
      <c r="O267" s="1020">
        <v>210</v>
      </c>
      <c r="P267" s="847">
        <f>VLOOKUP(N267,etat!$A$9:$N$1004,2,FALSE)</f>
        <v>0</v>
      </c>
      <c r="Q267" s="797">
        <f>VLOOKUP(N267,etat!$A$9:$N$963,7,FALSE)</f>
        <v>0</v>
      </c>
      <c r="R267" s="797">
        <f>VLOOKUP(N267,etat!$A$9:$N$1003,9,FALSE)</f>
        <v>0</v>
      </c>
      <c r="S267" s="866">
        <f>VLOOKUP(N267,etat!$A$9:$P$905,16,FALSE)</f>
        <v>0</v>
      </c>
      <c r="T267" s="755">
        <v>45784</v>
      </c>
      <c r="U267" s="791">
        <v>2</v>
      </c>
      <c r="V267" s="784"/>
      <c r="W267" s="784"/>
      <c r="X267" s="784"/>
      <c r="Y267" s="975"/>
      <c r="Z267" s="967"/>
      <c r="AA267" s="967">
        <v>7</v>
      </c>
      <c r="AB267" s="940"/>
      <c r="AC267" s="940"/>
      <c r="AD267" s="940"/>
      <c r="AE267" s="940"/>
      <c r="AF267" s="940"/>
    </row>
    <row r="268" spans="1:32" ht="16.5" customHeight="1">
      <c r="A268" s="922"/>
      <c r="B268" s="922"/>
      <c r="C268" s="922"/>
      <c r="I268" s="922"/>
      <c r="J268" s="922"/>
      <c r="K268" s="922"/>
      <c r="L268" s="777">
        <v>5</v>
      </c>
      <c r="M268" s="778"/>
      <c r="N268" s="976">
        <v>606</v>
      </c>
      <c r="O268" s="1020">
        <v>211</v>
      </c>
      <c r="P268" s="847">
        <f>VLOOKUP(N268,etat!$A$9:$N$1004,2,FALSE)</f>
        <v>0</v>
      </c>
      <c r="Q268" s="797">
        <f>VLOOKUP(N268,etat!$A$9:$N$963,7,FALSE)</f>
        <v>0</v>
      </c>
      <c r="R268" s="797">
        <f>VLOOKUP(N268,etat!$A$9:$N$1003,9,FALSE)</f>
        <v>0</v>
      </c>
      <c r="S268" s="866">
        <f>VLOOKUP(N268,etat!$A$9:$P$905,16,FALSE)</f>
        <v>0</v>
      </c>
      <c r="T268" s="755">
        <v>45784</v>
      </c>
      <c r="U268" s="791">
        <v>2</v>
      </c>
      <c r="V268" s="784"/>
      <c r="W268" s="784"/>
      <c r="X268" s="784"/>
      <c r="Y268" s="975"/>
      <c r="Z268" s="967"/>
      <c r="AA268" s="967">
        <v>7</v>
      </c>
    </row>
    <row r="269" spans="1:32" ht="16.5" customHeight="1">
      <c r="A269" s="922"/>
      <c r="B269" s="922"/>
      <c r="C269" s="922"/>
      <c r="I269" s="922"/>
      <c r="J269" s="922"/>
      <c r="K269" s="922"/>
      <c r="L269" s="777">
        <v>5</v>
      </c>
      <c r="M269" s="778"/>
      <c r="N269" s="976">
        <v>616</v>
      </c>
      <c r="O269" s="1020">
        <v>212</v>
      </c>
      <c r="P269" s="847">
        <f>VLOOKUP(N269,etat!$A$9:$N$1004,2,FALSE)</f>
        <v>0</v>
      </c>
      <c r="Q269" s="797">
        <f>VLOOKUP(N269,etat!$A$9:$N$963,7,FALSE)</f>
        <v>0</v>
      </c>
      <c r="R269" s="797">
        <f>VLOOKUP(N269,etat!$A$9:$N$1003,9,FALSE)</f>
        <v>0</v>
      </c>
      <c r="S269" s="866">
        <f>VLOOKUP(N269,etat!$A$9:$P$905,16,FALSE)</f>
        <v>0</v>
      </c>
      <c r="T269" s="755">
        <v>45782</v>
      </c>
      <c r="U269" s="791">
        <v>4</v>
      </c>
      <c r="V269" s="784" t="s">
        <v>2287</v>
      </c>
      <c r="W269" s="869"/>
      <c r="X269" s="869"/>
      <c r="Y269" s="975"/>
      <c r="Z269" s="967"/>
      <c r="AA269" s="967">
        <v>7</v>
      </c>
    </row>
    <row r="270" spans="1:32" s="917" customFormat="1" ht="16.5" customHeight="1">
      <c r="A270" s="922"/>
      <c r="B270" s="922"/>
      <c r="C270" s="922"/>
      <c r="D270" s="166"/>
      <c r="E270" s="166"/>
      <c r="F270" s="166"/>
      <c r="G270" s="166"/>
      <c r="H270" s="166"/>
      <c r="I270" s="922"/>
      <c r="J270" s="922"/>
      <c r="K270" s="922"/>
      <c r="L270" s="777">
        <v>5</v>
      </c>
      <c r="M270" s="778"/>
      <c r="N270" s="976">
        <v>624</v>
      </c>
      <c r="O270" s="1020">
        <v>213</v>
      </c>
      <c r="P270" s="847">
        <f>VLOOKUP(N270,etat!$A$9:$N$1004,2,FALSE)</f>
        <v>0</v>
      </c>
      <c r="Q270" s="797">
        <f>VLOOKUP(N270,etat!$A$9:$N$963,7,FALSE)</f>
        <v>0</v>
      </c>
      <c r="R270" s="797">
        <f>VLOOKUP(N270,etat!$A$9:$N$1003,9,FALSE)</f>
        <v>0</v>
      </c>
      <c r="S270" s="866">
        <f>VLOOKUP(N270,etat!$A$9:$P$905,16,FALSE)</f>
        <v>0</v>
      </c>
      <c r="T270" s="755">
        <v>45774</v>
      </c>
      <c r="U270" s="791">
        <v>12</v>
      </c>
      <c r="V270" s="784" t="s">
        <v>2281</v>
      </c>
      <c r="W270" s="784" t="s">
        <v>2285</v>
      </c>
      <c r="X270" s="784"/>
      <c r="Y270" s="975"/>
      <c r="Z270" s="975"/>
      <c r="AA270" s="967">
        <v>7</v>
      </c>
      <c r="AB270" s="916"/>
      <c r="AC270" s="916"/>
      <c r="AD270" s="916"/>
      <c r="AE270" s="916"/>
      <c r="AF270" s="916"/>
    </row>
    <row r="271" spans="1:32" s="917" customFormat="1" ht="16.5" customHeight="1">
      <c r="A271" s="922"/>
      <c r="B271" s="922"/>
      <c r="C271" s="922"/>
      <c r="D271" s="166"/>
      <c r="E271" s="166"/>
      <c r="F271" s="166"/>
      <c r="G271" s="166"/>
      <c r="H271" s="166"/>
      <c r="I271" s="922"/>
      <c r="J271" s="922"/>
      <c r="K271" s="922"/>
      <c r="L271" s="777">
        <v>5</v>
      </c>
      <c r="M271" s="778"/>
      <c r="N271" s="976">
        <v>666</v>
      </c>
      <c r="O271" s="1020">
        <v>214</v>
      </c>
      <c r="P271" s="847">
        <f>VLOOKUP(N271,etat!$A$9:$N$1004,2,FALSE)</f>
        <v>0</v>
      </c>
      <c r="Q271" s="797">
        <f>VLOOKUP(N271,etat!$A$9:$N$963,7,FALSE)</f>
        <v>0</v>
      </c>
      <c r="R271" s="797">
        <f>VLOOKUP(N271,etat!$A$9:$N$1003,9,FALSE)</f>
        <v>0</v>
      </c>
      <c r="S271" s="866">
        <f>VLOOKUP(N271,etat!$A$9:$P$905,16,FALSE)</f>
        <v>0</v>
      </c>
      <c r="T271" s="755">
        <v>45784</v>
      </c>
      <c r="U271" s="791">
        <v>2</v>
      </c>
      <c r="V271" s="784"/>
      <c r="W271" s="784"/>
      <c r="X271" s="784"/>
      <c r="Y271" s="975"/>
      <c r="Z271" s="975"/>
      <c r="AA271" s="967">
        <v>6</v>
      </c>
      <c r="AB271" s="916"/>
      <c r="AC271" s="916"/>
      <c r="AD271" s="916"/>
      <c r="AE271" s="916"/>
      <c r="AF271" s="916"/>
    </row>
    <row r="272" spans="1:32" s="917" customFormat="1" ht="16.5" customHeight="1">
      <c r="A272" s="922"/>
      <c r="B272" s="922"/>
      <c r="C272" s="922"/>
      <c r="D272" s="166"/>
      <c r="E272" s="166"/>
      <c r="F272" s="166"/>
      <c r="G272" s="166"/>
      <c r="H272" s="166"/>
      <c r="I272" s="922"/>
      <c r="J272" s="922"/>
      <c r="K272" s="922"/>
      <c r="L272" s="777">
        <v>5</v>
      </c>
      <c r="M272" s="778"/>
      <c r="N272" s="976">
        <v>668</v>
      </c>
      <c r="O272" s="1020">
        <v>215</v>
      </c>
      <c r="P272" s="847">
        <f>VLOOKUP(N272,etat!$A$9:$N$1004,2,FALSE)</f>
        <v>0</v>
      </c>
      <c r="Q272" s="797">
        <f>VLOOKUP(N272,etat!$A$9:$N$963,7,FALSE)</f>
        <v>0</v>
      </c>
      <c r="R272" s="797">
        <f>VLOOKUP(N272,etat!$A$9:$N$1003,9,FALSE)</f>
        <v>0</v>
      </c>
      <c r="S272" s="866">
        <f>VLOOKUP(N272,etat!$A$9:$P$905,16,FALSE)</f>
        <v>0</v>
      </c>
      <c r="T272" s="755">
        <v>45784</v>
      </c>
      <c r="U272" s="791">
        <v>2</v>
      </c>
      <c r="V272" s="784"/>
      <c r="W272" s="784"/>
      <c r="X272" s="784"/>
      <c r="Y272" s="975"/>
      <c r="Z272" s="975"/>
      <c r="AA272" s="967">
        <v>6</v>
      </c>
      <c r="AB272" s="916"/>
      <c r="AC272" s="916"/>
      <c r="AD272" s="916"/>
      <c r="AE272" s="916"/>
      <c r="AF272" s="916"/>
    </row>
    <row r="273" spans="1:32" s="939" customFormat="1" ht="16.5" customHeight="1">
      <c r="D273" s="166"/>
      <c r="E273" s="166"/>
      <c r="F273" s="166"/>
      <c r="G273" s="166"/>
      <c r="H273" s="166"/>
      <c r="L273" s="777">
        <v>5</v>
      </c>
      <c r="M273" s="778"/>
      <c r="N273" s="976">
        <v>673</v>
      </c>
      <c r="O273" s="1020">
        <v>216</v>
      </c>
      <c r="P273" s="847">
        <f>VLOOKUP(N273,etat!$A$9:$N$1004,2,FALSE)</f>
        <v>0</v>
      </c>
      <c r="Q273" s="797">
        <f>VLOOKUP(N273,etat!$A$9:$N$963,7,FALSE)</f>
        <v>0</v>
      </c>
      <c r="R273" s="797">
        <f>VLOOKUP(N273,etat!$A$9:$N$1003,9,FALSE)</f>
        <v>0</v>
      </c>
      <c r="S273" s="866">
        <f>VLOOKUP(N273,etat!$A$9:$P$905,16,FALSE)</f>
        <v>0</v>
      </c>
      <c r="T273" s="755">
        <v>45785</v>
      </c>
      <c r="U273" s="1125">
        <v>1</v>
      </c>
      <c r="V273" s="784"/>
      <c r="W273" s="784"/>
      <c r="X273" s="869"/>
      <c r="Y273" s="975"/>
      <c r="Z273" s="975" t="str">
        <f>VLOOKUP(L296,[2]اس!$S$3:$X$31,3,FALSE)</f>
        <v>.</v>
      </c>
      <c r="AA273" s="967">
        <v>7</v>
      </c>
      <c r="AB273" s="940"/>
      <c r="AC273" s="940"/>
      <c r="AD273" s="940"/>
      <c r="AE273" s="940"/>
      <c r="AF273" s="940"/>
    </row>
    <row r="274" spans="1:32" s="939" customFormat="1" ht="16.5" customHeight="1">
      <c r="D274" s="166"/>
      <c r="E274" s="166"/>
      <c r="F274" s="166"/>
      <c r="G274" s="166"/>
      <c r="H274" s="166"/>
      <c r="L274" s="777">
        <v>5</v>
      </c>
      <c r="M274" s="778"/>
      <c r="N274" s="976">
        <v>679</v>
      </c>
      <c r="O274" s="1020">
        <v>217</v>
      </c>
      <c r="P274" s="847">
        <f>VLOOKUP(N274,etat!$A$9:$N$1004,2,FALSE)</f>
        <v>0</v>
      </c>
      <c r="Q274" s="797">
        <f>VLOOKUP(N274,etat!$A$9:$N$963,7,FALSE)</f>
        <v>0</v>
      </c>
      <c r="R274" s="797">
        <f>VLOOKUP(N274,etat!$A$9:$N$1003,9,FALSE)</f>
        <v>0</v>
      </c>
      <c r="S274" s="866">
        <f>VLOOKUP(N274,etat!$A$9:$P$905,16,FALSE)</f>
        <v>0</v>
      </c>
      <c r="T274" s="755">
        <v>45785</v>
      </c>
      <c r="U274" s="791">
        <v>1</v>
      </c>
      <c r="V274" s="784"/>
      <c r="W274" s="784"/>
      <c r="X274" s="869"/>
      <c r="Y274" s="975"/>
      <c r="Z274" s="975" t="str">
        <f>VLOOKUP(L303,[2]اس!$S$3:$X$31,3,FALSE)</f>
        <v>.</v>
      </c>
      <c r="AA274" s="967">
        <v>7</v>
      </c>
      <c r="AB274" s="940"/>
      <c r="AC274" s="940"/>
      <c r="AD274" s="940"/>
      <c r="AE274" s="940"/>
      <c r="AF274" s="940"/>
    </row>
    <row r="275" spans="1:32" s="939" customFormat="1" ht="16.5" customHeight="1">
      <c r="D275" s="166"/>
      <c r="E275" s="166"/>
      <c r="F275" s="166"/>
      <c r="G275" s="166"/>
      <c r="H275" s="166"/>
      <c r="L275" s="777">
        <v>5</v>
      </c>
      <c r="M275" s="778"/>
      <c r="N275" s="976">
        <v>682</v>
      </c>
      <c r="O275" s="1020">
        <v>218</v>
      </c>
      <c r="P275" s="847">
        <f>VLOOKUP(N275,etat!$A$9:$N$1004,2,FALSE)</f>
        <v>0</v>
      </c>
      <c r="Q275" s="797">
        <f>VLOOKUP(N275,etat!$A$9:$N$963,7,FALSE)</f>
        <v>0</v>
      </c>
      <c r="R275" s="797">
        <f>VLOOKUP(N275,etat!$A$9:$N$1003,9,FALSE)</f>
        <v>0</v>
      </c>
      <c r="S275" s="866">
        <f>VLOOKUP(N275,etat!$A$9:$P$905,16,FALSE)</f>
        <v>0</v>
      </c>
      <c r="T275" s="755">
        <v>45785</v>
      </c>
      <c r="U275" s="791">
        <v>1</v>
      </c>
      <c r="V275" s="784"/>
      <c r="W275" s="784"/>
      <c r="X275" s="869"/>
      <c r="Y275" s="975"/>
      <c r="Z275" s="967"/>
      <c r="AA275" s="967">
        <v>7</v>
      </c>
      <c r="AB275" s="940"/>
      <c r="AC275" s="940"/>
      <c r="AD275" s="940"/>
      <c r="AE275" s="940"/>
      <c r="AF275" s="940"/>
    </row>
    <row r="276" spans="1:32" s="939" customFormat="1" ht="16.5" customHeight="1">
      <c r="D276" s="166"/>
      <c r="E276" s="166"/>
      <c r="F276" s="166"/>
      <c r="G276" s="166"/>
      <c r="H276" s="166"/>
      <c r="L276" s="777">
        <v>5</v>
      </c>
      <c r="M276" s="778"/>
      <c r="N276" s="976">
        <v>683</v>
      </c>
      <c r="O276" s="1020">
        <v>219</v>
      </c>
      <c r="P276" s="847">
        <f>VLOOKUP(N276,etat!$A$9:$N$1004,2,FALSE)</f>
        <v>0</v>
      </c>
      <c r="Q276" s="797">
        <f>VLOOKUP(N276,etat!$A$9:$N$963,7,FALSE)</f>
        <v>0</v>
      </c>
      <c r="R276" s="797">
        <f>VLOOKUP(N276,etat!$A$9:$N$1003,9,FALSE)</f>
        <v>0</v>
      </c>
      <c r="S276" s="866">
        <f>VLOOKUP(N276,etat!$A$9:$P$905,16,FALSE)</f>
        <v>0</v>
      </c>
      <c r="T276" s="755">
        <v>45784</v>
      </c>
      <c r="U276" s="791">
        <v>2</v>
      </c>
      <c r="V276" s="784"/>
      <c r="W276" s="784"/>
      <c r="X276" s="784"/>
      <c r="Y276" s="975"/>
      <c r="Z276" s="975" t="str">
        <f>VLOOKUP(L279,[2]اس!$S$3:$X$31,3,FALSE)</f>
        <v>.</v>
      </c>
      <c r="AA276" s="967">
        <v>7</v>
      </c>
      <c r="AB276" s="940"/>
      <c r="AC276" s="940"/>
      <c r="AD276" s="940"/>
      <c r="AE276" s="940"/>
      <c r="AF276" s="940"/>
    </row>
    <row r="277" spans="1:32" s="917" customFormat="1" ht="16.5" customHeight="1">
      <c r="A277" s="922"/>
      <c r="B277" s="922"/>
      <c r="C277" s="922"/>
      <c r="D277" s="166"/>
      <c r="E277" s="166"/>
      <c r="F277" s="166"/>
      <c r="G277" s="166"/>
      <c r="H277" s="166"/>
      <c r="I277" s="922"/>
      <c r="J277" s="922"/>
      <c r="K277" s="922"/>
      <c r="L277" s="777">
        <v>5</v>
      </c>
      <c r="M277" s="778"/>
      <c r="N277" s="976">
        <v>688</v>
      </c>
      <c r="O277" s="1020">
        <v>220</v>
      </c>
      <c r="P277" s="847">
        <f>VLOOKUP(N277,etat!$A$9:$N$1004,2,FALSE)</f>
        <v>0</v>
      </c>
      <c r="Q277" s="797">
        <f>VLOOKUP(N277,etat!$A$9:$N$963,7,FALSE)</f>
        <v>0</v>
      </c>
      <c r="R277" s="797">
        <f>VLOOKUP(N277,etat!$A$9:$N$1003,9,FALSE)</f>
        <v>0</v>
      </c>
      <c r="S277" s="866">
        <f>VLOOKUP(N277,etat!$A$9:$P$905,16,FALSE)</f>
        <v>0</v>
      </c>
      <c r="T277" s="755">
        <v>45785</v>
      </c>
      <c r="U277" s="791">
        <v>1</v>
      </c>
      <c r="V277" s="784"/>
      <c r="W277" s="784"/>
      <c r="X277" s="869"/>
      <c r="Y277" s="975"/>
      <c r="Z277" s="975"/>
      <c r="AA277" s="967">
        <v>7</v>
      </c>
      <c r="AB277" s="916"/>
      <c r="AC277" s="916"/>
      <c r="AD277" s="916"/>
      <c r="AE277" s="916"/>
      <c r="AF277" s="916"/>
    </row>
    <row r="278" spans="1:32" s="917" customFormat="1" ht="16.5" customHeight="1">
      <c r="A278" s="922"/>
      <c r="B278" s="922"/>
      <c r="C278" s="922"/>
      <c r="D278" s="166"/>
      <c r="E278" s="166"/>
      <c r="F278" s="166"/>
      <c r="G278" s="166"/>
      <c r="H278" s="166"/>
      <c r="I278" s="922"/>
      <c r="J278" s="922"/>
      <c r="K278" s="922"/>
      <c r="L278" s="777">
        <v>5</v>
      </c>
      <c r="M278" s="778"/>
      <c r="N278" s="976">
        <v>689</v>
      </c>
      <c r="O278" s="1020">
        <v>221</v>
      </c>
      <c r="P278" s="847">
        <f>VLOOKUP(N278,etat!$A$9:$N$1004,2,FALSE)</f>
        <v>0</v>
      </c>
      <c r="Q278" s="797">
        <f>VLOOKUP(N278,etat!$A$9:$N$963,7,FALSE)</f>
        <v>0</v>
      </c>
      <c r="R278" s="797">
        <f>VLOOKUP(N278,etat!$A$9:$N$1003,9,FALSE)</f>
        <v>0</v>
      </c>
      <c r="S278" s="866">
        <f>VLOOKUP(N278,etat!$A$9:$P$905,16,FALSE)</f>
        <v>0</v>
      </c>
      <c r="T278" s="755">
        <v>45777</v>
      </c>
      <c r="U278" s="1129" t="s">
        <v>2290</v>
      </c>
      <c r="V278" s="784" t="s">
        <v>2283</v>
      </c>
      <c r="W278" s="784"/>
      <c r="X278" s="784"/>
      <c r="Y278" s="975"/>
      <c r="Z278" s="975" t="str">
        <f>VLOOKUP(L280,[2]اس!$S$3:$X$31,3,FALSE)</f>
        <v>.</v>
      </c>
      <c r="AA278" s="967">
        <v>7</v>
      </c>
      <c r="AB278" s="916"/>
      <c r="AC278" s="916"/>
      <c r="AD278" s="916"/>
      <c r="AE278" s="916"/>
      <c r="AF278" s="916"/>
    </row>
    <row r="279" spans="1:32" s="917" customFormat="1" ht="16.5" customHeight="1">
      <c r="A279" s="922"/>
      <c r="B279" s="922"/>
      <c r="C279" s="922"/>
      <c r="D279" s="166"/>
      <c r="E279" s="166"/>
      <c r="F279" s="166"/>
      <c r="G279" s="166"/>
      <c r="H279" s="166"/>
      <c r="I279" s="922"/>
      <c r="J279" s="922"/>
      <c r="K279" s="922"/>
      <c r="L279" s="777">
        <v>5</v>
      </c>
      <c r="M279" s="778"/>
      <c r="N279" s="976">
        <v>692</v>
      </c>
      <c r="O279" s="1020">
        <v>222</v>
      </c>
      <c r="P279" s="847">
        <f>VLOOKUP(N279,etat!$A$9:$N$1004,2,FALSE)</f>
        <v>0</v>
      </c>
      <c r="Q279" s="797">
        <f>VLOOKUP(N279,etat!$A$9:$N$963,7,FALSE)</f>
        <v>0</v>
      </c>
      <c r="R279" s="797">
        <f>VLOOKUP(N279,etat!$A$9:$N$1003,9,FALSE)</f>
        <v>0</v>
      </c>
      <c r="S279" s="866">
        <f>VLOOKUP(N279,etat!$A$9:$P$905,16,FALSE)</f>
        <v>0</v>
      </c>
      <c r="T279" s="755">
        <v>45785</v>
      </c>
      <c r="U279" s="791">
        <v>1</v>
      </c>
      <c r="V279" s="784"/>
      <c r="W279" s="784"/>
      <c r="X279" s="869"/>
      <c r="Y279" s="975"/>
      <c r="Z279" s="975" t="e">
        <f>VLOOKUP(#REF!,[2]اس!$S$3:$X$31,3,FALSE)</f>
        <v>#REF!</v>
      </c>
      <c r="AA279" s="967">
        <v>7</v>
      </c>
      <c r="AB279" s="916"/>
      <c r="AC279" s="916"/>
      <c r="AD279" s="916"/>
      <c r="AE279" s="916"/>
      <c r="AF279" s="916"/>
    </row>
    <row r="280" spans="1:32" s="917" customFormat="1" ht="16.5" customHeight="1">
      <c r="A280" s="922"/>
      <c r="B280" s="922"/>
      <c r="C280" s="922"/>
      <c r="D280" s="166"/>
      <c r="E280" s="166"/>
      <c r="F280" s="166"/>
      <c r="G280" s="166"/>
      <c r="H280" s="166"/>
      <c r="I280" s="922"/>
      <c r="J280" s="922"/>
      <c r="K280" s="922"/>
      <c r="L280" s="777">
        <v>5</v>
      </c>
      <c r="M280" s="778"/>
      <c r="N280" s="976">
        <v>699</v>
      </c>
      <c r="O280" s="1020">
        <v>223</v>
      </c>
      <c r="P280" s="847">
        <f>VLOOKUP(N280,etat!$A$9:$N$1004,2,FALSE)</f>
        <v>0</v>
      </c>
      <c r="Q280" s="797">
        <f>VLOOKUP(N280,etat!$A$9:$N$963,7,FALSE)</f>
        <v>0</v>
      </c>
      <c r="R280" s="797">
        <f>VLOOKUP(N280,etat!$A$9:$N$1003,9,FALSE)</f>
        <v>0</v>
      </c>
      <c r="S280" s="866">
        <f>VLOOKUP(N280,etat!$A$9:$P$905,16,FALSE)</f>
        <v>0</v>
      </c>
      <c r="T280" s="755">
        <v>45785</v>
      </c>
      <c r="U280" s="791">
        <v>1</v>
      </c>
      <c r="V280" s="784"/>
      <c r="W280" s="784"/>
      <c r="X280" s="869"/>
      <c r="Y280" s="975"/>
      <c r="Z280" s="975"/>
      <c r="AA280" s="967">
        <v>7</v>
      </c>
      <c r="AB280" s="916"/>
      <c r="AC280" s="916"/>
      <c r="AD280" s="916"/>
      <c r="AE280" s="916"/>
      <c r="AF280" s="916"/>
    </row>
    <row r="281" spans="1:32" s="917" customFormat="1" ht="16.5" customHeight="1">
      <c r="A281" s="922"/>
      <c r="B281" s="922"/>
      <c r="C281" s="922"/>
      <c r="D281" s="166"/>
      <c r="E281" s="166"/>
      <c r="F281" s="166"/>
      <c r="G281" s="166"/>
      <c r="H281" s="166"/>
      <c r="I281" s="922"/>
      <c r="J281" s="922"/>
      <c r="K281" s="922"/>
      <c r="L281" s="777">
        <v>5</v>
      </c>
      <c r="M281" s="778"/>
      <c r="N281" s="976">
        <v>703</v>
      </c>
      <c r="O281" s="1020">
        <v>224</v>
      </c>
      <c r="P281" s="847">
        <f>VLOOKUP(N281,etat!$A$9:$N$1004,2,FALSE)</f>
        <v>0</v>
      </c>
      <c r="Q281" s="797">
        <f>VLOOKUP(N281,etat!$A$9:$N$963,7,FALSE)</f>
        <v>0</v>
      </c>
      <c r="R281" s="797">
        <f>VLOOKUP(N281,etat!$A$9:$N$1003,9,FALSE)</f>
        <v>0</v>
      </c>
      <c r="S281" s="866">
        <f>VLOOKUP(N281,etat!$A$9:$P$905,16,FALSE)</f>
        <v>0</v>
      </c>
      <c r="T281" s="755">
        <v>45785</v>
      </c>
      <c r="U281" s="791">
        <v>1</v>
      </c>
      <c r="V281" s="784"/>
      <c r="W281" s="784"/>
      <c r="X281" s="869"/>
      <c r="Y281" s="975"/>
      <c r="Z281" s="975"/>
      <c r="AA281" s="967">
        <v>7</v>
      </c>
      <c r="AB281" s="916"/>
      <c r="AC281" s="916"/>
      <c r="AD281" s="916"/>
      <c r="AE281" s="916"/>
      <c r="AF281" s="916"/>
    </row>
    <row r="282" spans="1:32" s="917" customFormat="1" ht="16.5" customHeight="1">
      <c r="A282" s="922"/>
      <c r="B282" s="922"/>
      <c r="C282" s="922"/>
      <c r="D282" s="166"/>
      <c r="E282" s="166"/>
      <c r="F282" s="166"/>
      <c r="G282" s="166"/>
      <c r="H282" s="166"/>
      <c r="I282" s="922"/>
      <c r="J282" s="922"/>
      <c r="K282" s="922"/>
      <c r="L282" s="777">
        <v>5</v>
      </c>
      <c r="M282" s="778"/>
      <c r="N282" s="976">
        <v>704</v>
      </c>
      <c r="O282" s="1020">
        <v>225</v>
      </c>
      <c r="P282" s="847">
        <f>VLOOKUP(N282,etat!$A$9:$N$1004,2,FALSE)</f>
        <v>0</v>
      </c>
      <c r="Q282" s="797">
        <f>VLOOKUP(N282,etat!$A$9:$N$963,7,FALSE)</f>
        <v>0</v>
      </c>
      <c r="R282" s="797">
        <f>VLOOKUP(N282,etat!$A$9:$N$1003,9,FALSE)</f>
        <v>0</v>
      </c>
      <c r="S282" s="866">
        <f>VLOOKUP(N282,etat!$A$9:$P$905,16,FALSE)</f>
        <v>0</v>
      </c>
      <c r="T282" s="755">
        <v>45785</v>
      </c>
      <c r="U282" s="791">
        <v>1</v>
      </c>
      <c r="V282" s="784"/>
      <c r="W282" s="784"/>
      <c r="X282" s="869"/>
      <c r="Y282" s="975"/>
      <c r="Z282" s="975" t="str">
        <f>VLOOKUP(L285,[2]اس!$S$3:$X$31,3,FALSE)</f>
        <v>.</v>
      </c>
      <c r="AA282" s="967">
        <v>7</v>
      </c>
      <c r="AB282" s="916"/>
      <c r="AC282" s="916"/>
      <c r="AD282" s="916"/>
      <c r="AE282" s="916"/>
      <c r="AF282" s="916"/>
    </row>
    <row r="283" spans="1:32" s="917" customFormat="1" ht="16.5" customHeight="1">
      <c r="A283" s="922"/>
      <c r="B283" s="922"/>
      <c r="C283" s="922"/>
      <c r="D283" s="166"/>
      <c r="E283" s="166"/>
      <c r="F283" s="166"/>
      <c r="G283" s="166"/>
      <c r="H283" s="166"/>
      <c r="I283" s="922"/>
      <c r="J283" s="922"/>
      <c r="K283" s="922"/>
      <c r="L283" s="777">
        <v>5</v>
      </c>
      <c r="M283" s="778"/>
      <c r="N283" s="976">
        <v>706</v>
      </c>
      <c r="O283" s="1020">
        <v>226</v>
      </c>
      <c r="P283" s="847">
        <f>VLOOKUP(N283,etat!$A$9:$N$1004,2,FALSE)</f>
        <v>0</v>
      </c>
      <c r="Q283" s="797">
        <f>VLOOKUP(N283,etat!$A$9:$N$963,7,FALSE)</f>
        <v>0</v>
      </c>
      <c r="R283" s="797">
        <f>VLOOKUP(N283,etat!$A$9:$N$1003,9,FALSE)</f>
        <v>0</v>
      </c>
      <c r="S283" s="866">
        <f>VLOOKUP(N283,etat!$A$9:$P$905,16,FALSE)</f>
        <v>0</v>
      </c>
      <c r="T283" s="755">
        <v>45785</v>
      </c>
      <c r="U283" s="791">
        <v>1</v>
      </c>
      <c r="V283" s="784"/>
      <c r="W283" s="784"/>
      <c r="X283" s="869"/>
      <c r="Y283" s="975"/>
      <c r="Z283" s="975"/>
      <c r="AA283" s="967">
        <v>7</v>
      </c>
      <c r="AB283" s="916"/>
      <c r="AC283" s="916"/>
      <c r="AD283" s="916"/>
      <c r="AE283" s="916"/>
      <c r="AF283" s="916"/>
    </row>
    <row r="284" spans="1:32" s="917" customFormat="1" ht="16.5" customHeight="1">
      <c r="A284" s="922"/>
      <c r="B284" s="922"/>
      <c r="C284" s="922"/>
      <c r="D284" s="166"/>
      <c r="E284" s="166"/>
      <c r="F284" s="166"/>
      <c r="G284" s="166"/>
      <c r="H284" s="166"/>
      <c r="I284" s="922"/>
      <c r="J284" s="922"/>
      <c r="K284" s="922"/>
      <c r="L284" s="777">
        <v>5</v>
      </c>
      <c r="M284" s="778"/>
      <c r="N284" s="976">
        <v>712</v>
      </c>
      <c r="O284" s="1020">
        <v>227</v>
      </c>
      <c r="P284" s="847">
        <f>VLOOKUP(N284,etat!$A$9:$N$1004,2,FALSE)</f>
        <v>0</v>
      </c>
      <c r="Q284" s="797">
        <f>VLOOKUP(N284,etat!$A$9:$N$963,7,FALSE)</f>
        <v>0</v>
      </c>
      <c r="R284" s="797">
        <f>VLOOKUP(N284,etat!$A$9:$N$1003,9,FALSE)</f>
        <v>0</v>
      </c>
      <c r="S284" s="866">
        <f>VLOOKUP(N284,etat!$A$9:$P$905,16,FALSE)</f>
        <v>0</v>
      </c>
      <c r="T284" s="755">
        <v>45784</v>
      </c>
      <c r="U284" s="791">
        <v>2</v>
      </c>
      <c r="V284" s="784"/>
      <c r="W284" s="784"/>
      <c r="X284" s="784"/>
      <c r="Y284" s="975"/>
      <c r="Z284" s="975" t="str">
        <f>VLOOKUP(L307,[2]اس!$S$3:$X$31,3,FALSE)</f>
        <v>.</v>
      </c>
      <c r="AA284" s="967">
        <v>7</v>
      </c>
      <c r="AB284" s="916"/>
      <c r="AC284" s="916"/>
      <c r="AD284" s="916"/>
      <c r="AE284" s="916"/>
      <c r="AF284" s="916"/>
    </row>
    <row r="285" spans="1:32" s="917" customFormat="1" ht="16.5" customHeight="1">
      <c r="A285" s="922"/>
      <c r="B285" s="922"/>
      <c r="C285" s="922"/>
      <c r="D285" s="166"/>
      <c r="E285" s="166"/>
      <c r="F285" s="166"/>
      <c r="G285" s="166"/>
      <c r="H285" s="166"/>
      <c r="I285" s="922"/>
      <c r="J285" s="922"/>
      <c r="K285" s="922"/>
      <c r="L285" s="777">
        <v>5</v>
      </c>
      <c r="M285" s="778"/>
      <c r="N285" s="976">
        <v>713</v>
      </c>
      <c r="O285" s="1020">
        <v>228</v>
      </c>
      <c r="P285" s="847">
        <f>VLOOKUP(N285,etat!$A$9:$N$1004,2,FALSE)</f>
        <v>0</v>
      </c>
      <c r="Q285" s="797">
        <f>VLOOKUP(N285,etat!$A$9:$N$963,7,FALSE)</f>
        <v>0</v>
      </c>
      <c r="R285" s="797">
        <f>VLOOKUP(N285,etat!$A$9:$N$1003,9,FALSE)</f>
        <v>0</v>
      </c>
      <c r="S285" s="866">
        <f>VLOOKUP(N285,etat!$A$9:$P$905,16,FALSE)</f>
        <v>0</v>
      </c>
      <c r="T285" s="755">
        <v>45784</v>
      </c>
      <c r="U285" s="791">
        <v>2</v>
      </c>
      <c r="V285" s="784"/>
      <c r="W285" s="784"/>
      <c r="X285" s="784"/>
      <c r="Y285" s="975"/>
      <c r="Z285" s="975" t="str">
        <f>VLOOKUP(L314,[2]اس!$S$3:$X$31,3,FALSE)</f>
        <v>.</v>
      </c>
      <c r="AA285" s="967">
        <v>7</v>
      </c>
      <c r="AB285" s="916"/>
      <c r="AC285" s="916"/>
      <c r="AD285" s="916"/>
      <c r="AE285" s="916"/>
      <c r="AF285" s="916"/>
    </row>
    <row r="286" spans="1:32" ht="16.5" customHeight="1">
      <c r="A286" s="922"/>
      <c r="B286" s="922"/>
      <c r="C286" s="922"/>
      <c r="I286" s="922"/>
      <c r="J286" s="922"/>
      <c r="K286" s="922"/>
      <c r="L286" s="777">
        <v>5</v>
      </c>
      <c r="M286" s="778"/>
      <c r="N286" s="976">
        <v>715</v>
      </c>
      <c r="O286" s="1020">
        <v>229</v>
      </c>
      <c r="P286" s="847">
        <f>VLOOKUP(N286,etat!$A$9:$N$1004,2,FALSE)</f>
        <v>0</v>
      </c>
      <c r="Q286" s="797">
        <f>VLOOKUP(N286,etat!$A$9:$N$963,7,FALSE)</f>
        <v>0</v>
      </c>
      <c r="R286" s="797">
        <f>VLOOKUP(N286,etat!$A$9:$N$1003,9,FALSE)</f>
        <v>0</v>
      </c>
      <c r="S286" s="866">
        <f>VLOOKUP(N286,etat!$A$9:$P$905,16,FALSE)</f>
        <v>0</v>
      </c>
      <c r="T286" s="755">
        <v>45784</v>
      </c>
      <c r="U286" s="791">
        <v>2</v>
      </c>
      <c r="V286" s="784"/>
      <c r="W286" s="784"/>
      <c r="X286" s="784"/>
      <c r="Y286" s="975"/>
      <c r="Z286" s="975"/>
      <c r="AA286" s="967">
        <v>7</v>
      </c>
    </row>
    <row r="287" spans="1:32" ht="16.5" customHeight="1">
      <c r="A287" s="922"/>
      <c r="B287" s="922"/>
      <c r="C287" s="922"/>
      <c r="I287" s="922"/>
      <c r="J287" s="922"/>
      <c r="K287" s="922"/>
      <c r="L287" s="777">
        <v>5</v>
      </c>
      <c r="M287" s="778"/>
      <c r="N287" s="976">
        <v>738</v>
      </c>
      <c r="O287" s="1020">
        <v>230</v>
      </c>
      <c r="P287" s="847">
        <f>VLOOKUP(N287,etat!$A$9:$N$1004,2,FALSE)</f>
        <v>0</v>
      </c>
      <c r="Q287" s="797">
        <f>VLOOKUP(N287,etat!$A$9:$N$963,7,FALSE)</f>
        <v>0</v>
      </c>
      <c r="R287" s="797">
        <f>VLOOKUP(N287,etat!$A$9:$N$1003,9,FALSE)</f>
        <v>0</v>
      </c>
      <c r="S287" s="866">
        <f>VLOOKUP(N287,etat!$A$9:$P$905,16,FALSE)</f>
        <v>0</v>
      </c>
      <c r="T287" s="755">
        <v>45785</v>
      </c>
      <c r="U287" s="791">
        <v>1</v>
      </c>
      <c r="V287" s="784"/>
      <c r="W287" s="784"/>
      <c r="X287" s="869"/>
      <c r="Y287" s="975"/>
      <c r="Z287" s="975"/>
      <c r="AA287" s="967">
        <v>7</v>
      </c>
    </row>
    <row r="288" spans="1:32" ht="16.5" customHeight="1">
      <c r="A288" s="922"/>
      <c r="B288" s="922"/>
      <c r="C288" s="922"/>
      <c r="I288" s="922"/>
      <c r="J288" s="922"/>
      <c r="K288" s="922"/>
      <c r="L288" s="777">
        <v>5</v>
      </c>
      <c r="M288" s="778"/>
      <c r="N288" s="976">
        <v>739</v>
      </c>
      <c r="O288" s="1020">
        <v>231</v>
      </c>
      <c r="P288" s="847">
        <f>VLOOKUP(N288,etat!$A$9:$N$1004,2,FALSE)</f>
        <v>0</v>
      </c>
      <c r="Q288" s="797">
        <f>VLOOKUP(N288,etat!$A$9:$N$963,7,FALSE)</f>
        <v>0</v>
      </c>
      <c r="R288" s="797">
        <f>VLOOKUP(N288,etat!$A$9:$N$1003,9,FALSE)</f>
        <v>0</v>
      </c>
      <c r="S288" s="866">
        <f>VLOOKUP(N288,etat!$A$9:$P$905,16,FALSE)</f>
        <v>0</v>
      </c>
      <c r="T288" s="755">
        <v>45782</v>
      </c>
      <c r="U288" s="791">
        <v>4</v>
      </c>
      <c r="V288" s="784" t="s">
        <v>2287</v>
      </c>
      <c r="W288" s="869"/>
      <c r="X288" s="869"/>
      <c r="Y288" s="975"/>
      <c r="Z288" s="975" t="str">
        <f>VLOOKUP(L291,[2]اس!$S$3:$X$31,3,FALSE)</f>
        <v>.</v>
      </c>
      <c r="AA288" s="967">
        <v>7</v>
      </c>
    </row>
    <row r="289" spans="1:32" ht="16.5" customHeight="1">
      <c r="A289" s="922"/>
      <c r="B289" s="922"/>
      <c r="C289" s="922"/>
      <c r="I289" s="922"/>
      <c r="J289" s="922"/>
      <c r="K289" s="922"/>
      <c r="L289" s="777">
        <v>5</v>
      </c>
      <c r="M289" s="778"/>
      <c r="N289" s="976">
        <v>742</v>
      </c>
      <c r="O289" s="1020">
        <v>232</v>
      </c>
      <c r="P289" s="847">
        <f>VLOOKUP(N289,etat!$A$9:$N$1004,2,FALSE)</f>
        <v>0</v>
      </c>
      <c r="Q289" s="797">
        <f>VLOOKUP(N289,etat!$A$9:$N$963,7,FALSE)</f>
        <v>0</v>
      </c>
      <c r="R289" s="797">
        <f>VLOOKUP(N289,etat!$A$9:$N$1003,9,FALSE)</f>
        <v>0</v>
      </c>
      <c r="S289" s="866">
        <f>VLOOKUP(N289,etat!$A$9:$P$905,16,FALSE)</f>
        <v>0</v>
      </c>
      <c r="T289" s="755">
        <v>45782</v>
      </c>
      <c r="U289" s="791">
        <v>4</v>
      </c>
      <c r="V289" s="784" t="s">
        <v>2287</v>
      </c>
      <c r="W289" s="869"/>
      <c r="X289" s="869"/>
      <c r="Y289" s="975"/>
      <c r="Z289" s="975"/>
      <c r="AA289" s="967">
        <v>7</v>
      </c>
    </row>
    <row r="290" spans="1:32" ht="16.5" customHeight="1">
      <c r="A290" s="922"/>
      <c r="B290" s="922"/>
      <c r="C290" s="922"/>
      <c r="I290" s="922"/>
      <c r="J290" s="922"/>
      <c r="K290" s="922"/>
      <c r="L290" s="777">
        <v>5</v>
      </c>
      <c r="M290" s="778"/>
      <c r="N290" s="976">
        <v>751</v>
      </c>
      <c r="O290" s="1020">
        <v>233</v>
      </c>
      <c r="P290" s="847">
        <f>VLOOKUP(N290,etat!$A$9:$N$1004,2,FALSE)</f>
        <v>0</v>
      </c>
      <c r="Q290" s="797">
        <f>VLOOKUP(N290,etat!$A$9:$N$963,7,FALSE)</f>
        <v>0</v>
      </c>
      <c r="R290" s="797">
        <f>VLOOKUP(N290,etat!$A$9:$N$1003,9,FALSE)</f>
        <v>0</v>
      </c>
      <c r="S290" s="866">
        <f>VLOOKUP(N290,etat!$A$9:$P$905,16,FALSE)</f>
        <v>0</v>
      </c>
      <c r="T290" s="755">
        <v>45785</v>
      </c>
      <c r="U290" s="791">
        <v>1</v>
      </c>
      <c r="V290" s="784"/>
      <c r="W290" s="784"/>
      <c r="X290" s="869"/>
      <c r="Y290" s="975"/>
      <c r="Z290" s="975"/>
      <c r="AA290" s="967">
        <v>7</v>
      </c>
    </row>
    <row r="291" spans="1:32" ht="16.5" customHeight="1">
      <c r="A291" s="922"/>
      <c r="B291" s="922"/>
      <c r="C291" s="922"/>
      <c r="I291" s="922"/>
      <c r="J291" s="922"/>
      <c r="K291" s="922"/>
      <c r="L291" s="777">
        <v>5</v>
      </c>
      <c r="M291" s="778"/>
      <c r="N291" s="976">
        <v>752</v>
      </c>
      <c r="O291" s="1020">
        <v>234</v>
      </c>
      <c r="P291" s="847">
        <f>VLOOKUP(N291,etat!$A$9:$N$1004,2,FALSE)</f>
        <v>0</v>
      </c>
      <c r="Q291" s="797">
        <f>VLOOKUP(N291,etat!$A$9:$N$963,7,FALSE)</f>
        <v>0</v>
      </c>
      <c r="R291" s="797">
        <f>VLOOKUP(N291,etat!$A$9:$N$1003,9,FALSE)</f>
        <v>0</v>
      </c>
      <c r="S291" s="866">
        <f>VLOOKUP(N291,etat!$A$9:$P$905,16,FALSE)</f>
        <v>0</v>
      </c>
      <c r="T291" s="755">
        <v>45785</v>
      </c>
      <c r="U291" s="791">
        <v>1</v>
      </c>
      <c r="V291" s="784"/>
      <c r="W291" s="784"/>
      <c r="X291" s="869"/>
      <c r="Y291" s="975"/>
      <c r="Z291" s="975"/>
      <c r="AA291" s="967">
        <v>7</v>
      </c>
    </row>
    <row r="292" spans="1:32" ht="16.5" customHeight="1">
      <c r="A292" s="922"/>
      <c r="B292" s="922"/>
      <c r="C292" s="922"/>
      <c r="I292" s="922"/>
      <c r="J292" s="922"/>
      <c r="K292" s="922"/>
      <c r="L292" s="777">
        <v>5</v>
      </c>
      <c r="M292" s="778"/>
      <c r="N292" s="976">
        <v>761</v>
      </c>
      <c r="O292" s="1020">
        <v>235</v>
      </c>
      <c r="P292" s="847">
        <f>VLOOKUP(N292,etat!$A$9:$N$1004,2,FALSE)</f>
        <v>0</v>
      </c>
      <c r="Q292" s="797">
        <f>VLOOKUP(N292,etat!$A$9:$N$963,7,FALSE)</f>
        <v>0</v>
      </c>
      <c r="R292" s="797">
        <f>VLOOKUP(N292,etat!$A$9:$N$1003,9,FALSE)</f>
        <v>0</v>
      </c>
      <c r="S292" s="866">
        <f>VLOOKUP(N292,etat!$A$9:$P$905,16,FALSE)</f>
        <v>0</v>
      </c>
      <c r="T292" s="755">
        <v>45781</v>
      </c>
      <c r="U292" s="791">
        <v>5</v>
      </c>
      <c r="V292" s="784" t="s">
        <v>2285</v>
      </c>
      <c r="W292" s="784"/>
      <c r="X292" s="784"/>
      <c r="Y292" s="975"/>
      <c r="Z292" s="975"/>
      <c r="AA292" s="967">
        <v>7</v>
      </c>
    </row>
    <row r="293" spans="1:32" ht="16.5" customHeight="1">
      <c r="A293" s="922"/>
      <c r="B293" s="922"/>
      <c r="C293" s="922"/>
      <c r="I293" s="922"/>
      <c r="J293" s="922"/>
      <c r="K293" s="922"/>
      <c r="L293" s="777">
        <v>5</v>
      </c>
      <c r="M293" s="778"/>
      <c r="N293" s="976">
        <v>777</v>
      </c>
      <c r="O293" s="1020">
        <v>236</v>
      </c>
      <c r="P293" s="847">
        <f>VLOOKUP(N293,etat!$A$9:$N$1004,2,FALSE)</f>
        <v>0</v>
      </c>
      <c r="Q293" s="797">
        <f>VLOOKUP(N293,etat!$A$9:$N$963,7,FALSE)</f>
        <v>0</v>
      </c>
      <c r="R293" s="797">
        <f>VLOOKUP(N293,etat!$A$9:$N$1003,9,FALSE)</f>
        <v>0</v>
      </c>
      <c r="S293" s="866">
        <f>VLOOKUP(N293,etat!$A$9:$P$905,16,FALSE)</f>
        <v>0</v>
      </c>
      <c r="T293" s="755">
        <v>45785</v>
      </c>
      <c r="U293" s="791">
        <v>1</v>
      </c>
      <c r="V293" s="784"/>
      <c r="W293" s="784"/>
      <c r="X293" s="869"/>
      <c r="Y293" s="975"/>
      <c r="Z293" s="975"/>
      <c r="AA293" s="967">
        <v>7</v>
      </c>
    </row>
    <row r="294" spans="1:32" ht="16.5" customHeight="1">
      <c r="A294" s="922"/>
      <c r="B294" s="922"/>
      <c r="C294" s="922"/>
      <c r="I294" s="922"/>
      <c r="J294" s="922"/>
      <c r="K294" s="922"/>
      <c r="L294" s="777">
        <v>5</v>
      </c>
      <c r="M294" s="778"/>
      <c r="N294" s="976">
        <v>778</v>
      </c>
      <c r="O294" s="1020">
        <v>237</v>
      </c>
      <c r="P294" s="847">
        <f>VLOOKUP(N294,etat!$A$9:$N$1004,2,FALSE)</f>
        <v>0</v>
      </c>
      <c r="Q294" s="797">
        <f>VLOOKUP(N294,etat!$A$9:$N$963,7,FALSE)</f>
        <v>0</v>
      </c>
      <c r="R294" s="797">
        <f>VLOOKUP(N294,etat!$A$9:$N$1003,9,FALSE)</f>
        <v>0</v>
      </c>
      <c r="S294" s="866">
        <f>VLOOKUP(N294,etat!$A$9:$P$905,16,FALSE)</f>
        <v>0</v>
      </c>
      <c r="T294" s="755">
        <v>45784</v>
      </c>
      <c r="U294" s="791">
        <v>2</v>
      </c>
      <c r="V294" s="784"/>
      <c r="W294" s="784"/>
      <c r="X294" s="784"/>
      <c r="Y294" s="975"/>
      <c r="Z294" s="975" t="e">
        <f>VLOOKUP(#REF!,[2]اس!$S$3:$X$31,3,FALSE)</f>
        <v>#REF!</v>
      </c>
      <c r="AA294" s="967">
        <v>7</v>
      </c>
    </row>
    <row r="295" spans="1:32" s="949" customFormat="1" ht="16.5" customHeight="1">
      <c r="D295" s="166"/>
      <c r="E295" s="166"/>
      <c r="F295" s="166"/>
      <c r="G295" s="166"/>
      <c r="H295" s="166"/>
      <c r="L295" s="777">
        <v>5</v>
      </c>
      <c r="M295" s="778"/>
      <c r="N295" s="976"/>
      <c r="O295" s="1020">
        <v>238</v>
      </c>
      <c r="P295" s="847" t="e">
        <f>VLOOKUP(N295,etat!$A$9:$N$1004,2,FALSE)</f>
        <v>#N/A</v>
      </c>
      <c r="Q295" s="797" t="e">
        <f>VLOOKUP(N295,etat!$A$9:$N$963,7,FALSE)</f>
        <v>#N/A</v>
      </c>
      <c r="R295" s="797" t="e">
        <f>VLOOKUP(N295,etat!$A$9:$N$1003,9,FALSE)</f>
        <v>#N/A</v>
      </c>
      <c r="S295" s="866" t="e">
        <f>VLOOKUP(N295,etat!$A$9:$P$905,16,FALSE)</f>
        <v>#N/A</v>
      </c>
      <c r="T295" s="755"/>
      <c r="U295" s="791"/>
      <c r="V295" s="784"/>
      <c r="W295" s="784"/>
      <c r="X295" s="869"/>
      <c r="Y295" s="975"/>
      <c r="Z295" s="975"/>
      <c r="AA295" s="967"/>
      <c r="AB295" s="948"/>
      <c r="AC295" s="948"/>
      <c r="AD295" s="948"/>
      <c r="AE295" s="948"/>
      <c r="AF295" s="948"/>
    </row>
    <row r="296" spans="1:32" s="949" customFormat="1" ht="16.5" customHeight="1">
      <c r="D296" s="166"/>
      <c r="E296" s="166"/>
      <c r="F296" s="166"/>
      <c r="G296" s="166"/>
      <c r="H296" s="166"/>
      <c r="L296" s="777">
        <v>5</v>
      </c>
      <c r="M296" s="778"/>
      <c r="N296" s="976"/>
      <c r="O296" s="1020">
        <v>239</v>
      </c>
      <c r="P296" s="847" t="e">
        <f>VLOOKUP(N296,etat!$A$9:$N$1004,2,FALSE)</f>
        <v>#N/A</v>
      </c>
      <c r="Q296" s="797" t="e">
        <f>VLOOKUP(N296,etat!$A$9:$N$963,7,FALSE)</f>
        <v>#N/A</v>
      </c>
      <c r="R296" s="797" t="e">
        <f>VLOOKUP(N296,etat!$A$9:$N$1003,9,FALSE)</f>
        <v>#N/A</v>
      </c>
      <c r="S296" s="866" t="e">
        <f>VLOOKUP(N296,etat!$A$9:$P$905,16,FALSE)</f>
        <v>#N/A</v>
      </c>
      <c r="T296" s="755"/>
      <c r="U296" s="784"/>
      <c r="V296" s="784"/>
      <c r="W296" s="784"/>
      <c r="X296" s="784"/>
      <c r="Y296" s="975"/>
      <c r="Z296" s="975"/>
      <c r="AA296" s="967"/>
      <c r="AB296" s="948"/>
      <c r="AC296" s="948"/>
      <c r="AD296" s="948"/>
      <c r="AE296" s="948"/>
      <c r="AF296" s="948"/>
    </row>
    <row r="297" spans="1:32" s="949" customFormat="1" ht="16.5" customHeight="1">
      <c r="D297" s="166"/>
      <c r="E297" s="166"/>
      <c r="F297" s="166"/>
      <c r="G297" s="166"/>
      <c r="H297" s="166"/>
      <c r="L297" s="777">
        <v>5</v>
      </c>
      <c r="M297" s="778"/>
      <c r="N297" s="976"/>
      <c r="O297" s="1020">
        <v>240</v>
      </c>
      <c r="P297" s="847" t="e">
        <f>VLOOKUP(N297,etat!$A$9:$N$1004,2,FALSE)</f>
        <v>#N/A</v>
      </c>
      <c r="Q297" s="797" t="e">
        <f>VLOOKUP(N297,etat!$A$9:$N$963,7,FALSE)</f>
        <v>#N/A</v>
      </c>
      <c r="R297" s="797" t="e">
        <f>VLOOKUP(N297,etat!$A$9:$N$1003,9,FALSE)</f>
        <v>#N/A</v>
      </c>
      <c r="S297" s="866" t="e">
        <f>VLOOKUP(N297,etat!$A$9:$P$905,16,FALSE)</f>
        <v>#N/A</v>
      </c>
      <c r="T297" s="755"/>
      <c r="U297" s="784"/>
      <c r="V297" s="784"/>
      <c r="W297" s="784"/>
      <c r="X297" s="784"/>
      <c r="Y297" s="975"/>
      <c r="Z297" s="975"/>
      <c r="AA297" s="967"/>
      <c r="AB297" s="948"/>
      <c r="AC297" s="948"/>
      <c r="AD297" s="948"/>
      <c r="AE297" s="948"/>
      <c r="AF297" s="948"/>
    </row>
    <row r="298" spans="1:32" s="949" customFormat="1" ht="16.5" customHeight="1">
      <c r="D298" s="166"/>
      <c r="E298" s="166"/>
      <c r="F298" s="166"/>
      <c r="G298" s="166"/>
      <c r="H298" s="166"/>
      <c r="L298" s="777">
        <v>5</v>
      </c>
      <c r="M298" s="778"/>
      <c r="N298" s="976"/>
      <c r="O298" s="1020">
        <v>241</v>
      </c>
      <c r="P298" s="847" t="e">
        <f>VLOOKUP(N298,etat!$A$9:$N$1004,2,FALSE)</f>
        <v>#N/A</v>
      </c>
      <c r="Q298" s="797" t="e">
        <f>VLOOKUP(N298,etat!$A$9:$N$963,7,FALSE)</f>
        <v>#N/A</v>
      </c>
      <c r="R298" s="797" t="e">
        <f>VLOOKUP(N298,etat!$A$9:$N$1003,9,FALSE)</f>
        <v>#N/A</v>
      </c>
      <c r="S298" s="866" t="e">
        <f>VLOOKUP(N298,etat!$A$9:$P$905,16,FALSE)</f>
        <v>#N/A</v>
      </c>
      <c r="T298" s="755"/>
      <c r="U298" s="784"/>
      <c r="V298" s="784"/>
      <c r="W298" s="784"/>
      <c r="X298" s="784"/>
      <c r="Y298" s="975"/>
      <c r="Z298" s="975" t="str">
        <f>VLOOKUP(L298,[2]اس!$S$3:$X$31,3,FALSE)</f>
        <v>.</v>
      </c>
      <c r="AA298" s="967"/>
      <c r="AB298" s="948"/>
      <c r="AC298" s="948"/>
      <c r="AD298" s="948"/>
      <c r="AE298" s="948"/>
      <c r="AF298" s="948"/>
    </row>
    <row r="299" spans="1:32" ht="16.5" customHeight="1">
      <c r="A299" s="922"/>
      <c r="B299" s="922"/>
      <c r="C299" s="922"/>
      <c r="I299" s="922"/>
      <c r="J299" s="922"/>
      <c r="K299" s="922"/>
      <c r="L299" s="777">
        <v>5</v>
      </c>
      <c r="M299" s="778"/>
      <c r="N299" s="976"/>
      <c r="O299" s="1020">
        <v>242</v>
      </c>
      <c r="P299" s="847" t="e">
        <f>VLOOKUP(N299,etat!$A$9:$N$1004,2,FALSE)</f>
        <v>#N/A</v>
      </c>
      <c r="Q299" s="797" t="e">
        <f>VLOOKUP(N299,etat!$A$9:$N$963,7,FALSE)</f>
        <v>#N/A</v>
      </c>
      <c r="R299" s="797" t="e">
        <f>VLOOKUP(N299,etat!$A$9:$N$1003,9,FALSE)</f>
        <v>#N/A</v>
      </c>
      <c r="S299" s="866" t="e">
        <f>VLOOKUP(N299,etat!$A$9:$P$905,16,FALSE)</f>
        <v>#N/A</v>
      </c>
      <c r="T299" s="755"/>
      <c r="U299" s="784"/>
      <c r="V299" s="784"/>
      <c r="W299" s="784"/>
      <c r="X299" s="784"/>
      <c r="Y299" s="975"/>
      <c r="Z299" s="975" t="str">
        <f>VLOOKUP(L299,[2]اس!$S$3:$X$31,3,FALSE)</f>
        <v>.</v>
      </c>
      <c r="AA299" s="967"/>
    </row>
    <row r="300" spans="1:32" ht="16.5" customHeight="1">
      <c r="A300" s="922"/>
      <c r="B300" s="922"/>
      <c r="C300" s="922"/>
      <c r="I300" s="922"/>
      <c r="J300" s="922"/>
      <c r="K300" s="922"/>
      <c r="L300" s="777">
        <v>5</v>
      </c>
      <c r="M300" s="778"/>
      <c r="N300" s="976"/>
      <c r="O300" s="1020">
        <v>243</v>
      </c>
      <c r="P300" s="847" t="e">
        <f>VLOOKUP(N300,etat!$A$9:$N$1004,2,FALSE)</f>
        <v>#N/A</v>
      </c>
      <c r="Q300" s="797" t="e">
        <f>VLOOKUP(N300,etat!$A$9:$N$963,7,FALSE)</f>
        <v>#N/A</v>
      </c>
      <c r="R300" s="797" t="e">
        <f>VLOOKUP(N300,etat!$A$9:$N$1003,9,FALSE)</f>
        <v>#N/A</v>
      </c>
      <c r="S300" s="866" t="e">
        <f>VLOOKUP(N300,etat!$A$9:$P$905,16,FALSE)</f>
        <v>#N/A</v>
      </c>
      <c r="T300" s="755"/>
      <c r="U300" s="784"/>
      <c r="V300" s="784"/>
      <c r="W300" s="784"/>
      <c r="X300" s="784"/>
      <c r="Y300" s="975"/>
      <c r="Z300" s="975" t="str">
        <f>VLOOKUP(L300,[2]اس!$S$3:$X$31,3,FALSE)</f>
        <v>.</v>
      </c>
      <c r="AA300" s="967"/>
    </row>
    <row r="301" spans="1:32" ht="16.5" customHeight="1">
      <c r="A301" s="922"/>
      <c r="B301" s="922"/>
      <c r="C301" s="922"/>
      <c r="I301" s="922"/>
      <c r="J301" s="922"/>
      <c r="K301" s="922"/>
      <c r="L301" s="777">
        <v>5</v>
      </c>
      <c r="M301" s="778"/>
      <c r="N301" s="976"/>
      <c r="O301" s="1020">
        <v>244</v>
      </c>
      <c r="P301" s="847" t="e">
        <f>VLOOKUP(N301,etat!$A$9:$N$1004,2,FALSE)</f>
        <v>#N/A</v>
      </c>
      <c r="Q301" s="797" t="e">
        <f>VLOOKUP(N301,etat!$A$9:$N$963,7,FALSE)</f>
        <v>#N/A</v>
      </c>
      <c r="R301" s="797" t="e">
        <f>VLOOKUP(N301,etat!$A$9:$N$1003,9,FALSE)</f>
        <v>#N/A</v>
      </c>
      <c r="S301" s="866" t="e">
        <f>VLOOKUP(N301,etat!$A$9:$P$905,16,FALSE)</f>
        <v>#N/A</v>
      </c>
      <c r="T301" s="755"/>
      <c r="U301" s="784"/>
      <c r="V301" s="784"/>
      <c r="W301" s="784"/>
      <c r="X301" s="784"/>
      <c r="Y301" s="975"/>
      <c r="Z301" s="975" t="str">
        <f>VLOOKUP(L301,[2]اس!$S$3:$X$31,3,FALSE)</f>
        <v>.</v>
      </c>
      <c r="AA301" s="967"/>
    </row>
    <row r="302" spans="1:32" s="917" customFormat="1" ht="16.5" customHeight="1">
      <c r="A302" s="922"/>
      <c r="B302" s="922"/>
      <c r="C302" s="922"/>
      <c r="D302" s="166"/>
      <c r="E302" s="166"/>
      <c r="F302" s="166"/>
      <c r="G302" s="166"/>
      <c r="H302" s="166"/>
      <c r="I302" s="922"/>
      <c r="J302" s="922"/>
      <c r="K302" s="922"/>
      <c r="L302" s="777">
        <v>5</v>
      </c>
      <c r="M302" s="778"/>
      <c r="N302" s="976"/>
      <c r="O302" s="1020">
        <v>245</v>
      </c>
      <c r="P302" s="847" t="e">
        <f>VLOOKUP(N302,etat!$A$9:$N$1004,2,FALSE)</f>
        <v>#N/A</v>
      </c>
      <c r="Q302" s="797" t="e">
        <f>VLOOKUP(N302,etat!$A$9:$N$963,7,FALSE)</f>
        <v>#N/A</v>
      </c>
      <c r="R302" s="797" t="e">
        <f>VLOOKUP(N302,etat!$A$9:$N$1003,9,FALSE)</f>
        <v>#N/A</v>
      </c>
      <c r="S302" s="866" t="e">
        <f>VLOOKUP(N302,etat!$A$9:$P$905,16,FALSE)</f>
        <v>#N/A</v>
      </c>
      <c r="T302" s="755"/>
      <c r="U302" s="784"/>
      <c r="V302" s="784"/>
      <c r="W302" s="784"/>
      <c r="X302" s="784"/>
      <c r="Y302" s="975"/>
      <c r="Z302" s="975" t="str">
        <f>VLOOKUP(L302,[2]اس!$S$3:$X$31,3,FALSE)</f>
        <v>.</v>
      </c>
      <c r="AA302" s="967"/>
      <c r="AB302" s="916"/>
      <c r="AC302" s="916"/>
      <c r="AD302" s="916"/>
      <c r="AE302" s="916"/>
      <c r="AF302" s="916"/>
    </row>
    <row r="303" spans="1:32" ht="16.5" customHeight="1">
      <c r="A303" s="922"/>
      <c r="B303" s="922"/>
      <c r="C303" s="922"/>
      <c r="I303" s="922"/>
      <c r="J303" s="922"/>
      <c r="K303" s="922"/>
      <c r="L303" s="777">
        <v>5</v>
      </c>
      <c r="M303" s="778"/>
      <c r="N303" s="976"/>
      <c r="O303" s="1020">
        <v>246</v>
      </c>
      <c r="P303" s="847" t="e">
        <f>VLOOKUP(N303,etat!$A$9:$N$1004,2,FALSE)</f>
        <v>#N/A</v>
      </c>
      <c r="Q303" s="797" t="e">
        <f>VLOOKUP(N303,etat!$A$9:$N$963,7,FALSE)</f>
        <v>#N/A</v>
      </c>
      <c r="R303" s="797" t="e">
        <f>VLOOKUP(N303,etat!$A$9:$N$1003,9,FALSE)</f>
        <v>#N/A</v>
      </c>
      <c r="S303" s="866" t="e">
        <f>VLOOKUP(N303,etat!$A$9:$P$905,16,FALSE)</f>
        <v>#N/A</v>
      </c>
      <c r="T303" s="755"/>
      <c r="U303" s="784"/>
      <c r="V303" s="784"/>
      <c r="W303" s="784"/>
      <c r="X303" s="784"/>
      <c r="Y303" s="975"/>
      <c r="Z303" s="975" t="str">
        <f>VLOOKUP(L303,[2]اس!$S$3:$X$31,3,FALSE)</f>
        <v>.</v>
      </c>
      <c r="AA303" s="967"/>
    </row>
    <row r="304" spans="1:32" s="950" customFormat="1" ht="16.5" customHeight="1">
      <c r="D304" s="166"/>
      <c r="E304" s="166"/>
      <c r="F304" s="166"/>
      <c r="G304" s="166"/>
      <c r="H304" s="166"/>
      <c r="L304" s="777">
        <v>5</v>
      </c>
      <c r="M304" s="778"/>
      <c r="N304" s="976"/>
      <c r="O304" s="1020">
        <v>247</v>
      </c>
      <c r="P304" s="847" t="e">
        <f>VLOOKUP(N304,etat!$A$9:$N$1004,2,FALSE)</f>
        <v>#N/A</v>
      </c>
      <c r="Q304" s="797" t="e">
        <f>VLOOKUP(N304,etat!$A$9:$N$963,7,FALSE)</f>
        <v>#N/A</v>
      </c>
      <c r="R304" s="797" t="e">
        <f>VLOOKUP(N304,etat!$A$9:$N$1003,9,FALSE)</f>
        <v>#N/A</v>
      </c>
      <c r="S304" s="866" t="e">
        <f>VLOOKUP(N304,etat!$A$9:$P$905,16,FALSE)</f>
        <v>#N/A</v>
      </c>
      <c r="T304" s="755"/>
      <c r="U304" s="784"/>
      <c r="V304" s="784"/>
      <c r="W304" s="784"/>
      <c r="X304" s="784"/>
      <c r="Y304" s="975"/>
      <c r="Z304" s="975" t="str">
        <f>VLOOKUP(L304,[2]اس!$S$3:$X$31,3,FALSE)</f>
        <v>.</v>
      </c>
      <c r="AA304" s="967"/>
      <c r="AB304" s="951"/>
      <c r="AC304" s="951"/>
      <c r="AD304" s="951"/>
      <c r="AE304" s="951"/>
      <c r="AF304" s="951"/>
    </row>
    <row r="305" spans="1:32" ht="16.5" customHeight="1">
      <c r="A305" s="922"/>
      <c r="B305" s="922"/>
      <c r="C305" s="922"/>
      <c r="I305" s="922"/>
      <c r="J305" s="922"/>
      <c r="K305" s="922"/>
      <c r="L305" s="777">
        <v>5</v>
      </c>
      <c r="M305" s="778"/>
      <c r="N305" s="976"/>
      <c r="O305" s="1020">
        <v>248</v>
      </c>
      <c r="P305" s="847" t="e">
        <f>VLOOKUP(N305,etat!$A$9:$N$1004,2,FALSE)</f>
        <v>#N/A</v>
      </c>
      <c r="Q305" s="797" t="e">
        <f>VLOOKUP(N305,etat!$A$9:$N$963,7,FALSE)</f>
        <v>#N/A</v>
      </c>
      <c r="R305" s="797" t="e">
        <f>VLOOKUP(N305,etat!$A$9:$N$1003,9,FALSE)</f>
        <v>#N/A</v>
      </c>
      <c r="S305" s="866" t="e">
        <f>VLOOKUP(N305,etat!$A$9:$P$905,16,FALSE)</f>
        <v>#N/A</v>
      </c>
      <c r="T305" s="755"/>
      <c r="U305" s="784"/>
      <c r="V305" s="784"/>
      <c r="W305" s="784"/>
      <c r="X305" s="784"/>
      <c r="Y305" s="975"/>
      <c r="Z305" s="975" t="str">
        <f>VLOOKUP(L305,[2]اس!$S$3:$X$31,3,FALSE)</f>
        <v>.</v>
      </c>
      <c r="AA305" s="967"/>
    </row>
    <row r="306" spans="1:32" ht="16.5" customHeight="1">
      <c r="A306" s="922"/>
      <c r="B306" s="922"/>
      <c r="C306" s="922"/>
      <c r="I306" s="922"/>
      <c r="J306" s="922"/>
      <c r="K306" s="922"/>
      <c r="L306" s="777">
        <v>5</v>
      </c>
      <c r="M306" s="778"/>
      <c r="N306" s="976"/>
      <c r="O306" s="1020">
        <v>249</v>
      </c>
      <c r="P306" s="847" t="e">
        <f>VLOOKUP(N306,etat!$A$9:$N$1004,2,FALSE)</f>
        <v>#N/A</v>
      </c>
      <c r="Q306" s="797" t="e">
        <f>VLOOKUP(N306,etat!$A$9:$N$963,7,FALSE)</f>
        <v>#N/A</v>
      </c>
      <c r="R306" s="797" t="e">
        <f>VLOOKUP(N306,etat!$A$9:$N$1003,9,FALSE)</f>
        <v>#N/A</v>
      </c>
      <c r="S306" s="866" t="e">
        <f>VLOOKUP(N306,etat!$A$9:$P$905,16,FALSE)</f>
        <v>#N/A</v>
      </c>
      <c r="T306" s="755"/>
      <c r="U306" s="784"/>
      <c r="V306" s="784"/>
      <c r="W306" s="784"/>
      <c r="X306" s="784"/>
      <c r="Y306" s="975"/>
      <c r="Z306" s="975" t="str">
        <f>VLOOKUP(L306,[2]اس!$S$3:$X$31,3,FALSE)</f>
        <v>.</v>
      </c>
      <c r="AA306" s="967"/>
    </row>
    <row r="307" spans="1:32" s="917" customFormat="1" ht="16.5" customHeight="1">
      <c r="A307" s="922"/>
      <c r="B307" s="922"/>
      <c r="C307" s="922"/>
      <c r="D307" s="166"/>
      <c r="E307" s="166"/>
      <c r="F307" s="166"/>
      <c r="G307" s="166"/>
      <c r="H307" s="166"/>
      <c r="I307" s="922"/>
      <c r="J307" s="922"/>
      <c r="K307" s="922"/>
      <c r="L307" s="777">
        <v>5</v>
      </c>
      <c r="M307" s="778"/>
      <c r="N307" s="976"/>
      <c r="O307" s="1020">
        <v>250</v>
      </c>
      <c r="P307" s="847" t="e">
        <f>VLOOKUP(N307,etat!$A$9:$N$1004,2,FALSE)</f>
        <v>#N/A</v>
      </c>
      <c r="Q307" s="797" t="e">
        <f>VLOOKUP(N307,etat!$A$9:$N$963,7,FALSE)</f>
        <v>#N/A</v>
      </c>
      <c r="R307" s="797" t="e">
        <f>VLOOKUP(N307,etat!$A$9:$N$1003,9,FALSE)</f>
        <v>#N/A</v>
      </c>
      <c r="S307" s="866" t="e">
        <f>VLOOKUP(N307,etat!$A$9:$P$905,16,FALSE)</f>
        <v>#N/A</v>
      </c>
      <c r="T307" s="755"/>
      <c r="U307" s="784"/>
      <c r="V307" s="784"/>
      <c r="W307" s="784"/>
      <c r="X307" s="784"/>
      <c r="Y307" s="784"/>
      <c r="Z307" s="975" t="str">
        <f>VLOOKUP(L307,[2]اس!$S$3:$X$31,3,FALSE)</f>
        <v>.</v>
      </c>
      <c r="AA307" s="967"/>
      <c r="AB307" s="916"/>
      <c r="AC307" s="916"/>
      <c r="AD307" s="916"/>
      <c r="AE307" s="916"/>
      <c r="AF307" s="916"/>
    </row>
    <row r="308" spans="1:32" s="917" customFormat="1" ht="16.5" customHeight="1">
      <c r="A308" s="922"/>
      <c r="B308" s="922"/>
      <c r="C308" s="922"/>
      <c r="D308" s="166"/>
      <c r="E308" s="166"/>
      <c r="F308" s="166"/>
      <c r="G308" s="166"/>
      <c r="H308" s="166"/>
      <c r="I308" s="922"/>
      <c r="J308" s="922"/>
      <c r="K308" s="922"/>
      <c r="L308" s="777">
        <v>5</v>
      </c>
      <c r="M308" s="778"/>
      <c r="N308" s="976"/>
      <c r="O308" s="1020">
        <v>251</v>
      </c>
      <c r="P308" s="847" t="e">
        <f>VLOOKUP(N308,etat!$A$9:$N$1004,2,FALSE)</f>
        <v>#N/A</v>
      </c>
      <c r="Q308" s="797" t="e">
        <f>VLOOKUP(N308,etat!$A$9:$N$963,7,FALSE)</f>
        <v>#N/A</v>
      </c>
      <c r="R308" s="797" t="e">
        <f>VLOOKUP(N308,etat!$A$9:$N$1003,9,FALSE)</f>
        <v>#N/A</v>
      </c>
      <c r="S308" s="866" t="e">
        <f>VLOOKUP(N308,etat!$A$9:$P$905,16,FALSE)</f>
        <v>#N/A</v>
      </c>
      <c r="T308" s="755"/>
      <c r="U308" s="784"/>
      <c r="V308" s="784"/>
      <c r="W308" s="784"/>
      <c r="X308" s="784"/>
      <c r="Y308" s="784"/>
      <c r="Z308" s="975" t="str">
        <f>VLOOKUP(L308,[2]اس!$S$3:$X$31,3,FALSE)</f>
        <v>.</v>
      </c>
      <c r="AA308" s="967"/>
      <c r="AB308" s="916"/>
      <c r="AC308" s="916"/>
      <c r="AD308" s="916"/>
      <c r="AE308" s="916"/>
      <c r="AF308" s="916"/>
    </row>
    <row r="309" spans="1:32" s="917" customFormat="1" ht="16.5" customHeight="1">
      <c r="A309" s="922"/>
      <c r="B309" s="922"/>
      <c r="C309" s="922"/>
      <c r="D309" s="166"/>
      <c r="E309" s="166"/>
      <c r="F309" s="166"/>
      <c r="G309" s="166"/>
      <c r="H309" s="166"/>
      <c r="I309" s="922"/>
      <c r="J309" s="922"/>
      <c r="K309" s="922"/>
      <c r="L309" s="777">
        <v>5</v>
      </c>
      <c r="M309" s="778"/>
      <c r="N309" s="976"/>
      <c r="O309" s="1020">
        <v>252</v>
      </c>
      <c r="P309" s="847" t="e">
        <f>VLOOKUP(N309,etat!$A$9:$N$1004,2,FALSE)</f>
        <v>#N/A</v>
      </c>
      <c r="Q309" s="797" t="e">
        <f>VLOOKUP(N309,etat!$A$9:$N$963,7,FALSE)</f>
        <v>#N/A</v>
      </c>
      <c r="R309" s="797" t="e">
        <f>VLOOKUP(N309,etat!$A$9:$N$1003,9,FALSE)</f>
        <v>#N/A</v>
      </c>
      <c r="S309" s="866" t="e">
        <f>VLOOKUP(N309,etat!$A$9:$P$905,16,FALSE)</f>
        <v>#N/A</v>
      </c>
      <c r="T309" s="755"/>
      <c r="U309" s="784"/>
      <c r="V309" s="784"/>
      <c r="W309" s="784"/>
      <c r="X309" s="784"/>
      <c r="Y309" s="975"/>
      <c r="Z309" s="975" t="str">
        <f>VLOOKUP(L309,[2]اس!$S$3:$X$31,3,FALSE)</f>
        <v>.</v>
      </c>
      <c r="AA309" s="967"/>
      <c r="AB309" s="916"/>
      <c r="AC309" s="916"/>
      <c r="AD309" s="916"/>
      <c r="AE309" s="916"/>
      <c r="AF309" s="916"/>
    </row>
    <row r="310" spans="1:32" s="917" customFormat="1" ht="16.5" customHeight="1">
      <c r="A310" s="922"/>
      <c r="B310" s="922"/>
      <c r="C310" s="922"/>
      <c r="D310" s="166"/>
      <c r="E310" s="166"/>
      <c r="F310" s="166"/>
      <c r="G310" s="166"/>
      <c r="H310" s="166"/>
      <c r="I310" s="922"/>
      <c r="J310" s="922"/>
      <c r="K310" s="922"/>
      <c r="L310" s="777">
        <v>5</v>
      </c>
      <c r="M310" s="778"/>
      <c r="N310" s="976"/>
      <c r="O310" s="1020">
        <v>253</v>
      </c>
      <c r="P310" s="847" t="e">
        <f>VLOOKUP(N310,etat!$A$9:$N$1004,2,FALSE)</f>
        <v>#N/A</v>
      </c>
      <c r="Q310" s="797" t="e">
        <f>VLOOKUP(N310,etat!$A$9:$N$963,7,FALSE)</f>
        <v>#N/A</v>
      </c>
      <c r="R310" s="797" t="e">
        <f>VLOOKUP(N310,etat!$A$9:$N$1003,9,FALSE)</f>
        <v>#N/A</v>
      </c>
      <c r="S310" s="866" t="e">
        <f>VLOOKUP(N310,etat!$A$9:$P$905,16,FALSE)</f>
        <v>#N/A</v>
      </c>
      <c r="T310" s="755"/>
      <c r="U310" s="784"/>
      <c r="V310" s="784"/>
      <c r="W310" s="784"/>
      <c r="X310" s="784"/>
      <c r="Y310" s="975"/>
      <c r="Z310" s="975" t="str">
        <f>VLOOKUP(L310,[2]اس!$S$3:$X$31,3,FALSE)</f>
        <v>.</v>
      </c>
      <c r="AA310" s="967"/>
      <c r="AB310" s="916"/>
      <c r="AC310" s="916"/>
      <c r="AD310" s="916"/>
      <c r="AE310" s="916"/>
      <c r="AF310" s="916"/>
    </row>
    <row r="311" spans="1:32" s="917" customFormat="1" ht="16.5" customHeight="1">
      <c r="A311" s="922"/>
      <c r="B311" s="922"/>
      <c r="C311" s="922"/>
      <c r="D311" s="166"/>
      <c r="E311" s="166"/>
      <c r="F311" s="166"/>
      <c r="G311" s="166"/>
      <c r="H311" s="166"/>
      <c r="I311" s="922"/>
      <c r="J311" s="922"/>
      <c r="K311" s="922"/>
      <c r="L311" s="777">
        <v>5</v>
      </c>
      <c r="M311" s="778"/>
      <c r="N311" s="976"/>
      <c r="O311" s="1020">
        <v>254</v>
      </c>
      <c r="P311" s="847" t="e">
        <f>VLOOKUP(N311,etat!$A$9:$N$1004,2,FALSE)</f>
        <v>#N/A</v>
      </c>
      <c r="Q311" s="797" t="e">
        <f>VLOOKUP(N311,etat!$A$9:$N$963,7,FALSE)</f>
        <v>#N/A</v>
      </c>
      <c r="R311" s="797" t="e">
        <f>VLOOKUP(N311,etat!$A$9:$N$1003,9,FALSE)</f>
        <v>#N/A</v>
      </c>
      <c r="S311" s="866" t="e">
        <f>VLOOKUP(N311,etat!$A$9:$P$905,16,FALSE)</f>
        <v>#N/A</v>
      </c>
      <c r="T311" s="755"/>
      <c r="U311" s="784"/>
      <c r="V311" s="784"/>
      <c r="W311" s="784"/>
      <c r="X311" s="784"/>
      <c r="Y311" s="784"/>
      <c r="Z311" s="975" t="str">
        <f>VLOOKUP(L311,[2]اس!$S$3:$X$31,3,FALSE)</f>
        <v>.</v>
      </c>
      <c r="AA311" s="967"/>
      <c r="AB311" s="916"/>
      <c r="AC311" s="916"/>
      <c r="AD311" s="916"/>
      <c r="AE311" s="916"/>
      <c r="AF311" s="916"/>
    </row>
    <row r="312" spans="1:32" ht="16.5" customHeight="1">
      <c r="A312" s="922"/>
      <c r="B312" s="922"/>
      <c r="C312" s="922"/>
      <c r="I312" s="922"/>
      <c r="J312" s="922"/>
      <c r="K312" s="922"/>
      <c r="L312" s="777">
        <v>5</v>
      </c>
      <c r="M312" s="778"/>
      <c r="N312" s="976"/>
      <c r="O312" s="1020">
        <v>255</v>
      </c>
      <c r="P312" s="847" t="e">
        <f>VLOOKUP(N312,etat!$A$9:$N$1004,2,FALSE)</f>
        <v>#N/A</v>
      </c>
      <c r="Q312" s="797" t="e">
        <f>VLOOKUP(N312,etat!$A$9:$N$963,7,FALSE)</f>
        <v>#N/A</v>
      </c>
      <c r="R312" s="797" t="e">
        <f>VLOOKUP(N312,etat!$A$9:$N$1003,9,FALSE)</f>
        <v>#N/A</v>
      </c>
      <c r="S312" s="866" t="e">
        <f>VLOOKUP(N312,etat!$A$9:$P$905,16,FALSE)</f>
        <v>#N/A</v>
      </c>
      <c r="T312" s="755"/>
      <c r="U312" s="784"/>
      <c r="V312" s="784"/>
      <c r="W312" s="784"/>
      <c r="X312" s="784"/>
      <c r="Y312" s="784"/>
      <c r="Z312" s="975" t="str">
        <f>VLOOKUP(L312,[2]اس!$S$3:$X$31,3,FALSE)</f>
        <v>.</v>
      </c>
      <c r="AA312" s="967"/>
    </row>
    <row r="313" spans="1:32" ht="16.5" customHeight="1">
      <c r="A313" s="922"/>
      <c r="B313" s="922"/>
      <c r="C313" s="922"/>
      <c r="I313" s="922"/>
      <c r="J313" s="922"/>
      <c r="K313" s="922"/>
      <c r="L313" s="777">
        <v>5</v>
      </c>
      <c r="M313" s="778"/>
      <c r="N313" s="976"/>
      <c r="O313" s="1020">
        <v>256</v>
      </c>
      <c r="P313" s="847" t="e">
        <f>VLOOKUP(N313,etat!$A$9:$N$1004,2,FALSE)</f>
        <v>#N/A</v>
      </c>
      <c r="Q313" s="797" t="e">
        <f>VLOOKUP(N313,etat!$A$9:$N$963,7,FALSE)</f>
        <v>#N/A</v>
      </c>
      <c r="R313" s="797" t="e">
        <f>VLOOKUP(N313,etat!$A$9:$N$1003,9,FALSE)</f>
        <v>#N/A</v>
      </c>
      <c r="S313" s="866" t="e">
        <f>VLOOKUP(N313,etat!$A$9:$P$905,16,FALSE)</f>
        <v>#N/A</v>
      </c>
      <c r="T313" s="755"/>
      <c r="U313" s="784"/>
      <c r="V313" s="784"/>
      <c r="W313" s="784"/>
      <c r="X313" s="784"/>
      <c r="Y313" s="784"/>
      <c r="Z313" s="975" t="str">
        <f>VLOOKUP(L313,[2]اس!$S$3:$X$31,3,FALSE)</f>
        <v>.</v>
      </c>
      <c r="AA313" s="967"/>
    </row>
    <row r="314" spans="1:32" ht="16.5" customHeight="1">
      <c r="A314" s="922"/>
      <c r="B314" s="922"/>
      <c r="C314" s="922"/>
      <c r="I314" s="922"/>
      <c r="J314" s="922"/>
      <c r="K314" s="922"/>
      <c r="L314" s="777">
        <v>5</v>
      </c>
      <c r="M314" s="778"/>
      <c r="N314" s="976"/>
      <c r="O314" s="1020">
        <v>257</v>
      </c>
      <c r="P314" s="847" t="e">
        <f>VLOOKUP(N314,etat!$A$9:$N$1004,2,FALSE)</f>
        <v>#N/A</v>
      </c>
      <c r="Q314" s="797" t="e">
        <f>VLOOKUP(N314,etat!$A$9:$N$963,7,FALSE)</f>
        <v>#N/A</v>
      </c>
      <c r="R314" s="797" t="e">
        <f>VLOOKUP(N314,etat!$A$9:$N$1003,9,FALSE)</f>
        <v>#N/A</v>
      </c>
      <c r="S314" s="866" t="e">
        <f>VLOOKUP(N314,etat!$A$9:$P$905,16,FALSE)</f>
        <v>#N/A</v>
      </c>
      <c r="T314" s="755"/>
      <c r="U314" s="784"/>
      <c r="V314" s="784"/>
      <c r="W314" s="784"/>
      <c r="X314" s="784"/>
      <c r="Y314" s="784"/>
      <c r="Z314" s="975" t="str">
        <f>VLOOKUP(L314,[2]اس!$S$3:$X$31,3,FALSE)</f>
        <v>.</v>
      </c>
      <c r="AA314" s="967"/>
    </row>
    <row r="315" spans="1:32" s="950" customFormat="1" ht="16.5" customHeight="1">
      <c r="D315" s="166"/>
      <c r="E315" s="166"/>
      <c r="F315" s="166"/>
      <c r="G315" s="166"/>
      <c r="H315" s="166"/>
      <c r="L315" s="777">
        <v>5</v>
      </c>
      <c r="M315" s="778"/>
      <c r="N315" s="976"/>
      <c r="O315" s="1020">
        <v>258</v>
      </c>
      <c r="P315" s="847" t="e">
        <f>VLOOKUP(N315,etat!$A$9:$N$1004,2,FALSE)</f>
        <v>#N/A</v>
      </c>
      <c r="Q315" s="797" t="e">
        <f>VLOOKUP(N315,etat!$A$9:$N$963,7,FALSE)</f>
        <v>#N/A</v>
      </c>
      <c r="R315" s="797" t="e">
        <f>VLOOKUP(N315,etat!$A$9:$N$1003,9,FALSE)</f>
        <v>#N/A</v>
      </c>
      <c r="S315" s="866" t="e">
        <f>VLOOKUP(N315,etat!$A$9:$P$905,16,FALSE)</f>
        <v>#N/A</v>
      </c>
      <c r="T315" s="755"/>
      <c r="U315" s="784"/>
      <c r="V315" s="784"/>
      <c r="W315" s="784"/>
      <c r="X315" s="784"/>
      <c r="Y315" s="784"/>
      <c r="Z315" s="975" t="str">
        <f>VLOOKUP(L315,[2]اس!$S$3:$X$31,3,FALSE)</f>
        <v>.</v>
      </c>
      <c r="AA315" s="967"/>
      <c r="AB315" s="951"/>
      <c r="AC315" s="951"/>
      <c r="AD315" s="951"/>
      <c r="AE315" s="951"/>
      <c r="AF315" s="951"/>
    </row>
    <row r="316" spans="1:32" ht="16.5" customHeight="1">
      <c r="A316" s="922"/>
      <c r="B316" s="922"/>
      <c r="C316" s="922"/>
      <c r="I316" s="922"/>
      <c r="J316" s="922"/>
      <c r="K316" s="922"/>
      <c r="L316" s="777">
        <v>5</v>
      </c>
      <c r="M316" s="864"/>
      <c r="N316" s="976"/>
      <c r="O316" s="1020">
        <v>259</v>
      </c>
      <c r="P316" s="847" t="e">
        <f>VLOOKUP(N316,etat!$A$9:$N$1004,2,FALSE)</f>
        <v>#N/A</v>
      </c>
      <c r="Q316" s="797" t="e">
        <f>VLOOKUP(N316,etat!$A$9:$N$963,7,FALSE)</f>
        <v>#N/A</v>
      </c>
      <c r="R316" s="797" t="e">
        <f>VLOOKUP(N316,etat!$A$9:$N$1003,9,FALSE)</f>
        <v>#N/A</v>
      </c>
      <c r="S316" s="866" t="e">
        <f>VLOOKUP(N316,etat!$A$9:$P$905,16,FALSE)</f>
        <v>#N/A</v>
      </c>
      <c r="T316" s="755"/>
      <c r="U316" s="784"/>
      <c r="V316" s="784"/>
      <c r="W316" s="755"/>
      <c r="X316" s="784"/>
      <c r="Y316" s="975"/>
      <c r="Z316" s="975" t="str">
        <f>VLOOKUP(L316,[2]اس!$S$3:$X$31,3,FALSE)</f>
        <v>.</v>
      </c>
      <c r="AA316" s="967"/>
    </row>
    <row r="317" spans="1:32" ht="16.5" customHeight="1">
      <c r="A317" s="922"/>
      <c r="B317" s="922"/>
      <c r="C317" s="922"/>
      <c r="I317" s="922"/>
      <c r="J317" s="922"/>
      <c r="K317" s="922"/>
      <c r="L317" s="777">
        <v>5</v>
      </c>
      <c r="M317" s="864"/>
      <c r="N317" s="976"/>
      <c r="O317" s="1020">
        <v>260</v>
      </c>
      <c r="P317" s="847" t="e">
        <f>VLOOKUP(N317,etat!$A$9:$N$1004,2,FALSE)</f>
        <v>#N/A</v>
      </c>
      <c r="Q317" s="797" t="e">
        <f>VLOOKUP(N317,etat!$A$9:$N$963,7,FALSE)</f>
        <v>#N/A</v>
      </c>
      <c r="R317" s="797" t="e">
        <f>VLOOKUP(N317,etat!$A$9:$N$1003,9,FALSE)</f>
        <v>#N/A</v>
      </c>
      <c r="S317" s="866" t="e">
        <f>VLOOKUP(N317,etat!$A$9:$P$905,16,FALSE)</f>
        <v>#N/A</v>
      </c>
      <c r="T317" s="755"/>
      <c r="U317" s="784"/>
      <c r="V317" s="784"/>
      <c r="W317" s="755"/>
      <c r="X317" s="784"/>
      <c r="Y317" s="975"/>
      <c r="Z317" s="975" t="str">
        <f>VLOOKUP(L317,[2]اس!$S$3:$X$31,3,FALSE)</f>
        <v>.</v>
      </c>
      <c r="AA317" s="967"/>
    </row>
    <row r="318" spans="1:32" ht="16.5" customHeight="1">
      <c r="A318" s="922"/>
      <c r="B318" s="922"/>
      <c r="C318" s="922"/>
      <c r="I318" s="922"/>
      <c r="J318" s="922"/>
      <c r="K318" s="922"/>
      <c r="L318" s="777">
        <v>5</v>
      </c>
      <c r="M318" s="864"/>
      <c r="N318" s="976"/>
      <c r="O318" s="1020">
        <v>261</v>
      </c>
      <c r="P318" s="847" t="e">
        <f>VLOOKUP(N318,etat!$A$9:$N$1004,2,FALSE)</f>
        <v>#N/A</v>
      </c>
      <c r="Q318" s="797" t="e">
        <f>VLOOKUP(N318,etat!$A$9:$N$963,7,FALSE)</f>
        <v>#N/A</v>
      </c>
      <c r="R318" s="797" t="e">
        <f>VLOOKUP(N318,etat!$A$9:$N$1003,9,FALSE)</f>
        <v>#N/A</v>
      </c>
      <c r="S318" s="866" t="e">
        <f>VLOOKUP(N318,etat!$A$9:$P$905,16,FALSE)</f>
        <v>#N/A</v>
      </c>
      <c r="T318" s="755"/>
      <c r="U318" s="784"/>
      <c r="V318" s="784"/>
      <c r="W318" s="755"/>
      <c r="X318" s="784"/>
      <c r="Y318" s="975"/>
      <c r="Z318" s="975" t="str">
        <f>VLOOKUP(L318,[2]اس!$S$3:$X$31,3,FALSE)</f>
        <v>.</v>
      </c>
      <c r="AA318" s="967"/>
    </row>
    <row r="319" spans="1:32" ht="16.5" customHeight="1">
      <c r="A319" s="922"/>
      <c r="B319" s="922"/>
      <c r="C319" s="922"/>
      <c r="I319" s="922"/>
      <c r="J319" s="922"/>
      <c r="K319" s="922"/>
      <c r="L319" s="777">
        <v>5</v>
      </c>
      <c r="M319" s="864"/>
      <c r="N319" s="976"/>
      <c r="O319" s="1020">
        <v>262</v>
      </c>
      <c r="P319" s="847" t="e">
        <f>VLOOKUP(N319,etat!$A$9:$N$1004,2,FALSE)</f>
        <v>#N/A</v>
      </c>
      <c r="Q319" s="797" t="e">
        <f>VLOOKUP(N319,etat!$A$9:$N$963,7,FALSE)</f>
        <v>#N/A</v>
      </c>
      <c r="R319" s="797" t="e">
        <f>VLOOKUP(N319,etat!$A$9:$N$1003,9,FALSE)</f>
        <v>#N/A</v>
      </c>
      <c r="S319" s="866" t="e">
        <f>VLOOKUP(N319,etat!$A$9:$P$905,16,FALSE)</f>
        <v>#N/A</v>
      </c>
      <c r="T319" s="755"/>
      <c r="U319" s="784"/>
      <c r="V319" s="784"/>
      <c r="W319" s="784"/>
      <c r="X319" s="784"/>
      <c r="Y319" s="784"/>
      <c r="Z319" s="975" t="str">
        <f>VLOOKUP(L319,[2]اس!$S$3:$X$31,3,FALSE)</f>
        <v>.</v>
      </c>
      <c r="AA319" s="967"/>
    </row>
    <row r="320" spans="1:32" ht="16.5" customHeight="1">
      <c r="A320" s="922"/>
      <c r="B320" s="922"/>
      <c r="C320" s="922"/>
      <c r="I320" s="922"/>
      <c r="J320" s="922"/>
      <c r="K320" s="922"/>
      <c r="L320" s="777">
        <v>5</v>
      </c>
      <c r="M320" s="778"/>
      <c r="N320" s="976"/>
      <c r="O320" s="1020">
        <v>263</v>
      </c>
      <c r="P320" s="847" t="e">
        <f>VLOOKUP(N320,etat!$A$9:$N$1004,2,FALSE)</f>
        <v>#N/A</v>
      </c>
      <c r="Q320" s="797" t="e">
        <f>VLOOKUP(N320,etat!$A$9:$N$963,7,FALSE)</f>
        <v>#N/A</v>
      </c>
      <c r="R320" s="797" t="e">
        <f>VLOOKUP(N320,etat!$A$9:$N$1003,9,FALSE)</f>
        <v>#N/A</v>
      </c>
      <c r="S320" s="866" t="e">
        <f>VLOOKUP(N320,etat!$A$9:$P$905,16,FALSE)</f>
        <v>#N/A</v>
      </c>
      <c r="T320" s="755"/>
      <c r="U320" s="784"/>
      <c r="V320" s="784"/>
      <c r="W320" s="955"/>
      <c r="X320" s="955"/>
      <c r="Y320" s="956"/>
      <c r="Z320" s="975" t="str">
        <f>VLOOKUP(L320,[2]اس!$S$3:$X$31,3,FALSE)</f>
        <v>.</v>
      </c>
      <c r="AA320" s="967"/>
    </row>
    <row r="321" spans="1:32" ht="16.5" customHeight="1">
      <c r="A321" s="922"/>
      <c r="B321" s="922"/>
      <c r="C321" s="922"/>
      <c r="I321" s="922"/>
      <c r="J321" s="922"/>
      <c r="K321" s="922"/>
      <c r="L321" s="777">
        <v>5</v>
      </c>
      <c r="M321" s="778"/>
      <c r="N321" s="1076"/>
      <c r="O321" s="1020">
        <v>264</v>
      </c>
      <c r="P321" s="847" t="e">
        <f>VLOOKUP(N321,etat!$A$9:$N$1004,2,FALSE)</f>
        <v>#N/A</v>
      </c>
      <c r="Q321" s="797" t="e">
        <f>VLOOKUP(N321,etat!$A$9:$N$963,7,FALSE)</f>
        <v>#N/A</v>
      </c>
      <c r="R321" s="797" t="e">
        <f>VLOOKUP(N321,etat!$A$9:$N$1003,9,FALSE)</f>
        <v>#N/A</v>
      </c>
      <c r="S321" s="866" t="e">
        <f>VLOOKUP(N321,etat!$A$9:$P$905,16,FALSE)</f>
        <v>#N/A</v>
      </c>
      <c r="T321" s="755"/>
      <c r="U321" s="784"/>
      <c r="V321" s="784"/>
      <c r="W321" s="955"/>
      <c r="X321" s="955"/>
      <c r="Y321" s="956"/>
      <c r="Z321" s="975" t="str">
        <f>VLOOKUP(L321,[2]اس!$S$3:$X$31,3,FALSE)</f>
        <v>.</v>
      </c>
      <c r="AA321" s="967"/>
    </row>
    <row r="322" spans="1:32" ht="16.5" customHeight="1">
      <c r="A322" s="922"/>
      <c r="B322" s="922"/>
      <c r="C322" s="922"/>
      <c r="I322" s="922"/>
      <c r="J322" s="922"/>
      <c r="K322" s="922"/>
      <c r="L322" s="777">
        <v>5</v>
      </c>
      <c r="M322" s="778"/>
      <c r="N322" s="1076"/>
      <c r="O322" s="1020">
        <v>265</v>
      </c>
      <c r="P322" s="847" t="e">
        <f>VLOOKUP(N322,etat!$A$9:$N$1004,2,FALSE)</f>
        <v>#N/A</v>
      </c>
      <c r="Q322" s="797" t="e">
        <f>VLOOKUP(N322,etat!$A$9:$N$963,7,FALSE)</f>
        <v>#N/A</v>
      </c>
      <c r="R322" s="797" t="e">
        <f>VLOOKUP(N322,etat!$A$9:$N$1003,9,FALSE)</f>
        <v>#N/A</v>
      </c>
      <c r="S322" s="866" t="e">
        <f>VLOOKUP(N322,etat!$A$9:$P$905,16,FALSE)</f>
        <v>#N/A</v>
      </c>
      <c r="T322" s="755"/>
      <c r="U322" s="784"/>
      <c r="V322" s="784"/>
      <c r="W322" s="955"/>
      <c r="X322" s="955"/>
      <c r="Y322" s="956"/>
      <c r="Z322" s="975" t="str">
        <f>VLOOKUP(L322,[2]اس!$S$3:$X$31,3,FALSE)</f>
        <v>.</v>
      </c>
      <c r="AA322" s="967"/>
    </row>
    <row r="323" spans="1:32" s="917" customFormat="1" ht="16.5" customHeight="1">
      <c r="A323" s="922"/>
      <c r="B323" s="922"/>
      <c r="C323" s="922"/>
      <c r="D323" s="166"/>
      <c r="E323" s="166"/>
      <c r="F323" s="166"/>
      <c r="G323" s="166"/>
      <c r="H323" s="166"/>
      <c r="I323" s="922"/>
      <c r="J323" s="922"/>
      <c r="K323" s="922"/>
      <c r="L323" s="777">
        <v>5</v>
      </c>
      <c r="M323" s="778"/>
      <c r="N323" s="1076"/>
      <c r="O323" s="1020">
        <v>266</v>
      </c>
      <c r="P323" s="847" t="e">
        <f>VLOOKUP(N323,etat!$A$9:$N$1004,2,FALSE)</f>
        <v>#N/A</v>
      </c>
      <c r="Q323" s="797" t="e">
        <f>VLOOKUP(N323,etat!$A$9:$N$963,7,FALSE)</f>
        <v>#N/A</v>
      </c>
      <c r="R323" s="797" t="e">
        <f>VLOOKUP(N323,etat!$A$9:$N$1003,9,FALSE)</f>
        <v>#N/A</v>
      </c>
      <c r="S323" s="866" t="e">
        <f>VLOOKUP(N323,etat!$A$9:$P$905,16,FALSE)</f>
        <v>#N/A</v>
      </c>
      <c r="T323" s="755"/>
      <c r="U323" s="784"/>
      <c r="V323" s="784"/>
      <c r="W323" s="955"/>
      <c r="X323" s="955"/>
      <c r="Y323" s="956"/>
      <c r="Z323" s="975" t="str">
        <f>VLOOKUP(L323,[2]اس!$S$3:$X$31,3,FALSE)</f>
        <v>.</v>
      </c>
      <c r="AA323" s="967"/>
      <c r="AB323" s="916"/>
      <c r="AC323" s="916"/>
      <c r="AD323" s="916"/>
      <c r="AE323" s="916"/>
      <c r="AF323" s="916"/>
    </row>
    <row r="324" spans="1:32" s="917" customFormat="1" ht="16.5" customHeight="1">
      <c r="A324" s="922"/>
      <c r="B324" s="922"/>
      <c r="C324" s="922"/>
      <c r="D324" s="166"/>
      <c r="E324" s="166"/>
      <c r="F324" s="166"/>
      <c r="G324" s="166"/>
      <c r="H324" s="166"/>
      <c r="I324" s="922"/>
      <c r="J324" s="922"/>
      <c r="K324" s="922"/>
      <c r="L324" s="777">
        <v>5</v>
      </c>
      <c r="M324" s="778"/>
      <c r="N324" s="976"/>
      <c r="O324" s="1020">
        <v>267</v>
      </c>
      <c r="P324" s="847" t="e">
        <f>VLOOKUP(N324,etat!$A$9:$N$1004,2,FALSE)</f>
        <v>#N/A</v>
      </c>
      <c r="Q324" s="797" t="e">
        <f>VLOOKUP(N324,etat!$A$9:$N$963,7,FALSE)</f>
        <v>#N/A</v>
      </c>
      <c r="R324" s="797" t="e">
        <f>VLOOKUP(N324,etat!$A$9:$N$1003,9,FALSE)</f>
        <v>#N/A</v>
      </c>
      <c r="S324" s="866" t="e">
        <f>VLOOKUP(N324,etat!$A$9:$P$905,16,FALSE)</f>
        <v>#N/A</v>
      </c>
      <c r="T324" s="755"/>
      <c r="U324" s="784"/>
      <c r="V324" s="784"/>
      <c r="W324" s="755"/>
      <c r="X324" s="784"/>
      <c r="Y324" s="975"/>
      <c r="Z324" s="975" t="str">
        <f>VLOOKUP(L324,[2]اس!$S$3:$X$31,3,FALSE)</f>
        <v>.</v>
      </c>
      <c r="AA324" s="967"/>
      <c r="AB324" s="916"/>
      <c r="AC324" s="916"/>
      <c r="AD324" s="916"/>
      <c r="AE324" s="916"/>
      <c r="AF324" s="916"/>
    </row>
    <row r="325" spans="1:32" s="917" customFormat="1" ht="16.5" customHeight="1">
      <c r="A325" s="922"/>
      <c r="B325" s="922"/>
      <c r="C325" s="922"/>
      <c r="D325" s="166"/>
      <c r="E325" s="166"/>
      <c r="F325" s="166"/>
      <c r="G325" s="166"/>
      <c r="H325" s="166"/>
      <c r="I325" s="922"/>
      <c r="J325" s="922"/>
      <c r="K325" s="922"/>
      <c r="L325" s="777">
        <v>5</v>
      </c>
      <c r="M325" s="778"/>
      <c r="N325" s="976"/>
      <c r="O325" s="1020">
        <v>268</v>
      </c>
      <c r="P325" s="847" t="e">
        <f>VLOOKUP(N325,etat!$A$9:$N$1004,2,FALSE)</f>
        <v>#N/A</v>
      </c>
      <c r="Q325" s="797" t="e">
        <f>VLOOKUP(N325,etat!$A$9:$N$963,7,FALSE)</f>
        <v>#N/A</v>
      </c>
      <c r="R325" s="797" t="e">
        <f>VLOOKUP(N325,etat!$A$9:$N$1003,9,FALSE)</f>
        <v>#N/A</v>
      </c>
      <c r="S325" s="866" t="e">
        <f>VLOOKUP(N325,etat!$A$9:$P$905,16,FALSE)</f>
        <v>#N/A</v>
      </c>
      <c r="T325" s="755"/>
      <c r="U325" s="784"/>
      <c r="V325" s="784"/>
      <c r="W325" s="784"/>
      <c r="X325" s="784"/>
      <c r="Y325" s="784"/>
      <c r="Z325" s="975" t="str">
        <f>VLOOKUP(L325,[2]اس!$S$3:$X$31,3,FALSE)</f>
        <v>.</v>
      </c>
      <c r="AA325" s="967"/>
      <c r="AB325" s="916"/>
      <c r="AC325" s="916"/>
      <c r="AD325" s="916"/>
      <c r="AE325" s="916"/>
      <c r="AF325" s="916"/>
    </row>
    <row r="326" spans="1:32" s="917" customFormat="1" ht="16.5" customHeight="1">
      <c r="A326" s="922"/>
      <c r="B326" s="922"/>
      <c r="C326" s="922"/>
      <c r="D326" s="166"/>
      <c r="E326" s="166"/>
      <c r="F326" s="166"/>
      <c r="G326" s="166"/>
      <c r="H326" s="166"/>
      <c r="I326" s="922"/>
      <c r="J326" s="922"/>
      <c r="K326" s="922"/>
      <c r="L326" s="777">
        <v>5</v>
      </c>
      <c r="M326" s="778"/>
      <c r="N326" s="976"/>
      <c r="O326" s="1020">
        <v>269</v>
      </c>
      <c r="P326" s="847" t="e">
        <f>VLOOKUP(N326,etat!$A$9:$N$1004,2,FALSE)</f>
        <v>#N/A</v>
      </c>
      <c r="Q326" s="797" t="e">
        <f>VLOOKUP(N326,etat!$A$9:$N$963,7,FALSE)</f>
        <v>#N/A</v>
      </c>
      <c r="R326" s="797" t="e">
        <f>VLOOKUP(N326,etat!$A$9:$N$1003,9,FALSE)</f>
        <v>#N/A</v>
      </c>
      <c r="S326" s="866" t="e">
        <f>VLOOKUP(N326,etat!$A$9:$P$905,16,FALSE)</f>
        <v>#N/A</v>
      </c>
      <c r="T326" s="755"/>
      <c r="U326" s="784"/>
      <c r="V326" s="784"/>
      <c r="W326" s="955"/>
      <c r="X326" s="955"/>
      <c r="Y326" s="956"/>
      <c r="Z326" s="975" t="str">
        <f>VLOOKUP(L326,[2]اس!$S$3:$X$31,3,FALSE)</f>
        <v>.</v>
      </c>
      <c r="AA326" s="967"/>
      <c r="AB326" s="916"/>
      <c r="AC326" s="916"/>
      <c r="AD326" s="916"/>
      <c r="AE326" s="916"/>
      <c r="AF326" s="916"/>
    </row>
    <row r="327" spans="1:32" s="917" customFormat="1" ht="16.5" customHeight="1">
      <c r="A327" s="922"/>
      <c r="B327" s="922"/>
      <c r="C327" s="922"/>
      <c r="D327" s="166"/>
      <c r="E327" s="166"/>
      <c r="F327" s="166"/>
      <c r="G327" s="166"/>
      <c r="H327" s="166"/>
      <c r="I327" s="922"/>
      <c r="J327" s="922"/>
      <c r="K327" s="922"/>
      <c r="L327" s="777">
        <v>5</v>
      </c>
      <c r="M327" s="778"/>
      <c r="N327" s="1076"/>
      <c r="O327" s="1020">
        <v>270</v>
      </c>
      <c r="P327" s="847" t="e">
        <f>VLOOKUP(N327,etat!$A$9:$N$1004,2,FALSE)</f>
        <v>#N/A</v>
      </c>
      <c r="Q327" s="797" t="e">
        <f>VLOOKUP(N327,etat!$A$9:$N$963,7,FALSE)</f>
        <v>#N/A</v>
      </c>
      <c r="R327" s="797" t="e">
        <f>VLOOKUP(N327,etat!$A$9:$N$1003,9,FALSE)</f>
        <v>#N/A</v>
      </c>
      <c r="S327" s="866" t="e">
        <f>VLOOKUP(N327,etat!$A$9:$P$905,16,FALSE)</f>
        <v>#N/A</v>
      </c>
      <c r="T327" s="755"/>
      <c r="U327" s="784"/>
      <c r="V327" s="784"/>
      <c r="W327" s="955"/>
      <c r="X327" s="955"/>
      <c r="Y327" s="956"/>
      <c r="Z327" s="975" t="str">
        <f>VLOOKUP(L327,[2]اس!$S$3:$X$31,3,FALSE)</f>
        <v>.</v>
      </c>
      <c r="AA327" s="967"/>
      <c r="AB327" s="916"/>
      <c r="AC327" s="916"/>
      <c r="AD327" s="916"/>
      <c r="AE327" s="916"/>
      <c r="AF327" s="916"/>
    </row>
    <row r="328" spans="1:32" s="917" customFormat="1" ht="16.5" customHeight="1">
      <c r="A328" s="922"/>
      <c r="B328" s="922"/>
      <c r="C328" s="922"/>
      <c r="D328" s="166"/>
      <c r="E328" s="166"/>
      <c r="F328" s="166"/>
      <c r="G328" s="166"/>
      <c r="H328" s="166"/>
      <c r="I328" s="922"/>
      <c r="J328" s="922"/>
      <c r="K328" s="922"/>
      <c r="L328" s="777">
        <v>5</v>
      </c>
      <c r="M328" s="778"/>
      <c r="N328" s="976"/>
      <c r="O328" s="1020">
        <v>271</v>
      </c>
      <c r="P328" s="847" t="e">
        <f>VLOOKUP(N328,etat!$A$9:$N$1004,2,FALSE)</f>
        <v>#N/A</v>
      </c>
      <c r="Q328" s="797" t="e">
        <f>VLOOKUP(N328,etat!$A$9:$N$963,7,FALSE)</f>
        <v>#N/A</v>
      </c>
      <c r="R328" s="797" t="e">
        <f>VLOOKUP(N328,etat!$A$9:$N$1003,9,FALSE)</f>
        <v>#N/A</v>
      </c>
      <c r="S328" s="866" t="e">
        <f>VLOOKUP(N328,etat!$A$9:$P$905,16,FALSE)</f>
        <v>#N/A</v>
      </c>
      <c r="T328" s="755"/>
      <c r="U328" s="784"/>
      <c r="V328" s="784"/>
      <c r="W328" s="784"/>
      <c r="X328" s="784"/>
      <c r="Y328" s="975"/>
      <c r="Z328" s="975" t="str">
        <f>VLOOKUP(L328,[2]اس!$S$3:$X$31,3,FALSE)</f>
        <v>.</v>
      </c>
      <c r="AA328" s="967"/>
      <c r="AB328" s="916"/>
      <c r="AC328" s="916"/>
      <c r="AD328" s="916"/>
      <c r="AE328" s="916"/>
      <c r="AF328" s="916"/>
    </row>
    <row r="329" spans="1:32" s="917" customFormat="1" ht="16.5" customHeight="1">
      <c r="A329" s="922"/>
      <c r="B329" s="922"/>
      <c r="C329" s="922"/>
      <c r="D329" s="166"/>
      <c r="E329" s="166"/>
      <c r="F329" s="166"/>
      <c r="G329" s="166"/>
      <c r="H329" s="166"/>
      <c r="I329" s="922"/>
      <c r="J329" s="922"/>
      <c r="K329" s="922"/>
      <c r="L329" s="777">
        <v>5</v>
      </c>
      <c r="M329" s="778"/>
      <c r="N329" s="976"/>
      <c r="O329" s="1020">
        <v>272</v>
      </c>
      <c r="P329" s="847" t="e">
        <f>VLOOKUP(N329,etat!$A$9:$N$1004,2,FALSE)</f>
        <v>#N/A</v>
      </c>
      <c r="Q329" s="797" t="e">
        <f>VLOOKUP(N329,etat!$A$9:$N$963,7,FALSE)</f>
        <v>#N/A</v>
      </c>
      <c r="R329" s="797" t="e">
        <f>VLOOKUP(N329,etat!$A$9:$N$1003,9,FALSE)</f>
        <v>#N/A</v>
      </c>
      <c r="S329" s="866" t="e">
        <f>VLOOKUP(N329,etat!$A$9:$P$905,16,FALSE)</f>
        <v>#N/A</v>
      </c>
      <c r="T329" s="755"/>
      <c r="U329" s="784"/>
      <c r="V329" s="784"/>
      <c r="W329" s="784"/>
      <c r="X329" s="784"/>
      <c r="Y329" s="975"/>
      <c r="Z329" s="975" t="str">
        <f>VLOOKUP(L329,[2]اس!$S$3:$X$31,3,FALSE)</f>
        <v>.</v>
      </c>
      <c r="AA329" s="967"/>
      <c r="AB329" s="916"/>
      <c r="AC329" s="916"/>
      <c r="AD329" s="916"/>
      <c r="AE329" s="916"/>
      <c r="AF329" s="916"/>
    </row>
    <row r="330" spans="1:32" s="918" customFormat="1" ht="16.5" customHeight="1">
      <c r="A330" s="922"/>
      <c r="B330" s="922"/>
      <c r="C330" s="922"/>
      <c r="D330" s="166"/>
      <c r="E330" s="166"/>
      <c r="F330" s="166"/>
      <c r="G330" s="166"/>
      <c r="H330" s="166"/>
      <c r="I330" s="922"/>
      <c r="J330" s="922"/>
      <c r="K330" s="922"/>
      <c r="L330" s="777">
        <v>5</v>
      </c>
      <c r="M330" s="864"/>
      <c r="N330" s="976"/>
      <c r="O330" s="1020">
        <v>273</v>
      </c>
      <c r="P330" s="847" t="e">
        <f>VLOOKUP(N330,etat!$A$9:$N$1004,2,FALSE)</f>
        <v>#N/A</v>
      </c>
      <c r="Q330" s="797" t="e">
        <f>VLOOKUP(N330,etat!$A$9:$N$963,7,FALSE)</f>
        <v>#N/A</v>
      </c>
      <c r="R330" s="797" t="e">
        <f>VLOOKUP(N330,etat!$A$9:$N$1003,9,FALSE)</f>
        <v>#N/A</v>
      </c>
      <c r="S330" s="866" t="e">
        <f>VLOOKUP(N330,etat!$A$9:$P$905,16,FALSE)</f>
        <v>#N/A</v>
      </c>
      <c r="T330" s="755"/>
      <c r="U330" s="784"/>
      <c r="V330" s="784"/>
      <c r="W330" s="955"/>
      <c r="X330" s="955"/>
      <c r="Y330" s="956"/>
      <c r="Z330" s="975" t="str">
        <f>VLOOKUP(L330,[2]اس!$S$3:$X$31,3,FALSE)</f>
        <v>.</v>
      </c>
      <c r="AA330" s="967"/>
      <c r="AB330" s="919"/>
      <c r="AC330" s="919"/>
      <c r="AD330" s="919"/>
      <c r="AE330" s="919"/>
      <c r="AF330" s="919"/>
    </row>
    <row r="331" spans="1:32" s="918" customFormat="1" ht="16.5" customHeight="1">
      <c r="A331" s="922"/>
      <c r="B331" s="922"/>
      <c r="C331" s="922"/>
      <c r="D331" s="166"/>
      <c r="E331" s="166"/>
      <c r="F331" s="166"/>
      <c r="G331" s="166"/>
      <c r="H331" s="166"/>
      <c r="I331" s="922"/>
      <c r="J331" s="922"/>
      <c r="K331" s="922"/>
      <c r="L331" s="777">
        <v>5</v>
      </c>
      <c r="M331" s="864"/>
      <c r="N331" s="976"/>
      <c r="O331" s="1020">
        <v>274</v>
      </c>
      <c r="P331" s="847" t="e">
        <f>VLOOKUP(N331,etat!$A$9:$N$1004,2,FALSE)</f>
        <v>#N/A</v>
      </c>
      <c r="Q331" s="797" t="e">
        <f>VLOOKUP(N331,etat!$A$9:$N$963,7,FALSE)</f>
        <v>#N/A</v>
      </c>
      <c r="R331" s="797" t="e">
        <f>VLOOKUP(N331,etat!$A$9:$N$1003,9,FALSE)</f>
        <v>#N/A</v>
      </c>
      <c r="S331" s="866" t="e">
        <f>VLOOKUP(N331,etat!$A$9:$P$905,16,FALSE)</f>
        <v>#N/A</v>
      </c>
      <c r="T331" s="755"/>
      <c r="U331" s="784"/>
      <c r="V331" s="784"/>
      <c r="W331" s="784"/>
      <c r="X331" s="784"/>
      <c r="Y331" s="975"/>
      <c r="Z331" s="975" t="str">
        <f>VLOOKUP(L331,[2]اس!$S$3:$X$31,3,FALSE)</f>
        <v>.</v>
      </c>
      <c r="AA331" s="967"/>
      <c r="AB331" s="919"/>
      <c r="AC331" s="919"/>
      <c r="AD331" s="919"/>
      <c r="AE331" s="919"/>
      <c r="AF331" s="919"/>
    </row>
    <row r="332" spans="1:32" s="918" customFormat="1" ht="16.5" customHeight="1">
      <c r="A332" s="922"/>
      <c r="B332" s="922"/>
      <c r="C332" s="922"/>
      <c r="D332" s="166"/>
      <c r="E332" s="166"/>
      <c r="F332" s="166"/>
      <c r="G332" s="166"/>
      <c r="H332" s="166"/>
      <c r="I332" s="922"/>
      <c r="J332" s="922"/>
      <c r="K332" s="922"/>
      <c r="L332" s="777">
        <v>5</v>
      </c>
      <c r="M332" s="864"/>
      <c r="N332" s="976"/>
      <c r="O332" s="1020">
        <v>275</v>
      </c>
      <c r="P332" s="847" t="e">
        <f>VLOOKUP(N332,etat!$A$9:$N$1004,2,FALSE)</f>
        <v>#N/A</v>
      </c>
      <c r="Q332" s="797" t="e">
        <f>VLOOKUP(N332,etat!$A$9:$N$963,7,FALSE)</f>
        <v>#N/A</v>
      </c>
      <c r="R332" s="797" t="e">
        <f>VLOOKUP(N332,etat!$A$9:$N$1003,9,FALSE)</f>
        <v>#N/A</v>
      </c>
      <c r="S332" s="866" t="e">
        <f>VLOOKUP(N332,etat!$A$9:$P$905,16,FALSE)</f>
        <v>#N/A</v>
      </c>
      <c r="T332" s="755"/>
      <c r="U332" s="784"/>
      <c r="V332" s="784"/>
      <c r="W332" s="955"/>
      <c r="X332" s="955"/>
      <c r="Y332" s="956"/>
      <c r="Z332" s="975" t="str">
        <f>VLOOKUP(L332,[2]اس!$S$3:$X$31,3,FALSE)</f>
        <v>.</v>
      </c>
      <c r="AA332" s="967"/>
      <c r="AB332" s="919"/>
      <c r="AC332" s="919"/>
      <c r="AD332" s="919"/>
      <c r="AE332" s="919"/>
      <c r="AF332" s="919"/>
    </row>
    <row r="333" spans="1:32" s="918" customFormat="1" ht="16.5" customHeight="1">
      <c r="A333" s="922"/>
      <c r="B333" s="922"/>
      <c r="C333" s="922"/>
      <c r="D333" s="166"/>
      <c r="E333" s="166"/>
      <c r="F333" s="166"/>
      <c r="G333" s="166"/>
      <c r="H333" s="166"/>
      <c r="I333" s="922"/>
      <c r="J333" s="922"/>
      <c r="K333" s="922"/>
      <c r="L333" s="777">
        <v>5</v>
      </c>
      <c r="M333" s="778"/>
      <c r="N333" s="976"/>
      <c r="O333" s="1020">
        <v>276</v>
      </c>
      <c r="P333" s="847" t="e">
        <f>VLOOKUP(N333,etat!$A$9:$N$1004,2,FALSE)</f>
        <v>#N/A</v>
      </c>
      <c r="Q333" s="797" t="e">
        <f>VLOOKUP(N333,etat!$A$9:$N$963,7,FALSE)</f>
        <v>#N/A</v>
      </c>
      <c r="R333" s="797" t="e">
        <f>VLOOKUP(N333,etat!$A$9:$N$1003,9,FALSE)</f>
        <v>#N/A</v>
      </c>
      <c r="S333" s="866" t="e">
        <f>VLOOKUP(N333,etat!$A$9:$P$905,16,FALSE)</f>
        <v>#N/A</v>
      </c>
      <c r="T333" s="755"/>
      <c r="U333" s="784"/>
      <c r="V333" s="784"/>
      <c r="W333" s="955"/>
      <c r="X333" s="955"/>
      <c r="Y333" s="956"/>
      <c r="Z333" s="975" t="str">
        <f>VLOOKUP(L333,[2]اس!$S$3:$X$31,3,FALSE)</f>
        <v>.</v>
      </c>
      <c r="AA333" s="967"/>
      <c r="AB333" s="919"/>
      <c r="AC333" s="919"/>
      <c r="AD333" s="919"/>
      <c r="AE333" s="919"/>
      <c r="AF333" s="919"/>
    </row>
    <row r="334" spans="1:32" s="918" customFormat="1" ht="16.5" customHeight="1">
      <c r="A334" s="922"/>
      <c r="B334" s="922"/>
      <c r="C334" s="922"/>
      <c r="D334" s="166"/>
      <c r="E334" s="166"/>
      <c r="F334" s="166"/>
      <c r="G334" s="166"/>
      <c r="H334" s="166"/>
      <c r="I334" s="922"/>
      <c r="J334" s="922"/>
      <c r="K334" s="922"/>
      <c r="L334" s="777">
        <v>5</v>
      </c>
      <c r="M334" s="778"/>
      <c r="N334" s="976"/>
      <c r="O334" s="1020">
        <v>277</v>
      </c>
      <c r="P334" s="847" t="e">
        <f>VLOOKUP(N334,etat!$A$9:$N$1004,2,FALSE)</f>
        <v>#N/A</v>
      </c>
      <c r="Q334" s="797" t="e">
        <f>VLOOKUP(N334,etat!$A$9:$N$963,7,FALSE)</f>
        <v>#N/A</v>
      </c>
      <c r="R334" s="797" t="e">
        <f>VLOOKUP(N334,etat!$A$9:$N$1003,9,FALSE)</f>
        <v>#N/A</v>
      </c>
      <c r="S334" s="866" t="e">
        <f>VLOOKUP(N334,etat!$A$9:$P$905,16,FALSE)</f>
        <v>#N/A</v>
      </c>
      <c r="T334" s="755"/>
      <c r="U334" s="784"/>
      <c r="V334" s="784"/>
      <c r="W334" s="784"/>
      <c r="X334" s="784"/>
      <c r="Y334" s="784"/>
      <c r="Z334" s="975" t="str">
        <f>VLOOKUP(L334,[2]اس!$S$3:$X$31,3,FALSE)</f>
        <v>.</v>
      </c>
      <c r="AA334" s="967"/>
      <c r="AB334" s="919"/>
      <c r="AC334" s="919"/>
      <c r="AD334" s="919"/>
      <c r="AE334" s="919"/>
      <c r="AF334" s="919"/>
    </row>
    <row r="335" spans="1:32" s="918" customFormat="1" ht="16.5" customHeight="1">
      <c r="A335" s="922"/>
      <c r="B335" s="922"/>
      <c r="C335" s="922"/>
      <c r="D335" s="166"/>
      <c r="E335" s="166"/>
      <c r="F335" s="166"/>
      <c r="G335" s="166"/>
      <c r="H335" s="166"/>
      <c r="I335" s="922"/>
      <c r="J335" s="922"/>
      <c r="K335" s="922"/>
      <c r="L335" s="777">
        <v>5</v>
      </c>
      <c r="M335" s="778"/>
      <c r="N335" s="976"/>
      <c r="O335" s="1020">
        <v>278</v>
      </c>
      <c r="P335" s="847" t="e">
        <f>VLOOKUP(N335,etat!$A$9:$N$1004,2,FALSE)</f>
        <v>#N/A</v>
      </c>
      <c r="Q335" s="797" t="e">
        <f>VLOOKUP(N335,etat!$A$9:$N$963,7,FALSE)</f>
        <v>#N/A</v>
      </c>
      <c r="R335" s="797" t="e">
        <f>VLOOKUP(N335,etat!$A$9:$N$1003,9,FALSE)</f>
        <v>#N/A</v>
      </c>
      <c r="S335" s="866" t="e">
        <f>VLOOKUP(N335,etat!$A$9:$P$905,16,FALSE)</f>
        <v>#N/A</v>
      </c>
      <c r="T335" s="755"/>
      <c r="U335" s="784"/>
      <c r="V335" s="784"/>
      <c r="W335" s="955"/>
      <c r="X335" s="955"/>
      <c r="Y335" s="956"/>
      <c r="Z335" s="975" t="str">
        <f>VLOOKUP(L335,[2]اس!$S$3:$X$31,3,FALSE)</f>
        <v>.</v>
      </c>
      <c r="AA335" s="967"/>
      <c r="AB335" s="919"/>
      <c r="AC335" s="919"/>
      <c r="AD335" s="919"/>
      <c r="AE335" s="919"/>
      <c r="AF335" s="919"/>
    </row>
    <row r="336" spans="1:32" s="917" customFormat="1" ht="16.5" customHeight="1">
      <c r="A336" s="922"/>
      <c r="B336" s="922"/>
      <c r="C336" s="922"/>
      <c r="D336" s="166"/>
      <c r="E336" s="166"/>
      <c r="F336" s="166"/>
      <c r="G336" s="166"/>
      <c r="H336" s="166"/>
      <c r="I336" s="922"/>
      <c r="J336" s="922"/>
      <c r="K336" s="922"/>
      <c r="L336" s="777">
        <v>5</v>
      </c>
      <c r="M336" s="778"/>
      <c r="N336" s="976"/>
      <c r="O336" s="1020">
        <v>279</v>
      </c>
      <c r="P336" s="847" t="e">
        <f>VLOOKUP(N336,etat!$A$9:$N$1004,2,FALSE)</f>
        <v>#N/A</v>
      </c>
      <c r="Q336" s="797" t="e">
        <f>VLOOKUP(N336,etat!$A$9:$N$963,7,FALSE)</f>
        <v>#N/A</v>
      </c>
      <c r="R336" s="797" t="e">
        <f>VLOOKUP(N336,etat!$A$9:$N$1003,9,FALSE)</f>
        <v>#N/A</v>
      </c>
      <c r="S336" s="866" t="e">
        <f>VLOOKUP(N336,etat!$A$9:$P$905,16,FALSE)</f>
        <v>#N/A</v>
      </c>
      <c r="T336" s="755"/>
      <c r="U336" s="784"/>
      <c r="V336" s="784"/>
      <c r="W336" s="784"/>
      <c r="X336" s="784"/>
      <c r="Y336" s="975"/>
      <c r="Z336" s="975" t="str">
        <f>VLOOKUP(L336,[2]اس!$S$3:$X$31,3,FALSE)</f>
        <v>.</v>
      </c>
      <c r="AA336" s="967"/>
      <c r="AB336" s="916"/>
      <c r="AC336" s="916"/>
      <c r="AD336" s="916"/>
      <c r="AE336" s="916"/>
      <c r="AF336" s="916"/>
    </row>
    <row r="337" spans="1:32" s="918" customFormat="1" ht="16.5" customHeight="1">
      <c r="A337" s="922"/>
      <c r="B337" s="922"/>
      <c r="C337" s="922"/>
      <c r="D337" s="166"/>
      <c r="E337" s="166"/>
      <c r="F337" s="166"/>
      <c r="G337" s="166"/>
      <c r="H337" s="166"/>
      <c r="I337" s="922"/>
      <c r="J337" s="922"/>
      <c r="K337" s="922"/>
      <c r="L337" s="777">
        <v>5</v>
      </c>
      <c r="M337" s="778"/>
      <c r="N337" s="976"/>
      <c r="O337" s="1020">
        <v>280</v>
      </c>
      <c r="P337" s="847" t="e">
        <f>VLOOKUP(N337,etat!$A$9:$N$1004,2,FALSE)</f>
        <v>#N/A</v>
      </c>
      <c r="Q337" s="797" t="e">
        <f>VLOOKUP(N337,etat!$A$9:$N$963,7,FALSE)</f>
        <v>#N/A</v>
      </c>
      <c r="R337" s="797" t="e">
        <f>VLOOKUP(N337,etat!$A$9:$N$1003,9,FALSE)</f>
        <v>#N/A</v>
      </c>
      <c r="S337" s="866" t="e">
        <f>VLOOKUP(N337,etat!$A$9:$P$905,16,FALSE)</f>
        <v>#N/A</v>
      </c>
      <c r="T337" s="755"/>
      <c r="U337" s="784"/>
      <c r="V337" s="784"/>
      <c r="W337" s="955"/>
      <c r="X337" s="955"/>
      <c r="Y337" s="956"/>
      <c r="Z337" s="975" t="str">
        <f>VLOOKUP(L337,[2]اس!$S$3:$X$31,3,FALSE)</f>
        <v>.</v>
      </c>
      <c r="AA337" s="967"/>
      <c r="AB337" s="919"/>
      <c r="AC337" s="919"/>
      <c r="AD337" s="919"/>
      <c r="AE337" s="919"/>
      <c r="AF337" s="919"/>
    </row>
    <row r="338" spans="1:32" s="918" customFormat="1" ht="16.5" customHeight="1">
      <c r="A338" s="922"/>
      <c r="B338" s="922"/>
      <c r="C338" s="922"/>
      <c r="D338" s="166"/>
      <c r="E338" s="166"/>
      <c r="F338" s="166"/>
      <c r="G338" s="166"/>
      <c r="H338" s="166"/>
      <c r="I338" s="922"/>
      <c r="J338" s="922"/>
      <c r="K338" s="922"/>
      <c r="L338" s="777">
        <v>5</v>
      </c>
      <c r="M338" s="778"/>
      <c r="N338" s="976"/>
      <c r="O338" s="1020">
        <v>281</v>
      </c>
      <c r="P338" s="847" t="e">
        <f>VLOOKUP(N338,etat!$A$9:$N$1004,2,FALSE)</f>
        <v>#N/A</v>
      </c>
      <c r="Q338" s="797" t="e">
        <f>VLOOKUP(N338,etat!$A$9:$N$963,7,FALSE)</f>
        <v>#N/A</v>
      </c>
      <c r="R338" s="797" t="e">
        <f>VLOOKUP(N338,etat!$A$9:$N$1003,9,FALSE)</f>
        <v>#N/A</v>
      </c>
      <c r="S338" s="866" t="e">
        <f>VLOOKUP(N338,etat!$A$9:$P$905,16,FALSE)</f>
        <v>#N/A</v>
      </c>
      <c r="T338" s="755"/>
      <c r="U338" s="784"/>
      <c r="V338" s="784"/>
      <c r="W338" s="784"/>
      <c r="X338" s="784"/>
      <c r="Y338" s="784"/>
      <c r="Z338" s="975" t="str">
        <f>VLOOKUP(L338,[2]اس!$S$3:$X$31,3,FALSE)</f>
        <v>.</v>
      </c>
      <c r="AA338" s="967"/>
      <c r="AB338" s="919"/>
      <c r="AC338" s="919"/>
      <c r="AD338" s="919"/>
      <c r="AE338" s="919"/>
      <c r="AF338" s="919"/>
    </row>
    <row r="339" spans="1:32" s="918" customFormat="1" ht="16.5" customHeight="1">
      <c r="A339" s="922"/>
      <c r="B339" s="922"/>
      <c r="C339" s="922"/>
      <c r="D339" s="166"/>
      <c r="E339" s="166"/>
      <c r="F339" s="166"/>
      <c r="G339" s="166"/>
      <c r="H339" s="166"/>
      <c r="I339" s="922"/>
      <c r="J339" s="922"/>
      <c r="K339" s="922"/>
      <c r="L339" s="777">
        <v>5</v>
      </c>
      <c r="M339" s="778"/>
      <c r="N339" s="976"/>
      <c r="O339" s="1020">
        <v>282</v>
      </c>
      <c r="P339" s="847" t="e">
        <f>VLOOKUP(N339,etat!$A$9:$N$1004,2,FALSE)</f>
        <v>#N/A</v>
      </c>
      <c r="Q339" s="797" t="e">
        <f>VLOOKUP(N339,etat!$A$9:$N$963,7,FALSE)</f>
        <v>#N/A</v>
      </c>
      <c r="R339" s="797" t="e">
        <f>VLOOKUP(N339,etat!$A$9:$N$1003,9,FALSE)</f>
        <v>#N/A</v>
      </c>
      <c r="S339" s="866" t="e">
        <f>VLOOKUP(N339,etat!$A$9:$P$905,16,FALSE)</f>
        <v>#N/A</v>
      </c>
      <c r="T339" s="755"/>
      <c r="U339" s="784"/>
      <c r="V339" s="784"/>
      <c r="W339" s="784"/>
      <c r="X339" s="784"/>
      <c r="Y339" s="784"/>
      <c r="Z339" s="975" t="str">
        <f>VLOOKUP(L339,[2]اس!$S$3:$X$31,3,FALSE)</f>
        <v>.</v>
      </c>
      <c r="AA339" s="967"/>
      <c r="AB339" s="919"/>
      <c r="AC339" s="919"/>
      <c r="AD339" s="919"/>
      <c r="AE339" s="919"/>
      <c r="AF339" s="919"/>
    </row>
    <row r="340" spans="1:32" s="918" customFormat="1" ht="16.5" customHeight="1">
      <c r="A340" s="922"/>
      <c r="B340" s="922"/>
      <c r="C340" s="922"/>
      <c r="D340" s="166"/>
      <c r="E340" s="166"/>
      <c r="F340" s="166"/>
      <c r="G340" s="166"/>
      <c r="H340" s="166"/>
      <c r="I340" s="922"/>
      <c r="J340" s="922"/>
      <c r="K340" s="922"/>
      <c r="L340" s="777">
        <v>5</v>
      </c>
      <c r="M340" s="778"/>
      <c r="N340" s="976"/>
      <c r="O340" s="1020">
        <v>283</v>
      </c>
      <c r="P340" s="847" t="e">
        <f>VLOOKUP(N340,etat!$A$9:$N$1004,2,FALSE)</f>
        <v>#N/A</v>
      </c>
      <c r="Q340" s="797" t="e">
        <f>VLOOKUP(N340,etat!$A$9:$N$963,7,FALSE)</f>
        <v>#N/A</v>
      </c>
      <c r="R340" s="797" t="e">
        <f>VLOOKUP(N340,etat!$A$9:$N$1003,9,FALSE)</f>
        <v>#N/A</v>
      </c>
      <c r="S340" s="866" t="e">
        <f>VLOOKUP(N340,etat!$A$9:$P$905,16,FALSE)</f>
        <v>#N/A</v>
      </c>
      <c r="T340" s="755"/>
      <c r="U340" s="784"/>
      <c r="V340" s="784"/>
      <c r="W340" s="784"/>
      <c r="X340" s="784"/>
      <c r="Y340" s="784"/>
      <c r="Z340" s="975" t="str">
        <f>VLOOKUP(L340,[2]اس!$S$3:$X$31,3,FALSE)</f>
        <v>.</v>
      </c>
      <c r="AA340" s="967"/>
      <c r="AB340" s="919"/>
      <c r="AC340" s="919"/>
      <c r="AD340" s="919"/>
      <c r="AE340" s="919"/>
      <c r="AF340" s="919"/>
    </row>
    <row r="341" spans="1:32" s="918" customFormat="1" ht="16.5" customHeight="1">
      <c r="A341" s="922"/>
      <c r="B341" s="922"/>
      <c r="C341" s="922"/>
      <c r="D341" s="166"/>
      <c r="E341" s="166"/>
      <c r="F341" s="166"/>
      <c r="G341" s="166"/>
      <c r="H341" s="166"/>
      <c r="I341" s="922"/>
      <c r="J341" s="922"/>
      <c r="K341" s="922"/>
      <c r="L341" s="777">
        <v>5</v>
      </c>
      <c r="M341" s="778"/>
      <c r="N341" s="976"/>
      <c r="O341" s="1020">
        <v>284</v>
      </c>
      <c r="P341" s="847" t="e">
        <f>VLOOKUP(N341,etat!$A$9:$N$1004,2,FALSE)</f>
        <v>#N/A</v>
      </c>
      <c r="Q341" s="797" t="e">
        <f>VLOOKUP(N341,etat!$A$9:$N$963,7,FALSE)</f>
        <v>#N/A</v>
      </c>
      <c r="R341" s="797" t="e">
        <f>VLOOKUP(N341,etat!$A$9:$N$1003,9,FALSE)</f>
        <v>#N/A</v>
      </c>
      <c r="S341" s="866" t="e">
        <f>VLOOKUP(N341,etat!$A$9:$P$905,16,FALSE)</f>
        <v>#N/A</v>
      </c>
      <c r="T341" s="755"/>
      <c r="U341" s="784"/>
      <c r="V341" s="784"/>
      <c r="W341" s="784"/>
      <c r="X341" s="784"/>
      <c r="Y341" s="784"/>
      <c r="Z341" s="975" t="str">
        <f>VLOOKUP(L341,[2]اس!$S$3:$X$31,3,FALSE)</f>
        <v>.</v>
      </c>
      <c r="AA341" s="967"/>
      <c r="AB341" s="919"/>
      <c r="AC341" s="919"/>
      <c r="AD341" s="919"/>
      <c r="AE341" s="919"/>
      <c r="AF341" s="919"/>
    </row>
    <row r="342" spans="1:32" s="918" customFormat="1" ht="16.5" customHeight="1">
      <c r="A342" s="922"/>
      <c r="B342" s="922"/>
      <c r="C342" s="922"/>
      <c r="D342" s="166"/>
      <c r="E342" s="166"/>
      <c r="F342" s="166"/>
      <c r="G342" s="166"/>
      <c r="H342" s="166"/>
      <c r="I342" s="922"/>
      <c r="J342" s="922"/>
      <c r="K342" s="922"/>
      <c r="L342" s="777">
        <v>5</v>
      </c>
      <c r="M342" s="778"/>
      <c r="N342" s="976"/>
      <c r="O342" s="1020">
        <v>285</v>
      </c>
      <c r="P342" s="847" t="e">
        <f>VLOOKUP(N342,etat!$A$9:$N$1004,2,FALSE)</f>
        <v>#N/A</v>
      </c>
      <c r="Q342" s="797" t="e">
        <f>VLOOKUP(N342,etat!$A$9:$N$963,7,FALSE)</f>
        <v>#N/A</v>
      </c>
      <c r="R342" s="797" t="e">
        <f>VLOOKUP(N342,etat!$A$9:$N$1003,9,FALSE)</f>
        <v>#N/A</v>
      </c>
      <c r="S342" s="866" t="e">
        <f>VLOOKUP(N342,etat!$A$9:$P$905,16,FALSE)</f>
        <v>#N/A</v>
      </c>
      <c r="T342" s="755"/>
      <c r="U342" s="784"/>
      <c r="V342" s="784"/>
      <c r="W342" s="784"/>
      <c r="X342" s="784"/>
      <c r="Y342" s="784"/>
      <c r="Z342" s="975" t="str">
        <f>VLOOKUP(L342,[2]اس!$S$3:$X$31,3,FALSE)</f>
        <v>.</v>
      </c>
      <c r="AA342" s="967"/>
      <c r="AB342" s="919"/>
      <c r="AC342" s="919"/>
      <c r="AD342" s="919"/>
      <c r="AE342" s="919"/>
      <c r="AF342" s="919"/>
    </row>
    <row r="343" spans="1:32" s="917" customFormat="1" ht="16.5" customHeight="1">
      <c r="A343" s="922"/>
      <c r="B343" s="922"/>
      <c r="C343" s="922"/>
      <c r="D343" s="166"/>
      <c r="E343" s="166"/>
      <c r="F343" s="166"/>
      <c r="G343" s="166"/>
      <c r="H343" s="166"/>
      <c r="I343" s="922"/>
      <c r="J343" s="922"/>
      <c r="K343" s="922"/>
      <c r="L343" s="777">
        <v>5</v>
      </c>
      <c r="M343" s="778"/>
      <c r="N343" s="976"/>
      <c r="O343" s="1020">
        <v>286</v>
      </c>
      <c r="P343" s="847" t="e">
        <f>VLOOKUP(N343,etat!$A$9:$N$1004,2,FALSE)</f>
        <v>#N/A</v>
      </c>
      <c r="Q343" s="797" t="e">
        <f>VLOOKUP(N343,etat!$A$9:$N$963,7,FALSE)</f>
        <v>#N/A</v>
      </c>
      <c r="R343" s="797" t="e">
        <f>VLOOKUP(N343,etat!$A$9:$N$1003,9,FALSE)</f>
        <v>#N/A</v>
      </c>
      <c r="S343" s="866" t="e">
        <f>VLOOKUP(N343,etat!$A$9:$P$905,16,FALSE)</f>
        <v>#N/A</v>
      </c>
      <c r="T343" s="755"/>
      <c r="U343" s="784"/>
      <c r="V343" s="784"/>
      <c r="W343" s="784"/>
      <c r="X343" s="784"/>
      <c r="Y343" s="784"/>
      <c r="Z343" s="975" t="str">
        <f>VLOOKUP(L343,[2]اس!$S$3:$X$31,3,FALSE)</f>
        <v>.</v>
      </c>
      <c r="AA343" s="967"/>
      <c r="AB343" s="916"/>
      <c r="AC343" s="916"/>
      <c r="AD343" s="916"/>
      <c r="AE343" s="916"/>
      <c r="AF343" s="916"/>
    </row>
    <row r="344" spans="1:32" s="917" customFormat="1" ht="16.5" customHeight="1">
      <c r="A344" s="922"/>
      <c r="B344" s="922"/>
      <c r="C344" s="922"/>
      <c r="D344" s="166"/>
      <c r="E344" s="166"/>
      <c r="F344" s="166"/>
      <c r="G344" s="166"/>
      <c r="H344" s="166"/>
      <c r="I344" s="922"/>
      <c r="J344" s="922"/>
      <c r="K344" s="922"/>
      <c r="L344" s="777">
        <v>5</v>
      </c>
      <c r="M344" s="778"/>
      <c r="N344" s="976"/>
      <c r="O344" s="1020">
        <v>287</v>
      </c>
      <c r="P344" s="847" t="e">
        <f>VLOOKUP(N344,etat!$A$9:$N$1004,2,FALSE)</f>
        <v>#N/A</v>
      </c>
      <c r="Q344" s="797" t="e">
        <f>VLOOKUP(N344,etat!$A$9:$N$963,7,FALSE)</f>
        <v>#N/A</v>
      </c>
      <c r="R344" s="797" t="e">
        <f>VLOOKUP(N344,etat!$A$9:$N$1003,9,FALSE)</f>
        <v>#N/A</v>
      </c>
      <c r="S344" s="866" t="e">
        <f>VLOOKUP(N344,etat!$A$9:$P$905,16,FALSE)</f>
        <v>#N/A</v>
      </c>
      <c r="T344" s="755"/>
      <c r="U344" s="784"/>
      <c r="V344" s="784"/>
      <c r="W344" s="784"/>
      <c r="X344" s="784"/>
      <c r="Y344" s="784"/>
      <c r="Z344" s="975" t="str">
        <f>VLOOKUP(L344,[2]اس!$S$3:$X$31,3,FALSE)</f>
        <v>.</v>
      </c>
      <c r="AA344" s="967"/>
      <c r="AB344" s="916"/>
      <c r="AC344" s="916"/>
      <c r="AD344" s="916"/>
      <c r="AE344" s="916"/>
      <c r="AF344" s="916"/>
    </row>
    <row r="345" spans="1:32" s="917" customFormat="1" ht="16.5" customHeight="1">
      <c r="A345" s="922"/>
      <c r="B345" s="922"/>
      <c r="C345" s="922"/>
      <c r="D345" s="166"/>
      <c r="E345" s="166"/>
      <c r="F345" s="166"/>
      <c r="G345" s="166"/>
      <c r="H345" s="166"/>
      <c r="I345" s="922"/>
      <c r="J345" s="922"/>
      <c r="K345" s="922"/>
      <c r="L345" s="777">
        <v>5</v>
      </c>
      <c r="M345" s="778"/>
      <c r="N345" s="976"/>
      <c r="O345" s="1020">
        <v>288</v>
      </c>
      <c r="P345" s="847" t="e">
        <f>VLOOKUP(N345,etat!$A$9:$N$1004,2,FALSE)</f>
        <v>#N/A</v>
      </c>
      <c r="Q345" s="797" t="e">
        <f>VLOOKUP(N345,etat!$A$9:$N$963,7,FALSE)</f>
        <v>#N/A</v>
      </c>
      <c r="R345" s="797" t="e">
        <f>VLOOKUP(N345,etat!$A$9:$N$1003,9,FALSE)</f>
        <v>#N/A</v>
      </c>
      <c r="S345" s="866" t="e">
        <f>VLOOKUP(N345,etat!$A$9:$P$905,16,FALSE)</f>
        <v>#N/A</v>
      </c>
      <c r="T345" s="755"/>
      <c r="U345" s="784"/>
      <c r="V345" s="784"/>
      <c r="W345" s="784"/>
      <c r="X345" s="784"/>
      <c r="Y345" s="975"/>
      <c r="Z345" s="975" t="str">
        <f>VLOOKUP(L345,[2]اس!$S$3:$X$31,3,FALSE)</f>
        <v>.</v>
      </c>
      <c r="AA345" s="967"/>
      <c r="AB345" s="916"/>
      <c r="AC345" s="916"/>
      <c r="AD345" s="916"/>
      <c r="AE345" s="916"/>
      <c r="AF345" s="916"/>
    </row>
    <row r="346" spans="1:32" s="917" customFormat="1" ht="16.5" customHeight="1">
      <c r="A346" s="922"/>
      <c r="B346" s="922"/>
      <c r="C346" s="922"/>
      <c r="D346" s="166"/>
      <c r="E346" s="166"/>
      <c r="F346" s="166"/>
      <c r="G346" s="166"/>
      <c r="H346" s="166"/>
      <c r="I346" s="922"/>
      <c r="J346" s="922"/>
      <c r="K346" s="922"/>
      <c r="L346" s="777">
        <v>5</v>
      </c>
      <c r="M346" s="778"/>
      <c r="N346" s="976"/>
      <c r="O346" s="1020">
        <v>289</v>
      </c>
      <c r="P346" s="847" t="e">
        <f>VLOOKUP(N346,etat!$A$9:$N$1004,2,FALSE)</f>
        <v>#N/A</v>
      </c>
      <c r="Q346" s="797" t="e">
        <f>VLOOKUP(N346,etat!$A$9:$N$963,7,FALSE)</f>
        <v>#N/A</v>
      </c>
      <c r="R346" s="797" t="e">
        <f>VLOOKUP(N346,etat!$A$9:$N$1003,9,FALSE)</f>
        <v>#N/A</v>
      </c>
      <c r="S346" s="866" t="e">
        <f>VLOOKUP(N346,etat!$A$9:$P$905,16,FALSE)</f>
        <v>#N/A</v>
      </c>
      <c r="T346" s="755"/>
      <c r="U346" s="784"/>
      <c r="V346" s="784"/>
      <c r="W346" s="784"/>
      <c r="X346" s="784"/>
      <c r="Y346" s="975"/>
      <c r="Z346" s="975" t="str">
        <f>VLOOKUP(L346,[2]اس!$S$3:$X$31,3,FALSE)</f>
        <v>.</v>
      </c>
      <c r="AA346" s="967"/>
      <c r="AB346" s="916"/>
      <c r="AC346" s="916"/>
      <c r="AD346" s="916"/>
      <c r="AE346" s="916"/>
      <c r="AF346" s="916"/>
    </row>
    <row r="347" spans="1:32" s="917" customFormat="1" ht="16.5" customHeight="1">
      <c r="A347" s="922"/>
      <c r="B347" s="922"/>
      <c r="C347" s="922"/>
      <c r="D347" s="166"/>
      <c r="E347" s="166"/>
      <c r="F347" s="166"/>
      <c r="G347" s="166"/>
      <c r="H347" s="166"/>
      <c r="I347" s="922"/>
      <c r="J347" s="922"/>
      <c r="K347" s="922"/>
      <c r="L347" s="777">
        <v>5</v>
      </c>
      <c r="M347" s="778"/>
      <c r="N347" s="976"/>
      <c r="O347" s="1020">
        <v>290</v>
      </c>
      <c r="P347" s="847" t="e">
        <f>VLOOKUP(N347,etat!$A$9:$N$1004,2,FALSE)</f>
        <v>#N/A</v>
      </c>
      <c r="Q347" s="797" t="e">
        <f>VLOOKUP(N347,etat!$A$9:$N$963,7,FALSE)</f>
        <v>#N/A</v>
      </c>
      <c r="R347" s="797" t="e">
        <f>VLOOKUP(N347,etat!$A$9:$N$1003,9,FALSE)</f>
        <v>#N/A</v>
      </c>
      <c r="S347" s="866" t="e">
        <f>VLOOKUP(N347,etat!$A$9:$P$905,16,FALSE)</f>
        <v>#N/A</v>
      </c>
      <c r="T347" s="755"/>
      <c r="U347" s="784"/>
      <c r="V347" s="784"/>
      <c r="W347" s="955"/>
      <c r="X347" s="955"/>
      <c r="Y347" s="956"/>
      <c r="Z347" s="975" t="str">
        <f>VLOOKUP(L347,[2]اس!$S$3:$X$31,3,FALSE)</f>
        <v>.</v>
      </c>
      <c r="AA347" s="967"/>
      <c r="AB347" s="916"/>
      <c r="AC347" s="916"/>
      <c r="AD347" s="916"/>
      <c r="AE347" s="916"/>
      <c r="AF347" s="916"/>
    </row>
    <row r="348" spans="1:32" s="917" customFormat="1" ht="16.5" customHeight="1">
      <c r="A348" s="922"/>
      <c r="B348" s="922"/>
      <c r="C348" s="922"/>
      <c r="D348" s="166"/>
      <c r="E348" s="166"/>
      <c r="F348" s="166"/>
      <c r="G348" s="166"/>
      <c r="H348" s="166"/>
      <c r="I348" s="922"/>
      <c r="J348" s="922"/>
      <c r="K348" s="922"/>
      <c r="L348" s="777">
        <v>5</v>
      </c>
      <c r="M348" s="778"/>
      <c r="N348" s="976"/>
      <c r="O348" s="1020">
        <v>291</v>
      </c>
      <c r="P348" s="847" t="e">
        <f>VLOOKUP(N348,etat!$A$9:$N$1004,2,FALSE)</f>
        <v>#N/A</v>
      </c>
      <c r="Q348" s="797" t="e">
        <f>VLOOKUP(N348,etat!$A$9:$N$963,7,FALSE)</f>
        <v>#N/A</v>
      </c>
      <c r="R348" s="797" t="e">
        <f>VLOOKUP(N348,etat!$A$9:$N$1003,9,FALSE)</f>
        <v>#N/A</v>
      </c>
      <c r="S348" s="866" t="e">
        <f>VLOOKUP(N348,etat!$A$9:$P$905,16,FALSE)</f>
        <v>#N/A</v>
      </c>
      <c r="T348" s="755"/>
      <c r="U348" s="784"/>
      <c r="V348" s="784"/>
      <c r="W348" s="784"/>
      <c r="X348" s="784"/>
      <c r="Y348" s="975"/>
      <c r="Z348" s="975" t="str">
        <f>VLOOKUP(L348,[2]اس!$S$3:$X$31,3,FALSE)</f>
        <v>.</v>
      </c>
      <c r="AA348" s="967"/>
      <c r="AB348" s="916"/>
      <c r="AC348" s="916"/>
      <c r="AD348" s="916"/>
      <c r="AE348" s="916"/>
      <c r="AF348" s="916"/>
    </row>
    <row r="349" spans="1:32" s="917" customFormat="1" ht="16.5" customHeight="1">
      <c r="A349" s="922"/>
      <c r="B349" s="922"/>
      <c r="C349" s="922"/>
      <c r="D349" s="166"/>
      <c r="E349" s="166"/>
      <c r="F349" s="166"/>
      <c r="G349" s="166"/>
      <c r="H349" s="166"/>
      <c r="I349" s="922"/>
      <c r="J349" s="922"/>
      <c r="K349" s="922"/>
      <c r="L349" s="777">
        <v>5</v>
      </c>
      <c r="M349" s="778"/>
      <c r="N349" s="976"/>
      <c r="O349" s="1020">
        <v>292</v>
      </c>
      <c r="P349" s="847" t="e">
        <f>VLOOKUP(N349,etat!$A$9:$N$1004,2,FALSE)</f>
        <v>#N/A</v>
      </c>
      <c r="Q349" s="797" t="e">
        <f>VLOOKUP(N349,etat!$A$9:$N$963,7,FALSE)</f>
        <v>#N/A</v>
      </c>
      <c r="R349" s="797" t="e">
        <f>VLOOKUP(N349,etat!$A$9:$N$1003,9,FALSE)</f>
        <v>#N/A</v>
      </c>
      <c r="S349" s="866" t="e">
        <f>VLOOKUP(N349,etat!$A$9:$P$905,16,FALSE)</f>
        <v>#N/A</v>
      </c>
      <c r="T349" s="755"/>
      <c r="U349" s="784"/>
      <c r="V349" s="784"/>
      <c r="W349" s="955"/>
      <c r="X349" s="955"/>
      <c r="Y349" s="956"/>
      <c r="Z349" s="975" t="str">
        <f>VLOOKUP(L349,[2]اس!$S$3:$X$31,3,FALSE)</f>
        <v>.</v>
      </c>
      <c r="AA349" s="967"/>
      <c r="AB349" s="916"/>
      <c r="AC349" s="916"/>
      <c r="AD349" s="916"/>
      <c r="AE349" s="916"/>
      <c r="AF349" s="916"/>
    </row>
    <row r="350" spans="1:32" s="917" customFormat="1" ht="16.5" customHeight="1">
      <c r="A350" s="922"/>
      <c r="B350" s="922"/>
      <c r="C350" s="922"/>
      <c r="D350" s="166"/>
      <c r="E350" s="166"/>
      <c r="F350" s="166"/>
      <c r="G350" s="166"/>
      <c r="H350" s="166"/>
      <c r="I350" s="922"/>
      <c r="J350" s="922"/>
      <c r="K350" s="922"/>
      <c r="L350" s="777">
        <v>5</v>
      </c>
      <c r="M350" s="778"/>
      <c r="N350" s="976"/>
      <c r="O350" s="1020">
        <v>293</v>
      </c>
      <c r="P350" s="847" t="e">
        <f>VLOOKUP(N350,etat!$A$9:$N$1004,2,FALSE)</f>
        <v>#N/A</v>
      </c>
      <c r="Q350" s="797" t="e">
        <f>VLOOKUP(N350,etat!$A$9:$N$963,7,FALSE)</f>
        <v>#N/A</v>
      </c>
      <c r="R350" s="797" t="e">
        <f>VLOOKUP(N350,etat!$A$9:$N$1003,9,FALSE)</f>
        <v>#N/A</v>
      </c>
      <c r="S350" s="866" t="e">
        <f>VLOOKUP(N350,etat!$A$9:$P$905,16,FALSE)</f>
        <v>#N/A</v>
      </c>
      <c r="T350" s="755"/>
      <c r="U350" s="784"/>
      <c r="V350" s="784"/>
      <c r="W350" s="784"/>
      <c r="X350" s="784"/>
      <c r="Y350" s="784"/>
      <c r="Z350" s="975" t="str">
        <f>VLOOKUP(L350,[2]اس!$S$3:$X$31,3,FALSE)</f>
        <v>.</v>
      </c>
      <c r="AA350" s="967"/>
      <c r="AB350" s="916"/>
      <c r="AC350" s="916"/>
      <c r="AD350" s="916"/>
      <c r="AE350" s="916"/>
      <c r="AF350" s="916"/>
    </row>
    <row r="351" spans="1:32" s="917" customFormat="1" ht="16.5" customHeight="1">
      <c r="A351" s="922"/>
      <c r="B351" s="922"/>
      <c r="C351" s="922"/>
      <c r="D351" s="166"/>
      <c r="E351" s="166"/>
      <c r="F351" s="166"/>
      <c r="G351" s="166"/>
      <c r="H351" s="166"/>
      <c r="I351" s="922"/>
      <c r="J351" s="922"/>
      <c r="K351" s="922"/>
      <c r="L351" s="777">
        <v>5</v>
      </c>
      <c r="M351" s="778"/>
      <c r="N351" s="976"/>
      <c r="O351" s="1020">
        <v>294</v>
      </c>
      <c r="P351" s="847" t="e">
        <f>VLOOKUP(N351,etat!$A$9:$N$1004,2,FALSE)</f>
        <v>#N/A</v>
      </c>
      <c r="Q351" s="797" t="e">
        <f>VLOOKUP(N351,etat!$A$9:$N$963,7,FALSE)</f>
        <v>#N/A</v>
      </c>
      <c r="R351" s="797" t="e">
        <f>VLOOKUP(N351,etat!$A$9:$N$1003,9,FALSE)</f>
        <v>#N/A</v>
      </c>
      <c r="S351" s="866" t="e">
        <f>VLOOKUP(N351,etat!$A$9:$P$905,16,FALSE)</f>
        <v>#N/A</v>
      </c>
      <c r="T351" s="755"/>
      <c r="U351" s="784"/>
      <c r="V351" s="784"/>
      <c r="W351" s="784"/>
      <c r="X351" s="784"/>
      <c r="Y351" s="784"/>
      <c r="Z351" s="975" t="str">
        <f>VLOOKUP(L351,[2]اس!$S$3:$X$31,3,FALSE)</f>
        <v>.</v>
      </c>
      <c r="AA351" s="967"/>
      <c r="AB351" s="916"/>
      <c r="AC351" s="916"/>
      <c r="AD351" s="916"/>
      <c r="AE351" s="916"/>
      <c r="AF351" s="916"/>
    </row>
    <row r="352" spans="1:32" ht="16.5" customHeight="1">
      <c r="A352" s="922"/>
      <c r="B352" s="922"/>
      <c r="C352" s="922"/>
      <c r="I352" s="922"/>
      <c r="J352" s="922"/>
      <c r="K352" s="922"/>
      <c r="L352" s="777">
        <v>5</v>
      </c>
      <c r="M352" s="778"/>
      <c r="N352" s="976"/>
      <c r="O352" s="1020">
        <v>295</v>
      </c>
      <c r="P352" s="847" t="e">
        <f>VLOOKUP(N352,etat!$A$9:$N$1004,2,FALSE)</f>
        <v>#N/A</v>
      </c>
      <c r="Q352" s="797" t="e">
        <f>VLOOKUP(N352,etat!$A$9:$N$963,7,FALSE)</f>
        <v>#N/A</v>
      </c>
      <c r="R352" s="797" t="e">
        <f>VLOOKUP(N352,etat!$A$9:$N$1003,9,FALSE)</f>
        <v>#N/A</v>
      </c>
      <c r="S352" s="866" t="e">
        <f>VLOOKUP(N352,etat!$A$9:$P$905,16,FALSE)</f>
        <v>#N/A</v>
      </c>
      <c r="T352" s="755"/>
      <c r="U352" s="784"/>
      <c r="V352" s="784"/>
      <c r="W352" s="784"/>
      <c r="X352" s="784"/>
      <c r="Y352" s="784"/>
      <c r="Z352" s="975" t="str">
        <f>VLOOKUP(L352,[2]اس!$S$3:$X$31,3,FALSE)</f>
        <v>.</v>
      </c>
      <c r="AA352" s="967"/>
    </row>
    <row r="353" spans="1:32" ht="16.5" customHeight="1">
      <c r="A353" s="922"/>
      <c r="B353" s="922"/>
      <c r="C353" s="922"/>
      <c r="I353" s="922"/>
      <c r="J353" s="922"/>
      <c r="K353" s="922"/>
      <c r="L353" s="777">
        <v>5</v>
      </c>
      <c r="M353" s="778"/>
      <c r="N353" s="976"/>
      <c r="O353" s="1020">
        <v>296</v>
      </c>
      <c r="P353" s="847" t="e">
        <f>VLOOKUP(N353,etat!$A$9:$N$1004,2,FALSE)</f>
        <v>#N/A</v>
      </c>
      <c r="Q353" s="797" t="e">
        <f>VLOOKUP(N353,etat!$A$9:$N$963,7,FALSE)</f>
        <v>#N/A</v>
      </c>
      <c r="R353" s="797" t="e">
        <f>VLOOKUP(N353,etat!$A$9:$N$1003,9,FALSE)</f>
        <v>#N/A</v>
      </c>
      <c r="S353" s="866" t="e">
        <f>VLOOKUP(N353,etat!$A$9:$P$905,16,FALSE)</f>
        <v>#N/A</v>
      </c>
      <c r="T353" s="755"/>
      <c r="U353" s="784"/>
      <c r="V353" s="784"/>
      <c r="W353" s="784"/>
      <c r="X353" s="784"/>
      <c r="Y353" s="784"/>
      <c r="Z353" s="975" t="str">
        <f>VLOOKUP(L353,[2]اس!$S$3:$X$31,3,FALSE)</f>
        <v>.</v>
      </c>
      <c r="AA353" s="967"/>
    </row>
    <row r="354" spans="1:32" ht="16.5" customHeight="1">
      <c r="A354" s="922"/>
      <c r="B354" s="922"/>
      <c r="C354" s="922"/>
      <c r="I354" s="922"/>
      <c r="J354" s="922"/>
      <c r="K354" s="922"/>
      <c r="L354" s="777">
        <v>5</v>
      </c>
      <c r="M354" s="778"/>
      <c r="N354" s="976"/>
      <c r="O354" s="1020">
        <v>297</v>
      </c>
      <c r="P354" s="847" t="e">
        <f>VLOOKUP(N354,etat!$A$9:$N$1004,2,FALSE)</f>
        <v>#N/A</v>
      </c>
      <c r="Q354" s="797" t="e">
        <f>VLOOKUP(N354,etat!$A$9:$N$963,7,FALSE)</f>
        <v>#N/A</v>
      </c>
      <c r="R354" s="797" t="e">
        <f>VLOOKUP(N354,etat!$A$9:$N$1003,9,FALSE)</f>
        <v>#N/A</v>
      </c>
      <c r="S354" s="866" t="e">
        <f>VLOOKUP(N354,etat!$A$9:$P$905,16,FALSE)</f>
        <v>#N/A</v>
      </c>
      <c r="T354" s="755"/>
      <c r="U354" s="784"/>
      <c r="V354" s="784"/>
      <c r="W354" s="784"/>
      <c r="X354" s="784"/>
      <c r="Y354" s="784"/>
      <c r="Z354" s="975" t="str">
        <f>VLOOKUP(L354,[2]اس!$S$3:$X$31,3,FALSE)</f>
        <v>.</v>
      </c>
      <c r="AA354" s="967"/>
    </row>
    <row r="355" spans="1:32" ht="16.5" customHeight="1">
      <c r="A355" s="922"/>
      <c r="B355" s="922"/>
      <c r="C355" s="922"/>
      <c r="I355" s="922"/>
      <c r="J355" s="922"/>
      <c r="K355" s="922"/>
      <c r="L355" s="777">
        <v>5</v>
      </c>
      <c r="M355" s="778"/>
      <c r="N355" s="976"/>
      <c r="O355" s="1020">
        <v>298</v>
      </c>
      <c r="P355" s="847" t="e">
        <f>VLOOKUP(N355,etat!$A$9:$N$1004,2,FALSE)</f>
        <v>#N/A</v>
      </c>
      <c r="Q355" s="797" t="e">
        <f>VLOOKUP(N355,etat!$A$9:$N$963,7,FALSE)</f>
        <v>#N/A</v>
      </c>
      <c r="R355" s="797" t="e">
        <f>VLOOKUP(N355,etat!$A$9:$N$1003,9,FALSE)</f>
        <v>#N/A</v>
      </c>
      <c r="S355" s="866" t="e">
        <f>VLOOKUP(N355,etat!$A$9:$P$905,16,FALSE)</f>
        <v>#N/A</v>
      </c>
      <c r="T355" s="755"/>
      <c r="U355" s="784"/>
      <c r="V355" s="784"/>
      <c r="W355" s="784"/>
      <c r="X355" s="784"/>
      <c r="Y355" s="784"/>
      <c r="Z355" s="975" t="str">
        <f>VLOOKUP(L355,[2]اس!$S$3:$X$31,3,FALSE)</f>
        <v>.</v>
      </c>
      <c r="AA355" s="967"/>
    </row>
    <row r="356" spans="1:32" s="799" customFormat="1" ht="16.5" customHeight="1">
      <c r="A356" s="922"/>
      <c r="B356" s="922"/>
      <c r="C356" s="922"/>
      <c r="D356" s="166"/>
      <c r="E356" s="166"/>
      <c r="F356" s="166"/>
      <c r="G356" s="166"/>
      <c r="H356" s="166"/>
      <c r="I356" s="922"/>
      <c r="J356" s="922"/>
      <c r="K356" s="922"/>
      <c r="L356" s="777">
        <v>5</v>
      </c>
      <c r="M356" s="778"/>
      <c r="N356" s="976"/>
      <c r="O356" s="1020">
        <v>299</v>
      </c>
      <c r="P356" s="847" t="e">
        <f>VLOOKUP(N356,etat!$A$9:$N$1004,2,FALSE)</f>
        <v>#N/A</v>
      </c>
      <c r="Q356" s="797" t="e">
        <f>VLOOKUP(N356,etat!$A$9:$N$963,7,FALSE)</f>
        <v>#N/A</v>
      </c>
      <c r="R356" s="797" t="e">
        <f>VLOOKUP(N356,etat!$A$9:$N$1003,9,FALSE)</f>
        <v>#N/A</v>
      </c>
      <c r="S356" s="866" t="e">
        <f>VLOOKUP(N356,etat!$A$9:$P$905,16,FALSE)</f>
        <v>#N/A</v>
      </c>
      <c r="T356" s="755"/>
      <c r="U356" s="784"/>
      <c r="V356" s="784"/>
      <c r="W356" s="784"/>
      <c r="X356" s="784"/>
      <c r="Y356" s="784"/>
      <c r="Z356" s="975" t="str">
        <f>VLOOKUP(L356,[2]اس!$S$3:$X$31,3,FALSE)</f>
        <v>.</v>
      </c>
      <c r="AA356" s="967"/>
      <c r="AB356" s="23"/>
      <c r="AC356" s="23"/>
      <c r="AD356" s="23"/>
      <c r="AE356" s="23"/>
      <c r="AF356" s="23"/>
    </row>
    <row r="357" spans="1:32" s="799" customFormat="1" ht="16.5" customHeight="1">
      <c r="A357" s="922"/>
      <c r="B357" s="922"/>
      <c r="C357" s="922"/>
      <c r="D357" s="166"/>
      <c r="E357" s="166"/>
      <c r="F357" s="166"/>
      <c r="G357" s="166"/>
      <c r="H357" s="166"/>
      <c r="I357" s="922"/>
      <c r="J357" s="922"/>
      <c r="K357" s="922"/>
      <c r="L357" s="777">
        <v>5</v>
      </c>
      <c r="M357" s="778"/>
      <c r="N357" s="976"/>
      <c r="O357" s="1020">
        <v>300</v>
      </c>
      <c r="P357" s="847" t="e">
        <f>VLOOKUP(N357,etat!$A$9:$N$1004,2,FALSE)</f>
        <v>#N/A</v>
      </c>
      <c r="Q357" s="797" t="e">
        <f>VLOOKUP(N357,etat!$A$9:$N$963,7,FALSE)</f>
        <v>#N/A</v>
      </c>
      <c r="R357" s="797" t="e">
        <f>VLOOKUP(N357,etat!$A$9:$N$1003,9,FALSE)</f>
        <v>#N/A</v>
      </c>
      <c r="S357" s="866" t="e">
        <f>VLOOKUP(N357,etat!$A$9:$P$905,16,FALSE)</f>
        <v>#N/A</v>
      </c>
      <c r="T357" s="755"/>
      <c r="U357" s="784"/>
      <c r="V357" s="784"/>
      <c r="W357" s="784"/>
      <c r="X357" s="784"/>
      <c r="Y357" s="975"/>
      <c r="Z357" s="975" t="str">
        <f>VLOOKUP(L357,[2]اس!$S$3:$X$31,3,FALSE)</f>
        <v>.</v>
      </c>
      <c r="AA357" s="967"/>
      <c r="AB357" s="23"/>
      <c r="AC357" s="23"/>
      <c r="AD357" s="23"/>
      <c r="AE357" s="23"/>
      <c r="AF357" s="23"/>
    </row>
    <row r="358" spans="1:32" ht="16.5" customHeight="1">
      <c r="A358" s="922"/>
      <c r="B358" s="922"/>
      <c r="C358" s="922"/>
      <c r="I358" s="922"/>
      <c r="J358" s="922"/>
      <c r="K358" s="922"/>
      <c r="L358" s="777">
        <v>5</v>
      </c>
      <c r="M358" s="778"/>
      <c r="N358" s="976"/>
      <c r="O358" s="1020">
        <v>301</v>
      </c>
      <c r="P358" s="847" t="e">
        <f>VLOOKUP(N358,etat!$A$9:$N$1004,2,FALSE)</f>
        <v>#N/A</v>
      </c>
      <c r="Q358" s="797" t="e">
        <f>VLOOKUP(N358,etat!$A$9:$N$963,7,FALSE)</f>
        <v>#N/A</v>
      </c>
      <c r="R358" s="797" t="e">
        <f>VLOOKUP(N358,etat!$A$9:$N$1003,9,FALSE)</f>
        <v>#N/A</v>
      </c>
      <c r="S358" s="866" t="e">
        <f>VLOOKUP(N358,etat!$A$9:$P$905,16,FALSE)</f>
        <v>#N/A</v>
      </c>
      <c r="T358" s="755"/>
      <c r="U358" s="784"/>
      <c r="V358" s="784"/>
      <c r="W358" s="784"/>
      <c r="X358" s="784"/>
      <c r="Y358" s="975"/>
      <c r="Z358" s="975" t="str">
        <f>VLOOKUP(L358,[2]اس!$S$3:$X$31,3,FALSE)</f>
        <v>.</v>
      </c>
      <c r="AA358" s="967"/>
    </row>
    <row r="359" spans="1:32" ht="16.5" customHeight="1">
      <c r="A359" s="922"/>
      <c r="B359" s="922"/>
      <c r="C359" s="922"/>
      <c r="I359" s="922"/>
      <c r="J359" s="922"/>
      <c r="K359" s="922"/>
      <c r="L359" s="777">
        <v>5</v>
      </c>
      <c r="M359" s="778"/>
      <c r="N359" s="976"/>
      <c r="O359" s="1020">
        <v>302</v>
      </c>
      <c r="P359" s="847" t="e">
        <f>VLOOKUP(N359,etat!$A$9:$N$1004,2,FALSE)</f>
        <v>#N/A</v>
      </c>
      <c r="Q359" s="797" t="e">
        <f>VLOOKUP(N359,etat!$A$9:$N$963,7,FALSE)</f>
        <v>#N/A</v>
      </c>
      <c r="R359" s="797" t="e">
        <f>VLOOKUP(N359,etat!$A$9:$N$1003,9,FALSE)</f>
        <v>#N/A</v>
      </c>
      <c r="S359" s="866" t="e">
        <f>VLOOKUP(N359,etat!$A$9:$P$905,16,FALSE)</f>
        <v>#N/A</v>
      </c>
      <c r="T359" s="755"/>
      <c r="U359" s="784"/>
      <c r="V359" s="784"/>
      <c r="W359" s="784"/>
      <c r="X359" s="784"/>
      <c r="Y359" s="975"/>
      <c r="Z359" s="975" t="str">
        <f>VLOOKUP(L359,[2]اس!$S$3:$X$31,3,FALSE)</f>
        <v>.</v>
      </c>
      <c r="AA359" s="967"/>
    </row>
    <row r="360" spans="1:32" ht="16.5" customHeight="1">
      <c r="A360" s="922"/>
      <c r="B360" s="922"/>
      <c r="C360" s="922"/>
      <c r="I360" s="922"/>
      <c r="J360" s="922"/>
      <c r="K360" s="922"/>
      <c r="L360" s="777">
        <v>5</v>
      </c>
      <c r="M360" s="778"/>
      <c r="N360" s="976"/>
      <c r="O360" s="1020">
        <v>303</v>
      </c>
      <c r="P360" s="847" t="e">
        <f>VLOOKUP(N360,etat!$A$9:$N$1004,2,FALSE)</f>
        <v>#N/A</v>
      </c>
      <c r="Q360" s="797" t="e">
        <f>VLOOKUP(N360,etat!$A$9:$N$963,7,FALSE)</f>
        <v>#N/A</v>
      </c>
      <c r="R360" s="797" t="e">
        <f>VLOOKUP(N360,etat!$A$9:$N$1003,9,FALSE)</f>
        <v>#N/A</v>
      </c>
      <c r="S360" s="866" t="e">
        <f>VLOOKUP(N360,etat!$A$9:$P$905,16,FALSE)</f>
        <v>#N/A</v>
      </c>
      <c r="T360" s="755"/>
      <c r="U360" s="784"/>
      <c r="V360" s="784"/>
      <c r="W360" s="784"/>
      <c r="X360" s="784"/>
      <c r="Y360" s="975"/>
      <c r="Z360" s="975" t="str">
        <f>VLOOKUP(L360,[2]اس!$S$3:$X$31,3,FALSE)</f>
        <v>.</v>
      </c>
      <c r="AA360" s="967"/>
    </row>
    <row r="361" spans="1:32" s="918" customFormat="1" ht="16.5" customHeight="1">
      <c r="A361" s="922"/>
      <c r="B361" s="922"/>
      <c r="C361" s="922"/>
      <c r="D361" s="166"/>
      <c r="E361" s="166"/>
      <c r="F361" s="166"/>
      <c r="G361" s="166"/>
      <c r="H361" s="166"/>
      <c r="I361" s="922"/>
      <c r="J361" s="922"/>
      <c r="K361" s="922"/>
      <c r="L361" s="777">
        <v>5</v>
      </c>
      <c r="M361" s="778"/>
      <c r="N361" s="976"/>
      <c r="O361" s="1020">
        <v>304</v>
      </c>
      <c r="P361" s="847" t="e">
        <f>VLOOKUP(N361,etat!$A$9:$N$1004,2,FALSE)</f>
        <v>#N/A</v>
      </c>
      <c r="Q361" s="797" t="e">
        <f>VLOOKUP(N361,etat!$A$9:$N$963,7,FALSE)</f>
        <v>#N/A</v>
      </c>
      <c r="R361" s="797" t="e">
        <f>VLOOKUP(N361,etat!$A$9:$N$1003,9,FALSE)</f>
        <v>#N/A</v>
      </c>
      <c r="S361" s="866" t="e">
        <f>VLOOKUP(N361,etat!$A$9:$P$905,16,FALSE)</f>
        <v>#N/A</v>
      </c>
      <c r="T361" s="755"/>
      <c r="U361" s="784"/>
      <c r="V361" s="784"/>
      <c r="W361" s="784"/>
      <c r="X361" s="784"/>
      <c r="Y361" s="975"/>
      <c r="Z361" s="975" t="str">
        <f>VLOOKUP(L361,[2]اس!$S$3:$X$31,3,FALSE)</f>
        <v>.</v>
      </c>
      <c r="AA361" s="967"/>
      <c r="AB361" s="919"/>
      <c r="AC361" s="919"/>
      <c r="AD361" s="919"/>
      <c r="AE361" s="919"/>
      <c r="AF361" s="919"/>
    </row>
    <row r="362" spans="1:32" s="918" customFormat="1" ht="16.5" customHeight="1">
      <c r="A362" s="922"/>
      <c r="B362" s="922"/>
      <c r="C362" s="922"/>
      <c r="D362" s="166"/>
      <c r="E362" s="166"/>
      <c r="F362" s="166"/>
      <c r="G362" s="166"/>
      <c r="H362" s="166"/>
      <c r="I362" s="922"/>
      <c r="J362" s="922"/>
      <c r="K362" s="922"/>
      <c r="L362" s="777">
        <v>5</v>
      </c>
      <c r="M362" s="778"/>
      <c r="N362" s="976"/>
      <c r="O362" s="1020">
        <v>305</v>
      </c>
      <c r="P362" s="847" t="e">
        <f>VLOOKUP(N362,etat!$A$9:$N$1004,2,FALSE)</f>
        <v>#N/A</v>
      </c>
      <c r="Q362" s="797" t="e">
        <f>VLOOKUP(N362,etat!$A$9:$N$963,7,FALSE)</f>
        <v>#N/A</v>
      </c>
      <c r="R362" s="797" t="e">
        <f>VLOOKUP(N362,etat!$A$9:$N$1003,9,FALSE)</f>
        <v>#N/A</v>
      </c>
      <c r="S362" s="866" t="e">
        <f>VLOOKUP(N362,etat!$A$9:$P$905,16,FALSE)</f>
        <v>#N/A</v>
      </c>
      <c r="T362" s="755"/>
      <c r="U362" s="784"/>
      <c r="V362" s="784"/>
      <c r="W362" s="784"/>
      <c r="X362" s="784"/>
      <c r="Y362" s="975"/>
      <c r="Z362" s="975" t="str">
        <f>VLOOKUP(L362,[2]اس!$S$3:$X$31,3,FALSE)</f>
        <v>.</v>
      </c>
      <c r="AA362" s="967"/>
      <c r="AB362" s="919"/>
      <c r="AC362" s="919"/>
      <c r="AD362" s="919"/>
      <c r="AE362" s="919"/>
      <c r="AF362" s="919"/>
    </row>
    <row r="363" spans="1:32" s="918" customFormat="1" ht="16.5" customHeight="1">
      <c r="A363" s="922"/>
      <c r="B363" s="922"/>
      <c r="C363" s="922"/>
      <c r="D363" s="166"/>
      <c r="E363" s="166"/>
      <c r="F363" s="166"/>
      <c r="G363" s="166"/>
      <c r="H363" s="166"/>
      <c r="I363" s="922"/>
      <c r="J363" s="922"/>
      <c r="K363" s="922"/>
      <c r="L363" s="777">
        <v>5</v>
      </c>
      <c r="M363" s="778"/>
      <c r="N363" s="976"/>
      <c r="O363" s="1020">
        <v>306</v>
      </c>
      <c r="P363" s="847" t="e">
        <f>VLOOKUP(N363,etat!$A$9:$N$1004,2,FALSE)</f>
        <v>#N/A</v>
      </c>
      <c r="Q363" s="797" t="e">
        <f>VLOOKUP(N363,etat!$A$9:$N$963,7,FALSE)</f>
        <v>#N/A</v>
      </c>
      <c r="R363" s="797" t="e">
        <f>VLOOKUP(N363,etat!$A$9:$N$1003,9,FALSE)</f>
        <v>#N/A</v>
      </c>
      <c r="S363" s="866" t="e">
        <f>VLOOKUP(N363,etat!$A$9:$P$905,16,FALSE)</f>
        <v>#N/A</v>
      </c>
      <c r="T363" s="755"/>
      <c r="U363" s="784"/>
      <c r="V363" s="784"/>
      <c r="W363" s="784"/>
      <c r="X363" s="784"/>
      <c r="Y363" s="975"/>
      <c r="Z363" s="975" t="str">
        <f>VLOOKUP(L363,[2]اس!$S$3:$X$31,3,FALSE)</f>
        <v>.</v>
      </c>
      <c r="AA363" s="967"/>
      <c r="AB363" s="919"/>
      <c r="AC363" s="919"/>
      <c r="AD363" s="919"/>
      <c r="AE363" s="919"/>
      <c r="AF363" s="919"/>
    </row>
    <row r="364" spans="1:32" s="918" customFormat="1" ht="16.5" customHeight="1">
      <c r="A364" s="922"/>
      <c r="B364" s="922"/>
      <c r="C364" s="922"/>
      <c r="D364" s="166"/>
      <c r="E364" s="166"/>
      <c r="F364" s="166"/>
      <c r="G364" s="166"/>
      <c r="H364" s="166"/>
      <c r="I364" s="922"/>
      <c r="J364" s="922"/>
      <c r="K364" s="922"/>
      <c r="L364" s="777">
        <v>5</v>
      </c>
      <c r="M364" s="778"/>
      <c r="N364" s="976"/>
      <c r="O364" s="1020">
        <v>307</v>
      </c>
      <c r="P364" s="847" t="e">
        <f>VLOOKUP(N364,etat!$A$9:$N$1004,2,FALSE)</f>
        <v>#N/A</v>
      </c>
      <c r="Q364" s="797" t="e">
        <f>VLOOKUP(N364,etat!$A$9:$N$963,7,FALSE)</f>
        <v>#N/A</v>
      </c>
      <c r="R364" s="797" t="e">
        <f>VLOOKUP(N364,etat!$A$9:$N$1003,9,FALSE)</f>
        <v>#N/A</v>
      </c>
      <c r="S364" s="866" t="e">
        <f>VLOOKUP(N364,etat!$A$9:$P$905,16,FALSE)</f>
        <v>#N/A</v>
      </c>
      <c r="T364" s="755"/>
      <c r="U364" s="784"/>
      <c r="V364" s="784"/>
      <c r="W364" s="784"/>
      <c r="X364" s="784"/>
      <c r="Y364" s="784"/>
      <c r="Z364" s="975" t="str">
        <f>VLOOKUP(L364,[2]اس!$S$3:$X$31,3,FALSE)</f>
        <v>.</v>
      </c>
      <c r="AA364" s="967"/>
      <c r="AB364" s="919"/>
      <c r="AC364" s="919"/>
      <c r="AD364" s="919"/>
      <c r="AE364" s="919"/>
      <c r="AF364" s="919"/>
    </row>
    <row r="365" spans="1:32" s="918" customFormat="1" ht="16.5" customHeight="1">
      <c r="A365" s="922"/>
      <c r="B365" s="922"/>
      <c r="C365" s="922"/>
      <c r="D365" s="166"/>
      <c r="E365" s="166"/>
      <c r="F365" s="166"/>
      <c r="G365" s="166"/>
      <c r="H365" s="166"/>
      <c r="I365" s="922"/>
      <c r="J365" s="922"/>
      <c r="K365" s="922"/>
      <c r="L365" s="777">
        <v>5</v>
      </c>
      <c r="M365" s="778"/>
      <c r="N365" s="976"/>
      <c r="O365" s="1020">
        <v>308</v>
      </c>
      <c r="P365" s="847" t="e">
        <f>VLOOKUP(N365,etat!$A$9:$N$1004,2,FALSE)</f>
        <v>#N/A</v>
      </c>
      <c r="Q365" s="797" t="e">
        <f>VLOOKUP(N365,etat!$A$9:$N$963,7,FALSE)</f>
        <v>#N/A</v>
      </c>
      <c r="R365" s="797" t="e">
        <f>VLOOKUP(N365,etat!$A$9:$N$1003,9,FALSE)</f>
        <v>#N/A</v>
      </c>
      <c r="S365" s="866" t="e">
        <f>VLOOKUP(N365,etat!$A$9:$P$905,16,FALSE)</f>
        <v>#N/A</v>
      </c>
      <c r="T365" s="755"/>
      <c r="U365" s="784"/>
      <c r="V365" s="784"/>
      <c r="W365" s="784"/>
      <c r="X365" s="784"/>
      <c r="Y365" s="975"/>
      <c r="Z365" s="975" t="str">
        <f>VLOOKUP(L365,[2]اس!$S$3:$X$31,3,FALSE)</f>
        <v>.</v>
      </c>
      <c r="AA365" s="967"/>
      <c r="AB365" s="919"/>
      <c r="AC365" s="919"/>
      <c r="AD365" s="919"/>
      <c r="AE365" s="919"/>
      <c r="AF365" s="919"/>
    </row>
    <row r="366" spans="1:32" ht="16.5" customHeight="1">
      <c r="A366" s="922"/>
      <c r="B366" s="922"/>
      <c r="C366" s="922"/>
      <c r="I366" s="922"/>
      <c r="J366" s="922"/>
      <c r="K366" s="922"/>
      <c r="L366" s="777">
        <v>5</v>
      </c>
      <c r="M366" s="778"/>
      <c r="N366" s="976"/>
      <c r="O366" s="1020">
        <v>309</v>
      </c>
      <c r="P366" s="847" t="e">
        <f>VLOOKUP(N366,etat!$A$9:$N$1004,2,FALSE)</f>
        <v>#N/A</v>
      </c>
      <c r="Q366" s="797" t="e">
        <f>VLOOKUP(N366,etat!$A$9:$N$963,7,FALSE)</f>
        <v>#N/A</v>
      </c>
      <c r="R366" s="797" t="e">
        <f>VLOOKUP(N366,etat!$A$9:$N$1003,9,FALSE)</f>
        <v>#N/A</v>
      </c>
      <c r="S366" s="866" t="e">
        <f>VLOOKUP(N366,etat!$A$9:$P$905,16,FALSE)</f>
        <v>#N/A</v>
      </c>
      <c r="T366" s="755"/>
      <c r="U366" s="784"/>
      <c r="V366" s="784"/>
      <c r="W366" s="784"/>
      <c r="X366" s="784"/>
      <c r="Y366" s="975"/>
      <c r="Z366" s="975" t="str">
        <f>VLOOKUP(L366,[2]اس!$S$3:$X$31,3,FALSE)</f>
        <v>.</v>
      </c>
      <c r="AA366" s="967"/>
    </row>
    <row r="367" spans="1:32" s="799" customFormat="1" ht="16.5" customHeight="1">
      <c r="A367" s="922"/>
      <c r="B367" s="922"/>
      <c r="C367" s="922"/>
      <c r="D367" s="166"/>
      <c r="E367" s="166"/>
      <c r="F367" s="166"/>
      <c r="G367" s="166"/>
      <c r="H367" s="166"/>
      <c r="I367" s="922"/>
      <c r="J367" s="922"/>
      <c r="K367" s="922"/>
      <c r="L367" s="777">
        <v>5</v>
      </c>
      <c r="M367" s="778"/>
      <c r="N367" s="976"/>
      <c r="O367" s="1020">
        <v>310</v>
      </c>
      <c r="P367" s="847" t="e">
        <f>VLOOKUP(N367,etat!$A$9:$N$1004,2,FALSE)</f>
        <v>#N/A</v>
      </c>
      <c r="Q367" s="797" t="e">
        <f>VLOOKUP(N367,etat!$A$9:$N$963,7,FALSE)</f>
        <v>#N/A</v>
      </c>
      <c r="R367" s="797" t="e">
        <f>VLOOKUP(N367,etat!$A$9:$N$1003,9,FALSE)</f>
        <v>#N/A</v>
      </c>
      <c r="S367" s="866" t="e">
        <f>VLOOKUP(N367,etat!$A$9:$P$905,16,FALSE)</f>
        <v>#N/A</v>
      </c>
      <c r="T367" s="755"/>
      <c r="U367" s="784"/>
      <c r="V367" s="784"/>
      <c r="W367" s="784"/>
      <c r="X367" s="784"/>
      <c r="Y367" s="975"/>
      <c r="Z367" s="975" t="str">
        <f>VLOOKUP(L367,[2]اس!$S$3:$X$31,3,FALSE)</f>
        <v>.</v>
      </c>
      <c r="AA367" s="967"/>
      <c r="AB367" s="23"/>
      <c r="AC367" s="23"/>
      <c r="AD367" s="23"/>
      <c r="AE367" s="23"/>
      <c r="AF367" s="23"/>
    </row>
    <row r="368" spans="1:32" s="799" customFormat="1" ht="16.5" customHeight="1">
      <c r="A368" s="922"/>
      <c r="B368" s="922"/>
      <c r="C368" s="922"/>
      <c r="D368" s="166"/>
      <c r="E368" s="166"/>
      <c r="F368" s="166"/>
      <c r="G368" s="166"/>
      <c r="H368" s="166"/>
      <c r="I368" s="922"/>
      <c r="J368" s="922"/>
      <c r="K368" s="922"/>
      <c r="L368" s="777">
        <v>5</v>
      </c>
      <c r="M368" s="778"/>
      <c r="N368" s="976"/>
      <c r="O368" s="1020">
        <v>311</v>
      </c>
      <c r="P368" s="847" t="e">
        <f>VLOOKUP(N368,etat!$A$9:$N$1004,2,FALSE)</f>
        <v>#N/A</v>
      </c>
      <c r="Q368" s="797" t="e">
        <f>VLOOKUP(N368,etat!$A$9:$N$963,7,FALSE)</f>
        <v>#N/A</v>
      </c>
      <c r="R368" s="797" t="e">
        <f>VLOOKUP(N368,etat!$A$9:$N$1003,9,FALSE)</f>
        <v>#N/A</v>
      </c>
      <c r="S368" s="866" t="e">
        <f>VLOOKUP(N368,etat!$A$9:$P$905,16,FALSE)</f>
        <v>#N/A</v>
      </c>
      <c r="T368" s="755"/>
      <c r="U368" s="784"/>
      <c r="V368" s="784"/>
      <c r="W368" s="784"/>
      <c r="X368" s="784"/>
      <c r="Y368" s="975"/>
      <c r="Z368" s="975" t="str">
        <f>VLOOKUP(L368,[2]اس!$S$3:$X$31,3,FALSE)</f>
        <v>.</v>
      </c>
      <c r="AA368" s="967"/>
      <c r="AB368" s="23"/>
      <c r="AC368" s="23"/>
      <c r="AD368" s="23"/>
      <c r="AE368" s="23"/>
      <c r="AF368" s="23"/>
    </row>
    <row r="369" spans="1:32" s="799" customFormat="1" ht="16.5" customHeight="1">
      <c r="A369" s="922"/>
      <c r="B369" s="922"/>
      <c r="C369" s="922"/>
      <c r="D369" s="166"/>
      <c r="E369" s="166"/>
      <c r="F369" s="166"/>
      <c r="G369" s="166"/>
      <c r="H369" s="166"/>
      <c r="I369" s="922"/>
      <c r="J369" s="922"/>
      <c r="K369" s="922"/>
      <c r="L369" s="777">
        <v>5</v>
      </c>
      <c r="M369" s="778"/>
      <c r="N369" s="976"/>
      <c r="O369" s="1020">
        <v>312</v>
      </c>
      <c r="P369" s="847" t="e">
        <f>VLOOKUP(N369,etat!$A$9:$N$1004,2,FALSE)</f>
        <v>#N/A</v>
      </c>
      <c r="Q369" s="797" t="e">
        <f>VLOOKUP(N369,etat!$A$9:$N$963,7,FALSE)</f>
        <v>#N/A</v>
      </c>
      <c r="R369" s="797" t="e">
        <f>VLOOKUP(N369,etat!$A$9:$N$1003,9,FALSE)</f>
        <v>#N/A</v>
      </c>
      <c r="S369" s="866" t="e">
        <f>VLOOKUP(N369,etat!$A$9:$P$905,16,FALSE)</f>
        <v>#N/A</v>
      </c>
      <c r="T369" s="755"/>
      <c r="U369" s="784"/>
      <c r="V369" s="784"/>
      <c r="W369" s="784"/>
      <c r="X369" s="784"/>
      <c r="Y369" s="975"/>
      <c r="Z369" s="975" t="str">
        <f>VLOOKUP(L369,[2]اس!$S$3:$X$31,3,FALSE)</f>
        <v>.</v>
      </c>
      <c r="AA369" s="967"/>
      <c r="AB369" s="23"/>
      <c r="AC369" s="23"/>
      <c r="AD369" s="23"/>
      <c r="AE369" s="23"/>
      <c r="AF369" s="23"/>
    </row>
    <row r="370" spans="1:32" s="799" customFormat="1" ht="16.5" customHeight="1">
      <c r="A370" s="922"/>
      <c r="B370" s="922"/>
      <c r="C370" s="922"/>
      <c r="D370" s="166"/>
      <c r="E370" s="166"/>
      <c r="F370" s="166"/>
      <c r="G370" s="166"/>
      <c r="H370" s="166"/>
      <c r="I370" s="922"/>
      <c r="J370" s="922"/>
      <c r="K370" s="922"/>
      <c r="L370" s="777">
        <v>5</v>
      </c>
      <c r="M370" s="778"/>
      <c r="N370" s="976"/>
      <c r="O370" s="1020">
        <v>313</v>
      </c>
      <c r="P370" s="847" t="e">
        <f>VLOOKUP(N370,etat!$A$9:$N$1004,2,FALSE)</f>
        <v>#N/A</v>
      </c>
      <c r="Q370" s="797" t="e">
        <f>VLOOKUP(N370,etat!$A$9:$N$963,7,FALSE)</f>
        <v>#N/A</v>
      </c>
      <c r="R370" s="797" t="e">
        <f>VLOOKUP(N370,etat!$A$9:$N$1003,9,FALSE)</f>
        <v>#N/A</v>
      </c>
      <c r="S370" s="866" t="e">
        <f>VLOOKUP(N370,etat!$A$9:$P$905,16,FALSE)</f>
        <v>#N/A</v>
      </c>
      <c r="T370" s="755"/>
      <c r="U370" s="784"/>
      <c r="V370" s="784"/>
      <c r="W370" s="784"/>
      <c r="X370" s="784"/>
      <c r="Y370" s="975"/>
      <c r="Z370" s="975" t="str">
        <f>VLOOKUP(L370,[2]اس!$S$3:$X$31,3,FALSE)</f>
        <v>.</v>
      </c>
      <c r="AA370" s="967"/>
      <c r="AB370" s="23"/>
      <c r="AC370" s="23"/>
      <c r="AD370" s="23"/>
      <c r="AE370" s="23"/>
      <c r="AF370" s="23"/>
    </row>
    <row r="371" spans="1:32" ht="16.5" customHeight="1">
      <c r="A371" s="922"/>
      <c r="B371" s="922"/>
      <c r="C371" s="922"/>
      <c r="I371" s="922"/>
      <c r="J371" s="922"/>
      <c r="K371" s="922"/>
      <c r="L371" s="777">
        <v>5</v>
      </c>
      <c r="M371" s="778"/>
      <c r="N371" s="976"/>
      <c r="O371" s="1020">
        <v>314</v>
      </c>
      <c r="P371" s="847" t="e">
        <f>VLOOKUP(N371,etat!$A$9:$N$1004,2,FALSE)</f>
        <v>#N/A</v>
      </c>
      <c r="Q371" s="797" t="e">
        <f>VLOOKUP(N371,etat!$A$9:$N$963,7,FALSE)</f>
        <v>#N/A</v>
      </c>
      <c r="R371" s="797" t="e">
        <f>VLOOKUP(N371,etat!$A$9:$N$1003,9,FALSE)</f>
        <v>#N/A</v>
      </c>
      <c r="S371" s="866" t="e">
        <f>VLOOKUP(N371,etat!$A$9:$P$905,16,FALSE)</f>
        <v>#N/A</v>
      </c>
      <c r="T371" s="755"/>
      <c r="U371" s="784"/>
      <c r="V371" s="784"/>
      <c r="W371" s="784"/>
      <c r="X371" s="784"/>
      <c r="Y371" s="975"/>
      <c r="Z371" s="975" t="str">
        <f>VLOOKUP(L371,[2]اس!$S$3:$X$31,3,FALSE)</f>
        <v>.</v>
      </c>
      <c r="AA371" s="967"/>
    </row>
    <row r="372" spans="1:32" ht="16.5" customHeight="1">
      <c r="A372" s="922"/>
      <c r="B372" s="922"/>
      <c r="C372" s="922"/>
      <c r="I372" s="922"/>
      <c r="J372" s="922"/>
      <c r="K372" s="922"/>
      <c r="L372" s="777">
        <v>5</v>
      </c>
      <c r="M372" s="778"/>
      <c r="N372" s="976"/>
      <c r="O372" s="1020">
        <v>315</v>
      </c>
      <c r="P372" s="847" t="e">
        <f>VLOOKUP(N372,etat!$A$9:$N$1004,2,FALSE)</f>
        <v>#N/A</v>
      </c>
      <c r="Q372" s="797" t="e">
        <f>VLOOKUP(N372,etat!$A$9:$N$963,7,FALSE)</f>
        <v>#N/A</v>
      </c>
      <c r="R372" s="797" t="e">
        <f>VLOOKUP(N372,etat!$A$9:$N$1003,9,FALSE)</f>
        <v>#N/A</v>
      </c>
      <c r="S372" s="866" t="e">
        <f>VLOOKUP(N372,etat!$A$9:$P$905,16,FALSE)</f>
        <v>#N/A</v>
      </c>
      <c r="T372" s="755"/>
      <c r="U372" s="784"/>
      <c r="V372" s="784"/>
      <c r="W372" s="784"/>
      <c r="X372" s="784"/>
      <c r="Y372" s="975"/>
      <c r="Z372" s="975" t="str">
        <f>VLOOKUP(L372,[2]اس!$S$3:$X$31,3,FALSE)</f>
        <v>.</v>
      </c>
      <c r="AA372" s="967"/>
    </row>
    <row r="373" spans="1:32" s="799" customFormat="1" ht="16.5" customHeight="1">
      <c r="A373" s="922"/>
      <c r="B373" s="922"/>
      <c r="C373" s="922"/>
      <c r="D373" s="166"/>
      <c r="E373" s="166"/>
      <c r="F373" s="166"/>
      <c r="G373" s="166"/>
      <c r="H373" s="166"/>
      <c r="I373" s="922"/>
      <c r="J373" s="922"/>
      <c r="K373" s="922"/>
      <c r="L373" s="777">
        <v>5</v>
      </c>
      <c r="M373" s="778"/>
      <c r="N373" s="976"/>
      <c r="O373" s="1020">
        <v>316</v>
      </c>
      <c r="P373" s="847" t="e">
        <f>VLOOKUP(N373,etat!$A$9:$N$1004,2,FALSE)</f>
        <v>#N/A</v>
      </c>
      <c r="Q373" s="797" t="e">
        <f>VLOOKUP(N373,etat!$A$9:$N$963,7,FALSE)</f>
        <v>#N/A</v>
      </c>
      <c r="R373" s="797" t="e">
        <f>VLOOKUP(N373,etat!$A$9:$N$1003,9,FALSE)</f>
        <v>#N/A</v>
      </c>
      <c r="S373" s="866" t="e">
        <f>VLOOKUP(N373,etat!$A$9:$P$905,16,FALSE)</f>
        <v>#N/A</v>
      </c>
      <c r="T373" s="755"/>
      <c r="U373" s="784"/>
      <c r="V373" s="784"/>
      <c r="W373" s="784"/>
      <c r="X373" s="784"/>
      <c r="Y373" s="975"/>
      <c r="Z373" s="975" t="str">
        <f>VLOOKUP(L373,[2]اس!$S$3:$X$31,3,FALSE)</f>
        <v>.</v>
      </c>
      <c r="AA373" s="967"/>
      <c r="AB373" s="23"/>
      <c r="AC373" s="23"/>
      <c r="AD373" s="23"/>
      <c r="AE373" s="23"/>
      <c r="AF373" s="23"/>
    </row>
    <row r="374" spans="1:32" s="799" customFormat="1" ht="16.5" customHeight="1">
      <c r="A374" s="922"/>
      <c r="B374" s="922"/>
      <c r="C374" s="922"/>
      <c r="D374" s="166"/>
      <c r="E374" s="166"/>
      <c r="F374" s="166"/>
      <c r="G374" s="166"/>
      <c r="H374" s="166"/>
      <c r="I374" s="922"/>
      <c r="J374" s="922"/>
      <c r="K374" s="922"/>
      <c r="L374" s="777">
        <v>5</v>
      </c>
      <c r="M374" s="778"/>
      <c r="N374" s="976"/>
      <c r="O374" s="1020">
        <v>317</v>
      </c>
      <c r="P374" s="847" t="e">
        <f>VLOOKUP(N374,etat!$A$9:$N$1004,2,FALSE)</f>
        <v>#N/A</v>
      </c>
      <c r="Q374" s="797" t="e">
        <f>VLOOKUP(N374,etat!$A$9:$N$963,7,FALSE)</f>
        <v>#N/A</v>
      </c>
      <c r="R374" s="797" t="e">
        <f>VLOOKUP(N374,etat!$A$9:$N$1003,9,FALSE)</f>
        <v>#N/A</v>
      </c>
      <c r="S374" s="866" t="e">
        <f>VLOOKUP(N374,etat!$A$9:$P$905,16,FALSE)</f>
        <v>#N/A</v>
      </c>
      <c r="T374" s="755"/>
      <c r="U374" s="784"/>
      <c r="V374" s="784"/>
      <c r="W374" s="784"/>
      <c r="X374" s="784"/>
      <c r="Y374" s="975"/>
      <c r="Z374" s="975" t="str">
        <f>VLOOKUP(L374,[2]اس!$S$3:$X$31,3,FALSE)</f>
        <v>.</v>
      </c>
      <c r="AA374" s="967"/>
      <c r="AB374" s="23"/>
      <c r="AC374" s="23"/>
      <c r="AD374" s="23"/>
      <c r="AE374" s="23"/>
      <c r="AF374" s="23"/>
    </row>
    <row r="375" spans="1:32" s="799" customFormat="1" ht="16.5" customHeight="1">
      <c r="A375" s="922"/>
      <c r="B375" s="922"/>
      <c r="C375" s="922"/>
      <c r="D375" s="166"/>
      <c r="E375" s="166"/>
      <c r="F375" s="166"/>
      <c r="G375" s="166"/>
      <c r="H375" s="166"/>
      <c r="I375" s="922"/>
      <c r="J375" s="922"/>
      <c r="K375" s="922"/>
      <c r="L375" s="777">
        <v>5</v>
      </c>
      <c r="M375" s="778"/>
      <c r="N375" s="976"/>
      <c r="O375" s="1020">
        <v>318</v>
      </c>
      <c r="P375" s="847" t="e">
        <f>VLOOKUP(N375,etat!$A$9:$N$1004,2,FALSE)</f>
        <v>#N/A</v>
      </c>
      <c r="Q375" s="797" t="e">
        <f>VLOOKUP(N375,etat!$A$9:$N$963,7,FALSE)</f>
        <v>#N/A</v>
      </c>
      <c r="R375" s="797" t="e">
        <f>VLOOKUP(N375,etat!$A$9:$N$1003,9,FALSE)</f>
        <v>#N/A</v>
      </c>
      <c r="S375" s="866" t="e">
        <f>VLOOKUP(N375,etat!$A$9:$P$905,16,FALSE)</f>
        <v>#N/A</v>
      </c>
      <c r="T375" s="755"/>
      <c r="U375" s="784"/>
      <c r="V375" s="784"/>
      <c r="W375" s="784"/>
      <c r="X375" s="784"/>
      <c r="Y375" s="975"/>
      <c r="Z375" s="975" t="str">
        <f>VLOOKUP(L375,[2]اس!$S$3:$X$31,3,FALSE)</f>
        <v>.</v>
      </c>
      <c r="AA375" s="967"/>
      <c r="AB375" s="23"/>
      <c r="AC375" s="23"/>
      <c r="AD375" s="23"/>
      <c r="AE375" s="23"/>
      <c r="AF375" s="23"/>
    </row>
    <row r="376" spans="1:32" s="799" customFormat="1" ht="16.5" customHeight="1">
      <c r="A376" s="922"/>
      <c r="B376" s="922"/>
      <c r="C376" s="922"/>
      <c r="D376" s="166"/>
      <c r="E376" s="166"/>
      <c r="F376" s="166"/>
      <c r="G376" s="166"/>
      <c r="H376" s="166"/>
      <c r="I376" s="922"/>
      <c r="J376" s="922"/>
      <c r="K376" s="922"/>
      <c r="L376" s="777">
        <v>5</v>
      </c>
      <c r="M376" s="778"/>
      <c r="N376" s="976"/>
      <c r="O376" s="1020">
        <v>319</v>
      </c>
      <c r="P376" s="847" t="e">
        <f>VLOOKUP(N376,etat!$A$9:$N$1004,2,FALSE)</f>
        <v>#N/A</v>
      </c>
      <c r="Q376" s="797" t="e">
        <f>VLOOKUP(N376,etat!$A$9:$N$963,7,FALSE)</f>
        <v>#N/A</v>
      </c>
      <c r="R376" s="797" t="e">
        <f>VLOOKUP(N376,etat!$A$9:$N$1003,9,FALSE)</f>
        <v>#N/A</v>
      </c>
      <c r="S376" s="866" t="e">
        <f>VLOOKUP(N376,etat!$A$9:$P$905,16,FALSE)</f>
        <v>#N/A</v>
      </c>
      <c r="T376" s="755"/>
      <c r="U376" s="784"/>
      <c r="V376" s="784"/>
      <c r="W376" s="784"/>
      <c r="X376" s="784"/>
      <c r="Y376" s="975"/>
      <c r="Z376" s="932" t="str">
        <f>VLOOKUP(L376,[2]اس!$S$3:$X$31,3,FALSE)</f>
        <v>.</v>
      </c>
      <c r="AA376" s="967"/>
      <c r="AB376" s="23"/>
      <c r="AC376" s="23"/>
      <c r="AD376" s="23"/>
      <c r="AE376" s="23"/>
      <c r="AF376" s="23"/>
    </row>
    <row r="377" spans="1:32" s="799" customFormat="1" ht="16.5" customHeight="1">
      <c r="A377" s="922"/>
      <c r="B377" s="922"/>
      <c r="C377" s="922"/>
      <c r="D377" s="166"/>
      <c r="E377" s="166"/>
      <c r="F377" s="166"/>
      <c r="G377" s="166"/>
      <c r="H377" s="166"/>
      <c r="I377" s="922"/>
      <c r="J377" s="922"/>
      <c r="K377" s="922"/>
      <c r="L377" s="777">
        <v>5</v>
      </c>
      <c r="M377" s="778"/>
      <c r="N377" s="976"/>
      <c r="O377" s="1020">
        <v>320</v>
      </c>
      <c r="P377" s="847" t="e">
        <f>VLOOKUP(N377,etat!$A$9:$N$1004,2,FALSE)</f>
        <v>#N/A</v>
      </c>
      <c r="Q377" s="797" t="e">
        <f>VLOOKUP(N377,etat!$A$9:$N$963,7,FALSE)</f>
        <v>#N/A</v>
      </c>
      <c r="R377" s="797" t="e">
        <f>VLOOKUP(N377,etat!$A$9:$N$1003,9,FALSE)</f>
        <v>#N/A</v>
      </c>
      <c r="S377" s="866" t="e">
        <f>VLOOKUP(N377,etat!$A$9:$P$905,16,FALSE)</f>
        <v>#N/A</v>
      </c>
      <c r="T377" s="755"/>
      <c r="U377" s="784"/>
      <c r="V377" s="784"/>
      <c r="W377" s="784"/>
      <c r="X377" s="784"/>
      <c r="Y377" s="784"/>
      <c r="Z377" s="932" t="str">
        <f>VLOOKUP(L377,[2]اس!$S$3:$X$31,3,FALSE)</f>
        <v>.</v>
      </c>
      <c r="AA377" s="967"/>
      <c r="AB377" s="23"/>
      <c r="AC377" s="23"/>
      <c r="AD377" s="23"/>
      <c r="AE377" s="23"/>
      <c r="AF377" s="23"/>
    </row>
    <row r="378" spans="1:32" s="799" customFormat="1" ht="16.5" customHeight="1">
      <c r="A378" s="922"/>
      <c r="B378" s="922"/>
      <c r="C378" s="922"/>
      <c r="D378" s="166"/>
      <c r="E378" s="166"/>
      <c r="F378" s="166"/>
      <c r="G378" s="166"/>
      <c r="H378" s="166"/>
      <c r="I378" s="922"/>
      <c r="J378" s="922"/>
      <c r="K378" s="922"/>
      <c r="L378" s="777">
        <v>5</v>
      </c>
      <c r="M378" s="778"/>
      <c r="N378" s="976"/>
      <c r="O378" s="1020">
        <v>321</v>
      </c>
      <c r="P378" s="847" t="e">
        <f>VLOOKUP(N378,etat!$A$9:$N$1004,2,FALSE)</f>
        <v>#N/A</v>
      </c>
      <c r="Q378" s="797" t="e">
        <f>VLOOKUP(N378,etat!$A$9:$N$963,7,FALSE)</f>
        <v>#N/A</v>
      </c>
      <c r="R378" s="797" t="e">
        <f>VLOOKUP(N378,etat!$A$9:$N$1003,9,FALSE)</f>
        <v>#N/A</v>
      </c>
      <c r="S378" s="866" t="e">
        <f>VLOOKUP(N378,etat!$A$9:$P$905,16,FALSE)</f>
        <v>#N/A</v>
      </c>
      <c r="T378" s="755"/>
      <c r="U378" s="784"/>
      <c r="V378" s="784"/>
      <c r="W378" s="784"/>
      <c r="X378" s="784"/>
      <c r="Y378" s="784"/>
      <c r="Z378" s="932" t="str">
        <f>VLOOKUP(L378,[2]اس!$S$3:$X$31,3,FALSE)</f>
        <v>.</v>
      </c>
      <c r="AA378" s="967"/>
      <c r="AB378" s="23"/>
      <c r="AC378" s="23"/>
      <c r="AD378" s="23"/>
      <c r="AE378" s="23"/>
      <c r="AF378" s="23"/>
    </row>
    <row r="379" spans="1:32" s="918" customFormat="1" ht="16.5" customHeight="1">
      <c r="A379" s="922"/>
      <c r="B379" s="922"/>
      <c r="C379" s="922"/>
      <c r="D379" s="166"/>
      <c r="E379" s="166"/>
      <c r="F379" s="166"/>
      <c r="G379" s="166"/>
      <c r="H379" s="166"/>
      <c r="I379" s="922"/>
      <c r="J379" s="922"/>
      <c r="K379" s="922"/>
      <c r="L379" s="777">
        <v>5</v>
      </c>
      <c r="M379" s="778"/>
      <c r="N379" s="976"/>
      <c r="O379" s="1020">
        <v>322</v>
      </c>
      <c r="P379" s="847" t="e">
        <f>VLOOKUP(N379,etat!$A$9:$N$1004,2,FALSE)</f>
        <v>#N/A</v>
      </c>
      <c r="Q379" s="797" t="e">
        <f>VLOOKUP(N379,etat!$A$9:$N$963,7,FALSE)</f>
        <v>#N/A</v>
      </c>
      <c r="R379" s="797" t="e">
        <f>VLOOKUP(N379,etat!$A$9:$N$1003,9,FALSE)</f>
        <v>#N/A</v>
      </c>
      <c r="S379" s="866" t="e">
        <f>VLOOKUP(N379,etat!$A$9:$P$905,16,FALSE)</f>
        <v>#N/A</v>
      </c>
      <c r="T379" s="755"/>
      <c r="U379" s="784"/>
      <c r="V379" s="784"/>
      <c r="W379" s="784"/>
      <c r="X379" s="784"/>
      <c r="Y379" s="784"/>
      <c r="Z379" s="932" t="str">
        <f>VLOOKUP(L379,[2]اس!$S$3:$X$31,3,FALSE)</f>
        <v>.</v>
      </c>
      <c r="AA379" s="967"/>
      <c r="AB379" s="919"/>
      <c r="AC379" s="919"/>
      <c r="AD379" s="919"/>
      <c r="AE379" s="919"/>
      <c r="AF379" s="919"/>
    </row>
    <row r="380" spans="1:32" s="799" customFormat="1" ht="16.5" customHeight="1">
      <c r="A380" s="922"/>
      <c r="B380" s="922"/>
      <c r="C380" s="922"/>
      <c r="D380" s="166"/>
      <c r="E380" s="166"/>
      <c r="F380" s="166"/>
      <c r="G380" s="166"/>
      <c r="H380" s="166"/>
      <c r="I380" s="922"/>
      <c r="J380" s="922"/>
      <c r="K380" s="922"/>
      <c r="L380" s="777">
        <v>5</v>
      </c>
      <c r="M380" s="778"/>
      <c r="N380" s="976"/>
      <c r="O380" s="1020">
        <v>323</v>
      </c>
      <c r="P380" s="847" t="e">
        <f>VLOOKUP(N380,etat!$A$9:$N$1004,2,FALSE)</f>
        <v>#N/A</v>
      </c>
      <c r="Q380" s="797" t="e">
        <f>VLOOKUP(N380,etat!$A$9:$N$963,7,FALSE)</f>
        <v>#N/A</v>
      </c>
      <c r="R380" s="797" t="e">
        <f>VLOOKUP(N380,etat!$A$9:$N$1003,9,FALSE)</f>
        <v>#N/A</v>
      </c>
      <c r="S380" s="866" t="e">
        <f>VLOOKUP(N380,etat!$A$9:$P$905,16,FALSE)</f>
        <v>#N/A</v>
      </c>
      <c r="T380" s="755"/>
      <c r="U380" s="784"/>
      <c r="V380" s="784"/>
      <c r="W380" s="784"/>
      <c r="X380" s="784"/>
      <c r="Y380" s="784"/>
      <c r="Z380" s="932" t="str">
        <f>VLOOKUP(L380,[2]اس!$S$3:$X$31,3,FALSE)</f>
        <v>.</v>
      </c>
      <c r="AA380" s="967"/>
      <c r="AB380" s="23"/>
      <c r="AC380" s="23"/>
      <c r="AD380" s="23"/>
      <c r="AE380" s="23"/>
      <c r="AF380" s="23"/>
    </row>
    <row r="381" spans="1:32" ht="16.5" customHeight="1">
      <c r="A381" s="922"/>
      <c r="B381" s="922"/>
      <c r="C381" s="922"/>
      <c r="I381" s="922"/>
      <c r="J381" s="922"/>
      <c r="K381" s="922"/>
      <c r="L381" s="777">
        <v>5</v>
      </c>
      <c r="M381" s="778"/>
      <c r="N381" s="976"/>
      <c r="O381" s="1020">
        <v>324</v>
      </c>
      <c r="P381" s="847" t="e">
        <f>VLOOKUP(N381,etat!$A$9:$N$1004,2,FALSE)</f>
        <v>#N/A</v>
      </c>
      <c r="Q381" s="797" t="e">
        <f>VLOOKUP(N381,etat!$A$9:$N$963,7,FALSE)</f>
        <v>#N/A</v>
      </c>
      <c r="R381" s="797" t="e">
        <f>VLOOKUP(N381,etat!$A$9:$N$1003,9,FALSE)</f>
        <v>#N/A</v>
      </c>
      <c r="S381" s="866" t="e">
        <f>VLOOKUP(N381,etat!$A$9:$P$905,16,FALSE)</f>
        <v>#N/A</v>
      </c>
      <c r="T381" s="755"/>
      <c r="U381" s="784"/>
      <c r="V381" s="784"/>
      <c r="W381" s="784"/>
      <c r="X381" s="784"/>
      <c r="Y381" s="784"/>
      <c r="Z381" s="932" t="str">
        <f>VLOOKUP(L381,[2]اس!$S$3:$X$31,3,FALSE)</f>
        <v>.</v>
      </c>
      <c r="AA381" s="967"/>
    </row>
    <row r="382" spans="1:32" ht="16.5" customHeight="1">
      <c r="A382" s="922"/>
      <c r="B382" s="922"/>
      <c r="C382" s="922"/>
      <c r="I382" s="922"/>
      <c r="J382" s="922"/>
      <c r="K382" s="922"/>
      <c r="L382" s="777">
        <v>5</v>
      </c>
      <c r="M382" s="778"/>
      <c r="N382" s="976"/>
      <c r="O382" s="1020">
        <v>325</v>
      </c>
      <c r="P382" s="847" t="e">
        <f>VLOOKUP(N382,etat!$A$9:$N$1004,2,FALSE)</f>
        <v>#N/A</v>
      </c>
      <c r="Q382" s="797" t="e">
        <f>VLOOKUP(N382,etat!$A$9:$N$963,7,FALSE)</f>
        <v>#N/A</v>
      </c>
      <c r="R382" s="797" t="e">
        <f>VLOOKUP(N382,etat!$A$9:$N$1003,9,FALSE)</f>
        <v>#N/A</v>
      </c>
      <c r="S382" s="866" t="e">
        <f>VLOOKUP(N382,etat!$A$9:$P$905,16,FALSE)</f>
        <v>#N/A</v>
      </c>
      <c r="T382" s="755"/>
      <c r="U382" s="784"/>
      <c r="V382" s="784"/>
      <c r="W382" s="755"/>
      <c r="X382" s="784"/>
      <c r="Y382" s="975"/>
      <c r="Z382" s="932" t="str">
        <f>VLOOKUP(L382,[2]اس!$S$3:$X$31,3,FALSE)</f>
        <v>.</v>
      </c>
      <c r="AA382" s="967"/>
    </row>
    <row r="383" spans="1:32" ht="16.5" customHeight="1">
      <c r="A383" s="922"/>
      <c r="B383" s="922"/>
      <c r="C383" s="922"/>
      <c r="I383" s="922"/>
      <c r="J383" s="922"/>
      <c r="K383" s="922"/>
      <c r="L383" s="777">
        <v>5</v>
      </c>
      <c r="M383" s="778"/>
      <c r="N383" s="976"/>
      <c r="O383" s="1020">
        <v>326</v>
      </c>
      <c r="P383" s="847" t="e">
        <f>VLOOKUP(N383,etat!$A$9:$N$1004,2,FALSE)</f>
        <v>#N/A</v>
      </c>
      <c r="Q383" s="797" t="e">
        <f>VLOOKUP(N383,etat!$A$9:$N$963,7,FALSE)</f>
        <v>#N/A</v>
      </c>
      <c r="R383" s="797" t="e">
        <f>VLOOKUP(N383,etat!$A$9:$N$1003,9,FALSE)</f>
        <v>#N/A</v>
      </c>
      <c r="S383" s="866" t="e">
        <f>VLOOKUP(N383,etat!$A$9:$P$905,16,FALSE)</f>
        <v>#N/A</v>
      </c>
      <c r="T383" s="755"/>
      <c r="U383" s="784"/>
      <c r="V383" s="784"/>
      <c r="W383" s="755"/>
      <c r="X383" s="784"/>
      <c r="Y383" s="975"/>
      <c r="Z383" s="932" t="str">
        <f>VLOOKUP(L383,[2]اس!$S$3:$X$31,3,FALSE)</f>
        <v>.</v>
      </c>
      <c r="AA383" s="967"/>
    </row>
    <row r="384" spans="1:32" ht="16.5" customHeight="1">
      <c r="A384" s="922"/>
      <c r="B384" s="922"/>
      <c r="C384" s="922"/>
      <c r="I384" s="922"/>
      <c r="J384" s="922"/>
      <c r="K384" s="922"/>
      <c r="L384" s="777">
        <v>5</v>
      </c>
      <c r="M384" s="778"/>
      <c r="N384" s="976"/>
      <c r="O384" s="1020">
        <v>327</v>
      </c>
      <c r="P384" s="847" t="e">
        <f>VLOOKUP(N384,etat!$A$9:$N$1004,2,FALSE)</f>
        <v>#N/A</v>
      </c>
      <c r="Q384" s="797" t="e">
        <f>VLOOKUP(N384,etat!$A$9:$N$963,7,FALSE)</f>
        <v>#N/A</v>
      </c>
      <c r="R384" s="797" t="e">
        <f>VLOOKUP(N384,etat!$A$9:$N$1003,9,FALSE)</f>
        <v>#N/A</v>
      </c>
      <c r="S384" s="866" t="e">
        <f>VLOOKUP(N384,etat!$A$9:$P$905,16,FALSE)</f>
        <v>#N/A</v>
      </c>
      <c r="T384" s="755"/>
      <c r="U384" s="784"/>
      <c r="V384" s="784"/>
      <c r="W384" s="755"/>
      <c r="X384" s="784"/>
      <c r="Y384" s="975"/>
      <c r="Z384" s="932" t="str">
        <f>VLOOKUP(L384,[2]اس!$S$3:$X$31,3,FALSE)</f>
        <v>.</v>
      </c>
      <c r="AA384" s="967"/>
    </row>
    <row r="385" spans="1:32" ht="16.5" customHeight="1">
      <c r="A385" s="922"/>
      <c r="B385" s="922"/>
      <c r="C385" s="922"/>
      <c r="I385" s="922"/>
      <c r="J385" s="922"/>
      <c r="K385" s="922"/>
      <c r="L385" s="777">
        <v>5</v>
      </c>
      <c r="M385" s="778"/>
      <c r="N385" s="976"/>
      <c r="O385" s="1020">
        <v>328</v>
      </c>
      <c r="P385" s="847" t="e">
        <f>VLOOKUP(N385,etat!$A$9:$N$1004,2,FALSE)</f>
        <v>#N/A</v>
      </c>
      <c r="Q385" s="797" t="e">
        <f>VLOOKUP(N385,etat!$A$9:$N$963,7,FALSE)</f>
        <v>#N/A</v>
      </c>
      <c r="R385" s="797" t="e">
        <f>VLOOKUP(N385,etat!$A$9:$N$1003,9,FALSE)</f>
        <v>#N/A</v>
      </c>
      <c r="S385" s="866" t="e">
        <f>VLOOKUP(N385,etat!$A$9:$P$905,16,FALSE)</f>
        <v>#N/A</v>
      </c>
      <c r="T385" s="755"/>
      <c r="U385" s="784"/>
      <c r="V385" s="784"/>
      <c r="W385" s="784"/>
      <c r="X385" s="784"/>
      <c r="Y385" s="784"/>
      <c r="Z385" s="932" t="str">
        <f>VLOOKUP(L385,[2]اس!$S$3:$X$31,3,FALSE)</f>
        <v>.</v>
      </c>
      <c r="AA385" s="967"/>
    </row>
    <row r="386" spans="1:32" ht="16.5" customHeight="1">
      <c r="A386" s="922"/>
      <c r="B386" s="922"/>
      <c r="C386" s="922"/>
      <c r="I386" s="922"/>
      <c r="J386" s="922"/>
      <c r="K386" s="922"/>
      <c r="L386" s="777">
        <v>5</v>
      </c>
      <c r="M386" s="778"/>
      <c r="N386" s="976"/>
      <c r="O386" s="1020">
        <v>329</v>
      </c>
      <c r="P386" s="847" t="e">
        <f>VLOOKUP(N386,etat!$A$9:$N$1004,2,FALSE)</f>
        <v>#N/A</v>
      </c>
      <c r="Q386" s="797" t="e">
        <f>VLOOKUP(N386,etat!$A$9:$N$963,7,FALSE)</f>
        <v>#N/A</v>
      </c>
      <c r="R386" s="797" t="e">
        <f>VLOOKUP(N386,etat!$A$9:$N$1003,9,FALSE)</f>
        <v>#N/A</v>
      </c>
      <c r="S386" s="866" t="e">
        <f>VLOOKUP(N386,etat!$A$9:$P$905,16,FALSE)</f>
        <v>#N/A</v>
      </c>
      <c r="T386" s="755"/>
      <c r="U386" s="784"/>
      <c r="V386" s="784"/>
      <c r="W386" s="955"/>
      <c r="X386" s="955"/>
      <c r="Y386" s="956"/>
      <c r="Z386" s="932" t="str">
        <f>VLOOKUP(L386,[2]اس!$S$3:$X$31,3,FALSE)</f>
        <v>.</v>
      </c>
      <c r="AA386" s="967"/>
    </row>
    <row r="387" spans="1:32" ht="16.5" customHeight="1">
      <c r="A387" s="922"/>
      <c r="B387" s="922"/>
      <c r="C387" s="922"/>
      <c r="I387" s="922"/>
      <c r="J387" s="922"/>
      <c r="K387" s="922"/>
      <c r="L387" s="777">
        <v>5</v>
      </c>
      <c r="M387" s="778"/>
      <c r="N387" s="1076"/>
      <c r="O387" s="1020">
        <v>330</v>
      </c>
      <c r="P387" s="847" t="e">
        <f>VLOOKUP(N387,etat!$A$9:$N$1004,2,FALSE)</f>
        <v>#N/A</v>
      </c>
      <c r="Q387" s="797" t="e">
        <f>VLOOKUP(N387,etat!$A$9:$N$963,7,FALSE)</f>
        <v>#N/A</v>
      </c>
      <c r="R387" s="797" t="e">
        <f>VLOOKUP(N387,etat!$A$9:$N$1003,9,FALSE)</f>
        <v>#N/A</v>
      </c>
      <c r="S387" s="866" t="e">
        <f>VLOOKUP(N387,etat!$A$9:$P$905,16,FALSE)</f>
        <v>#N/A</v>
      </c>
      <c r="T387" s="755"/>
      <c r="U387" s="784"/>
      <c r="V387" s="784"/>
      <c r="W387" s="955"/>
      <c r="X387" s="955"/>
      <c r="Y387" s="956"/>
      <c r="Z387" s="932" t="str">
        <f>VLOOKUP(L387,[2]اس!$S$3:$X$31,3,FALSE)</f>
        <v>.</v>
      </c>
      <c r="AA387" s="967"/>
    </row>
    <row r="388" spans="1:32" s="918" customFormat="1" ht="16.5" customHeight="1">
      <c r="A388" s="922"/>
      <c r="B388" s="922"/>
      <c r="C388" s="922"/>
      <c r="D388" s="166"/>
      <c r="E388" s="166"/>
      <c r="F388" s="166"/>
      <c r="G388" s="166"/>
      <c r="H388" s="166"/>
      <c r="I388" s="922"/>
      <c r="J388" s="922"/>
      <c r="K388" s="922"/>
      <c r="L388" s="777">
        <v>5</v>
      </c>
      <c r="M388" s="778"/>
      <c r="N388" s="1076"/>
      <c r="O388" s="1020">
        <v>331</v>
      </c>
      <c r="P388" s="847" t="e">
        <f>VLOOKUP(N388,etat!$A$9:$N$1004,2,FALSE)</f>
        <v>#N/A</v>
      </c>
      <c r="Q388" s="797" t="e">
        <f>VLOOKUP(N388,etat!$A$9:$N$963,7,FALSE)</f>
        <v>#N/A</v>
      </c>
      <c r="R388" s="797" t="e">
        <f>VLOOKUP(N388,etat!$A$9:$N$1003,9,FALSE)</f>
        <v>#N/A</v>
      </c>
      <c r="S388" s="866" t="e">
        <f>VLOOKUP(N388,etat!$A$9:$P$905,16,FALSE)</f>
        <v>#N/A</v>
      </c>
      <c r="T388" s="755"/>
      <c r="U388" s="784"/>
      <c r="V388" s="784"/>
      <c r="W388" s="955"/>
      <c r="X388" s="955"/>
      <c r="Y388" s="956"/>
      <c r="Z388" s="932" t="str">
        <f>VLOOKUP(L388,[2]اس!$S$3:$X$31,3,FALSE)</f>
        <v>.</v>
      </c>
      <c r="AA388" s="967"/>
      <c r="AB388" s="919"/>
      <c r="AC388" s="919"/>
      <c r="AD388" s="919"/>
      <c r="AE388" s="919"/>
      <c r="AF388" s="919"/>
    </row>
    <row r="389" spans="1:32" s="918" customFormat="1" ht="16.5" customHeight="1">
      <c r="A389" s="922"/>
      <c r="B389" s="922"/>
      <c r="C389" s="922"/>
      <c r="D389" s="166"/>
      <c r="E389" s="166"/>
      <c r="F389" s="166"/>
      <c r="G389" s="166"/>
      <c r="H389" s="166"/>
      <c r="I389" s="922"/>
      <c r="J389" s="922"/>
      <c r="K389" s="922"/>
      <c r="L389" s="777">
        <v>5</v>
      </c>
      <c r="M389" s="778"/>
      <c r="N389" s="1076"/>
      <c r="O389" s="1020">
        <v>332</v>
      </c>
      <c r="P389" s="847" t="e">
        <f>VLOOKUP(N389,etat!$A$9:$N$1004,2,FALSE)</f>
        <v>#N/A</v>
      </c>
      <c r="Q389" s="797" t="e">
        <f>VLOOKUP(N389,etat!$A$9:$N$963,7,FALSE)</f>
        <v>#N/A</v>
      </c>
      <c r="R389" s="797" t="e">
        <f>VLOOKUP(N389,etat!$A$9:$N$1003,9,FALSE)</f>
        <v>#N/A</v>
      </c>
      <c r="S389" s="866" t="e">
        <f>VLOOKUP(N389,etat!$A$9:$P$905,16,FALSE)</f>
        <v>#N/A</v>
      </c>
      <c r="T389" s="755"/>
      <c r="U389" s="784"/>
      <c r="V389" s="784"/>
      <c r="W389" s="955"/>
      <c r="X389" s="955"/>
      <c r="Y389" s="956"/>
      <c r="Z389" s="932" t="str">
        <f>VLOOKUP(L389,[2]اس!$S$3:$X$31,3,FALSE)</f>
        <v>.</v>
      </c>
      <c r="AA389" s="967"/>
      <c r="AB389" s="919"/>
      <c r="AC389" s="919"/>
      <c r="AD389" s="919"/>
      <c r="AE389" s="919"/>
      <c r="AF389" s="919"/>
    </row>
    <row r="390" spans="1:32" s="918" customFormat="1" ht="16.5" customHeight="1">
      <c r="A390" s="922"/>
      <c r="B390" s="922"/>
      <c r="C390" s="922"/>
      <c r="D390" s="166"/>
      <c r="E390" s="166"/>
      <c r="F390" s="166"/>
      <c r="G390" s="166"/>
      <c r="H390" s="166"/>
      <c r="I390" s="922"/>
      <c r="J390" s="922"/>
      <c r="K390" s="922"/>
      <c r="L390" s="777">
        <v>5</v>
      </c>
      <c r="M390" s="778"/>
      <c r="N390" s="976"/>
      <c r="O390" s="1020">
        <v>333</v>
      </c>
      <c r="P390" s="847" t="e">
        <f>VLOOKUP(N390,etat!$A$9:$N$1004,2,FALSE)</f>
        <v>#N/A</v>
      </c>
      <c r="Q390" s="797" t="e">
        <f>VLOOKUP(N390,etat!$A$9:$N$963,7,FALSE)</f>
        <v>#N/A</v>
      </c>
      <c r="R390" s="797" t="e">
        <f>VLOOKUP(N390,etat!$A$9:$N$1003,9,FALSE)</f>
        <v>#N/A</v>
      </c>
      <c r="S390" s="866" t="e">
        <f>VLOOKUP(N390,etat!$A$9:$P$905,16,FALSE)</f>
        <v>#N/A</v>
      </c>
      <c r="T390" s="755"/>
      <c r="U390" s="784"/>
      <c r="V390" s="784"/>
      <c r="W390" s="755"/>
      <c r="X390" s="784"/>
      <c r="Y390" s="975"/>
      <c r="Z390" s="932" t="str">
        <f>VLOOKUP(L390,[2]اس!$S$3:$X$31,3,FALSE)</f>
        <v>.</v>
      </c>
      <c r="AA390" s="967"/>
      <c r="AB390" s="919"/>
      <c r="AC390" s="919"/>
      <c r="AD390" s="919"/>
      <c r="AE390" s="919"/>
      <c r="AF390" s="919"/>
    </row>
    <row r="391" spans="1:32" s="918" customFormat="1" ht="16.5" customHeight="1">
      <c r="A391" s="922"/>
      <c r="B391" s="922"/>
      <c r="C391" s="922"/>
      <c r="D391" s="166"/>
      <c r="E391" s="166"/>
      <c r="F391" s="166"/>
      <c r="G391" s="166"/>
      <c r="H391" s="166"/>
      <c r="I391" s="922"/>
      <c r="J391" s="922"/>
      <c r="K391" s="922"/>
      <c r="L391" s="777">
        <v>5</v>
      </c>
      <c r="M391" s="778"/>
      <c r="N391" s="976"/>
      <c r="O391" s="1020">
        <v>334</v>
      </c>
      <c r="P391" s="847" t="e">
        <f>VLOOKUP(N391,etat!$A$9:$N$1004,2,FALSE)</f>
        <v>#N/A</v>
      </c>
      <c r="Q391" s="797" t="e">
        <f>VLOOKUP(N391,etat!$A$9:$N$963,7,FALSE)</f>
        <v>#N/A</v>
      </c>
      <c r="R391" s="797" t="e">
        <f>VLOOKUP(N391,etat!$A$9:$N$1003,9,FALSE)</f>
        <v>#N/A</v>
      </c>
      <c r="S391" s="866" t="e">
        <f>VLOOKUP(N391,etat!$A$9:$P$905,16,FALSE)</f>
        <v>#N/A</v>
      </c>
      <c r="T391" s="755"/>
      <c r="U391" s="784"/>
      <c r="V391" s="784"/>
      <c r="W391" s="784"/>
      <c r="X391" s="784"/>
      <c r="Y391" s="784"/>
      <c r="Z391" s="932" t="str">
        <f>VLOOKUP(L391,[2]اس!$S$3:$X$31,3,FALSE)</f>
        <v>.</v>
      </c>
      <c r="AA391" s="967"/>
      <c r="AB391" s="919"/>
      <c r="AC391" s="919"/>
      <c r="AD391" s="919"/>
      <c r="AE391" s="919"/>
      <c r="AF391" s="919"/>
    </row>
    <row r="392" spans="1:32" s="918" customFormat="1" ht="16.5" customHeight="1">
      <c r="A392" s="922"/>
      <c r="B392" s="922"/>
      <c r="C392" s="922"/>
      <c r="D392" s="166"/>
      <c r="E392" s="166"/>
      <c r="F392" s="166"/>
      <c r="G392" s="166"/>
      <c r="H392" s="166"/>
      <c r="I392" s="922"/>
      <c r="J392" s="922"/>
      <c r="K392" s="922"/>
      <c r="L392" s="777">
        <v>5</v>
      </c>
      <c r="M392" s="778"/>
      <c r="N392" s="976"/>
      <c r="O392" s="1020">
        <v>335</v>
      </c>
      <c r="P392" s="847" t="e">
        <f>VLOOKUP(N392,etat!$A$9:$N$1004,2,FALSE)</f>
        <v>#N/A</v>
      </c>
      <c r="Q392" s="797" t="e">
        <f>VLOOKUP(N392,etat!$A$9:$N$963,7,FALSE)</f>
        <v>#N/A</v>
      </c>
      <c r="R392" s="797" t="e">
        <f>VLOOKUP(N392,etat!$A$9:$N$1003,9,FALSE)</f>
        <v>#N/A</v>
      </c>
      <c r="S392" s="866" t="e">
        <f>VLOOKUP(N392,etat!$A$9:$P$905,16,FALSE)</f>
        <v>#N/A</v>
      </c>
      <c r="T392" s="755"/>
      <c r="U392" s="784"/>
      <c r="V392" s="784"/>
      <c r="W392" s="955"/>
      <c r="X392" s="955"/>
      <c r="Y392" s="956"/>
      <c r="Z392" s="932" t="str">
        <f>VLOOKUP(L392,[2]اس!$S$3:$X$31,3,FALSE)</f>
        <v>.</v>
      </c>
      <c r="AA392" s="967"/>
      <c r="AB392" s="919"/>
      <c r="AC392" s="919"/>
      <c r="AD392" s="919"/>
      <c r="AE392" s="919"/>
      <c r="AF392" s="919"/>
    </row>
    <row r="393" spans="1:32" s="918" customFormat="1" ht="16.5" customHeight="1">
      <c r="A393" s="922"/>
      <c r="B393" s="922"/>
      <c r="C393" s="922"/>
      <c r="D393" s="166"/>
      <c r="E393" s="166"/>
      <c r="F393" s="166"/>
      <c r="G393" s="166"/>
      <c r="H393" s="166"/>
      <c r="I393" s="922"/>
      <c r="J393" s="922"/>
      <c r="K393" s="922"/>
      <c r="L393" s="777">
        <v>5</v>
      </c>
      <c r="M393" s="778"/>
      <c r="N393" s="1076"/>
      <c r="O393" s="1020">
        <v>336</v>
      </c>
      <c r="P393" s="847" t="e">
        <f>VLOOKUP(N393,etat!$A$9:$N$1004,2,FALSE)</f>
        <v>#N/A</v>
      </c>
      <c r="Q393" s="797" t="e">
        <f>VLOOKUP(N393,etat!$A$9:$N$963,7,FALSE)</f>
        <v>#N/A</v>
      </c>
      <c r="R393" s="797" t="e">
        <f>VLOOKUP(N393,etat!$A$9:$N$1003,9,FALSE)</f>
        <v>#N/A</v>
      </c>
      <c r="S393" s="866" t="e">
        <f>VLOOKUP(N393,etat!$A$9:$P$905,16,FALSE)</f>
        <v>#N/A</v>
      </c>
      <c r="T393" s="755"/>
      <c r="U393" s="784"/>
      <c r="V393" s="784"/>
      <c r="W393" s="955"/>
      <c r="X393" s="955"/>
      <c r="Y393" s="956"/>
      <c r="Z393" s="932" t="str">
        <f>VLOOKUP(L393,[2]اس!$S$3:$X$31,3,FALSE)</f>
        <v>.</v>
      </c>
      <c r="AA393" s="967"/>
      <c r="AB393" s="919"/>
      <c r="AC393" s="919"/>
      <c r="AD393" s="919"/>
      <c r="AE393" s="919"/>
      <c r="AF393" s="919"/>
    </row>
    <row r="394" spans="1:32" s="918" customFormat="1" ht="16.5" customHeight="1">
      <c r="A394" s="922"/>
      <c r="B394" s="922"/>
      <c r="C394" s="922"/>
      <c r="D394" s="166"/>
      <c r="E394" s="166"/>
      <c r="F394" s="166"/>
      <c r="G394" s="166"/>
      <c r="H394" s="166"/>
      <c r="I394" s="922"/>
      <c r="J394" s="922"/>
      <c r="K394" s="922"/>
      <c r="L394" s="777">
        <v>5</v>
      </c>
      <c r="M394" s="778"/>
      <c r="N394" s="976"/>
      <c r="O394" s="1020">
        <v>337</v>
      </c>
      <c r="P394" s="847" t="e">
        <f>VLOOKUP(N394,etat!$A$9:$N$1004,2,FALSE)</f>
        <v>#N/A</v>
      </c>
      <c r="Q394" s="797" t="e">
        <f>VLOOKUP(N394,etat!$A$9:$N$963,7,FALSE)</f>
        <v>#N/A</v>
      </c>
      <c r="R394" s="797" t="e">
        <f>VLOOKUP(N394,etat!$A$9:$N$1003,9,FALSE)</f>
        <v>#N/A</v>
      </c>
      <c r="S394" s="866" t="e">
        <f>VLOOKUP(N394,etat!$A$9:$P$905,16,FALSE)</f>
        <v>#N/A</v>
      </c>
      <c r="T394" s="755"/>
      <c r="U394" s="784"/>
      <c r="V394" s="784"/>
      <c r="W394" s="784"/>
      <c r="X394" s="784"/>
      <c r="Y394" s="975"/>
      <c r="Z394" s="932" t="str">
        <f>VLOOKUP(L394,[2]اس!$S$3:$X$31,3,FALSE)</f>
        <v>.</v>
      </c>
      <c r="AA394" s="967"/>
      <c r="AB394" s="919"/>
      <c r="AC394" s="919"/>
      <c r="AD394" s="919"/>
      <c r="AE394" s="919"/>
      <c r="AF394" s="919"/>
    </row>
    <row r="395" spans="1:32" s="918" customFormat="1" ht="16.5" customHeight="1">
      <c r="A395" s="922"/>
      <c r="B395" s="922"/>
      <c r="C395" s="922"/>
      <c r="D395" s="166"/>
      <c r="E395" s="166"/>
      <c r="F395" s="166"/>
      <c r="G395" s="166"/>
      <c r="H395" s="166"/>
      <c r="I395" s="922"/>
      <c r="J395" s="922"/>
      <c r="K395" s="922"/>
      <c r="L395" s="777">
        <v>5</v>
      </c>
      <c r="M395" s="778"/>
      <c r="N395" s="976"/>
      <c r="O395" s="1020">
        <v>338</v>
      </c>
      <c r="P395" s="847" t="e">
        <f>VLOOKUP(N395,etat!$A$9:$N$1004,2,FALSE)</f>
        <v>#N/A</v>
      </c>
      <c r="Q395" s="797" t="e">
        <f>VLOOKUP(N395,etat!$A$9:$N$963,7,FALSE)</f>
        <v>#N/A</v>
      </c>
      <c r="R395" s="797" t="e">
        <f>VLOOKUP(N395,etat!$A$9:$N$1003,9,FALSE)</f>
        <v>#N/A</v>
      </c>
      <c r="S395" s="866" t="e">
        <f>VLOOKUP(N395,etat!$A$9:$P$905,16,FALSE)</f>
        <v>#N/A</v>
      </c>
      <c r="T395" s="755"/>
      <c r="U395" s="784"/>
      <c r="V395" s="784"/>
      <c r="W395" s="784"/>
      <c r="X395" s="784"/>
      <c r="Y395" s="975"/>
      <c r="Z395" s="932" t="str">
        <f>VLOOKUP(L395,[2]اس!$S$3:$X$31,3,FALSE)</f>
        <v>.</v>
      </c>
      <c r="AA395" s="967"/>
      <c r="AB395" s="919"/>
      <c r="AC395" s="919"/>
      <c r="AD395" s="919"/>
      <c r="AE395" s="919"/>
      <c r="AF395" s="919"/>
    </row>
    <row r="396" spans="1:32" s="918" customFormat="1" ht="16.5" customHeight="1">
      <c r="A396" s="922"/>
      <c r="B396" s="922"/>
      <c r="C396" s="922"/>
      <c r="D396" s="166"/>
      <c r="E396" s="166"/>
      <c r="F396" s="166"/>
      <c r="G396" s="166"/>
      <c r="H396" s="166"/>
      <c r="I396" s="922"/>
      <c r="J396" s="922"/>
      <c r="K396" s="922"/>
      <c r="L396" s="777">
        <v>5</v>
      </c>
      <c r="M396" s="778"/>
      <c r="N396" s="976"/>
      <c r="O396" s="1020">
        <v>339</v>
      </c>
      <c r="P396" s="847" t="e">
        <f>VLOOKUP(N396,etat!$A$9:$N$1004,2,FALSE)</f>
        <v>#N/A</v>
      </c>
      <c r="Q396" s="797" t="e">
        <f>VLOOKUP(N396,etat!$A$9:$N$963,7,FALSE)</f>
        <v>#N/A</v>
      </c>
      <c r="R396" s="797" t="e">
        <f>VLOOKUP(N396,etat!$A$9:$N$1003,9,FALSE)</f>
        <v>#N/A</v>
      </c>
      <c r="S396" s="866" t="e">
        <f>VLOOKUP(N396,etat!$A$9:$P$905,16,FALSE)</f>
        <v>#N/A</v>
      </c>
      <c r="T396" s="755"/>
      <c r="U396" s="784"/>
      <c r="V396" s="784"/>
      <c r="W396" s="955"/>
      <c r="X396" s="955"/>
      <c r="Y396" s="956"/>
      <c r="Z396" s="932" t="str">
        <f>VLOOKUP(L396,[2]اس!$S$3:$X$31,3,FALSE)</f>
        <v>.</v>
      </c>
      <c r="AA396" s="967"/>
      <c r="AB396" s="919"/>
      <c r="AC396" s="919"/>
      <c r="AD396" s="919"/>
      <c r="AE396" s="919"/>
      <c r="AF396" s="919"/>
    </row>
    <row r="397" spans="1:32" s="918" customFormat="1" ht="16.5" customHeight="1">
      <c r="A397" s="922"/>
      <c r="B397" s="922"/>
      <c r="C397" s="922"/>
      <c r="D397" s="166"/>
      <c r="E397" s="166"/>
      <c r="F397" s="166"/>
      <c r="G397" s="166"/>
      <c r="H397" s="166"/>
      <c r="I397" s="922"/>
      <c r="J397" s="922"/>
      <c r="K397" s="922"/>
      <c r="L397" s="777">
        <v>5</v>
      </c>
      <c r="M397" s="864"/>
      <c r="N397" s="976"/>
      <c r="O397" s="1020">
        <v>340</v>
      </c>
      <c r="P397" s="847" t="e">
        <f>VLOOKUP(N397,etat!$A$9:$N$1004,2,FALSE)</f>
        <v>#N/A</v>
      </c>
      <c r="Q397" s="797" t="e">
        <f>VLOOKUP(N397,etat!$A$9:$N$963,7,FALSE)</f>
        <v>#N/A</v>
      </c>
      <c r="R397" s="797" t="e">
        <f>VLOOKUP(N397,etat!$A$9:$N$1003,9,FALSE)</f>
        <v>#N/A</v>
      </c>
      <c r="S397" s="866" t="e">
        <f>VLOOKUP(N397,etat!$A$9:$P$905,16,FALSE)</f>
        <v>#N/A</v>
      </c>
      <c r="T397" s="755"/>
      <c r="U397" s="784"/>
      <c r="V397" s="784"/>
      <c r="W397" s="784"/>
      <c r="X397" s="784"/>
      <c r="Y397" s="975"/>
      <c r="Z397" s="932" t="str">
        <f>VLOOKUP(L397,[2]اس!$S$3:$X$31,3,FALSE)</f>
        <v>.</v>
      </c>
      <c r="AA397" s="967"/>
      <c r="AB397" s="919"/>
      <c r="AC397" s="919"/>
      <c r="AD397" s="919"/>
      <c r="AE397" s="919"/>
      <c r="AF397" s="919"/>
    </row>
    <row r="398" spans="1:32" s="918" customFormat="1" ht="16.5" customHeight="1">
      <c r="A398" s="922"/>
      <c r="B398" s="922"/>
      <c r="C398" s="922"/>
      <c r="D398" s="166"/>
      <c r="E398" s="166"/>
      <c r="F398" s="166"/>
      <c r="G398" s="166"/>
      <c r="H398" s="166"/>
      <c r="I398" s="922"/>
      <c r="J398" s="922"/>
      <c r="K398" s="922"/>
      <c r="L398" s="777">
        <v>5</v>
      </c>
      <c r="M398" s="864"/>
      <c r="N398" s="976"/>
      <c r="O398" s="1020">
        <v>341</v>
      </c>
      <c r="P398" s="847" t="e">
        <f>VLOOKUP(N398,etat!$A$9:$N$1004,2,FALSE)</f>
        <v>#N/A</v>
      </c>
      <c r="Q398" s="797" t="e">
        <f>VLOOKUP(N398,etat!$A$9:$N$963,7,FALSE)</f>
        <v>#N/A</v>
      </c>
      <c r="R398" s="797" t="e">
        <f>VLOOKUP(N398,etat!$A$9:$N$1003,9,FALSE)</f>
        <v>#N/A</v>
      </c>
      <c r="S398" s="866" t="e">
        <f>VLOOKUP(N398,etat!$A$9:$P$905,16,FALSE)</f>
        <v>#N/A</v>
      </c>
      <c r="T398" s="755"/>
      <c r="U398" s="784"/>
      <c r="V398" s="784"/>
      <c r="W398" s="955"/>
      <c r="X398" s="955"/>
      <c r="Y398" s="956"/>
      <c r="Z398" s="932" t="str">
        <f>VLOOKUP(L398,[2]اس!$S$3:$X$31,3,FALSE)</f>
        <v>.</v>
      </c>
      <c r="AA398" s="967"/>
      <c r="AB398" s="919"/>
      <c r="AC398" s="919"/>
      <c r="AD398" s="919"/>
      <c r="AE398" s="919"/>
      <c r="AF398" s="919"/>
    </row>
    <row r="399" spans="1:32" s="918" customFormat="1" ht="16.5" customHeight="1">
      <c r="A399" s="922"/>
      <c r="B399" s="922"/>
      <c r="C399" s="922"/>
      <c r="D399" s="166"/>
      <c r="E399" s="166"/>
      <c r="F399" s="166"/>
      <c r="G399" s="166"/>
      <c r="H399" s="166"/>
      <c r="I399" s="922"/>
      <c r="J399" s="922"/>
      <c r="K399" s="922"/>
      <c r="L399" s="777">
        <v>5</v>
      </c>
      <c r="M399" s="864"/>
      <c r="N399" s="976"/>
      <c r="O399" s="1020">
        <v>342</v>
      </c>
      <c r="P399" s="847" t="e">
        <f>VLOOKUP(N399,etat!$A$9:$N$1004,2,FALSE)</f>
        <v>#N/A</v>
      </c>
      <c r="Q399" s="797" t="e">
        <f>VLOOKUP(N399,etat!$A$9:$N$963,7,FALSE)</f>
        <v>#N/A</v>
      </c>
      <c r="R399" s="797" t="e">
        <f>VLOOKUP(N399,etat!$A$9:$N$1003,9,FALSE)</f>
        <v>#N/A</v>
      </c>
      <c r="S399" s="866" t="e">
        <f>VLOOKUP(N399,etat!$A$9:$P$905,16,FALSE)</f>
        <v>#N/A</v>
      </c>
      <c r="T399" s="755"/>
      <c r="U399" s="784"/>
      <c r="V399" s="784"/>
      <c r="W399" s="784"/>
      <c r="X399" s="784"/>
      <c r="Y399" s="784"/>
      <c r="Z399" s="932" t="str">
        <f>VLOOKUP(L399,[2]اس!$S$3:$X$31,3,FALSE)</f>
        <v>.</v>
      </c>
      <c r="AA399" s="967"/>
      <c r="AB399" s="919"/>
      <c r="AC399" s="919"/>
      <c r="AD399" s="919"/>
      <c r="AE399" s="919"/>
      <c r="AF399" s="919"/>
    </row>
    <row r="400" spans="1:32" s="918" customFormat="1" ht="16.5" customHeight="1">
      <c r="A400" s="922"/>
      <c r="B400" s="922"/>
      <c r="C400" s="922"/>
      <c r="D400" s="166"/>
      <c r="E400" s="166"/>
      <c r="F400" s="166"/>
      <c r="G400" s="166"/>
      <c r="H400" s="166"/>
      <c r="I400" s="922"/>
      <c r="J400" s="922"/>
      <c r="K400" s="922"/>
      <c r="L400" s="777">
        <v>5</v>
      </c>
      <c r="M400" s="864"/>
      <c r="N400" s="976"/>
      <c r="O400" s="1020">
        <v>343</v>
      </c>
      <c r="P400" s="847" t="e">
        <f>VLOOKUP(N400,etat!$A$9:$N$1004,2,FALSE)</f>
        <v>#N/A</v>
      </c>
      <c r="Q400" s="797" t="e">
        <f>VLOOKUP(N400,etat!$A$9:$N$963,7,FALSE)</f>
        <v>#N/A</v>
      </c>
      <c r="R400" s="797" t="e">
        <f>VLOOKUP(N400,etat!$A$9:$N$1003,9,FALSE)</f>
        <v>#N/A</v>
      </c>
      <c r="S400" s="866" t="e">
        <f>VLOOKUP(N400,etat!$A$9:$P$905,16,FALSE)</f>
        <v>#N/A</v>
      </c>
      <c r="T400" s="755"/>
      <c r="U400" s="784"/>
      <c r="V400" s="784"/>
      <c r="W400" s="784"/>
      <c r="X400" s="784"/>
      <c r="Y400" s="784"/>
      <c r="Z400" s="932" t="str">
        <f>VLOOKUP(L400,[2]اس!$S$3:$X$31,3,FALSE)</f>
        <v>.</v>
      </c>
      <c r="AA400" s="967"/>
      <c r="AB400" s="919"/>
      <c r="AC400" s="919"/>
      <c r="AD400" s="919"/>
      <c r="AE400" s="919"/>
      <c r="AF400" s="919"/>
    </row>
    <row r="401" spans="1:32" s="918" customFormat="1" ht="16.5" customHeight="1">
      <c r="A401" s="922"/>
      <c r="B401" s="922"/>
      <c r="C401" s="922"/>
      <c r="D401" s="166"/>
      <c r="E401" s="166"/>
      <c r="F401" s="166"/>
      <c r="G401" s="166"/>
      <c r="H401" s="166"/>
      <c r="I401" s="922"/>
      <c r="J401" s="922"/>
      <c r="K401" s="922"/>
      <c r="L401" s="777">
        <v>5</v>
      </c>
      <c r="M401" s="778"/>
      <c r="N401" s="976"/>
      <c r="O401" s="1020">
        <v>344</v>
      </c>
      <c r="P401" s="847" t="e">
        <f>VLOOKUP(N401,etat!$A$9:$N$1004,2,FALSE)</f>
        <v>#N/A</v>
      </c>
      <c r="Q401" s="797" t="e">
        <f>VLOOKUP(N401,etat!$A$9:$N$963,7,FALSE)</f>
        <v>#N/A</v>
      </c>
      <c r="R401" s="797" t="e">
        <f>VLOOKUP(N401,etat!$A$9:$N$1003,9,FALSE)</f>
        <v>#N/A</v>
      </c>
      <c r="S401" s="866" t="e">
        <f>VLOOKUP(N401,etat!$A$9:$P$905,16,FALSE)</f>
        <v>#N/A</v>
      </c>
      <c r="T401" s="755"/>
      <c r="U401" s="784"/>
      <c r="V401" s="784"/>
      <c r="W401" s="784"/>
      <c r="X401" s="784"/>
      <c r="Y401" s="784"/>
      <c r="Z401" s="932" t="str">
        <f>VLOOKUP(L401,[2]اس!$S$3:$X$31,3,FALSE)</f>
        <v>.</v>
      </c>
      <c r="AA401" s="967"/>
      <c r="AB401" s="919"/>
      <c r="AC401" s="919"/>
      <c r="AD401" s="919"/>
      <c r="AE401" s="919"/>
      <c r="AF401" s="919"/>
    </row>
    <row r="402" spans="1:32" s="918" customFormat="1" ht="16.5" customHeight="1">
      <c r="A402" s="922"/>
      <c r="B402" s="922"/>
      <c r="C402" s="922"/>
      <c r="D402" s="166"/>
      <c r="E402" s="166"/>
      <c r="F402" s="166"/>
      <c r="G402" s="166"/>
      <c r="H402" s="166"/>
      <c r="I402" s="922"/>
      <c r="J402" s="922"/>
      <c r="K402" s="922"/>
      <c r="L402" s="777">
        <v>5</v>
      </c>
      <c r="M402" s="778"/>
      <c r="N402" s="976"/>
      <c r="O402" s="1020">
        <v>345</v>
      </c>
      <c r="P402" s="847" t="e">
        <f>VLOOKUP(N402,etat!$A$9:$N$1004,2,FALSE)</f>
        <v>#N/A</v>
      </c>
      <c r="Q402" s="797" t="e">
        <f>VLOOKUP(N402,etat!$A$9:$N$963,7,FALSE)</f>
        <v>#N/A</v>
      </c>
      <c r="R402" s="797" t="e">
        <f>VLOOKUP(N402,etat!$A$9:$N$1003,9,FALSE)</f>
        <v>#N/A</v>
      </c>
      <c r="S402" s="866" t="e">
        <f>VLOOKUP(N402,etat!$A$9:$P$905,16,FALSE)</f>
        <v>#N/A</v>
      </c>
      <c r="T402" s="755"/>
      <c r="U402" s="784"/>
      <c r="V402" s="784"/>
      <c r="W402" s="784"/>
      <c r="X402" s="784"/>
      <c r="Y402" s="784"/>
      <c r="Z402" s="932" t="str">
        <f>VLOOKUP(L402,[2]اس!$S$3:$X$31,3,FALSE)</f>
        <v>.</v>
      </c>
      <c r="AA402" s="967"/>
      <c r="AB402" s="919"/>
      <c r="AC402" s="919"/>
      <c r="AD402" s="919"/>
      <c r="AE402" s="919"/>
      <c r="AF402" s="919"/>
    </row>
    <row r="403" spans="1:32" s="918" customFormat="1" ht="16.5" customHeight="1">
      <c r="A403" s="922"/>
      <c r="B403" s="922"/>
      <c r="C403" s="922"/>
      <c r="D403" s="166"/>
      <c r="E403" s="166"/>
      <c r="F403" s="166"/>
      <c r="G403" s="166"/>
      <c r="H403" s="166"/>
      <c r="I403" s="922"/>
      <c r="J403" s="922"/>
      <c r="K403" s="922"/>
      <c r="L403" s="777">
        <v>5</v>
      </c>
      <c r="M403" s="864"/>
      <c r="N403" s="976"/>
      <c r="O403" s="1020">
        <v>346</v>
      </c>
      <c r="P403" s="847" t="e">
        <f>VLOOKUP(N403,etat!$A$9:$N$1004,2,FALSE)</f>
        <v>#N/A</v>
      </c>
      <c r="Q403" s="797" t="e">
        <f>VLOOKUP(N403,etat!$A$9:$N$963,7,FALSE)</f>
        <v>#N/A</v>
      </c>
      <c r="R403" s="797" t="e">
        <f>VLOOKUP(N403,etat!$A$9:$N$1003,9,FALSE)</f>
        <v>#N/A</v>
      </c>
      <c r="S403" s="866" t="e">
        <f>VLOOKUP(N403,etat!$A$9:$P$905,16,FALSE)</f>
        <v>#N/A</v>
      </c>
      <c r="T403" s="755"/>
      <c r="U403" s="784"/>
      <c r="V403" s="784"/>
      <c r="W403" s="784"/>
      <c r="X403" s="784"/>
      <c r="Y403" s="784"/>
      <c r="Z403" s="932" t="str">
        <f>VLOOKUP(L403,[2]اس!$S$3:$X$31,3,FALSE)</f>
        <v>.</v>
      </c>
      <c r="AA403" s="967"/>
      <c r="AB403" s="919"/>
      <c r="AC403" s="919"/>
      <c r="AD403" s="919"/>
      <c r="AE403" s="919"/>
      <c r="AF403" s="919"/>
    </row>
    <row r="404" spans="1:32" s="918" customFormat="1" ht="16.5" customHeight="1">
      <c r="A404" s="922"/>
      <c r="B404" s="922"/>
      <c r="C404" s="922"/>
      <c r="D404" s="166"/>
      <c r="E404" s="166"/>
      <c r="F404" s="166"/>
      <c r="G404" s="166"/>
      <c r="H404" s="166"/>
      <c r="I404" s="922"/>
      <c r="J404" s="922"/>
      <c r="K404" s="922"/>
      <c r="L404" s="777">
        <v>5</v>
      </c>
      <c r="M404" s="864"/>
      <c r="N404" s="976"/>
      <c r="O404" s="1020">
        <v>347</v>
      </c>
      <c r="P404" s="847" t="e">
        <f>VLOOKUP(N404,etat!$A$9:$N$1004,2,FALSE)</f>
        <v>#N/A</v>
      </c>
      <c r="Q404" s="797" t="e">
        <f>VLOOKUP(N404,etat!$A$9:$N$963,7,FALSE)</f>
        <v>#N/A</v>
      </c>
      <c r="R404" s="797" t="e">
        <f>VLOOKUP(N404,etat!$A$9:$N$1003,9,FALSE)</f>
        <v>#N/A</v>
      </c>
      <c r="S404" s="866" t="e">
        <f>VLOOKUP(N404,etat!$A$9:$P$905,16,FALSE)</f>
        <v>#N/A</v>
      </c>
      <c r="T404" s="755"/>
      <c r="U404" s="784"/>
      <c r="V404" s="784"/>
      <c r="W404" s="784"/>
      <c r="X404" s="784"/>
      <c r="Y404" s="784"/>
      <c r="Z404" s="932" t="str">
        <f>VLOOKUP(L404,[2]اس!$S$3:$X$31,3,FALSE)</f>
        <v>.</v>
      </c>
      <c r="AA404" s="967"/>
      <c r="AB404" s="919"/>
      <c r="AC404" s="919"/>
      <c r="AD404" s="919"/>
      <c r="AE404" s="919"/>
      <c r="AF404" s="919"/>
    </row>
    <row r="405" spans="1:32" s="918" customFormat="1" ht="16.5" customHeight="1">
      <c r="A405" s="922"/>
      <c r="B405" s="922"/>
      <c r="C405" s="922"/>
      <c r="D405" s="166"/>
      <c r="E405" s="166"/>
      <c r="F405" s="166"/>
      <c r="G405" s="166"/>
      <c r="H405" s="166"/>
      <c r="I405" s="922"/>
      <c r="J405" s="922"/>
      <c r="K405" s="922"/>
      <c r="L405" s="777">
        <v>5</v>
      </c>
      <c r="M405" s="778"/>
      <c r="N405" s="976"/>
      <c r="O405" s="1020">
        <v>348</v>
      </c>
      <c r="P405" s="847" t="e">
        <f>VLOOKUP(N405,etat!$A$9:$N$1004,2,FALSE)</f>
        <v>#N/A</v>
      </c>
      <c r="Q405" s="797" t="e">
        <f>VLOOKUP(N405,etat!$A$9:$N$963,7,FALSE)</f>
        <v>#N/A</v>
      </c>
      <c r="R405" s="797" t="e">
        <f>VLOOKUP(N405,etat!$A$9:$N$1003,9,FALSE)</f>
        <v>#N/A</v>
      </c>
      <c r="S405" s="866" t="e">
        <f>VLOOKUP(N405,etat!$A$9:$P$905,16,FALSE)</f>
        <v>#N/A</v>
      </c>
      <c r="T405" s="755"/>
      <c r="U405" s="784"/>
      <c r="V405" s="784"/>
      <c r="W405" s="784"/>
      <c r="X405" s="784"/>
      <c r="Y405" s="784"/>
      <c r="Z405" s="932" t="str">
        <f>VLOOKUP(L405,[2]اس!$S$3:$X$31,3,FALSE)</f>
        <v>.</v>
      </c>
      <c r="AA405" s="967"/>
      <c r="AB405" s="919"/>
      <c r="AC405" s="919"/>
      <c r="AD405" s="919"/>
      <c r="AE405" s="919"/>
      <c r="AF405" s="919"/>
    </row>
    <row r="406" spans="1:32" s="918" customFormat="1" ht="16.5" customHeight="1">
      <c r="A406" s="922"/>
      <c r="B406" s="922"/>
      <c r="C406" s="922"/>
      <c r="D406" s="166"/>
      <c r="E406" s="166"/>
      <c r="F406" s="166"/>
      <c r="G406" s="166"/>
      <c r="H406" s="166"/>
      <c r="I406" s="922"/>
      <c r="J406" s="922"/>
      <c r="K406" s="922"/>
      <c r="L406" s="777">
        <v>5</v>
      </c>
      <c r="M406" s="778"/>
      <c r="N406" s="976"/>
      <c r="O406" s="1020">
        <v>349</v>
      </c>
      <c r="P406" s="847" t="e">
        <f>VLOOKUP(N406,etat!$A$9:$N$1004,2,FALSE)</f>
        <v>#N/A</v>
      </c>
      <c r="Q406" s="797" t="e">
        <f>VLOOKUP(N406,etat!$A$9:$N$963,7,FALSE)</f>
        <v>#N/A</v>
      </c>
      <c r="R406" s="797" t="e">
        <f>VLOOKUP(N406,etat!$A$9:$N$1003,9,FALSE)</f>
        <v>#N/A</v>
      </c>
      <c r="S406" s="866" t="e">
        <f>VLOOKUP(N406,etat!$A$9:$P$905,16,FALSE)</f>
        <v>#N/A</v>
      </c>
      <c r="T406" s="755"/>
      <c r="U406" s="784"/>
      <c r="V406" s="784"/>
      <c r="W406" s="784"/>
      <c r="X406" s="784"/>
      <c r="Y406" s="975"/>
      <c r="Z406" s="932" t="str">
        <f>VLOOKUP(L406,[2]اس!$S$3:$X$31,3,FALSE)</f>
        <v>.</v>
      </c>
      <c r="AA406" s="967"/>
      <c r="AB406" s="919"/>
      <c r="AC406" s="919"/>
      <c r="AD406" s="919"/>
      <c r="AE406" s="919"/>
      <c r="AF406" s="919"/>
    </row>
    <row r="407" spans="1:32" s="918" customFormat="1" ht="16.5" customHeight="1">
      <c r="A407" s="922"/>
      <c r="B407" s="922"/>
      <c r="C407" s="922"/>
      <c r="D407" s="166"/>
      <c r="E407" s="166"/>
      <c r="F407" s="166"/>
      <c r="G407" s="166"/>
      <c r="H407" s="166"/>
      <c r="I407" s="922"/>
      <c r="J407" s="922"/>
      <c r="K407" s="922"/>
      <c r="L407" s="777">
        <v>5</v>
      </c>
      <c r="M407" s="778"/>
      <c r="N407" s="976"/>
      <c r="O407" s="1020">
        <v>350</v>
      </c>
      <c r="P407" s="847" t="e">
        <f>VLOOKUP(N407,etat!$A$9:$N$1004,2,FALSE)</f>
        <v>#N/A</v>
      </c>
      <c r="Q407" s="797" t="e">
        <f>VLOOKUP(N407,etat!$A$9:$N$963,7,FALSE)</f>
        <v>#N/A</v>
      </c>
      <c r="R407" s="797" t="e">
        <f>VLOOKUP(N407,etat!$A$9:$N$1003,9,FALSE)</f>
        <v>#N/A</v>
      </c>
      <c r="S407" s="866" t="e">
        <f>VLOOKUP(N407,etat!$A$9:$P$905,16,FALSE)</f>
        <v>#N/A</v>
      </c>
      <c r="T407" s="755"/>
      <c r="U407" s="784"/>
      <c r="V407" s="784"/>
      <c r="W407" s="784"/>
      <c r="X407" s="784"/>
      <c r="Y407" s="975"/>
      <c r="Z407" s="932" t="str">
        <f>VLOOKUP(L407,[2]اس!$S$3:$X$31,3,FALSE)</f>
        <v>.</v>
      </c>
      <c r="AA407" s="967"/>
      <c r="AB407" s="919"/>
      <c r="AC407" s="919"/>
      <c r="AD407" s="919"/>
      <c r="AE407" s="919"/>
      <c r="AF407" s="919"/>
    </row>
    <row r="408" spans="1:32" s="918" customFormat="1" ht="16.5" customHeight="1">
      <c r="A408" s="922"/>
      <c r="B408" s="922"/>
      <c r="C408" s="922"/>
      <c r="D408" s="166"/>
      <c r="E408" s="166"/>
      <c r="F408" s="166"/>
      <c r="G408" s="166"/>
      <c r="H408" s="166"/>
      <c r="I408" s="922"/>
      <c r="J408" s="922"/>
      <c r="K408" s="922"/>
      <c r="L408" s="777">
        <v>5</v>
      </c>
      <c r="M408" s="778"/>
      <c r="N408" s="976"/>
      <c r="O408" s="1020">
        <v>351</v>
      </c>
      <c r="P408" s="847" t="e">
        <f>VLOOKUP(N408,etat!$A$9:$N$1004,2,FALSE)</f>
        <v>#N/A</v>
      </c>
      <c r="Q408" s="797" t="e">
        <f>VLOOKUP(N408,etat!$A$9:$N$963,7,FALSE)</f>
        <v>#N/A</v>
      </c>
      <c r="R408" s="797" t="e">
        <f>VLOOKUP(N408,etat!$A$9:$N$1003,9,FALSE)</f>
        <v>#N/A</v>
      </c>
      <c r="S408" s="866" t="e">
        <f>VLOOKUP(N408,etat!$A$9:$P$905,16,FALSE)</f>
        <v>#N/A</v>
      </c>
      <c r="T408" s="755"/>
      <c r="U408" s="784"/>
      <c r="V408" s="784"/>
      <c r="W408" s="784"/>
      <c r="X408" s="784"/>
      <c r="Y408" s="975"/>
      <c r="Z408" s="932" t="str">
        <f>VLOOKUP(L408,[2]اس!$S$3:$X$31,3,FALSE)</f>
        <v>.</v>
      </c>
      <c r="AA408" s="967"/>
      <c r="AB408" s="919"/>
      <c r="AC408" s="919"/>
      <c r="AD408" s="919"/>
      <c r="AE408" s="919"/>
      <c r="AF408" s="919"/>
    </row>
    <row r="409" spans="1:32" s="918" customFormat="1" ht="16.5" customHeight="1">
      <c r="A409" s="922"/>
      <c r="B409" s="922"/>
      <c r="C409" s="922"/>
      <c r="D409" s="166"/>
      <c r="E409" s="166"/>
      <c r="F409" s="166"/>
      <c r="G409" s="166"/>
      <c r="H409" s="166"/>
      <c r="I409" s="922"/>
      <c r="J409" s="922"/>
      <c r="K409" s="922"/>
      <c r="L409" s="777">
        <v>5</v>
      </c>
      <c r="M409" s="778"/>
      <c r="N409" s="976"/>
      <c r="O409" s="1020">
        <v>352</v>
      </c>
      <c r="P409" s="847" t="e">
        <f>VLOOKUP(N409,etat!$A$9:$N$1004,2,FALSE)</f>
        <v>#N/A</v>
      </c>
      <c r="Q409" s="797" t="e">
        <f>VLOOKUP(N409,etat!$A$9:$N$963,7,FALSE)</f>
        <v>#N/A</v>
      </c>
      <c r="R409" s="797" t="e">
        <f>VLOOKUP(N409,etat!$A$9:$N$1003,9,FALSE)</f>
        <v>#N/A</v>
      </c>
      <c r="S409" s="866" t="e">
        <f>VLOOKUP(N409,etat!$A$9:$P$905,16,FALSE)</f>
        <v>#N/A</v>
      </c>
      <c r="T409" s="755"/>
      <c r="U409" s="784"/>
      <c r="V409" s="784"/>
      <c r="W409" s="784"/>
      <c r="X409" s="784"/>
      <c r="Y409" s="975"/>
      <c r="Z409" s="932" t="str">
        <f>VLOOKUP(L409,[2]اس!$S$3:$X$31,3,FALSE)</f>
        <v>.</v>
      </c>
      <c r="AA409" s="967"/>
      <c r="AB409" s="919"/>
      <c r="AC409" s="919"/>
      <c r="AD409" s="919"/>
      <c r="AE409" s="919"/>
      <c r="AF409" s="919"/>
    </row>
    <row r="410" spans="1:32" ht="16.5" customHeight="1">
      <c r="A410" s="922"/>
      <c r="B410" s="922"/>
      <c r="C410" s="922"/>
      <c r="I410" s="922"/>
      <c r="J410" s="922"/>
      <c r="K410" s="922"/>
      <c r="L410" s="777">
        <v>5</v>
      </c>
      <c r="M410" s="778"/>
      <c r="N410" s="976"/>
      <c r="O410" s="1020">
        <v>353</v>
      </c>
      <c r="P410" s="847" t="e">
        <f>VLOOKUP(N410,etat!$A$9:$N$1004,2,FALSE)</f>
        <v>#N/A</v>
      </c>
      <c r="Q410" s="797" t="e">
        <f>VLOOKUP(N410,etat!$A$9:$N$963,7,FALSE)</f>
        <v>#N/A</v>
      </c>
      <c r="R410" s="797" t="e">
        <f>VLOOKUP(N410,etat!$A$9:$N$1003,9,FALSE)</f>
        <v>#N/A</v>
      </c>
      <c r="S410" s="866" t="e">
        <f>VLOOKUP(N410,etat!$A$9:$P$905,16,FALSE)</f>
        <v>#N/A</v>
      </c>
      <c r="T410" s="755"/>
      <c r="U410" s="784"/>
      <c r="V410" s="784"/>
      <c r="W410" s="784"/>
      <c r="X410" s="784"/>
      <c r="Y410" s="975"/>
      <c r="Z410" s="932" t="str">
        <f>VLOOKUP(L410,[2]اس!$S$3:$X$31,3,FALSE)</f>
        <v>.</v>
      </c>
      <c r="AA410" s="967"/>
    </row>
    <row r="411" spans="1:32" ht="16.5" customHeight="1">
      <c r="A411" s="922"/>
      <c r="B411" s="922"/>
      <c r="C411" s="922"/>
      <c r="I411" s="922"/>
      <c r="J411" s="922"/>
      <c r="K411" s="922"/>
      <c r="L411" s="777">
        <v>5</v>
      </c>
      <c r="M411" s="906"/>
      <c r="N411" s="976"/>
      <c r="O411" s="1020">
        <v>354</v>
      </c>
      <c r="P411" s="847" t="e">
        <f>VLOOKUP(N411,etat!$A$9:$N$1004,2,FALSE)</f>
        <v>#N/A</v>
      </c>
      <c r="Q411" s="797" t="e">
        <f>VLOOKUP(N411,etat!$A$9:$N$963,7,FALSE)</f>
        <v>#N/A</v>
      </c>
      <c r="R411" s="797" t="e">
        <f>VLOOKUP(N411,etat!$A$9:$N$1003,9,FALSE)</f>
        <v>#N/A</v>
      </c>
      <c r="S411" s="866" t="e">
        <f>VLOOKUP(N411,etat!$A$9:$P$905,16,FALSE)</f>
        <v>#N/A</v>
      </c>
      <c r="T411" s="755"/>
      <c r="U411" s="784"/>
      <c r="V411" s="784"/>
      <c r="W411" s="784"/>
      <c r="X411" s="784"/>
      <c r="Y411" s="975"/>
      <c r="Z411" s="932" t="str">
        <f>VLOOKUP(L411,[2]اس!$S$3:$X$31,3,FALSE)</f>
        <v>.</v>
      </c>
      <c r="AA411" s="967"/>
    </row>
    <row r="412" spans="1:32" ht="16.5" customHeight="1">
      <c r="A412" s="922"/>
      <c r="B412" s="922"/>
      <c r="C412" s="922"/>
      <c r="I412" s="922"/>
      <c r="J412" s="922"/>
      <c r="K412" s="922"/>
      <c r="L412" s="777">
        <v>5</v>
      </c>
      <c r="M412" s="906"/>
      <c r="N412" s="976"/>
      <c r="O412" s="1020">
        <v>355</v>
      </c>
      <c r="P412" s="847" t="e">
        <f>VLOOKUP(N412,etat!$A$9:$N$1004,2,FALSE)</f>
        <v>#N/A</v>
      </c>
      <c r="Q412" s="797" t="e">
        <f>VLOOKUP(N412,etat!$A$9:$N$963,7,FALSE)</f>
        <v>#N/A</v>
      </c>
      <c r="R412" s="797" t="e">
        <f>VLOOKUP(N412,etat!$A$9:$N$1003,9,FALSE)</f>
        <v>#N/A</v>
      </c>
      <c r="S412" s="866" t="e">
        <f>VLOOKUP(N412,etat!$A$9:$P$905,16,FALSE)</f>
        <v>#N/A</v>
      </c>
      <c r="T412" s="755"/>
      <c r="U412" s="784"/>
      <c r="V412" s="784"/>
      <c r="W412" s="784"/>
      <c r="X412" s="784"/>
      <c r="Y412" s="975"/>
      <c r="Z412" s="932" t="str">
        <f>VLOOKUP(L412,[2]اس!$S$3:$X$31,3,FALSE)</f>
        <v>.</v>
      </c>
      <c r="AA412" s="967"/>
    </row>
    <row r="413" spans="1:32" ht="16.5" customHeight="1">
      <c r="A413" s="922"/>
      <c r="B413" s="922"/>
      <c r="C413" s="922"/>
      <c r="I413" s="922"/>
      <c r="J413" s="922"/>
      <c r="K413" s="922"/>
      <c r="L413" s="777">
        <v>5</v>
      </c>
      <c r="M413" s="906"/>
      <c r="N413" s="976"/>
      <c r="O413" s="1020">
        <v>356</v>
      </c>
      <c r="P413" s="847" t="e">
        <f>VLOOKUP(N413,etat!$A$9:$N$1004,2,FALSE)</f>
        <v>#N/A</v>
      </c>
      <c r="Q413" s="797" t="e">
        <f>VLOOKUP(N413,etat!$A$9:$N$963,7,FALSE)</f>
        <v>#N/A</v>
      </c>
      <c r="R413" s="797" t="e">
        <f>VLOOKUP(N413,etat!$A$9:$N$1003,9,FALSE)</f>
        <v>#N/A</v>
      </c>
      <c r="S413" s="866" t="e">
        <f>VLOOKUP(N413,etat!$A$9:$P$905,16,FALSE)</f>
        <v>#N/A</v>
      </c>
      <c r="T413" s="755"/>
      <c r="U413" s="784"/>
      <c r="V413" s="784"/>
      <c r="W413" s="784"/>
      <c r="X413" s="784"/>
      <c r="Y413" s="784"/>
      <c r="Z413" s="932" t="str">
        <f>VLOOKUP(L413,[2]اس!$S$3:$X$31,3,FALSE)</f>
        <v>.</v>
      </c>
      <c r="AA413" s="967"/>
    </row>
    <row r="414" spans="1:32" ht="16.5" customHeight="1">
      <c r="A414" s="922"/>
      <c r="B414" s="922"/>
      <c r="C414" s="922"/>
      <c r="I414" s="922"/>
      <c r="J414" s="922"/>
      <c r="K414" s="922"/>
      <c r="L414" s="777">
        <v>5</v>
      </c>
      <c r="M414" s="906"/>
      <c r="N414" s="976"/>
      <c r="O414" s="1020">
        <v>357</v>
      </c>
      <c r="P414" s="847" t="e">
        <f>VLOOKUP(N414,etat!$A$9:$N$1004,2,FALSE)</f>
        <v>#N/A</v>
      </c>
      <c r="Q414" s="797" t="e">
        <f>VLOOKUP(N414,etat!$A$9:$N$963,7,FALSE)</f>
        <v>#N/A</v>
      </c>
      <c r="R414" s="797" t="e">
        <f>VLOOKUP(N414,etat!$A$9:$N$1003,9,FALSE)</f>
        <v>#N/A</v>
      </c>
      <c r="S414" s="866" t="e">
        <f>VLOOKUP(N414,etat!$A$9:$P$905,16,FALSE)</f>
        <v>#N/A</v>
      </c>
      <c r="T414" s="755"/>
      <c r="U414" s="784"/>
      <c r="V414" s="784"/>
      <c r="W414" s="784"/>
      <c r="X414" s="784"/>
      <c r="Y414" s="975"/>
      <c r="Z414" s="932" t="str">
        <f>VLOOKUP(L414,[2]اس!$S$3:$X$31,3,FALSE)</f>
        <v>.</v>
      </c>
      <c r="AA414" s="967"/>
    </row>
    <row r="415" spans="1:32" s="799" customFormat="1" ht="16.5" customHeight="1">
      <c r="A415" s="922"/>
      <c r="B415" s="922"/>
      <c r="C415" s="922"/>
      <c r="D415" s="166"/>
      <c r="E415" s="166"/>
      <c r="F415" s="166"/>
      <c r="G415" s="166"/>
      <c r="H415" s="166"/>
      <c r="I415" s="922"/>
      <c r="J415" s="922"/>
      <c r="K415" s="922"/>
      <c r="L415" s="777">
        <v>5</v>
      </c>
      <c r="M415" s="906"/>
      <c r="N415" s="976"/>
      <c r="O415" s="1020">
        <v>358</v>
      </c>
      <c r="P415" s="847" t="e">
        <f>VLOOKUP(N415,etat!$A$9:$N$1004,2,FALSE)</f>
        <v>#N/A</v>
      </c>
      <c r="Q415" s="797" t="e">
        <f>VLOOKUP(N415,etat!$A$9:$N$963,7,FALSE)</f>
        <v>#N/A</v>
      </c>
      <c r="R415" s="797" t="e">
        <f>VLOOKUP(N415,etat!$A$9:$N$1003,9,FALSE)</f>
        <v>#N/A</v>
      </c>
      <c r="S415" s="866" t="e">
        <f>VLOOKUP(N415,etat!$A$9:$P$905,16,FALSE)</f>
        <v>#N/A</v>
      </c>
      <c r="T415" s="755"/>
      <c r="U415" s="784"/>
      <c r="V415" s="784"/>
      <c r="W415" s="784"/>
      <c r="X415" s="784"/>
      <c r="Y415" s="975"/>
      <c r="Z415" s="932" t="str">
        <f>VLOOKUP(L415,[2]اس!$S$3:$X$31,3,FALSE)</f>
        <v>.</v>
      </c>
      <c r="AA415" s="967"/>
      <c r="AB415" s="23"/>
      <c r="AC415" s="23"/>
      <c r="AD415" s="23"/>
      <c r="AE415" s="23"/>
      <c r="AF415" s="23"/>
    </row>
    <row r="416" spans="1:32" ht="16.5" customHeight="1">
      <c r="A416" s="922"/>
      <c r="B416" s="922"/>
      <c r="C416" s="922"/>
      <c r="I416" s="922"/>
      <c r="J416" s="922"/>
      <c r="K416" s="922"/>
      <c r="L416" s="777">
        <v>5</v>
      </c>
      <c r="M416" s="778"/>
      <c r="N416" s="976"/>
      <c r="O416" s="1020">
        <v>359</v>
      </c>
      <c r="P416" s="847" t="e">
        <f>VLOOKUP(N416,etat!$A$9:$N$1004,2,FALSE)</f>
        <v>#N/A</v>
      </c>
      <c r="Q416" s="797" t="e">
        <f>VLOOKUP(N416,etat!$A$9:$N$963,7,FALSE)</f>
        <v>#N/A</v>
      </c>
      <c r="R416" s="797" t="e">
        <f>VLOOKUP(N416,etat!$A$9:$N$1003,9,FALSE)</f>
        <v>#N/A</v>
      </c>
      <c r="S416" s="866" t="e">
        <f>VLOOKUP(N416,etat!$A$9:$P$905,16,FALSE)</f>
        <v>#N/A</v>
      </c>
      <c r="T416" s="755"/>
      <c r="U416" s="784"/>
      <c r="V416" s="784"/>
      <c r="W416" s="784"/>
      <c r="X416" s="784"/>
      <c r="Y416" s="975"/>
      <c r="Z416" s="932" t="str">
        <f>VLOOKUP(L416,[2]اس!$S$3:$X$31,3,FALSE)</f>
        <v>.</v>
      </c>
      <c r="AA416" s="967"/>
    </row>
    <row r="417" spans="1:32" s="799" customFormat="1" ht="16.5" customHeight="1">
      <c r="A417" s="922"/>
      <c r="B417" s="922"/>
      <c r="C417" s="922"/>
      <c r="D417" s="166"/>
      <c r="E417" s="166"/>
      <c r="F417" s="166"/>
      <c r="G417" s="166"/>
      <c r="H417" s="166"/>
      <c r="I417" s="922"/>
      <c r="J417" s="922"/>
      <c r="K417" s="922"/>
      <c r="L417" s="777">
        <v>5</v>
      </c>
      <c r="M417" s="778"/>
      <c r="N417" s="976"/>
      <c r="O417" s="1020">
        <v>360</v>
      </c>
      <c r="P417" s="847" t="e">
        <f>VLOOKUP(N417,etat!$A$9:$N$1004,2,FALSE)</f>
        <v>#N/A</v>
      </c>
      <c r="Q417" s="797" t="e">
        <f>VLOOKUP(N417,etat!$A$9:$N$963,7,FALSE)</f>
        <v>#N/A</v>
      </c>
      <c r="R417" s="797" t="e">
        <f>VLOOKUP(N417,etat!$A$9:$N$1003,9,FALSE)</f>
        <v>#N/A</v>
      </c>
      <c r="S417" s="866" t="e">
        <f>VLOOKUP(N417,etat!$A$9:$P$905,16,FALSE)</f>
        <v>#N/A</v>
      </c>
      <c r="T417" s="755"/>
      <c r="U417" s="784"/>
      <c r="V417" s="784"/>
      <c r="W417" s="784"/>
      <c r="X417" s="784"/>
      <c r="Y417" s="975"/>
      <c r="Z417" s="932" t="str">
        <f>VLOOKUP(L417,[2]اس!$S$3:$X$31,3,FALSE)</f>
        <v>.</v>
      </c>
      <c r="AA417" s="967"/>
      <c r="AB417" s="23"/>
      <c r="AC417" s="23"/>
      <c r="AD417" s="23"/>
      <c r="AE417" s="23"/>
      <c r="AF417" s="23"/>
    </row>
    <row r="418" spans="1:32" s="799" customFormat="1" ht="16.5" customHeight="1">
      <c r="A418" s="922"/>
      <c r="B418" s="922"/>
      <c r="C418" s="922"/>
      <c r="D418" s="166"/>
      <c r="E418" s="166"/>
      <c r="F418" s="166"/>
      <c r="G418" s="166"/>
      <c r="H418" s="166"/>
      <c r="I418" s="922"/>
      <c r="J418" s="922"/>
      <c r="K418" s="922"/>
      <c r="L418" s="777">
        <v>5</v>
      </c>
      <c r="M418" s="778"/>
      <c r="N418" s="976"/>
      <c r="O418" s="1020">
        <v>361</v>
      </c>
      <c r="P418" s="847" t="e">
        <f>VLOOKUP(N418,etat!$A$9:$N$1004,2,FALSE)</f>
        <v>#N/A</v>
      </c>
      <c r="Q418" s="797" t="e">
        <f>VLOOKUP(N418,etat!$A$9:$N$963,7,FALSE)</f>
        <v>#N/A</v>
      </c>
      <c r="R418" s="797" t="e">
        <f>VLOOKUP(N418,etat!$A$9:$N$1003,9,FALSE)</f>
        <v>#N/A</v>
      </c>
      <c r="S418" s="866" t="e">
        <f>VLOOKUP(N418,etat!$A$9:$P$905,16,FALSE)</f>
        <v>#N/A</v>
      </c>
      <c r="T418" s="755"/>
      <c r="U418" s="784"/>
      <c r="V418" s="784"/>
      <c r="W418" s="784"/>
      <c r="X418" s="784"/>
      <c r="Y418" s="975"/>
      <c r="Z418" s="932" t="str">
        <f>VLOOKUP(L418,[2]اس!$S$3:$X$31,3,FALSE)</f>
        <v>.</v>
      </c>
      <c r="AA418" s="967"/>
      <c r="AB418" s="23"/>
      <c r="AC418" s="23"/>
      <c r="AD418" s="23"/>
      <c r="AE418" s="23"/>
      <c r="AF418" s="23"/>
    </row>
    <row r="419" spans="1:32" s="918" customFormat="1" ht="16.5" customHeight="1">
      <c r="A419" s="922"/>
      <c r="B419" s="922"/>
      <c r="C419" s="922"/>
      <c r="D419" s="166"/>
      <c r="E419" s="166"/>
      <c r="F419" s="166"/>
      <c r="G419" s="166"/>
      <c r="H419" s="166"/>
      <c r="I419" s="922"/>
      <c r="J419" s="922"/>
      <c r="K419" s="922"/>
      <c r="L419" s="777">
        <v>5</v>
      </c>
      <c r="M419" s="778"/>
      <c r="N419" s="976"/>
      <c r="O419" s="1020">
        <v>362</v>
      </c>
      <c r="P419" s="847" t="e">
        <f>VLOOKUP(N419,etat!$A$9:$N$1004,2,FALSE)</f>
        <v>#N/A</v>
      </c>
      <c r="Q419" s="797" t="e">
        <f>VLOOKUP(N419,etat!$A$9:$N$963,7,FALSE)</f>
        <v>#N/A</v>
      </c>
      <c r="R419" s="797" t="e">
        <f>VLOOKUP(N419,etat!$A$9:$N$1003,9,FALSE)</f>
        <v>#N/A</v>
      </c>
      <c r="S419" s="866" t="e">
        <f>VLOOKUP(N419,etat!$A$9:$P$905,16,FALSE)</f>
        <v>#N/A</v>
      </c>
      <c r="T419" s="755"/>
      <c r="U419" s="784"/>
      <c r="V419" s="784"/>
      <c r="W419" s="784"/>
      <c r="X419" s="784"/>
      <c r="Y419" s="975"/>
      <c r="Z419" s="932" t="str">
        <f>VLOOKUP(L419,[2]اس!$S$3:$X$31,3,FALSE)</f>
        <v>.</v>
      </c>
      <c r="AA419" s="967"/>
      <c r="AB419" s="919"/>
      <c r="AC419" s="919"/>
      <c r="AD419" s="919"/>
      <c r="AE419" s="919"/>
      <c r="AF419" s="919"/>
    </row>
    <row r="420" spans="1:32" s="799" customFormat="1" ht="16.5" customHeight="1">
      <c r="A420" s="922"/>
      <c r="B420" s="922"/>
      <c r="C420" s="922"/>
      <c r="D420" s="166"/>
      <c r="E420" s="166"/>
      <c r="F420" s="166"/>
      <c r="G420" s="166"/>
      <c r="H420" s="166"/>
      <c r="I420" s="922"/>
      <c r="J420" s="922"/>
      <c r="K420" s="922"/>
      <c r="L420" s="777">
        <v>5</v>
      </c>
      <c r="M420" s="778"/>
      <c r="N420" s="976"/>
      <c r="O420" s="1020">
        <v>363</v>
      </c>
      <c r="P420" s="847" t="e">
        <f>VLOOKUP(N420,etat!$A$9:$N$1004,2,FALSE)</f>
        <v>#N/A</v>
      </c>
      <c r="Q420" s="797" t="e">
        <f>VLOOKUP(N420,etat!$A$9:$N$963,7,FALSE)</f>
        <v>#N/A</v>
      </c>
      <c r="R420" s="797" t="e">
        <f>VLOOKUP(N420,etat!$A$9:$N$1003,9,FALSE)</f>
        <v>#N/A</v>
      </c>
      <c r="S420" s="866" t="e">
        <f>VLOOKUP(N420,etat!$A$9:$P$905,16,FALSE)</f>
        <v>#N/A</v>
      </c>
      <c r="T420" s="755"/>
      <c r="U420" s="784"/>
      <c r="V420" s="784"/>
      <c r="W420" s="784"/>
      <c r="X420" s="784"/>
      <c r="Y420" s="975"/>
      <c r="Z420" s="932" t="str">
        <f>VLOOKUP(L420,[2]اس!$S$3:$X$31,3,FALSE)</f>
        <v>.</v>
      </c>
      <c r="AA420" s="967"/>
      <c r="AB420" s="23"/>
      <c r="AC420" s="23"/>
      <c r="AD420" s="23"/>
      <c r="AE420" s="23"/>
      <c r="AF420" s="23"/>
    </row>
    <row r="421" spans="1:32" ht="16.5" customHeight="1">
      <c r="A421" s="922"/>
      <c r="B421" s="922"/>
      <c r="C421" s="922"/>
      <c r="I421" s="922"/>
      <c r="J421" s="922"/>
      <c r="K421" s="922"/>
      <c r="L421" s="777">
        <v>5</v>
      </c>
      <c r="M421" s="778"/>
      <c r="N421" s="976"/>
      <c r="O421" s="1020">
        <v>364</v>
      </c>
      <c r="P421" s="847" t="e">
        <f>VLOOKUP(N421,etat!$A$9:$N$1004,2,FALSE)</f>
        <v>#N/A</v>
      </c>
      <c r="Q421" s="797" t="e">
        <f>VLOOKUP(N421,etat!$A$9:$N$963,7,FALSE)</f>
        <v>#N/A</v>
      </c>
      <c r="R421" s="797" t="e">
        <f>VLOOKUP(N421,etat!$A$9:$N$1003,9,FALSE)</f>
        <v>#N/A</v>
      </c>
      <c r="S421" s="866" t="e">
        <f>VLOOKUP(N421,etat!$A$9:$P$905,16,FALSE)</f>
        <v>#N/A</v>
      </c>
      <c r="T421" s="755"/>
      <c r="U421" s="784"/>
      <c r="V421" s="784"/>
      <c r="W421" s="784"/>
      <c r="X421" s="784"/>
      <c r="Y421" s="975"/>
      <c r="Z421" s="932" t="str">
        <f>VLOOKUP(L421,[2]اس!$S$3:$X$31,3,FALSE)</f>
        <v>.</v>
      </c>
      <c r="AA421" s="967"/>
    </row>
    <row r="422" spans="1:32" ht="16.5" customHeight="1">
      <c r="A422" s="922"/>
      <c r="B422" s="922"/>
      <c r="C422" s="922"/>
      <c r="I422" s="922"/>
      <c r="J422" s="922"/>
      <c r="K422" s="922"/>
      <c r="L422" s="777">
        <v>5</v>
      </c>
      <c r="M422" s="906"/>
      <c r="N422" s="976"/>
      <c r="O422" s="1020">
        <v>365</v>
      </c>
      <c r="P422" s="847" t="e">
        <f>VLOOKUP(N422,etat!$A$9:$N$1004,2,FALSE)</f>
        <v>#N/A</v>
      </c>
      <c r="Q422" s="797" t="e">
        <f>VLOOKUP(N422,etat!$A$9:$N$963,7,FALSE)</f>
        <v>#N/A</v>
      </c>
      <c r="R422" s="797" t="e">
        <f>VLOOKUP(N422,etat!$A$9:$N$1003,9,FALSE)</f>
        <v>#N/A</v>
      </c>
      <c r="S422" s="866" t="e">
        <f>VLOOKUP(N422,etat!$A$9:$P$905,16,FALSE)</f>
        <v>#N/A</v>
      </c>
      <c r="T422" s="755"/>
      <c r="U422" s="784"/>
      <c r="V422" s="784"/>
      <c r="W422" s="784"/>
      <c r="X422" s="784"/>
      <c r="Y422" s="975"/>
      <c r="Z422" s="932" t="str">
        <f>VLOOKUP(L422,[2]اس!$S$3:$X$31,3,FALSE)</f>
        <v>.</v>
      </c>
      <c r="AA422" s="967"/>
    </row>
    <row r="423" spans="1:32" ht="16.5" customHeight="1">
      <c r="A423" s="922"/>
      <c r="B423" s="922"/>
      <c r="C423" s="922"/>
      <c r="I423" s="922"/>
      <c r="J423" s="922"/>
      <c r="K423" s="922"/>
      <c r="L423" s="777">
        <v>5</v>
      </c>
      <c r="M423" s="906"/>
      <c r="N423" s="976"/>
      <c r="O423" s="1020">
        <v>366</v>
      </c>
      <c r="P423" s="847" t="e">
        <f>VLOOKUP(N423,etat!$A$9:$N$1004,2,FALSE)</f>
        <v>#N/A</v>
      </c>
      <c r="Q423" s="797" t="e">
        <f>VLOOKUP(N423,etat!$A$9:$N$963,7,FALSE)</f>
        <v>#N/A</v>
      </c>
      <c r="R423" s="797" t="e">
        <f>VLOOKUP(N423,etat!$A$9:$N$1003,9,FALSE)</f>
        <v>#N/A</v>
      </c>
      <c r="S423" s="866" t="e">
        <f>VLOOKUP(N423,etat!$A$9:$P$905,16,FALSE)</f>
        <v>#N/A</v>
      </c>
      <c r="T423" s="755"/>
      <c r="U423" s="784"/>
      <c r="V423" s="784"/>
      <c r="W423" s="784"/>
      <c r="X423" s="784"/>
      <c r="Y423" s="975"/>
      <c r="Z423" s="1022"/>
      <c r="AA423" s="967"/>
    </row>
    <row r="424" spans="1:32" s="918" customFormat="1" ht="16.5" customHeight="1">
      <c r="A424" s="922"/>
      <c r="B424" s="922"/>
      <c r="C424" s="922"/>
      <c r="D424" s="166"/>
      <c r="E424" s="166"/>
      <c r="F424" s="166"/>
      <c r="G424" s="166"/>
      <c r="H424" s="166"/>
      <c r="I424" s="922"/>
      <c r="J424" s="922"/>
      <c r="K424" s="922"/>
      <c r="L424" s="777">
        <v>5</v>
      </c>
      <c r="M424" s="906"/>
      <c r="N424" s="976"/>
      <c r="O424" s="1020">
        <v>367</v>
      </c>
      <c r="P424" s="847" t="e">
        <f>VLOOKUP(N424,etat!$A$9:$N$1004,2,FALSE)</f>
        <v>#N/A</v>
      </c>
      <c r="Q424" s="797" t="e">
        <f>VLOOKUP(N424,etat!$A$9:$N$963,7,FALSE)</f>
        <v>#N/A</v>
      </c>
      <c r="R424" s="797" t="e">
        <f>VLOOKUP(N424,etat!$A$9:$N$1003,9,FALSE)</f>
        <v>#N/A</v>
      </c>
      <c r="S424" s="866" t="e">
        <f>VLOOKUP(N424,etat!$A$9:$P$905,16,FALSE)</f>
        <v>#N/A</v>
      </c>
      <c r="T424" s="755"/>
      <c r="U424" s="784"/>
      <c r="V424" s="784"/>
      <c r="W424" s="784"/>
      <c r="X424" s="784"/>
      <c r="Y424" s="975"/>
      <c r="Z424" s="1022"/>
      <c r="AA424" s="967"/>
      <c r="AB424" s="919"/>
      <c r="AC424" s="919"/>
      <c r="AD424" s="919"/>
      <c r="AE424" s="919"/>
      <c r="AF424" s="919"/>
    </row>
    <row r="425" spans="1:32" s="918" customFormat="1" ht="16.5" customHeight="1">
      <c r="A425" s="922"/>
      <c r="B425" s="922"/>
      <c r="C425" s="922"/>
      <c r="D425" s="166"/>
      <c r="E425" s="166"/>
      <c r="F425" s="166"/>
      <c r="G425" s="166"/>
      <c r="H425" s="166"/>
      <c r="I425" s="922"/>
      <c r="J425" s="922"/>
      <c r="K425" s="922"/>
      <c r="L425" s="777">
        <v>5</v>
      </c>
      <c r="M425" s="778"/>
      <c r="N425" s="976"/>
      <c r="O425" s="1020">
        <v>368</v>
      </c>
      <c r="P425" s="847" t="e">
        <f>VLOOKUP(N425,etat!$A$9:$N$1004,2,FALSE)</f>
        <v>#N/A</v>
      </c>
      <c r="Q425" s="797" t="e">
        <f>VLOOKUP(N425,etat!$A$9:$N$963,7,FALSE)</f>
        <v>#N/A</v>
      </c>
      <c r="R425" s="797" t="e">
        <f>VLOOKUP(N425,etat!$A$9:$N$1003,9,FALSE)</f>
        <v>#N/A</v>
      </c>
      <c r="S425" s="866" t="e">
        <f>VLOOKUP(N425,etat!$A$9:$P$905,16,FALSE)</f>
        <v>#N/A</v>
      </c>
      <c r="T425" s="755"/>
      <c r="U425" s="784"/>
      <c r="V425" s="784"/>
      <c r="W425" s="784"/>
      <c r="X425" s="784"/>
      <c r="Y425" s="975"/>
      <c r="Z425" s="1022"/>
      <c r="AA425" s="967"/>
      <c r="AB425" s="919"/>
      <c r="AC425" s="919"/>
      <c r="AD425" s="919"/>
      <c r="AE425" s="919"/>
      <c r="AF425" s="919"/>
    </row>
    <row r="426" spans="1:32" s="918" customFormat="1" ht="16.5" customHeight="1">
      <c r="A426" s="922"/>
      <c r="B426" s="922"/>
      <c r="C426" s="922"/>
      <c r="D426" s="166"/>
      <c r="E426" s="166"/>
      <c r="F426" s="166"/>
      <c r="G426" s="166"/>
      <c r="H426" s="166"/>
      <c r="I426" s="922"/>
      <c r="J426" s="922"/>
      <c r="K426" s="922"/>
      <c r="L426" s="777">
        <v>5</v>
      </c>
      <c r="M426" s="778"/>
      <c r="N426" s="976"/>
      <c r="O426" s="1020">
        <v>369</v>
      </c>
      <c r="P426" s="847" t="e">
        <f>VLOOKUP(N426,etat!$A$9:$N$1004,2,FALSE)</f>
        <v>#N/A</v>
      </c>
      <c r="Q426" s="797" t="e">
        <f>VLOOKUP(N426,etat!$A$9:$N$963,7,FALSE)</f>
        <v>#N/A</v>
      </c>
      <c r="R426" s="797" t="e">
        <f>VLOOKUP(N426,etat!$A$9:$N$1003,9,FALSE)</f>
        <v>#N/A</v>
      </c>
      <c r="S426" s="866" t="e">
        <f>VLOOKUP(N426,etat!$A$9:$P$905,16,FALSE)</f>
        <v>#N/A</v>
      </c>
      <c r="T426" s="755"/>
      <c r="U426" s="784"/>
      <c r="V426" s="784"/>
      <c r="W426" s="784"/>
      <c r="X426" s="784"/>
      <c r="Y426" s="975"/>
      <c r="Z426" s="1022"/>
      <c r="AA426" s="967"/>
      <c r="AB426" s="919"/>
      <c r="AC426" s="919"/>
      <c r="AD426" s="919"/>
      <c r="AE426" s="919"/>
      <c r="AF426" s="919"/>
    </row>
    <row r="427" spans="1:32" s="918" customFormat="1" ht="16.5" customHeight="1">
      <c r="A427" s="922"/>
      <c r="B427" s="922"/>
      <c r="C427" s="922"/>
      <c r="D427" s="166"/>
      <c r="E427" s="166"/>
      <c r="F427" s="166"/>
      <c r="G427" s="166"/>
      <c r="H427" s="166"/>
      <c r="I427" s="922"/>
      <c r="J427" s="922"/>
      <c r="K427" s="922"/>
      <c r="L427" s="777">
        <v>5</v>
      </c>
      <c r="M427" s="778"/>
      <c r="N427" s="976"/>
      <c r="O427" s="1020">
        <v>370</v>
      </c>
      <c r="P427" s="847" t="e">
        <f>VLOOKUP(N427,etat!$A$9:$N$1004,2,FALSE)</f>
        <v>#N/A</v>
      </c>
      <c r="Q427" s="797" t="e">
        <f>VLOOKUP(N427,etat!$A$9:$N$963,7,FALSE)</f>
        <v>#N/A</v>
      </c>
      <c r="R427" s="797" t="e">
        <f>VLOOKUP(N427,etat!$A$9:$N$1003,9,FALSE)</f>
        <v>#N/A</v>
      </c>
      <c r="S427" s="866" t="e">
        <f>VLOOKUP(N427,etat!$A$9:$P$905,16,FALSE)</f>
        <v>#N/A</v>
      </c>
      <c r="T427" s="755"/>
      <c r="U427" s="784"/>
      <c r="V427" s="784"/>
      <c r="W427" s="784"/>
      <c r="X427" s="784"/>
      <c r="Y427" s="975"/>
      <c r="Z427" s="1022"/>
      <c r="AA427" s="967"/>
      <c r="AB427" s="919"/>
      <c r="AC427" s="919"/>
      <c r="AD427" s="919"/>
      <c r="AE427" s="919"/>
      <c r="AF427" s="919"/>
    </row>
    <row r="428" spans="1:32" ht="16.5" customHeight="1">
      <c r="A428" s="922"/>
      <c r="B428" s="922"/>
      <c r="C428" s="922"/>
      <c r="I428" s="922"/>
      <c r="J428" s="922"/>
      <c r="K428" s="922"/>
      <c r="L428" s="777">
        <v>5</v>
      </c>
      <c r="M428" s="906"/>
      <c r="N428" s="976"/>
      <c r="O428" s="1020">
        <v>371</v>
      </c>
      <c r="P428" s="847" t="e">
        <f>VLOOKUP(N428,etat!$A$9:$N$1004,2,FALSE)</f>
        <v>#N/A</v>
      </c>
      <c r="Q428" s="797" t="e">
        <f>VLOOKUP(N428,etat!$A$9:$N$963,7,FALSE)</f>
        <v>#N/A</v>
      </c>
      <c r="R428" s="797" t="e">
        <f>VLOOKUP(N428,etat!$A$9:$N$1003,9,FALSE)</f>
        <v>#N/A</v>
      </c>
      <c r="S428" s="866" t="e">
        <f>VLOOKUP(N428,etat!$A$9:$P$905,16,FALSE)</f>
        <v>#N/A</v>
      </c>
      <c r="T428" s="755"/>
      <c r="U428" s="784"/>
      <c r="V428" s="784"/>
      <c r="W428" s="784"/>
      <c r="X428" s="784"/>
      <c r="Y428" s="975"/>
      <c r="Z428" s="1022"/>
      <c r="AA428" s="967"/>
    </row>
    <row r="429" spans="1:32" ht="16.5" customHeight="1">
      <c r="A429" s="922"/>
      <c r="B429" s="922"/>
      <c r="C429" s="922"/>
      <c r="I429" s="922"/>
      <c r="J429" s="922"/>
      <c r="K429" s="922"/>
      <c r="L429" s="777">
        <v>5</v>
      </c>
      <c r="M429" s="906"/>
      <c r="N429" s="976"/>
      <c r="O429" s="1020">
        <v>372</v>
      </c>
      <c r="P429" s="847" t="e">
        <f>VLOOKUP(N429,etat!$A$9:$N$1004,2,FALSE)</f>
        <v>#N/A</v>
      </c>
      <c r="Q429" s="797" t="e">
        <f>VLOOKUP(N429,etat!$A$9:$N$963,7,FALSE)</f>
        <v>#N/A</v>
      </c>
      <c r="R429" s="797" t="e">
        <f>VLOOKUP(N429,etat!$A$9:$N$1003,9,FALSE)</f>
        <v>#N/A</v>
      </c>
      <c r="S429" s="866" t="e">
        <f>VLOOKUP(N429,etat!$A$9:$P$905,16,FALSE)</f>
        <v>#N/A</v>
      </c>
      <c r="T429" s="755"/>
      <c r="U429" s="784"/>
      <c r="V429" s="784"/>
      <c r="W429" s="784"/>
      <c r="X429" s="784"/>
      <c r="Y429" s="975"/>
      <c r="Z429" s="1022"/>
      <c r="AA429" s="967"/>
    </row>
    <row r="430" spans="1:32" ht="16.5" customHeight="1">
      <c r="A430" s="922"/>
      <c r="B430" s="922"/>
      <c r="C430" s="922"/>
      <c r="I430" s="922"/>
      <c r="J430" s="922"/>
      <c r="K430" s="922"/>
      <c r="L430" s="777">
        <v>5</v>
      </c>
      <c r="M430" s="906"/>
      <c r="N430" s="976"/>
      <c r="O430" s="1020">
        <v>373</v>
      </c>
      <c r="P430" s="847" t="e">
        <f>VLOOKUP(N430,etat!$A$9:$N$1004,2,FALSE)</f>
        <v>#N/A</v>
      </c>
      <c r="Q430" s="797" t="e">
        <f>VLOOKUP(N430,etat!$A$9:$N$963,7,FALSE)</f>
        <v>#N/A</v>
      </c>
      <c r="R430" s="797" t="e">
        <f>VLOOKUP(N430,etat!$A$9:$N$1003,9,FALSE)</f>
        <v>#N/A</v>
      </c>
      <c r="S430" s="866" t="e">
        <f>VLOOKUP(N430,etat!$A$9:$P$905,16,FALSE)</f>
        <v>#N/A</v>
      </c>
      <c r="T430" s="755"/>
      <c r="U430" s="784"/>
      <c r="V430" s="784"/>
      <c r="W430" s="784"/>
      <c r="X430" s="784"/>
      <c r="Y430" s="956"/>
      <c r="Z430" s="1022"/>
      <c r="AA430" s="967"/>
    </row>
    <row r="431" spans="1:32" ht="16.5" customHeight="1">
      <c r="A431" s="922"/>
      <c r="B431" s="922"/>
      <c r="C431" s="922"/>
      <c r="I431" s="922"/>
      <c r="J431" s="922"/>
      <c r="K431" s="922"/>
      <c r="L431" s="777">
        <v>5</v>
      </c>
      <c r="M431" s="906"/>
      <c r="N431" s="976"/>
      <c r="O431" s="1020">
        <v>374</v>
      </c>
      <c r="P431" s="847" t="e">
        <f>VLOOKUP(N431,etat!$A$9:$N$1004,2,FALSE)</f>
        <v>#N/A</v>
      </c>
      <c r="Q431" s="797" t="e">
        <f>VLOOKUP(N431,etat!$A$9:$N$963,7,FALSE)</f>
        <v>#N/A</v>
      </c>
      <c r="R431" s="797" t="e">
        <f>VLOOKUP(N431,etat!$A$9:$N$1003,9,FALSE)</f>
        <v>#N/A</v>
      </c>
      <c r="S431" s="866" t="e">
        <f>VLOOKUP(N431,etat!$A$9:$P$905,16,FALSE)</f>
        <v>#N/A</v>
      </c>
      <c r="T431" s="755"/>
      <c r="U431" s="784"/>
      <c r="V431" s="784"/>
      <c r="W431" s="784"/>
      <c r="X431" s="784"/>
      <c r="Y431" s="956"/>
      <c r="Z431" s="1022"/>
      <c r="AA431" s="967"/>
    </row>
    <row r="432" spans="1:32" ht="16.5" customHeight="1">
      <c r="A432" s="922"/>
      <c r="B432" s="922"/>
      <c r="C432" s="922"/>
      <c r="I432" s="922"/>
      <c r="J432" s="922"/>
      <c r="K432" s="922"/>
      <c r="L432" s="777">
        <v>5</v>
      </c>
      <c r="M432" s="906"/>
      <c r="N432" s="976"/>
      <c r="O432" s="1020">
        <v>375</v>
      </c>
      <c r="P432" s="847" t="e">
        <f>VLOOKUP(N432,etat!$A$9:$N$1004,2,FALSE)</f>
        <v>#N/A</v>
      </c>
      <c r="Q432" s="797" t="e">
        <f>VLOOKUP(N432,etat!$A$9:$N$963,7,FALSE)</f>
        <v>#N/A</v>
      </c>
      <c r="R432" s="797" t="e">
        <f>VLOOKUP(N432,etat!$A$9:$N$1003,9,FALSE)</f>
        <v>#N/A</v>
      </c>
      <c r="S432" s="866" t="e">
        <f>VLOOKUP(N432,etat!$A$9:$P$905,16,FALSE)</f>
        <v>#N/A</v>
      </c>
      <c r="T432" s="755"/>
      <c r="U432" s="784"/>
      <c r="V432" s="784"/>
      <c r="W432" s="784"/>
      <c r="X432" s="784"/>
      <c r="Y432" s="956"/>
      <c r="Z432" s="1022"/>
      <c r="AA432" s="967"/>
    </row>
    <row r="433" spans="1:32" ht="16.5" customHeight="1">
      <c r="A433" s="922"/>
      <c r="B433" s="922"/>
      <c r="C433" s="922"/>
      <c r="I433" s="922"/>
      <c r="J433" s="922"/>
      <c r="K433" s="922"/>
      <c r="L433" s="777">
        <v>5</v>
      </c>
      <c r="M433" s="906"/>
      <c r="N433" s="976"/>
      <c r="O433" s="1020">
        <v>376</v>
      </c>
      <c r="P433" s="847" t="e">
        <f>VLOOKUP(N433,etat!$A$9:$N$1004,2,FALSE)</f>
        <v>#N/A</v>
      </c>
      <c r="Q433" s="797" t="e">
        <f>VLOOKUP(N433,etat!$A$9:$N$963,7,FALSE)</f>
        <v>#N/A</v>
      </c>
      <c r="R433" s="797" t="e">
        <f>VLOOKUP(N433,etat!$A$9:$N$1003,9,FALSE)</f>
        <v>#N/A</v>
      </c>
      <c r="S433" s="866" t="e">
        <f>VLOOKUP(N433,etat!$A$9:$P$905,16,FALSE)</f>
        <v>#N/A</v>
      </c>
      <c r="T433" s="755"/>
      <c r="U433" s="784"/>
      <c r="V433" s="784"/>
      <c r="W433" s="784"/>
      <c r="X433" s="784"/>
      <c r="Y433" s="975"/>
      <c r="Z433" s="1022"/>
      <c r="AA433" s="967"/>
    </row>
    <row r="434" spans="1:32" ht="16.5" customHeight="1">
      <c r="A434" s="922"/>
      <c r="B434" s="922"/>
      <c r="C434" s="922"/>
      <c r="I434" s="922"/>
      <c r="J434" s="922"/>
      <c r="K434" s="922"/>
      <c r="L434" s="777">
        <v>5</v>
      </c>
      <c r="M434" s="906"/>
      <c r="N434" s="976"/>
      <c r="O434" s="1020">
        <v>377</v>
      </c>
      <c r="P434" s="847" t="e">
        <f>VLOOKUP(N434,etat!$A$9:$N$1004,2,FALSE)</f>
        <v>#N/A</v>
      </c>
      <c r="Q434" s="797" t="e">
        <f>VLOOKUP(N434,etat!$A$9:$N$963,7,FALSE)</f>
        <v>#N/A</v>
      </c>
      <c r="R434" s="797" t="e">
        <f>VLOOKUP(N434,etat!$A$9:$N$1003,9,FALSE)</f>
        <v>#N/A</v>
      </c>
      <c r="S434" s="866" t="e">
        <f>VLOOKUP(N434,etat!$A$9:$P$905,16,FALSE)</f>
        <v>#N/A</v>
      </c>
      <c r="T434" s="755"/>
      <c r="U434" s="784"/>
      <c r="V434" s="784"/>
      <c r="W434" s="755"/>
      <c r="X434" s="784"/>
      <c r="Y434" s="975"/>
      <c r="Z434" s="1022"/>
      <c r="AA434" s="967"/>
    </row>
    <row r="435" spans="1:32" ht="16.5" customHeight="1">
      <c r="A435" s="922"/>
      <c r="B435" s="922"/>
      <c r="C435" s="922"/>
      <c r="I435" s="922"/>
      <c r="J435" s="922"/>
      <c r="K435" s="922"/>
      <c r="L435" s="777">
        <v>5</v>
      </c>
      <c r="M435" s="906"/>
      <c r="N435" s="976"/>
      <c r="O435" s="1020">
        <v>378</v>
      </c>
      <c r="P435" s="847" t="e">
        <f>VLOOKUP(N435,etat!$A$9:$N$1004,2,FALSE)</f>
        <v>#N/A</v>
      </c>
      <c r="Q435" s="797" t="e">
        <f>VLOOKUP(N435,etat!$A$9:$N$963,7,FALSE)</f>
        <v>#N/A</v>
      </c>
      <c r="R435" s="797" t="e">
        <f>VLOOKUP(N435,etat!$A$9:$N$1003,9,FALSE)</f>
        <v>#N/A</v>
      </c>
      <c r="S435" s="866" t="e">
        <f>VLOOKUP(N435,etat!$A$9:$P$905,16,FALSE)</f>
        <v>#N/A</v>
      </c>
      <c r="T435" s="755"/>
      <c r="U435" s="784"/>
      <c r="V435" s="784"/>
      <c r="W435" s="943"/>
      <c r="X435" s="944"/>
      <c r="Y435" s="975"/>
      <c r="Z435" s="1022"/>
      <c r="AA435" s="967"/>
    </row>
    <row r="436" spans="1:32" s="918" customFormat="1" ht="16.5" customHeight="1">
      <c r="A436" s="922"/>
      <c r="B436" s="922"/>
      <c r="C436" s="922"/>
      <c r="D436" s="166"/>
      <c r="E436" s="166"/>
      <c r="F436" s="166"/>
      <c r="G436" s="166"/>
      <c r="H436" s="166"/>
      <c r="I436" s="922"/>
      <c r="J436" s="922"/>
      <c r="K436" s="922"/>
      <c r="L436" s="777">
        <v>5</v>
      </c>
      <c r="M436" s="906"/>
      <c r="N436" s="976"/>
      <c r="O436" s="1020">
        <v>379</v>
      </c>
      <c r="P436" s="847" t="e">
        <f>VLOOKUP(N436,etat!$A$9:$N$1004,2,FALSE)</f>
        <v>#N/A</v>
      </c>
      <c r="Q436" s="797" t="e">
        <f>VLOOKUP(N436,etat!$A$9:$N$963,7,FALSE)</f>
        <v>#N/A</v>
      </c>
      <c r="R436" s="797" t="e">
        <f>VLOOKUP(N436,etat!$A$9:$N$1003,9,FALSE)</f>
        <v>#N/A</v>
      </c>
      <c r="S436" s="866" t="e">
        <f>VLOOKUP(N436,etat!$A$9:$P$905,16,FALSE)</f>
        <v>#N/A</v>
      </c>
      <c r="T436" s="755"/>
      <c r="U436" s="784"/>
      <c r="V436" s="784"/>
      <c r="W436" s="943"/>
      <c r="X436" s="944"/>
      <c r="Y436" s="975"/>
      <c r="Z436" s="1022"/>
      <c r="AA436" s="967"/>
      <c r="AB436" s="919"/>
      <c r="AC436" s="919"/>
      <c r="AD436" s="919"/>
      <c r="AE436" s="919"/>
      <c r="AF436" s="919"/>
    </row>
    <row r="437" spans="1:32" s="918" customFormat="1" ht="16.5" customHeight="1">
      <c r="A437" s="922"/>
      <c r="B437" s="922"/>
      <c r="C437" s="922"/>
      <c r="D437" s="166"/>
      <c r="E437" s="166"/>
      <c r="F437" s="166"/>
      <c r="G437" s="166"/>
      <c r="H437" s="166"/>
      <c r="I437" s="922"/>
      <c r="J437" s="922"/>
      <c r="K437" s="922"/>
      <c r="L437" s="777">
        <v>5</v>
      </c>
      <c r="M437" s="906"/>
      <c r="N437" s="976"/>
      <c r="O437" s="1020">
        <v>380</v>
      </c>
      <c r="P437" s="847" t="e">
        <f>VLOOKUP(N437,etat!$A$9:$N$1004,2,FALSE)</f>
        <v>#N/A</v>
      </c>
      <c r="Q437" s="797" t="e">
        <f>VLOOKUP(N437,etat!$A$9:$N$963,7,FALSE)</f>
        <v>#N/A</v>
      </c>
      <c r="R437" s="797" t="e">
        <f>VLOOKUP(N437,etat!$A$9:$N$1003,9,FALSE)</f>
        <v>#N/A</v>
      </c>
      <c r="S437" s="866" t="e">
        <f>VLOOKUP(N437,etat!$A$9:$P$905,16,FALSE)</f>
        <v>#N/A</v>
      </c>
      <c r="T437" s="755"/>
      <c r="U437" s="784"/>
      <c r="V437" s="784"/>
      <c r="W437" s="784"/>
      <c r="X437" s="784"/>
      <c r="Y437" s="975"/>
      <c r="Z437" s="1022"/>
      <c r="AA437" s="967"/>
      <c r="AB437" s="919"/>
      <c r="AC437" s="919"/>
      <c r="AD437" s="919"/>
      <c r="AE437" s="919"/>
      <c r="AF437" s="919"/>
    </row>
    <row r="438" spans="1:32" ht="16.5" customHeight="1">
      <c r="A438" s="922"/>
      <c r="B438" s="922"/>
      <c r="C438" s="922"/>
      <c r="I438" s="922"/>
      <c r="J438" s="922"/>
      <c r="K438" s="922"/>
      <c r="L438" s="777">
        <v>5</v>
      </c>
      <c r="M438" s="906"/>
      <c r="N438" s="976"/>
      <c r="O438" s="1020">
        <v>381</v>
      </c>
      <c r="P438" s="847" t="e">
        <f>VLOOKUP(N438,etat!$A$9:$N$1004,2,FALSE)</f>
        <v>#N/A</v>
      </c>
      <c r="Q438" s="797" t="e">
        <f>VLOOKUP(N438,etat!$A$9:$N$963,7,FALSE)</f>
        <v>#N/A</v>
      </c>
      <c r="R438" s="797" t="e">
        <f>VLOOKUP(N438,etat!$A$9:$N$1003,9,FALSE)</f>
        <v>#N/A</v>
      </c>
      <c r="S438" s="866" t="e">
        <f>VLOOKUP(N438,etat!$A$9:$P$905,16,FALSE)</f>
        <v>#N/A</v>
      </c>
      <c r="T438" s="755"/>
      <c r="U438" s="784"/>
      <c r="V438" s="784"/>
      <c r="W438" s="784"/>
      <c r="X438" s="784"/>
      <c r="Y438" s="784"/>
      <c r="Z438" s="1112"/>
      <c r="AA438" s="967"/>
    </row>
    <row r="439" spans="1:32" ht="16.5" customHeight="1">
      <c r="A439" s="922"/>
      <c r="B439" s="922"/>
      <c r="C439" s="922"/>
      <c r="I439" s="922"/>
      <c r="J439" s="922"/>
      <c r="K439" s="922"/>
      <c r="L439" s="777">
        <v>5</v>
      </c>
      <c r="M439" s="906"/>
      <c r="N439" s="976"/>
      <c r="O439" s="1020">
        <v>382</v>
      </c>
      <c r="P439" s="847" t="e">
        <f>VLOOKUP(N439,etat!$A$9:$N$1004,2,FALSE)</f>
        <v>#N/A</v>
      </c>
      <c r="Q439" s="797" t="e">
        <f>VLOOKUP(N439,etat!$A$9:$N$963,7,FALSE)</f>
        <v>#N/A</v>
      </c>
      <c r="R439" s="797" t="e">
        <f>VLOOKUP(N439,etat!$A$9:$N$1003,9,FALSE)</f>
        <v>#N/A</v>
      </c>
      <c r="S439" s="866" t="e">
        <f>VLOOKUP(N439,etat!$A$9:$P$905,16,FALSE)</f>
        <v>#N/A</v>
      </c>
      <c r="T439" s="755"/>
      <c r="U439" s="784"/>
      <c r="V439" s="784"/>
      <c r="W439" s="784"/>
      <c r="X439" s="784"/>
      <c r="Y439" s="975"/>
      <c r="Z439" s="1022"/>
      <c r="AA439" s="967"/>
    </row>
    <row r="440" spans="1:32" ht="16.5" customHeight="1">
      <c r="A440" s="922"/>
      <c r="B440" s="922"/>
      <c r="C440" s="922"/>
      <c r="I440" s="922"/>
      <c r="J440" s="922"/>
      <c r="K440" s="922"/>
      <c r="L440" s="777">
        <v>5</v>
      </c>
      <c r="M440" s="906"/>
      <c r="N440" s="976"/>
      <c r="O440" s="1020">
        <v>383</v>
      </c>
      <c r="P440" s="847" t="e">
        <f>VLOOKUP(N440,etat!$A$9:$N$1004,2,FALSE)</f>
        <v>#N/A</v>
      </c>
      <c r="Q440" s="797" t="e">
        <f>VLOOKUP(N440,etat!$A$9:$N$963,7,FALSE)</f>
        <v>#N/A</v>
      </c>
      <c r="R440" s="797" t="e">
        <f>VLOOKUP(N440,etat!$A$9:$N$1003,9,FALSE)</f>
        <v>#N/A</v>
      </c>
      <c r="S440" s="866" t="e">
        <f>VLOOKUP(N440,etat!$A$9:$P$905,16,FALSE)</f>
        <v>#N/A</v>
      </c>
      <c r="T440" s="755"/>
      <c r="U440" s="784"/>
      <c r="V440" s="784"/>
      <c r="W440" s="784"/>
      <c r="X440" s="784"/>
      <c r="Y440" s="975"/>
      <c r="Z440" s="1022"/>
      <c r="AA440" s="967"/>
    </row>
    <row r="441" spans="1:32" ht="16.5" customHeight="1">
      <c r="A441" s="922"/>
      <c r="B441" s="922"/>
      <c r="C441" s="922"/>
      <c r="I441" s="922"/>
      <c r="J441" s="922"/>
      <c r="K441" s="922"/>
      <c r="L441" s="777">
        <v>5</v>
      </c>
      <c r="M441" s="906"/>
      <c r="N441" s="976"/>
      <c r="O441" s="1020">
        <v>384</v>
      </c>
      <c r="P441" s="847" t="e">
        <f>VLOOKUP(N441,etat!$A$9:$N$1004,2,FALSE)</f>
        <v>#N/A</v>
      </c>
      <c r="Q441" s="797" t="e">
        <f>VLOOKUP(N441,etat!$A$9:$N$963,7,FALSE)</f>
        <v>#N/A</v>
      </c>
      <c r="R441" s="797" t="e">
        <f>VLOOKUP(N441,etat!$A$9:$N$1003,9,FALSE)</f>
        <v>#N/A</v>
      </c>
      <c r="S441" s="866" t="e">
        <f>VLOOKUP(N441,etat!$A$9:$P$905,16,FALSE)</f>
        <v>#N/A</v>
      </c>
      <c r="T441" s="755"/>
      <c r="U441" s="784"/>
      <c r="V441" s="784"/>
      <c r="W441" s="784"/>
      <c r="X441" s="784"/>
      <c r="Y441" s="784"/>
      <c r="Z441" s="1022"/>
      <c r="AA441" s="967"/>
    </row>
    <row r="442" spans="1:32" ht="16.5" customHeight="1">
      <c r="A442" s="922"/>
      <c r="B442" s="922"/>
      <c r="C442" s="922"/>
      <c r="I442" s="922"/>
      <c r="J442" s="922"/>
      <c r="K442" s="922"/>
      <c r="L442" s="777">
        <v>5</v>
      </c>
      <c r="M442" s="906"/>
      <c r="N442" s="976"/>
      <c r="O442" s="1020">
        <v>385</v>
      </c>
      <c r="P442" s="847" t="e">
        <f>VLOOKUP(N442,etat!$A$9:$N$1004,2,FALSE)</f>
        <v>#N/A</v>
      </c>
      <c r="Q442" s="797" t="e">
        <f>VLOOKUP(N442,etat!$A$9:$N$963,7,FALSE)</f>
        <v>#N/A</v>
      </c>
      <c r="R442" s="797" t="e">
        <f>VLOOKUP(N442,etat!$A$9:$N$1003,9,FALSE)</f>
        <v>#N/A</v>
      </c>
      <c r="S442" s="866" t="e">
        <f>VLOOKUP(N442,etat!$A$9:$P$905,16,FALSE)</f>
        <v>#N/A</v>
      </c>
      <c r="T442" s="755"/>
      <c r="U442" s="784"/>
      <c r="V442" s="784"/>
      <c r="W442" s="784"/>
      <c r="X442" s="784"/>
      <c r="Y442" s="784"/>
      <c r="Z442" s="1022"/>
      <c r="AA442" s="967"/>
    </row>
    <row r="443" spans="1:32" s="918" customFormat="1" ht="16.5" customHeight="1">
      <c r="A443" s="922"/>
      <c r="B443" s="922"/>
      <c r="C443" s="922"/>
      <c r="D443" s="166"/>
      <c r="E443" s="166"/>
      <c r="F443" s="166"/>
      <c r="G443" s="166"/>
      <c r="H443" s="166"/>
      <c r="I443" s="922"/>
      <c r="J443" s="922"/>
      <c r="K443" s="922"/>
      <c r="L443" s="777">
        <v>5</v>
      </c>
      <c r="M443" s="906"/>
      <c r="N443" s="976"/>
      <c r="O443" s="1020">
        <v>386</v>
      </c>
      <c r="P443" s="847" t="e">
        <f>VLOOKUP(N443,etat!$A$9:$N$1004,2,FALSE)</f>
        <v>#N/A</v>
      </c>
      <c r="Q443" s="797" t="e">
        <f>VLOOKUP(N443,etat!$A$9:$N$963,7,FALSE)</f>
        <v>#N/A</v>
      </c>
      <c r="R443" s="797" t="e">
        <f>VLOOKUP(N443,etat!$A$9:$N$1003,9,FALSE)</f>
        <v>#N/A</v>
      </c>
      <c r="S443" s="866" t="e">
        <f>VLOOKUP(N443,etat!$A$9:$P$905,16,FALSE)</f>
        <v>#N/A</v>
      </c>
      <c r="T443" s="755"/>
      <c r="U443" s="784"/>
      <c r="V443" s="784"/>
      <c r="W443" s="943"/>
      <c r="X443" s="944"/>
      <c r="Y443" s="975"/>
      <c r="Z443" s="1022"/>
      <c r="AA443" s="967"/>
      <c r="AB443" s="919"/>
      <c r="AC443" s="919"/>
      <c r="AD443" s="919"/>
      <c r="AE443" s="919"/>
      <c r="AF443" s="919"/>
    </row>
    <row r="444" spans="1:32" s="918" customFormat="1" ht="16.5" customHeight="1">
      <c r="A444" s="922"/>
      <c r="B444" s="922"/>
      <c r="C444" s="922"/>
      <c r="D444" s="166"/>
      <c r="E444" s="166"/>
      <c r="F444" s="166"/>
      <c r="G444" s="166"/>
      <c r="H444" s="166"/>
      <c r="I444" s="922"/>
      <c r="J444" s="922"/>
      <c r="K444" s="922"/>
      <c r="L444" s="777">
        <v>5</v>
      </c>
      <c r="M444" s="906"/>
      <c r="N444" s="976"/>
      <c r="O444" s="1020">
        <v>387</v>
      </c>
      <c r="P444" s="847" t="e">
        <f>VLOOKUP(N444,etat!$A$9:$N$1004,2,FALSE)</f>
        <v>#N/A</v>
      </c>
      <c r="Q444" s="797" t="e">
        <f>VLOOKUP(N444,etat!$A$9:$N$963,7,FALSE)</f>
        <v>#N/A</v>
      </c>
      <c r="R444" s="797" t="e">
        <f>VLOOKUP(N444,etat!$A$9:$N$1003,9,FALSE)</f>
        <v>#N/A</v>
      </c>
      <c r="S444" s="866" t="e">
        <f>VLOOKUP(N444,etat!$A$9:$P$905,16,FALSE)</f>
        <v>#N/A</v>
      </c>
      <c r="T444" s="755"/>
      <c r="U444" s="784"/>
      <c r="V444" s="784"/>
      <c r="W444" s="943"/>
      <c r="X444" s="944"/>
      <c r="Y444" s="975"/>
      <c r="Z444" s="1022"/>
      <c r="AA444" s="967"/>
      <c r="AB444" s="919"/>
      <c r="AC444" s="919"/>
      <c r="AD444" s="919"/>
      <c r="AE444" s="919"/>
      <c r="AF444" s="919"/>
    </row>
    <row r="445" spans="1:32" s="918" customFormat="1" ht="16.5" customHeight="1">
      <c r="A445" s="922"/>
      <c r="B445" s="922"/>
      <c r="C445" s="922"/>
      <c r="D445" s="166"/>
      <c r="E445" s="166"/>
      <c r="F445" s="166"/>
      <c r="G445" s="166"/>
      <c r="H445" s="166"/>
      <c r="I445" s="922"/>
      <c r="J445" s="922"/>
      <c r="K445" s="922"/>
      <c r="L445" s="777">
        <v>5</v>
      </c>
      <c r="M445" s="906"/>
      <c r="N445" s="976"/>
      <c r="O445" s="1020">
        <v>388</v>
      </c>
      <c r="P445" s="847" t="e">
        <f>VLOOKUP(N445,etat!$A$9:$N$1004,2,FALSE)</f>
        <v>#N/A</v>
      </c>
      <c r="Q445" s="797" t="e">
        <f>VLOOKUP(N445,etat!$A$9:$N$963,7,FALSE)</f>
        <v>#N/A</v>
      </c>
      <c r="R445" s="797" t="e">
        <f>VLOOKUP(N445,etat!$A$9:$N$1003,9,FALSE)</f>
        <v>#N/A</v>
      </c>
      <c r="S445" s="866" t="e">
        <f>VLOOKUP(N445,etat!$A$9:$P$905,16,FALSE)</f>
        <v>#N/A</v>
      </c>
      <c r="T445" s="755"/>
      <c r="U445" s="784"/>
      <c r="V445" s="784"/>
      <c r="W445" s="943"/>
      <c r="X445" s="944"/>
      <c r="Y445" s="975"/>
      <c r="Z445" s="1022"/>
      <c r="AA445" s="967"/>
      <c r="AB445" s="919"/>
      <c r="AC445" s="919"/>
      <c r="AD445" s="919"/>
      <c r="AE445" s="919"/>
      <c r="AF445" s="919"/>
    </row>
    <row r="446" spans="1:32" ht="16.5" customHeight="1">
      <c r="A446" s="922"/>
      <c r="B446" s="922"/>
      <c r="C446" s="922"/>
      <c r="I446" s="922"/>
      <c r="J446" s="922"/>
      <c r="K446" s="922"/>
      <c r="L446" s="777">
        <v>5</v>
      </c>
      <c r="M446" s="906"/>
      <c r="N446" s="976"/>
      <c r="O446" s="1020">
        <v>389</v>
      </c>
      <c r="P446" s="847" t="e">
        <f>VLOOKUP(N446,etat!$A$9:$N$1004,2,FALSE)</f>
        <v>#N/A</v>
      </c>
      <c r="Q446" s="797" t="e">
        <f>VLOOKUP(N446,etat!$A$9:$N$963,7,FALSE)</f>
        <v>#N/A</v>
      </c>
      <c r="R446" s="797" t="e">
        <f>VLOOKUP(N446,etat!$A$9:$N$1003,9,FALSE)</f>
        <v>#N/A</v>
      </c>
      <c r="S446" s="866" t="e">
        <f>VLOOKUP(N446,etat!$A$9:$P$905,16,FALSE)</f>
        <v>#N/A</v>
      </c>
      <c r="T446" s="755"/>
      <c r="U446" s="784"/>
      <c r="V446" s="784"/>
      <c r="W446" s="943"/>
      <c r="X446" s="944"/>
      <c r="Y446" s="975"/>
      <c r="Z446" s="1022"/>
      <c r="AA446" s="967"/>
    </row>
    <row r="447" spans="1:32" ht="16.5" customHeight="1">
      <c r="A447" s="922"/>
      <c r="B447" s="922"/>
      <c r="C447" s="922"/>
      <c r="I447" s="922"/>
      <c r="J447" s="922"/>
      <c r="K447" s="922"/>
      <c r="L447" s="777">
        <v>5</v>
      </c>
      <c r="M447" s="906"/>
      <c r="N447" s="976"/>
      <c r="O447" s="1020">
        <v>390</v>
      </c>
      <c r="P447" s="847" t="e">
        <f>VLOOKUP(N447,etat!$A$9:$N$1004,2,FALSE)</f>
        <v>#N/A</v>
      </c>
      <c r="Q447" s="797" t="e">
        <f>VLOOKUP(N447,etat!$A$9:$N$963,7,FALSE)</f>
        <v>#N/A</v>
      </c>
      <c r="R447" s="797" t="e">
        <f>VLOOKUP(N447,etat!$A$9:$N$1003,9,FALSE)</f>
        <v>#N/A</v>
      </c>
      <c r="S447" s="866" t="e">
        <f>VLOOKUP(N447,etat!$A$9:$P$905,16,FALSE)</f>
        <v>#N/A</v>
      </c>
      <c r="T447" s="755"/>
      <c r="U447" s="784"/>
      <c r="V447" s="784"/>
      <c r="W447" s="784"/>
      <c r="X447" s="784"/>
      <c r="Y447" s="975"/>
      <c r="Z447" s="1022"/>
      <c r="AA447" s="967"/>
    </row>
    <row r="448" spans="1:32" ht="16.5" customHeight="1">
      <c r="A448" s="922"/>
      <c r="B448" s="922"/>
      <c r="C448" s="922"/>
      <c r="I448" s="922"/>
      <c r="J448" s="922"/>
      <c r="K448" s="922"/>
      <c r="L448" s="777">
        <v>5</v>
      </c>
      <c r="M448" s="906"/>
      <c r="N448" s="976"/>
      <c r="O448" s="1020">
        <v>391</v>
      </c>
      <c r="P448" s="847" t="e">
        <f>VLOOKUP(N448,etat!$A$9:$N$1004,2,FALSE)</f>
        <v>#N/A</v>
      </c>
      <c r="Q448" s="797" t="e">
        <f>VLOOKUP(N448,etat!$A$9:$N$963,7,FALSE)</f>
        <v>#N/A</v>
      </c>
      <c r="R448" s="797" t="e">
        <f>VLOOKUP(N448,etat!$A$9:$N$1003,9,FALSE)</f>
        <v>#N/A</v>
      </c>
      <c r="S448" s="866" t="e">
        <f>VLOOKUP(N448,etat!$A$9:$P$905,16,FALSE)</f>
        <v>#N/A</v>
      </c>
      <c r="T448" s="755"/>
      <c r="U448" s="784"/>
      <c r="V448" s="784"/>
      <c r="W448" s="784"/>
      <c r="X448" s="784"/>
      <c r="Y448" s="975"/>
      <c r="Z448" s="1022"/>
      <c r="AA448" s="967"/>
    </row>
    <row r="449" spans="1:27" ht="16.5" customHeight="1">
      <c r="A449" s="922"/>
      <c r="B449" s="922"/>
      <c r="C449" s="922"/>
      <c r="I449" s="922"/>
      <c r="J449" s="922"/>
      <c r="K449" s="922"/>
      <c r="L449" s="777">
        <v>5</v>
      </c>
      <c r="M449" s="906"/>
      <c r="N449" s="976"/>
      <c r="O449" s="1020">
        <v>392</v>
      </c>
      <c r="P449" s="847" t="e">
        <f>VLOOKUP(N449,etat!$A$9:$N$1004,2,FALSE)</f>
        <v>#N/A</v>
      </c>
      <c r="Q449" s="797" t="e">
        <f>VLOOKUP(N449,etat!$A$9:$N$963,7,FALSE)</f>
        <v>#N/A</v>
      </c>
      <c r="R449" s="797" t="e">
        <f>VLOOKUP(N449,etat!$A$9:$N$1003,9,FALSE)</f>
        <v>#N/A</v>
      </c>
      <c r="S449" s="866" t="e">
        <f>VLOOKUP(N449,etat!$A$9:$P$905,16,FALSE)</f>
        <v>#N/A</v>
      </c>
      <c r="T449" s="755"/>
      <c r="U449" s="784"/>
      <c r="V449" s="784"/>
      <c r="W449" s="784"/>
      <c r="X449" s="784"/>
      <c r="Y449" s="975"/>
      <c r="Z449" s="1022"/>
      <c r="AA449" s="967"/>
    </row>
    <row r="450" spans="1:27" ht="16.5" customHeight="1">
      <c r="L450" s="777">
        <v>5</v>
      </c>
      <c r="M450" s="906"/>
      <c r="N450" s="976"/>
      <c r="O450" s="1020">
        <v>393</v>
      </c>
      <c r="P450" s="847" t="e">
        <f>VLOOKUP(N450,etat!$A$9:$N$1004,2,FALSE)</f>
        <v>#N/A</v>
      </c>
      <c r="Q450" s="797" t="e">
        <f>VLOOKUP(N450,etat!$A$9:$N$963,7,FALSE)</f>
        <v>#N/A</v>
      </c>
      <c r="R450" s="797" t="e">
        <f>VLOOKUP(N450,etat!$A$9:$N$1003,9,FALSE)</f>
        <v>#N/A</v>
      </c>
      <c r="S450" s="866" t="e">
        <f>VLOOKUP(N450,etat!$A$9:$P$905,16,FALSE)</f>
        <v>#N/A</v>
      </c>
      <c r="T450" s="755"/>
      <c r="U450" s="784"/>
      <c r="V450" s="784"/>
      <c r="W450" s="784"/>
      <c r="X450" s="784"/>
      <c r="Y450" s="975"/>
      <c r="Z450" s="1022"/>
      <c r="AA450" s="967"/>
    </row>
    <row r="451" spans="1:27" ht="16.5" customHeight="1">
      <c r="L451" s="777">
        <v>5</v>
      </c>
      <c r="M451" s="906"/>
      <c r="N451" s="976"/>
      <c r="O451" s="1020">
        <v>394</v>
      </c>
      <c r="P451" s="847" t="e">
        <f>VLOOKUP(N451,etat!$A$9:$N$1004,2,FALSE)</f>
        <v>#N/A</v>
      </c>
      <c r="Q451" s="797" t="e">
        <f>VLOOKUP(N451,etat!$A$9:$N$963,7,FALSE)</f>
        <v>#N/A</v>
      </c>
      <c r="R451" s="797" t="e">
        <f>VLOOKUP(N451,etat!$A$9:$N$1003,9,FALSE)</f>
        <v>#N/A</v>
      </c>
      <c r="S451" s="866" t="e">
        <f>VLOOKUP(N451,etat!$A$9:$P$905,16,FALSE)</f>
        <v>#N/A</v>
      </c>
      <c r="T451" s="755"/>
      <c r="U451" s="784"/>
      <c r="V451" s="784"/>
      <c r="W451" s="784"/>
      <c r="X451" s="784"/>
      <c r="Y451" s="975"/>
      <c r="Z451" s="1022"/>
      <c r="AA451" s="967"/>
    </row>
    <row r="452" spans="1:27" ht="16.5" customHeight="1">
      <c r="L452" s="777">
        <v>5</v>
      </c>
      <c r="M452" s="906"/>
      <c r="N452" s="976"/>
      <c r="O452" s="1020">
        <v>395</v>
      </c>
      <c r="P452" s="847" t="e">
        <f>VLOOKUP(N452,etat!$A$9:$N$1004,2,FALSE)</f>
        <v>#N/A</v>
      </c>
      <c r="Q452" s="797" t="e">
        <f>VLOOKUP(N452,etat!$A$9:$N$963,7,FALSE)</f>
        <v>#N/A</v>
      </c>
      <c r="R452" s="797" t="e">
        <f>VLOOKUP(N452,etat!$A$9:$N$1003,9,FALSE)</f>
        <v>#N/A</v>
      </c>
      <c r="S452" s="866" t="e">
        <f>VLOOKUP(N452,etat!$A$9:$P$905,16,FALSE)</f>
        <v>#N/A</v>
      </c>
      <c r="T452" s="755"/>
      <c r="U452" s="791"/>
      <c r="V452" s="784"/>
      <c r="W452" s="784"/>
      <c r="X452" s="784"/>
      <c r="Y452" s="975"/>
      <c r="Z452" s="1022"/>
      <c r="AA452" s="967"/>
    </row>
    <row r="453" spans="1:27" ht="16.5" customHeight="1">
      <c r="L453" s="777">
        <v>5</v>
      </c>
      <c r="M453" s="906"/>
      <c r="N453" s="976"/>
      <c r="O453" s="1020">
        <v>396</v>
      </c>
      <c r="P453" s="847" t="e">
        <f>VLOOKUP(N453,etat!$A$9:$N$1004,2,FALSE)</f>
        <v>#N/A</v>
      </c>
      <c r="Q453" s="797" t="e">
        <f>VLOOKUP(N453,etat!$A$9:$N$963,7,FALSE)</f>
        <v>#N/A</v>
      </c>
      <c r="R453" s="797" t="e">
        <f>VLOOKUP(N453,etat!$A$9:$N$1003,9,FALSE)</f>
        <v>#N/A</v>
      </c>
      <c r="S453" s="866" t="e">
        <f>VLOOKUP(N453,etat!$A$9:$P$905,16,FALSE)</f>
        <v>#N/A</v>
      </c>
      <c r="T453" s="755"/>
      <c r="U453" s="791"/>
      <c r="V453" s="784"/>
      <c r="W453" s="784"/>
      <c r="X453" s="784"/>
      <c r="Y453" s="784"/>
      <c r="Z453" s="784"/>
      <c r="AA453" s="967"/>
    </row>
    <row r="454" spans="1:27" ht="16.5" customHeight="1">
      <c r="L454" s="777">
        <v>5</v>
      </c>
      <c r="M454" s="906"/>
      <c r="N454" s="976"/>
      <c r="O454" s="1020">
        <v>397</v>
      </c>
      <c r="P454" s="847" t="e">
        <f>VLOOKUP(N454,etat!$A$9:$N$1004,2,FALSE)</f>
        <v>#N/A</v>
      </c>
      <c r="Q454" s="797" t="e">
        <f>VLOOKUP(N454,etat!$A$9:$N$963,7,FALSE)</f>
        <v>#N/A</v>
      </c>
      <c r="R454" s="797" t="e">
        <f>VLOOKUP(N454,etat!$A$9:$N$1003,9,FALSE)</f>
        <v>#N/A</v>
      </c>
      <c r="S454" s="866" t="e">
        <f>VLOOKUP(N454,etat!$A$9:$P$905,16,FALSE)</f>
        <v>#N/A</v>
      </c>
      <c r="T454" s="755"/>
      <c r="U454" s="791"/>
      <c r="V454" s="784"/>
      <c r="W454" s="784"/>
      <c r="X454" s="784"/>
      <c r="Y454" s="975"/>
      <c r="Z454" s="1022"/>
      <c r="AA454" s="967"/>
    </row>
    <row r="455" spans="1:27" ht="16.5" customHeight="1">
      <c r="L455" s="777">
        <v>5</v>
      </c>
      <c r="M455" s="906"/>
      <c r="N455" s="976"/>
      <c r="O455" s="1020">
        <v>398</v>
      </c>
      <c r="P455" s="847" t="e">
        <f>VLOOKUP(N455,etat!$A$9:$N$1004,2,FALSE)</f>
        <v>#N/A</v>
      </c>
      <c r="Q455" s="797" t="e">
        <f>VLOOKUP(N455,etat!$A$9:$N$963,7,FALSE)</f>
        <v>#N/A</v>
      </c>
      <c r="R455" s="797" t="e">
        <f>VLOOKUP(N455,etat!$A$9:$N$1003,9,FALSE)</f>
        <v>#N/A</v>
      </c>
      <c r="S455" s="866" t="e">
        <f>VLOOKUP(N455,etat!$A$9:$P$905,16,FALSE)</f>
        <v>#N/A</v>
      </c>
      <c r="T455" s="755"/>
      <c r="U455" s="791"/>
      <c r="V455" s="784"/>
      <c r="W455" s="784"/>
      <c r="X455" s="784"/>
      <c r="Y455" s="975"/>
      <c r="Z455" s="1022"/>
      <c r="AA455" s="967"/>
    </row>
    <row r="456" spans="1:27" ht="16.5" customHeight="1">
      <c r="L456" s="777">
        <v>5</v>
      </c>
      <c r="M456" s="906"/>
      <c r="N456" s="976"/>
      <c r="O456" s="1020">
        <v>399</v>
      </c>
      <c r="P456" s="847" t="e">
        <f>VLOOKUP(N456,etat!$A$9:$N$1004,2,FALSE)</f>
        <v>#N/A</v>
      </c>
      <c r="Q456" s="797" t="e">
        <f>VLOOKUP(N456,etat!$A$9:$N$963,7,FALSE)</f>
        <v>#N/A</v>
      </c>
      <c r="R456" s="797" t="e">
        <f>VLOOKUP(N456,etat!$A$9:$N$1003,9,FALSE)</f>
        <v>#N/A</v>
      </c>
      <c r="S456" s="866" t="e">
        <f>VLOOKUP(N456,etat!$A$9:$P$905,16,FALSE)</f>
        <v>#N/A</v>
      </c>
      <c r="T456" s="755"/>
      <c r="U456" s="791"/>
      <c r="V456" s="784"/>
      <c r="W456" s="784"/>
      <c r="X456" s="784"/>
      <c r="Y456" s="784"/>
      <c r="Z456" s="784"/>
      <c r="AA456" s="967"/>
    </row>
    <row r="457" spans="1:27" ht="16.5" customHeight="1">
      <c r="L457" s="777">
        <v>5</v>
      </c>
      <c r="M457" s="906"/>
      <c r="N457" s="976"/>
      <c r="O457" s="1020">
        <v>400</v>
      </c>
      <c r="P457" s="847" t="e">
        <f>VLOOKUP(N457,etat!$A$9:$N$1004,2,FALSE)</f>
        <v>#N/A</v>
      </c>
      <c r="Q457" s="797" t="e">
        <f>VLOOKUP(N457,etat!$A$9:$N$963,7,FALSE)</f>
        <v>#N/A</v>
      </c>
      <c r="R457" s="797" t="e">
        <f>VLOOKUP(N457,etat!$A$9:$N$1003,9,FALSE)</f>
        <v>#N/A</v>
      </c>
      <c r="S457" s="866" t="e">
        <f>VLOOKUP(N457,etat!$A$9:$P$905,16,FALSE)</f>
        <v>#N/A</v>
      </c>
      <c r="T457" s="755"/>
      <c r="U457" s="791"/>
      <c r="V457" s="784"/>
      <c r="W457" s="784"/>
      <c r="X457" s="784"/>
      <c r="Y457" s="975"/>
      <c r="Z457" s="1022"/>
      <c r="AA457" s="967"/>
    </row>
    <row r="458" spans="1:27" ht="16.5" customHeight="1">
      <c r="L458" s="777">
        <v>5</v>
      </c>
      <c r="M458" s="906"/>
      <c r="N458" s="976"/>
      <c r="O458" s="1020">
        <v>401</v>
      </c>
      <c r="P458" s="847" t="e">
        <f>VLOOKUP(N458,etat!$A$9:$N$1004,2,FALSE)</f>
        <v>#N/A</v>
      </c>
      <c r="Q458" s="797" t="e">
        <f>VLOOKUP(N458,etat!$A$9:$N$963,7,FALSE)</f>
        <v>#N/A</v>
      </c>
      <c r="R458" s="797" t="e">
        <f>VLOOKUP(N458,etat!$A$9:$N$1003,9,FALSE)</f>
        <v>#N/A</v>
      </c>
      <c r="S458" s="866" t="e">
        <f>VLOOKUP(N458,etat!$A$9:$P$905,16,FALSE)</f>
        <v>#N/A</v>
      </c>
      <c r="T458" s="755"/>
      <c r="U458" s="791"/>
      <c r="V458" s="784"/>
      <c r="W458" s="784"/>
      <c r="X458" s="784"/>
      <c r="Y458" s="975"/>
      <c r="Z458" s="784"/>
      <c r="AA458" s="967"/>
    </row>
    <row r="459" spans="1:27" ht="16.5" customHeight="1">
      <c r="L459" s="777">
        <v>5</v>
      </c>
      <c r="M459" s="906"/>
      <c r="N459" s="976"/>
      <c r="O459" s="1020">
        <v>402</v>
      </c>
      <c r="P459" s="847" t="e">
        <f>VLOOKUP(N459,etat!$A$9:$N$1004,2,FALSE)</f>
        <v>#N/A</v>
      </c>
      <c r="Q459" s="797" t="e">
        <f>VLOOKUP(N459,etat!$A$9:$N$963,7,FALSE)</f>
        <v>#N/A</v>
      </c>
      <c r="R459" s="797" t="e">
        <f>VLOOKUP(N459,etat!$A$9:$N$1003,9,FALSE)</f>
        <v>#N/A</v>
      </c>
      <c r="S459" s="866" t="e">
        <f>VLOOKUP(N459,etat!$A$9:$P$905,16,FALSE)</f>
        <v>#N/A</v>
      </c>
      <c r="T459" s="755"/>
      <c r="U459" s="791"/>
      <c r="V459" s="784"/>
      <c r="W459" s="784"/>
      <c r="X459" s="784"/>
      <c r="Y459" s="784"/>
      <c r="Z459" s="784"/>
      <c r="AA459" s="967"/>
    </row>
    <row r="460" spans="1:27" ht="16.5" customHeight="1">
      <c r="L460" s="777">
        <v>5</v>
      </c>
      <c r="M460" s="906"/>
      <c r="N460" s="976"/>
      <c r="O460" s="1020">
        <v>403</v>
      </c>
      <c r="P460" s="847" t="e">
        <f>VLOOKUP(N460,etat!$A$9:$N$1004,2,FALSE)</f>
        <v>#N/A</v>
      </c>
      <c r="Q460" s="797" t="e">
        <f>VLOOKUP(N460,etat!$A$9:$N$963,7,FALSE)</f>
        <v>#N/A</v>
      </c>
      <c r="R460" s="797" t="e">
        <f>VLOOKUP(N460,etat!$A$9:$N$1003,9,FALSE)</f>
        <v>#N/A</v>
      </c>
      <c r="S460" s="866" t="e">
        <f>VLOOKUP(N460,etat!$A$9:$P$905,16,FALSE)</f>
        <v>#N/A</v>
      </c>
      <c r="T460" s="755"/>
      <c r="U460" s="791"/>
      <c r="V460" s="784"/>
      <c r="W460" s="784"/>
      <c r="X460" s="784"/>
      <c r="Y460" s="975"/>
      <c r="Z460" s="1022"/>
      <c r="AA460" s="967"/>
    </row>
    <row r="461" spans="1:27" ht="16.5" customHeight="1">
      <c r="L461" s="777">
        <v>5</v>
      </c>
      <c r="M461" s="906"/>
      <c r="N461" s="976"/>
      <c r="O461" s="1020">
        <v>404</v>
      </c>
      <c r="P461" s="847" t="e">
        <f>VLOOKUP(N461,etat!$A$9:$N$1004,2,FALSE)</f>
        <v>#N/A</v>
      </c>
      <c r="Q461" s="797" t="e">
        <f>VLOOKUP(N461,etat!$A$9:$N$963,7,FALSE)</f>
        <v>#N/A</v>
      </c>
      <c r="R461" s="797" t="e">
        <f>VLOOKUP(N461,etat!$A$9:$N$1003,9,FALSE)</f>
        <v>#N/A</v>
      </c>
      <c r="S461" s="866" t="e">
        <f>VLOOKUP(N461,etat!$A$9:$P$905,16,FALSE)</f>
        <v>#N/A</v>
      </c>
      <c r="T461" s="755"/>
      <c r="U461" s="791"/>
      <c r="V461" s="784"/>
      <c r="W461" s="784"/>
      <c r="X461" s="784"/>
      <c r="Y461" s="975"/>
      <c r="Z461" s="1022"/>
      <c r="AA461" s="967"/>
    </row>
    <row r="462" spans="1:27" ht="16.5" customHeight="1">
      <c r="L462" s="777">
        <v>5</v>
      </c>
      <c r="M462" s="906"/>
      <c r="N462" s="976"/>
      <c r="O462" s="1020">
        <v>405</v>
      </c>
      <c r="P462" s="847" t="e">
        <f>VLOOKUP(N462,etat!$A$9:$N$1004,2,FALSE)</f>
        <v>#N/A</v>
      </c>
      <c r="Q462" s="797" t="e">
        <f>VLOOKUP(N462,etat!$A$9:$N$963,7,FALSE)</f>
        <v>#N/A</v>
      </c>
      <c r="R462" s="797" t="e">
        <f>VLOOKUP(N462,etat!$A$9:$N$1003,9,FALSE)</f>
        <v>#N/A</v>
      </c>
      <c r="S462" s="866" t="e">
        <f>VLOOKUP(N462,etat!$A$9:$P$905,16,FALSE)</f>
        <v>#N/A</v>
      </c>
      <c r="T462" s="755"/>
      <c r="U462" s="791"/>
      <c r="V462" s="784"/>
      <c r="W462" s="784"/>
      <c r="X462" s="784"/>
      <c r="Y462" s="975"/>
      <c r="Z462" s="932" t="str">
        <f>VLOOKUP(L462,[2]اس!$S$3:$X$31,3,FALSE)</f>
        <v>.</v>
      </c>
      <c r="AA462" s="967"/>
    </row>
    <row r="463" spans="1:27" ht="16.5" customHeight="1">
      <c r="L463" s="777">
        <v>5</v>
      </c>
      <c r="M463" s="906"/>
      <c r="N463" s="976"/>
      <c r="O463" s="1020">
        <v>406</v>
      </c>
      <c r="P463" s="847" t="e">
        <f>VLOOKUP(N463,etat!$A$9:$N$1004,2,FALSE)</f>
        <v>#N/A</v>
      </c>
      <c r="Q463" s="797" t="e">
        <f>VLOOKUP(N463,etat!$A$9:$N$963,7,FALSE)</f>
        <v>#N/A</v>
      </c>
      <c r="R463" s="797" t="e">
        <f>VLOOKUP(N463,etat!$A$9:$N$1003,9,FALSE)</f>
        <v>#N/A</v>
      </c>
      <c r="S463" s="866" t="e">
        <f>VLOOKUP(N463,etat!$A$9:$P$905,16,FALSE)</f>
        <v>#N/A</v>
      </c>
      <c r="T463" s="755"/>
      <c r="U463" s="791"/>
      <c r="V463" s="784"/>
      <c r="W463" s="955"/>
      <c r="X463" s="955"/>
      <c r="Y463" s="956"/>
      <c r="Z463" s="932" t="str">
        <f>VLOOKUP(L463,[2]اس!$S$3:$X$31,3,FALSE)</f>
        <v>.</v>
      </c>
      <c r="AA463" s="967"/>
    </row>
    <row r="464" spans="1:27" ht="16.5" customHeight="1">
      <c r="L464" s="777">
        <v>5</v>
      </c>
      <c r="M464" s="906"/>
      <c r="N464" s="976"/>
      <c r="O464" s="1020">
        <v>407</v>
      </c>
      <c r="P464" s="847" t="e">
        <f>VLOOKUP(N464,etat!$A$9:$N$1004,2,FALSE)</f>
        <v>#N/A</v>
      </c>
      <c r="Q464" s="797" t="e">
        <f>VLOOKUP(N464,etat!$A$9:$N$963,7,FALSE)</f>
        <v>#N/A</v>
      </c>
      <c r="R464" s="797" t="e">
        <f>VLOOKUP(N464,etat!$A$9:$N$1003,9,FALSE)</f>
        <v>#N/A</v>
      </c>
      <c r="S464" s="866" t="e">
        <f>VLOOKUP(N464,etat!$A$9:$P$905,16,FALSE)</f>
        <v>#N/A</v>
      </c>
      <c r="T464" s="755"/>
      <c r="U464" s="791"/>
      <c r="V464" s="784"/>
      <c r="W464" s="784"/>
      <c r="X464" s="784"/>
      <c r="Y464" s="784"/>
      <c r="Z464" s="932" t="str">
        <f>VLOOKUP(L464,[2]اس!$S$3:$X$31,3,FALSE)</f>
        <v>.</v>
      </c>
      <c r="AA464" s="967"/>
    </row>
    <row r="465" spans="12:27" ht="16.5" customHeight="1">
      <c r="L465" s="777">
        <v>5</v>
      </c>
      <c r="M465" s="906"/>
      <c r="N465" s="976"/>
      <c r="O465" s="1020">
        <v>408</v>
      </c>
      <c r="P465" s="847" t="e">
        <f>VLOOKUP(N465,etat!$A$9:$N$1004,2,FALSE)</f>
        <v>#N/A</v>
      </c>
      <c r="Q465" s="797" t="e">
        <f>VLOOKUP(N465,etat!$A$9:$N$963,7,FALSE)</f>
        <v>#N/A</v>
      </c>
      <c r="R465" s="797" t="e">
        <f>VLOOKUP(N465,etat!$A$9:$N$1003,9,FALSE)</f>
        <v>#N/A</v>
      </c>
      <c r="S465" s="866" t="e">
        <f>VLOOKUP(N465,etat!$A$9:$P$905,16,FALSE)</f>
        <v>#N/A</v>
      </c>
      <c r="T465" s="755"/>
      <c r="U465" s="791"/>
      <c r="V465" s="784"/>
      <c r="W465" s="784"/>
      <c r="X465" s="784"/>
      <c r="Y465" s="784"/>
      <c r="Z465" s="932" t="str">
        <f>VLOOKUP(L465,[2]اس!$S$3:$X$31,3,FALSE)</f>
        <v>.</v>
      </c>
      <c r="AA465" s="967"/>
    </row>
    <row r="466" spans="12:27" ht="16.5" customHeight="1">
      <c r="L466" s="777">
        <v>5</v>
      </c>
      <c r="M466" s="906"/>
      <c r="N466" s="976"/>
      <c r="O466" s="1020">
        <v>409</v>
      </c>
      <c r="P466" s="847" t="e">
        <f>VLOOKUP(N466,etat!$A$9:$N$1004,2,FALSE)</f>
        <v>#N/A</v>
      </c>
      <c r="Q466" s="797" t="e">
        <f>VLOOKUP(N466,etat!$A$9:$N$963,7,FALSE)</f>
        <v>#N/A</v>
      </c>
      <c r="R466" s="797" t="e">
        <f>VLOOKUP(N466,etat!$A$9:$N$1003,9,FALSE)</f>
        <v>#N/A</v>
      </c>
      <c r="S466" s="866" t="e">
        <f>VLOOKUP(N466,etat!$A$9:$P$905,16,FALSE)</f>
        <v>#N/A</v>
      </c>
      <c r="T466" s="755"/>
      <c r="U466" s="791"/>
      <c r="V466" s="784"/>
      <c r="W466" s="784"/>
      <c r="X466" s="784"/>
      <c r="Y466" s="784"/>
      <c r="Z466" s="932" t="str">
        <f>VLOOKUP(L466,[2]اس!$S$3:$X$31,3,FALSE)</f>
        <v>.</v>
      </c>
      <c r="AA466" s="967"/>
    </row>
    <row r="467" spans="12:27" ht="16.5" customHeight="1">
      <c r="L467" s="777">
        <v>5</v>
      </c>
      <c r="M467" s="906"/>
      <c r="N467" s="976"/>
      <c r="O467" s="1020">
        <v>410</v>
      </c>
      <c r="P467" s="847" t="e">
        <f>VLOOKUP(N467,etat!$A$9:$N$1004,2,FALSE)</f>
        <v>#N/A</v>
      </c>
      <c r="Q467" s="797" t="e">
        <f>VLOOKUP(N467,etat!$A$9:$N$963,7,FALSE)</f>
        <v>#N/A</v>
      </c>
      <c r="R467" s="797" t="e">
        <f>VLOOKUP(N467,etat!$A$9:$N$1003,9,FALSE)</f>
        <v>#N/A</v>
      </c>
      <c r="S467" s="866" t="e">
        <f>VLOOKUP(N467,etat!$A$9:$P$905,16,FALSE)</f>
        <v>#N/A</v>
      </c>
      <c r="T467" s="755"/>
      <c r="U467" s="791"/>
      <c r="V467" s="784"/>
      <c r="W467" s="784"/>
      <c r="X467" s="784"/>
      <c r="Y467" s="784"/>
      <c r="Z467" s="932" t="str">
        <f>VLOOKUP(L467,[2]اس!$S$3:$X$31,3,FALSE)</f>
        <v>.</v>
      </c>
      <c r="AA467" s="967"/>
    </row>
    <row r="468" spans="12:27" ht="16.5" customHeight="1">
      <c r="L468" s="777">
        <v>5</v>
      </c>
      <c r="M468" s="906"/>
      <c r="N468" s="976"/>
      <c r="O468" s="1020">
        <v>411</v>
      </c>
      <c r="P468" s="847" t="e">
        <f>VLOOKUP(N468,etat!$A$9:$N$1004,2,FALSE)</f>
        <v>#N/A</v>
      </c>
      <c r="Q468" s="797" t="e">
        <f>VLOOKUP(N468,etat!$A$9:$N$963,7,FALSE)</f>
        <v>#N/A</v>
      </c>
      <c r="R468" s="797" t="e">
        <f>VLOOKUP(N468,etat!$A$9:$N$1003,9,FALSE)</f>
        <v>#N/A</v>
      </c>
      <c r="S468" s="866" t="e">
        <f>VLOOKUP(N468,etat!$A$9:$P$905,16,FALSE)</f>
        <v>#N/A</v>
      </c>
      <c r="T468" s="755"/>
      <c r="U468" s="791"/>
      <c r="V468" s="784"/>
      <c r="W468" s="784"/>
      <c r="X468" s="784"/>
      <c r="Y468" s="784"/>
      <c r="Z468" s="932" t="str">
        <f>VLOOKUP(L468,[2]اس!$S$3:$X$31,3,FALSE)</f>
        <v>.</v>
      </c>
      <c r="AA468" s="967"/>
    </row>
    <row r="469" spans="12:27" ht="16.5" customHeight="1">
      <c r="L469" s="777">
        <v>5</v>
      </c>
      <c r="M469" s="906"/>
      <c r="N469" s="976"/>
      <c r="O469" s="1020">
        <v>412</v>
      </c>
      <c r="P469" s="847" t="e">
        <f>VLOOKUP(N469,etat!$A$9:$N$1004,2,FALSE)</f>
        <v>#N/A</v>
      </c>
      <c r="Q469" s="797" t="e">
        <f>VLOOKUP(N469,etat!$A$9:$N$963,7,FALSE)</f>
        <v>#N/A</v>
      </c>
      <c r="R469" s="797" t="e">
        <f>VLOOKUP(N469,etat!$A$9:$N$1003,9,FALSE)</f>
        <v>#N/A</v>
      </c>
      <c r="S469" s="866" t="e">
        <f>VLOOKUP(N469,etat!$A$9:$P$905,16,FALSE)</f>
        <v>#N/A</v>
      </c>
      <c r="T469" s="755"/>
      <c r="U469" s="791"/>
      <c r="V469" s="784"/>
      <c r="W469" s="784"/>
      <c r="X469" s="784"/>
      <c r="Y469" s="784"/>
      <c r="Z469" s="932" t="str">
        <f>VLOOKUP(L469,[2]اس!$S$3:$X$31,3,FALSE)</f>
        <v>.</v>
      </c>
      <c r="AA469" s="967"/>
    </row>
    <row r="470" spans="12:27" ht="16.5" customHeight="1">
      <c r="L470" s="777">
        <v>5</v>
      </c>
      <c r="M470" s="906"/>
      <c r="N470" s="976"/>
      <c r="O470" s="1020">
        <v>413</v>
      </c>
      <c r="P470" s="847" t="e">
        <f>VLOOKUP(N470,etat!$A$9:$N$1004,2,FALSE)</f>
        <v>#N/A</v>
      </c>
      <c r="Q470" s="797" t="e">
        <f>VLOOKUP(N470,etat!$A$9:$N$963,7,FALSE)</f>
        <v>#N/A</v>
      </c>
      <c r="R470" s="797" t="e">
        <f>VLOOKUP(N470,etat!$A$9:$N$1003,9,FALSE)</f>
        <v>#N/A</v>
      </c>
      <c r="S470" s="866" t="e">
        <f>VLOOKUP(N470,etat!$A$9:$P$905,16,FALSE)</f>
        <v>#N/A</v>
      </c>
      <c r="T470" s="755"/>
      <c r="U470" s="791"/>
      <c r="V470" s="784"/>
      <c r="W470" s="784"/>
      <c r="X470" s="784"/>
      <c r="Y470" s="784"/>
      <c r="Z470" s="932" t="str">
        <f>VLOOKUP(L470,[2]اس!$S$3:$X$31,3,FALSE)</f>
        <v>.</v>
      </c>
      <c r="AA470" s="967"/>
    </row>
    <row r="471" spans="12:27" ht="16.5" customHeight="1">
      <c r="L471" s="777">
        <v>5</v>
      </c>
      <c r="M471" s="906"/>
      <c r="N471" s="976"/>
      <c r="O471" s="1020">
        <v>414</v>
      </c>
      <c r="P471" s="847" t="e">
        <f>VLOOKUP(N471,etat!$A$9:$N$1004,2,FALSE)</f>
        <v>#N/A</v>
      </c>
      <c r="Q471" s="797" t="e">
        <f>VLOOKUP(N471,etat!$A$9:$N$963,7,FALSE)</f>
        <v>#N/A</v>
      </c>
      <c r="R471" s="797" t="e">
        <f>VLOOKUP(N471,etat!$A$9:$N$1003,9,FALSE)</f>
        <v>#N/A</v>
      </c>
      <c r="S471" s="866" t="e">
        <f>VLOOKUP(N471,etat!$A$9:$P$905,16,FALSE)</f>
        <v>#N/A</v>
      </c>
      <c r="T471" s="755"/>
      <c r="U471" s="791"/>
      <c r="V471" s="784"/>
      <c r="W471" s="784"/>
      <c r="X471" s="784"/>
      <c r="Y471" s="975"/>
      <c r="Z471" s="932" t="str">
        <f>VLOOKUP(L471,[2]اس!$S$3:$X$31,3,FALSE)</f>
        <v>.</v>
      </c>
      <c r="AA471" s="967"/>
    </row>
    <row r="472" spans="12:27" ht="16.5" customHeight="1">
      <c r="L472" s="777">
        <v>5</v>
      </c>
      <c r="M472" s="906"/>
      <c r="N472" s="976"/>
      <c r="O472" s="1020">
        <v>415</v>
      </c>
      <c r="P472" s="847" t="e">
        <f>VLOOKUP(N472,etat!$A$9:$N$1004,2,FALSE)</f>
        <v>#N/A</v>
      </c>
      <c r="Q472" s="797" t="e">
        <f>VLOOKUP(N472,etat!$A$9:$N$963,7,FALSE)</f>
        <v>#N/A</v>
      </c>
      <c r="R472" s="797" t="e">
        <f>VLOOKUP(N472,etat!$A$9:$N$1003,9,FALSE)</f>
        <v>#N/A</v>
      </c>
      <c r="S472" s="866" t="e">
        <f>VLOOKUP(N472,etat!$A$9:$P$905,16,FALSE)</f>
        <v>#N/A</v>
      </c>
      <c r="T472" s="755"/>
      <c r="U472" s="791"/>
      <c r="V472" s="784"/>
      <c r="W472" s="784"/>
      <c r="X472" s="784"/>
      <c r="Y472" s="975"/>
      <c r="Z472" s="932" t="str">
        <f>VLOOKUP(L472,[2]اس!$S$3:$X$31,3,FALSE)</f>
        <v>.</v>
      </c>
      <c r="AA472" s="967"/>
    </row>
    <row r="473" spans="12:27" ht="16.5" customHeight="1">
      <c r="L473" s="777">
        <v>5</v>
      </c>
      <c r="M473" s="906"/>
      <c r="N473" s="976"/>
      <c r="O473" s="1020">
        <v>416</v>
      </c>
      <c r="P473" s="847" t="e">
        <f>VLOOKUP(N473,etat!$A$9:$N$1004,2,FALSE)</f>
        <v>#N/A</v>
      </c>
      <c r="Q473" s="797" t="e">
        <f>VLOOKUP(N473,etat!$A$9:$N$963,7,FALSE)</f>
        <v>#N/A</v>
      </c>
      <c r="R473" s="797" t="e">
        <f>VLOOKUP(N473,etat!$A$9:$N$1003,9,FALSE)</f>
        <v>#N/A</v>
      </c>
      <c r="S473" s="866" t="e">
        <f>VLOOKUP(N473,etat!$A$9:$P$905,16,FALSE)</f>
        <v>#N/A</v>
      </c>
      <c r="T473" s="755"/>
      <c r="U473" s="791"/>
      <c r="V473" s="784"/>
      <c r="W473" s="784"/>
      <c r="X473" s="784"/>
      <c r="Y473" s="975"/>
      <c r="Z473" s="932" t="str">
        <f>VLOOKUP(L473,[2]اس!$S$3:$X$31,3,FALSE)</f>
        <v>.</v>
      </c>
      <c r="AA473" s="967"/>
    </row>
    <row r="474" spans="12:27" ht="16.5" customHeight="1">
      <c r="L474" s="777">
        <v>5</v>
      </c>
      <c r="M474" s="906"/>
      <c r="N474" s="976"/>
      <c r="O474" s="1020">
        <v>417</v>
      </c>
      <c r="P474" s="847" t="e">
        <f>VLOOKUP(N474,etat!$A$9:$N$1004,2,FALSE)</f>
        <v>#N/A</v>
      </c>
      <c r="Q474" s="797" t="e">
        <f>VLOOKUP(N474,etat!$A$9:$N$963,7,FALSE)</f>
        <v>#N/A</v>
      </c>
      <c r="R474" s="797" t="e">
        <f>VLOOKUP(N474,etat!$A$9:$N$1003,9,FALSE)</f>
        <v>#N/A</v>
      </c>
      <c r="S474" s="866" t="e">
        <f>VLOOKUP(N474,etat!$A$9:$P$905,16,FALSE)</f>
        <v>#N/A</v>
      </c>
      <c r="T474" s="755"/>
      <c r="U474" s="791"/>
      <c r="V474" s="784"/>
      <c r="W474" s="784"/>
      <c r="X474" s="784"/>
      <c r="Y474" s="975"/>
      <c r="Z474" s="932" t="str">
        <f>VLOOKUP(L474,[2]اس!$S$3:$X$31,3,FALSE)</f>
        <v>.</v>
      </c>
      <c r="AA474" s="967"/>
    </row>
    <row r="475" spans="12:27" ht="16.5" customHeight="1">
      <c r="L475" s="777">
        <v>5</v>
      </c>
      <c r="M475" s="906"/>
      <c r="N475" s="976"/>
      <c r="O475" s="1020">
        <v>418</v>
      </c>
      <c r="P475" s="847" t="e">
        <f>VLOOKUP(N475,etat!$A$9:$N$1004,2,FALSE)</f>
        <v>#N/A</v>
      </c>
      <c r="Q475" s="797" t="e">
        <f>VLOOKUP(N475,etat!$A$9:$N$963,7,FALSE)</f>
        <v>#N/A</v>
      </c>
      <c r="R475" s="797" t="e">
        <f>VLOOKUP(N475,etat!$A$9:$N$1003,9,FALSE)</f>
        <v>#N/A</v>
      </c>
      <c r="S475" s="866" t="e">
        <f>VLOOKUP(N475,etat!$A$9:$P$905,16,FALSE)</f>
        <v>#N/A</v>
      </c>
      <c r="T475" s="755"/>
      <c r="U475" s="791"/>
      <c r="V475" s="784"/>
      <c r="W475" s="784"/>
      <c r="X475" s="784"/>
      <c r="Y475" s="975"/>
      <c r="Z475" s="932" t="str">
        <f>VLOOKUP(L475,[2]اس!$S$3:$X$31,3,FALSE)</f>
        <v>.</v>
      </c>
      <c r="AA475" s="967"/>
    </row>
    <row r="476" spans="12:27" ht="16.5" customHeight="1">
      <c r="L476" s="777">
        <v>5</v>
      </c>
      <c r="M476" s="906"/>
      <c r="N476" s="976"/>
      <c r="O476" s="1020">
        <v>419</v>
      </c>
      <c r="P476" s="847" t="e">
        <f>VLOOKUP(N476,etat!$A$9:$N$1004,2,FALSE)</f>
        <v>#N/A</v>
      </c>
      <c r="Q476" s="797" t="e">
        <f>VLOOKUP(N476,etat!$A$9:$N$963,7,FALSE)</f>
        <v>#N/A</v>
      </c>
      <c r="R476" s="797" t="e">
        <f>VLOOKUP(N476,etat!$A$9:$N$1003,9,FALSE)</f>
        <v>#N/A</v>
      </c>
      <c r="S476" s="866" t="e">
        <f>VLOOKUP(N476,etat!$A$9:$P$905,16,FALSE)</f>
        <v>#N/A</v>
      </c>
      <c r="T476" s="755"/>
      <c r="U476" s="791"/>
      <c r="V476" s="784"/>
      <c r="W476" s="784"/>
      <c r="X476" s="784"/>
      <c r="Y476" s="975"/>
      <c r="Z476" s="932" t="str">
        <f>VLOOKUP(L476,[2]اس!$S$3:$X$31,3,FALSE)</f>
        <v>.</v>
      </c>
      <c r="AA476" s="967"/>
    </row>
    <row r="477" spans="12:27" ht="16.5" customHeight="1">
      <c r="L477" s="777">
        <v>5</v>
      </c>
      <c r="M477" s="906"/>
      <c r="N477" s="976"/>
      <c r="O477" s="1020">
        <v>420</v>
      </c>
      <c r="P477" s="847" t="e">
        <f>VLOOKUP(N477,etat!$A$9:$N$1004,2,FALSE)</f>
        <v>#N/A</v>
      </c>
      <c r="Q477" s="797" t="e">
        <f>VLOOKUP(N477,etat!$A$9:$N$963,7,FALSE)</f>
        <v>#N/A</v>
      </c>
      <c r="R477" s="954" t="e">
        <f>VLOOKUP(N477,etat!$A$9:$N$1003,9,FALSE)</f>
        <v>#N/A</v>
      </c>
      <c r="S477" s="866" t="e">
        <f>VLOOKUP(N477,etat!$A$9:$P$905,16,FALSE)</f>
        <v>#N/A</v>
      </c>
      <c r="T477" s="755"/>
      <c r="U477" s="791"/>
      <c r="V477" s="784"/>
      <c r="W477" s="784"/>
      <c r="X477" s="784"/>
      <c r="Y477" s="975"/>
      <c r="Z477" s="932" t="str">
        <f>VLOOKUP(L477,[2]اس!$S$3:$X$31,3,FALSE)</f>
        <v>.</v>
      </c>
      <c r="AA477" s="967"/>
    </row>
    <row r="478" spans="12:27" ht="16.5" customHeight="1">
      <c r="L478" s="777">
        <v>5</v>
      </c>
      <c r="M478" s="906"/>
      <c r="N478" s="976"/>
      <c r="O478" s="1020">
        <v>421</v>
      </c>
      <c r="P478" s="847" t="e">
        <f>VLOOKUP(N478,etat!$A$9:$N$1004,2,FALSE)</f>
        <v>#N/A</v>
      </c>
      <c r="Q478" s="797" t="e">
        <f>VLOOKUP(N478,etat!$A$9:$N$963,7,FALSE)</f>
        <v>#N/A</v>
      </c>
      <c r="R478" s="954" t="e">
        <f>VLOOKUP(N478,etat!$A$9:$N$1003,9,FALSE)</f>
        <v>#N/A</v>
      </c>
      <c r="S478" s="866" t="e">
        <f>VLOOKUP(N478,etat!$A$9:$P$905,16,FALSE)</f>
        <v>#N/A</v>
      </c>
      <c r="T478" s="755"/>
      <c r="U478" s="791"/>
      <c r="V478" s="784"/>
      <c r="W478" s="784"/>
      <c r="X478" s="784"/>
      <c r="Y478" s="975"/>
      <c r="Z478" s="1022"/>
      <c r="AA478" s="967"/>
    </row>
    <row r="479" spans="12:27" ht="16.5" customHeight="1">
      <c r="L479" s="777">
        <v>5</v>
      </c>
      <c r="M479" s="906"/>
      <c r="N479" s="976"/>
      <c r="O479" s="1020">
        <v>422</v>
      </c>
      <c r="P479" s="847" t="e">
        <f>VLOOKUP(N479,etat!$A$9:$N$1004,2,FALSE)</f>
        <v>#N/A</v>
      </c>
      <c r="Q479" s="797" t="e">
        <f>VLOOKUP(N479,etat!$A$9:$N$963,7,FALSE)</f>
        <v>#N/A</v>
      </c>
      <c r="R479" s="954" t="e">
        <f>VLOOKUP(N479,etat!$A$9:$N$1003,9,FALSE)</f>
        <v>#N/A</v>
      </c>
      <c r="S479" s="866" t="e">
        <f>VLOOKUP(N479,etat!$A$9:$P$905,16,FALSE)</f>
        <v>#N/A</v>
      </c>
      <c r="T479" s="755"/>
      <c r="U479" s="791"/>
      <c r="V479" s="784"/>
      <c r="W479" s="784"/>
      <c r="X479" s="784"/>
      <c r="Y479" s="975"/>
      <c r="Z479" s="1022"/>
      <c r="AA479" s="967"/>
    </row>
    <row r="480" spans="12:27" ht="16.5" customHeight="1">
      <c r="L480" s="777">
        <v>5</v>
      </c>
      <c r="M480" s="906"/>
      <c r="N480" s="976"/>
      <c r="O480" s="1020">
        <v>423</v>
      </c>
      <c r="P480" s="847" t="e">
        <f>VLOOKUP(N480,etat!$A$9:$N$1004,2,FALSE)</f>
        <v>#N/A</v>
      </c>
      <c r="Q480" s="797" t="e">
        <f>VLOOKUP(N480,etat!$A$9:$N$963,7,FALSE)</f>
        <v>#N/A</v>
      </c>
      <c r="R480" s="954" t="e">
        <f>VLOOKUP(N480,etat!$A$9:$N$1003,9,FALSE)</f>
        <v>#N/A</v>
      </c>
      <c r="S480" s="866" t="e">
        <f>VLOOKUP(N480,etat!$A$9:$P$905,16,FALSE)</f>
        <v>#N/A</v>
      </c>
      <c r="T480" s="755"/>
      <c r="U480" s="791"/>
      <c r="V480" s="784"/>
      <c r="W480" s="784"/>
      <c r="X480" s="784"/>
      <c r="Y480" s="956"/>
      <c r="Z480" s="1022"/>
      <c r="AA480" s="967"/>
    </row>
    <row r="481" spans="12:27" ht="16.5" customHeight="1">
      <c r="L481" s="777">
        <v>5</v>
      </c>
      <c r="M481" s="906"/>
      <c r="N481" s="976"/>
      <c r="O481" s="1020">
        <v>424</v>
      </c>
      <c r="P481" s="847" t="e">
        <f>VLOOKUP(N481,etat!$A$9:$N$1004,2,FALSE)</f>
        <v>#N/A</v>
      </c>
      <c r="Q481" s="797" t="e">
        <f>VLOOKUP(N481,etat!$A$9:$N$963,7,FALSE)</f>
        <v>#N/A</v>
      </c>
      <c r="R481" s="954" t="e">
        <f>VLOOKUP(N481,etat!$A$9:$N$1003,9,FALSE)</f>
        <v>#N/A</v>
      </c>
      <c r="S481" s="866" t="e">
        <f>VLOOKUP(N481,etat!$A$9:$P$905,16,FALSE)</f>
        <v>#N/A</v>
      </c>
      <c r="T481" s="755"/>
      <c r="U481" s="791"/>
      <c r="V481" s="784"/>
      <c r="W481" s="784"/>
      <c r="X481" s="784"/>
      <c r="Y481" s="956"/>
      <c r="Z481" s="1022"/>
      <c r="AA481" s="967"/>
    </row>
    <row r="482" spans="12:27" ht="16.5" customHeight="1">
      <c r="L482" s="777">
        <v>5</v>
      </c>
      <c r="M482" s="906"/>
      <c r="N482" s="976"/>
      <c r="O482" s="1020">
        <v>425</v>
      </c>
      <c r="P482" s="847" t="e">
        <f>VLOOKUP(N482,etat!$A$9:$N$1004,2,FALSE)</f>
        <v>#N/A</v>
      </c>
      <c r="Q482" s="797" t="e">
        <f>VLOOKUP(N482,etat!$A$9:$N$963,7,FALSE)</f>
        <v>#N/A</v>
      </c>
      <c r="R482" s="797" t="e">
        <f>VLOOKUP(N482,etat!$A$9:$N$1003,9,FALSE)</f>
        <v>#N/A</v>
      </c>
      <c r="S482" s="866" t="e">
        <f>VLOOKUP(N482,etat!$A$9:$P$905,16,FALSE)</f>
        <v>#N/A</v>
      </c>
      <c r="T482" s="755"/>
      <c r="U482" s="791"/>
      <c r="V482" s="784"/>
      <c r="W482" s="784"/>
      <c r="X482" s="784"/>
      <c r="Y482" s="975"/>
      <c r="Z482" s="1022"/>
      <c r="AA482" s="967"/>
    </row>
    <row r="483" spans="12:27" ht="16.5" customHeight="1">
      <c r="L483" s="777">
        <v>5</v>
      </c>
      <c r="M483" s="906"/>
      <c r="N483" s="976"/>
      <c r="O483" s="1020">
        <v>426</v>
      </c>
      <c r="P483" s="847" t="e">
        <f>VLOOKUP(N483,etat!$A$9:$N$1004,2,FALSE)</f>
        <v>#N/A</v>
      </c>
      <c r="Q483" s="797" t="e">
        <f>VLOOKUP(N483,etat!$A$9:$N$963,7,FALSE)</f>
        <v>#N/A</v>
      </c>
      <c r="R483" s="797" t="e">
        <f>VLOOKUP(N483,etat!$A$9:$N$1003,9,FALSE)</f>
        <v>#N/A</v>
      </c>
      <c r="S483" s="866" t="e">
        <f>VLOOKUP(N483,etat!$A$9:$P$905,16,FALSE)</f>
        <v>#N/A</v>
      </c>
      <c r="T483" s="755"/>
      <c r="U483" s="791"/>
      <c r="V483" s="784"/>
      <c r="W483" s="755"/>
      <c r="X483" s="784"/>
      <c r="Y483" s="975"/>
      <c r="Z483" s="1022"/>
      <c r="AA483" s="967"/>
    </row>
    <row r="484" spans="12:27" ht="16.5" customHeight="1">
      <c r="L484" s="777">
        <v>5</v>
      </c>
      <c r="M484" s="906"/>
      <c r="N484" s="976"/>
      <c r="O484" s="1020">
        <v>427</v>
      </c>
      <c r="P484" s="847" t="e">
        <f>VLOOKUP(N484,etat!$A$9:$N$1004,2,FALSE)</f>
        <v>#N/A</v>
      </c>
      <c r="Q484" s="797" t="e">
        <f>VLOOKUP(N484,etat!$A$9:$N$963,7,FALSE)</f>
        <v>#N/A</v>
      </c>
      <c r="R484" s="797" t="e">
        <f>VLOOKUP(N484,etat!$A$9:$N$1003,9,FALSE)</f>
        <v>#N/A</v>
      </c>
      <c r="S484" s="866" t="e">
        <f>VLOOKUP(N484,etat!$A$9:$P$905,16,FALSE)</f>
        <v>#N/A</v>
      </c>
      <c r="T484" s="755"/>
      <c r="U484" s="791"/>
      <c r="V484" s="784"/>
      <c r="W484" s="943"/>
      <c r="X484" s="944"/>
      <c r="Y484" s="975"/>
      <c r="Z484" s="1022"/>
      <c r="AA484" s="967"/>
    </row>
    <row r="485" spans="12:27" ht="16.5" customHeight="1">
      <c r="L485" s="777">
        <v>5</v>
      </c>
      <c r="M485" s="906"/>
      <c r="N485" s="976"/>
      <c r="O485" s="1020">
        <v>428</v>
      </c>
      <c r="P485" s="847" t="e">
        <f>VLOOKUP(N485,etat!$A$9:$N$1004,2,FALSE)</f>
        <v>#N/A</v>
      </c>
      <c r="Q485" s="797" t="e">
        <f>VLOOKUP(N485,etat!$A$9:$N$963,7,FALSE)</f>
        <v>#N/A</v>
      </c>
      <c r="R485" s="797" t="e">
        <f>VLOOKUP(N485,etat!$A$9:$N$1003,9,FALSE)</f>
        <v>#N/A</v>
      </c>
      <c r="S485" s="866" t="e">
        <f>VLOOKUP(N485,etat!$A$9:$P$905,16,FALSE)</f>
        <v>#N/A</v>
      </c>
      <c r="T485" s="755"/>
      <c r="U485" s="791"/>
      <c r="V485" s="784"/>
      <c r="W485" s="943"/>
      <c r="X485" s="944"/>
      <c r="Y485" s="975"/>
      <c r="Z485" s="1022"/>
      <c r="AA485" s="967"/>
    </row>
    <row r="486" spans="12:27" ht="16.5" customHeight="1">
      <c r="L486" s="777">
        <v>5</v>
      </c>
      <c r="M486" s="906"/>
      <c r="N486" s="976"/>
      <c r="O486" s="1020">
        <v>429</v>
      </c>
      <c r="P486" s="847" t="e">
        <f>VLOOKUP(N486,etat!$A$9:$N$1004,2,FALSE)</f>
        <v>#N/A</v>
      </c>
      <c r="Q486" s="797" t="e">
        <f>VLOOKUP(N486,etat!$A$9:$N$963,7,FALSE)</f>
        <v>#N/A</v>
      </c>
      <c r="R486" s="797" t="e">
        <f>VLOOKUP(N486,etat!$A$9:$N$1003,9,FALSE)</f>
        <v>#N/A</v>
      </c>
      <c r="S486" s="866" t="e">
        <f>VLOOKUP(N486,etat!$A$9:$P$905,16,FALSE)</f>
        <v>#N/A</v>
      </c>
      <c r="T486" s="755"/>
      <c r="U486" s="791"/>
      <c r="V486" s="784"/>
      <c r="W486" s="943"/>
      <c r="X486" s="944"/>
      <c r="Y486" s="975"/>
      <c r="Z486" s="1022"/>
      <c r="AA486" s="967"/>
    </row>
    <row r="487" spans="12:27" ht="16.5" customHeight="1">
      <c r="L487" s="777">
        <v>5</v>
      </c>
      <c r="M487" s="906"/>
      <c r="N487" s="976"/>
      <c r="O487" s="1020">
        <v>430</v>
      </c>
      <c r="P487" s="847" t="e">
        <f>VLOOKUP(N487,etat!$A$9:$N$1004,2,FALSE)</f>
        <v>#N/A</v>
      </c>
      <c r="Q487" s="797" t="e">
        <f>VLOOKUP(N487,etat!$A$9:$N$963,7,FALSE)</f>
        <v>#N/A</v>
      </c>
      <c r="R487" s="797" t="e">
        <f>VLOOKUP(N487,etat!$A$9:$N$1003,9,FALSE)</f>
        <v>#N/A</v>
      </c>
      <c r="S487" s="866" t="e">
        <f>VLOOKUP(N487,etat!$A$9:$P$905,16,FALSE)</f>
        <v>#N/A</v>
      </c>
      <c r="T487" s="755"/>
      <c r="U487" s="791"/>
      <c r="V487" s="784"/>
      <c r="W487" s="784"/>
      <c r="X487" s="784"/>
      <c r="Y487" s="975"/>
      <c r="Z487" s="1022"/>
      <c r="AA487" s="967"/>
    </row>
    <row r="488" spans="12:27" ht="15.75">
      <c r="L488" s="777">
        <v>5</v>
      </c>
      <c r="M488" s="906"/>
      <c r="N488" s="976"/>
      <c r="O488" s="1020">
        <v>431</v>
      </c>
      <c r="P488" s="847" t="e">
        <f>VLOOKUP(N488,etat!$A$9:$N$1004,2,FALSE)</f>
        <v>#N/A</v>
      </c>
      <c r="Q488" s="797" t="e">
        <f>VLOOKUP(N488,etat!$A$9:$N$963,7,FALSE)</f>
        <v>#N/A</v>
      </c>
      <c r="R488" s="797" t="e">
        <f>VLOOKUP(N488,etat!$A$9:$N$1003,9,FALSE)</f>
        <v>#N/A</v>
      </c>
      <c r="S488" s="866" t="e">
        <f>VLOOKUP(N488,etat!$A$9:$P$905,16,FALSE)</f>
        <v>#N/A</v>
      </c>
      <c r="T488" s="755"/>
      <c r="U488" s="791"/>
      <c r="V488" s="784"/>
      <c r="W488" s="784"/>
      <c r="X488" s="784"/>
      <c r="Y488" s="784"/>
      <c r="Z488" s="1112"/>
      <c r="AA488" s="967"/>
    </row>
    <row r="489" spans="12:27" ht="17.25">
      <c r="L489" s="777">
        <v>5</v>
      </c>
      <c r="M489" s="906"/>
      <c r="N489" s="976"/>
      <c r="O489" s="1020">
        <v>432</v>
      </c>
      <c r="P489" s="847" t="e">
        <f>VLOOKUP(N489,etat!$A$9:$N$1004,2,FALSE)</f>
        <v>#N/A</v>
      </c>
      <c r="Q489" s="797" t="e">
        <f>VLOOKUP(N489,etat!$A$9:$N$963,7,FALSE)</f>
        <v>#N/A</v>
      </c>
      <c r="R489" s="797" t="e">
        <f>VLOOKUP(N489,etat!$A$9:$N$1003,9,FALSE)</f>
        <v>#N/A</v>
      </c>
      <c r="S489" s="866" t="e">
        <f>VLOOKUP(N489,etat!$A$9:$P$905,16,FALSE)</f>
        <v>#N/A</v>
      </c>
      <c r="T489" s="755"/>
      <c r="U489" s="791"/>
      <c r="V489" s="784"/>
      <c r="W489" s="784"/>
      <c r="X489" s="784"/>
      <c r="Y489" s="975"/>
      <c r="Z489" s="1022"/>
      <c r="AA489" s="967"/>
    </row>
    <row r="490" spans="12:27" ht="17.25">
      <c r="L490" s="777">
        <v>5</v>
      </c>
      <c r="M490" s="906"/>
      <c r="N490" s="976"/>
      <c r="O490" s="1020">
        <v>433</v>
      </c>
      <c r="P490" s="847" t="e">
        <f>VLOOKUP(N490,etat!$A$9:$N$1004,2,FALSE)</f>
        <v>#N/A</v>
      </c>
      <c r="Q490" s="797" t="e">
        <f>VLOOKUP(N490,etat!$A$9:$N$963,7,FALSE)</f>
        <v>#N/A</v>
      </c>
      <c r="R490" s="797" t="e">
        <f>VLOOKUP(N490,etat!$A$9:$N$1003,9,FALSE)</f>
        <v>#N/A</v>
      </c>
      <c r="S490" s="866" t="e">
        <f>VLOOKUP(N490,etat!$A$9:$P$905,16,FALSE)</f>
        <v>#N/A</v>
      </c>
      <c r="T490" s="755"/>
      <c r="U490" s="791"/>
      <c r="V490" s="784"/>
      <c r="W490" s="784"/>
      <c r="X490" s="784"/>
      <c r="Y490" s="975"/>
      <c r="Z490" s="1022"/>
      <c r="AA490" s="967"/>
    </row>
    <row r="491" spans="12:27" ht="17.25">
      <c r="L491" s="777">
        <v>5</v>
      </c>
      <c r="M491" s="906"/>
      <c r="N491" s="976"/>
      <c r="O491" s="1020">
        <v>434</v>
      </c>
      <c r="P491" s="847" t="e">
        <f>VLOOKUP(N491,etat!$A$9:$N$1004,2,FALSE)</f>
        <v>#N/A</v>
      </c>
      <c r="Q491" s="797" t="e">
        <f>VLOOKUP(N491,etat!$A$9:$N$963,7,FALSE)</f>
        <v>#N/A</v>
      </c>
      <c r="R491" s="797" t="e">
        <f>VLOOKUP(N491,etat!$A$9:$N$1003,9,FALSE)</f>
        <v>#N/A</v>
      </c>
      <c r="S491" s="866" t="e">
        <f>VLOOKUP(N491,etat!$A$9:$P$905,16,FALSE)</f>
        <v>#N/A</v>
      </c>
      <c r="T491" s="755"/>
      <c r="U491" s="791"/>
      <c r="V491" s="784"/>
      <c r="W491" s="784"/>
      <c r="X491" s="784"/>
      <c r="Y491" s="784"/>
      <c r="Z491" s="1022"/>
      <c r="AA491" s="967"/>
    </row>
    <row r="492" spans="12:27" ht="17.25">
      <c r="L492" s="777">
        <v>5</v>
      </c>
      <c r="M492" s="906"/>
      <c r="N492" s="976"/>
      <c r="O492" s="1020">
        <v>435</v>
      </c>
      <c r="P492" s="847" t="e">
        <f>VLOOKUP(N492,etat!$A$9:$N$1004,2,FALSE)</f>
        <v>#N/A</v>
      </c>
      <c r="Q492" s="797" t="e">
        <f>VLOOKUP(N492,etat!$A$9:$N$963,7,FALSE)</f>
        <v>#N/A</v>
      </c>
      <c r="R492" s="797" t="e">
        <f>VLOOKUP(N492,etat!$A$9:$N$1003,9,FALSE)</f>
        <v>#N/A</v>
      </c>
      <c r="S492" s="866" t="e">
        <f>VLOOKUP(N492,etat!$A$9:$P$905,16,FALSE)</f>
        <v>#N/A</v>
      </c>
      <c r="T492" s="755"/>
      <c r="U492" s="791"/>
      <c r="V492" s="784"/>
      <c r="W492" s="784"/>
      <c r="X492" s="784"/>
      <c r="Y492" s="784"/>
      <c r="Z492" s="1022"/>
      <c r="AA492" s="967"/>
    </row>
    <row r="493" spans="12:27" ht="17.25">
      <c r="L493" s="777">
        <v>5</v>
      </c>
      <c r="M493" s="906"/>
      <c r="N493" s="976"/>
      <c r="O493" s="1020">
        <v>436</v>
      </c>
      <c r="P493" s="847" t="e">
        <f>VLOOKUP(N493,etat!$A$9:$N$1004,2,FALSE)</f>
        <v>#N/A</v>
      </c>
      <c r="Q493" s="797" t="e">
        <f>VLOOKUP(N493,etat!$A$9:$N$963,7,FALSE)</f>
        <v>#N/A</v>
      </c>
      <c r="R493" s="797" t="e">
        <f>VLOOKUP(N493,etat!$A$9:$N$1003,9,FALSE)</f>
        <v>#N/A</v>
      </c>
      <c r="S493" s="866" t="e">
        <f>VLOOKUP(N493,etat!$A$9:$P$905,16,FALSE)</f>
        <v>#N/A</v>
      </c>
      <c r="T493" s="755"/>
      <c r="U493" s="791"/>
      <c r="V493" s="784"/>
      <c r="W493" s="943"/>
      <c r="X493" s="944"/>
      <c r="Y493" s="975"/>
      <c r="Z493" s="1022"/>
      <c r="AA493" s="967"/>
    </row>
    <row r="494" spans="12:27" ht="17.25">
      <c r="L494" s="777">
        <v>5</v>
      </c>
      <c r="M494" s="906"/>
      <c r="N494" s="976"/>
      <c r="O494" s="1020">
        <v>437</v>
      </c>
      <c r="P494" s="847" t="e">
        <f>VLOOKUP(N494,etat!$A$9:$N$1004,2,FALSE)</f>
        <v>#N/A</v>
      </c>
      <c r="Q494" s="797" t="e">
        <f>VLOOKUP(N494,etat!$A$9:$N$963,7,FALSE)</f>
        <v>#N/A</v>
      </c>
      <c r="R494" s="797" t="e">
        <f>VLOOKUP(N494,etat!$A$9:$N$1003,9,FALSE)</f>
        <v>#N/A</v>
      </c>
      <c r="S494" s="866" t="e">
        <f>VLOOKUP(N494,etat!$A$9:$P$905,16,FALSE)</f>
        <v>#N/A</v>
      </c>
      <c r="T494" s="755"/>
      <c r="U494" s="791"/>
      <c r="V494" s="784"/>
      <c r="W494" s="943"/>
      <c r="X494" s="944"/>
      <c r="Y494" s="975"/>
      <c r="Z494" s="1022"/>
      <c r="AA494" s="967"/>
    </row>
    <row r="495" spans="12:27" ht="17.25">
      <c r="L495" s="777">
        <v>5</v>
      </c>
      <c r="M495" s="906"/>
      <c r="N495" s="976"/>
      <c r="O495" s="1020">
        <v>438</v>
      </c>
      <c r="P495" s="847" t="e">
        <f>VLOOKUP(N495,etat!$A$9:$N$1004,2,FALSE)</f>
        <v>#N/A</v>
      </c>
      <c r="Q495" s="797" t="e">
        <f>VLOOKUP(N495,etat!$A$9:$N$963,7,FALSE)</f>
        <v>#N/A</v>
      </c>
      <c r="R495" s="797" t="e">
        <f>VLOOKUP(N495,etat!$A$9:$N$1003,9,FALSE)</f>
        <v>#N/A</v>
      </c>
      <c r="S495" s="866" t="e">
        <f>VLOOKUP(N495,etat!$A$9:$P$905,16,FALSE)</f>
        <v>#N/A</v>
      </c>
      <c r="T495" s="755"/>
      <c r="U495" s="791"/>
      <c r="V495" s="784"/>
      <c r="W495" s="943"/>
      <c r="X495" s="944"/>
      <c r="Y495" s="975"/>
      <c r="Z495" s="1022"/>
      <c r="AA495" s="967"/>
    </row>
    <row r="496" spans="12:27" ht="17.25">
      <c r="L496" s="777">
        <v>5</v>
      </c>
      <c r="M496" s="906"/>
      <c r="N496" s="976"/>
      <c r="O496" s="1020">
        <v>439</v>
      </c>
      <c r="P496" s="847" t="e">
        <f>VLOOKUP(N496,etat!$A$9:$N$1004,2,FALSE)</f>
        <v>#N/A</v>
      </c>
      <c r="Q496" s="797" t="e">
        <f>VLOOKUP(N496,etat!$A$9:$N$963,7,FALSE)</f>
        <v>#N/A</v>
      </c>
      <c r="R496" s="797" t="e">
        <f>VLOOKUP(N496,etat!$A$9:$N$1003,9,FALSE)</f>
        <v>#N/A</v>
      </c>
      <c r="S496" s="866" t="e">
        <f>VLOOKUP(N496,etat!$A$9:$P$905,16,FALSE)</f>
        <v>#N/A</v>
      </c>
      <c r="T496" s="755"/>
      <c r="U496" s="791"/>
      <c r="V496" s="784"/>
      <c r="W496" s="784"/>
      <c r="X496" s="784"/>
      <c r="Y496" s="975"/>
      <c r="Z496" s="1022"/>
      <c r="AA496" s="967"/>
    </row>
    <row r="497" spans="12:27" ht="17.25">
      <c r="L497" s="777">
        <v>5</v>
      </c>
      <c r="M497" s="906"/>
      <c r="N497" s="976"/>
      <c r="O497" s="1020">
        <v>440</v>
      </c>
      <c r="P497" s="847" t="e">
        <f>VLOOKUP(N497,etat!$A$9:$N$1004,2,FALSE)</f>
        <v>#N/A</v>
      </c>
      <c r="Q497" s="797" t="e">
        <f>VLOOKUP(N497,etat!$A$9:$N$963,7,FALSE)</f>
        <v>#N/A</v>
      </c>
      <c r="R497" s="797" t="e">
        <f>VLOOKUP(N497,etat!$A$9:$N$1003,9,FALSE)</f>
        <v>#N/A</v>
      </c>
      <c r="S497" s="866" t="e">
        <f>VLOOKUP(N497,etat!$A$9:$P$905,16,FALSE)</f>
        <v>#N/A</v>
      </c>
      <c r="T497" s="755"/>
      <c r="U497" s="791"/>
      <c r="V497" s="784"/>
      <c r="W497" s="784"/>
      <c r="X497" s="784"/>
      <c r="Y497" s="975"/>
      <c r="Z497" s="1022"/>
      <c r="AA497" s="967"/>
    </row>
    <row r="498" spans="12:27" ht="17.25">
      <c r="L498" s="777">
        <v>5</v>
      </c>
      <c r="M498" s="906"/>
      <c r="N498" s="976"/>
      <c r="O498" s="1020">
        <v>441</v>
      </c>
      <c r="P498" s="847" t="e">
        <f>VLOOKUP(N498,etat!$A$9:$N$1004,2,FALSE)</f>
        <v>#N/A</v>
      </c>
      <c r="Q498" s="797" t="e">
        <f>VLOOKUP(N498,etat!$A$9:$N$963,7,FALSE)</f>
        <v>#N/A</v>
      </c>
      <c r="R498" s="797" t="e">
        <f>VLOOKUP(N498,etat!$A$9:$N$1003,9,FALSE)</f>
        <v>#N/A</v>
      </c>
      <c r="S498" s="866" t="e">
        <f>VLOOKUP(N498,etat!$A$9:$P$905,16,FALSE)</f>
        <v>#N/A</v>
      </c>
      <c r="T498" s="755"/>
      <c r="U498" s="791"/>
      <c r="V498" s="784"/>
      <c r="W498" s="784"/>
      <c r="X498" s="784"/>
      <c r="Y498" s="975"/>
      <c r="Z498" s="1022"/>
      <c r="AA498" s="967"/>
    </row>
    <row r="499" spans="12:27" ht="17.25">
      <c r="L499" s="777">
        <v>5</v>
      </c>
      <c r="M499" s="906"/>
      <c r="N499" s="976"/>
      <c r="O499" s="1020">
        <v>442</v>
      </c>
      <c r="P499" s="847" t="e">
        <f>VLOOKUP(N499,etat!$A$9:$N$1004,2,FALSE)</f>
        <v>#N/A</v>
      </c>
      <c r="Q499" s="797" t="e">
        <f>VLOOKUP(N499,etat!$A$9:$N$963,7,FALSE)</f>
        <v>#N/A</v>
      </c>
      <c r="R499" s="797" t="e">
        <f>VLOOKUP(N499,etat!$A$9:$N$1003,9,FALSE)</f>
        <v>#N/A</v>
      </c>
      <c r="S499" s="866" t="e">
        <f>VLOOKUP(N499,etat!$A$9:$P$905,16,FALSE)</f>
        <v>#N/A</v>
      </c>
      <c r="T499" s="755"/>
      <c r="U499" s="791"/>
      <c r="V499" s="784"/>
      <c r="W499" s="784"/>
      <c r="X499" s="784"/>
      <c r="Y499" s="975"/>
      <c r="Z499" s="1022"/>
      <c r="AA499" s="967"/>
    </row>
    <row r="500" spans="12:27" ht="15.75">
      <c r="L500" s="777">
        <v>5</v>
      </c>
      <c r="M500" s="906"/>
      <c r="N500" s="976"/>
      <c r="O500" s="1020">
        <v>443</v>
      </c>
      <c r="P500" s="847" t="e">
        <f>VLOOKUP(N500,etat!$A$9:$N$1004,2,FALSE)</f>
        <v>#N/A</v>
      </c>
      <c r="Q500" s="797" t="e">
        <f>VLOOKUP(N500,etat!$A$9:$N$963,7,FALSE)</f>
        <v>#N/A</v>
      </c>
      <c r="R500" s="797" t="e">
        <f>VLOOKUP(N500,etat!$A$9:$N$1003,9,FALSE)</f>
        <v>#N/A</v>
      </c>
      <c r="S500" s="866" t="e">
        <f>VLOOKUP(N500,etat!$A$9:$P$905,16,FALSE)</f>
        <v>#N/A</v>
      </c>
      <c r="T500" s="755"/>
      <c r="U500" s="791"/>
      <c r="V500" s="784"/>
      <c r="W500" s="784"/>
      <c r="X500" s="784"/>
      <c r="Y500" s="784"/>
      <c r="Z500" s="784"/>
      <c r="AA500" s="967"/>
    </row>
    <row r="501" spans="12:27" ht="17.25">
      <c r="L501" s="777">
        <v>5</v>
      </c>
      <c r="M501" s="906"/>
      <c r="N501" s="976"/>
      <c r="O501" s="1020">
        <v>444</v>
      </c>
      <c r="P501" s="847" t="e">
        <f>VLOOKUP(N501,etat!$A$9:$N$1004,2,FALSE)</f>
        <v>#N/A</v>
      </c>
      <c r="Q501" s="797" t="e">
        <f>VLOOKUP(N501,etat!$A$9:$N$963,7,FALSE)</f>
        <v>#N/A</v>
      </c>
      <c r="R501" s="797" t="e">
        <f>VLOOKUP(N501,etat!$A$9:$N$1003,9,FALSE)</f>
        <v>#N/A</v>
      </c>
      <c r="S501" s="866" t="e">
        <f>VLOOKUP(N501,etat!$A$9:$P$905,16,FALSE)</f>
        <v>#N/A</v>
      </c>
      <c r="T501" s="755"/>
      <c r="U501" s="791"/>
      <c r="V501" s="784"/>
      <c r="W501" s="784"/>
      <c r="X501" s="784"/>
      <c r="Y501" s="975"/>
      <c r="Z501" s="1022"/>
      <c r="AA501" s="967"/>
    </row>
    <row r="502" spans="12:27" ht="15.75">
      <c r="L502" s="777">
        <v>5</v>
      </c>
      <c r="M502" s="906"/>
      <c r="N502" s="976"/>
      <c r="O502" s="1020">
        <v>445</v>
      </c>
      <c r="P502" s="847" t="e">
        <f>VLOOKUP(N502,etat!$A$9:$N$1004,2,FALSE)</f>
        <v>#N/A</v>
      </c>
      <c r="Q502" s="797" t="e">
        <f>VLOOKUP(N502,etat!$A$9:$N$963,7,FALSE)</f>
        <v>#N/A</v>
      </c>
      <c r="R502" s="797" t="e">
        <f>VLOOKUP(N502,etat!$A$9:$N$1003,9,FALSE)</f>
        <v>#N/A</v>
      </c>
      <c r="S502" s="866" t="e">
        <f>VLOOKUP(N502,etat!$A$9:$P$905,16,FALSE)</f>
        <v>#N/A</v>
      </c>
      <c r="T502" s="755"/>
      <c r="U502" s="791"/>
      <c r="V502" s="784"/>
      <c r="W502" s="784"/>
      <c r="X502" s="784"/>
      <c r="Y502" s="975"/>
      <c r="Z502" s="784"/>
      <c r="AA502" s="967"/>
    </row>
    <row r="503" spans="12:27" ht="15.75">
      <c r="L503" s="777">
        <v>5</v>
      </c>
      <c r="M503" s="906"/>
      <c r="N503" s="976"/>
      <c r="O503" s="1020">
        <v>446</v>
      </c>
      <c r="P503" s="847" t="e">
        <f>VLOOKUP(N503,etat!$A$9:$N$1004,2,FALSE)</f>
        <v>#N/A</v>
      </c>
      <c r="Q503" s="797" t="e">
        <f>VLOOKUP(N503,etat!$A$9:$N$963,7,FALSE)</f>
        <v>#N/A</v>
      </c>
      <c r="R503" s="797" t="e">
        <f>VLOOKUP(N503,etat!$A$9:$N$1003,9,FALSE)</f>
        <v>#N/A</v>
      </c>
      <c r="S503" s="866" t="e">
        <f>VLOOKUP(N503,etat!$A$9:$P$905,16,FALSE)</f>
        <v>#N/A</v>
      </c>
      <c r="T503" s="755"/>
      <c r="U503" s="791"/>
      <c r="V503" s="784"/>
      <c r="W503" s="784"/>
      <c r="X503" s="784"/>
      <c r="Y503" s="784"/>
      <c r="Z503" s="784"/>
      <c r="AA503" s="967"/>
    </row>
    <row r="504" spans="12:27" ht="17.25">
      <c r="L504" s="777">
        <v>5</v>
      </c>
      <c r="M504" s="906"/>
      <c r="N504" s="976"/>
      <c r="O504" s="1020">
        <v>447</v>
      </c>
      <c r="P504" s="847" t="e">
        <f>VLOOKUP(N504,etat!$A$9:$N$1004,2,FALSE)</f>
        <v>#N/A</v>
      </c>
      <c r="Q504" s="797" t="e">
        <f>VLOOKUP(N504,etat!$A$9:$N$963,7,FALSE)</f>
        <v>#N/A</v>
      </c>
      <c r="R504" s="797" t="e">
        <f>VLOOKUP(N504,etat!$A$9:$N$1003,9,FALSE)</f>
        <v>#N/A</v>
      </c>
      <c r="S504" s="866" t="e">
        <f>VLOOKUP(N504,etat!$A$9:$P$905,16,FALSE)</f>
        <v>#N/A</v>
      </c>
      <c r="T504" s="755"/>
      <c r="U504" s="791"/>
      <c r="V504" s="784"/>
      <c r="W504" s="784"/>
      <c r="X504" s="784"/>
      <c r="Y504" s="975"/>
      <c r="Z504" s="1022"/>
      <c r="AA504" s="967"/>
    </row>
    <row r="505" spans="12:27" ht="17.25">
      <c r="L505" s="777">
        <v>5</v>
      </c>
      <c r="M505" s="906"/>
      <c r="N505" s="976"/>
      <c r="O505" s="1020">
        <v>448</v>
      </c>
      <c r="P505" s="847" t="e">
        <f>VLOOKUP(N505,etat!$A$9:$N$1004,2,FALSE)</f>
        <v>#N/A</v>
      </c>
      <c r="Q505" s="797" t="e">
        <f>VLOOKUP(N505,etat!$A$9:$N$963,7,FALSE)</f>
        <v>#N/A</v>
      </c>
      <c r="R505" s="797" t="e">
        <f>VLOOKUP(N505,etat!$A$9:$N$1003,9,FALSE)</f>
        <v>#N/A</v>
      </c>
      <c r="S505" s="866" t="e">
        <f>VLOOKUP(N505,etat!$A$9:$P$905,16,FALSE)</f>
        <v>#N/A</v>
      </c>
      <c r="T505" s="755"/>
      <c r="U505" s="791"/>
      <c r="V505" s="784"/>
      <c r="W505" s="784"/>
      <c r="X505" s="784"/>
      <c r="Y505" s="975"/>
      <c r="Z505" s="1022"/>
      <c r="AA505" s="967"/>
    </row>
    <row r="506" spans="12:27" ht="17.25">
      <c r="L506" s="777">
        <v>5</v>
      </c>
      <c r="M506" s="906"/>
      <c r="N506" s="976"/>
      <c r="O506" s="1020">
        <v>449</v>
      </c>
      <c r="P506" s="847" t="e">
        <f>VLOOKUP(N506,etat!$A$9:$N$1004,2,FALSE)</f>
        <v>#N/A</v>
      </c>
      <c r="Q506" s="797" t="e">
        <f>VLOOKUP(N506,etat!$A$9:$N$963,7,FALSE)</f>
        <v>#N/A</v>
      </c>
      <c r="R506" s="797" t="e">
        <f>VLOOKUP(N506,etat!$A$9:$N$1003,9,FALSE)</f>
        <v>#N/A</v>
      </c>
      <c r="S506" s="866" t="e">
        <f>VLOOKUP(N506,etat!$A$9:$P$905,16,FALSE)</f>
        <v>#N/A</v>
      </c>
      <c r="T506" s="755"/>
      <c r="U506" s="791"/>
      <c r="V506" s="784"/>
      <c r="W506" s="784"/>
      <c r="X506" s="784"/>
      <c r="Y506" s="975"/>
      <c r="Z506" s="1022"/>
      <c r="AA506" s="967"/>
    </row>
    <row r="507" spans="12:27" ht="17.25">
      <c r="L507" s="777">
        <v>5</v>
      </c>
      <c r="M507" s="906"/>
      <c r="N507" s="976"/>
      <c r="O507" s="1020">
        <v>450</v>
      </c>
      <c r="P507" s="847" t="e">
        <f>VLOOKUP(N507,etat!$A$9:$N$1004,2,FALSE)</f>
        <v>#N/A</v>
      </c>
      <c r="Q507" s="797" t="e">
        <f>VLOOKUP(N507,etat!$A$9:$N$963,7,FALSE)</f>
        <v>#N/A</v>
      </c>
      <c r="R507" s="797" t="e">
        <f>VLOOKUP(N507,etat!$A$9:$N$1003,9,FALSE)</f>
        <v>#N/A</v>
      </c>
      <c r="S507" s="866" t="e">
        <f>VLOOKUP(N507,etat!$A$9:$P$905,16,FALSE)</f>
        <v>#N/A</v>
      </c>
      <c r="T507" s="755"/>
      <c r="U507" s="791"/>
      <c r="V507" s="784"/>
      <c r="W507" s="784"/>
      <c r="X507" s="848"/>
      <c r="Y507" s="975"/>
      <c r="Z507" s="1022"/>
      <c r="AA507" s="967"/>
    </row>
    <row r="508" spans="12:27" ht="17.25">
      <c r="L508" s="777">
        <v>5</v>
      </c>
      <c r="M508" s="906"/>
      <c r="N508" s="976"/>
      <c r="O508" s="1020">
        <v>451</v>
      </c>
      <c r="P508" s="847" t="e">
        <f>VLOOKUP(N508,etat!$A$9:$N$1004,2,FALSE)</f>
        <v>#N/A</v>
      </c>
      <c r="Q508" s="797" t="e">
        <f>VLOOKUP(N508,etat!$A$9:$N$963,7,FALSE)</f>
        <v>#N/A</v>
      </c>
      <c r="R508" s="797" t="e">
        <f>VLOOKUP(N508,etat!$A$9:$N$1003,9,FALSE)</f>
        <v>#N/A</v>
      </c>
      <c r="S508" s="866" t="e">
        <f>VLOOKUP(N508,etat!$A$9:$P$905,16,FALSE)</f>
        <v>#N/A</v>
      </c>
      <c r="T508" s="755"/>
      <c r="U508" s="791"/>
      <c r="V508" s="784"/>
      <c r="W508" s="784"/>
      <c r="X508" s="848"/>
      <c r="Y508" s="975"/>
      <c r="Z508" s="1022"/>
      <c r="AA508" s="967"/>
    </row>
    <row r="509" spans="12:27" ht="17.25">
      <c r="L509" s="777">
        <v>5</v>
      </c>
      <c r="M509" s="906"/>
      <c r="N509" s="976"/>
      <c r="O509" s="1020">
        <v>452</v>
      </c>
      <c r="P509" s="847" t="e">
        <f>VLOOKUP(N509,etat!$A$9:$N$1004,2,FALSE)</f>
        <v>#N/A</v>
      </c>
      <c r="Q509" s="797" t="e">
        <f>VLOOKUP(N509,etat!$A$9:$N$963,7,FALSE)</f>
        <v>#N/A</v>
      </c>
      <c r="R509" s="797" t="e">
        <f>VLOOKUP(N509,etat!$A$9:$N$1003,9,FALSE)</f>
        <v>#N/A</v>
      </c>
      <c r="S509" s="866" t="e">
        <f>VLOOKUP(N509,etat!$A$9:$P$905,16,FALSE)</f>
        <v>#N/A</v>
      </c>
      <c r="T509" s="755"/>
      <c r="U509" s="791"/>
      <c r="V509" s="784"/>
      <c r="W509" s="784"/>
      <c r="X509" s="848"/>
      <c r="Y509" s="975"/>
      <c r="Z509" s="1022"/>
      <c r="AA509" s="967"/>
    </row>
    <row r="510" spans="12:27" ht="17.25">
      <c r="L510" s="777">
        <v>5</v>
      </c>
      <c r="M510" s="906"/>
      <c r="N510" s="976"/>
      <c r="O510" s="1020">
        <v>453</v>
      </c>
      <c r="P510" s="847" t="e">
        <f>VLOOKUP(N510,etat!$A$9:$N$1004,2,FALSE)</f>
        <v>#N/A</v>
      </c>
      <c r="Q510" s="797" t="e">
        <f>VLOOKUP(N510,etat!$A$9:$N$963,7,FALSE)</f>
        <v>#N/A</v>
      </c>
      <c r="R510" s="797" t="e">
        <f>VLOOKUP(N510,etat!$A$9:$N$1003,9,FALSE)</f>
        <v>#N/A</v>
      </c>
      <c r="S510" s="866" t="e">
        <f>VLOOKUP(N510,etat!$A$9:$P$905,16,FALSE)</f>
        <v>#N/A</v>
      </c>
      <c r="T510" s="755"/>
      <c r="U510" s="791"/>
      <c r="V510" s="784"/>
      <c r="W510" s="784"/>
      <c r="X510" s="784"/>
      <c r="Y510" s="975"/>
      <c r="Z510" s="1022"/>
      <c r="AA510" s="967"/>
    </row>
    <row r="511" spans="12:27" ht="17.25">
      <c r="L511" s="777">
        <v>5</v>
      </c>
      <c r="M511" s="906"/>
      <c r="N511" s="976"/>
      <c r="O511" s="1020">
        <v>454</v>
      </c>
      <c r="P511" s="847" t="e">
        <f>VLOOKUP(N511,etat!$A$9:$N$1004,2,FALSE)</f>
        <v>#N/A</v>
      </c>
      <c r="Q511" s="797" t="e">
        <f>VLOOKUP(N511,etat!$A$9:$N$963,7,FALSE)</f>
        <v>#N/A</v>
      </c>
      <c r="R511" s="797" t="e">
        <f>VLOOKUP(N511,etat!$A$9:$N$1003,9,FALSE)</f>
        <v>#N/A</v>
      </c>
      <c r="S511" s="866" t="e">
        <f>VLOOKUP(N511,etat!$A$9:$P$905,16,FALSE)</f>
        <v>#N/A</v>
      </c>
      <c r="T511" s="755"/>
      <c r="U511" s="791"/>
      <c r="V511" s="784"/>
      <c r="W511" s="784"/>
      <c r="X511" s="784"/>
      <c r="Y511" s="975"/>
      <c r="Z511" s="1022"/>
      <c r="AA511" s="967"/>
    </row>
    <row r="512" spans="12:27" ht="17.25">
      <c r="L512" s="777">
        <v>5</v>
      </c>
      <c r="M512" s="906"/>
      <c r="N512" s="976"/>
      <c r="O512" s="1020">
        <v>455</v>
      </c>
      <c r="P512" s="847" t="e">
        <f>VLOOKUP(N512,etat!$A$9:$N$1004,2,FALSE)</f>
        <v>#N/A</v>
      </c>
      <c r="Q512" s="797" t="e">
        <f>VLOOKUP(N512,etat!$A$9:$N$963,7,FALSE)</f>
        <v>#N/A</v>
      </c>
      <c r="R512" s="797" t="e">
        <f>VLOOKUP(N512,etat!$A$9:$N$1003,9,FALSE)</f>
        <v>#N/A</v>
      </c>
      <c r="S512" s="866" t="e">
        <f>VLOOKUP(N512,etat!$A$9:$P$905,16,FALSE)</f>
        <v>#N/A</v>
      </c>
      <c r="T512" s="755"/>
      <c r="U512" s="791"/>
      <c r="V512" s="784"/>
      <c r="W512" s="784"/>
      <c r="X512" s="784"/>
      <c r="Y512" s="975"/>
      <c r="Z512" s="1022"/>
      <c r="AA512" s="967"/>
    </row>
    <row r="513" spans="12:27" ht="17.25">
      <c r="L513" s="777">
        <v>5</v>
      </c>
      <c r="M513" s="906"/>
      <c r="N513" s="976"/>
      <c r="O513" s="1020">
        <v>456</v>
      </c>
      <c r="P513" s="847" t="e">
        <f>VLOOKUP(N513,etat!$A$9:$N$1004,2,FALSE)</f>
        <v>#N/A</v>
      </c>
      <c r="Q513" s="797" t="e">
        <f>VLOOKUP(N513,etat!$A$9:$N$963,7,FALSE)</f>
        <v>#N/A</v>
      </c>
      <c r="R513" s="797" t="e">
        <f>VLOOKUP(N513,etat!$A$9:$N$1003,9,FALSE)</f>
        <v>#N/A</v>
      </c>
      <c r="S513" s="866" t="e">
        <f>VLOOKUP(N513,etat!$A$9:$P$905,16,FALSE)</f>
        <v>#N/A</v>
      </c>
      <c r="T513" s="755"/>
      <c r="U513" s="791"/>
      <c r="V513" s="784"/>
      <c r="W513" s="784"/>
      <c r="X513" s="784"/>
      <c r="Y513" s="975"/>
      <c r="Z513" s="1022"/>
      <c r="AA513" s="967"/>
    </row>
    <row r="514" spans="12:27" ht="15.75">
      <c r="L514" s="777">
        <v>5</v>
      </c>
      <c r="M514" s="906"/>
      <c r="N514" s="976"/>
      <c r="O514" s="1020">
        <v>457</v>
      </c>
      <c r="P514" s="847" t="e">
        <f>VLOOKUP(N514,etat!$A$9:$N$1004,2,FALSE)</f>
        <v>#N/A</v>
      </c>
      <c r="Q514" s="797" t="e">
        <f>VLOOKUP(N514,etat!$A$9:$N$963,7,FALSE)</f>
        <v>#N/A</v>
      </c>
      <c r="R514" s="797" t="e">
        <f>VLOOKUP(N514,etat!$A$9:$N$1003,9,FALSE)</f>
        <v>#N/A</v>
      </c>
      <c r="S514" s="866" t="e">
        <f>VLOOKUP(N514,etat!$A$9:$P$905,16,FALSE)</f>
        <v>#N/A</v>
      </c>
      <c r="T514" s="755"/>
      <c r="U514" s="791"/>
      <c r="V514" s="784"/>
      <c r="W514" s="784"/>
      <c r="X514" s="784"/>
      <c r="Y514" s="784"/>
      <c r="Z514" s="784"/>
      <c r="AA514" s="967"/>
    </row>
    <row r="515" spans="12:27" ht="17.25">
      <c r="L515" s="777">
        <v>5</v>
      </c>
      <c r="M515" s="906"/>
      <c r="N515" s="976"/>
      <c r="O515" s="1020">
        <v>458</v>
      </c>
      <c r="P515" s="847" t="e">
        <f>VLOOKUP(N515,etat!$A$9:$N$1004,2,FALSE)</f>
        <v>#N/A</v>
      </c>
      <c r="Q515" s="797" t="e">
        <f>VLOOKUP(N515,etat!$A$9:$N$963,7,FALSE)</f>
        <v>#N/A</v>
      </c>
      <c r="R515" s="797" t="e">
        <f>VLOOKUP(N515,etat!$A$9:$N$1003,9,FALSE)</f>
        <v>#N/A</v>
      </c>
      <c r="S515" s="866" t="e">
        <f>VLOOKUP(N515,etat!$A$9:$P$905,16,FALSE)</f>
        <v>#N/A</v>
      </c>
      <c r="T515" s="755"/>
      <c r="U515" s="791"/>
      <c r="V515" s="784"/>
      <c r="W515" s="784"/>
      <c r="X515" s="848"/>
      <c r="Y515" s="975"/>
      <c r="Z515" s="1022"/>
      <c r="AA515" s="967"/>
    </row>
    <row r="516" spans="12:27" ht="17.25">
      <c r="L516" s="777">
        <v>5</v>
      </c>
      <c r="M516" s="906"/>
      <c r="N516" s="976"/>
      <c r="O516" s="1020">
        <v>459</v>
      </c>
      <c r="P516" s="847" t="e">
        <f>VLOOKUP(N516,etat!$A$9:$N$1004,2,FALSE)</f>
        <v>#N/A</v>
      </c>
      <c r="Q516" s="797" t="e">
        <f>VLOOKUP(N516,etat!$A$9:$N$963,7,FALSE)</f>
        <v>#N/A</v>
      </c>
      <c r="R516" s="797" t="e">
        <f>VLOOKUP(N516,etat!$A$9:$N$1003,9,FALSE)</f>
        <v>#N/A</v>
      </c>
      <c r="S516" s="866" t="e">
        <f>VLOOKUP(N516,etat!$A$9:$P$905,16,FALSE)</f>
        <v>#N/A</v>
      </c>
      <c r="T516" s="755"/>
      <c r="U516" s="791"/>
      <c r="V516" s="784"/>
      <c r="W516" s="784"/>
      <c r="X516" s="848"/>
      <c r="Y516" s="975"/>
      <c r="Z516" s="1022"/>
      <c r="AA516" s="967"/>
    </row>
    <row r="517" spans="12:27" ht="17.25">
      <c r="L517" s="777">
        <v>5</v>
      </c>
      <c r="M517" s="906"/>
      <c r="N517" s="976"/>
      <c r="O517" s="1020">
        <v>460</v>
      </c>
      <c r="P517" s="847" t="e">
        <f>VLOOKUP(N517,etat!$A$9:$N$1004,2,FALSE)</f>
        <v>#N/A</v>
      </c>
      <c r="Q517" s="797" t="e">
        <f>VLOOKUP(N517,etat!$A$9:$N$963,7,FALSE)</f>
        <v>#N/A</v>
      </c>
      <c r="R517" s="797" t="e">
        <f>VLOOKUP(N517,etat!$A$9:$N$1003,9,FALSE)</f>
        <v>#N/A</v>
      </c>
      <c r="S517" s="866" t="e">
        <f>VLOOKUP(N517,etat!$A$9:$P$905,16,FALSE)</f>
        <v>#N/A</v>
      </c>
      <c r="T517" s="755"/>
      <c r="U517" s="791"/>
      <c r="V517" s="784"/>
      <c r="W517" s="784"/>
      <c r="X517" s="784"/>
      <c r="Y517" s="975"/>
      <c r="Z517" s="1022"/>
      <c r="AA517" s="967"/>
    </row>
    <row r="518" spans="12:27" ht="17.25">
      <c r="L518" s="777">
        <v>5</v>
      </c>
      <c r="M518" s="906"/>
      <c r="N518" s="976"/>
      <c r="O518" s="1020">
        <v>461</v>
      </c>
      <c r="P518" s="847" t="e">
        <f>VLOOKUP(N518,etat!$A$9:$N$1004,2,FALSE)</f>
        <v>#N/A</v>
      </c>
      <c r="Q518" s="797" t="e">
        <f>VLOOKUP(N518,etat!$A$9:$N$963,7,FALSE)</f>
        <v>#N/A</v>
      </c>
      <c r="R518" s="797" t="e">
        <f>VLOOKUP(N518,etat!$A$9:$N$1003,9,FALSE)</f>
        <v>#N/A</v>
      </c>
      <c r="S518" s="866" t="e">
        <f>VLOOKUP(N518,etat!$A$9:$P$905,16,FALSE)</f>
        <v>#N/A</v>
      </c>
      <c r="T518" s="755"/>
      <c r="U518" s="791"/>
      <c r="V518" s="784"/>
      <c r="W518" s="784"/>
      <c r="X518" s="848"/>
      <c r="Y518" s="975"/>
      <c r="Z518" s="1022"/>
      <c r="AA518" s="967"/>
    </row>
    <row r="519" spans="12:27" ht="17.25">
      <c r="L519" s="777">
        <v>5</v>
      </c>
      <c r="M519" s="906"/>
      <c r="N519" s="976"/>
      <c r="O519" s="1020">
        <v>462</v>
      </c>
      <c r="P519" s="847" t="e">
        <f>VLOOKUP(N519,etat!$A$9:$N$1004,2,FALSE)</f>
        <v>#N/A</v>
      </c>
      <c r="Q519" s="797" t="e">
        <f>VLOOKUP(N519,etat!$A$9:$N$963,7,FALSE)</f>
        <v>#N/A</v>
      </c>
      <c r="R519" s="797" t="e">
        <f>VLOOKUP(N519,etat!$A$9:$N$1003,9,FALSE)</f>
        <v>#N/A</v>
      </c>
      <c r="S519" s="866" t="e">
        <f>VLOOKUP(N519,etat!$A$9:$P$905,16,FALSE)</f>
        <v>#N/A</v>
      </c>
      <c r="T519" s="755"/>
      <c r="U519" s="791"/>
      <c r="V519" s="784"/>
      <c r="W519" s="784"/>
      <c r="X519" s="848"/>
      <c r="Y519" s="975"/>
      <c r="Z519" s="1022"/>
      <c r="AA519" s="967"/>
    </row>
    <row r="520" spans="12:27" ht="17.25">
      <c r="L520" s="777">
        <v>5</v>
      </c>
      <c r="M520" s="906"/>
      <c r="N520" s="976"/>
      <c r="O520" s="1020">
        <v>463</v>
      </c>
      <c r="P520" s="847" t="e">
        <f>VLOOKUP(N520,etat!$A$9:$N$1004,2,FALSE)</f>
        <v>#N/A</v>
      </c>
      <c r="Q520" s="797" t="e">
        <f>VLOOKUP(N520,etat!$A$9:$N$963,7,FALSE)</f>
        <v>#N/A</v>
      </c>
      <c r="R520" s="797" t="e">
        <f>VLOOKUP(N520,etat!$A$9:$N$1003,9,FALSE)</f>
        <v>#N/A</v>
      </c>
      <c r="S520" s="866" t="e">
        <f>VLOOKUP(N520,etat!$A$9:$P$905,16,FALSE)</f>
        <v>#N/A</v>
      </c>
      <c r="T520" s="755"/>
      <c r="U520" s="791"/>
      <c r="V520" s="784"/>
      <c r="W520" s="784"/>
      <c r="X520" s="848"/>
      <c r="Y520" s="975"/>
      <c r="Z520" s="1022"/>
      <c r="AA520" s="967"/>
    </row>
    <row r="521" spans="12:27" ht="17.25">
      <c r="L521" s="777">
        <v>5</v>
      </c>
      <c r="M521" s="906"/>
      <c r="N521" s="976"/>
      <c r="O521" s="1020">
        <v>464</v>
      </c>
      <c r="P521" s="847" t="e">
        <f>VLOOKUP(N521,etat!$A$9:$N$1004,2,FALSE)</f>
        <v>#N/A</v>
      </c>
      <c r="Q521" s="797" t="e">
        <f>VLOOKUP(N521,etat!$A$9:$N$963,7,FALSE)</f>
        <v>#N/A</v>
      </c>
      <c r="R521" s="797" t="e">
        <f>VLOOKUP(N521,etat!$A$9:$N$1003,9,FALSE)</f>
        <v>#N/A</v>
      </c>
      <c r="S521" s="866" t="e">
        <f>VLOOKUP(N521,etat!$A$9:$P$905,16,FALSE)</f>
        <v>#N/A</v>
      </c>
      <c r="T521" s="755"/>
      <c r="U521" s="791"/>
      <c r="V521" s="784"/>
      <c r="W521" s="784"/>
      <c r="X521" s="784"/>
      <c r="Y521" s="975"/>
      <c r="Z521" s="1022"/>
      <c r="AA521" s="967"/>
    </row>
    <row r="522" spans="12:27" ht="17.25">
      <c r="L522" s="777">
        <v>5</v>
      </c>
      <c r="M522" s="906"/>
      <c r="N522" s="976"/>
      <c r="O522" s="1020">
        <v>465</v>
      </c>
      <c r="P522" s="847" t="e">
        <f>VLOOKUP(N522,etat!$A$9:$N$1004,2,FALSE)</f>
        <v>#N/A</v>
      </c>
      <c r="Q522" s="797" t="e">
        <f>VLOOKUP(N522,etat!$A$9:$N$963,7,FALSE)</f>
        <v>#N/A</v>
      </c>
      <c r="R522" s="797" t="e">
        <f>VLOOKUP(N522,etat!$A$9:$N$1003,9,FALSE)</f>
        <v>#N/A</v>
      </c>
      <c r="S522" s="866" t="e">
        <f>VLOOKUP(N522,etat!$A$9:$P$905,16,FALSE)</f>
        <v>#N/A</v>
      </c>
      <c r="T522" s="755"/>
      <c r="U522" s="791"/>
      <c r="V522" s="784"/>
      <c r="W522" s="784"/>
      <c r="X522" s="784"/>
      <c r="Y522" s="975"/>
      <c r="Z522" s="1022"/>
      <c r="AA522" s="967"/>
    </row>
    <row r="523" spans="12:27" ht="17.25">
      <c r="L523" s="777">
        <v>5</v>
      </c>
      <c r="M523" s="906"/>
      <c r="N523" s="976"/>
      <c r="O523" s="1020">
        <v>466</v>
      </c>
      <c r="P523" s="847" t="e">
        <f>VLOOKUP(N523,etat!$A$9:$N$1004,2,FALSE)</f>
        <v>#N/A</v>
      </c>
      <c r="Q523" s="797" t="e">
        <f>VLOOKUP(N523,etat!$A$9:$N$963,7,FALSE)</f>
        <v>#N/A</v>
      </c>
      <c r="R523" s="797" t="e">
        <f>VLOOKUP(N523,etat!$A$9:$N$1003,9,FALSE)</f>
        <v>#N/A</v>
      </c>
      <c r="S523" s="866" t="e">
        <f>VLOOKUP(N523,etat!$A$9:$P$905,16,FALSE)</f>
        <v>#N/A</v>
      </c>
      <c r="T523" s="755"/>
      <c r="U523" s="791"/>
      <c r="V523" s="784"/>
      <c r="W523" s="784"/>
      <c r="X523" s="784"/>
      <c r="Y523" s="975"/>
      <c r="Z523" s="1022"/>
      <c r="AA523" s="967"/>
    </row>
    <row r="524" spans="12:27" ht="17.25">
      <c r="L524" s="777">
        <v>5</v>
      </c>
      <c r="M524" s="906"/>
      <c r="N524" s="976"/>
      <c r="O524" s="1020">
        <v>467</v>
      </c>
      <c r="P524" s="847" t="e">
        <f>VLOOKUP(N524,etat!$A$9:$N$1004,2,FALSE)</f>
        <v>#N/A</v>
      </c>
      <c r="Q524" s="797" t="e">
        <f>VLOOKUP(N524,etat!$A$9:$N$963,7,FALSE)</f>
        <v>#N/A</v>
      </c>
      <c r="R524" s="797" t="e">
        <f>VLOOKUP(N524,etat!$A$9:$N$1003,9,FALSE)</f>
        <v>#N/A</v>
      </c>
      <c r="S524" s="866" t="e">
        <f>VLOOKUP(N524,etat!$A$9:$P$905,16,FALSE)</f>
        <v>#N/A</v>
      </c>
      <c r="T524" s="755"/>
      <c r="U524" s="791"/>
      <c r="V524" s="784"/>
      <c r="W524" s="784"/>
      <c r="X524" s="784"/>
      <c r="Y524" s="975"/>
      <c r="Z524" s="1022"/>
      <c r="AA524" s="967"/>
    </row>
    <row r="525" spans="12:27" ht="15.75">
      <c r="L525" s="777">
        <v>5</v>
      </c>
      <c r="M525" s="906"/>
      <c r="N525" s="976"/>
      <c r="O525" s="1020">
        <v>468</v>
      </c>
      <c r="P525" s="847" t="e">
        <f>VLOOKUP(N525,etat!$A$9:$N$1004,2,FALSE)</f>
        <v>#N/A</v>
      </c>
      <c r="Q525" s="797" t="e">
        <f>VLOOKUP(N525,etat!$A$9:$N$963,7,FALSE)</f>
        <v>#N/A</v>
      </c>
      <c r="R525" s="797" t="e">
        <f>VLOOKUP(N525,etat!$A$9:$N$1003,9,FALSE)</f>
        <v>#N/A</v>
      </c>
      <c r="S525" s="866" t="e">
        <f>VLOOKUP(N525,etat!$A$9:$P$905,16,FALSE)</f>
        <v>#N/A</v>
      </c>
      <c r="T525" s="755"/>
      <c r="U525" s="791"/>
      <c r="V525" s="784"/>
      <c r="W525" s="784"/>
      <c r="X525" s="784"/>
      <c r="Y525" s="784"/>
      <c r="Z525" s="784"/>
      <c r="AA525" s="967"/>
    </row>
    <row r="526" spans="12:27" ht="17.25">
      <c r="L526" s="777">
        <v>5</v>
      </c>
      <c r="M526" s="906"/>
      <c r="N526" s="976"/>
      <c r="O526" s="1020">
        <v>469</v>
      </c>
      <c r="P526" s="847" t="e">
        <f>VLOOKUP(N526,etat!$A$9:$N$1004,2,FALSE)</f>
        <v>#N/A</v>
      </c>
      <c r="Q526" s="797" t="e">
        <f>VLOOKUP(N526,etat!$A$9:$N$963,7,FALSE)</f>
        <v>#N/A</v>
      </c>
      <c r="R526" s="797" t="e">
        <f>VLOOKUP(N526,etat!$A$9:$N$1003,9,FALSE)</f>
        <v>#N/A</v>
      </c>
      <c r="S526" s="866" t="e">
        <f>VLOOKUP(N526,etat!$A$9:$P$905,16,FALSE)</f>
        <v>#N/A</v>
      </c>
      <c r="T526" s="755"/>
      <c r="U526" s="791"/>
      <c r="V526" s="784"/>
      <c r="W526" s="784"/>
      <c r="X526" s="848"/>
      <c r="Y526" s="975"/>
      <c r="Z526" s="1022"/>
      <c r="AA526" s="967"/>
    </row>
    <row r="527" spans="12:27" ht="17.25">
      <c r="L527" s="777">
        <v>5</v>
      </c>
      <c r="M527" s="906"/>
      <c r="N527" s="976"/>
      <c r="O527" s="1020">
        <v>470</v>
      </c>
      <c r="P527" s="847" t="e">
        <f>VLOOKUP(N527,etat!$A$9:$N$1004,2,FALSE)</f>
        <v>#N/A</v>
      </c>
      <c r="Q527" s="797" t="e">
        <f>VLOOKUP(N527,etat!$A$9:$N$963,7,FALSE)</f>
        <v>#N/A</v>
      </c>
      <c r="R527" s="797" t="e">
        <f>VLOOKUP(N527,etat!$A$9:$N$1003,9,FALSE)</f>
        <v>#N/A</v>
      </c>
      <c r="S527" s="866" t="e">
        <f>VLOOKUP(N527,etat!$A$9:$P$905,16,FALSE)</f>
        <v>#N/A</v>
      </c>
      <c r="T527" s="755"/>
      <c r="U527" s="791"/>
      <c r="V527" s="784"/>
      <c r="W527" s="784"/>
      <c r="X527" s="848"/>
      <c r="Y527" s="975"/>
      <c r="Z527" s="1022"/>
      <c r="AA527" s="967"/>
    </row>
    <row r="528" spans="12:27" ht="17.25">
      <c r="L528" s="777">
        <v>5</v>
      </c>
      <c r="M528" s="906"/>
      <c r="N528" s="976"/>
      <c r="O528" s="1020">
        <v>471</v>
      </c>
      <c r="P528" s="847" t="e">
        <f>VLOOKUP(N528,etat!$A$9:$N$1004,2,FALSE)</f>
        <v>#N/A</v>
      </c>
      <c r="Q528" s="797" t="e">
        <f>VLOOKUP(N528,etat!$A$9:$N$963,7,FALSE)</f>
        <v>#N/A</v>
      </c>
      <c r="R528" s="797" t="e">
        <f>VLOOKUP(N528,etat!$A$9:$N$1003,9,FALSE)</f>
        <v>#N/A</v>
      </c>
      <c r="S528" s="866" t="e">
        <f>VLOOKUP(N528,etat!$A$9:$P$905,16,FALSE)</f>
        <v>#N/A</v>
      </c>
      <c r="T528" s="755"/>
      <c r="U528" s="791"/>
      <c r="V528" s="784"/>
      <c r="W528" s="755"/>
      <c r="X528" s="784"/>
      <c r="Y528" s="975"/>
      <c r="Z528" s="1022"/>
      <c r="AA528" s="967"/>
    </row>
    <row r="529" spans="12:27" ht="15.75">
      <c r="L529" s="777">
        <v>5</v>
      </c>
      <c r="M529" s="906"/>
      <c r="N529" s="976"/>
      <c r="O529" s="1020">
        <v>472</v>
      </c>
      <c r="P529" s="847" t="e">
        <f>VLOOKUP(N529,etat!$A$9:$N$1004,2,FALSE)</f>
        <v>#N/A</v>
      </c>
      <c r="Q529" s="797" t="e">
        <f>VLOOKUP(N529,etat!$A$9:$N$963,7,FALSE)</f>
        <v>#N/A</v>
      </c>
      <c r="R529" s="797" t="e">
        <f>VLOOKUP(N529,etat!$A$9:$N$1003,9,FALSE)</f>
        <v>#N/A</v>
      </c>
      <c r="S529" s="866" t="e">
        <f>VLOOKUP(N529,etat!$A$9:$P$905,16,FALSE)</f>
        <v>#N/A</v>
      </c>
      <c r="T529" s="755"/>
      <c r="U529" s="791"/>
      <c r="V529" s="784"/>
      <c r="W529" s="784"/>
      <c r="X529" s="784"/>
      <c r="Y529" s="784"/>
      <c r="Z529" s="784"/>
      <c r="AA529" s="967"/>
    </row>
    <row r="530" spans="12:27" ht="18.75">
      <c r="L530" s="777">
        <v>5</v>
      </c>
      <c r="M530" s="906"/>
      <c r="N530" s="976"/>
      <c r="O530" s="1020">
        <v>473</v>
      </c>
      <c r="P530" s="847" t="e">
        <f>VLOOKUP(N530,etat!$A$9:$N$1004,2,FALSE)</f>
        <v>#N/A</v>
      </c>
      <c r="Q530" s="797" t="e">
        <f>VLOOKUP(N530,etat!$A$9:$N$963,7,FALSE)</f>
        <v>#N/A</v>
      </c>
      <c r="R530" s="954" t="e">
        <f>VLOOKUP(N530,etat!$A$9:$N$1003,9,FALSE)</f>
        <v>#N/A</v>
      </c>
      <c r="S530" s="866" t="e">
        <f>VLOOKUP(N530,etat!$A$9:$P$905,16,FALSE)</f>
        <v>#N/A</v>
      </c>
      <c r="T530" s="755"/>
      <c r="U530" s="791"/>
      <c r="V530" s="784"/>
      <c r="W530" s="784"/>
      <c r="X530" s="784"/>
      <c r="Y530" s="975"/>
      <c r="Z530" s="1022"/>
      <c r="AA530" s="967"/>
    </row>
    <row r="531" spans="12:27" ht="15.75">
      <c r="L531" s="777">
        <v>5</v>
      </c>
      <c r="M531" s="906"/>
      <c r="N531" s="976">
        <v>0</v>
      </c>
      <c r="O531" s="1020">
        <v>474</v>
      </c>
      <c r="P531" s="865" t="e">
        <f>VLOOKUP(N531,etat!$A$9:$N$1004,2,FALSE)</f>
        <v>#N/A</v>
      </c>
      <c r="Q531" s="866" t="e">
        <f>VLOOKUP(N531,etat!$A$9:$N$963,7,FALSE)</f>
        <v>#N/A</v>
      </c>
      <c r="R531" s="866" t="e">
        <f>VLOOKUP(N531,etat!$A$9:$N$1003,9,FALSE)</f>
        <v>#N/A</v>
      </c>
      <c r="S531" s="866" t="e">
        <f>VLOOKUP(N531,etat!$A$9:$P$905,16,FALSE)</f>
        <v>#N/A</v>
      </c>
      <c r="T531" s="867"/>
      <c r="U531" s="868"/>
      <c r="V531" s="869"/>
      <c r="W531" s="869"/>
      <c r="X531" s="869"/>
      <c r="Y531" s="904"/>
      <c r="Z531" s="931"/>
      <c r="AA531" s="967"/>
    </row>
    <row r="532" spans="12:27" ht="15.75">
      <c r="L532" s="777">
        <v>5</v>
      </c>
      <c r="M532" s="906"/>
      <c r="N532" s="976">
        <v>0</v>
      </c>
      <c r="O532" s="1020">
        <v>475</v>
      </c>
      <c r="P532" s="865" t="e">
        <f>VLOOKUP(N532,etat!$A$9:$N$1004,2,FALSE)</f>
        <v>#N/A</v>
      </c>
      <c r="Q532" s="866" t="e">
        <f>VLOOKUP(N532,etat!$A$9:$N$963,7,FALSE)</f>
        <v>#N/A</v>
      </c>
      <c r="R532" s="866" t="e">
        <f>VLOOKUP(N532,etat!$A$9:$N$1003,9,FALSE)</f>
        <v>#N/A</v>
      </c>
      <c r="S532" s="866" t="e">
        <f>VLOOKUP(N532,etat!$A$9:$P$905,16,FALSE)</f>
        <v>#N/A</v>
      </c>
      <c r="T532" s="867"/>
      <c r="U532" s="868"/>
      <c r="V532" s="869"/>
      <c r="W532" s="869"/>
      <c r="X532" s="869"/>
      <c r="Y532" s="904"/>
      <c r="Z532" s="931" t="str">
        <f>VLOOKUP(L554,اس!$S$3:$X$31,3,FALSE)</f>
        <v>.</v>
      </c>
      <c r="AA532" s="967"/>
    </row>
    <row r="533" spans="12:27" ht="15.75">
      <c r="L533" s="777">
        <v>5</v>
      </c>
      <c r="M533" s="906"/>
      <c r="N533" s="976">
        <v>0</v>
      </c>
      <c r="O533" s="1020">
        <v>476</v>
      </c>
      <c r="P533" s="865" t="e">
        <f>VLOOKUP(N533,etat!$A$9:$N$1004,2,FALSE)</f>
        <v>#N/A</v>
      </c>
      <c r="Q533" s="866" t="e">
        <f>VLOOKUP(N533,etat!$A$9:$N$963,7,FALSE)</f>
        <v>#N/A</v>
      </c>
      <c r="R533" s="866" t="e">
        <f>VLOOKUP(N533,etat!$A$9:$N$1003,9,FALSE)</f>
        <v>#N/A</v>
      </c>
      <c r="S533" s="866" t="e">
        <f>VLOOKUP(N533,etat!$A$9:$P$905,16,FALSE)</f>
        <v>#N/A</v>
      </c>
      <c r="T533" s="867"/>
      <c r="U533" s="868"/>
      <c r="V533" s="869"/>
      <c r="W533" s="869"/>
      <c r="X533" s="869"/>
      <c r="Y533" s="904"/>
      <c r="Z533" s="931" t="str">
        <f>VLOOKUP(L555,اس!$S$3:$X$31,3,FALSE)</f>
        <v>.</v>
      </c>
      <c r="AA533" s="967"/>
    </row>
    <row r="534" spans="12:27" ht="15.75">
      <c r="L534" s="777">
        <v>5</v>
      </c>
      <c r="M534" s="906"/>
      <c r="N534" s="976">
        <v>0</v>
      </c>
      <c r="O534" s="1020">
        <v>477</v>
      </c>
      <c r="P534" s="865" t="e">
        <f>VLOOKUP(N534,etat!$A$9:$N$1004,2,FALSE)</f>
        <v>#N/A</v>
      </c>
      <c r="Q534" s="866" t="e">
        <f>VLOOKUP(N534,etat!$A$9:$N$963,7,FALSE)</f>
        <v>#N/A</v>
      </c>
      <c r="R534" s="866" t="e">
        <f>VLOOKUP(N534,etat!$A$9:$N$1003,9,FALSE)</f>
        <v>#N/A</v>
      </c>
      <c r="S534" s="866" t="e">
        <f>VLOOKUP(N534,etat!$A$9:$P$905,16,FALSE)</f>
        <v>#N/A</v>
      </c>
      <c r="T534" s="867"/>
      <c r="U534" s="868"/>
      <c r="V534" s="869"/>
      <c r="W534" s="869"/>
      <c r="X534" s="869"/>
      <c r="Y534" s="904"/>
      <c r="Z534" s="931" t="str">
        <f>VLOOKUP(L556,اس!$S$3:$X$31,3,FALSE)</f>
        <v>.</v>
      </c>
      <c r="AA534" s="967"/>
    </row>
    <row r="535" spans="12:27" ht="15.75">
      <c r="L535" s="777">
        <v>5</v>
      </c>
      <c r="M535" s="906"/>
      <c r="N535" s="976">
        <v>0</v>
      </c>
      <c r="O535" s="1020">
        <v>478</v>
      </c>
      <c r="P535" s="865" t="e">
        <f>VLOOKUP(N535,etat!$A$9:$N$1004,2,FALSE)</f>
        <v>#N/A</v>
      </c>
      <c r="Q535" s="866" t="e">
        <f>VLOOKUP(N535,etat!$A$9:$N$963,7,FALSE)</f>
        <v>#N/A</v>
      </c>
      <c r="R535" s="866" t="e">
        <f>VLOOKUP(N535,etat!$A$9:$N$1003,9,FALSE)</f>
        <v>#N/A</v>
      </c>
      <c r="S535" s="866" t="e">
        <f>VLOOKUP(N535,etat!$A$9:$P$905,16,FALSE)</f>
        <v>#N/A</v>
      </c>
      <c r="T535" s="867"/>
      <c r="U535" s="868"/>
      <c r="V535" s="869"/>
      <c r="W535" s="869"/>
      <c r="X535" s="869"/>
      <c r="Y535" s="904"/>
      <c r="Z535" s="931" t="str">
        <f>VLOOKUP(L557,اس!$S$3:$X$31,3,FALSE)</f>
        <v>.</v>
      </c>
      <c r="AA535" s="967"/>
    </row>
    <row r="536" spans="12:27" ht="15.75">
      <c r="L536" s="777">
        <v>5</v>
      </c>
      <c r="M536" s="906"/>
      <c r="N536" s="976">
        <v>0</v>
      </c>
      <c r="O536" s="1020">
        <v>479</v>
      </c>
      <c r="P536" s="865" t="e">
        <f>VLOOKUP(N536,etat!$A$9:$N$1004,2,FALSE)</f>
        <v>#N/A</v>
      </c>
      <c r="Q536" s="866" t="e">
        <f>VLOOKUP(N536,etat!$A$9:$N$963,7,FALSE)</f>
        <v>#N/A</v>
      </c>
      <c r="R536" s="866" t="e">
        <f>VLOOKUP(N536,etat!$A$9:$N$1003,9,FALSE)</f>
        <v>#N/A</v>
      </c>
      <c r="S536" s="866" t="e">
        <f>VLOOKUP(N536,etat!$A$9:$P$905,16,FALSE)</f>
        <v>#N/A</v>
      </c>
      <c r="T536" s="867"/>
      <c r="U536" s="868"/>
      <c r="V536" s="869"/>
      <c r="W536" s="869"/>
      <c r="X536" s="869"/>
      <c r="Y536" s="904"/>
      <c r="Z536" s="931" t="str">
        <f>VLOOKUP(L558,اس!$S$3:$X$31,3,FALSE)</f>
        <v>.</v>
      </c>
      <c r="AA536" s="967"/>
    </row>
    <row r="537" spans="12:27" ht="15.75">
      <c r="L537" s="777">
        <v>5</v>
      </c>
      <c r="M537" s="906"/>
      <c r="N537" s="976">
        <v>0</v>
      </c>
      <c r="O537" s="1020">
        <v>480</v>
      </c>
      <c r="P537" s="865" t="e">
        <f>VLOOKUP(N537,etat!$A$9:$N$1004,2,FALSE)</f>
        <v>#N/A</v>
      </c>
      <c r="Q537" s="866" t="e">
        <f>VLOOKUP(N537,etat!$A$9:$N$963,7,FALSE)</f>
        <v>#N/A</v>
      </c>
      <c r="R537" s="866" t="e">
        <f>VLOOKUP(N537,etat!$A$9:$N$1003,9,FALSE)</f>
        <v>#N/A</v>
      </c>
      <c r="S537" s="866" t="e">
        <f>VLOOKUP(N537,etat!$A$9:$P$905,16,FALSE)</f>
        <v>#N/A</v>
      </c>
      <c r="T537" s="867"/>
      <c r="U537" s="868"/>
      <c r="V537" s="869"/>
      <c r="W537" s="869"/>
      <c r="X537" s="869"/>
      <c r="Y537" s="904"/>
      <c r="Z537" s="931" t="str">
        <f>VLOOKUP(L559,اس!$S$3:$X$31,3,FALSE)</f>
        <v>.</v>
      </c>
      <c r="AA537" s="967"/>
    </row>
    <row r="538" spans="12:27" ht="15.75">
      <c r="L538" s="777">
        <v>5</v>
      </c>
      <c r="M538" s="906"/>
      <c r="N538" s="976">
        <v>0</v>
      </c>
      <c r="O538" s="1020">
        <v>481</v>
      </c>
      <c r="P538" s="865" t="e">
        <f>VLOOKUP(N538,etat!$A$9:$N$1004,2,FALSE)</f>
        <v>#N/A</v>
      </c>
      <c r="Q538" s="866" t="e">
        <f>VLOOKUP(N538,etat!$A$9:$N$963,7,FALSE)</f>
        <v>#N/A</v>
      </c>
      <c r="R538" s="866" t="e">
        <f>VLOOKUP(N538,etat!$A$9:$N$1003,9,FALSE)</f>
        <v>#N/A</v>
      </c>
      <c r="S538" s="866" t="e">
        <f>VLOOKUP(N538,etat!$A$9:$P$905,16,FALSE)</f>
        <v>#N/A</v>
      </c>
      <c r="T538" s="867"/>
      <c r="U538" s="868"/>
      <c r="V538" s="869"/>
      <c r="W538" s="869"/>
      <c r="X538" s="869"/>
      <c r="Y538" s="904"/>
      <c r="Z538" s="931" t="str">
        <f>VLOOKUP(L560,اس!$S$3:$X$31,3,FALSE)</f>
        <v>.</v>
      </c>
      <c r="AA538" s="967"/>
    </row>
    <row r="539" spans="12:27" ht="15.75">
      <c r="L539" s="777">
        <v>5</v>
      </c>
      <c r="M539" s="906"/>
      <c r="N539" s="976">
        <v>0</v>
      </c>
      <c r="O539" s="1020">
        <v>482</v>
      </c>
      <c r="P539" s="865" t="e">
        <f>VLOOKUP(N539,etat!$A$9:$N$1004,2,FALSE)</f>
        <v>#N/A</v>
      </c>
      <c r="Q539" s="866" t="e">
        <f>VLOOKUP(N539,etat!$A$9:$N$963,7,FALSE)</f>
        <v>#N/A</v>
      </c>
      <c r="R539" s="866" t="e">
        <f>VLOOKUP(N539,etat!$A$9:$N$1003,9,FALSE)</f>
        <v>#N/A</v>
      </c>
      <c r="S539" s="866" t="e">
        <f>VLOOKUP(N539,etat!$A$9:$P$905,16,FALSE)</f>
        <v>#N/A</v>
      </c>
      <c r="T539" s="867"/>
      <c r="U539" s="868"/>
      <c r="V539" s="869"/>
      <c r="W539" s="869"/>
      <c r="X539" s="869"/>
      <c r="Y539" s="904"/>
      <c r="Z539" s="931" t="str">
        <f>VLOOKUP(L561,اس!$S$3:$X$31,3,FALSE)</f>
        <v>.</v>
      </c>
      <c r="AA539" s="967"/>
    </row>
    <row r="540" spans="12:27" ht="15.75">
      <c r="L540" s="777">
        <v>5</v>
      </c>
      <c r="M540" s="906"/>
      <c r="N540" s="976">
        <v>0</v>
      </c>
      <c r="O540" s="1020">
        <v>483</v>
      </c>
      <c r="P540" s="865" t="e">
        <f>VLOOKUP(N540,etat!$A$9:$N$1004,2,FALSE)</f>
        <v>#N/A</v>
      </c>
      <c r="Q540" s="866" t="e">
        <f>VLOOKUP(N540,etat!$A$9:$N$963,7,FALSE)</f>
        <v>#N/A</v>
      </c>
      <c r="R540" s="866" t="e">
        <f>VLOOKUP(N540,etat!$A$9:$N$1003,9,FALSE)</f>
        <v>#N/A</v>
      </c>
      <c r="S540" s="866" t="e">
        <f>VLOOKUP(N540,etat!$A$9:$P$905,16,FALSE)</f>
        <v>#N/A</v>
      </c>
      <c r="T540" s="867"/>
      <c r="U540" s="868"/>
      <c r="V540" s="869"/>
      <c r="W540" s="869"/>
      <c r="X540" s="869"/>
      <c r="Y540" s="904"/>
      <c r="Z540" s="931" t="str">
        <f>VLOOKUP(L562,اس!$S$3:$X$31,3,FALSE)</f>
        <v>.</v>
      </c>
      <c r="AA540" s="967"/>
    </row>
    <row r="541" spans="12:27" ht="15.75">
      <c r="L541" s="777">
        <v>5</v>
      </c>
      <c r="M541" s="906"/>
      <c r="N541" s="976">
        <v>0</v>
      </c>
      <c r="O541" s="1020">
        <v>484</v>
      </c>
      <c r="P541" s="865" t="e">
        <f>VLOOKUP(N541,etat!$A$9:$N$1004,2,FALSE)</f>
        <v>#N/A</v>
      </c>
      <c r="Q541" s="866" t="e">
        <f>VLOOKUP(N541,etat!$A$9:$N$963,7,FALSE)</f>
        <v>#N/A</v>
      </c>
      <c r="R541" s="866" t="e">
        <f>VLOOKUP(N541,etat!$A$9:$N$1003,9,FALSE)</f>
        <v>#N/A</v>
      </c>
      <c r="S541" s="866" t="e">
        <f>VLOOKUP(N541,etat!$A$9:$P$905,16,FALSE)</f>
        <v>#N/A</v>
      </c>
      <c r="T541" s="867"/>
      <c r="U541" s="868"/>
      <c r="V541" s="869"/>
      <c r="W541" s="869"/>
      <c r="X541" s="869"/>
      <c r="Y541" s="904"/>
      <c r="Z541" s="931" t="str">
        <f>VLOOKUP(L563,اس!$S$3:$X$31,3,FALSE)</f>
        <v>.</v>
      </c>
      <c r="AA541" s="967"/>
    </row>
    <row r="542" spans="12:27" ht="15.75">
      <c r="L542" s="777">
        <v>5</v>
      </c>
      <c r="M542" s="906"/>
      <c r="N542" s="976">
        <v>0</v>
      </c>
      <c r="O542" s="1020">
        <v>485</v>
      </c>
      <c r="P542" s="865" t="e">
        <f>VLOOKUP(N542,etat!$A$9:$N$1004,2,FALSE)</f>
        <v>#N/A</v>
      </c>
      <c r="Q542" s="866" t="e">
        <f>VLOOKUP(N542,etat!$A$9:$N$963,7,FALSE)</f>
        <v>#N/A</v>
      </c>
      <c r="R542" s="866" t="e">
        <f>VLOOKUP(N542,etat!$A$9:$N$1003,9,FALSE)</f>
        <v>#N/A</v>
      </c>
      <c r="S542" s="866" t="e">
        <f>VLOOKUP(N542,etat!$A$9:$P$905,16,FALSE)</f>
        <v>#N/A</v>
      </c>
      <c r="T542" s="867"/>
      <c r="U542" s="868"/>
      <c r="V542" s="869"/>
      <c r="W542" s="869"/>
      <c r="X542" s="869"/>
      <c r="Y542" s="904"/>
      <c r="Z542" s="931" t="str">
        <f>VLOOKUP(L564,اس!$S$3:$X$31,3,FALSE)</f>
        <v>.</v>
      </c>
      <c r="AA542" s="967"/>
    </row>
    <row r="543" spans="12:27" ht="15.75">
      <c r="L543" s="777">
        <v>5</v>
      </c>
      <c r="M543" s="906"/>
      <c r="N543" s="976">
        <v>0</v>
      </c>
      <c r="O543" s="1020">
        <v>486</v>
      </c>
      <c r="P543" s="865" t="e">
        <f>VLOOKUP(N543,etat!$A$9:$N$1004,2,FALSE)</f>
        <v>#N/A</v>
      </c>
      <c r="Q543" s="866" t="e">
        <f>VLOOKUP(N543,etat!$A$9:$N$963,7,FALSE)</f>
        <v>#N/A</v>
      </c>
      <c r="R543" s="866" t="e">
        <f>VLOOKUP(N543,etat!$A$9:$N$1003,9,FALSE)</f>
        <v>#N/A</v>
      </c>
      <c r="S543" s="866" t="e">
        <f>VLOOKUP(N543,etat!$A$9:$P$905,16,FALSE)</f>
        <v>#N/A</v>
      </c>
      <c r="T543" s="867"/>
      <c r="U543" s="868"/>
      <c r="V543" s="869"/>
      <c r="W543" s="869"/>
      <c r="X543" s="869"/>
      <c r="Y543" s="904"/>
      <c r="Z543" s="931" t="str">
        <f>VLOOKUP(L565,اس!$S$3:$X$31,3,FALSE)</f>
        <v>.</v>
      </c>
      <c r="AA543" s="967"/>
    </row>
    <row r="544" spans="12:27" ht="15.75">
      <c r="L544" s="777">
        <v>5</v>
      </c>
      <c r="M544" s="906"/>
      <c r="N544" s="976">
        <v>0</v>
      </c>
      <c r="O544" s="1020">
        <v>487</v>
      </c>
      <c r="P544" s="865" t="e">
        <f>VLOOKUP(N544,etat!$A$9:$N$1004,2,FALSE)</f>
        <v>#N/A</v>
      </c>
      <c r="Q544" s="866" t="e">
        <f>VLOOKUP(N544,etat!$A$9:$N$963,7,FALSE)</f>
        <v>#N/A</v>
      </c>
      <c r="R544" s="866" t="e">
        <f>VLOOKUP(N544,etat!$A$9:$N$1003,9,FALSE)</f>
        <v>#N/A</v>
      </c>
      <c r="S544" s="866" t="e">
        <f>VLOOKUP(N544,etat!$A$9:$P$905,16,FALSE)</f>
        <v>#N/A</v>
      </c>
      <c r="T544" s="867"/>
      <c r="U544" s="868"/>
      <c r="V544" s="869"/>
      <c r="W544" s="869"/>
      <c r="X544" s="869"/>
      <c r="Y544" s="904"/>
      <c r="Z544" s="931" t="str">
        <f>VLOOKUP(L566,اس!$S$3:$X$31,3,FALSE)</f>
        <v>.</v>
      </c>
      <c r="AA544" s="967"/>
    </row>
    <row r="545" spans="12:27" ht="15.75">
      <c r="L545" s="777">
        <v>5</v>
      </c>
      <c r="M545" s="906"/>
      <c r="N545" s="976">
        <v>0</v>
      </c>
      <c r="O545" s="1020">
        <v>488</v>
      </c>
      <c r="P545" s="865" t="e">
        <f>VLOOKUP(N545,etat!$A$9:$N$1004,2,FALSE)</f>
        <v>#N/A</v>
      </c>
      <c r="Q545" s="866" t="e">
        <f>VLOOKUP(N545,etat!$A$9:$N$963,7,FALSE)</f>
        <v>#N/A</v>
      </c>
      <c r="R545" s="866" t="e">
        <f>VLOOKUP(N545,etat!$A$9:$N$1003,9,FALSE)</f>
        <v>#N/A</v>
      </c>
      <c r="S545" s="866" t="e">
        <f>VLOOKUP(N545,etat!$A$9:$P$905,16,FALSE)</f>
        <v>#N/A</v>
      </c>
      <c r="T545" s="867"/>
      <c r="U545" s="868"/>
      <c r="V545" s="869"/>
      <c r="W545" s="869"/>
      <c r="X545" s="869"/>
      <c r="Y545" s="904"/>
      <c r="Z545" s="931" t="str">
        <f>VLOOKUP(L567,اس!$S$3:$X$31,3,FALSE)</f>
        <v>.</v>
      </c>
      <c r="AA545" s="967"/>
    </row>
    <row r="546" spans="12:27" ht="15.75">
      <c r="L546" s="777">
        <v>5</v>
      </c>
      <c r="M546" s="906"/>
      <c r="N546" s="976">
        <v>0</v>
      </c>
      <c r="O546" s="1020">
        <v>489</v>
      </c>
      <c r="P546" s="865" t="e">
        <f>VLOOKUP(N546,etat!$A$9:$N$1004,2,FALSE)</f>
        <v>#N/A</v>
      </c>
      <c r="Q546" s="866" t="e">
        <f>VLOOKUP(N546,etat!$A$9:$N$963,7,FALSE)</f>
        <v>#N/A</v>
      </c>
      <c r="R546" s="866" t="e">
        <f>VLOOKUP(N546,etat!$A$9:$N$1003,9,FALSE)</f>
        <v>#N/A</v>
      </c>
      <c r="S546" s="866" t="e">
        <f>VLOOKUP(N546,etat!$A$9:$P$905,16,FALSE)</f>
        <v>#N/A</v>
      </c>
      <c r="T546" s="867"/>
      <c r="U546" s="868"/>
      <c r="V546" s="869"/>
      <c r="W546" s="869"/>
      <c r="X546" s="869"/>
      <c r="Y546" s="904"/>
      <c r="Z546" s="931" t="str">
        <f>VLOOKUP(L568,اس!$S$3:$X$31,3,FALSE)</f>
        <v>.</v>
      </c>
      <c r="AA546" s="967"/>
    </row>
    <row r="547" spans="12:27" ht="15.75">
      <c r="L547" s="777">
        <v>5</v>
      </c>
      <c r="M547" s="906"/>
      <c r="N547" s="976">
        <v>0</v>
      </c>
      <c r="O547" s="1020">
        <v>490</v>
      </c>
      <c r="P547" s="865" t="e">
        <f>VLOOKUP(N547,etat!$A$9:$N$1004,2,FALSE)</f>
        <v>#N/A</v>
      </c>
      <c r="Q547" s="866" t="e">
        <f>VLOOKUP(N547,etat!$A$9:$N$963,7,FALSE)</f>
        <v>#N/A</v>
      </c>
      <c r="R547" s="866" t="e">
        <f>VLOOKUP(N547,etat!$A$9:$N$1003,9,FALSE)</f>
        <v>#N/A</v>
      </c>
      <c r="S547" s="866" t="e">
        <f>VLOOKUP(N547,etat!$A$9:$P$905,16,FALSE)</f>
        <v>#N/A</v>
      </c>
      <c r="T547" s="867"/>
      <c r="U547" s="868"/>
      <c r="V547" s="869"/>
      <c r="W547" s="869"/>
      <c r="X547" s="869"/>
      <c r="Y547" s="904"/>
      <c r="Z547" s="931" t="str">
        <f>VLOOKUP(L569,اس!$S$3:$X$31,3,FALSE)</f>
        <v>.</v>
      </c>
      <c r="AA547" s="967"/>
    </row>
    <row r="548" spans="12:27" ht="15.75">
      <c r="L548" s="777">
        <v>5</v>
      </c>
      <c r="M548" s="906"/>
      <c r="N548" s="976">
        <v>0</v>
      </c>
      <c r="O548" s="1020">
        <v>491</v>
      </c>
      <c r="P548" s="865" t="e">
        <f>VLOOKUP(N548,etat!$A$9:$N$1004,2,FALSE)</f>
        <v>#N/A</v>
      </c>
      <c r="Q548" s="866" t="e">
        <f>VLOOKUP(N548,etat!$A$9:$N$963,7,FALSE)</f>
        <v>#N/A</v>
      </c>
      <c r="R548" s="866" t="e">
        <f>VLOOKUP(N548,etat!$A$9:$N$1003,9,FALSE)</f>
        <v>#N/A</v>
      </c>
      <c r="S548" s="866" t="e">
        <f>VLOOKUP(N548,etat!$A$9:$P$905,16,FALSE)</f>
        <v>#N/A</v>
      </c>
      <c r="T548" s="867"/>
      <c r="U548" s="868"/>
      <c r="V548" s="869"/>
      <c r="W548" s="869"/>
      <c r="X548" s="869"/>
      <c r="Y548" s="904"/>
      <c r="Z548" s="931" t="str">
        <f>VLOOKUP(L570,اس!$S$3:$X$31,3,FALSE)</f>
        <v>.</v>
      </c>
      <c r="AA548" s="967"/>
    </row>
    <row r="549" spans="12:27" ht="15.75">
      <c r="L549" s="777">
        <v>5</v>
      </c>
      <c r="M549" s="778"/>
      <c r="N549" s="976">
        <v>0</v>
      </c>
      <c r="O549" s="1020">
        <v>492</v>
      </c>
      <c r="P549" s="865" t="e">
        <f>VLOOKUP(N549,etat!$A$9:$N$1004,2,FALSE)</f>
        <v>#N/A</v>
      </c>
      <c r="Q549" s="866" t="e">
        <f>VLOOKUP(N549,etat!$A$9:$N$963,7,FALSE)</f>
        <v>#N/A</v>
      </c>
      <c r="R549" s="866" t="e">
        <f>VLOOKUP(N549,etat!$A$9:$N$1003,9,FALSE)</f>
        <v>#N/A</v>
      </c>
      <c r="S549" s="866" t="e">
        <f>VLOOKUP(N549,etat!$A$9:$P$905,16,FALSE)</f>
        <v>#N/A</v>
      </c>
      <c r="T549" s="867"/>
      <c r="U549" s="868"/>
      <c r="V549" s="869"/>
      <c r="W549" s="869"/>
      <c r="X549" s="869"/>
      <c r="Y549" s="904"/>
      <c r="Z549" s="931" t="str">
        <f>VLOOKUP(L571,اس!$S$3:$X$31,3,FALSE)</f>
        <v>.</v>
      </c>
      <c r="AA549" s="967"/>
    </row>
    <row r="550" spans="12:27" ht="15.75">
      <c r="L550" s="777">
        <v>5</v>
      </c>
      <c r="M550" s="778"/>
      <c r="N550" s="976">
        <v>0</v>
      </c>
      <c r="O550" s="1020">
        <v>493</v>
      </c>
      <c r="P550" s="865" t="e">
        <f>VLOOKUP(N550,etat!$A$9:$N$1004,2,FALSE)</f>
        <v>#N/A</v>
      </c>
      <c r="Q550" s="866" t="e">
        <f>VLOOKUP(N550,etat!$A$9:$N$963,7,FALSE)</f>
        <v>#N/A</v>
      </c>
      <c r="R550" s="866" t="e">
        <f>VLOOKUP(N550,etat!$A$9:$N$1003,9,FALSE)</f>
        <v>#N/A</v>
      </c>
      <c r="S550" s="797" t="e">
        <f>VLOOKUP(N550,etat!$A$9:$P$905,16,FALSE)</f>
        <v>#N/A</v>
      </c>
      <c r="T550" s="867"/>
      <c r="U550" s="868"/>
      <c r="V550" s="869"/>
      <c r="W550" s="869"/>
      <c r="X550" s="869"/>
      <c r="Y550" s="904"/>
      <c r="Z550" s="931" t="str">
        <f>VLOOKUP(L572,اس!$S$3:$X$31,3,FALSE)</f>
        <v>.</v>
      </c>
      <c r="AA550" s="967"/>
    </row>
    <row r="551" spans="12:27" ht="15.75">
      <c r="L551" s="777">
        <v>5</v>
      </c>
      <c r="M551" s="778"/>
      <c r="N551" s="976">
        <v>0</v>
      </c>
      <c r="O551" s="1020">
        <v>494</v>
      </c>
      <c r="P551" s="865" t="e">
        <f>VLOOKUP(N551,etat!$A$9:$N$1004,2,FALSE)</f>
        <v>#N/A</v>
      </c>
      <c r="Q551" s="866" t="e">
        <f>VLOOKUP(N551,etat!$A$9:$N$963,7,FALSE)</f>
        <v>#N/A</v>
      </c>
      <c r="R551" s="866" t="e">
        <f>VLOOKUP(N551,etat!$A$9:$N$1003,9,FALSE)</f>
        <v>#N/A</v>
      </c>
      <c r="S551" s="797" t="e">
        <f>VLOOKUP(N551,etat!$A$9:$P$905,16,FALSE)</f>
        <v>#N/A</v>
      </c>
      <c r="T551" s="867"/>
      <c r="U551" s="868"/>
      <c r="V551" s="869"/>
      <c r="W551" s="869"/>
      <c r="X551" s="869"/>
      <c r="Y551" s="904"/>
      <c r="Z551" s="931" t="str">
        <f>VLOOKUP(L573,اس!$S$3:$X$31,3,FALSE)</f>
        <v>.</v>
      </c>
      <c r="AA551" s="967"/>
    </row>
    <row r="552" spans="12:27" ht="15.75">
      <c r="L552" s="777">
        <v>5</v>
      </c>
      <c r="M552" s="778"/>
      <c r="N552" s="976">
        <v>0</v>
      </c>
      <c r="O552" s="1020">
        <v>495</v>
      </c>
      <c r="P552" s="865" t="e">
        <f>VLOOKUP(N552,etat!$A$9:$N$1004,2,FALSE)</f>
        <v>#N/A</v>
      </c>
      <c r="Q552" s="866" t="e">
        <f>VLOOKUP(N552,etat!$A$9:$N$963,7,FALSE)</f>
        <v>#N/A</v>
      </c>
      <c r="R552" s="866" t="e">
        <f>VLOOKUP(N552,etat!$A$9:$N$1003,9,FALSE)</f>
        <v>#N/A</v>
      </c>
      <c r="S552" s="797" t="e">
        <f>VLOOKUP(N552,etat!$A$9:$P$905,16,FALSE)</f>
        <v>#N/A</v>
      </c>
      <c r="T552" s="867"/>
      <c r="U552" s="868"/>
      <c r="V552" s="869"/>
      <c r="W552" s="869"/>
      <c r="X552" s="869"/>
      <c r="Y552" s="904"/>
      <c r="Z552" s="931" t="str">
        <f>VLOOKUP(L574,اس!$S$3:$X$31,3,FALSE)</f>
        <v>.</v>
      </c>
      <c r="AA552" s="967"/>
    </row>
    <row r="553" spans="12:27" ht="15.75">
      <c r="L553" s="777">
        <v>5</v>
      </c>
      <c r="M553" s="778"/>
      <c r="N553" s="976">
        <v>0</v>
      </c>
      <c r="O553" s="1020">
        <v>496</v>
      </c>
      <c r="P553" s="865" t="e">
        <f>VLOOKUP(N553,etat!$A$9:$N$1004,2,FALSE)</f>
        <v>#N/A</v>
      </c>
      <c r="Q553" s="866" t="e">
        <f>VLOOKUP(N553,etat!$A$9:$N$963,7,FALSE)</f>
        <v>#N/A</v>
      </c>
      <c r="R553" s="866" t="e">
        <f>VLOOKUP(N553,etat!$A$9:$N$1003,9,FALSE)</f>
        <v>#N/A</v>
      </c>
      <c r="S553" s="797" t="e">
        <f>VLOOKUP(N553,etat!$A$9:$P$905,16,FALSE)</f>
        <v>#N/A</v>
      </c>
      <c r="T553" s="867"/>
      <c r="U553" s="868"/>
      <c r="V553" s="869"/>
      <c r="W553" s="869"/>
      <c r="X553" s="869"/>
      <c r="Y553" s="904"/>
      <c r="Z553" s="931" t="str">
        <f>VLOOKUP(L575,اس!$S$3:$X$31,3,FALSE)</f>
        <v>.</v>
      </c>
      <c r="AA553" s="967"/>
    </row>
    <row r="554" spans="12:27" ht="15.75">
      <c r="L554" s="777">
        <v>5</v>
      </c>
      <c r="M554" s="778"/>
      <c r="N554" s="976">
        <v>0</v>
      </c>
      <c r="O554" s="1020">
        <v>497</v>
      </c>
      <c r="P554" s="865" t="e">
        <f>VLOOKUP(N554,etat!$A$9:$N$1004,2,FALSE)</f>
        <v>#N/A</v>
      </c>
      <c r="Q554" s="866" t="e">
        <f>VLOOKUP(N554,etat!$A$9:$N$963,7,FALSE)</f>
        <v>#N/A</v>
      </c>
      <c r="R554" s="866" t="e">
        <f>VLOOKUP(N554,etat!$A$9:$N$1003,9,FALSE)</f>
        <v>#N/A</v>
      </c>
      <c r="S554" s="797" t="e">
        <f>VLOOKUP(N554,etat!$A$9:$P$905,16,FALSE)</f>
        <v>#N/A</v>
      </c>
      <c r="T554" s="867"/>
      <c r="U554" s="868"/>
      <c r="V554" s="869"/>
      <c r="W554" s="869"/>
      <c r="X554" s="869"/>
      <c r="Y554" s="904"/>
      <c r="Z554" s="931" t="str">
        <f>VLOOKUP(L554,اس!$S$3:$X$31,3,FALSE)</f>
        <v>.</v>
      </c>
      <c r="AA554" s="967"/>
    </row>
    <row r="555" spans="12:27" ht="15.75">
      <c r="L555" s="777">
        <v>5</v>
      </c>
      <c r="M555" s="778"/>
      <c r="N555" s="976">
        <v>0</v>
      </c>
      <c r="O555" s="1020">
        <v>498</v>
      </c>
      <c r="P555" s="865" t="e">
        <f>VLOOKUP(N555,etat!$A$9:$N$1004,2,FALSE)</f>
        <v>#N/A</v>
      </c>
      <c r="Q555" s="866" t="e">
        <f>VLOOKUP(N555,etat!$A$9:$N$963,7,FALSE)</f>
        <v>#N/A</v>
      </c>
      <c r="R555" s="866" t="e">
        <f>VLOOKUP(N555,etat!$A$9:$N$1003,9,FALSE)</f>
        <v>#N/A</v>
      </c>
      <c r="S555" s="797" t="e">
        <f>VLOOKUP(N555,etat!$A$9:$P$905,16,FALSE)</f>
        <v>#N/A</v>
      </c>
      <c r="T555" s="867"/>
      <c r="U555" s="868"/>
      <c r="V555" s="869"/>
      <c r="W555" s="869"/>
      <c r="X555" s="869"/>
      <c r="Y555" s="904"/>
      <c r="Z555" s="931" t="str">
        <f>VLOOKUP(L555,اس!$S$3:$X$31,3,FALSE)</f>
        <v>.</v>
      </c>
      <c r="AA555" s="967"/>
    </row>
    <row r="556" spans="12:27" ht="15.75">
      <c r="L556" s="777">
        <v>5</v>
      </c>
      <c r="M556" s="778"/>
      <c r="N556" s="976">
        <v>0</v>
      </c>
      <c r="O556" s="1020">
        <v>499</v>
      </c>
      <c r="P556" s="865" t="e">
        <f>VLOOKUP(N556,etat!$A$9:$N$1004,2,FALSE)</f>
        <v>#N/A</v>
      </c>
      <c r="Q556" s="866" t="e">
        <f>VLOOKUP(N556,etat!$A$9:$N$963,7,FALSE)</f>
        <v>#N/A</v>
      </c>
      <c r="R556" s="866" t="e">
        <f>VLOOKUP(N556,etat!$A$9:$N$1003,9,FALSE)</f>
        <v>#N/A</v>
      </c>
      <c r="S556" s="797" t="e">
        <f>VLOOKUP(N556,etat!$A$9:$P$905,16,FALSE)</f>
        <v>#N/A</v>
      </c>
      <c r="T556" s="867"/>
      <c r="U556" s="868"/>
      <c r="V556" s="869"/>
      <c r="W556" s="869"/>
      <c r="X556" s="869"/>
      <c r="Y556" s="904"/>
      <c r="Z556" s="931" t="str">
        <f>VLOOKUP(L556,اس!$S$3:$X$31,3,FALSE)</f>
        <v>.</v>
      </c>
      <c r="AA556" s="967"/>
    </row>
    <row r="557" spans="12:27" ht="15.75">
      <c r="L557" s="777">
        <v>5</v>
      </c>
      <c r="M557" s="778"/>
      <c r="N557" s="976">
        <v>0</v>
      </c>
      <c r="O557" s="1020">
        <v>500</v>
      </c>
      <c r="P557" s="865" t="e">
        <f>VLOOKUP(N557,etat!$A$9:$N$1004,2,FALSE)</f>
        <v>#N/A</v>
      </c>
      <c r="Q557" s="866" t="e">
        <f>VLOOKUP(N557,etat!$A$9:$N$963,7,FALSE)</f>
        <v>#N/A</v>
      </c>
      <c r="R557" s="866" t="e">
        <f>VLOOKUP(N557,etat!$A$9:$N$1003,9,FALSE)</f>
        <v>#N/A</v>
      </c>
      <c r="S557" s="797" t="e">
        <f>VLOOKUP(N557,etat!$A$9:$P$905,16,FALSE)</f>
        <v>#N/A</v>
      </c>
      <c r="T557" s="867"/>
      <c r="U557" s="868"/>
      <c r="V557" s="869"/>
      <c r="W557" s="869"/>
      <c r="X557" s="869"/>
      <c r="Y557" s="904"/>
      <c r="Z557" s="931" t="str">
        <f>VLOOKUP(L557,اس!$S$3:$X$31,3,FALSE)</f>
        <v>.</v>
      </c>
      <c r="AA557" s="967"/>
    </row>
    <row r="558" spans="12:27" ht="15.75">
      <c r="L558" s="777">
        <v>5</v>
      </c>
      <c r="M558" s="778"/>
      <c r="N558" s="976">
        <v>0</v>
      </c>
      <c r="O558" s="1020">
        <v>501</v>
      </c>
      <c r="P558" s="865" t="e">
        <f>VLOOKUP(N558,etat!$A$9:$N$1004,2,FALSE)</f>
        <v>#N/A</v>
      </c>
      <c r="Q558" s="866" t="e">
        <f>VLOOKUP(N558,etat!$A$9:$N$963,7,FALSE)</f>
        <v>#N/A</v>
      </c>
      <c r="R558" s="866" t="e">
        <f>VLOOKUP(N558,etat!$A$9:$N$1003,9,FALSE)</f>
        <v>#N/A</v>
      </c>
      <c r="S558" s="797" t="e">
        <f>VLOOKUP(N558,etat!$A$9:$P$905,16,FALSE)</f>
        <v>#N/A</v>
      </c>
      <c r="T558" s="867"/>
      <c r="U558" s="868"/>
      <c r="V558" s="869"/>
      <c r="W558" s="869"/>
      <c r="X558" s="869"/>
      <c r="Y558" s="904"/>
      <c r="Z558" s="931" t="str">
        <f>VLOOKUP(L558,اس!$S$3:$X$31,3,FALSE)</f>
        <v>.</v>
      </c>
      <c r="AA558" s="967"/>
    </row>
    <row r="559" spans="12:27" ht="15.75">
      <c r="L559" s="777">
        <v>5</v>
      </c>
      <c r="M559" s="778"/>
      <c r="N559" s="976">
        <v>0</v>
      </c>
      <c r="O559" s="1020">
        <v>502</v>
      </c>
      <c r="P559" s="865" t="e">
        <f>VLOOKUP(N559,etat!$A$9:$N$1004,2,FALSE)</f>
        <v>#N/A</v>
      </c>
      <c r="Q559" s="866" t="e">
        <f>VLOOKUP(N559,etat!$A$9:$N$963,7,FALSE)</f>
        <v>#N/A</v>
      </c>
      <c r="R559" s="866" t="e">
        <f>VLOOKUP(N559,etat!$A$9:$N$1003,9,FALSE)</f>
        <v>#N/A</v>
      </c>
      <c r="S559" s="797" t="e">
        <f>VLOOKUP(N559,etat!$A$9:$P$905,16,FALSE)</f>
        <v>#N/A</v>
      </c>
      <c r="T559" s="867"/>
      <c r="U559" s="868"/>
      <c r="V559" s="869"/>
      <c r="W559" s="869"/>
      <c r="X559" s="869"/>
      <c r="Y559" s="904"/>
      <c r="Z559" s="931" t="str">
        <f>VLOOKUP(L559,اس!$S$3:$X$31,3,FALSE)</f>
        <v>.</v>
      </c>
      <c r="AA559" s="967"/>
    </row>
    <row r="560" spans="12:27" ht="15.75">
      <c r="L560" s="777">
        <v>5</v>
      </c>
      <c r="M560" s="864"/>
      <c r="N560" s="976">
        <v>0</v>
      </c>
      <c r="O560" s="1020">
        <v>503</v>
      </c>
      <c r="P560" s="865" t="e">
        <f>VLOOKUP(N560,etat!$A$9:$N$1004,2,FALSE)</f>
        <v>#N/A</v>
      </c>
      <c r="Q560" s="866" t="e">
        <f>VLOOKUP(N560,etat!$A$9:$N$963,7,FALSE)</f>
        <v>#N/A</v>
      </c>
      <c r="R560" s="866" t="e">
        <f>VLOOKUP(N560,etat!$A$9:$N$1003,9,FALSE)</f>
        <v>#N/A</v>
      </c>
      <c r="S560" s="797" t="e">
        <f>VLOOKUP(N560,etat!$A$9:$P$905,16,FALSE)</f>
        <v>#N/A</v>
      </c>
      <c r="T560" s="867"/>
      <c r="U560" s="868"/>
      <c r="V560" s="869"/>
      <c r="W560" s="869"/>
      <c r="X560" s="869"/>
      <c r="Y560" s="904"/>
      <c r="Z560" s="931" t="str">
        <f>VLOOKUP(L560,اس!$S$3:$X$31,3,FALSE)</f>
        <v>.</v>
      </c>
      <c r="AA560" s="967"/>
    </row>
    <row r="561" spans="12:27" ht="15.75">
      <c r="L561" s="777">
        <v>5</v>
      </c>
      <c r="M561" s="864"/>
      <c r="N561" s="976">
        <v>0</v>
      </c>
      <c r="O561" s="1020">
        <v>504</v>
      </c>
      <c r="P561" s="865" t="e">
        <f>VLOOKUP(N561,etat!$A$9:$N$1004,2,FALSE)</f>
        <v>#N/A</v>
      </c>
      <c r="Q561" s="866" t="e">
        <f>VLOOKUP(N561,etat!$A$9:$N$963,7,FALSE)</f>
        <v>#N/A</v>
      </c>
      <c r="R561" s="866" t="e">
        <f>VLOOKUP(N561,etat!$A$9:$N$1003,9,FALSE)</f>
        <v>#N/A</v>
      </c>
      <c r="S561" s="797" t="e">
        <f>VLOOKUP(N561,etat!$A$9:$P$905,16,FALSE)</f>
        <v>#N/A</v>
      </c>
      <c r="T561" s="867"/>
      <c r="U561" s="868"/>
      <c r="V561" s="869"/>
      <c r="W561" s="869"/>
      <c r="X561" s="869"/>
      <c r="Y561" s="904"/>
      <c r="Z561" s="931" t="str">
        <f>VLOOKUP(L561,اس!$S$3:$X$31,3,FALSE)</f>
        <v>.</v>
      </c>
      <c r="AA561" s="967"/>
    </row>
    <row r="562" spans="12:27" ht="15.75">
      <c r="L562" s="777">
        <v>5</v>
      </c>
      <c r="M562" s="864"/>
      <c r="N562" s="976">
        <v>0</v>
      </c>
      <c r="O562" s="1020">
        <v>505</v>
      </c>
      <c r="P562" s="865" t="e">
        <f>VLOOKUP(N562,etat!$A$9:$N$1004,2,FALSE)</f>
        <v>#N/A</v>
      </c>
      <c r="Q562" s="866" t="e">
        <f>VLOOKUP(N562,etat!$A$9:$N$963,7,FALSE)</f>
        <v>#N/A</v>
      </c>
      <c r="R562" s="866" t="e">
        <f>VLOOKUP(N562,etat!$A$9:$N$1003,9,FALSE)</f>
        <v>#N/A</v>
      </c>
      <c r="S562" s="797" t="e">
        <f>VLOOKUP(N562,etat!$A$9:$P$905,16,FALSE)</f>
        <v>#N/A</v>
      </c>
      <c r="T562" s="867"/>
      <c r="U562" s="868"/>
      <c r="V562" s="869"/>
      <c r="W562" s="869"/>
      <c r="X562" s="869"/>
      <c r="Y562" s="904"/>
      <c r="Z562" s="931" t="str">
        <f>VLOOKUP(L562,اس!$S$3:$X$31,3,FALSE)</f>
        <v>.</v>
      </c>
      <c r="AA562" s="967"/>
    </row>
    <row r="563" spans="12:27" ht="15.75">
      <c r="L563" s="777">
        <v>5</v>
      </c>
      <c r="M563" s="864"/>
      <c r="N563" s="976">
        <v>0</v>
      </c>
      <c r="O563" s="1020">
        <v>506</v>
      </c>
      <c r="P563" s="865" t="e">
        <f>VLOOKUP(N563,etat!$A$9:$N$1004,2,FALSE)</f>
        <v>#N/A</v>
      </c>
      <c r="Q563" s="866" t="e">
        <f>VLOOKUP(N563,etat!$A$9:$N$963,7,FALSE)</f>
        <v>#N/A</v>
      </c>
      <c r="R563" s="866" t="e">
        <f>VLOOKUP(N563,etat!$A$9:$N$1003,9,FALSE)</f>
        <v>#N/A</v>
      </c>
      <c r="S563" s="797" t="e">
        <f>VLOOKUP(N563,etat!$A$9:$P$905,16,FALSE)</f>
        <v>#N/A</v>
      </c>
      <c r="T563" s="867"/>
      <c r="U563" s="868"/>
      <c r="V563" s="869"/>
      <c r="W563" s="869"/>
      <c r="X563" s="869"/>
      <c r="Y563" s="904"/>
      <c r="Z563" s="931" t="str">
        <f>VLOOKUP(L563,اس!$S$3:$X$31,3,FALSE)</f>
        <v>.</v>
      </c>
      <c r="AA563" s="967"/>
    </row>
    <row r="564" spans="12:27" ht="15.75">
      <c r="L564" s="777">
        <v>5</v>
      </c>
      <c r="M564" s="864"/>
      <c r="N564" s="976">
        <v>0</v>
      </c>
      <c r="O564" s="1020">
        <v>507</v>
      </c>
      <c r="P564" s="865" t="e">
        <f>VLOOKUP(N564,etat!$A$9:$N$1004,2,FALSE)</f>
        <v>#N/A</v>
      </c>
      <c r="Q564" s="866" t="e">
        <f>VLOOKUP(N564,etat!$A$9:$N$963,7,FALSE)</f>
        <v>#N/A</v>
      </c>
      <c r="R564" s="866" t="e">
        <f>VLOOKUP(N564,etat!$A$9:$N$1003,9,FALSE)</f>
        <v>#N/A</v>
      </c>
      <c r="S564" s="866" t="e">
        <f>VLOOKUP(N564,etat!$A$9:$P$905,16,FALSE)</f>
        <v>#N/A</v>
      </c>
      <c r="T564" s="867"/>
      <c r="U564" s="868"/>
      <c r="V564" s="869"/>
      <c r="W564" s="869"/>
      <c r="X564" s="869"/>
      <c r="Y564" s="904"/>
      <c r="Z564" s="931" t="str">
        <f>VLOOKUP(L586,اس!$S$3:$X$31,3,FALSE)</f>
        <v>.</v>
      </c>
      <c r="AA564" s="967"/>
    </row>
    <row r="565" spans="12:27" ht="15.75">
      <c r="L565" s="777">
        <v>5</v>
      </c>
      <c r="M565" s="864"/>
      <c r="N565" s="976">
        <v>0</v>
      </c>
      <c r="O565" s="1020">
        <v>508</v>
      </c>
      <c r="P565" s="865" t="e">
        <f>VLOOKUP(N565,etat!$A$9:$N$1004,2,FALSE)</f>
        <v>#N/A</v>
      </c>
      <c r="Q565" s="866" t="e">
        <f>VLOOKUP(N565,etat!$A$9:$N$963,7,FALSE)</f>
        <v>#N/A</v>
      </c>
      <c r="R565" s="866" t="e">
        <f>VLOOKUP(N565,etat!$A$9:$N$1003,9,FALSE)</f>
        <v>#N/A</v>
      </c>
      <c r="S565" s="866" t="e">
        <f>VLOOKUP(N565,etat!$A$9:$P$905,16,FALSE)</f>
        <v>#N/A</v>
      </c>
      <c r="T565" s="867"/>
      <c r="U565" s="868"/>
      <c r="V565" s="869"/>
      <c r="W565" s="869"/>
      <c r="X565" s="869"/>
      <c r="Y565" s="904"/>
      <c r="Z565" s="931" t="str">
        <f>VLOOKUP(L587,اس!$S$3:$X$31,3,FALSE)</f>
        <v>.</v>
      </c>
      <c r="AA565" s="967"/>
    </row>
    <row r="566" spans="12:27" ht="15.75">
      <c r="L566" s="777">
        <v>5</v>
      </c>
      <c r="M566" s="864"/>
      <c r="N566" s="976">
        <v>0</v>
      </c>
      <c r="O566" s="1020">
        <v>509</v>
      </c>
      <c r="P566" s="865" t="e">
        <f>VLOOKUP(N566,etat!$A$9:$N$1004,2,FALSE)</f>
        <v>#N/A</v>
      </c>
      <c r="Q566" s="866" t="e">
        <f>VLOOKUP(N566,etat!$A$9:$N$963,7,FALSE)</f>
        <v>#N/A</v>
      </c>
      <c r="R566" s="866" t="e">
        <f>VLOOKUP(N566,etat!$A$9:$N$1003,9,FALSE)</f>
        <v>#N/A</v>
      </c>
      <c r="S566" s="866" t="e">
        <f>VLOOKUP(N566,etat!$A$9:$P$905,16,FALSE)</f>
        <v>#N/A</v>
      </c>
      <c r="T566" s="867"/>
      <c r="U566" s="868"/>
      <c r="V566" s="869"/>
      <c r="W566" s="869"/>
      <c r="X566" s="869"/>
      <c r="Y566" s="904"/>
      <c r="Z566" s="931" t="str">
        <f>VLOOKUP(L588,اس!$S$3:$X$31,3,FALSE)</f>
        <v>.</v>
      </c>
      <c r="AA566" s="967"/>
    </row>
    <row r="567" spans="12:27" ht="15.75">
      <c r="L567" s="777">
        <v>5</v>
      </c>
      <c r="M567" s="864"/>
      <c r="N567" s="976">
        <v>0</v>
      </c>
      <c r="O567" s="1020">
        <v>510</v>
      </c>
      <c r="P567" s="865" t="e">
        <f>VLOOKUP(N567,etat!$A$9:$N$1004,2,FALSE)</f>
        <v>#N/A</v>
      </c>
      <c r="Q567" s="866" t="e">
        <f>VLOOKUP(N567,etat!$A$9:$N$963,7,FALSE)</f>
        <v>#N/A</v>
      </c>
      <c r="R567" s="866" t="e">
        <f>VLOOKUP(N567,etat!$A$9:$N$1003,9,FALSE)</f>
        <v>#N/A</v>
      </c>
      <c r="S567" s="866" t="e">
        <f>VLOOKUP(N567,etat!$A$9:$P$905,16,FALSE)</f>
        <v>#N/A</v>
      </c>
      <c r="T567" s="867"/>
      <c r="U567" s="868"/>
      <c r="V567" s="869"/>
      <c r="W567" s="869"/>
      <c r="X567" s="869"/>
      <c r="Y567" s="904"/>
      <c r="Z567" s="931" t="str">
        <f>VLOOKUP(L589,اس!$S$3:$X$31,3,FALSE)</f>
        <v>.</v>
      </c>
      <c r="AA567" s="967"/>
    </row>
    <row r="568" spans="12:27" ht="15.75">
      <c r="L568" s="777">
        <v>5</v>
      </c>
      <c r="M568" s="864"/>
      <c r="N568" s="976">
        <v>0</v>
      </c>
      <c r="O568" s="1020">
        <v>511</v>
      </c>
      <c r="P568" s="865" t="e">
        <f>VLOOKUP(N568,etat!$A$9:$N$1004,2,FALSE)</f>
        <v>#N/A</v>
      </c>
      <c r="Q568" s="866" t="e">
        <f>VLOOKUP(N568,etat!$A$9:$N$963,7,FALSE)</f>
        <v>#N/A</v>
      </c>
      <c r="R568" s="866" t="e">
        <f>VLOOKUP(N568,etat!$A$9:$N$1003,9,FALSE)</f>
        <v>#N/A</v>
      </c>
      <c r="S568" s="866" t="e">
        <f>VLOOKUP(N568,etat!$A$9:$P$905,16,FALSE)</f>
        <v>#N/A</v>
      </c>
      <c r="T568" s="867"/>
      <c r="U568" s="868"/>
      <c r="V568" s="869"/>
      <c r="W568" s="869"/>
      <c r="X568" s="869"/>
      <c r="Y568" s="904"/>
      <c r="Z568" s="931" t="str">
        <f>VLOOKUP(L590,اس!$S$3:$X$31,3,FALSE)</f>
        <v>.</v>
      </c>
      <c r="AA568" s="967"/>
    </row>
    <row r="569" spans="12:27" ht="15.75">
      <c r="L569" s="777">
        <v>5</v>
      </c>
      <c r="M569" s="864"/>
      <c r="N569" s="976">
        <v>0</v>
      </c>
      <c r="O569" s="1020">
        <v>512</v>
      </c>
      <c r="P569" s="865" t="e">
        <f>VLOOKUP(N569,etat!$A$9:$N$1004,2,FALSE)</f>
        <v>#N/A</v>
      </c>
      <c r="Q569" s="866" t="e">
        <f>VLOOKUP(N569,etat!$A$9:$N$963,7,FALSE)</f>
        <v>#N/A</v>
      </c>
      <c r="R569" s="866" t="e">
        <f>VLOOKUP(N569,etat!$A$9:$N$1003,9,FALSE)</f>
        <v>#N/A</v>
      </c>
      <c r="S569" s="866" t="e">
        <f>VLOOKUP(N569,etat!$A$9:$P$905,16,FALSE)</f>
        <v>#N/A</v>
      </c>
      <c r="T569" s="867"/>
      <c r="U569" s="868"/>
      <c r="V569" s="869"/>
      <c r="W569" s="869"/>
      <c r="X569" s="869"/>
      <c r="Y569" s="904"/>
      <c r="Z569" s="931" t="str">
        <f>VLOOKUP(L591,اس!$S$3:$X$31,3,FALSE)</f>
        <v>.</v>
      </c>
      <c r="AA569" s="967"/>
    </row>
    <row r="570" spans="12:27" ht="15.75">
      <c r="L570" s="777">
        <v>5</v>
      </c>
      <c r="M570" s="864"/>
      <c r="N570" s="976">
        <v>0</v>
      </c>
      <c r="O570" s="1020">
        <v>513</v>
      </c>
      <c r="P570" s="865" t="e">
        <f>VLOOKUP(N570,etat!$A$9:$N$1004,2,FALSE)</f>
        <v>#N/A</v>
      </c>
      <c r="Q570" s="866" t="e">
        <f>VLOOKUP(N570,etat!$A$9:$N$963,7,FALSE)</f>
        <v>#N/A</v>
      </c>
      <c r="R570" s="866" t="e">
        <f>VLOOKUP(N570,etat!$A$9:$N$1003,9,FALSE)</f>
        <v>#N/A</v>
      </c>
      <c r="S570" s="866" t="e">
        <f>VLOOKUP(N570,etat!$A$9:$P$905,16,FALSE)</f>
        <v>#N/A</v>
      </c>
      <c r="T570" s="867"/>
      <c r="U570" s="868"/>
      <c r="V570" s="869"/>
      <c r="W570" s="869"/>
      <c r="X570" s="869"/>
      <c r="Y570" s="904"/>
      <c r="Z570" s="931" t="str">
        <f>VLOOKUP(L592,اس!$S$3:$X$31,3,FALSE)</f>
        <v>.</v>
      </c>
      <c r="AA570" s="967"/>
    </row>
    <row r="571" spans="12:27" ht="15.75">
      <c r="L571" s="777">
        <v>5</v>
      </c>
      <c r="M571" s="864"/>
      <c r="N571" s="976">
        <v>0</v>
      </c>
      <c r="O571" s="1020">
        <v>514</v>
      </c>
      <c r="P571" s="865" t="e">
        <f>VLOOKUP(N571,etat!$A$9:$N$1004,2,FALSE)</f>
        <v>#N/A</v>
      </c>
      <c r="Q571" s="866" t="e">
        <f>VLOOKUP(N571,etat!$A$9:$N$963,7,FALSE)</f>
        <v>#N/A</v>
      </c>
      <c r="R571" s="866" t="e">
        <f>VLOOKUP(N571,etat!$A$9:$N$1003,9,FALSE)</f>
        <v>#N/A</v>
      </c>
      <c r="S571" s="866" t="e">
        <f>VLOOKUP(N571,etat!$A$9:$P$905,16,FALSE)</f>
        <v>#N/A</v>
      </c>
      <c r="T571" s="867"/>
      <c r="U571" s="868"/>
      <c r="V571" s="869"/>
      <c r="W571" s="869"/>
      <c r="X571" s="869"/>
      <c r="Y571" s="904"/>
      <c r="Z571" s="931" t="str">
        <f>VLOOKUP(L593,اس!$S$3:$X$31,3,FALSE)</f>
        <v>.</v>
      </c>
      <c r="AA571" s="967"/>
    </row>
    <row r="572" spans="12:27" ht="15.75">
      <c r="L572" s="777">
        <v>5</v>
      </c>
      <c r="M572" s="864"/>
      <c r="N572" s="976">
        <v>0</v>
      </c>
      <c r="O572" s="1020">
        <v>515</v>
      </c>
      <c r="P572" s="865" t="e">
        <f>VLOOKUP(N572,etat!$A$9:$N$1004,2,FALSE)</f>
        <v>#N/A</v>
      </c>
      <c r="Q572" s="866" t="e">
        <f>VLOOKUP(N572,etat!$A$9:$N$963,7,FALSE)</f>
        <v>#N/A</v>
      </c>
      <c r="R572" s="866" t="e">
        <f>VLOOKUP(N572,etat!$A$9:$N$1003,9,FALSE)</f>
        <v>#N/A</v>
      </c>
      <c r="S572" s="866" t="e">
        <f>VLOOKUP(N572,etat!$A$9:$P$905,16,FALSE)</f>
        <v>#N/A</v>
      </c>
      <c r="T572" s="867"/>
      <c r="U572" s="868"/>
      <c r="V572" s="869"/>
      <c r="W572" s="869"/>
      <c r="X572" s="869"/>
      <c r="Y572" s="904"/>
      <c r="Z572" s="931" t="str">
        <f>VLOOKUP(L594,اس!$S$3:$X$31,3,FALSE)</f>
        <v>.</v>
      </c>
      <c r="AA572" s="967"/>
    </row>
    <row r="573" spans="12:27" ht="15.75">
      <c r="L573" s="777">
        <v>5</v>
      </c>
      <c r="M573" s="864"/>
      <c r="N573" s="976">
        <v>0</v>
      </c>
      <c r="O573" s="1020">
        <v>516</v>
      </c>
      <c r="P573" s="865" t="e">
        <f>VLOOKUP(N573,etat!$A$9:$N$1004,2,FALSE)</f>
        <v>#N/A</v>
      </c>
      <c r="Q573" s="866" t="e">
        <f>VLOOKUP(N573,etat!$A$9:$N$963,7,FALSE)</f>
        <v>#N/A</v>
      </c>
      <c r="R573" s="866" t="e">
        <f>VLOOKUP(N573,etat!$A$9:$N$1003,9,FALSE)</f>
        <v>#N/A</v>
      </c>
      <c r="S573" s="866" t="e">
        <f>VLOOKUP(N573,etat!$A$9:$P$905,16,FALSE)</f>
        <v>#N/A</v>
      </c>
      <c r="T573" s="867"/>
      <c r="U573" s="868"/>
      <c r="V573" s="869"/>
      <c r="W573" s="869"/>
      <c r="X573" s="869"/>
      <c r="Y573" s="904"/>
      <c r="Z573" s="931" t="str">
        <f>VLOOKUP(L595,اس!$S$3:$X$31,3,FALSE)</f>
        <v>.</v>
      </c>
      <c r="AA573" s="967"/>
    </row>
    <row r="574" spans="12:27" ht="15.75">
      <c r="L574" s="777">
        <v>5</v>
      </c>
      <c r="M574" s="864"/>
      <c r="N574" s="976">
        <v>0</v>
      </c>
      <c r="O574" s="1020">
        <v>517</v>
      </c>
      <c r="P574" s="865" t="e">
        <f>VLOOKUP(N574,etat!$A$9:$N$1004,2,FALSE)</f>
        <v>#N/A</v>
      </c>
      <c r="Q574" s="866" t="e">
        <f>VLOOKUP(N574,etat!$A$9:$N$963,7,FALSE)</f>
        <v>#N/A</v>
      </c>
      <c r="R574" s="866" t="e">
        <f>VLOOKUP(N574,etat!$A$9:$N$1003,9,FALSE)</f>
        <v>#N/A</v>
      </c>
      <c r="S574" s="866" t="e">
        <f>VLOOKUP(N574,etat!$A$9:$P$905,16,FALSE)</f>
        <v>#N/A</v>
      </c>
      <c r="T574" s="867"/>
      <c r="U574" s="868"/>
      <c r="V574" s="869"/>
      <c r="W574" s="869"/>
      <c r="X574" s="869"/>
      <c r="Y574" s="904"/>
      <c r="Z574" s="931" t="str">
        <f>VLOOKUP(L596,اس!$S$3:$X$31,3,FALSE)</f>
        <v>.</v>
      </c>
      <c r="AA574" s="967"/>
    </row>
    <row r="575" spans="12:27" ht="15.75">
      <c r="L575" s="777">
        <v>5</v>
      </c>
      <c r="M575" s="864"/>
      <c r="N575" s="976">
        <v>0</v>
      </c>
      <c r="O575" s="1020">
        <v>518</v>
      </c>
      <c r="P575" s="865" t="e">
        <f>VLOOKUP(N575,etat!$A$9:$N$1004,2,FALSE)</f>
        <v>#N/A</v>
      </c>
      <c r="Q575" s="866" t="e">
        <f>VLOOKUP(N575,etat!$A$9:$N$963,7,FALSE)</f>
        <v>#N/A</v>
      </c>
      <c r="R575" s="866" t="e">
        <f>VLOOKUP(N575,etat!$A$9:$N$1003,9,FALSE)</f>
        <v>#N/A</v>
      </c>
      <c r="S575" s="866" t="e">
        <f>VLOOKUP(N575,etat!$A$9:$P$905,16,FALSE)</f>
        <v>#N/A</v>
      </c>
      <c r="T575" s="867"/>
      <c r="U575" s="868"/>
      <c r="V575" s="869"/>
      <c r="W575" s="869"/>
      <c r="X575" s="869"/>
      <c r="Y575" s="904"/>
      <c r="Z575" s="931" t="str">
        <f>VLOOKUP(L597,اس!$S$3:$X$31,3,FALSE)</f>
        <v>.</v>
      </c>
      <c r="AA575" s="967"/>
    </row>
    <row r="576" spans="12:27" ht="15.75">
      <c r="L576" s="777">
        <v>5</v>
      </c>
      <c r="M576" s="864"/>
      <c r="N576" s="976">
        <v>0</v>
      </c>
      <c r="O576" s="1020">
        <v>519</v>
      </c>
      <c r="P576" s="865" t="e">
        <f>VLOOKUP(N576,etat!$A$9:$N$1004,2,FALSE)</f>
        <v>#N/A</v>
      </c>
      <c r="Q576" s="866" t="e">
        <f>VLOOKUP(N576,etat!$A$9:$N$963,7,FALSE)</f>
        <v>#N/A</v>
      </c>
      <c r="R576" s="866" t="e">
        <f>VLOOKUP(N576,etat!$A$9:$N$1003,9,FALSE)</f>
        <v>#N/A</v>
      </c>
      <c r="S576" s="797" t="e">
        <f>VLOOKUP(N576,etat!$A$9:$P$905,16,FALSE)</f>
        <v>#N/A</v>
      </c>
      <c r="T576" s="867"/>
      <c r="U576" s="868"/>
      <c r="V576" s="869"/>
      <c r="W576" s="869"/>
      <c r="X576" s="869"/>
      <c r="Y576" s="904"/>
      <c r="Z576" s="931" t="str">
        <f>VLOOKUP(L598,اس!$S$3:$X$31,3,FALSE)</f>
        <v>.</v>
      </c>
      <c r="AA576" s="967"/>
    </row>
    <row r="577" spans="12:27" ht="15.75">
      <c r="L577" s="777">
        <v>5</v>
      </c>
      <c r="M577" s="864"/>
      <c r="N577" s="976">
        <v>0</v>
      </c>
      <c r="O577" s="1020">
        <v>520</v>
      </c>
      <c r="P577" s="865" t="e">
        <f>VLOOKUP(N577,etat!$A$9:$N$1004,2,FALSE)</f>
        <v>#N/A</v>
      </c>
      <c r="Q577" s="866" t="e">
        <f>VLOOKUP(N577,etat!$A$9:$N$963,7,FALSE)</f>
        <v>#N/A</v>
      </c>
      <c r="R577" s="866" t="e">
        <f>VLOOKUP(N577,etat!$A$9:$N$1003,9,FALSE)</f>
        <v>#N/A</v>
      </c>
      <c r="S577" s="797" t="e">
        <f>VLOOKUP(N577,etat!$A$9:$P$905,16,FALSE)</f>
        <v>#N/A</v>
      </c>
      <c r="T577" s="867"/>
      <c r="U577" s="868"/>
      <c r="V577" s="869"/>
      <c r="W577" s="869"/>
      <c r="X577" s="869"/>
      <c r="Y577" s="904"/>
      <c r="Z577" s="931" t="str">
        <f>VLOOKUP(L599,اس!$S$3:$X$31,3,FALSE)</f>
        <v>.</v>
      </c>
      <c r="AA577" s="967"/>
    </row>
    <row r="578" spans="12:27" ht="15.75">
      <c r="L578" s="777">
        <v>5</v>
      </c>
      <c r="M578" s="864"/>
      <c r="N578" s="976">
        <v>0</v>
      </c>
      <c r="O578" s="1020">
        <v>521</v>
      </c>
      <c r="P578" s="865" t="e">
        <f>VLOOKUP(N578,etat!$A$9:$N$1004,2,FALSE)</f>
        <v>#N/A</v>
      </c>
      <c r="Q578" s="866" t="e">
        <f>VLOOKUP(N578,etat!$A$9:$N$963,7,FALSE)</f>
        <v>#N/A</v>
      </c>
      <c r="R578" s="866" t="e">
        <f>VLOOKUP(N578,etat!$A$9:$N$1003,9,FALSE)</f>
        <v>#N/A</v>
      </c>
      <c r="S578" s="797" t="e">
        <f>VLOOKUP(N578,etat!$A$9:$P$905,16,FALSE)</f>
        <v>#N/A</v>
      </c>
      <c r="T578" s="867"/>
      <c r="U578" s="868"/>
      <c r="V578" s="869"/>
      <c r="W578" s="869"/>
      <c r="X578" s="869"/>
      <c r="Y578" s="904"/>
      <c r="Z578" s="931" t="str">
        <f>VLOOKUP(L600,اس!$S$3:$X$31,3,FALSE)</f>
        <v>.</v>
      </c>
      <c r="AA578" s="967"/>
    </row>
    <row r="579" spans="12:27" ht="15.75">
      <c r="L579" s="777">
        <v>5</v>
      </c>
      <c r="M579" s="864"/>
      <c r="N579" s="976">
        <v>0</v>
      </c>
      <c r="O579" s="1020">
        <v>522</v>
      </c>
      <c r="P579" s="865" t="e">
        <f>VLOOKUP(N579,etat!$A$9:$N$1004,2,FALSE)</f>
        <v>#N/A</v>
      </c>
      <c r="Q579" s="866" t="e">
        <f>VLOOKUP(N579,etat!$A$9:$N$963,7,FALSE)</f>
        <v>#N/A</v>
      </c>
      <c r="R579" s="866" t="e">
        <f>VLOOKUP(N579,etat!$A$9:$N$1003,9,FALSE)</f>
        <v>#N/A</v>
      </c>
      <c r="S579" s="797" t="e">
        <f>VLOOKUP(N579,etat!$A$9:$P$905,16,FALSE)</f>
        <v>#N/A</v>
      </c>
      <c r="T579" s="867"/>
      <c r="U579" s="868"/>
      <c r="V579" s="869"/>
      <c r="W579" s="869"/>
      <c r="X579" s="869"/>
      <c r="Y579" s="904"/>
      <c r="Z579" s="931" t="str">
        <f>VLOOKUP(L601,اس!$S$3:$X$31,3,FALSE)</f>
        <v>.</v>
      </c>
      <c r="AA579" s="967"/>
    </row>
    <row r="580" spans="12:27" ht="15.75">
      <c r="L580" s="777">
        <v>5</v>
      </c>
      <c r="M580" s="864"/>
      <c r="N580" s="976">
        <v>0</v>
      </c>
      <c r="O580" s="1020">
        <v>523</v>
      </c>
      <c r="P580" s="865" t="e">
        <f>VLOOKUP(N580,etat!$A$9:$N$1004,2,FALSE)</f>
        <v>#N/A</v>
      </c>
      <c r="Q580" s="866" t="e">
        <f>VLOOKUP(N580,etat!$A$9:$N$963,7,FALSE)</f>
        <v>#N/A</v>
      </c>
      <c r="R580" s="866" t="e">
        <f>VLOOKUP(N580,etat!$A$9:$N$1003,9,FALSE)</f>
        <v>#N/A</v>
      </c>
      <c r="S580" s="797" t="e">
        <f>VLOOKUP(N580,etat!$A$9:$P$905,16,FALSE)</f>
        <v>#N/A</v>
      </c>
      <c r="T580" s="867"/>
      <c r="U580" s="868"/>
      <c r="V580" s="869"/>
      <c r="W580" s="869"/>
      <c r="X580" s="869"/>
      <c r="Y580" s="904"/>
      <c r="Z580" s="931" t="str">
        <f>VLOOKUP(L580,اس!$S$3:$X$31,3,FALSE)</f>
        <v>.</v>
      </c>
      <c r="AA580" s="967"/>
    </row>
    <row r="581" spans="12:27" ht="15.75">
      <c r="L581" s="777">
        <v>5</v>
      </c>
      <c r="M581" s="864"/>
      <c r="N581" s="976">
        <v>0</v>
      </c>
      <c r="O581" s="1020">
        <v>524</v>
      </c>
      <c r="P581" s="865" t="e">
        <f>VLOOKUP(N581,etat!$A$9:$N$1004,2,FALSE)</f>
        <v>#N/A</v>
      </c>
      <c r="Q581" s="866" t="e">
        <f>VLOOKUP(N581,etat!$A$9:$N$963,7,FALSE)</f>
        <v>#N/A</v>
      </c>
      <c r="R581" s="866" t="e">
        <f>VLOOKUP(N581,etat!$A$9:$N$1003,9,FALSE)</f>
        <v>#N/A</v>
      </c>
      <c r="S581" s="797" t="e">
        <f>VLOOKUP(N581,etat!$A$9:$P$905,16,FALSE)</f>
        <v>#N/A</v>
      </c>
      <c r="T581" s="867"/>
      <c r="U581" s="868"/>
      <c r="V581" s="869"/>
      <c r="W581" s="869"/>
      <c r="X581" s="869"/>
      <c r="Y581" s="904"/>
      <c r="Z581" s="931" t="str">
        <f>VLOOKUP(L581,اس!$S$3:$X$31,3,FALSE)</f>
        <v>.</v>
      </c>
      <c r="AA581" s="967"/>
    </row>
    <row r="582" spans="12:27" ht="15.75">
      <c r="L582" s="777">
        <v>5</v>
      </c>
      <c r="M582" s="864"/>
      <c r="N582" s="976">
        <v>0</v>
      </c>
      <c r="O582" s="1020">
        <v>525</v>
      </c>
      <c r="P582" s="865" t="e">
        <f>VLOOKUP(N582,etat!$A$9:$N$1004,2,FALSE)</f>
        <v>#N/A</v>
      </c>
      <c r="Q582" s="866" t="e">
        <f>VLOOKUP(N582,etat!$A$9:$N$963,7,FALSE)</f>
        <v>#N/A</v>
      </c>
      <c r="R582" s="866" t="e">
        <f>VLOOKUP(N582,etat!$A$9:$N$1003,9,FALSE)</f>
        <v>#N/A</v>
      </c>
      <c r="S582" s="797" t="e">
        <f>VLOOKUP(N582,etat!$A$9:$P$905,16,FALSE)</f>
        <v>#N/A</v>
      </c>
      <c r="T582" s="867"/>
      <c r="U582" s="868"/>
      <c r="V582" s="869"/>
      <c r="W582" s="869"/>
      <c r="X582" s="869"/>
      <c r="Y582" s="904"/>
      <c r="Z582" s="931" t="str">
        <f>VLOOKUP(L582,اس!$S$3:$X$31,3,FALSE)</f>
        <v>.</v>
      </c>
      <c r="AA582" s="967"/>
    </row>
    <row r="583" spans="12:27" ht="15.75">
      <c r="L583" s="777">
        <v>5</v>
      </c>
      <c r="M583" s="864"/>
      <c r="N583" s="976">
        <v>0</v>
      </c>
      <c r="O583" s="1020">
        <v>526</v>
      </c>
      <c r="P583" s="865" t="e">
        <f>VLOOKUP(N583,etat!$A$9:$N$1004,2,FALSE)</f>
        <v>#N/A</v>
      </c>
      <c r="Q583" s="866" t="e">
        <f>VLOOKUP(N583,etat!$A$9:$N$963,7,FALSE)</f>
        <v>#N/A</v>
      </c>
      <c r="R583" s="866" t="e">
        <f>VLOOKUP(N583,etat!$A$9:$N$1003,9,FALSE)</f>
        <v>#N/A</v>
      </c>
      <c r="S583" s="797" t="e">
        <f>VLOOKUP(N583,etat!$A$9:$P$905,16,FALSE)</f>
        <v>#N/A</v>
      </c>
      <c r="T583" s="867"/>
      <c r="U583" s="868"/>
      <c r="V583" s="869"/>
      <c r="W583" s="869"/>
      <c r="X583" s="869"/>
      <c r="Y583" s="904"/>
      <c r="Z583" s="931" t="str">
        <f>VLOOKUP(L583,اس!$S$3:$X$31,3,FALSE)</f>
        <v>.</v>
      </c>
      <c r="AA583" s="967"/>
    </row>
    <row r="584" spans="12:27" ht="15.75">
      <c r="L584" s="777">
        <v>5</v>
      </c>
      <c r="M584" s="864"/>
      <c r="N584" s="976">
        <v>0</v>
      </c>
      <c r="O584" s="1020">
        <v>527</v>
      </c>
      <c r="P584" s="865" t="e">
        <f>VLOOKUP(N584,etat!$A$9:$N$1004,2,FALSE)</f>
        <v>#N/A</v>
      </c>
      <c r="Q584" s="866" t="e">
        <f>VLOOKUP(N584,etat!$A$9:$N$963,7,FALSE)</f>
        <v>#N/A</v>
      </c>
      <c r="R584" s="866" t="e">
        <f>VLOOKUP(N584,etat!$A$9:$N$1003,9,FALSE)</f>
        <v>#N/A</v>
      </c>
      <c r="S584" s="797" t="e">
        <f>VLOOKUP(N584,etat!$A$9:$P$905,16,FALSE)</f>
        <v>#N/A</v>
      </c>
      <c r="T584" s="867"/>
      <c r="U584" s="868"/>
      <c r="V584" s="869"/>
      <c r="W584" s="869"/>
      <c r="X584" s="869"/>
      <c r="Y584" s="904"/>
      <c r="Z584" s="931" t="str">
        <f>VLOOKUP(L584,اس!$S$3:$X$31,3,FALSE)</f>
        <v>.</v>
      </c>
      <c r="AA584" s="967"/>
    </row>
    <row r="585" spans="12:27" ht="15.75">
      <c r="L585" s="777">
        <v>5</v>
      </c>
      <c r="M585" s="864"/>
      <c r="N585" s="976">
        <v>0</v>
      </c>
      <c r="O585" s="1020">
        <v>528</v>
      </c>
      <c r="P585" s="865" t="e">
        <f>VLOOKUP(N585,etat!$A$9:$N$1004,2,FALSE)</f>
        <v>#N/A</v>
      </c>
      <c r="Q585" s="866" t="e">
        <f>VLOOKUP(N585,etat!$A$9:$N$963,7,FALSE)</f>
        <v>#N/A</v>
      </c>
      <c r="R585" s="866" t="e">
        <f>VLOOKUP(N585,etat!$A$9:$N$1003,9,FALSE)</f>
        <v>#N/A</v>
      </c>
      <c r="S585" s="797" t="e">
        <f>VLOOKUP(N585,etat!$A$9:$P$905,16,FALSE)</f>
        <v>#N/A</v>
      </c>
      <c r="T585" s="867"/>
      <c r="U585" s="868"/>
      <c r="V585" s="869"/>
      <c r="W585" s="869"/>
      <c r="X585" s="869"/>
      <c r="Y585" s="904"/>
      <c r="Z585" s="931" t="str">
        <f>VLOOKUP(L585,اس!$S$3:$X$31,3,FALSE)</f>
        <v>.</v>
      </c>
      <c r="AA585" s="967"/>
    </row>
    <row r="586" spans="12:27" ht="15.75">
      <c r="L586" s="777">
        <v>5</v>
      </c>
      <c r="M586" s="864"/>
      <c r="N586" s="976">
        <v>0</v>
      </c>
      <c r="O586" s="1020">
        <v>529</v>
      </c>
      <c r="P586" s="865" t="e">
        <f>VLOOKUP(N586,etat!$A$9:$N$1004,2,FALSE)</f>
        <v>#N/A</v>
      </c>
      <c r="Q586" s="866" t="e">
        <f>VLOOKUP(N586,etat!$A$9:$N$963,7,FALSE)</f>
        <v>#N/A</v>
      </c>
      <c r="R586" s="866" t="e">
        <f>VLOOKUP(N586,etat!$A$9:$N$1003,9,FALSE)</f>
        <v>#N/A</v>
      </c>
      <c r="S586" s="797" t="e">
        <f>VLOOKUP(N586,etat!$A$9:$P$905,16,FALSE)</f>
        <v>#N/A</v>
      </c>
      <c r="T586" s="867"/>
      <c r="U586" s="868"/>
      <c r="V586" s="869"/>
      <c r="W586" s="869"/>
      <c r="X586" s="869"/>
      <c r="Y586" s="904"/>
      <c r="Z586" s="931" t="str">
        <f>VLOOKUP(L586,اس!$S$3:$X$31,3,FALSE)</f>
        <v>.</v>
      </c>
      <c r="AA586" s="967"/>
    </row>
    <row r="587" spans="12:27" ht="15.75">
      <c r="L587" s="777">
        <v>5</v>
      </c>
      <c r="M587" s="864"/>
      <c r="N587" s="976">
        <v>0</v>
      </c>
      <c r="O587" s="1020">
        <v>530</v>
      </c>
      <c r="P587" s="865" t="e">
        <f>VLOOKUP(N587,etat!$A$9:$N$1004,2,FALSE)</f>
        <v>#N/A</v>
      </c>
      <c r="Q587" s="866" t="e">
        <f>VLOOKUP(N587,etat!$A$9:$N$963,7,FALSE)</f>
        <v>#N/A</v>
      </c>
      <c r="R587" s="866" t="e">
        <f>VLOOKUP(N587,etat!$A$9:$N$1003,9,FALSE)</f>
        <v>#N/A</v>
      </c>
      <c r="S587" s="797" t="e">
        <f>VLOOKUP(N587,etat!$A$9:$P$905,16,FALSE)</f>
        <v>#N/A</v>
      </c>
      <c r="T587" s="867"/>
      <c r="U587" s="868"/>
      <c r="V587" s="869"/>
      <c r="W587" s="869"/>
      <c r="X587" s="869"/>
      <c r="Y587" s="904"/>
      <c r="Z587" s="931" t="str">
        <f>VLOOKUP(L587,اس!$S$3:$X$31,3,FALSE)</f>
        <v>.</v>
      </c>
      <c r="AA587" s="967"/>
    </row>
    <row r="588" spans="12:27" ht="15.75">
      <c r="L588" s="777">
        <v>5</v>
      </c>
      <c r="M588" s="864"/>
      <c r="N588" s="976">
        <v>0</v>
      </c>
      <c r="O588" s="1020">
        <v>531</v>
      </c>
      <c r="P588" s="865" t="e">
        <f>VLOOKUP(N588,etat!$A$9:$N$1004,2,FALSE)</f>
        <v>#N/A</v>
      </c>
      <c r="Q588" s="866" t="e">
        <f>VLOOKUP(N588,etat!$A$9:$N$963,7,FALSE)</f>
        <v>#N/A</v>
      </c>
      <c r="R588" s="866" t="e">
        <f>VLOOKUP(N588,etat!$A$9:$N$1003,9,FALSE)</f>
        <v>#N/A</v>
      </c>
      <c r="S588" s="797" t="e">
        <f>VLOOKUP(N588,etat!$A$9:$P$905,16,FALSE)</f>
        <v>#N/A</v>
      </c>
      <c r="T588" s="867"/>
      <c r="U588" s="868"/>
      <c r="V588" s="869"/>
      <c r="W588" s="869"/>
      <c r="X588" s="869"/>
      <c r="Y588" s="904"/>
      <c r="Z588" s="931" t="str">
        <f>VLOOKUP(L588,اس!$S$3:$X$31,3,FALSE)</f>
        <v>.</v>
      </c>
      <c r="AA588" s="967"/>
    </row>
    <row r="589" spans="12:27" ht="15.75">
      <c r="L589" s="777">
        <v>5</v>
      </c>
      <c r="M589" s="864"/>
      <c r="N589" s="976">
        <v>0</v>
      </c>
      <c r="O589" s="1020">
        <v>532</v>
      </c>
      <c r="P589" s="865" t="e">
        <f>VLOOKUP(N589,etat!$A$9:$N$1004,2,FALSE)</f>
        <v>#N/A</v>
      </c>
      <c r="Q589" s="866" t="e">
        <f>VLOOKUP(N589,etat!$A$9:$N$963,7,FALSE)</f>
        <v>#N/A</v>
      </c>
      <c r="R589" s="866" t="e">
        <f>VLOOKUP(N589,etat!$A$9:$N$1003,9,FALSE)</f>
        <v>#N/A</v>
      </c>
      <c r="S589" s="797" t="e">
        <f>VLOOKUP(N589,etat!$A$9:$P$905,16,FALSE)</f>
        <v>#N/A</v>
      </c>
      <c r="T589" s="867"/>
      <c r="U589" s="868"/>
      <c r="V589" s="869"/>
      <c r="W589" s="869"/>
      <c r="X589" s="869"/>
      <c r="Y589" s="904"/>
      <c r="Z589" s="931" t="str">
        <f>VLOOKUP(L589,اس!$S$3:$X$31,3,FALSE)</f>
        <v>.</v>
      </c>
      <c r="AA589" s="967"/>
    </row>
    <row r="590" spans="12:27" ht="15.75">
      <c r="L590" s="777">
        <v>5</v>
      </c>
      <c r="M590" s="864"/>
      <c r="N590" s="976">
        <v>0</v>
      </c>
      <c r="O590" s="1020">
        <v>533</v>
      </c>
      <c r="P590" s="865" t="s">
        <v>2262</v>
      </c>
      <c r="Q590" s="866" t="e">
        <f>VLOOKUP(N590,etat!$A$9:$N$963,7,FALSE)</f>
        <v>#N/A</v>
      </c>
      <c r="R590" s="866" t="e">
        <f>VLOOKUP(N590,etat!$A$9:$N$1003,9,FALSE)</f>
        <v>#N/A</v>
      </c>
      <c r="S590" s="797" t="e">
        <f>VLOOKUP(N590,etat!$A$9:$P$905,16,FALSE)</f>
        <v>#N/A</v>
      </c>
      <c r="T590" s="867"/>
      <c r="U590" s="868"/>
      <c r="V590" s="869"/>
      <c r="W590" s="869"/>
      <c r="X590" s="869"/>
      <c r="Y590" s="904"/>
      <c r="Z590" s="931" t="str">
        <f>VLOOKUP(L590,اس!$S$3:$X$31,3,FALSE)</f>
        <v>.</v>
      </c>
      <c r="AA590" s="967"/>
    </row>
    <row r="591" spans="12:27" ht="15.75">
      <c r="L591" s="777">
        <v>5</v>
      </c>
      <c r="M591" s="864"/>
      <c r="N591" s="976">
        <v>0</v>
      </c>
      <c r="O591" s="1020">
        <v>534</v>
      </c>
      <c r="P591" s="865" t="e">
        <f>VLOOKUP(N591,etat!$A$9:$N$1004,2,FALSE)</f>
        <v>#N/A</v>
      </c>
      <c r="Q591" s="866" t="e">
        <f>VLOOKUP(N591,etat!$A$9:$N$963,7,FALSE)</f>
        <v>#N/A</v>
      </c>
      <c r="R591" s="866" t="e">
        <f>VLOOKUP(N591,etat!$A$9:$N$1003,9,FALSE)</f>
        <v>#N/A</v>
      </c>
      <c r="S591" s="797" t="e">
        <f>VLOOKUP(N591,etat!$A$9:$P$905,16,FALSE)</f>
        <v>#N/A</v>
      </c>
      <c r="T591" s="867"/>
      <c r="U591" s="868"/>
      <c r="V591" s="869"/>
      <c r="W591" s="869"/>
      <c r="X591" s="869"/>
      <c r="Y591" s="904"/>
      <c r="Z591" s="931" t="str">
        <f>VLOOKUP(L591,اس!$S$3:$X$31,3,FALSE)</f>
        <v>.</v>
      </c>
      <c r="AA591" s="967"/>
    </row>
    <row r="592" spans="12:27" ht="15.75">
      <c r="L592" s="777">
        <v>5</v>
      </c>
      <c r="M592" s="864"/>
      <c r="N592" s="976">
        <v>0</v>
      </c>
      <c r="O592" s="1020">
        <v>535</v>
      </c>
      <c r="P592" s="865" t="e">
        <f>VLOOKUP(N592,etat!$A$9:$N$1004,2,FALSE)</f>
        <v>#N/A</v>
      </c>
      <c r="Q592" s="866" t="e">
        <f>VLOOKUP(N592,etat!$A$9:$N$963,7,FALSE)</f>
        <v>#N/A</v>
      </c>
      <c r="R592" s="866" t="e">
        <f>VLOOKUP(N592,etat!$A$9:$N$1003,9,FALSE)</f>
        <v>#N/A</v>
      </c>
      <c r="S592" s="797" t="e">
        <f>VLOOKUP(N592,etat!$A$9:$P$905,16,FALSE)</f>
        <v>#N/A</v>
      </c>
      <c r="T592" s="867"/>
      <c r="U592" s="868"/>
      <c r="V592" s="869"/>
      <c r="W592" s="869"/>
      <c r="X592" s="869"/>
      <c r="Y592" s="904"/>
      <c r="Z592" s="931" t="str">
        <f>VLOOKUP(L592,اس!$S$3:$X$31,3,FALSE)</f>
        <v>.</v>
      </c>
      <c r="AA592" s="967"/>
    </row>
    <row r="593" spans="12:27" ht="15.75">
      <c r="L593" s="777">
        <v>5</v>
      </c>
      <c r="M593" s="864"/>
      <c r="N593" s="976">
        <v>0</v>
      </c>
      <c r="O593" s="1020">
        <v>536</v>
      </c>
      <c r="P593" s="865" t="e">
        <f>VLOOKUP(N593,etat!$A$9:$N$1004,2,FALSE)</f>
        <v>#N/A</v>
      </c>
      <c r="Q593" s="866" t="e">
        <f>VLOOKUP(N593,etat!$A$9:$N$963,7,FALSE)</f>
        <v>#N/A</v>
      </c>
      <c r="R593" s="866" t="e">
        <f>VLOOKUP(N593,etat!$A$9:$N$1003,9,FALSE)</f>
        <v>#N/A</v>
      </c>
      <c r="S593" s="797" t="e">
        <f>VLOOKUP(N593,etat!$A$9:$P$905,16,FALSE)</f>
        <v>#N/A</v>
      </c>
      <c r="T593" s="867"/>
      <c r="U593" s="868"/>
      <c r="V593" s="869"/>
      <c r="W593" s="869"/>
      <c r="X593" s="869"/>
      <c r="Y593" s="904"/>
      <c r="Z593" s="931" t="str">
        <f>VLOOKUP(L593,اس!$S$3:$X$31,3,FALSE)</f>
        <v>.</v>
      </c>
      <c r="AA593" s="967"/>
    </row>
    <row r="594" spans="12:27" ht="15.75">
      <c r="L594" s="777">
        <v>5</v>
      </c>
      <c r="M594" s="864"/>
      <c r="N594" s="976">
        <v>0</v>
      </c>
      <c r="O594" s="1020">
        <v>537</v>
      </c>
      <c r="P594" s="865" t="e">
        <f>VLOOKUP(N594,etat!$A$9:$N$1004,2,FALSE)</f>
        <v>#N/A</v>
      </c>
      <c r="Q594" s="866" t="e">
        <f>VLOOKUP(N594,etat!$A$9:$N$963,7,FALSE)</f>
        <v>#N/A</v>
      </c>
      <c r="R594" s="866" t="e">
        <f>VLOOKUP(N594,etat!$A$9:$N$1003,9,FALSE)</f>
        <v>#N/A</v>
      </c>
      <c r="S594" s="797" t="e">
        <f>VLOOKUP(N594,etat!$A$9:$P$905,16,FALSE)</f>
        <v>#N/A</v>
      </c>
      <c r="T594" s="867"/>
      <c r="U594" s="868"/>
      <c r="V594" s="869"/>
      <c r="W594" s="869"/>
      <c r="X594" s="869"/>
      <c r="Y594" s="904"/>
      <c r="Z594" s="931" t="str">
        <f>VLOOKUP(L594,اس!$S$3:$X$31,3,FALSE)</f>
        <v>.</v>
      </c>
      <c r="AA594" s="967"/>
    </row>
    <row r="595" spans="12:27" ht="15.75">
      <c r="L595" s="777">
        <v>5</v>
      </c>
      <c r="M595" s="864"/>
      <c r="N595" s="976">
        <v>0</v>
      </c>
      <c r="O595" s="1020">
        <v>538</v>
      </c>
      <c r="P595" s="865" t="e">
        <f>VLOOKUP(N595,etat!$A$9:$N$1004,2,FALSE)</f>
        <v>#N/A</v>
      </c>
      <c r="Q595" s="866" t="e">
        <f>VLOOKUP(N595,etat!$A$9:$N$963,7,FALSE)</f>
        <v>#N/A</v>
      </c>
      <c r="R595" s="866" t="e">
        <f>VLOOKUP(N595,etat!$A$9:$N$1003,9,FALSE)</f>
        <v>#N/A</v>
      </c>
      <c r="S595" s="797" t="e">
        <f>VLOOKUP(N595,etat!$A$9:$P$905,16,FALSE)</f>
        <v>#N/A</v>
      </c>
      <c r="T595" s="867"/>
      <c r="U595" s="868"/>
      <c r="V595" s="869"/>
      <c r="W595" s="869"/>
      <c r="X595" s="869"/>
      <c r="Y595" s="904"/>
      <c r="Z595" s="931" t="str">
        <f>VLOOKUP(L595,اس!$S$3:$X$31,3,FALSE)</f>
        <v>.</v>
      </c>
      <c r="AA595" s="967"/>
    </row>
    <row r="596" spans="12:27" ht="15.75">
      <c r="L596" s="777">
        <v>5</v>
      </c>
      <c r="M596" s="864"/>
      <c r="N596" s="976">
        <v>0</v>
      </c>
      <c r="O596" s="1020">
        <v>539</v>
      </c>
      <c r="P596" s="865" t="e">
        <f>VLOOKUP(N596,etat!$A$9:$N$1004,2,FALSE)</f>
        <v>#N/A</v>
      </c>
      <c r="Q596" s="866" t="e">
        <f>VLOOKUP(N596,etat!$A$9:$N$963,7,FALSE)</f>
        <v>#N/A</v>
      </c>
      <c r="R596" s="866" t="e">
        <f>VLOOKUP(N596,etat!$A$9:$N$1003,9,FALSE)</f>
        <v>#N/A</v>
      </c>
      <c r="S596" s="797" t="e">
        <f>VLOOKUP(N596,etat!$A$9:$P$905,16,FALSE)</f>
        <v>#N/A</v>
      </c>
      <c r="T596" s="867"/>
      <c r="U596" s="868"/>
      <c r="V596" s="869"/>
      <c r="W596" s="869"/>
      <c r="X596" s="869"/>
      <c r="Y596" s="904"/>
      <c r="Z596" s="931" t="str">
        <f>VLOOKUP(L596,اس!$S$3:$X$31,3,FALSE)</f>
        <v>.</v>
      </c>
      <c r="AA596" s="967"/>
    </row>
    <row r="597" spans="12:27" ht="15.75">
      <c r="L597" s="777">
        <v>5</v>
      </c>
      <c r="M597" s="864"/>
      <c r="N597" s="976">
        <v>0</v>
      </c>
      <c r="O597" s="1020">
        <v>540</v>
      </c>
      <c r="P597" s="865" t="e">
        <f>VLOOKUP(N597,etat!$A$9:$N$1004,2,FALSE)</f>
        <v>#N/A</v>
      </c>
      <c r="Q597" s="866" t="e">
        <f>VLOOKUP(N597,etat!$A$9:$N$963,7,FALSE)</f>
        <v>#N/A</v>
      </c>
      <c r="R597" s="866" t="e">
        <f>VLOOKUP(N597,etat!$A$9:$N$1003,9,FALSE)</f>
        <v>#N/A</v>
      </c>
      <c r="S597" s="797" t="e">
        <f>VLOOKUP(N597,etat!$A$9:$P$905,16,FALSE)</f>
        <v>#N/A</v>
      </c>
      <c r="T597" s="867"/>
      <c r="U597" s="868"/>
      <c r="V597" s="869"/>
      <c r="W597" s="869"/>
      <c r="X597" s="869"/>
      <c r="Y597" s="904"/>
      <c r="Z597" s="931" t="str">
        <f>VLOOKUP(L597,اس!$S$3:$X$31,3,FALSE)</f>
        <v>.</v>
      </c>
      <c r="AA597" s="967"/>
    </row>
    <row r="598" spans="12:27" ht="15.75">
      <c r="L598" s="777">
        <v>5</v>
      </c>
      <c r="M598" s="864"/>
      <c r="N598" s="976">
        <v>0</v>
      </c>
      <c r="O598" s="1020">
        <v>541</v>
      </c>
      <c r="P598" s="865" t="e">
        <f>VLOOKUP(N598,etat!$A$9:$N$1004,2,FALSE)</f>
        <v>#N/A</v>
      </c>
      <c r="Q598" s="866" t="e">
        <f>VLOOKUP(N598,etat!$A$9:$N$963,7,FALSE)</f>
        <v>#N/A</v>
      </c>
      <c r="R598" s="866" t="e">
        <f>VLOOKUP(N598,etat!$A$9:$N$1003,9,FALSE)</f>
        <v>#N/A</v>
      </c>
      <c r="S598" s="797" t="e">
        <f>VLOOKUP(N598,etat!$A$9:$P$905,16,FALSE)</f>
        <v>#N/A</v>
      </c>
      <c r="T598" s="867"/>
      <c r="U598" s="868"/>
      <c r="V598" s="869"/>
      <c r="W598" s="869"/>
      <c r="X598" s="869"/>
      <c r="Y598" s="904"/>
      <c r="Z598" s="931" t="str">
        <f>VLOOKUP(L598,اس!$S$3:$X$31,3,FALSE)</f>
        <v>.</v>
      </c>
      <c r="AA598" s="967"/>
    </row>
    <row r="599" spans="12:27" ht="15.75">
      <c r="L599" s="777">
        <v>5</v>
      </c>
      <c r="M599" s="864"/>
      <c r="N599" s="976">
        <v>0</v>
      </c>
      <c r="O599" s="1020">
        <v>542</v>
      </c>
      <c r="P599" s="865" t="e">
        <f>VLOOKUP(N599,etat!$A$9:$N$1004,2,FALSE)</f>
        <v>#N/A</v>
      </c>
      <c r="Q599" s="866" t="e">
        <f>VLOOKUP(N599,etat!$A$9:$N$963,7,FALSE)</f>
        <v>#N/A</v>
      </c>
      <c r="R599" s="866" t="e">
        <f>VLOOKUP(N599,etat!$A$9:$N$1003,9,FALSE)</f>
        <v>#N/A</v>
      </c>
      <c r="S599" s="797" t="e">
        <f>VLOOKUP(N599,etat!$A$9:$P$905,16,FALSE)</f>
        <v>#N/A</v>
      </c>
      <c r="T599" s="867"/>
      <c r="U599" s="868"/>
      <c r="V599" s="869"/>
      <c r="W599" s="869"/>
      <c r="X599" s="869"/>
      <c r="Y599" s="904"/>
      <c r="Z599" s="931" t="str">
        <f>VLOOKUP(L599,اس!$S$3:$X$31,3,FALSE)</f>
        <v>.</v>
      </c>
      <c r="AA599" s="967"/>
    </row>
    <row r="600" spans="12:27" ht="15.75">
      <c r="L600" s="777">
        <v>5</v>
      </c>
      <c r="M600" s="864"/>
      <c r="N600" s="976">
        <v>0</v>
      </c>
      <c r="O600" s="1020">
        <v>543</v>
      </c>
      <c r="P600" s="865" t="e">
        <f>VLOOKUP(N600,etat!$A$9:$N$1004,2,FALSE)</f>
        <v>#N/A</v>
      </c>
      <c r="Q600" s="866" t="e">
        <f>VLOOKUP(N600,etat!$A$9:$N$963,7,FALSE)</f>
        <v>#N/A</v>
      </c>
      <c r="R600" s="866" t="e">
        <f>VLOOKUP(N600,etat!$A$9:$N$1003,9,FALSE)</f>
        <v>#N/A</v>
      </c>
      <c r="S600" s="797" t="e">
        <f>VLOOKUP(N600,etat!$A$9:$P$905,16,FALSE)</f>
        <v>#N/A</v>
      </c>
      <c r="T600" s="867"/>
      <c r="U600" s="868"/>
      <c r="V600" s="869"/>
      <c r="W600" s="869"/>
      <c r="X600" s="869"/>
      <c r="Y600" s="904"/>
      <c r="Z600" s="931" t="str">
        <f>VLOOKUP(L600,اس!$S$3:$X$31,3,FALSE)</f>
        <v>.</v>
      </c>
      <c r="AA600" s="967"/>
    </row>
    <row r="601" spans="12:27" ht="15.75">
      <c r="L601" s="777">
        <v>5</v>
      </c>
      <c r="M601" s="864"/>
      <c r="N601" s="976">
        <v>0</v>
      </c>
      <c r="O601" s="1020">
        <v>544</v>
      </c>
      <c r="P601" s="865" t="e">
        <f>VLOOKUP(N601,etat!$A$9:$N$1004,2,FALSE)</f>
        <v>#N/A</v>
      </c>
      <c r="Q601" s="866" t="e">
        <f>VLOOKUP(N601,etat!$A$9:$N$963,7,FALSE)</f>
        <v>#N/A</v>
      </c>
      <c r="R601" s="866" t="e">
        <f>VLOOKUP(N601,etat!$A$9:$N$1003,9,FALSE)</f>
        <v>#N/A</v>
      </c>
      <c r="S601" s="797" t="e">
        <f>VLOOKUP(N601,etat!$A$9:$P$905,16,FALSE)</f>
        <v>#N/A</v>
      </c>
      <c r="T601" s="867"/>
      <c r="U601" s="868"/>
      <c r="V601" s="869"/>
      <c r="W601" s="869"/>
      <c r="X601" s="869"/>
      <c r="Y601" s="904"/>
      <c r="Z601" s="931" t="str">
        <f>VLOOKUP(L601,اس!$S$3:$X$31,3,FALSE)</f>
        <v>.</v>
      </c>
      <c r="AA601" s="967"/>
    </row>
    <row r="602" spans="12:27" ht="15.75">
      <c r="L602" s="777">
        <v>5</v>
      </c>
      <c r="M602" s="864"/>
      <c r="N602" s="976">
        <v>0</v>
      </c>
      <c r="O602" s="1020">
        <v>545</v>
      </c>
      <c r="P602" s="865" t="e">
        <f>VLOOKUP(N602,etat!$A$9:$N$1004,2,FALSE)</f>
        <v>#N/A</v>
      </c>
      <c r="Q602" s="866" t="e">
        <f>VLOOKUP(N602,etat!$A$9:$N$963,7,FALSE)</f>
        <v>#N/A</v>
      </c>
      <c r="R602" s="866" t="e">
        <f>VLOOKUP(N602,etat!$A$9:$N$1003,9,FALSE)</f>
        <v>#N/A</v>
      </c>
      <c r="S602" s="797" t="e">
        <f>VLOOKUP(N602,etat!$A$9:$P$905,16,FALSE)</f>
        <v>#N/A</v>
      </c>
      <c r="T602" s="867"/>
      <c r="U602" s="868"/>
      <c r="V602" s="869"/>
      <c r="W602" s="869"/>
      <c r="X602" s="869"/>
      <c r="Y602" s="904"/>
      <c r="Z602" s="931" t="str">
        <f>VLOOKUP(L602,اس!$S$3:$X$31,3,FALSE)</f>
        <v>.</v>
      </c>
      <c r="AA602" s="967"/>
    </row>
    <row r="603" spans="12:27" ht="15.75">
      <c r="L603" s="777">
        <v>5</v>
      </c>
      <c r="M603" s="864"/>
      <c r="N603" s="976">
        <v>0</v>
      </c>
      <c r="O603" s="1020">
        <v>546</v>
      </c>
      <c r="P603" s="865" t="e">
        <f>VLOOKUP(N603,etat!$A$9:$N$1004,2,FALSE)</f>
        <v>#N/A</v>
      </c>
      <c r="Q603" s="866" t="e">
        <f>VLOOKUP(N603,etat!$A$9:$N$963,7,FALSE)</f>
        <v>#N/A</v>
      </c>
      <c r="R603" s="866" t="e">
        <f>VLOOKUP(N603,etat!$A$9:$N$1003,9,FALSE)</f>
        <v>#N/A</v>
      </c>
      <c r="S603" s="797" t="e">
        <f>VLOOKUP(N603,etat!$A$9:$P$905,16,FALSE)</f>
        <v>#N/A</v>
      </c>
      <c r="T603" s="867"/>
      <c r="U603" s="868"/>
      <c r="V603" s="869"/>
      <c r="W603" s="869"/>
      <c r="X603" s="869"/>
      <c r="Y603" s="904"/>
      <c r="Z603" s="931" t="str">
        <f>VLOOKUP(L603,اس!$S$3:$X$31,3,FALSE)</f>
        <v>.</v>
      </c>
      <c r="AA603" s="967"/>
    </row>
    <row r="604" spans="12:27" ht="15.75">
      <c r="L604" s="777">
        <v>5</v>
      </c>
      <c r="M604" s="864"/>
      <c r="N604" s="976">
        <v>0</v>
      </c>
      <c r="O604" s="1020">
        <v>547</v>
      </c>
      <c r="P604" s="865" t="e">
        <f>VLOOKUP(N604,etat!$A$9:$N$1004,2,FALSE)</f>
        <v>#N/A</v>
      </c>
      <c r="Q604" s="866" t="e">
        <f>VLOOKUP(N604,etat!$A$9:$N$963,7,FALSE)</f>
        <v>#N/A</v>
      </c>
      <c r="R604" s="866" t="e">
        <f>VLOOKUP(N604,etat!$A$9:$N$1003,9,FALSE)</f>
        <v>#N/A</v>
      </c>
      <c r="S604" s="797" t="e">
        <f>VLOOKUP(N604,etat!$A$9:$P$905,16,FALSE)</f>
        <v>#N/A</v>
      </c>
      <c r="T604" s="867"/>
      <c r="U604" s="868"/>
      <c r="V604" s="869"/>
      <c r="W604" s="869"/>
      <c r="X604" s="869"/>
      <c r="Y604" s="904"/>
      <c r="Z604" s="931" t="str">
        <f>VLOOKUP(L604,اس!$S$3:$X$31,3,FALSE)</f>
        <v>.</v>
      </c>
      <c r="AA604" s="967"/>
    </row>
    <row r="605" spans="12:27" ht="15.75">
      <c r="L605" s="777">
        <v>5</v>
      </c>
      <c r="M605" s="864"/>
      <c r="N605" s="976">
        <v>0</v>
      </c>
      <c r="O605" s="1020">
        <v>548</v>
      </c>
      <c r="P605" s="865" t="e">
        <f>VLOOKUP(N605,etat!$A$9:$N$1004,2,FALSE)</f>
        <v>#N/A</v>
      </c>
      <c r="Q605" s="866" t="e">
        <f>VLOOKUP(N605,etat!$A$9:$N$963,7,FALSE)</f>
        <v>#N/A</v>
      </c>
      <c r="R605" s="866" t="e">
        <f>VLOOKUP(N605,etat!$A$9:$N$1003,9,FALSE)</f>
        <v>#N/A</v>
      </c>
      <c r="S605" s="797" t="e">
        <f>VLOOKUP(N605,etat!$A$9:$P$905,16,FALSE)</f>
        <v>#N/A</v>
      </c>
      <c r="T605" s="867"/>
      <c r="U605" s="868"/>
      <c r="V605" s="869"/>
      <c r="W605" s="869"/>
      <c r="X605" s="869"/>
      <c r="Y605" s="904"/>
      <c r="Z605" s="931" t="str">
        <f>VLOOKUP(L605,اس!$S$3:$X$31,3,FALSE)</f>
        <v>.</v>
      </c>
      <c r="AA605" s="967"/>
    </row>
    <row r="606" spans="12:27" ht="15.75">
      <c r="L606" s="777">
        <v>5</v>
      </c>
      <c r="M606" s="864"/>
      <c r="N606" s="976">
        <v>0</v>
      </c>
      <c r="O606" s="1020">
        <v>549</v>
      </c>
      <c r="P606" s="865" t="e">
        <f>VLOOKUP(N606,etat!$A$9:$N$1004,2,FALSE)</f>
        <v>#N/A</v>
      </c>
      <c r="Q606" s="866" t="e">
        <f>VLOOKUP(N606,etat!$A$9:$N$963,7,FALSE)</f>
        <v>#N/A</v>
      </c>
      <c r="R606" s="866" t="e">
        <f>VLOOKUP(N606,etat!$A$9:$N$1003,9,FALSE)</f>
        <v>#N/A</v>
      </c>
      <c r="S606" s="797" t="e">
        <f>VLOOKUP(N606,etat!$A$9:$P$905,16,FALSE)</f>
        <v>#N/A</v>
      </c>
      <c r="T606" s="867"/>
      <c r="U606" s="868"/>
      <c r="V606" s="869"/>
      <c r="W606" s="869"/>
      <c r="X606" s="869"/>
      <c r="Y606" s="904"/>
      <c r="Z606" s="931" t="str">
        <f>VLOOKUP(L606,اس!$S$3:$X$31,3,FALSE)</f>
        <v>.</v>
      </c>
    </row>
    <row r="607" spans="12:27" ht="15.75">
      <c r="L607" s="777">
        <v>5</v>
      </c>
      <c r="M607" s="864"/>
      <c r="N607" s="976">
        <v>0</v>
      </c>
      <c r="O607" s="1020">
        <v>550</v>
      </c>
      <c r="P607" s="865" t="e">
        <f>VLOOKUP(N607,etat!$A$9:$N$1004,2,FALSE)</f>
        <v>#N/A</v>
      </c>
      <c r="Q607" s="866" t="e">
        <f>VLOOKUP(N607,etat!$A$9:$N$963,7,FALSE)</f>
        <v>#N/A</v>
      </c>
      <c r="R607" s="866" t="e">
        <f>VLOOKUP(N607,etat!$A$9:$N$1003,9,FALSE)</f>
        <v>#N/A</v>
      </c>
      <c r="S607" s="797" t="e">
        <f>VLOOKUP(N607,etat!$A$9:$P$905,16,FALSE)</f>
        <v>#N/A</v>
      </c>
      <c r="T607" s="867"/>
      <c r="U607" s="868"/>
      <c r="V607" s="869"/>
      <c r="W607" s="869"/>
      <c r="X607" s="869"/>
      <c r="Y607" s="904"/>
      <c r="Z607" s="931" t="str">
        <f>VLOOKUP(L607,اس!$S$3:$X$31,3,FALSE)</f>
        <v>.</v>
      </c>
    </row>
    <row r="608" spans="12:27" ht="15.75">
      <c r="L608" s="777">
        <v>5</v>
      </c>
      <c r="M608" s="864"/>
      <c r="N608" s="976">
        <v>0</v>
      </c>
      <c r="O608" s="1020">
        <v>551</v>
      </c>
      <c r="P608" s="865" t="e">
        <f>VLOOKUP(N608,etat!$A$9:$N$1004,2,FALSE)</f>
        <v>#N/A</v>
      </c>
      <c r="Q608" s="866" t="e">
        <f>VLOOKUP(N608,etat!$A$9:$N$963,7,FALSE)</f>
        <v>#N/A</v>
      </c>
      <c r="R608" s="866" t="e">
        <f>VLOOKUP(N608,etat!$A$9:$N$1003,9,FALSE)</f>
        <v>#N/A</v>
      </c>
      <c r="S608" s="797" t="e">
        <f>VLOOKUP(N608,etat!$A$9:$P$905,16,FALSE)</f>
        <v>#N/A</v>
      </c>
      <c r="T608" s="867"/>
      <c r="U608" s="868"/>
      <c r="V608" s="869"/>
      <c r="W608" s="869"/>
      <c r="X608" s="869"/>
      <c r="Y608" s="904"/>
      <c r="Z608" s="931" t="str">
        <f>VLOOKUP(L608,اس!$S$3:$X$31,3,FALSE)</f>
        <v>.</v>
      </c>
    </row>
    <row r="609" spans="12:26" ht="15.75">
      <c r="L609" s="777">
        <v>5</v>
      </c>
      <c r="M609" s="864"/>
      <c r="N609" s="976">
        <v>0</v>
      </c>
      <c r="O609" s="1020">
        <v>552</v>
      </c>
      <c r="P609" s="865" t="e">
        <f>VLOOKUP(N609,etat!$A$9:$N$1004,2,FALSE)</f>
        <v>#N/A</v>
      </c>
      <c r="Q609" s="866" t="e">
        <f>VLOOKUP(N609,etat!$A$9:$N$963,7,FALSE)</f>
        <v>#N/A</v>
      </c>
      <c r="R609" s="866" t="e">
        <f>VLOOKUP(N609,etat!$A$9:$N$1003,9,FALSE)</f>
        <v>#N/A</v>
      </c>
      <c r="S609" s="797" t="e">
        <f>VLOOKUP(N609,etat!$A$9:$P$905,16,FALSE)</f>
        <v>#N/A</v>
      </c>
      <c r="T609" s="867"/>
      <c r="U609" s="868"/>
      <c r="V609" s="869"/>
      <c r="W609" s="869"/>
      <c r="X609" s="869"/>
      <c r="Y609" s="904"/>
      <c r="Z609" s="931" t="str">
        <f>VLOOKUP(L609,اس!$S$3:$X$31,3,FALSE)</f>
        <v>.</v>
      </c>
    </row>
    <row r="610" spans="12:26" ht="15.75">
      <c r="L610" s="777">
        <v>5</v>
      </c>
      <c r="M610" s="864"/>
      <c r="N610" s="976">
        <v>0</v>
      </c>
      <c r="O610" s="1020">
        <v>553</v>
      </c>
      <c r="P610" s="865" t="e">
        <f>VLOOKUP(N610,etat!$A$9:$N$1004,2,FALSE)</f>
        <v>#N/A</v>
      </c>
      <c r="Q610" s="866" t="e">
        <f>VLOOKUP(N610,etat!$A$9:$N$963,7,FALSE)</f>
        <v>#N/A</v>
      </c>
      <c r="R610" s="866" t="e">
        <f>VLOOKUP(N610,etat!$A$9:$N$1003,9,FALSE)</f>
        <v>#N/A</v>
      </c>
      <c r="S610" s="797" t="e">
        <f>VLOOKUP(N610,etat!$A$9:$P$905,16,FALSE)</f>
        <v>#N/A</v>
      </c>
      <c r="T610" s="867"/>
      <c r="U610" s="868"/>
      <c r="V610" s="869"/>
      <c r="W610" s="869"/>
      <c r="X610" s="869"/>
      <c r="Y610" s="904"/>
      <c r="Z610" s="931" t="str">
        <f>VLOOKUP(L610,اس!$S$3:$X$31,3,FALSE)</f>
        <v>.</v>
      </c>
    </row>
    <row r="611" spans="12:26" ht="15.75">
      <c r="L611" s="777">
        <v>5</v>
      </c>
      <c r="M611" s="864"/>
      <c r="N611" s="976">
        <v>0</v>
      </c>
      <c r="O611" s="1020">
        <v>554</v>
      </c>
      <c r="P611" s="865" t="e">
        <f>VLOOKUP(N611,etat!$A$9:$N$1004,2,FALSE)</f>
        <v>#N/A</v>
      </c>
      <c r="Q611" s="866" t="e">
        <f>VLOOKUP(N611,etat!$A$9:$N$963,7,FALSE)</f>
        <v>#N/A</v>
      </c>
      <c r="R611" s="866" t="e">
        <f>VLOOKUP(N611,etat!$A$9:$N$1003,9,FALSE)</f>
        <v>#N/A</v>
      </c>
      <c r="S611" s="797" t="e">
        <f>VLOOKUP(N611,etat!$A$9:$P$905,16,FALSE)</f>
        <v>#N/A</v>
      </c>
      <c r="T611" s="867"/>
      <c r="U611" s="868"/>
      <c r="V611" s="869"/>
      <c r="W611" s="869"/>
      <c r="X611" s="869"/>
      <c r="Y611" s="904"/>
      <c r="Z611" s="931" t="str">
        <f>VLOOKUP(L611,اس!$S$3:$X$31,3,FALSE)</f>
        <v>.</v>
      </c>
    </row>
    <row r="612" spans="12:26" ht="15.75">
      <c r="L612" s="777">
        <v>5</v>
      </c>
      <c r="M612" s="864"/>
      <c r="N612" s="976">
        <v>0</v>
      </c>
      <c r="O612" s="1020">
        <v>555</v>
      </c>
      <c r="P612" s="865" t="e">
        <f>VLOOKUP(N612,etat!$A$9:$N$1004,2,FALSE)</f>
        <v>#N/A</v>
      </c>
      <c r="Q612" s="866" t="e">
        <f>VLOOKUP(N612,etat!$A$9:$N$963,7,FALSE)</f>
        <v>#N/A</v>
      </c>
      <c r="R612" s="866" t="e">
        <f>VLOOKUP(N612,etat!$A$9:$N$1003,9,FALSE)</f>
        <v>#N/A</v>
      </c>
      <c r="S612" s="797" t="e">
        <f>VLOOKUP(N612,etat!$A$9:$P$905,16,FALSE)</f>
        <v>#N/A</v>
      </c>
      <c r="T612" s="867"/>
      <c r="U612" s="868"/>
      <c r="V612" s="869"/>
      <c r="W612" s="869"/>
      <c r="X612" s="869"/>
      <c r="Y612" s="904"/>
      <c r="Z612" s="931" t="str">
        <f>VLOOKUP(L612,اس!$S$3:$X$31,3,FALSE)</f>
        <v>.</v>
      </c>
    </row>
    <row r="613" spans="12:26" ht="15.75">
      <c r="L613" s="777">
        <v>5</v>
      </c>
      <c r="M613" s="864"/>
      <c r="N613" s="976">
        <v>0</v>
      </c>
      <c r="O613" s="1020">
        <v>556</v>
      </c>
      <c r="P613" s="865" t="e">
        <f>VLOOKUP(N613,etat!$A$9:$N$1004,2,FALSE)</f>
        <v>#N/A</v>
      </c>
      <c r="Q613" s="866" t="e">
        <f>VLOOKUP(N613,etat!$A$9:$N$963,7,FALSE)</f>
        <v>#N/A</v>
      </c>
      <c r="R613" s="866" t="e">
        <f>VLOOKUP(N613,etat!$A$9:$N$1003,9,FALSE)</f>
        <v>#N/A</v>
      </c>
      <c r="S613" s="797" t="e">
        <f>VLOOKUP(N613,etat!$A$9:$P$905,16,FALSE)</f>
        <v>#N/A</v>
      </c>
      <c r="T613" s="867"/>
      <c r="U613" s="868"/>
      <c r="V613" s="869"/>
      <c r="W613" s="869"/>
      <c r="X613" s="869"/>
      <c r="Y613" s="904"/>
      <c r="Z613" s="931" t="str">
        <f>VLOOKUP(L613,اس!$S$3:$X$31,3,FALSE)</f>
        <v>.</v>
      </c>
    </row>
    <row r="614" spans="12:26" ht="15.75">
      <c r="L614" s="777">
        <v>5</v>
      </c>
      <c r="M614" s="864"/>
      <c r="N614" s="976">
        <v>0</v>
      </c>
      <c r="O614" s="1020">
        <v>557</v>
      </c>
      <c r="P614" s="865" t="e">
        <f>VLOOKUP(N614,etat!$A$9:$N$1004,2,FALSE)</f>
        <v>#N/A</v>
      </c>
      <c r="Q614" s="866" t="e">
        <f>VLOOKUP(N614,etat!$A$9:$N$963,7,FALSE)</f>
        <v>#N/A</v>
      </c>
      <c r="R614" s="866" t="e">
        <f>VLOOKUP(N614,etat!$A$9:$N$1003,9,FALSE)</f>
        <v>#N/A</v>
      </c>
      <c r="S614" s="797" t="e">
        <f>VLOOKUP(N614,etat!$A$9:$P$905,16,FALSE)</f>
        <v>#N/A</v>
      </c>
      <c r="T614" s="867"/>
      <c r="U614" s="868"/>
      <c r="V614" s="869"/>
      <c r="W614" s="869"/>
      <c r="X614" s="869"/>
      <c r="Y614" s="904"/>
      <c r="Z614" s="931" t="str">
        <f>VLOOKUP(L614,اس!$S$3:$X$31,3,FALSE)</f>
        <v>.</v>
      </c>
    </row>
    <row r="615" spans="12:26" ht="15.75">
      <c r="L615" s="777">
        <v>5</v>
      </c>
      <c r="M615" s="864"/>
      <c r="N615" s="976">
        <v>0</v>
      </c>
      <c r="O615" s="1020">
        <v>558</v>
      </c>
      <c r="P615" s="865" t="e">
        <f>VLOOKUP(N615,etat!$A$9:$N$1004,2,FALSE)</f>
        <v>#N/A</v>
      </c>
      <c r="Q615" s="866" t="e">
        <f>VLOOKUP(N615,etat!$A$9:$N$963,7,FALSE)</f>
        <v>#N/A</v>
      </c>
      <c r="R615" s="866" t="e">
        <f>VLOOKUP(N615,etat!$A$9:$N$1003,9,FALSE)</f>
        <v>#N/A</v>
      </c>
      <c r="S615" s="797" t="e">
        <f>VLOOKUP(N615,etat!$A$9:$P$905,16,FALSE)</f>
        <v>#N/A</v>
      </c>
      <c r="T615" s="867"/>
      <c r="U615" s="868"/>
      <c r="V615" s="869"/>
      <c r="W615" s="869"/>
      <c r="X615" s="869"/>
      <c r="Y615" s="904"/>
      <c r="Z615" s="931" t="str">
        <f>VLOOKUP(L615,اس!$S$3:$X$31,3,FALSE)</f>
        <v>.</v>
      </c>
    </row>
    <row r="616" spans="12:26" ht="15.75">
      <c r="L616" s="777">
        <v>5</v>
      </c>
      <c r="M616" s="864"/>
      <c r="N616" s="976">
        <v>0</v>
      </c>
      <c r="O616" s="1020">
        <v>559</v>
      </c>
      <c r="P616" s="865" t="e">
        <f>VLOOKUP(N616,etat!$A$9:$N$1004,2,FALSE)</f>
        <v>#N/A</v>
      </c>
      <c r="Q616" s="866" t="e">
        <f>VLOOKUP(N616,etat!$A$9:$N$963,7,FALSE)</f>
        <v>#N/A</v>
      </c>
      <c r="R616" s="866" t="e">
        <f>VLOOKUP(N616,etat!$A$9:$N$1003,9,FALSE)</f>
        <v>#N/A</v>
      </c>
      <c r="S616" s="797" t="e">
        <f>VLOOKUP(N616,etat!$A$9:$P$905,16,FALSE)</f>
        <v>#N/A</v>
      </c>
      <c r="T616" s="867"/>
      <c r="U616" s="868"/>
      <c r="V616" s="869"/>
      <c r="W616" s="869"/>
      <c r="X616" s="869"/>
      <c r="Y616" s="904"/>
      <c r="Z616" s="931" t="str">
        <f>VLOOKUP(L616,اس!$S$3:$X$31,3,FALSE)</f>
        <v>.</v>
      </c>
    </row>
    <row r="617" spans="12:26" ht="15.75">
      <c r="L617" s="777">
        <v>5</v>
      </c>
      <c r="M617" s="864"/>
      <c r="N617" s="976">
        <v>0</v>
      </c>
      <c r="O617" s="1020">
        <v>560</v>
      </c>
      <c r="P617" s="865" t="e">
        <f>VLOOKUP(N617,etat!$A$9:$N$1004,2,FALSE)</f>
        <v>#N/A</v>
      </c>
      <c r="Q617" s="866" t="e">
        <f>VLOOKUP(N617,etat!$A$9:$N$963,7,FALSE)</f>
        <v>#N/A</v>
      </c>
      <c r="R617" s="866" t="e">
        <f>VLOOKUP(N617,etat!$A$9:$N$1003,9,FALSE)</f>
        <v>#N/A</v>
      </c>
      <c r="S617" s="797" t="e">
        <f>VLOOKUP(N617,etat!$A$9:$P$905,16,FALSE)</f>
        <v>#N/A</v>
      </c>
      <c r="T617" s="867"/>
      <c r="U617" s="868"/>
      <c r="V617" s="869"/>
      <c r="W617" s="869"/>
      <c r="X617" s="869"/>
      <c r="Y617" s="904"/>
      <c r="Z617" s="931" t="str">
        <f>VLOOKUP(L617,اس!$S$3:$X$31,3,FALSE)</f>
        <v>.</v>
      </c>
    </row>
    <row r="618" spans="12:26" ht="15.75">
      <c r="L618" s="777">
        <v>5</v>
      </c>
      <c r="M618" s="864"/>
      <c r="N618" s="976">
        <v>0</v>
      </c>
      <c r="O618" s="1020">
        <v>561</v>
      </c>
      <c r="P618" s="865" t="e">
        <f>VLOOKUP(N618,etat!$A$9:$N$1004,2,FALSE)</f>
        <v>#N/A</v>
      </c>
      <c r="Q618" s="866" t="e">
        <f>VLOOKUP(N618,etat!$A$9:$N$963,7,FALSE)</f>
        <v>#N/A</v>
      </c>
      <c r="R618" s="866" t="e">
        <f>VLOOKUP(N618,etat!$A$9:$N$1003,9,FALSE)</f>
        <v>#N/A</v>
      </c>
      <c r="S618" s="797" t="e">
        <f>VLOOKUP(N618,etat!$A$9:$P$905,16,FALSE)</f>
        <v>#N/A</v>
      </c>
      <c r="T618" s="867"/>
      <c r="U618" s="868"/>
      <c r="V618" s="869"/>
      <c r="W618" s="869"/>
      <c r="X618" s="869"/>
      <c r="Y618" s="904"/>
      <c r="Z618" s="931" t="str">
        <f>VLOOKUP(L618,اس!$S$3:$X$31,3,FALSE)</f>
        <v>.</v>
      </c>
    </row>
    <row r="619" spans="12:26" ht="15.75">
      <c r="L619" s="777">
        <v>5</v>
      </c>
      <c r="M619" s="864"/>
      <c r="N619" s="976">
        <v>0</v>
      </c>
      <c r="O619" s="1020">
        <v>562</v>
      </c>
      <c r="P619" s="865" t="e">
        <f>VLOOKUP(N619,etat!$A$9:$N$1004,2,FALSE)</f>
        <v>#N/A</v>
      </c>
      <c r="Q619" s="866" t="e">
        <f>VLOOKUP(N619,etat!$A$9:$N$963,7,FALSE)</f>
        <v>#N/A</v>
      </c>
      <c r="R619" s="866" t="e">
        <f>VLOOKUP(N619,etat!$A$9:$N$1003,9,FALSE)</f>
        <v>#N/A</v>
      </c>
      <c r="S619" s="797" t="e">
        <f>VLOOKUP(N619,etat!$A$9:$P$905,16,FALSE)</f>
        <v>#N/A</v>
      </c>
      <c r="T619" s="867"/>
      <c r="U619" s="868"/>
      <c r="V619" s="869"/>
      <c r="W619" s="869"/>
      <c r="X619" s="869"/>
      <c r="Y619" s="904"/>
      <c r="Z619" s="931" t="str">
        <f>VLOOKUP(L619,اس!$S$3:$X$31,3,FALSE)</f>
        <v>.</v>
      </c>
    </row>
    <row r="620" spans="12:26" ht="15.75">
      <c r="L620" s="777">
        <v>5</v>
      </c>
      <c r="M620" s="864"/>
      <c r="N620" s="976">
        <v>0</v>
      </c>
      <c r="O620" s="1020">
        <v>563</v>
      </c>
      <c r="P620" s="865" t="e">
        <f>VLOOKUP(N620,etat!$A$9:$N$1004,2,FALSE)</f>
        <v>#N/A</v>
      </c>
      <c r="Q620" s="866" t="e">
        <f>VLOOKUP(N620,etat!$A$9:$N$963,7,FALSE)</f>
        <v>#N/A</v>
      </c>
      <c r="R620" s="866" t="e">
        <f>VLOOKUP(N620,etat!$A$9:$N$1003,9,FALSE)</f>
        <v>#N/A</v>
      </c>
      <c r="S620" s="797" t="e">
        <f>VLOOKUP(N620,etat!$A$9:$P$905,16,FALSE)</f>
        <v>#N/A</v>
      </c>
      <c r="T620" s="867"/>
      <c r="U620" s="868"/>
      <c r="V620" s="869"/>
      <c r="W620" s="869"/>
      <c r="X620" s="869"/>
      <c r="Y620" s="904"/>
      <c r="Z620" s="931" t="str">
        <f>VLOOKUP(L620,اس!$S$3:$X$31,3,FALSE)</f>
        <v>.</v>
      </c>
    </row>
    <row r="621" spans="12:26" ht="15.75">
      <c r="L621" s="777">
        <v>5</v>
      </c>
      <c r="M621" s="864"/>
      <c r="N621" s="976">
        <v>0</v>
      </c>
      <c r="O621" s="1020">
        <v>564</v>
      </c>
      <c r="P621" s="865" t="e">
        <f>VLOOKUP(N621,etat!$A$9:$N$1004,2,FALSE)</f>
        <v>#N/A</v>
      </c>
      <c r="Q621" s="866" t="e">
        <f>VLOOKUP(N621,etat!$A$9:$N$963,7,FALSE)</f>
        <v>#N/A</v>
      </c>
      <c r="R621" s="866" t="e">
        <f>VLOOKUP(N621,etat!$A$9:$N$1003,9,FALSE)</f>
        <v>#N/A</v>
      </c>
      <c r="S621" s="797" t="e">
        <f>VLOOKUP(N621,etat!$A$9:$P$905,16,FALSE)</f>
        <v>#N/A</v>
      </c>
      <c r="T621" s="867"/>
      <c r="U621" s="868"/>
      <c r="V621" s="869"/>
      <c r="W621" s="869"/>
      <c r="X621" s="869"/>
      <c r="Y621" s="904"/>
      <c r="Z621" s="931" t="str">
        <f>VLOOKUP(L621,اس!$S$3:$X$31,3,FALSE)</f>
        <v>.</v>
      </c>
    </row>
    <row r="622" spans="12:26" ht="15.75">
      <c r="L622" s="777">
        <v>5</v>
      </c>
      <c r="M622" s="864"/>
      <c r="N622" s="976">
        <v>0</v>
      </c>
      <c r="O622" s="1020">
        <v>565</v>
      </c>
      <c r="P622" s="865" t="e">
        <f>VLOOKUP(N622,etat!$A$9:$N$1004,2,FALSE)</f>
        <v>#N/A</v>
      </c>
      <c r="Q622" s="866" t="e">
        <f>VLOOKUP(N622,etat!$A$9:$N$963,7,FALSE)</f>
        <v>#N/A</v>
      </c>
      <c r="R622" s="866" t="e">
        <f>VLOOKUP(N622,etat!$A$9:$N$1003,9,FALSE)</f>
        <v>#N/A</v>
      </c>
      <c r="S622" s="797" t="e">
        <f>VLOOKUP(N622,etat!$A$9:$P$905,16,FALSE)</f>
        <v>#N/A</v>
      </c>
      <c r="T622" s="867"/>
      <c r="U622" s="868"/>
      <c r="V622" s="869"/>
      <c r="W622" s="869"/>
      <c r="X622" s="869"/>
      <c r="Y622" s="904"/>
      <c r="Z622" s="931" t="str">
        <f>VLOOKUP(L622,اس!$S$3:$X$31,3,FALSE)</f>
        <v>.</v>
      </c>
    </row>
    <row r="623" spans="12:26" ht="15.75">
      <c r="L623" s="777">
        <v>5</v>
      </c>
      <c r="M623" s="864"/>
      <c r="N623" s="976">
        <v>0</v>
      </c>
      <c r="O623" s="1020">
        <v>566</v>
      </c>
      <c r="P623" s="865" t="e">
        <f>VLOOKUP(N623,etat!$A$9:$N$1004,2,FALSE)</f>
        <v>#N/A</v>
      </c>
      <c r="Q623" s="866" t="e">
        <f>VLOOKUP(N623,etat!$A$9:$N$963,7,FALSE)</f>
        <v>#N/A</v>
      </c>
      <c r="R623" s="866" t="e">
        <f>VLOOKUP(N623,etat!$A$9:$N$1003,9,FALSE)</f>
        <v>#N/A</v>
      </c>
      <c r="S623" s="797" t="e">
        <f>VLOOKUP(N623,etat!$A$9:$P$905,16,FALSE)</f>
        <v>#N/A</v>
      </c>
      <c r="T623" s="867"/>
      <c r="U623" s="868"/>
      <c r="V623" s="869"/>
      <c r="W623" s="869"/>
      <c r="X623" s="869"/>
      <c r="Y623" s="904"/>
      <c r="Z623" s="931" t="str">
        <f>VLOOKUP(L623,اس!$S$3:$X$31,3,FALSE)</f>
        <v>.</v>
      </c>
    </row>
    <row r="624" spans="12:26" ht="15.75">
      <c r="L624" s="777">
        <v>5</v>
      </c>
      <c r="M624" s="864"/>
      <c r="N624" s="976">
        <v>0</v>
      </c>
      <c r="O624" s="1020">
        <v>567</v>
      </c>
      <c r="P624" s="865" t="e">
        <f>VLOOKUP(N624,etat!$A$9:$N$1004,2,FALSE)</f>
        <v>#N/A</v>
      </c>
      <c r="Q624" s="866" t="e">
        <f>VLOOKUP(N624,etat!$A$9:$N$963,7,FALSE)</f>
        <v>#N/A</v>
      </c>
      <c r="R624" s="866" t="e">
        <f>VLOOKUP(N624,etat!$A$9:$N$1003,9,FALSE)</f>
        <v>#N/A</v>
      </c>
      <c r="S624" s="797" t="e">
        <f>VLOOKUP(N624,etat!$A$9:$P$905,16,FALSE)</f>
        <v>#N/A</v>
      </c>
      <c r="T624" s="867"/>
      <c r="U624" s="868"/>
      <c r="V624" s="869"/>
      <c r="W624" s="869"/>
      <c r="X624" s="869"/>
      <c r="Y624" s="904"/>
      <c r="Z624" s="931" t="str">
        <f>VLOOKUP(L624,اس!$S$3:$X$31,3,FALSE)</f>
        <v>.</v>
      </c>
    </row>
    <row r="625" spans="12:26" ht="15.75">
      <c r="L625" s="777">
        <v>5</v>
      </c>
      <c r="M625" s="864"/>
      <c r="N625" s="976">
        <v>0</v>
      </c>
      <c r="O625" s="1020">
        <v>568</v>
      </c>
      <c r="P625" s="865" t="e">
        <f>VLOOKUP(N625,etat!$A$9:$N$1004,2,FALSE)</f>
        <v>#N/A</v>
      </c>
      <c r="Q625" s="866" t="e">
        <f>VLOOKUP(N625,etat!$A$9:$N$963,7,FALSE)</f>
        <v>#N/A</v>
      </c>
      <c r="R625" s="866" t="e">
        <f>VLOOKUP(N625,etat!$A$9:$N$1003,9,FALSE)</f>
        <v>#N/A</v>
      </c>
      <c r="S625" s="797" t="e">
        <f>VLOOKUP(N625,etat!$A$9:$P$905,16,FALSE)</f>
        <v>#N/A</v>
      </c>
      <c r="T625" s="867"/>
      <c r="U625" s="868"/>
      <c r="V625" s="869"/>
      <c r="W625" s="869"/>
      <c r="X625" s="869"/>
      <c r="Y625" s="904"/>
      <c r="Z625" s="931" t="str">
        <f>VLOOKUP(L625,اس!$S$3:$X$31,3,FALSE)</f>
        <v>.</v>
      </c>
    </row>
    <row r="626" spans="12:26" ht="15.75">
      <c r="L626" s="777">
        <v>5</v>
      </c>
      <c r="M626" s="864"/>
      <c r="N626" s="976">
        <v>0</v>
      </c>
      <c r="O626" s="1020">
        <v>569</v>
      </c>
      <c r="P626" s="865" t="e">
        <f>VLOOKUP(N626,etat!$A$9:$N$1004,2,FALSE)</f>
        <v>#N/A</v>
      </c>
      <c r="Q626" s="866" t="e">
        <f>VLOOKUP(N626,etat!$A$9:$N$963,7,FALSE)</f>
        <v>#N/A</v>
      </c>
      <c r="R626" s="866" t="e">
        <f>VLOOKUP(N626,etat!$A$9:$N$1003,9,FALSE)</f>
        <v>#N/A</v>
      </c>
      <c r="S626" s="797" t="e">
        <f>VLOOKUP(N626,etat!$A$9:$P$905,16,FALSE)</f>
        <v>#N/A</v>
      </c>
      <c r="T626" s="867"/>
      <c r="U626" s="868"/>
      <c r="V626" s="869"/>
      <c r="W626" s="869"/>
      <c r="X626" s="869"/>
      <c r="Y626" s="904"/>
      <c r="Z626" s="931" t="str">
        <f>VLOOKUP(L626,اس!$S$3:$X$31,3,FALSE)</f>
        <v>.</v>
      </c>
    </row>
    <row r="627" spans="12:26" ht="15.75">
      <c r="L627" s="777">
        <v>5</v>
      </c>
      <c r="M627" s="864"/>
      <c r="N627" s="976">
        <v>0</v>
      </c>
      <c r="O627" s="1020">
        <v>570</v>
      </c>
      <c r="P627" s="847" t="e">
        <f>VLOOKUP(N627,etat!$A$9:$N$1004,2,FALSE)</f>
        <v>#N/A</v>
      </c>
      <c r="Q627" s="797" t="e">
        <f>VLOOKUP(N627,etat!$A$9:$N$963,7,FALSE)</f>
        <v>#N/A</v>
      </c>
      <c r="R627" s="797" t="e">
        <f>VLOOKUP(N627,etat!$A$9:$N$1003,9,FALSE)</f>
        <v>#N/A</v>
      </c>
      <c r="S627" s="797" t="e">
        <f>VLOOKUP(N627,etat!$A$9:$P$905,16,FALSE)</f>
        <v>#N/A</v>
      </c>
      <c r="T627" s="755"/>
      <c r="U627" s="791"/>
      <c r="V627" s="784"/>
      <c r="W627" s="784"/>
      <c r="X627" s="784"/>
      <c r="Y627" s="848"/>
      <c r="Z627" s="931" t="str">
        <f>VLOOKUP(L627,اس!$S$3:$X$31,3,FALSE)</f>
        <v>.</v>
      </c>
    </row>
    <row r="628" spans="12:26" ht="15.75">
      <c r="L628" s="777">
        <v>5</v>
      </c>
      <c r="M628" s="864"/>
      <c r="N628" s="976">
        <v>0</v>
      </c>
      <c r="O628" s="1020">
        <v>571</v>
      </c>
      <c r="P628" s="847" t="e">
        <f>VLOOKUP(N628,etat!$A$9:$N$1004,2,FALSE)</f>
        <v>#N/A</v>
      </c>
      <c r="Q628" s="797" t="e">
        <f>VLOOKUP(N628,etat!$A$9:$N$963,7,FALSE)</f>
        <v>#N/A</v>
      </c>
      <c r="R628" s="797" t="e">
        <f>VLOOKUP(N628,etat!$A$9:$N$1003,9,FALSE)</f>
        <v>#N/A</v>
      </c>
      <c r="S628" s="797" t="e">
        <f>VLOOKUP(N628,etat!$A$9:$P$905,16,FALSE)</f>
        <v>#N/A</v>
      </c>
      <c r="T628" s="755"/>
      <c r="U628" s="791"/>
      <c r="V628" s="784"/>
      <c r="W628" s="784"/>
      <c r="X628" s="784"/>
      <c r="Y628" s="848"/>
      <c r="Z628" s="931" t="str">
        <f>VLOOKUP(L628,اس!$S$3:$X$31,3,FALSE)</f>
        <v>.</v>
      </c>
    </row>
    <row r="629" spans="12:26" ht="15.75">
      <c r="L629" s="777">
        <v>5</v>
      </c>
      <c r="M629" s="864"/>
      <c r="N629" s="976">
        <v>0</v>
      </c>
      <c r="O629" s="1020">
        <v>572</v>
      </c>
      <c r="P629" s="847" t="e">
        <f>VLOOKUP(N629,etat!$A$9:$N$1004,2,FALSE)</f>
        <v>#N/A</v>
      </c>
      <c r="Q629" s="797" t="e">
        <f>VLOOKUP(N629,etat!$A$9:$N$963,7,FALSE)</f>
        <v>#N/A</v>
      </c>
      <c r="R629" s="797" t="e">
        <f>VLOOKUP(N629,etat!$A$9:$N$1003,9,FALSE)</f>
        <v>#N/A</v>
      </c>
      <c r="S629" s="797" t="e">
        <f>VLOOKUP(N629,etat!$A$9:$P$905,16,FALSE)</f>
        <v>#N/A</v>
      </c>
      <c r="T629" s="755"/>
      <c r="U629" s="791"/>
      <c r="V629" s="784"/>
      <c r="W629" s="784"/>
      <c r="X629" s="784"/>
      <c r="Y629" s="848"/>
      <c r="Z629" s="931" t="str">
        <f>VLOOKUP(L629,اس!$S$3:$X$31,3,FALSE)</f>
        <v>.</v>
      </c>
    </row>
    <row r="630" spans="12:26" ht="15.75">
      <c r="L630" s="777">
        <v>5</v>
      </c>
      <c r="M630" s="864"/>
      <c r="N630" s="976">
        <v>0</v>
      </c>
      <c r="O630" s="1020">
        <v>573</v>
      </c>
      <c r="P630" s="847" t="e">
        <f>VLOOKUP(N630,etat!$A$9:$N$1004,2,FALSE)</f>
        <v>#N/A</v>
      </c>
      <c r="Q630" s="797" t="e">
        <f>VLOOKUP(N630,etat!$A$9:$N$963,7,FALSE)</f>
        <v>#N/A</v>
      </c>
      <c r="R630" s="797" t="e">
        <f>VLOOKUP(N630,etat!$A$9:$N$1003,9,FALSE)</f>
        <v>#N/A</v>
      </c>
      <c r="S630" s="797" t="e">
        <f>VLOOKUP(N630,etat!$A$9:$P$905,16,FALSE)</f>
        <v>#N/A</v>
      </c>
      <c r="T630" s="755"/>
      <c r="U630" s="791"/>
      <c r="V630" s="784"/>
      <c r="W630" s="784"/>
      <c r="X630" s="784"/>
      <c r="Y630" s="848"/>
      <c r="Z630" s="931" t="str">
        <f>VLOOKUP(L630,اس!$S$3:$X$31,3,FALSE)</f>
        <v>.</v>
      </c>
    </row>
    <row r="631" spans="12:26" ht="15.75">
      <c r="L631" s="777">
        <v>5</v>
      </c>
      <c r="M631" s="864"/>
      <c r="N631" s="976">
        <v>0</v>
      </c>
      <c r="O631" s="1020">
        <v>574</v>
      </c>
      <c r="P631" s="847" t="e">
        <f>VLOOKUP(N631,etat!$A$9:$N$1004,2,FALSE)</f>
        <v>#N/A</v>
      </c>
      <c r="Q631" s="797" t="e">
        <f>VLOOKUP(N631,etat!$A$9:$N$963,7,FALSE)</f>
        <v>#N/A</v>
      </c>
      <c r="R631" s="797" t="e">
        <f>VLOOKUP(N631,etat!$A$9:$N$1003,9,FALSE)</f>
        <v>#N/A</v>
      </c>
      <c r="S631" s="797" t="e">
        <f>VLOOKUP(N631,etat!$A$9:$P$905,16,FALSE)</f>
        <v>#N/A</v>
      </c>
      <c r="T631" s="755"/>
      <c r="U631" s="791"/>
      <c r="V631" s="784"/>
      <c r="W631" s="784"/>
      <c r="X631" s="784"/>
      <c r="Y631" s="848"/>
      <c r="Z631" s="931" t="str">
        <f>VLOOKUP(L631,اس!$S$3:$X$31,3,FALSE)</f>
        <v>.</v>
      </c>
    </row>
    <row r="632" spans="12:26" ht="15.75">
      <c r="L632" s="777">
        <v>5</v>
      </c>
      <c r="M632" s="864"/>
      <c r="N632" s="976">
        <v>0</v>
      </c>
      <c r="O632" s="1020">
        <v>575</v>
      </c>
      <c r="P632" s="847" t="e">
        <f>VLOOKUP(N632,etat!$A$9:$N$1004,2,FALSE)</f>
        <v>#N/A</v>
      </c>
      <c r="Q632" s="797" t="e">
        <f>VLOOKUP(N632,etat!$A$9:$N$963,7,FALSE)</f>
        <v>#N/A</v>
      </c>
      <c r="R632" s="797" t="e">
        <f>VLOOKUP(N632,etat!$A$9:$N$1003,9,FALSE)</f>
        <v>#N/A</v>
      </c>
      <c r="S632" s="797" t="e">
        <f>VLOOKUP(N632,etat!$A$9:$P$905,16,FALSE)</f>
        <v>#N/A</v>
      </c>
      <c r="T632" s="755"/>
      <c r="U632" s="791"/>
      <c r="V632" s="784"/>
      <c r="W632" s="784"/>
      <c r="X632" s="784"/>
      <c r="Y632" s="848"/>
      <c r="Z632" s="931" t="str">
        <f>VLOOKUP(L632,اس!$S$3:$X$31,3,FALSE)</f>
        <v>.</v>
      </c>
    </row>
    <row r="633" spans="12:26" ht="15.75">
      <c r="L633" s="777">
        <v>5</v>
      </c>
      <c r="M633" s="864"/>
      <c r="N633" s="976">
        <v>0</v>
      </c>
      <c r="O633" s="1020">
        <v>576</v>
      </c>
      <c r="P633" s="865" t="e">
        <f>VLOOKUP(N633,etat!$A$9:$N$1004,2,FALSE)</f>
        <v>#N/A</v>
      </c>
      <c r="Q633" s="866" t="e">
        <f>VLOOKUP(N633,etat!$A$9:$N$963,7,FALSE)</f>
        <v>#N/A</v>
      </c>
      <c r="R633" s="866" t="e">
        <f>VLOOKUP(N633,etat!$A$9:$N$1003,9,FALSE)</f>
        <v>#N/A</v>
      </c>
      <c r="S633" s="797" t="e">
        <f>VLOOKUP(N633,etat!$A$9:$P$905,16,FALSE)</f>
        <v>#N/A</v>
      </c>
      <c r="T633" s="867"/>
      <c r="U633" s="868"/>
      <c r="V633" s="869"/>
      <c r="W633" s="869"/>
      <c r="X633" s="869"/>
      <c r="Y633" s="904"/>
      <c r="Z633" s="931" t="str">
        <f>VLOOKUP(L633,اس!$S$3:$X$31,3,FALSE)</f>
        <v>.</v>
      </c>
    </row>
    <row r="634" spans="12:26" ht="15.75">
      <c r="L634" s="777">
        <v>5</v>
      </c>
      <c r="M634" s="864"/>
      <c r="N634" s="976">
        <v>0</v>
      </c>
      <c r="O634" s="1020">
        <v>577</v>
      </c>
      <c r="P634" s="847" t="e">
        <f>VLOOKUP(N634,etat!$A$9:$N$1004,2,FALSE)</f>
        <v>#N/A</v>
      </c>
      <c r="Q634" s="797" t="e">
        <f>VLOOKUP(N634,etat!$A$9:$N$963,7,FALSE)</f>
        <v>#N/A</v>
      </c>
      <c r="R634" s="797" t="e">
        <f>VLOOKUP(N634,etat!$A$9:$N$1003,9,FALSE)</f>
        <v>#N/A</v>
      </c>
      <c r="S634" s="797" t="e">
        <f>VLOOKUP(N634,etat!$A$9:$P$905,16,FALSE)</f>
        <v>#N/A</v>
      </c>
      <c r="T634" s="755"/>
      <c r="U634" s="791"/>
      <c r="V634" s="784"/>
      <c r="W634" s="784"/>
      <c r="X634" s="784"/>
      <c r="Y634" s="848"/>
      <c r="Z634" s="931" t="str">
        <f>VLOOKUP(L634,اس!$S$3:$X$31,3,FALSE)</f>
        <v>.</v>
      </c>
    </row>
    <row r="635" spans="12:26" ht="15.75">
      <c r="L635" s="777">
        <v>5</v>
      </c>
      <c r="M635" s="864"/>
      <c r="N635" s="976">
        <v>0</v>
      </c>
      <c r="O635" s="1020">
        <v>578</v>
      </c>
      <c r="P635" s="847" t="e">
        <f>VLOOKUP(N635,etat!$A$9:$N$1004,2,FALSE)</f>
        <v>#N/A</v>
      </c>
      <c r="Q635" s="797" t="e">
        <f>VLOOKUP(N635,etat!$A$9:$N$963,7,FALSE)</f>
        <v>#N/A</v>
      </c>
      <c r="R635" s="797" t="e">
        <f>VLOOKUP(N635,etat!$A$9:$N$1003,9,FALSE)</f>
        <v>#N/A</v>
      </c>
      <c r="S635" s="797" t="e">
        <f>VLOOKUP(N635,etat!$A$9:$P$905,16,FALSE)</f>
        <v>#N/A</v>
      </c>
      <c r="T635" s="755"/>
      <c r="U635" s="791"/>
      <c r="V635" s="784"/>
      <c r="W635" s="784"/>
      <c r="X635" s="784"/>
      <c r="Y635" s="848"/>
      <c r="Z635" s="931" t="str">
        <f>VLOOKUP(L635,اس!$S$3:$X$31,3,FALSE)</f>
        <v>.</v>
      </c>
    </row>
    <row r="636" spans="12:26" ht="15.75">
      <c r="L636" s="777">
        <v>5</v>
      </c>
      <c r="M636" s="864"/>
      <c r="N636" s="976">
        <v>0</v>
      </c>
      <c r="O636" s="1020">
        <v>579</v>
      </c>
      <c r="P636" s="847" t="e">
        <f>VLOOKUP(N636,etat!$A$9:$N$1004,2,FALSE)</f>
        <v>#N/A</v>
      </c>
      <c r="Q636" s="797" t="e">
        <f>VLOOKUP(N636,etat!$A$9:$N$963,7,FALSE)</f>
        <v>#N/A</v>
      </c>
      <c r="R636" s="797" t="e">
        <f>VLOOKUP(N636,etat!$A$9:$N$1003,9,FALSE)</f>
        <v>#N/A</v>
      </c>
      <c r="S636" s="797" t="e">
        <f>VLOOKUP(N636,etat!$A$9:$P$905,16,FALSE)</f>
        <v>#N/A</v>
      </c>
      <c r="T636" s="755"/>
      <c r="U636" s="791"/>
      <c r="V636" s="784"/>
      <c r="W636" s="784"/>
      <c r="X636" s="784"/>
      <c r="Y636" s="848"/>
      <c r="Z636" s="931" t="str">
        <f>VLOOKUP(L636,اس!$S$3:$X$31,3,FALSE)</f>
        <v>.</v>
      </c>
    </row>
    <row r="637" spans="12:26" ht="15.75">
      <c r="L637" s="777">
        <v>5</v>
      </c>
      <c r="M637" s="864"/>
      <c r="N637" s="976">
        <v>0</v>
      </c>
      <c r="O637" s="1020">
        <v>580</v>
      </c>
      <c r="P637" s="847" t="e">
        <f>VLOOKUP(N637,etat!$A$9:$N$1004,2,FALSE)</f>
        <v>#N/A</v>
      </c>
      <c r="Q637" s="797" t="e">
        <f>VLOOKUP(N637,etat!$A$9:$N$963,7,FALSE)</f>
        <v>#N/A</v>
      </c>
      <c r="R637" s="797" t="e">
        <f>VLOOKUP(N637,etat!$A$9:$N$1003,9,FALSE)</f>
        <v>#N/A</v>
      </c>
      <c r="S637" s="797" t="e">
        <f>VLOOKUP(N637,etat!$A$9:$P$905,16,FALSE)</f>
        <v>#N/A</v>
      </c>
      <c r="T637" s="755"/>
      <c r="U637" s="791"/>
      <c r="V637" s="784"/>
      <c r="W637" s="784"/>
      <c r="X637" s="784"/>
      <c r="Y637" s="848"/>
      <c r="Z637" s="931" t="str">
        <f>VLOOKUP(L637,اس!$S$3:$X$31,3,FALSE)</f>
        <v>.</v>
      </c>
    </row>
    <row r="638" spans="12:26" ht="18.75">
      <c r="L638" s="777">
        <v>5</v>
      </c>
      <c r="M638" s="864"/>
      <c r="N638" s="976">
        <v>0</v>
      </c>
      <c r="O638" s="1020">
        <v>581</v>
      </c>
      <c r="P638" s="860" t="e">
        <f>VLOOKUP(N638,etat!$A$9:$N$1004,2,FALSE)</f>
        <v>#N/A</v>
      </c>
      <c r="Q638" s="797" t="e">
        <f>VLOOKUP(N638,etat!$A$9:$N$963,7,FALSE)</f>
        <v>#N/A</v>
      </c>
      <c r="R638" s="905" t="e">
        <f>VLOOKUP(N638,etat!$A$9:$N$1003,9,FALSE)</f>
        <v>#N/A</v>
      </c>
      <c r="S638" s="797" t="e">
        <f>VLOOKUP(N638,etat!$A$9:$P$905,16,FALSE)</f>
        <v>#N/A</v>
      </c>
      <c r="T638" s="755"/>
      <c r="U638" s="791"/>
      <c r="V638" s="784"/>
      <c r="W638" s="784"/>
      <c r="X638" s="784"/>
      <c r="Y638" s="784"/>
      <c r="Z638" s="965" t="str">
        <f>VLOOKUP(L638,اس!$S$3:$X$31,3,FALSE)</f>
        <v>.</v>
      </c>
    </row>
    <row r="639" spans="12:26" ht="18.75">
      <c r="L639" s="777">
        <v>5</v>
      </c>
      <c r="M639" s="864"/>
      <c r="N639" s="976">
        <v>0</v>
      </c>
      <c r="O639" s="1020">
        <v>582</v>
      </c>
      <c r="P639" s="860" t="e">
        <f>VLOOKUP(N639,etat!$A$9:$N$1004,2,FALSE)</f>
        <v>#N/A</v>
      </c>
      <c r="Q639" s="797" t="e">
        <f>VLOOKUP(N639,etat!$A$9:$N$963,7,FALSE)</f>
        <v>#N/A</v>
      </c>
      <c r="R639" s="905" t="e">
        <f>VLOOKUP(N639,etat!$A$9:$N$1003,9,FALSE)</f>
        <v>#N/A</v>
      </c>
      <c r="S639" s="797" t="e">
        <f>VLOOKUP(N639,etat!$A$9:$P$905,16,FALSE)</f>
        <v>#N/A</v>
      </c>
      <c r="T639" s="755"/>
      <c r="U639" s="791"/>
      <c r="V639" s="784"/>
      <c r="W639" s="784"/>
      <c r="X639" s="784"/>
      <c r="Y639" s="784"/>
      <c r="Z639" s="965" t="str">
        <f>VLOOKUP(L639,اس!$S$3:$X$31,3,FALSE)</f>
        <v>.</v>
      </c>
    </row>
    <row r="640" spans="12:26" ht="18.75">
      <c r="L640" s="777">
        <v>5</v>
      </c>
      <c r="M640" s="864"/>
      <c r="N640" s="976">
        <v>0</v>
      </c>
      <c r="O640" s="1020">
        <v>583</v>
      </c>
      <c r="P640" s="860" t="e">
        <f>VLOOKUP(N640,etat!$A$9:$N$1004,2,FALSE)</f>
        <v>#N/A</v>
      </c>
      <c r="Q640" s="797" t="e">
        <f>VLOOKUP(N640,etat!$A$9:$N$963,7,FALSE)</f>
        <v>#N/A</v>
      </c>
      <c r="R640" s="905" t="e">
        <f>VLOOKUP(N640,etat!$A$9:$N$1003,9,FALSE)</f>
        <v>#N/A</v>
      </c>
      <c r="S640" s="797" t="e">
        <f>VLOOKUP(N640,etat!$A$9:$P$905,16,FALSE)</f>
        <v>#N/A</v>
      </c>
      <c r="T640" s="755"/>
      <c r="U640" s="791"/>
      <c r="V640" s="784"/>
      <c r="W640" s="784"/>
      <c r="X640" s="784"/>
      <c r="Y640" s="784"/>
      <c r="Z640" s="965" t="str">
        <f>VLOOKUP(L640,اس!$S$3:$X$31,3,FALSE)</f>
        <v>.</v>
      </c>
    </row>
    <row r="641" spans="12:26" ht="18.75">
      <c r="L641" s="777">
        <v>5</v>
      </c>
      <c r="M641" s="864"/>
      <c r="N641" s="976">
        <v>0</v>
      </c>
      <c r="O641" s="1020">
        <v>584</v>
      </c>
      <c r="P641" s="860" t="e">
        <f>VLOOKUP(N641,etat!$A$9:$N$1004,2,FALSE)</f>
        <v>#N/A</v>
      </c>
      <c r="Q641" s="797" t="e">
        <f>VLOOKUP(N641,etat!$A$9:$N$963,7,FALSE)</f>
        <v>#N/A</v>
      </c>
      <c r="R641" s="905" t="e">
        <f>VLOOKUP(N641,etat!$A$9:$N$1003,9,FALSE)</f>
        <v>#N/A</v>
      </c>
      <c r="S641" s="797" t="e">
        <f>VLOOKUP(N641,etat!$A$9:$P$905,16,FALSE)</f>
        <v>#N/A</v>
      </c>
      <c r="T641" s="755"/>
      <c r="U641" s="791"/>
      <c r="V641" s="784"/>
      <c r="W641" s="784"/>
      <c r="X641" s="784"/>
      <c r="Y641" s="784"/>
      <c r="Z641" s="965" t="str">
        <f>VLOOKUP(L641,اس!$S$3:$X$31,3,FALSE)</f>
        <v>.</v>
      </c>
    </row>
    <row r="642" spans="12:26" ht="18.75">
      <c r="L642" s="777">
        <v>5</v>
      </c>
      <c r="M642" s="864"/>
      <c r="N642" s="976">
        <v>0</v>
      </c>
      <c r="O642" s="1020">
        <v>585</v>
      </c>
      <c r="P642" s="860" t="e">
        <f>VLOOKUP(N642,etat!$A$9:$N$1004,2,FALSE)</f>
        <v>#N/A</v>
      </c>
      <c r="Q642" s="797" t="e">
        <f>VLOOKUP(N642,etat!$A$9:$N$963,7,FALSE)</f>
        <v>#N/A</v>
      </c>
      <c r="R642" s="905" t="e">
        <f>VLOOKUP(N642,etat!$A$9:$N$1003,9,FALSE)</f>
        <v>#N/A</v>
      </c>
      <c r="S642" s="797" t="e">
        <f>VLOOKUP(N642,etat!$A$9:$P$905,16,FALSE)</f>
        <v>#N/A</v>
      </c>
      <c r="T642" s="755"/>
      <c r="U642" s="791"/>
      <c r="V642" s="784"/>
      <c r="W642" s="784"/>
      <c r="X642" s="784"/>
      <c r="Y642" s="784"/>
      <c r="Z642" s="965" t="str">
        <f>VLOOKUP(L642,اس!$S$3:$X$31,3,FALSE)</f>
        <v>.</v>
      </c>
    </row>
    <row r="643" spans="12:26" ht="18.75">
      <c r="L643" s="777">
        <v>5</v>
      </c>
      <c r="M643" s="864"/>
      <c r="N643" s="976">
        <v>0</v>
      </c>
      <c r="O643" s="1020">
        <v>586</v>
      </c>
      <c r="P643" s="860" t="e">
        <f>VLOOKUP(N643,etat!$A$9:$N$1004,2,FALSE)</f>
        <v>#N/A</v>
      </c>
      <c r="Q643" s="797" t="e">
        <f>VLOOKUP(N643,etat!$A$9:$N$963,7,FALSE)</f>
        <v>#N/A</v>
      </c>
      <c r="R643" s="905" t="e">
        <f>VLOOKUP(N643,etat!$A$9:$N$1003,9,FALSE)</f>
        <v>#N/A</v>
      </c>
      <c r="S643" s="797" t="e">
        <f>VLOOKUP(N643,etat!$A$9:$P$905,16,FALSE)</f>
        <v>#N/A</v>
      </c>
      <c r="T643" s="755"/>
      <c r="U643" s="791"/>
      <c r="V643" s="784"/>
      <c r="W643" s="784"/>
      <c r="X643" s="784"/>
      <c r="Y643" s="784"/>
      <c r="Z643" s="965" t="str">
        <f>VLOOKUP(L643,اس!$S$3:$X$31,3,FALSE)</f>
        <v>.</v>
      </c>
    </row>
    <row r="644" spans="12:26" ht="18.75">
      <c r="L644" s="777">
        <v>5</v>
      </c>
      <c r="M644" s="864"/>
      <c r="N644" s="976">
        <v>0</v>
      </c>
      <c r="O644" s="1020">
        <v>587</v>
      </c>
      <c r="P644" s="860" t="e">
        <f>VLOOKUP(N644,etat!$A$9:$N$1004,2,FALSE)</f>
        <v>#N/A</v>
      </c>
      <c r="Q644" s="797" t="e">
        <f>VLOOKUP(N644,etat!$A$9:$N$963,7,FALSE)</f>
        <v>#N/A</v>
      </c>
      <c r="R644" s="905" t="e">
        <f>VLOOKUP(N644,etat!$A$9:$N$1003,9,FALSE)</f>
        <v>#N/A</v>
      </c>
      <c r="S644" s="797" t="e">
        <f>VLOOKUP(N644,etat!$A$9:$P$905,16,FALSE)</f>
        <v>#N/A</v>
      </c>
      <c r="T644" s="755"/>
      <c r="U644" s="791"/>
      <c r="V644" s="784"/>
      <c r="W644" s="784"/>
      <c r="X644" s="784"/>
      <c r="Y644" s="784"/>
      <c r="Z644" s="965" t="str">
        <f>VLOOKUP(L644,اس!$S$3:$X$31,3,FALSE)</f>
        <v>.</v>
      </c>
    </row>
    <row r="645" spans="12:26" ht="18.75">
      <c r="L645" s="777">
        <v>5</v>
      </c>
      <c r="M645" s="864"/>
      <c r="N645" s="976">
        <v>0</v>
      </c>
      <c r="O645" s="1020">
        <v>588</v>
      </c>
      <c r="P645" s="860" t="e">
        <f>VLOOKUP(N645,etat!$A$9:$N$1004,2,FALSE)</f>
        <v>#N/A</v>
      </c>
      <c r="Q645" s="797" t="e">
        <f>VLOOKUP(N645,etat!$A$9:$N$963,7,FALSE)</f>
        <v>#N/A</v>
      </c>
      <c r="R645" s="905" t="e">
        <f>VLOOKUP(N645,etat!$A$9:$N$1003,9,FALSE)</f>
        <v>#N/A</v>
      </c>
      <c r="S645" s="797" t="e">
        <f>VLOOKUP(N645,etat!$A$9:$P$905,16,FALSE)</f>
        <v>#N/A</v>
      </c>
      <c r="T645" s="755"/>
      <c r="U645" s="791"/>
      <c r="V645" s="784"/>
      <c r="W645" s="784"/>
      <c r="X645" s="784"/>
      <c r="Y645" s="784"/>
      <c r="Z645" s="965" t="str">
        <f>VLOOKUP(L645,اس!$S$3:$X$31,3,FALSE)</f>
        <v>.</v>
      </c>
    </row>
    <row r="646" spans="12:26" ht="18.75">
      <c r="L646" s="777">
        <v>5</v>
      </c>
      <c r="M646" s="864"/>
      <c r="N646" s="976">
        <v>0</v>
      </c>
      <c r="O646" s="1020">
        <v>589</v>
      </c>
      <c r="P646" s="860" t="e">
        <f>VLOOKUP(N646,etat!$A$9:$N$1004,2,FALSE)</f>
        <v>#N/A</v>
      </c>
      <c r="Q646" s="797" t="e">
        <f>VLOOKUP(N646,etat!$A$9:$N$963,7,FALSE)</f>
        <v>#N/A</v>
      </c>
      <c r="R646" s="905" t="e">
        <f>VLOOKUP(N646,etat!$A$9:$N$1003,9,FALSE)</f>
        <v>#N/A</v>
      </c>
      <c r="S646" s="797" t="e">
        <f>VLOOKUP(N646,etat!$A$9:$P$905,16,FALSE)</f>
        <v>#N/A</v>
      </c>
      <c r="T646" s="755"/>
      <c r="U646" s="791"/>
      <c r="V646" s="784"/>
      <c r="W646" s="784"/>
      <c r="X646" s="784"/>
      <c r="Y646" s="784"/>
      <c r="Z646" s="965" t="str">
        <f>VLOOKUP(L646,اس!$S$3:$X$31,3,FALSE)</f>
        <v>.</v>
      </c>
    </row>
    <row r="647" spans="12:26" ht="18.75">
      <c r="L647" s="777">
        <v>5</v>
      </c>
      <c r="M647" s="864"/>
      <c r="N647" s="976">
        <v>0</v>
      </c>
      <c r="O647" s="1020">
        <v>590</v>
      </c>
      <c r="P647" s="860" t="e">
        <f>VLOOKUP(N647,etat!$A$9:$N$1004,2,FALSE)</f>
        <v>#N/A</v>
      </c>
      <c r="Q647" s="797" t="e">
        <f>VLOOKUP(N647,etat!$A$9:$N$963,7,FALSE)</f>
        <v>#N/A</v>
      </c>
      <c r="R647" s="905" t="e">
        <f>VLOOKUP(N647,etat!$A$9:$N$1003,9,FALSE)</f>
        <v>#N/A</v>
      </c>
      <c r="S647" s="797" t="e">
        <f>VLOOKUP(N647,etat!$A$9:$P$905,16,FALSE)</f>
        <v>#N/A</v>
      </c>
      <c r="T647" s="755"/>
      <c r="U647" s="791"/>
      <c r="V647" s="784"/>
      <c r="W647" s="784"/>
      <c r="X647" s="784"/>
      <c r="Y647" s="784"/>
      <c r="Z647" s="965" t="str">
        <f>VLOOKUP(L647,اس!$S$3:$X$31,3,FALSE)</f>
        <v>.</v>
      </c>
    </row>
    <row r="648" spans="12:26" ht="18.75">
      <c r="L648" s="777">
        <v>5</v>
      </c>
      <c r="M648" s="864"/>
      <c r="N648" s="976">
        <v>0</v>
      </c>
      <c r="O648" s="1020">
        <v>591</v>
      </c>
      <c r="P648" s="860" t="e">
        <f>VLOOKUP(N648,etat!$A$9:$N$1004,2,FALSE)</f>
        <v>#N/A</v>
      </c>
      <c r="Q648" s="797" t="e">
        <f>VLOOKUP(N648,etat!$A$9:$N$963,7,FALSE)</f>
        <v>#N/A</v>
      </c>
      <c r="R648" s="905" t="e">
        <f>VLOOKUP(N648,etat!$A$9:$N$1003,9,FALSE)</f>
        <v>#N/A</v>
      </c>
      <c r="S648" s="797" t="e">
        <f>VLOOKUP(N648,etat!$A$9:$P$905,16,FALSE)</f>
        <v>#N/A</v>
      </c>
      <c r="T648" s="755"/>
      <c r="U648" s="791"/>
      <c r="V648" s="784"/>
      <c r="W648" s="784"/>
      <c r="X648" s="784"/>
      <c r="Y648" s="784"/>
      <c r="Z648" s="965" t="str">
        <f>VLOOKUP(L648,اس!$S$3:$X$31,3,FALSE)</f>
        <v>.</v>
      </c>
    </row>
    <row r="649" spans="12:26" ht="18.75">
      <c r="L649" s="777">
        <v>5</v>
      </c>
      <c r="M649" s="864"/>
      <c r="N649" s="976">
        <v>0</v>
      </c>
      <c r="O649" s="1020">
        <v>592</v>
      </c>
      <c r="P649" s="860" t="e">
        <f>VLOOKUP(N649,etat!$A$9:$N$1004,2,FALSE)</f>
        <v>#N/A</v>
      </c>
      <c r="Q649" s="797" t="e">
        <f>VLOOKUP(N649,etat!$A$9:$N$963,7,FALSE)</f>
        <v>#N/A</v>
      </c>
      <c r="R649" s="905" t="e">
        <f>VLOOKUP(N649,etat!$A$9:$N$1003,9,FALSE)</f>
        <v>#N/A</v>
      </c>
      <c r="S649" s="797" t="e">
        <f>VLOOKUP(N649,etat!$A$9:$P$905,16,FALSE)</f>
        <v>#N/A</v>
      </c>
      <c r="T649" s="755"/>
      <c r="U649" s="791"/>
      <c r="V649" s="784"/>
      <c r="W649" s="784"/>
      <c r="X649" s="784"/>
      <c r="Y649" s="784"/>
      <c r="Z649" s="965" t="str">
        <f>VLOOKUP(L649,اس!$S$3:$X$31,3,FALSE)</f>
        <v>.</v>
      </c>
    </row>
    <row r="650" spans="12:26" ht="18.75">
      <c r="L650" s="777">
        <v>5</v>
      </c>
      <c r="M650" s="864"/>
      <c r="N650" s="976">
        <v>0</v>
      </c>
      <c r="O650" s="1020">
        <v>593</v>
      </c>
      <c r="P650" s="860" t="e">
        <f>VLOOKUP(N650,etat!$A$9:$N$1004,2,FALSE)</f>
        <v>#N/A</v>
      </c>
      <c r="Q650" s="797" t="e">
        <f>VLOOKUP(N650,etat!$A$9:$N$963,7,FALSE)</f>
        <v>#N/A</v>
      </c>
      <c r="R650" s="905" t="e">
        <f>VLOOKUP(N650,etat!$A$9:$N$1003,9,FALSE)</f>
        <v>#N/A</v>
      </c>
      <c r="S650" s="797" t="e">
        <f>VLOOKUP(N650,etat!$A$9:$P$905,16,FALSE)</f>
        <v>#N/A</v>
      </c>
      <c r="T650" s="755"/>
      <c r="U650" s="791"/>
      <c r="V650" s="784"/>
      <c r="W650" s="784"/>
      <c r="X650" s="784"/>
      <c r="Y650" s="784"/>
      <c r="Z650" s="965" t="str">
        <f>VLOOKUP(L650,اس!$S$3:$X$31,3,FALSE)</f>
        <v>.</v>
      </c>
    </row>
    <row r="651" spans="12:26" ht="18.75">
      <c r="L651" s="777">
        <v>5</v>
      </c>
      <c r="M651" s="864"/>
      <c r="N651" s="976">
        <v>0</v>
      </c>
      <c r="O651" s="1020">
        <v>594</v>
      </c>
      <c r="P651" s="860" t="e">
        <f>VLOOKUP(N651,etat!$A$9:$N$1004,2,FALSE)</f>
        <v>#N/A</v>
      </c>
      <c r="Q651" s="797" t="e">
        <f>VLOOKUP(N651,etat!$A$9:$N$963,7,FALSE)</f>
        <v>#N/A</v>
      </c>
      <c r="R651" s="905" t="e">
        <f>VLOOKUP(N651,etat!$A$9:$N$1003,9,FALSE)</f>
        <v>#N/A</v>
      </c>
      <c r="S651" s="797" t="e">
        <f>VLOOKUP(N651,etat!$A$9:$P$905,16,FALSE)</f>
        <v>#N/A</v>
      </c>
      <c r="T651" s="755"/>
      <c r="U651" s="791"/>
      <c r="V651" s="784"/>
      <c r="W651" s="784"/>
      <c r="X651" s="784"/>
      <c r="Y651" s="784"/>
      <c r="Z651" s="965" t="str">
        <f>VLOOKUP(L651,اس!$S$3:$X$31,3,FALSE)</f>
        <v>.</v>
      </c>
    </row>
    <row r="652" spans="12:26" ht="18.75">
      <c r="L652" s="777">
        <v>5</v>
      </c>
      <c r="M652" s="864"/>
      <c r="N652" s="976">
        <v>0</v>
      </c>
      <c r="O652" s="1020">
        <v>595</v>
      </c>
      <c r="P652" s="860" t="e">
        <f>VLOOKUP(N652,etat!$A$9:$N$1004,2,FALSE)</f>
        <v>#N/A</v>
      </c>
      <c r="Q652" s="797" t="e">
        <f>VLOOKUP(N652,etat!$A$9:$N$963,7,FALSE)</f>
        <v>#N/A</v>
      </c>
      <c r="R652" s="905" t="e">
        <f>VLOOKUP(N652,etat!$A$9:$N$1003,9,FALSE)</f>
        <v>#N/A</v>
      </c>
      <c r="S652" s="797" t="e">
        <f>VLOOKUP(N652,etat!$A$9:$P$905,16,FALSE)</f>
        <v>#N/A</v>
      </c>
      <c r="T652" s="755"/>
      <c r="U652" s="791"/>
      <c r="V652" s="784"/>
      <c r="W652" s="784"/>
      <c r="X652" s="784"/>
      <c r="Y652" s="784"/>
      <c r="Z652" s="965" t="str">
        <f>VLOOKUP(L652,اس!$S$3:$X$31,3,FALSE)</f>
        <v>.</v>
      </c>
    </row>
    <row r="653" spans="12:26" ht="18.75">
      <c r="L653" s="777">
        <v>5</v>
      </c>
      <c r="M653" s="864"/>
      <c r="N653" s="976">
        <v>0</v>
      </c>
      <c r="O653" s="1020">
        <v>596</v>
      </c>
      <c r="P653" s="860" t="e">
        <f>VLOOKUP(N653,etat!$A$9:$N$1004,2,FALSE)</f>
        <v>#N/A</v>
      </c>
      <c r="Q653" s="797" t="e">
        <f>VLOOKUP(N653,etat!$A$9:$N$963,7,FALSE)</f>
        <v>#N/A</v>
      </c>
      <c r="R653" s="905" t="e">
        <f>VLOOKUP(N653,etat!$A$9:$N$1003,9,FALSE)</f>
        <v>#N/A</v>
      </c>
      <c r="S653" s="797" t="e">
        <f>VLOOKUP(N653,etat!$A$9:$P$905,16,FALSE)</f>
        <v>#N/A</v>
      </c>
      <c r="T653" s="755"/>
      <c r="U653" s="791"/>
      <c r="V653" s="784"/>
      <c r="W653" s="784"/>
      <c r="X653" s="784"/>
      <c r="Y653" s="784"/>
      <c r="Z653" s="965" t="str">
        <f>VLOOKUP(L653,اس!$S$3:$X$31,3,FALSE)</f>
        <v>.</v>
      </c>
    </row>
    <row r="654" spans="12:26" ht="18.75">
      <c r="L654" s="777">
        <v>5</v>
      </c>
      <c r="M654" s="864"/>
      <c r="N654" s="976">
        <v>0</v>
      </c>
      <c r="O654" s="1020">
        <v>597</v>
      </c>
      <c r="P654" s="860" t="e">
        <f>VLOOKUP(N654,etat!$A$9:$N$1004,2,FALSE)</f>
        <v>#N/A</v>
      </c>
      <c r="Q654" s="797" t="e">
        <f>VLOOKUP(N654,etat!$A$9:$N$963,7,FALSE)</f>
        <v>#N/A</v>
      </c>
      <c r="R654" s="905" t="e">
        <f>VLOOKUP(N654,etat!$A$9:$N$1003,9,FALSE)</f>
        <v>#N/A</v>
      </c>
      <c r="S654" s="797" t="e">
        <f>VLOOKUP(N654,etat!$A$9:$P$905,16,FALSE)</f>
        <v>#N/A</v>
      </c>
      <c r="T654" s="755"/>
      <c r="U654" s="791"/>
      <c r="V654" s="784"/>
      <c r="W654" s="784"/>
      <c r="X654" s="784"/>
      <c r="Y654" s="784"/>
      <c r="Z654" s="965" t="str">
        <f>VLOOKUP(L654,اس!$S$3:$X$31,3,FALSE)</f>
        <v>.</v>
      </c>
    </row>
    <row r="655" spans="12:26" ht="18.75">
      <c r="L655" s="777">
        <v>5</v>
      </c>
      <c r="M655" s="864"/>
      <c r="N655" s="976">
        <v>0</v>
      </c>
      <c r="O655" s="1020">
        <v>598</v>
      </c>
      <c r="P655" s="860" t="e">
        <f>VLOOKUP(N655,etat!$A$9:$N$1004,2,FALSE)</f>
        <v>#N/A</v>
      </c>
      <c r="Q655" s="797" t="e">
        <f>VLOOKUP(N655,etat!$A$9:$N$963,7,FALSE)</f>
        <v>#N/A</v>
      </c>
      <c r="R655" s="905" t="e">
        <f>VLOOKUP(N655,etat!$A$9:$N$1003,9,FALSE)</f>
        <v>#N/A</v>
      </c>
      <c r="S655" s="797" t="e">
        <f>VLOOKUP(N655,etat!$A$9:$P$905,16,FALSE)</f>
        <v>#N/A</v>
      </c>
      <c r="T655" s="755"/>
      <c r="U655" s="791"/>
      <c r="V655" s="784"/>
      <c r="W655" s="784"/>
      <c r="X655" s="784"/>
      <c r="Y655" s="784"/>
      <c r="Z655" s="965" t="str">
        <f>VLOOKUP(L655,اس!$S$3:$X$31,3,FALSE)</f>
        <v>.</v>
      </c>
    </row>
    <row r="656" spans="12:26" ht="18.75">
      <c r="L656" s="777">
        <v>5</v>
      </c>
      <c r="M656" s="864"/>
      <c r="N656" s="976">
        <v>0</v>
      </c>
      <c r="O656" s="1020">
        <v>599</v>
      </c>
      <c r="P656" s="860" t="e">
        <f>VLOOKUP(N656,etat!$A$9:$N$1004,2,FALSE)</f>
        <v>#N/A</v>
      </c>
      <c r="Q656" s="797" t="e">
        <f>VLOOKUP(N656,etat!$A$9:$N$963,7,FALSE)</f>
        <v>#N/A</v>
      </c>
      <c r="R656" s="905" t="e">
        <f>VLOOKUP(N656,etat!$A$9:$N$1003,9,FALSE)</f>
        <v>#N/A</v>
      </c>
      <c r="S656" s="797" t="e">
        <f>VLOOKUP(N656,etat!$A$9:$P$905,16,FALSE)</f>
        <v>#N/A</v>
      </c>
      <c r="T656" s="755"/>
      <c r="U656" s="791"/>
      <c r="V656" s="784"/>
      <c r="W656" s="784"/>
      <c r="X656" s="784"/>
      <c r="Y656" s="784"/>
      <c r="Z656" s="965" t="str">
        <f>VLOOKUP(L656,اس!$S$3:$X$31,3,FALSE)</f>
        <v>.</v>
      </c>
    </row>
    <row r="657" spans="12:26" ht="18.75">
      <c r="L657" s="777">
        <v>5</v>
      </c>
      <c r="M657" s="864"/>
      <c r="N657" s="976">
        <v>0</v>
      </c>
      <c r="O657" s="1020">
        <v>600</v>
      </c>
      <c r="P657" s="860" t="e">
        <f>VLOOKUP(N657,etat!$A$9:$N$1004,2,FALSE)</f>
        <v>#N/A</v>
      </c>
      <c r="Q657" s="797" t="e">
        <f>VLOOKUP(N657,etat!$A$9:$N$963,7,FALSE)</f>
        <v>#N/A</v>
      </c>
      <c r="R657" s="905" t="e">
        <f>VLOOKUP(N657,etat!$A$9:$N$1003,9,FALSE)</f>
        <v>#N/A</v>
      </c>
      <c r="S657" s="797" t="e">
        <f>VLOOKUP(N657,etat!$A$9:$P$905,16,FALSE)</f>
        <v>#N/A</v>
      </c>
      <c r="T657" s="755"/>
      <c r="U657" s="791"/>
      <c r="V657" s="784"/>
      <c r="W657" s="784"/>
      <c r="X657" s="784"/>
      <c r="Y657" s="784"/>
      <c r="Z657" s="965" t="str">
        <f>VLOOKUP(L657,اس!$S$3:$X$31,3,FALSE)</f>
        <v>.</v>
      </c>
    </row>
    <row r="658" spans="12:26" ht="18.75">
      <c r="L658" s="777">
        <v>5</v>
      </c>
      <c r="M658" s="864"/>
      <c r="N658" s="976">
        <v>0</v>
      </c>
      <c r="O658" s="1020">
        <v>601</v>
      </c>
      <c r="P658" s="860" t="e">
        <f>VLOOKUP(N658,etat!$A$9:$N$1004,2,FALSE)</f>
        <v>#N/A</v>
      </c>
      <c r="Q658" s="797" t="e">
        <f>VLOOKUP(N658,etat!$A$9:$N$963,7,FALSE)</f>
        <v>#N/A</v>
      </c>
      <c r="R658" s="905" t="e">
        <f>VLOOKUP(N658,etat!$A$9:$N$1003,9,FALSE)</f>
        <v>#N/A</v>
      </c>
      <c r="S658" s="797" t="e">
        <f>VLOOKUP(N658,etat!$A$9:$P$905,16,FALSE)</f>
        <v>#N/A</v>
      </c>
      <c r="T658" s="755"/>
      <c r="U658" s="791"/>
      <c r="V658" s="784"/>
      <c r="W658" s="784"/>
      <c r="X658" s="784"/>
      <c r="Y658" s="784"/>
      <c r="Z658" s="965" t="str">
        <f>VLOOKUP(L658,اس!$S$3:$X$31,3,FALSE)</f>
        <v>.</v>
      </c>
    </row>
    <row r="659" spans="12:26" ht="18.75">
      <c r="L659" s="777">
        <v>5</v>
      </c>
      <c r="M659" s="864"/>
      <c r="N659" s="976">
        <v>0</v>
      </c>
      <c r="O659" s="1020">
        <v>602</v>
      </c>
      <c r="P659" s="860" t="e">
        <f>VLOOKUP(N659,etat!$A$9:$N$1004,2,FALSE)</f>
        <v>#N/A</v>
      </c>
      <c r="Q659" s="797" t="e">
        <f>VLOOKUP(N659,etat!$A$9:$N$963,7,FALSE)</f>
        <v>#N/A</v>
      </c>
      <c r="R659" s="905" t="e">
        <f>VLOOKUP(N659,etat!$A$9:$N$1003,9,FALSE)</f>
        <v>#N/A</v>
      </c>
      <c r="S659" s="797" t="e">
        <f>VLOOKUP(N659,etat!$A$9:$P$905,16,FALSE)</f>
        <v>#N/A</v>
      </c>
      <c r="T659" s="755"/>
      <c r="U659" s="791"/>
      <c r="V659" s="784"/>
      <c r="W659" s="784"/>
      <c r="X659" s="784"/>
      <c r="Y659" s="784"/>
      <c r="Z659" s="965" t="str">
        <f>VLOOKUP(L659,اس!$S$3:$X$31,3,FALSE)</f>
        <v>.</v>
      </c>
    </row>
    <row r="660" spans="12:26" ht="18.75">
      <c r="L660" s="777">
        <v>5</v>
      </c>
      <c r="M660" s="864"/>
      <c r="N660" s="976">
        <v>0</v>
      </c>
      <c r="O660" s="1020">
        <v>603</v>
      </c>
      <c r="P660" s="860" t="e">
        <f>VLOOKUP(N660,etat!$A$9:$N$1004,2,FALSE)</f>
        <v>#N/A</v>
      </c>
      <c r="Q660" s="797" t="e">
        <f>VLOOKUP(N660,etat!$A$9:$N$963,7,FALSE)</f>
        <v>#N/A</v>
      </c>
      <c r="R660" s="905" t="e">
        <f>VLOOKUP(N660,etat!$A$9:$N$1003,9,FALSE)</f>
        <v>#N/A</v>
      </c>
      <c r="S660" s="797" t="e">
        <f>VLOOKUP(N660,etat!$A$9:$P$905,16,FALSE)</f>
        <v>#N/A</v>
      </c>
      <c r="T660" s="755"/>
      <c r="U660" s="791"/>
      <c r="V660" s="784"/>
      <c r="W660" s="784"/>
      <c r="X660" s="784"/>
      <c r="Y660" s="784"/>
      <c r="Z660" s="965" t="str">
        <f>VLOOKUP(L660,اس!$S$3:$X$31,3,FALSE)</f>
        <v>.</v>
      </c>
    </row>
    <row r="661" spans="12:26" ht="18.75">
      <c r="L661" s="777">
        <v>5</v>
      </c>
      <c r="M661" s="864"/>
      <c r="N661" s="976">
        <v>0</v>
      </c>
      <c r="O661" s="1020">
        <v>604</v>
      </c>
      <c r="P661" s="860" t="e">
        <f>VLOOKUP(N661,etat!$A$9:$N$1004,2,FALSE)</f>
        <v>#N/A</v>
      </c>
      <c r="Q661" s="797" t="e">
        <f>VLOOKUP(N661,etat!$A$9:$N$963,7,FALSE)</f>
        <v>#N/A</v>
      </c>
      <c r="R661" s="905" t="e">
        <f>VLOOKUP(N661,etat!$A$9:$N$1003,9,FALSE)</f>
        <v>#N/A</v>
      </c>
      <c r="S661" s="797" t="e">
        <f>VLOOKUP(N661,etat!$A$9:$P$905,16,FALSE)</f>
        <v>#N/A</v>
      </c>
      <c r="T661" s="755"/>
      <c r="U661" s="791"/>
      <c r="V661" s="784"/>
      <c r="W661" s="784"/>
      <c r="X661" s="784"/>
      <c r="Y661" s="784"/>
      <c r="Z661" s="965" t="str">
        <f>VLOOKUP(L661,اس!$S$3:$X$31,3,FALSE)</f>
        <v>.</v>
      </c>
    </row>
    <row r="662" spans="12:26" ht="18.75">
      <c r="L662" s="777">
        <v>5</v>
      </c>
      <c r="M662" s="864"/>
      <c r="N662" s="976">
        <v>0</v>
      </c>
      <c r="O662" s="1020">
        <v>605</v>
      </c>
      <c r="P662" s="860" t="e">
        <f>VLOOKUP(N662,etat!$A$9:$N$1004,2,FALSE)</f>
        <v>#N/A</v>
      </c>
      <c r="Q662" s="797" t="e">
        <f>VLOOKUP(N662,etat!$A$9:$N$963,7,FALSE)</f>
        <v>#N/A</v>
      </c>
      <c r="R662" s="905" t="e">
        <f>VLOOKUP(N662,etat!$A$9:$N$1003,9,FALSE)</f>
        <v>#N/A</v>
      </c>
      <c r="S662" s="797" t="e">
        <f>VLOOKUP(N662,etat!$A$9:$P$905,16,FALSE)</f>
        <v>#N/A</v>
      </c>
      <c r="T662" s="755"/>
      <c r="U662" s="791"/>
      <c r="V662" s="784"/>
      <c r="W662" s="784"/>
      <c r="X662" s="784"/>
      <c r="Y662" s="784"/>
      <c r="Z662" s="965" t="str">
        <f>VLOOKUP(L662,اس!$S$3:$X$31,3,FALSE)</f>
        <v>.</v>
      </c>
    </row>
    <row r="663" spans="12:26" ht="18.75">
      <c r="L663" s="777">
        <v>5</v>
      </c>
      <c r="M663" s="864"/>
      <c r="N663" s="976">
        <v>0</v>
      </c>
      <c r="O663" s="1020">
        <v>606</v>
      </c>
      <c r="P663" s="860" t="e">
        <f>VLOOKUP(N663,etat!$A$9:$N$1004,2,FALSE)</f>
        <v>#N/A</v>
      </c>
      <c r="Q663" s="797" t="e">
        <f>VLOOKUP(N663,etat!$A$9:$N$963,7,FALSE)</f>
        <v>#N/A</v>
      </c>
      <c r="R663" s="905" t="e">
        <f>VLOOKUP(N663,etat!$A$9:$N$1003,9,FALSE)</f>
        <v>#N/A</v>
      </c>
      <c r="S663" s="797" t="e">
        <f>VLOOKUP(N663,etat!$A$9:$P$905,16,FALSE)</f>
        <v>#N/A</v>
      </c>
      <c r="T663" s="755"/>
      <c r="U663" s="791"/>
      <c r="V663" s="784"/>
      <c r="W663" s="784"/>
      <c r="X663" s="784"/>
      <c r="Y663" s="784"/>
      <c r="Z663" s="965" t="str">
        <f>VLOOKUP(L663,اس!$S$3:$X$31,3,FALSE)</f>
        <v>.</v>
      </c>
    </row>
    <row r="664" spans="12:26" ht="18.75">
      <c r="L664" s="777">
        <v>5</v>
      </c>
      <c r="M664" s="864"/>
      <c r="N664" s="976">
        <v>0</v>
      </c>
      <c r="O664" s="1020">
        <v>607</v>
      </c>
      <c r="P664" s="860" t="e">
        <f>VLOOKUP(N664,etat!$A$9:$N$1004,2,FALSE)</f>
        <v>#N/A</v>
      </c>
      <c r="Q664" s="797" t="e">
        <f>VLOOKUP(N664,etat!$A$9:$N$963,7,FALSE)</f>
        <v>#N/A</v>
      </c>
      <c r="R664" s="905" t="e">
        <f>VLOOKUP(N664,etat!$A$9:$N$1003,9,FALSE)</f>
        <v>#N/A</v>
      </c>
      <c r="S664" s="797" t="e">
        <f>VLOOKUP(N664,etat!$A$9:$P$905,16,FALSE)</f>
        <v>#N/A</v>
      </c>
      <c r="T664" s="755"/>
      <c r="U664" s="791"/>
      <c r="V664" s="784"/>
      <c r="W664" s="784"/>
      <c r="X664" s="784"/>
      <c r="Y664" s="784"/>
      <c r="Z664" s="965" t="str">
        <f>VLOOKUP(L664,اس!$S$3:$X$31,3,FALSE)</f>
        <v>.</v>
      </c>
    </row>
    <row r="665" spans="12:26" ht="18.75">
      <c r="L665" s="777">
        <v>5</v>
      </c>
      <c r="M665" s="864"/>
      <c r="N665" s="976">
        <v>0</v>
      </c>
      <c r="O665" s="1020">
        <v>608</v>
      </c>
      <c r="P665" s="860" t="e">
        <f>VLOOKUP(N665,etat!$A$9:$N$1004,2,FALSE)</f>
        <v>#N/A</v>
      </c>
      <c r="Q665" s="797" t="e">
        <f>VLOOKUP(N665,etat!$A$9:$N$963,7,FALSE)</f>
        <v>#N/A</v>
      </c>
      <c r="R665" s="905" t="e">
        <f>VLOOKUP(N665,etat!$A$9:$N$1003,9,FALSE)</f>
        <v>#N/A</v>
      </c>
      <c r="S665" s="797" t="e">
        <f>VLOOKUP(N665,etat!$A$9:$P$905,16,FALSE)</f>
        <v>#N/A</v>
      </c>
      <c r="T665" s="755"/>
      <c r="U665" s="791"/>
      <c r="V665" s="784"/>
      <c r="W665" s="784"/>
      <c r="X665" s="784"/>
      <c r="Y665" s="784"/>
      <c r="Z665" s="965" t="str">
        <f>VLOOKUP(L665,اس!$S$3:$X$31,3,FALSE)</f>
        <v>.</v>
      </c>
    </row>
    <row r="666" spans="12:26" ht="18.75">
      <c r="L666" s="777">
        <v>5</v>
      </c>
      <c r="M666" s="864"/>
      <c r="N666" s="976">
        <v>0</v>
      </c>
      <c r="O666" s="1020">
        <v>609</v>
      </c>
      <c r="P666" s="860" t="e">
        <f>VLOOKUP(N666,etat!$A$9:$N$1004,2,FALSE)</f>
        <v>#N/A</v>
      </c>
      <c r="Q666" s="797" t="e">
        <f>VLOOKUP(N666,etat!$A$9:$N$963,7,FALSE)</f>
        <v>#N/A</v>
      </c>
      <c r="R666" s="905" t="e">
        <f>VLOOKUP(N666,etat!$A$9:$N$1003,9,FALSE)</f>
        <v>#N/A</v>
      </c>
      <c r="S666" s="797" t="e">
        <f>VLOOKUP(N666,etat!$A$9:$P$905,16,FALSE)</f>
        <v>#N/A</v>
      </c>
      <c r="T666" s="755"/>
      <c r="U666" s="791"/>
      <c r="V666" s="784"/>
      <c r="W666" s="784"/>
      <c r="X666" s="784"/>
      <c r="Y666" s="784"/>
      <c r="Z666" s="965" t="str">
        <f>VLOOKUP(L666,اس!$S$3:$X$31,3,FALSE)</f>
        <v>.</v>
      </c>
    </row>
    <row r="667" spans="12:26" ht="18.75">
      <c r="L667" s="777">
        <v>5</v>
      </c>
      <c r="M667" s="864"/>
      <c r="N667" s="976">
        <v>0</v>
      </c>
      <c r="O667" s="1020">
        <v>610</v>
      </c>
      <c r="P667" s="860" t="e">
        <f>VLOOKUP(N667,etat!$A$9:$N$1004,2,FALSE)</f>
        <v>#N/A</v>
      </c>
      <c r="Q667" s="797" t="e">
        <f>VLOOKUP(N667,etat!$A$9:$N$963,7,FALSE)</f>
        <v>#N/A</v>
      </c>
      <c r="R667" s="905" t="e">
        <f>VLOOKUP(N667,etat!$A$9:$N$1003,9,FALSE)</f>
        <v>#N/A</v>
      </c>
      <c r="S667" s="797" t="e">
        <f>VLOOKUP(N667,etat!$A$9:$P$905,16,FALSE)</f>
        <v>#N/A</v>
      </c>
      <c r="T667" s="755"/>
      <c r="U667" s="791"/>
      <c r="V667" s="784"/>
      <c r="W667" s="784"/>
      <c r="X667" s="784"/>
      <c r="Y667" s="784"/>
      <c r="Z667" s="965" t="str">
        <f>VLOOKUP(L667,اس!$S$3:$X$31,3,FALSE)</f>
        <v>.</v>
      </c>
    </row>
    <row r="668" spans="12:26" ht="18.75">
      <c r="L668" s="777">
        <v>5</v>
      </c>
      <c r="M668" s="864"/>
      <c r="N668" s="976">
        <v>0</v>
      </c>
      <c r="O668" s="1020">
        <v>611</v>
      </c>
      <c r="P668" s="860" t="e">
        <f>VLOOKUP(N668,etat!$A$9:$N$1004,2,FALSE)</f>
        <v>#N/A</v>
      </c>
      <c r="Q668" s="797" t="e">
        <f>VLOOKUP(N668,etat!$A$9:$N$963,7,FALSE)</f>
        <v>#N/A</v>
      </c>
      <c r="R668" s="905" t="e">
        <f>VLOOKUP(N668,etat!$A$9:$N$1003,9,FALSE)</f>
        <v>#N/A</v>
      </c>
      <c r="S668" s="797" t="e">
        <f>VLOOKUP(N668,etat!$A$9:$P$905,16,FALSE)</f>
        <v>#N/A</v>
      </c>
      <c r="T668" s="755"/>
      <c r="U668" s="791"/>
      <c r="V668" s="784"/>
      <c r="W668" s="784"/>
      <c r="X668" s="784"/>
      <c r="Y668" s="784"/>
      <c r="Z668" s="965" t="str">
        <f>VLOOKUP(L668,اس!$S$3:$X$31,3,FALSE)</f>
        <v>.</v>
      </c>
    </row>
    <row r="669" spans="12:26" ht="18.75">
      <c r="L669" s="777">
        <v>5</v>
      </c>
      <c r="M669" s="864"/>
      <c r="N669" s="976">
        <v>0</v>
      </c>
      <c r="O669" s="1020">
        <v>612</v>
      </c>
      <c r="P669" s="860" t="e">
        <f>VLOOKUP(N669,etat!$A$9:$N$1004,2,FALSE)</f>
        <v>#N/A</v>
      </c>
      <c r="Q669" s="797" t="e">
        <f>VLOOKUP(N669,etat!$A$9:$N$963,7,FALSE)</f>
        <v>#N/A</v>
      </c>
      <c r="R669" s="905" t="e">
        <f>VLOOKUP(N669,etat!$A$9:$N$1003,9,FALSE)</f>
        <v>#N/A</v>
      </c>
      <c r="S669" s="797" t="e">
        <f>VLOOKUP(N669,etat!$A$9:$P$905,16,FALSE)</f>
        <v>#N/A</v>
      </c>
      <c r="T669" s="755"/>
      <c r="U669" s="791"/>
      <c r="V669" s="784"/>
      <c r="W669" s="784"/>
      <c r="X669" s="784"/>
      <c r="Y669" s="784"/>
      <c r="Z669" s="965" t="str">
        <f>VLOOKUP(L669,اس!$S$3:$X$31,3,FALSE)</f>
        <v>.</v>
      </c>
    </row>
    <row r="670" spans="12:26" ht="18.75">
      <c r="L670" s="777">
        <v>5</v>
      </c>
      <c r="M670" s="864"/>
      <c r="N670" s="976">
        <v>0</v>
      </c>
      <c r="O670" s="1020">
        <v>613</v>
      </c>
      <c r="P670" s="860" t="e">
        <f>VLOOKUP(N670,etat!$A$9:$N$1004,2,FALSE)</f>
        <v>#N/A</v>
      </c>
      <c r="Q670" s="797" t="e">
        <f>VLOOKUP(N670,etat!$A$9:$N$963,7,FALSE)</f>
        <v>#N/A</v>
      </c>
      <c r="R670" s="905" t="e">
        <f>VLOOKUP(N670,etat!$A$9:$N$1003,9,FALSE)</f>
        <v>#N/A</v>
      </c>
      <c r="S670" s="797" t="e">
        <f>VLOOKUP(N670,etat!$A$9:$P$905,16,FALSE)</f>
        <v>#N/A</v>
      </c>
      <c r="T670" s="755"/>
      <c r="U670" s="791"/>
      <c r="V670" s="784"/>
      <c r="W670" s="784"/>
      <c r="X670" s="784"/>
      <c r="Y670" s="784"/>
      <c r="Z670" s="965" t="str">
        <f>VLOOKUP(L670,اس!$S$3:$X$31,3,FALSE)</f>
        <v>.</v>
      </c>
    </row>
    <row r="671" spans="12:26" ht="18.75">
      <c r="L671" s="777">
        <v>5</v>
      </c>
      <c r="M671" s="864"/>
      <c r="N671" s="976">
        <v>0</v>
      </c>
      <c r="O671" s="1020">
        <v>614</v>
      </c>
      <c r="P671" s="860" t="e">
        <f>VLOOKUP(N671,etat!$A$9:$N$1004,2,FALSE)</f>
        <v>#N/A</v>
      </c>
      <c r="Q671" s="797" t="e">
        <f>VLOOKUP(N671,etat!$A$9:$N$963,7,FALSE)</f>
        <v>#N/A</v>
      </c>
      <c r="R671" s="905" t="e">
        <f>VLOOKUP(N671,etat!$A$9:$N$1003,9,FALSE)</f>
        <v>#N/A</v>
      </c>
      <c r="S671" s="797" t="e">
        <f>VLOOKUP(N671,etat!$A$9:$P$905,16,FALSE)</f>
        <v>#N/A</v>
      </c>
      <c r="T671" s="755"/>
      <c r="U671" s="791"/>
      <c r="V671" s="784"/>
      <c r="W671" s="784"/>
      <c r="X671" s="784"/>
      <c r="Y671" s="784"/>
      <c r="Z671" s="965" t="str">
        <f>VLOOKUP(L671,اس!$S$3:$X$31,3,FALSE)</f>
        <v>.</v>
      </c>
    </row>
    <row r="672" spans="12:26" ht="18.75">
      <c r="L672" s="777">
        <v>5</v>
      </c>
      <c r="M672" s="864"/>
      <c r="N672" s="976">
        <v>0</v>
      </c>
      <c r="O672" s="1020">
        <v>615</v>
      </c>
      <c r="P672" s="860" t="e">
        <f>VLOOKUP(N672,etat!$A$9:$N$1004,2,FALSE)</f>
        <v>#N/A</v>
      </c>
      <c r="Q672" s="797" t="e">
        <f>VLOOKUP(N672,etat!$A$9:$N$963,7,FALSE)</f>
        <v>#N/A</v>
      </c>
      <c r="R672" s="905" t="e">
        <f>VLOOKUP(N672,etat!$A$9:$N$1003,9,FALSE)</f>
        <v>#N/A</v>
      </c>
      <c r="S672" s="797" t="e">
        <f>VLOOKUP(N672,etat!$A$9:$P$905,16,FALSE)</f>
        <v>#N/A</v>
      </c>
      <c r="T672" s="755"/>
      <c r="U672" s="791"/>
      <c r="V672" s="784"/>
      <c r="W672" s="784"/>
      <c r="X672" s="784"/>
      <c r="Y672" s="784"/>
      <c r="Z672" s="965" t="str">
        <f>VLOOKUP(L672,اس!$S$3:$X$31,3,FALSE)</f>
        <v>.</v>
      </c>
    </row>
    <row r="673" spans="12:26" ht="18.75">
      <c r="L673" s="777">
        <v>5</v>
      </c>
      <c r="M673" s="864"/>
      <c r="N673" s="976">
        <v>0</v>
      </c>
      <c r="O673" s="1020">
        <v>616</v>
      </c>
      <c r="P673" s="860" t="e">
        <f>VLOOKUP(N673,etat!$A$9:$N$1004,2,FALSE)</f>
        <v>#N/A</v>
      </c>
      <c r="Q673" s="797" t="e">
        <f>VLOOKUP(N673,etat!$A$9:$N$963,7,FALSE)</f>
        <v>#N/A</v>
      </c>
      <c r="R673" s="905" t="e">
        <f>VLOOKUP(N673,etat!$A$9:$N$1003,9,FALSE)</f>
        <v>#N/A</v>
      </c>
      <c r="S673" s="797" t="e">
        <f>VLOOKUP(N673,etat!$A$9:$P$905,16,FALSE)</f>
        <v>#N/A</v>
      </c>
      <c r="T673" s="755"/>
      <c r="U673" s="791"/>
      <c r="V673" s="784"/>
      <c r="W673" s="784"/>
      <c r="X673" s="784"/>
      <c r="Y673" s="784"/>
      <c r="Z673" s="965" t="str">
        <f>VLOOKUP(L673,اس!$S$3:$X$31,3,FALSE)</f>
        <v>.</v>
      </c>
    </row>
    <row r="674" spans="12:26" ht="18.75">
      <c r="L674" s="777">
        <v>5</v>
      </c>
      <c r="M674" s="864"/>
      <c r="N674" s="976">
        <v>0</v>
      </c>
      <c r="O674" s="1020">
        <v>617</v>
      </c>
      <c r="P674" s="860" t="e">
        <f>VLOOKUP(N674,etat!$A$9:$N$1004,2,FALSE)</f>
        <v>#N/A</v>
      </c>
      <c r="Q674" s="797" t="e">
        <f>VLOOKUP(N674,etat!$A$9:$N$963,7,FALSE)</f>
        <v>#N/A</v>
      </c>
      <c r="R674" s="905" t="e">
        <f>VLOOKUP(N674,etat!$A$9:$N$1003,9,FALSE)</f>
        <v>#N/A</v>
      </c>
      <c r="S674" s="797" t="e">
        <f>VLOOKUP(N674,etat!$A$9:$P$905,16,FALSE)</f>
        <v>#N/A</v>
      </c>
      <c r="T674" s="755"/>
      <c r="U674" s="791"/>
      <c r="V674" s="784"/>
      <c r="W674" s="784"/>
      <c r="X674" s="784"/>
      <c r="Y674" s="784"/>
      <c r="Z674" s="965" t="str">
        <f>VLOOKUP(L674,اس!$S$3:$X$31,3,FALSE)</f>
        <v>.</v>
      </c>
    </row>
    <row r="675" spans="12:26" ht="18.75">
      <c r="L675" s="777">
        <v>5</v>
      </c>
      <c r="M675" s="864"/>
      <c r="N675" s="976">
        <v>0</v>
      </c>
      <c r="O675" s="1020">
        <v>618</v>
      </c>
      <c r="P675" s="860" t="e">
        <f>VLOOKUP(N675,etat!$A$9:$N$1004,2,FALSE)</f>
        <v>#N/A</v>
      </c>
      <c r="Q675" s="797" t="e">
        <f>VLOOKUP(N675,etat!$A$9:$N$963,7,FALSE)</f>
        <v>#N/A</v>
      </c>
      <c r="R675" s="905" t="e">
        <f>VLOOKUP(N675,etat!$A$9:$N$1003,9,FALSE)</f>
        <v>#N/A</v>
      </c>
      <c r="S675" s="797" t="e">
        <f>VLOOKUP(N675,etat!$A$9:$P$905,16,FALSE)</f>
        <v>#N/A</v>
      </c>
      <c r="T675" s="755"/>
      <c r="U675" s="791"/>
      <c r="V675" s="784"/>
      <c r="W675" s="784"/>
      <c r="X675" s="784"/>
      <c r="Y675" s="784"/>
      <c r="Z675" s="965" t="str">
        <f>VLOOKUP(L675,اس!$S$3:$X$31,3,FALSE)</f>
        <v>.</v>
      </c>
    </row>
    <row r="676" spans="12:26" ht="18.75">
      <c r="L676" s="777">
        <v>5</v>
      </c>
      <c r="M676" s="864"/>
      <c r="N676" s="976">
        <v>0</v>
      </c>
      <c r="O676" s="1020">
        <v>619</v>
      </c>
      <c r="P676" s="860" t="e">
        <f>VLOOKUP(N676,etat!$A$9:$N$1004,2,FALSE)</f>
        <v>#N/A</v>
      </c>
      <c r="Q676" s="797" t="e">
        <f>VLOOKUP(N676,etat!$A$9:$N$963,7,FALSE)</f>
        <v>#N/A</v>
      </c>
      <c r="R676" s="905" t="e">
        <f>VLOOKUP(N676,etat!$A$9:$N$1003,9,FALSE)</f>
        <v>#N/A</v>
      </c>
      <c r="S676" s="797" t="e">
        <f>VLOOKUP(N676,etat!$A$9:$P$905,16,FALSE)</f>
        <v>#N/A</v>
      </c>
      <c r="T676" s="755"/>
      <c r="U676" s="791"/>
      <c r="V676" s="784"/>
      <c r="W676" s="784"/>
      <c r="X676" s="784"/>
      <c r="Y676" s="784"/>
      <c r="Z676" s="965" t="str">
        <f>VLOOKUP(L676,اس!$S$3:$X$31,3,FALSE)</f>
        <v>.</v>
      </c>
    </row>
    <row r="677" spans="12:26" ht="18.75">
      <c r="L677" s="777">
        <v>5</v>
      </c>
      <c r="M677" s="864"/>
      <c r="N677" s="976">
        <v>0</v>
      </c>
      <c r="O677" s="1020">
        <v>620</v>
      </c>
      <c r="P677" s="860" t="e">
        <f>VLOOKUP(N677,etat!$A$9:$N$1004,2,FALSE)</f>
        <v>#N/A</v>
      </c>
      <c r="Q677" s="797" t="e">
        <f>VLOOKUP(N677,etat!$A$9:$N$963,7,FALSE)</f>
        <v>#N/A</v>
      </c>
      <c r="R677" s="905" t="e">
        <f>VLOOKUP(N677,etat!$A$9:$N$1003,9,FALSE)</f>
        <v>#N/A</v>
      </c>
      <c r="S677" s="797" t="e">
        <f>VLOOKUP(N677,etat!$A$9:$P$905,16,FALSE)</f>
        <v>#N/A</v>
      </c>
      <c r="T677" s="755"/>
      <c r="U677" s="791"/>
      <c r="V677" s="784"/>
      <c r="W677" s="784"/>
      <c r="X677" s="784"/>
      <c r="Y677" s="784"/>
      <c r="Z677" s="965" t="str">
        <f>VLOOKUP(L677,اس!$S$3:$X$31,3,FALSE)</f>
        <v>.</v>
      </c>
    </row>
    <row r="678" spans="12:26" ht="18.75">
      <c r="L678" s="777">
        <v>5</v>
      </c>
      <c r="M678" s="864"/>
      <c r="N678" s="976">
        <v>0</v>
      </c>
      <c r="O678" s="1020">
        <v>621</v>
      </c>
      <c r="P678" s="860" t="e">
        <f>VLOOKUP(N678,etat!$A$9:$N$1004,2,FALSE)</f>
        <v>#N/A</v>
      </c>
      <c r="Q678" s="797" t="e">
        <f>VLOOKUP(N678,etat!$A$9:$N$963,7,FALSE)</f>
        <v>#N/A</v>
      </c>
      <c r="R678" s="905" t="e">
        <f>VLOOKUP(N678,etat!$A$9:$N$1003,9,FALSE)</f>
        <v>#N/A</v>
      </c>
      <c r="S678" s="797" t="e">
        <f>VLOOKUP(N678,etat!$A$9:$P$905,16,FALSE)</f>
        <v>#N/A</v>
      </c>
      <c r="T678" s="755"/>
      <c r="U678" s="791"/>
      <c r="V678" s="784"/>
      <c r="W678" s="784"/>
      <c r="X678" s="784"/>
      <c r="Y678" s="784"/>
      <c r="Z678" s="965" t="str">
        <f>VLOOKUP(L678,اس!$S$3:$X$31,3,FALSE)</f>
        <v>.</v>
      </c>
    </row>
    <row r="679" spans="12:26" ht="18.75">
      <c r="L679" s="777">
        <v>5</v>
      </c>
      <c r="M679" s="864"/>
      <c r="N679" s="976">
        <v>0</v>
      </c>
      <c r="O679" s="1020">
        <v>622</v>
      </c>
      <c r="P679" s="860" t="e">
        <f>VLOOKUP(N679,etat!$A$9:$N$1004,2,FALSE)</f>
        <v>#N/A</v>
      </c>
      <c r="Q679" s="797" t="e">
        <f>VLOOKUP(N679,etat!$A$9:$N$963,7,FALSE)</f>
        <v>#N/A</v>
      </c>
      <c r="R679" s="905" t="e">
        <f>VLOOKUP(N679,etat!$A$9:$N$1003,9,FALSE)</f>
        <v>#N/A</v>
      </c>
      <c r="S679" s="797" t="e">
        <f>VLOOKUP(N679,etat!$A$9:$P$905,16,FALSE)</f>
        <v>#N/A</v>
      </c>
      <c r="T679" s="755"/>
      <c r="U679" s="791"/>
      <c r="V679" s="784"/>
      <c r="W679" s="784"/>
      <c r="X679" s="784"/>
      <c r="Y679" s="784"/>
      <c r="Z679" s="965" t="str">
        <f>VLOOKUP(L679,اس!$S$3:$X$31,3,FALSE)</f>
        <v>.</v>
      </c>
    </row>
    <row r="680" spans="12:26" ht="18.75">
      <c r="L680" s="777">
        <v>5</v>
      </c>
      <c r="M680" s="864"/>
      <c r="N680" s="976">
        <v>0</v>
      </c>
      <c r="O680" s="1020">
        <v>623</v>
      </c>
      <c r="P680" s="860" t="e">
        <f>VLOOKUP(N680,etat!$A$9:$N$1004,2,FALSE)</f>
        <v>#N/A</v>
      </c>
      <c r="Q680" s="797" t="e">
        <f>VLOOKUP(N680,etat!$A$9:$N$963,7,FALSE)</f>
        <v>#N/A</v>
      </c>
      <c r="R680" s="905" t="e">
        <f>VLOOKUP(N680,etat!$A$9:$N$1003,9,FALSE)</f>
        <v>#N/A</v>
      </c>
      <c r="S680" s="797" t="e">
        <f>VLOOKUP(N680,etat!$A$9:$P$905,16,FALSE)</f>
        <v>#N/A</v>
      </c>
      <c r="T680" s="755"/>
      <c r="U680" s="791"/>
      <c r="V680" s="784"/>
      <c r="W680" s="784"/>
      <c r="X680" s="784"/>
      <c r="Y680" s="784"/>
      <c r="Z680" s="965" t="str">
        <f>VLOOKUP(L680,اس!$S$3:$X$31,3,FALSE)</f>
        <v>.</v>
      </c>
    </row>
    <row r="681" spans="12:26" ht="18.75">
      <c r="L681" s="777">
        <v>5</v>
      </c>
      <c r="M681" s="864"/>
      <c r="N681" s="976">
        <v>0</v>
      </c>
      <c r="O681" s="1020">
        <v>624</v>
      </c>
      <c r="P681" s="860" t="e">
        <f>VLOOKUP(N681,etat!$A$9:$N$1004,2,FALSE)</f>
        <v>#N/A</v>
      </c>
      <c r="Q681" s="797" t="e">
        <f>VLOOKUP(N681,etat!$A$9:$N$963,7,FALSE)</f>
        <v>#N/A</v>
      </c>
      <c r="R681" s="905" t="e">
        <f>VLOOKUP(N681,etat!$A$9:$N$1003,9,FALSE)</f>
        <v>#N/A</v>
      </c>
      <c r="S681" s="797" t="e">
        <f>VLOOKUP(N681,etat!$A$9:$P$905,16,FALSE)</f>
        <v>#N/A</v>
      </c>
      <c r="T681" s="755"/>
      <c r="U681" s="791"/>
      <c r="V681" s="784"/>
      <c r="W681" s="784"/>
      <c r="X681" s="784"/>
      <c r="Y681" s="784"/>
      <c r="Z681" s="965" t="str">
        <f>VLOOKUP(L681,اس!$S$3:$X$31,3,FALSE)</f>
        <v>.</v>
      </c>
    </row>
    <row r="682" spans="12:26" ht="18.75">
      <c r="L682" s="777">
        <v>5</v>
      </c>
      <c r="M682" s="864"/>
      <c r="N682" s="976">
        <v>0</v>
      </c>
      <c r="O682" s="1020">
        <v>625</v>
      </c>
      <c r="P682" s="860" t="e">
        <f>VLOOKUP(N682,etat!$A$9:$N$1004,2,FALSE)</f>
        <v>#N/A</v>
      </c>
      <c r="Q682" s="797" t="e">
        <f>VLOOKUP(N682,etat!$A$9:$N$963,7,FALSE)</f>
        <v>#N/A</v>
      </c>
      <c r="R682" s="905" t="e">
        <f>VLOOKUP(N682,etat!$A$9:$N$1003,9,FALSE)</f>
        <v>#N/A</v>
      </c>
      <c r="S682" s="797" t="e">
        <f>VLOOKUP(N682,etat!$A$9:$P$905,16,FALSE)</f>
        <v>#N/A</v>
      </c>
      <c r="T682" s="755"/>
      <c r="U682" s="791"/>
      <c r="V682" s="784"/>
      <c r="W682" s="784"/>
      <c r="X682" s="784"/>
      <c r="Y682" s="784"/>
      <c r="Z682" s="965" t="str">
        <f>VLOOKUP(L682,اس!$S$3:$X$31,3,FALSE)</f>
        <v>.</v>
      </c>
    </row>
    <row r="683" spans="12:26" ht="18.75">
      <c r="L683" s="777">
        <v>5</v>
      </c>
      <c r="M683" s="864"/>
      <c r="N683" s="976">
        <v>0</v>
      </c>
      <c r="O683" s="1020">
        <v>626</v>
      </c>
      <c r="P683" s="860" t="e">
        <f>VLOOKUP(N683,etat!$A$9:$N$1004,2,FALSE)</f>
        <v>#N/A</v>
      </c>
      <c r="Q683" s="797" t="e">
        <f>VLOOKUP(N683,etat!$A$9:$N$963,7,FALSE)</f>
        <v>#N/A</v>
      </c>
      <c r="R683" s="905" t="e">
        <f>VLOOKUP(N683,etat!$A$9:$N$1003,9,FALSE)</f>
        <v>#N/A</v>
      </c>
      <c r="S683" s="797" t="e">
        <f>VLOOKUP(N683,etat!$A$9:$P$905,16,FALSE)</f>
        <v>#N/A</v>
      </c>
      <c r="T683" s="755"/>
      <c r="U683" s="791"/>
      <c r="V683" s="784"/>
      <c r="W683" s="784"/>
      <c r="X683" s="784"/>
      <c r="Y683" s="784"/>
      <c r="Z683" s="965" t="str">
        <f>VLOOKUP(L683,اس!$S$3:$X$31,3,FALSE)</f>
        <v>.</v>
      </c>
    </row>
    <row r="684" spans="12:26" ht="18.75">
      <c r="L684" s="777">
        <v>5</v>
      </c>
      <c r="M684" s="864"/>
      <c r="N684" s="976">
        <v>0</v>
      </c>
      <c r="O684" s="1020">
        <v>627</v>
      </c>
      <c r="P684" s="860" t="e">
        <f>VLOOKUP(N684,etat!$A$9:$N$1004,2,FALSE)</f>
        <v>#N/A</v>
      </c>
      <c r="Q684" s="797" t="e">
        <f>VLOOKUP(N684,etat!$A$9:$N$963,7,FALSE)</f>
        <v>#N/A</v>
      </c>
      <c r="R684" s="905" t="e">
        <f>VLOOKUP(N684,etat!$A$9:$N$1003,9,FALSE)</f>
        <v>#N/A</v>
      </c>
      <c r="S684" s="797" t="e">
        <f>VLOOKUP(N684,etat!$A$9:$P$905,16,FALSE)</f>
        <v>#N/A</v>
      </c>
      <c r="T684" s="755"/>
      <c r="U684" s="791"/>
      <c r="V684" s="784"/>
      <c r="W684" s="784"/>
      <c r="X684" s="784"/>
      <c r="Y684" s="784"/>
      <c r="Z684" s="965" t="str">
        <f>VLOOKUP(L684,اس!$S$3:$X$31,3,FALSE)</f>
        <v>.</v>
      </c>
    </row>
    <row r="685" spans="12:26" ht="18.75">
      <c r="L685" s="777">
        <v>5</v>
      </c>
      <c r="M685" s="864"/>
      <c r="N685" s="976">
        <v>0</v>
      </c>
      <c r="O685" s="1020">
        <v>628</v>
      </c>
      <c r="P685" s="860" t="e">
        <f>VLOOKUP(N685,etat!$A$9:$N$1004,2,FALSE)</f>
        <v>#N/A</v>
      </c>
      <c r="Q685" s="797" t="e">
        <f>VLOOKUP(N685,etat!$A$9:$N$963,7,FALSE)</f>
        <v>#N/A</v>
      </c>
      <c r="R685" s="905" t="e">
        <f>VLOOKUP(N685,etat!$A$9:$N$1003,9,FALSE)</f>
        <v>#N/A</v>
      </c>
      <c r="S685" s="797" t="e">
        <f>VLOOKUP(N685,etat!$A$9:$P$905,16,FALSE)</f>
        <v>#N/A</v>
      </c>
      <c r="T685" s="755"/>
      <c r="U685" s="791"/>
      <c r="V685" s="784"/>
      <c r="W685" s="784"/>
      <c r="X685" s="784"/>
      <c r="Y685" s="784"/>
      <c r="Z685" s="965" t="str">
        <f>VLOOKUP(L685,اس!$S$3:$X$31,3,FALSE)</f>
        <v>.</v>
      </c>
    </row>
    <row r="686" spans="12:26" ht="18.75">
      <c r="L686" s="777">
        <v>5</v>
      </c>
      <c r="M686" s="864"/>
      <c r="N686" s="976">
        <v>0</v>
      </c>
      <c r="O686" s="1020">
        <v>629</v>
      </c>
      <c r="P686" s="860" t="e">
        <f>VLOOKUP(N686,etat!$A$9:$N$1004,2,FALSE)</f>
        <v>#N/A</v>
      </c>
      <c r="Q686" s="797" t="e">
        <f>VLOOKUP(N686,etat!$A$9:$N$963,7,FALSE)</f>
        <v>#N/A</v>
      </c>
      <c r="R686" s="905" t="e">
        <f>VLOOKUP(N686,etat!$A$9:$N$1003,9,FALSE)</f>
        <v>#N/A</v>
      </c>
      <c r="S686" s="797" t="e">
        <f>VLOOKUP(N686,etat!$A$9:$P$905,16,FALSE)</f>
        <v>#N/A</v>
      </c>
      <c r="T686" s="755"/>
      <c r="U686" s="791"/>
      <c r="V686" s="784"/>
      <c r="W686" s="784"/>
      <c r="X686" s="784"/>
      <c r="Y686" s="784"/>
      <c r="Z686" s="965" t="str">
        <f>VLOOKUP(L686,اس!$S$3:$X$31,3,FALSE)</f>
        <v>.</v>
      </c>
    </row>
    <row r="687" spans="12:26" ht="18.75">
      <c r="L687" s="777">
        <v>5</v>
      </c>
      <c r="M687" s="864"/>
      <c r="N687" s="976">
        <v>0</v>
      </c>
      <c r="O687" s="1020">
        <v>630</v>
      </c>
      <c r="P687" s="860" t="e">
        <f>VLOOKUP(N687,etat!$A$9:$N$1004,2,FALSE)</f>
        <v>#N/A</v>
      </c>
      <c r="Q687" s="797" t="e">
        <f>VLOOKUP(N687,etat!$A$9:$N$963,7,FALSE)</f>
        <v>#N/A</v>
      </c>
      <c r="R687" s="905" t="e">
        <f>VLOOKUP(N687,etat!$A$9:$N$1003,9,FALSE)</f>
        <v>#N/A</v>
      </c>
      <c r="S687" s="797" t="e">
        <f>VLOOKUP(N687,etat!$A$9:$P$905,16,FALSE)</f>
        <v>#N/A</v>
      </c>
      <c r="T687" s="755"/>
      <c r="U687" s="791"/>
      <c r="V687" s="784"/>
      <c r="W687" s="784"/>
      <c r="X687" s="784"/>
      <c r="Y687" s="784"/>
      <c r="Z687" s="965" t="str">
        <f>VLOOKUP(L687,اس!$S$3:$X$31,3,FALSE)</f>
        <v>.</v>
      </c>
    </row>
    <row r="688" spans="12:26" ht="18.75">
      <c r="L688" s="777">
        <v>5</v>
      </c>
      <c r="M688" s="864"/>
      <c r="N688" s="976">
        <v>0</v>
      </c>
      <c r="O688" s="1020">
        <v>631</v>
      </c>
      <c r="P688" s="860" t="e">
        <f>VLOOKUP(N688,etat!$A$9:$N$1004,2,FALSE)</f>
        <v>#N/A</v>
      </c>
      <c r="Q688" s="797" t="e">
        <f>VLOOKUP(N688,etat!$A$9:$N$963,7,FALSE)</f>
        <v>#N/A</v>
      </c>
      <c r="R688" s="905" t="e">
        <f>VLOOKUP(N688,etat!$A$9:$N$1003,9,FALSE)</f>
        <v>#N/A</v>
      </c>
      <c r="S688" s="797" t="e">
        <f>VLOOKUP(N688,etat!$A$9:$P$905,16,FALSE)</f>
        <v>#N/A</v>
      </c>
      <c r="T688" s="755"/>
      <c r="U688" s="791"/>
      <c r="V688" s="784"/>
      <c r="W688" s="784"/>
      <c r="X688" s="784"/>
      <c r="Y688" s="784"/>
      <c r="Z688" s="965" t="str">
        <f>VLOOKUP(L688,اس!$S$3:$X$31,3,FALSE)</f>
        <v>.</v>
      </c>
    </row>
    <row r="689" spans="12:26" ht="18.75">
      <c r="L689" s="777">
        <v>5</v>
      </c>
      <c r="M689" s="864"/>
      <c r="N689" s="976">
        <v>0</v>
      </c>
      <c r="O689" s="1020">
        <v>632</v>
      </c>
      <c r="P689" s="860" t="e">
        <f>VLOOKUP(N689,etat!$A$9:$N$1004,2,FALSE)</f>
        <v>#N/A</v>
      </c>
      <c r="Q689" s="797" t="e">
        <f>VLOOKUP(N689,etat!$A$9:$N$963,7,FALSE)</f>
        <v>#N/A</v>
      </c>
      <c r="R689" s="905" t="e">
        <f>VLOOKUP(N689,etat!$A$9:$N$1003,9,FALSE)</f>
        <v>#N/A</v>
      </c>
      <c r="S689" s="797" t="e">
        <f>VLOOKUP(N689,etat!$A$9:$P$905,16,FALSE)</f>
        <v>#N/A</v>
      </c>
      <c r="T689" s="755"/>
      <c r="U689" s="791"/>
      <c r="V689" s="784"/>
      <c r="W689" s="784"/>
      <c r="X689" s="784"/>
      <c r="Y689" s="784"/>
      <c r="Z689" s="965" t="str">
        <f>VLOOKUP(L689,اس!$S$3:$X$31,3,FALSE)</f>
        <v>.</v>
      </c>
    </row>
    <row r="690" spans="12:26" ht="18.75">
      <c r="L690" s="777">
        <v>5</v>
      </c>
      <c r="M690" s="864"/>
      <c r="N690" s="976">
        <v>0</v>
      </c>
      <c r="O690" s="1020">
        <v>633</v>
      </c>
      <c r="P690" s="860" t="e">
        <f>VLOOKUP(N690,etat!$A$9:$N$1004,2,FALSE)</f>
        <v>#N/A</v>
      </c>
      <c r="Q690" s="797" t="e">
        <f>VLOOKUP(N690,etat!$A$9:$N$963,7,FALSE)</f>
        <v>#N/A</v>
      </c>
      <c r="R690" s="905" t="e">
        <f>VLOOKUP(N690,etat!$A$9:$N$1003,9,FALSE)</f>
        <v>#N/A</v>
      </c>
      <c r="S690" s="797" t="e">
        <f>VLOOKUP(N690,etat!$A$9:$P$905,16,FALSE)</f>
        <v>#N/A</v>
      </c>
      <c r="T690" s="755"/>
      <c r="U690" s="791"/>
      <c r="V690" s="784"/>
      <c r="W690" s="784"/>
      <c r="X690" s="784"/>
      <c r="Y690" s="784"/>
      <c r="Z690" s="965" t="str">
        <f>VLOOKUP(L690,اس!$S$3:$X$31,3,FALSE)</f>
        <v>.</v>
      </c>
    </row>
    <row r="691" spans="12:26" ht="18.75">
      <c r="L691" s="777">
        <v>5</v>
      </c>
      <c r="M691" s="864"/>
      <c r="N691" s="976">
        <v>0</v>
      </c>
      <c r="O691" s="1020">
        <v>634</v>
      </c>
      <c r="P691" s="860" t="e">
        <f>VLOOKUP(N691,etat!$A$9:$N$1004,2,FALSE)</f>
        <v>#N/A</v>
      </c>
      <c r="Q691" s="797" t="e">
        <f>VLOOKUP(N691,etat!$A$9:$N$963,7,FALSE)</f>
        <v>#N/A</v>
      </c>
      <c r="R691" s="905" t="e">
        <f>VLOOKUP(N691,etat!$A$9:$N$1003,9,FALSE)</f>
        <v>#N/A</v>
      </c>
      <c r="S691" s="797" t="e">
        <f>VLOOKUP(N691,etat!$A$9:$P$905,16,FALSE)</f>
        <v>#N/A</v>
      </c>
      <c r="T691" s="755"/>
      <c r="U691" s="791"/>
      <c r="V691" s="784"/>
      <c r="W691" s="784"/>
      <c r="X691" s="784"/>
      <c r="Y691" s="784"/>
      <c r="Z691" s="965" t="str">
        <f>VLOOKUP(L691,اس!$S$3:$X$31,3,FALSE)</f>
        <v>.</v>
      </c>
    </row>
    <row r="692" spans="12:26" ht="18.75">
      <c r="L692" s="777">
        <v>5</v>
      </c>
      <c r="M692" s="864"/>
      <c r="N692" s="976">
        <v>0</v>
      </c>
      <c r="O692" s="1020">
        <v>635</v>
      </c>
      <c r="P692" s="860" t="e">
        <f>VLOOKUP(N692,etat!$A$9:$N$1004,2,FALSE)</f>
        <v>#N/A</v>
      </c>
      <c r="Q692" s="797" t="e">
        <f>VLOOKUP(N692,etat!$A$9:$N$963,7,FALSE)</f>
        <v>#N/A</v>
      </c>
      <c r="R692" s="905" t="e">
        <f>VLOOKUP(N692,etat!$A$9:$N$1003,9,FALSE)</f>
        <v>#N/A</v>
      </c>
      <c r="S692" s="797" t="e">
        <f>VLOOKUP(N692,etat!$A$9:$P$905,16,FALSE)</f>
        <v>#N/A</v>
      </c>
      <c r="T692" s="755"/>
      <c r="U692" s="791"/>
      <c r="V692" s="784"/>
      <c r="W692" s="784"/>
      <c r="X692" s="784"/>
      <c r="Y692" s="784"/>
      <c r="Z692" s="965" t="str">
        <f>VLOOKUP(L692,اس!$S$3:$X$31,3,FALSE)</f>
        <v>.</v>
      </c>
    </row>
    <row r="693" spans="12:26" ht="18.75">
      <c r="L693" s="777">
        <v>5</v>
      </c>
      <c r="M693" s="864"/>
      <c r="N693" s="976">
        <v>0</v>
      </c>
      <c r="O693" s="1020">
        <v>636</v>
      </c>
      <c r="P693" s="860" t="e">
        <f>VLOOKUP(N693,etat!$A$9:$N$1004,2,FALSE)</f>
        <v>#N/A</v>
      </c>
      <c r="Q693" s="797" t="e">
        <f>VLOOKUP(N693,etat!$A$9:$N$963,7,FALSE)</f>
        <v>#N/A</v>
      </c>
      <c r="R693" s="905" t="e">
        <f>VLOOKUP(N693,etat!$A$9:$N$1003,9,FALSE)</f>
        <v>#N/A</v>
      </c>
      <c r="S693" s="797" t="e">
        <f>VLOOKUP(N693,etat!$A$9:$P$905,16,FALSE)</f>
        <v>#N/A</v>
      </c>
      <c r="T693" s="755"/>
      <c r="U693" s="791"/>
      <c r="V693" s="784"/>
      <c r="W693" s="784"/>
      <c r="X693" s="784"/>
      <c r="Y693" s="784"/>
      <c r="Z693" s="965" t="str">
        <f>VLOOKUP(L693,اس!$S$3:$X$31,3,FALSE)</f>
        <v>.</v>
      </c>
    </row>
    <row r="694" spans="12:26" ht="18.75">
      <c r="L694" s="777">
        <v>5</v>
      </c>
      <c r="M694" s="864"/>
      <c r="N694" s="976">
        <v>0</v>
      </c>
      <c r="O694" s="1020">
        <v>637</v>
      </c>
      <c r="P694" s="860" t="e">
        <f>VLOOKUP(N694,etat!$A$9:$N$1004,2,FALSE)</f>
        <v>#N/A</v>
      </c>
      <c r="Q694" s="797" t="e">
        <f>VLOOKUP(N694,etat!$A$9:$N$963,7,FALSE)</f>
        <v>#N/A</v>
      </c>
      <c r="R694" s="905" t="e">
        <f>VLOOKUP(N694,etat!$A$9:$N$1003,9,FALSE)</f>
        <v>#N/A</v>
      </c>
      <c r="S694" s="797" t="e">
        <f>VLOOKUP(N694,etat!$A$9:$P$905,16,FALSE)</f>
        <v>#N/A</v>
      </c>
      <c r="T694" s="755"/>
      <c r="U694" s="791"/>
      <c r="V694" s="784"/>
      <c r="W694" s="784"/>
      <c r="X694" s="784"/>
      <c r="Y694" s="784"/>
      <c r="Z694" s="965" t="str">
        <f>VLOOKUP(L694,اس!$S$3:$X$31,3,FALSE)</f>
        <v>.</v>
      </c>
    </row>
    <row r="695" spans="12:26" ht="18.75">
      <c r="L695" s="777">
        <v>5</v>
      </c>
      <c r="M695" s="864"/>
      <c r="N695" s="976">
        <v>0</v>
      </c>
      <c r="O695" s="1020">
        <v>638</v>
      </c>
      <c r="P695" s="860" t="e">
        <f>VLOOKUP(N695,etat!$A$9:$N$1004,2,FALSE)</f>
        <v>#N/A</v>
      </c>
      <c r="Q695" s="797" t="e">
        <f>VLOOKUP(N695,etat!$A$9:$N$963,7,FALSE)</f>
        <v>#N/A</v>
      </c>
      <c r="R695" s="905" t="e">
        <f>VLOOKUP(N695,etat!$A$9:$N$1003,9,FALSE)</f>
        <v>#N/A</v>
      </c>
      <c r="S695" s="797" t="e">
        <f>VLOOKUP(N695,etat!$A$9:$P$905,16,FALSE)</f>
        <v>#N/A</v>
      </c>
      <c r="T695" s="755"/>
      <c r="U695" s="791"/>
      <c r="V695" s="784"/>
      <c r="W695" s="784"/>
      <c r="X695" s="784"/>
      <c r="Y695" s="784"/>
      <c r="Z695" s="965" t="str">
        <f>VLOOKUP(L695,اس!$S$3:$X$31,3,FALSE)</f>
        <v>.</v>
      </c>
    </row>
    <row r="696" spans="12:26" ht="18.75">
      <c r="L696" s="777">
        <v>5</v>
      </c>
      <c r="M696" s="864"/>
      <c r="N696" s="976">
        <v>0</v>
      </c>
      <c r="O696" s="1020">
        <v>639</v>
      </c>
      <c r="P696" s="860" t="e">
        <f>VLOOKUP(N696,etat!$A$9:$N$1004,2,FALSE)</f>
        <v>#N/A</v>
      </c>
      <c r="Q696" s="797" t="e">
        <f>VLOOKUP(N696,etat!$A$9:$N$963,7,FALSE)</f>
        <v>#N/A</v>
      </c>
      <c r="R696" s="905" t="e">
        <f>VLOOKUP(N696,etat!$A$9:$N$1003,9,FALSE)</f>
        <v>#N/A</v>
      </c>
      <c r="S696" s="797" t="e">
        <f>VLOOKUP(N696,etat!$A$9:$P$905,16,FALSE)</f>
        <v>#N/A</v>
      </c>
      <c r="T696" s="755"/>
      <c r="U696" s="791"/>
      <c r="V696" s="784"/>
      <c r="W696" s="784"/>
      <c r="X696" s="784"/>
      <c r="Y696" s="784"/>
      <c r="Z696" s="965" t="str">
        <f>VLOOKUP(L696,اس!$S$3:$X$31,3,FALSE)</f>
        <v>.</v>
      </c>
    </row>
    <row r="697" spans="12:26" ht="18.75">
      <c r="L697" s="777">
        <v>5</v>
      </c>
      <c r="M697" s="864"/>
      <c r="N697" s="976">
        <v>0</v>
      </c>
      <c r="O697" s="1020">
        <v>640</v>
      </c>
      <c r="P697" s="860" t="e">
        <f>VLOOKUP(N697,etat!$A$9:$N$1004,2,FALSE)</f>
        <v>#N/A</v>
      </c>
      <c r="Q697" s="797" t="e">
        <f>VLOOKUP(N697,etat!$A$9:$N$963,7,FALSE)</f>
        <v>#N/A</v>
      </c>
      <c r="R697" s="905" t="e">
        <f>VLOOKUP(N697,etat!$A$9:$N$1003,9,FALSE)</f>
        <v>#N/A</v>
      </c>
      <c r="S697" s="797" t="e">
        <f>VLOOKUP(N697,etat!$A$9:$P$905,16,FALSE)</f>
        <v>#N/A</v>
      </c>
      <c r="T697" s="755"/>
      <c r="U697" s="791"/>
      <c r="V697" s="784"/>
      <c r="W697" s="784"/>
      <c r="X697" s="784"/>
      <c r="Y697" s="784"/>
      <c r="Z697" s="965" t="str">
        <f>VLOOKUP(L697,اس!$S$3:$X$31,3,FALSE)</f>
        <v>.</v>
      </c>
    </row>
    <row r="698" spans="12:26" ht="18.75">
      <c r="L698" s="777">
        <v>5</v>
      </c>
      <c r="M698" s="864"/>
      <c r="N698" s="976">
        <v>0</v>
      </c>
      <c r="O698" s="1020">
        <v>641</v>
      </c>
      <c r="P698" s="860" t="e">
        <f>VLOOKUP(N698,etat!$A$9:$N$1004,2,FALSE)</f>
        <v>#N/A</v>
      </c>
      <c r="Q698" s="797" t="e">
        <f>VLOOKUP(N698,etat!$A$9:$N$963,7,FALSE)</f>
        <v>#N/A</v>
      </c>
      <c r="R698" s="905" t="e">
        <f>VLOOKUP(N698,etat!$A$9:$N$1003,9,FALSE)</f>
        <v>#N/A</v>
      </c>
      <c r="S698" s="797" t="e">
        <f>VLOOKUP(N698,etat!$A$9:$P$905,16,FALSE)</f>
        <v>#N/A</v>
      </c>
      <c r="T698" s="755"/>
      <c r="U698" s="791"/>
      <c r="V698" s="784"/>
      <c r="W698" s="784"/>
      <c r="X698" s="784"/>
      <c r="Y698" s="784"/>
      <c r="Z698" s="965" t="str">
        <f>VLOOKUP(L698,اس!$S$3:$X$31,3,FALSE)</f>
        <v>.</v>
      </c>
    </row>
    <row r="699" spans="12:26" ht="18.75">
      <c r="L699" s="777">
        <v>5</v>
      </c>
      <c r="M699" s="864"/>
      <c r="N699" s="976">
        <v>0</v>
      </c>
      <c r="O699" s="1020">
        <v>642</v>
      </c>
      <c r="P699" s="860" t="e">
        <f>VLOOKUP(N699,etat!$A$9:$N$1004,2,FALSE)</f>
        <v>#N/A</v>
      </c>
      <c r="Q699" s="797" t="e">
        <f>VLOOKUP(N699,etat!$A$9:$N$963,7,FALSE)</f>
        <v>#N/A</v>
      </c>
      <c r="R699" s="905" t="e">
        <f>VLOOKUP(N699,etat!$A$9:$N$1003,9,FALSE)</f>
        <v>#N/A</v>
      </c>
      <c r="S699" s="797" t="e">
        <f>VLOOKUP(N699,etat!$A$9:$P$905,16,FALSE)</f>
        <v>#N/A</v>
      </c>
      <c r="T699" s="755"/>
      <c r="U699" s="791"/>
      <c r="V699" s="784"/>
      <c r="W699" s="784"/>
      <c r="X699" s="784"/>
      <c r="Y699" s="784"/>
      <c r="Z699" s="965" t="str">
        <f>VLOOKUP(L699,اس!$S$3:$X$31,3,FALSE)</f>
        <v>.</v>
      </c>
    </row>
    <row r="700" spans="12:26" ht="18.75">
      <c r="L700" s="777">
        <v>5</v>
      </c>
      <c r="M700" s="864"/>
      <c r="N700" s="976">
        <v>0</v>
      </c>
      <c r="O700" s="1020">
        <v>643</v>
      </c>
      <c r="P700" s="860" t="e">
        <f>VLOOKUP(N700,etat!$A$9:$N$1004,2,FALSE)</f>
        <v>#N/A</v>
      </c>
      <c r="Q700" s="797" t="e">
        <f>VLOOKUP(N700,etat!$A$9:$N$963,7,FALSE)</f>
        <v>#N/A</v>
      </c>
      <c r="R700" s="905" t="e">
        <f>VLOOKUP(N700,etat!$A$9:$N$1003,9,FALSE)</f>
        <v>#N/A</v>
      </c>
      <c r="S700" s="797" t="e">
        <f>VLOOKUP(N700,etat!$A$9:$P$905,16,FALSE)</f>
        <v>#N/A</v>
      </c>
      <c r="T700" s="755"/>
      <c r="U700" s="791"/>
      <c r="V700" s="784"/>
      <c r="W700" s="784"/>
      <c r="X700" s="784"/>
      <c r="Y700" s="784"/>
      <c r="Z700" s="965" t="str">
        <f>VLOOKUP(L700,اس!$S$3:$X$31,3,FALSE)</f>
        <v>.</v>
      </c>
    </row>
    <row r="701" spans="12:26" ht="18.75">
      <c r="L701" s="777">
        <v>5</v>
      </c>
      <c r="M701" s="864"/>
      <c r="N701" s="976">
        <v>0</v>
      </c>
      <c r="O701" s="1020">
        <v>644</v>
      </c>
      <c r="P701" s="860" t="e">
        <f>VLOOKUP(N701,etat!$A$9:$N$1004,2,FALSE)</f>
        <v>#N/A</v>
      </c>
      <c r="Q701" s="797" t="e">
        <f>VLOOKUP(N701,etat!$A$9:$N$963,7,FALSE)</f>
        <v>#N/A</v>
      </c>
      <c r="R701" s="905" t="e">
        <f>VLOOKUP(N701,etat!$A$9:$N$1003,9,FALSE)</f>
        <v>#N/A</v>
      </c>
      <c r="S701" s="797" t="e">
        <f>VLOOKUP(N701,etat!$A$9:$P$905,16,FALSE)</f>
        <v>#N/A</v>
      </c>
      <c r="T701" s="755"/>
      <c r="U701" s="791"/>
      <c r="V701" s="784"/>
      <c r="W701" s="784"/>
      <c r="X701" s="784"/>
      <c r="Y701" s="784"/>
      <c r="Z701" s="965" t="str">
        <f>VLOOKUP(L701,اس!$S$3:$X$31,3,FALSE)</f>
        <v>.</v>
      </c>
    </row>
    <row r="702" spans="12:26" ht="18.75">
      <c r="L702" s="777">
        <v>5</v>
      </c>
      <c r="M702" s="864"/>
      <c r="N702" s="976">
        <v>0</v>
      </c>
      <c r="O702" s="1020">
        <v>645</v>
      </c>
      <c r="P702" s="860" t="e">
        <f>VLOOKUP(N702,etat!$A$9:$N$1004,2,FALSE)</f>
        <v>#N/A</v>
      </c>
      <c r="Q702" s="797" t="e">
        <f>VLOOKUP(N702,etat!$A$9:$N$963,7,FALSE)</f>
        <v>#N/A</v>
      </c>
      <c r="R702" s="905" t="e">
        <f>VLOOKUP(N702,etat!$A$9:$N$1003,9,FALSE)</f>
        <v>#N/A</v>
      </c>
      <c r="S702" s="797" t="e">
        <f>VLOOKUP(N702,etat!$A$9:$P$905,16,FALSE)</f>
        <v>#N/A</v>
      </c>
      <c r="T702" s="755"/>
      <c r="U702" s="791"/>
      <c r="V702" s="784"/>
      <c r="W702" s="784"/>
      <c r="X702" s="784"/>
      <c r="Y702" s="784"/>
      <c r="Z702" s="965" t="str">
        <f>VLOOKUP(L702,اس!$S$3:$X$31,3,FALSE)</f>
        <v>.</v>
      </c>
    </row>
    <row r="703" spans="12:26" ht="18.75">
      <c r="L703" s="777">
        <v>5</v>
      </c>
      <c r="M703" s="864"/>
      <c r="N703" s="976">
        <v>0</v>
      </c>
      <c r="O703" s="1020">
        <v>646</v>
      </c>
      <c r="P703" s="860" t="e">
        <f>VLOOKUP(N703,etat!$A$9:$N$1004,2,FALSE)</f>
        <v>#N/A</v>
      </c>
      <c r="Q703" s="797" t="e">
        <f>VLOOKUP(N703,etat!$A$9:$N$963,7,FALSE)</f>
        <v>#N/A</v>
      </c>
      <c r="R703" s="905" t="e">
        <f>VLOOKUP(N703,etat!$A$9:$N$1003,9,FALSE)</f>
        <v>#N/A</v>
      </c>
      <c r="S703" s="797" t="e">
        <f>VLOOKUP(N703,etat!$A$9:$P$905,16,FALSE)</f>
        <v>#N/A</v>
      </c>
      <c r="T703" s="755"/>
      <c r="U703" s="791"/>
      <c r="V703" s="784"/>
      <c r="W703" s="784"/>
      <c r="X703" s="784"/>
      <c r="Y703" s="784"/>
      <c r="Z703" s="965" t="str">
        <f>VLOOKUP(L703,اس!$S$3:$X$31,3,FALSE)</f>
        <v>.</v>
      </c>
    </row>
    <row r="704" spans="12:26" ht="18.75">
      <c r="L704" s="777">
        <v>5</v>
      </c>
      <c r="M704" s="864"/>
      <c r="N704" s="976">
        <v>0</v>
      </c>
      <c r="O704" s="1020">
        <v>647</v>
      </c>
      <c r="P704" s="860" t="e">
        <f>VLOOKUP(N704,etat!$A$9:$N$1004,2,FALSE)</f>
        <v>#N/A</v>
      </c>
      <c r="Q704" s="797" t="e">
        <f>VLOOKUP(N704,etat!$A$9:$N$963,7,FALSE)</f>
        <v>#N/A</v>
      </c>
      <c r="R704" s="905" t="e">
        <f>VLOOKUP(N704,etat!$A$9:$N$1003,9,FALSE)</f>
        <v>#N/A</v>
      </c>
      <c r="S704" s="797" t="e">
        <f>VLOOKUP(N704,etat!$A$9:$P$905,16,FALSE)</f>
        <v>#N/A</v>
      </c>
      <c r="T704" s="755"/>
      <c r="U704" s="791"/>
      <c r="V704" s="784"/>
      <c r="W704" s="784"/>
      <c r="X704" s="784"/>
      <c r="Y704" s="784"/>
      <c r="Z704" s="965" t="str">
        <f>VLOOKUP(L704,اس!$S$3:$X$31,3,FALSE)</f>
        <v>.</v>
      </c>
    </row>
    <row r="705" spans="12:26" ht="18.75">
      <c r="L705" s="777">
        <v>5</v>
      </c>
      <c r="M705" s="864"/>
      <c r="N705" s="976">
        <v>0</v>
      </c>
      <c r="O705" s="1020">
        <v>648</v>
      </c>
      <c r="P705" s="860" t="e">
        <f>VLOOKUP(N705,etat!$A$9:$N$1004,2,FALSE)</f>
        <v>#N/A</v>
      </c>
      <c r="Q705" s="797" t="e">
        <f>VLOOKUP(N705,etat!$A$9:$N$963,7,FALSE)</f>
        <v>#N/A</v>
      </c>
      <c r="R705" s="905" t="e">
        <f>VLOOKUP(N705,etat!$A$9:$N$1003,9,FALSE)</f>
        <v>#N/A</v>
      </c>
      <c r="S705" s="797" t="e">
        <f>VLOOKUP(N705,etat!$A$9:$P$905,16,FALSE)</f>
        <v>#N/A</v>
      </c>
      <c r="T705" s="755"/>
      <c r="U705" s="791"/>
      <c r="V705" s="784"/>
      <c r="W705" s="784"/>
      <c r="X705" s="784"/>
      <c r="Y705" s="784"/>
      <c r="Z705" s="965" t="str">
        <f>VLOOKUP(L705,اس!$S$3:$X$31,3,FALSE)</f>
        <v>.</v>
      </c>
    </row>
    <row r="706" spans="12:26" ht="18.75">
      <c r="L706" s="777">
        <v>5</v>
      </c>
      <c r="M706" s="864"/>
      <c r="N706" s="976">
        <v>0</v>
      </c>
      <c r="O706" s="1020">
        <v>649</v>
      </c>
      <c r="P706" s="860" t="e">
        <f>VLOOKUP(N706,etat!$A$9:$N$1004,2,FALSE)</f>
        <v>#N/A</v>
      </c>
      <c r="Q706" s="797" t="e">
        <f>VLOOKUP(N706,etat!$A$9:$N$963,7,FALSE)</f>
        <v>#N/A</v>
      </c>
      <c r="R706" s="905" t="e">
        <f>VLOOKUP(N706,etat!$A$9:$N$1003,9,FALSE)</f>
        <v>#N/A</v>
      </c>
      <c r="S706" s="797" t="e">
        <f>VLOOKUP(N706,etat!$A$9:$P$905,16,FALSE)</f>
        <v>#N/A</v>
      </c>
      <c r="T706" s="755"/>
      <c r="U706" s="791"/>
      <c r="V706" s="784"/>
      <c r="W706" s="784"/>
      <c r="X706" s="784"/>
      <c r="Y706" s="784"/>
      <c r="Z706" s="965" t="str">
        <f>VLOOKUP(L706,اس!$S$3:$X$31,3,FALSE)</f>
        <v>.</v>
      </c>
    </row>
    <row r="707" spans="12:26" ht="18.75">
      <c r="L707" s="777">
        <v>5</v>
      </c>
      <c r="M707" s="864"/>
      <c r="N707" s="976">
        <v>0</v>
      </c>
      <c r="O707" s="1020">
        <v>650</v>
      </c>
      <c r="P707" s="860" t="e">
        <f>VLOOKUP(N707,etat!$A$9:$N$1004,2,FALSE)</f>
        <v>#N/A</v>
      </c>
      <c r="Q707" s="797" t="e">
        <f>VLOOKUP(N707,etat!$A$9:$N$963,7,FALSE)</f>
        <v>#N/A</v>
      </c>
      <c r="R707" s="905" t="e">
        <f>VLOOKUP(N707,etat!$A$9:$N$1003,9,FALSE)</f>
        <v>#N/A</v>
      </c>
      <c r="S707" s="797" t="e">
        <f>VLOOKUP(N707,etat!$A$9:$P$905,16,FALSE)</f>
        <v>#N/A</v>
      </c>
      <c r="T707" s="755"/>
      <c r="U707" s="791"/>
      <c r="V707" s="784"/>
      <c r="W707" s="784"/>
      <c r="X707" s="784"/>
      <c r="Y707" s="784"/>
      <c r="Z707" s="965" t="str">
        <f>VLOOKUP(L707,اس!$S$3:$X$31,3,FALSE)</f>
        <v>.</v>
      </c>
    </row>
    <row r="708" spans="12:26" ht="18.75">
      <c r="L708" s="777">
        <v>5</v>
      </c>
      <c r="M708" s="864"/>
      <c r="N708" s="976">
        <v>0</v>
      </c>
      <c r="O708" s="1020">
        <v>651</v>
      </c>
      <c r="P708" s="860" t="e">
        <f>VLOOKUP(N708,etat!$A$9:$N$1004,2,FALSE)</f>
        <v>#N/A</v>
      </c>
      <c r="Q708" s="797" t="e">
        <f>VLOOKUP(N708,etat!$A$9:$N$963,7,FALSE)</f>
        <v>#N/A</v>
      </c>
      <c r="R708" s="905" t="e">
        <f>VLOOKUP(N708,etat!$A$9:$N$1003,9,FALSE)</f>
        <v>#N/A</v>
      </c>
      <c r="S708" s="797" t="e">
        <f>VLOOKUP(N708,etat!$A$9:$P$905,16,FALSE)</f>
        <v>#N/A</v>
      </c>
      <c r="T708" s="755"/>
      <c r="U708" s="791"/>
      <c r="V708" s="784"/>
      <c r="W708" s="784"/>
      <c r="X708" s="784"/>
      <c r="Y708" s="784"/>
      <c r="Z708" s="965" t="str">
        <f>VLOOKUP(L708,اس!$S$3:$X$31,3,FALSE)</f>
        <v>.</v>
      </c>
    </row>
    <row r="709" spans="12:26" ht="18.75">
      <c r="L709" s="777">
        <v>5</v>
      </c>
      <c r="M709" s="864"/>
      <c r="N709" s="976">
        <v>0</v>
      </c>
      <c r="O709" s="1020">
        <v>652</v>
      </c>
      <c r="P709" s="860" t="e">
        <f>VLOOKUP(N709,etat!$A$9:$N$1004,2,FALSE)</f>
        <v>#N/A</v>
      </c>
      <c r="Q709" s="797" t="e">
        <f>VLOOKUP(N709,etat!$A$9:$N$963,7,FALSE)</f>
        <v>#N/A</v>
      </c>
      <c r="R709" s="905" t="e">
        <f>VLOOKUP(N709,etat!$A$9:$N$1003,9,FALSE)</f>
        <v>#N/A</v>
      </c>
      <c r="S709" s="797" t="e">
        <f>VLOOKUP(N709,etat!$A$9:$P$905,16,FALSE)</f>
        <v>#N/A</v>
      </c>
      <c r="T709" s="755"/>
      <c r="U709" s="791"/>
      <c r="V709" s="784"/>
      <c r="W709" s="784"/>
      <c r="X709" s="784"/>
      <c r="Y709" s="784"/>
      <c r="Z709" s="965" t="str">
        <f>VLOOKUP(L709,اس!$S$3:$X$31,3,FALSE)</f>
        <v>.</v>
      </c>
    </row>
    <row r="710" spans="12:26" ht="18.75">
      <c r="L710" s="777">
        <v>5</v>
      </c>
      <c r="M710" s="864"/>
      <c r="N710" s="976">
        <v>0</v>
      </c>
      <c r="O710" s="1020">
        <v>653</v>
      </c>
      <c r="P710" s="860" t="e">
        <f>VLOOKUP(N710,etat!$A$9:$N$1004,2,FALSE)</f>
        <v>#N/A</v>
      </c>
      <c r="Q710" s="797" t="e">
        <f>VLOOKUP(N710,etat!$A$9:$N$963,7,FALSE)</f>
        <v>#N/A</v>
      </c>
      <c r="R710" s="905" t="e">
        <f>VLOOKUP(N710,etat!$A$9:$N$1003,9,FALSE)</f>
        <v>#N/A</v>
      </c>
      <c r="S710" s="797" t="e">
        <f>VLOOKUP(N710,etat!$A$9:$P$905,16,FALSE)</f>
        <v>#N/A</v>
      </c>
      <c r="T710" s="755"/>
      <c r="U710" s="791"/>
      <c r="V710" s="784"/>
      <c r="W710" s="784"/>
      <c r="X710" s="784"/>
      <c r="Y710" s="784"/>
      <c r="Z710" s="965" t="str">
        <f>VLOOKUP(L710,اس!$S$3:$X$31,3,FALSE)</f>
        <v>.</v>
      </c>
    </row>
    <row r="711" spans="12:26" ht="18.75">
      <c r="L711" s="777">
        <v>5</v>
      </c>
      <c r="M711" s="864"/>
      <c r="N711" s="976">
        <v>0</v>
      </c>
      <c r="O711" s="1020">
        <v>654</v>
      </c>
      <c r="P711" s="860" t="e">
        <f>VLOOKUP(N711,etat!$A$9:$N$1004,2,FALSE)</f>
        <v>#N/A</v>
      </c>
      <c r="Q711" s="797" t="e">
        <f>VLOOKUP(N711,etat!$A$9:$N$963,7,FALSE)</f>
        <v>#N/A</v>
      </c>
      <c r="R711" s="905" t="e">
        <f>VLOOKUP(N711,etat!$A$9:$N$1003,9,FALSE)</f>
        <v>#N/A</v>
      </c>
      <c r="S711" s="797" t="e">
        <f>VLOOKUP(N711,etat!$A$9:$P$905,16,FALSE)</f>
        <v>#N/A</v>
      </c>
      <c r="T711" s="755"/>
      <c r="U711" s="791"/>
      <c r="V711" s="784"/>
      <c r="W711" s="784"/>
      <c r="X711" s="784"/>
      <c r="Y711" s="784"/>
      <c r="Z711" s="965" t="str">
        <f>VLOOKUP(L711,اس!$S$3:$X$31,3,FALSE)</f>
        <v>.</v>
      </c>
    </row>
    <row r="712" spans="12:26" ht="18.75">
      <c r="L712" s="777">
        <v>5</v>
      </c>
      <c r="M712" s="864"/>
      <c r="N712" s="976">
        <v>0</v>
      </c>
      <c r="O712" s="1020">
        <v>655</v>
      </c>
      <c r="P712" s="860" t="e">
        <f>VLOOKUP(N712,etat!$A$9:$N$1004,2,FALSE)</f>
        <v>#N/A</v>
      </c>
      <c r="Q712" s="797" t="e">
        <f>VLOOKUP(N712,etat!$A$9:$N$963,7,FALSE)</f>
        <v>#N/A</v>
      </c>
      <c r="R712" s="905" t="e">
        <f>VLOOKUP(N712,etat!$A$9:$N$1003,9,FALSE)</f>
        <v>#N/A</v>
      </c>
      <c r="S712" s="797" t="e">
        <f>VLOOKUP(N712,etat!$A$9:$P$905,16,FALSE)</f>
        <v>#N/A</v>
      </c>
      <c r="T712" s="755"/>
      <c r="U712" s="791"/>
      <c r="V712" s="784"/>
      <c r="W712" s="784"/>
      <c r="X712" s="784"/>
      <c r="Y712" s="784"/>
      <c r="Z712" s="965" t="str">
        <f>VLOOKUP(L712,اس!$S$3:$X$31,3,FALSE)</f>
        <v>.</v>
      </c>
    </row>
    <row r="713" spans="12:26" ht="18.75">
      <c r="L713" s="777">
        <v>5</v>
      </c>
      <c r="M713" s="864"/>
      <c r="N713" s="976">
        <v>0</v>
      </c>
      <c r="O713" s="1020">
        <v>656</v>
      </c>
      <c r="P713" s="860" t="e">
        <f>VLOOKUP(N713,etat!$A$9:$N$1004,2,FALSE)</f>
        <v>#N/A</v>
      </c>
      <c r="Q713" s="797" t="e">
        <f>VLOOKUP(N713,etat!$A$9:$N$963,7,FALSE)</f>
        <v>#N/A</v>
      </c>
      <c r="R713" s="905" t="e">
        <f>VLOOKUP(N713,etat!$A$9:$N$1003,9,FALSE)</f>
        <v>#N/A</v>
      </c>
      <c r="S713" s="797" t="e">
        <f>VLOOKUP(N713,etat!$A$9:$P$905,16,FALSE)</f>
        <v>#N/A</v>
      </c>
      <c r="T713" s="755"/>
      <c r="U713" s="791"/>
      <c r="V713" s="784"/>
      <c r="W713" s="784"/>
      <c r="X713" s="784"/>
      <c r="Y713" s="784"/>
      <c r="Z713" s="965" t="str">
        <f>VLOOKUP(L713,اس!$S$3:$X$31,3,FALSE)</f>
        <v>.</v>
      </c>
    </row>
    <row r="714" spans="12:26" ht="18.75">
      <c r="L714" s="777">
        <v>5</v>
      </c>
      <c r="M714" s="864"/>
      <c r="N714" s="976">
        <v>0</v>
      </c>
      <c r="O714" s="1020">
        <v>657</v>
      </c>
      <c r="P714" s="860" t="e">
        <f>VLOOKUP(N714,etat!$A$9:$N$1004,2,FALSE)</f>
        <v>#N/A</v>
      </c>
      <c r="Q714" s="797" t="e">
        <f>VLOOKUP(N714,etat!$A$9:$N$963,7,FALSE)</f>
        <v>#N/A</v>
      </c>
      <c r="R714" s="905" t="e">
        <f>VLOOKUP(N714,etat!$A$9:$N$1003,9,FALSE)</f>
        <v>#N/A</v>
      </c>
      <c r="S714" s="797" t="e">
        <f>VLOOKUP(N714,etat!$A$9:$P$905,16,FALSE)</f>
        <v>#N/A</v>
      </c>
      <c r="T714" s="755"/>
      <c r="U714" s="791"/>
      <c r="V714" s="784"/>
      <c r="W714" s="784"/>
      <c r="X714" s="784"/>
      <c r="Y714" s="784"/>
      <c r="Z714" s="965" t="str">
        <f>VLOOKUP(L714,اس!$S$3:$X$31,3,FALSE)</f>
        <v>.</v>
      </c>
    </row>
    <row r="715" spans="12:26" ht="18.75">
      <c r="L715" s="777">
        <v>5</v>
      </c>
      <c r="M715" s="864"/>
      <c r="N715" s="976">
        <v>0</v>
      </c>
      <c r="O715" s="1020">
        <v>658</v>
      </c>
      <c r="P715" s="860" t="e">
        <f>VLOOKUP(N715,etat!$A$9:$N$1004,2,FALSE)</f>
        <v>#N/A</v>
      </c>
      <c r="Q715" s="797" t="e">
        <f>VLOOKUP(N715,etat!$A$9:$N$963,7,FALSE)</f>
        <v>#N/A</v>
      </c>
      <c r="R715" s="905" t="e">
        <f>VLOOKUP(N715,etat!$A$9:$N$1003,9,FALSE)</f>
        <v>#N/A</v>
      </c>
      <c r="S715" s="797" t="e">
        <f>VLOOKUP(N715,etat!$A$9:$P$905,16,FALSE)</f>
        <v>#N/A</v>
      </c>
      <c r="T715" s="755"/>
      <c r="U715" s="791"/>
      <c r="V715" s="784"/>
      <c r="W715" s="784"/>
      <c r="X715" s="784"/>
      <c r="Y715" s="784"/>
      <c r="Z715" s="965" t="str">
        <f>VLOOKUP(L715,اس!$S$3:$X$31,3,FALSE)</f>
        <v>.</v>
      </c>
    </row>
    <row r="716" spans="12:26" ht="18.75">
      <c r="L716" s="777">
        <v>5</v>
      </c>
      <c r="M716" s="864"/>
      <c r="N716" s="976">
        <v>0</v>
      </c>
      <c r="O716" s="1020">
        <v>659</v>
      </c>
      <c r="P716" s="860" t="e">
        <f>VLOOKUP(N716,etat!$A$9:$N$1004,2,FALSE)</f>
        <v>#N/A</v>
      </c>
      <c r="Q716" s="797" t="e">
        <f>VLOOKUP(N716,etat!$A$9:$N$963,7,FALSE)</f>
        <v>#N/A</v>
      </c>
      <c r="R716" s="905" t="e">
        <f>VLOOKUP(N716,etat!$A$9:$N$1003,9,FALSE)</f>
        <v>#N/A</v>
      </c>
      <c r="S716" s="797" t="e">
        <f>VLOOKUP(N716,etat!$A$9:$P$905,16,FALSE)</f>
        <v>#N/A</v>
      </c>
      <c r="T716" s="755"/>
      <c r="U716" s="791"/>
      <c r="V716" s="784"/>
      <c r="W716" s="784"/>
      <c r="X716" s="784"/>
      <c r="Y716" s="784"/>
      <c r="Z716" s="965" t="str">
        <f>VLOOKUP(L716,اس!$S$3:$X$31,3,FALSE)</f>
        <v>.</v>
      </c>
    </row>
    <row r="717" spans="12:26" ht="18.75">
      <c r="L717" s="777">
        <v>5</v>
      </c>
      <c r="M717" s="864"/>
      <c r="N717" s="976">
        <v>0</v>
      </c>
      <c r="O717" s="1020">
        <v>660</v>
      </c>
      <c r="P717" s="860" t="e">
        <f>VLOOKUP(N717,etat!$A$9:$N$1004,2,FALSE)</f>
        <v>#N/A</v>
      </c>
      <c r="Q717" s="797" t="e">
        <f>VLOOKUP(N717,etat!$A$9:$N$963,7,FALSE)</f>
        <v>#N/A</v>
      </c>
      <c r="R717" s="905" t="e">
        <f>VLOOKUP(N717,etat!$A$9:$N$1003,9,FALSE)</f>
        <v>#N/A</v>
      </c>
      <c r="S717" s="797" t="e">
        <f>VLOOKUP(N717,etat!$A$9:$P$905,16,FALSE)</f>
        <v>#N/A</v>
      </c>
      <c r="T717" s="755"/>
      <c r="U717" s="791"/>
      <c r="V717" s="784"/>
      <c r="W717" s="784"/>
      <c r="X717" s="784"/>
      <c r="Y717" s="784"/>
      <c r="Z717" s="965" t="str">
        <f>VLOOKUP(L717,اس!$S$3:$X$31,3,FALSE)</f>
        <v>.</v>
      </c>
    </row>
    <row r="718" spans="12:26" ht="18.75">
      <c r="L718" s="777">
        <v>5</v>
      </c>
      <c r="M718" s="864"/>
      <c r="N718" s="976">
        <v>0</v>
      </c>
      <c r="O718" s="1020">
        <v>661</v>
      </c>
      <c r="P718" s="860" t="e">
        <f>VLOOKUP(N718,etat!$A$9:$N$1004,2,FALSE)</f>
        <v>#N/A</v>
      </c>
      <c r="Q718" s="797" t="e">
        <f>VLOOKUP(N718,etat!$A$9:$N$963,7,FALSE)</f>
        <v>#N/A</v>
      </c>
      <c r="R718" s="905" t="e">
        <f>VLOOKUP(N718,etat!$A$9:$N$1003,9,FALSE)</f>
        <v>#N/A</v>
      </c>
      <c r="S718" s="797" t="e">
        <f>VLOOKUP(N718,etat!$A$9:$P$905,16,FALSE)</f>
        <v>#N/A</v>
      </c>
      <c r="T718" s="755"/>
      <c r="U718" s="791"/>
      <c r="V718" s="784"/>
      <c r="W718" s="784"/>
      <c r="X718" s="784"/>
      <c r="Y718" s="784"/>
      <c r="Z718" s="965" t="str">
        <f>VLOOKUP(L718,اس!$S$3:$X$31,3,FALSE)</f>
        <v>.</v>
      </c>
    </row>
    <row r="719" spans="12:26" ht="18.75">
      <c r="L719" s="777">
        <v>5</v>
      </c>
      <c r="M719" s="864"/>
      <c r="N719" s="976">
        <v>0</v>
      </c>
      <c r="O719" s="1020">
        <v>662</v>
      </c>
      <c r="P719" s="860" t="e">
        <f>VLOOKUP(N719,etat!$A$9:$N$1004,2,FALSE)</f>
        <v>#N/A</v>
      </c>
      <c r="Q719" s="797" t="e">
        <f>VLOOKUP(N719,etat!$A$9:$N$963,7,FALSE)</f>
        <v>#N/A</v>
      </c>
      <c r="R719" s="905" t="e">
        <f>VLOOKUP(N719,etat!$A$9:$N$1003,9,FALSE)</f>
        <v>#N/A</v>
      </c>
      <c r="S719" s="797" t="e">
        <f>VLOOKUP(N719,etat!$A$9:$P$905,16,FALSE)</f>
        <v>#N/A</v>
      </c>
      <c r="T719" s="755"/>
      <c r="U719" s="791"/>
      <c r="V719" s="784"/>
      <c r="W719" s="784"/>
      <c r="X719" s="784"/>
      <c r="Y719" s="784"/>
      <c r="Z719" s="965" t="str">
        <f>VLOOKUP(L719,اس!$S$3:$X$31,3,FALSE)</f>
        <v>.</v>
      </c>
    </row>
    <row r="720" spans="12:26" ht="18.75">
      <c r="L720" s="777">
        <v>5</v>
      </c>
      <c r="M720" s="864"/>
      <c r="N720" s="976">
        <v>0</v>
      </c>
      <c r="O720" s="1020">
        <v>663</v>
      </c>
      <c r="P720" s="860" t="e">
        <f>VLOOKUP(N720,etat!$A$9:$N$1004,2,FALSE)</f>
        <v>#N/A</v>
      </c>
      <c r="Q720" s="797" t="e">
        <f>VLOOKUP(N720,etat!$A$9:$N$963,7,FALSE)</f>
        <v>#N/A</v>
      </c>
      <c r="R720" s="905" t="e">
        <f>VLOOKUP(N720,etat!$A$9:$N$1003,9,FALSE)</f>
        <v>#N/A</v>
      </c>
      <c r="S720" s="797" t="e">
        <f>VLOOKUP(N720,etat!$A$9:$P$905,16,FALSE)</f>
        <v>#N/A</v>
      </c>
      <c r="T720" s="755"/>
      <c r="U720" s="791"/>
      <c r="V720" s="784"/>
      <c r="W720" s="784"/>
      <c r="X720" s="784"/>
      <c r="Y720" s="784"/>
      <c r="Z720" s="965" t="str">
        <f>VLOOKUP(L720,اس!$S$3:$X$31,3,FALSE)</f>
        <v>.</v>
      </c>
    </row>
    <row r="721" spans="12:26" ht="18.75">
      <c r="L721" s="777">
        <v>5</v>
      </c>
      <c r="M721" s="864"/>
      <c r="N721" s="976">
        <v>0</v>
      </c>
      <c r="O721" s="1020">
        <v>664</v>
      </c>
      <c r="P721" s="860" t="e">
        <f>VLOOKUP(N721,etat!$A$9:$N$1004,2,FALSE)</f>
        <v>#N/A</v>
      </c>
      <c r="Q721" s="797" t="e">
        <f>VLOOKUP(N721,etat!$A$9:$N$963,7,FALSE)</f>
        <v>#N/A</v>
      </c>
      <c r="R721" s="905" t="e">
        <f>VLOOKUP(N721,etat!$A$9:$N$1003,9,FALSE)</f>
        <v>#N/A</v>
      </c>
      <c r="S721" s="797" t="e">
        <f>VLOOKUP(N721,etat!$A$9:$P$905,16,FALSE)</f>
        <v>#N/A</v>
      </c>
      <c r="T721" s="755"/>
      <c r="U721" s="791"/>
      <c r="V721" s="784"/>
      <c r="W721" s="784"/>
      <c r="X721" s="784"/>
      <c r="Y721" s="784"/>
      <c r="Z721" s="965" t="str">
        <f>VLOOKUP(L721,اس!$S$3:$X$31,3,FALSE)</f>
        <v>.</v>
      </c>
    </row>
    <row r="722" spans="12:26" ht="18.75">
      <c r="L722" s="777">
        <v>5</v>
      </c>
      <c r="M722" s="864"/>
      <c r="N722" s="976">
        <v>0</v>
      </c>
      <c r="O722" s="1020">
        <v>665</v>
      </c>
      <c r="P722" s="860" t="e">
        <f>VLOOKUP(N722,etat!$A$9:$N$1004,2,FALSE)</f>
        <v>#N/A</v>
      </c>
      <c r="Q722" s="797" t="e">
        <f>VLOOKUP(N722,etat!$A$9:$N$963,7,FALSE)</f>
        <v>#N/A</v>
      </c>
      <c r="R722" s="905" t="e">
        <f>VLOOKUP(N722,etat!$A$9:$N$1003,9,FALSE)</f>
        <v>#N/A</v>
      </c>
      <c r="S722" s="797" t="e">
        <f>VLOOKUP(N722,etat!$A$9:$P$905,16,FALSE)</f>
        <v>#N/A</v>
      </c>
      <c r="T722" s="755"/>
      <c r="U722" s="791"/>
      <c r="V722" s="784"/>
      <c r="W722" s="784"/>
      <c r="X722" s="784"/>
      <c r="Y722" s="784"/>
      <c r="Z722" s="965" t="str">
        <f>VLOOKUP(L722,اس!$S$3:$X$31,3,FALSE)</f>
        <v>.</v>
      </c>
    </row>
    <row r="723" spans="12:26" ht="18.75">
      <c r="L723" s="777">
        <v>5</v>
      </c>
      <c r="M723" s="864"/>
      <c r="N723" s="976">
        <v>0</v>
      </c>
      <c r="O723" s="1020">
        <v>666</v>
      </c>
      <c r="P723" s="860" t="e">
        <f>VLOOKUP(N723,etat!$A$9:$N$1004,2,FALSE)</f>
        <v>#N/A</v>
      </c>
      <c r="Q723" s="797" t="e">
        <f>VLOOKUP(N723,etat!$A$9:$N$963,7,FALSE)</f>
        <v>#N/A</v>
      </c>
      <c r="R723" s="905" t="e">
        <f>VLOOKUP(N723,etat!$A$9:$N$1003,9,FALSE)</f>
        <v>#N/A</v>
      </c>
      <c r="S723" s="797" t="e">
        <f>VLOOKUP(N723,etat!$A$9:$P$905,16,FALSE)</f>
        <v>#N/A</v>
      </c>
      <c r="T723" s="755"/>
      <c r="U723" s="791"/>
      <c r="V723" s="784"/>
      <c r="W723" s="784"/>
      <c r="X723" s="784"/>
      <c r="Y723" s="784"/>
      <c r="Z723" s="965" t="str">
        <f>VLOOKUP(L723,اس!$S$3:$X$31,3,FALSE)</f>
        <v>.</v>
      </c>
    </row>
    <row r="724" spans="12:26" ht="18.75">
      <c r="L724" s="777">
        <v>5</v>
      </c>
      <c r="M724" s="864"/>
      <c r="N724" s="976">
        <v>0</v>
      </c>
      <c r="O724" s="1020">
        <v>667</v>
      </c>
      <c r="P724" s="860" t="e">
        <f>VLOOKUP(N724,etat!$A$9:$N$1004,2,FALSE)</f>
        <v>#N/A</v>
      </c>
      <c r="Q724" s="797" t="e">
        <f>VLOOKUP(N724,etat!$A$9:$N$963,7,FALSE)</f>
        <v>#N/A</v>
      </c>
      <c r="R724" s="905" t="e">
        <f>VLOOKUP(N724,etat!$A$9:$N$1003,9,FALSE)</f>
        <v>#N/A</v>
      </c>
      <c r="S724" s="797" t="e">
        <f>VLOOKUP(N724,etat!$A$9:$P$905,16,FALSE)</f>
        <v>#N/A</v>
      </c>
      <c r="T724" s="755"/>
      <c r="U724" s="791"/>
      <c r="V724" s="784"/>
      <c r="W724" s="784"/>
      <c r="X724" s="784"/>
      <c r="Y724" s="784"/>
      <c r="Z724" s="965" t="str">
        <f>VLOOKUP(L724,اس!$S$3:$X$31,3,FALSE)</f>
        <v>.</v>
      </c>
    </row>
    <row r="725" spans="12:26" ht="18.75">
      <c r="L725" s="777">
        <v>5</v>
      </c>
      <c r="M725" s="864"/>
      <c r="N725" s="976">
        <v>0</v>
      </c>
      <c r="O725" s="1020">
        <v>668</v>
      </c>
      <c r="P725" s="860" t="e">
        <f>VLOOKUP(N725,etat!$A$9:$N$1004,2,FALSE)</f>
        <v>#N/A</v>
      </c>
      <c r="Q725" s="797" t="e">
        <f>VLOOKUP(N725,etat!$A$9:$N$963,7,FALSE)</f>
        <v>#N/A</v>
      </c>
      <c r="R725" s="905" t="e">
        <f>VLOOKUP(N725,etat!$A$9:$N$1003,9,FALSE)</f>
        <v>#N/A</v>
      </c>
      <c r="S725" s="797" t="e">
        <f>VLOOKUP(N725,etat!$A$9:$P$905,16,FALSE)</f>
        <v>#N/A</v>
      </c>
      <c r="T725" s="755"/>
      <c r="U725" s="791"/>
      <c r="V725" s="784"/>
      <c r="W725" s="784"/>
      <c r="X725" s="784"/>
      <c r="Y725" s="784"/>
      <c r="Z725" s="965" t="str">
        <f>VLOOKUP(L725,اس!$S$3:$X$31,3,FALSE)</f>
        <v>.</v>
      </c>
    </row>
    <row r="726" spans="12:26" ht="18.75">
      <c r="L726" s="777">
        <v>5</v>
      </c>
      <c r="M726" s="864"/>
      <c r="N726" s="976">
        <v>0</v>
      </c>
      <c r="O726" s="1020">
        <v>669</v>
      </c>
      <c r="P726" s="860" t="e">
        <f>VLOOKUP(N726,etat!$A$9:$N$1004,2,FALSE)</f>
        <v>#N/A</v>
      </c>
      <c r="Q726" s="797" t="e">
        <f>VLOOKUP(N726,etat!$A$9:$N$963,7,FALSE)</f>
        <v>#N/A</v>
      </c>
      <c r="R726" s="905" t="e">
        <f>VLOOKUP(N726,etat!$A$9:$N$1003,9,FALSE)</f>
        <v>#N/A</v>
      </c>
      <c r="S726" s="797" t="e">
        <f>VLOOKUP(N726,etat!$A$9:$P$905,16,FALSE)</f>
        <v>#N/A</v>
      </c>
      <c r="T726" s="755"/>
      <c r="U726" s="791"/>
      <c r="V726" s="784"/>
      <c r="W726" s="784"/>
      <c r="X726" s="784"/>
      <c r="Y726" s="784"/>
      <c r="Z726" s="965" t="str">
        <f>VLOOKUP(L726,اس!$S$3:$X$31,3,FALSE)</f>
        <v>.</v>
      </c>
    </row>
    <row r="727" spans="12:26" ht="18.75">
      <c r="L727" s="777">
        <v>5</v>
      </c>
      <c r="M727" s="864"/>
      <c r="N727" s="976">
        <v>0</v>
      </c>
      <c r="O727" s="1020">
        <v>670</v>
      </c>
      <c r="P727" s="860" t="e">
        <f>VLOOKUP(N727,etat!$A$9:$N$1004,2,FALSE)</f>
        <v>#N/A</v>
      </c>
      <c r="Q727" s="797" t="e">
        <f>VLOOKUP(N727,etat!$A$9:$N$963,7,FALSE)</f>
        <v>#N/A</v>
      </c>
      <c r="R727" s="905" t="e">
        <f>VLOOKUP(N727,etat!$A$9:$N$1003,9,FALSE)</f>
        <v>#N/A</v>
      </c>
      <c r="S727" s="797" t="e">
        <f>VLOOKUP(N727,etat!$A$9:$P$905,16,FALSE)</f>
        <v>#N/A</v>
      </c>
      <c r="T727" s="755"/>
      <c r="U727" s="791"/>
      <c r="V727" s="784"/>
      <c r="W727" s="784"/>
      <c r="X727" s="784"/>
      <c r="Y727" s="784"/>
      <c r="Z727" s="965" t="str">
        <f>VLOOKUP(L727,اس!$S$3:$X$31,3,FALSE)</f>
        <v>.</v>
      </c>
    </row>
    <row r="728" spans="12:26" ht="18.75">
      <c r="L728" s="777">
        <v>5</v>
      </c>
      <c r="M728" s="864"/>
      <c r="N728" s="976">
        <v>0</v>
      </c>
      <c r="O728" s="1020">
        <v>671</v>
      </c>
      <c r="P728" s="860" t="e">
        <f>VLOOKUP(N728,etat!$A$9:$N$1004,2,FALSE)</f>
        <v>#N/A</v>
      </c>
      <c r="Q728" s="797" t="e">
        <f>VLOOKUP(N728,etat!$A$9:$N$963,7,FALSE)</f>
        <v>#N/A</v>
      </c>
      <c r="R728" s="905" t="e">
        <f>VLOOKUP(N728,etat!$A$9:$N$1003,9,FALSE)</f>
        <v>#N/A</v>
      </c>
      <c r="S728" s="797" t="e">
        <f>VLOOKUP(N728,etat!$A$9:$P$905,16,FALSE)</f>
        <v>#N/A</v>
      </c>
      <c r="T728" s="755"/>
      <c r="U728" s="791"/>
      <c r="V728" s="784"/>
      <c r="W728" s="784"/>
      <c r="X728" s="784"/>
      <c r="Y728" s="784"/>
      <c r="Z728" s="965" t="str">
        <f>VLOOKUP(L728,اس!$S$3:$X$31,3,FALSE)</f>
        <v>.</v>
      </c>
    </row>
    <row r="729" spans="12:26" ht="18.75">
      <c r="L729" s="777">
        <v>5</v>
      </c>
      <c r="M729" s="864"/>
      <c r="N729" s="976">
        <v>0</v>
      </c>
      <c r="O729" s="1020">
        <v>672</v>
      </c>
      <c r="P729" s="860" t="e">
        <f>VLOOKUP(N729,etat!$A$9:$N$1004,2,FALSE)</f>
        <v>#N/A</v>
      </c>
      <c r="Q729" s="797" t="e">
        <f>VLOOKUP(N729,etat!$A$9:$N$963,7,FALSE)</f>
        <v>#N/A</v>
      </c>
      <c r="R729" s="905" t="e">
        <f>VLOOKUP(N729,etat!$A$9:$N$1003,9,FALSE)</f>
        <v>#N/A</v>
      </c>
      <c r="S729" s="797" t="e">
        <f>VLOOKUP(N729,etat!$A$9:$P$905,16,FALSE)</f>
        <v>#N/A</v>
      </c>
      <c r="T729" s="755"/>
      <c r="U729" s="791"/>
      <c r="V729" s="784"/>
      <c r="W729" s="784"/>
      <c r="X729" s="784"/>
      <c r="Y729" s="784"/>
      <c r="Z729" s="965" t="str">
        <f>VLOOKUP(L729,اس!$S$3:$X$31,3,FALSE)</f>
        <v>.</v>
      </c>
    </row>
    <row r="730" spans="12:26" ht="18.75">
      <c r="L730" s="777">
        <v>5</v>
      </c>
      <c r="M730" s="864"/>
      <c r="N730" s="976">
        <v>0</v>
      </c>
      <c r="O730" s="1020">
        <v>673</v>
      </c>
      <c r="P730" s="860" t="e">
        <f>VLOOKUP(N730,etat!$A$9:$N$1004,2,FALSE)</f>
        <v>#N/A</v>
      </c>
      <c r="Q730" s="797" t="e">
        <f>VLOOKUP(N730,etat!$A$9:$N$963,7,FALSE)</f>
        <v>#N/A</v>
      </c>
      <c r="R730" s="905" t="e">
        <f>VLOOKUP(N730,etat!$A$9:$N$1003,9,FALSE)</f>
        <v>#N/A</v>
      </c>
      <c r="S730" s="797" t="e">
        <f>VLOOKUP(N730,etat!$A$9:$P$905,16,FALSE)</f>
        <v>#N/A</v>
      </c>
      <c r="T730" s="755"/>
      <c r="U730" s="791"/>
      <c r="V730" s="784"/>
      <c r="W730" s="784"/>
      <c r="X730" s="784"/>
      <c r="Y730" s="784"/>
      <c r="Z730" s="965" t="str">
        <f>VLOOKUP(L730,اس!$S$3:$X$31,3,FALSE)</f>
        <v>.</v>
      </c>
    </row>
    <row r="731" spans="12:26" ht="18.75">
      <c r="L731" s="777">
        <v>5</v>
      </c>
      <c r="M731" s="864"/>
      <c r="N731" s="976">
        <v>0</v>
      </c>
      <c r="O731" s="1020">
        <v>674</v>
      </c>
      <c r="P731" s="860" t="e">
        <f>VLOOKUP(N731,etat!$A$9:$N$1004,2,FALSE)</f>
        <v>#N/A</v>
      </c>
      <c r="Q731" s="797" t="e">
        <f>VLOOKUP(N731,etat!$A$9:$N$963,7,FALSE)</f>
        <v>#N/A</v>
      </c>
      <c r="R731" s="905" t="e">
        <f>VLOOKUP(N731,etat!$A$9:$N$1003,9,FALSE)</f>
        <v>#N/A</v>
      </c>
      <c r="S731" s="797" t="e">
        <f>VLOOKUP(N731,etat!$A$9:$P$905,16,FALSE)</f>
        <v>#N/A</v>
      </c>
      <c r="T731" s="755"/>
      <c r="U731" s="791"/>
      <c r="V731" s="784"/>
      <c r="W731" s="784"/>
      <c r="X731" s="784"/>
      <c r="Y731" s="784"/>
      <c r="Z731" s="965" t="str">
        <f>VLOOKUP(L731,اس!$S$3:$X$31,3,FALSE)</f>
        <v>.</v>
      </c>
    </row>
    <row r="732" spans="12:26" ht="18.75">
      <c r="L732" s="777">
        <v>5</v>
      </c>
      <c r="M732" s="864"/>
      <c r="N732" s="976">
        <v>0</v>
      </c>
      <c r="O732" s="1020">
        <v>675</v>
      </c>
      <c r="P732" s="860" t="e">
        <f>VLOOKUP(N732,etat!$A$9:$N$1004,2,FALSE)</f>
        <v>#N/A</v>
      </c>
      <c r="Q732" s="797" t="e">
        <f>VLOOKUP(N732,etat!$A$9:$N$963,7,FALSE)</f>
        <v>#N/A</v>
      </c>
      <c r="R732" s="905" t="e">
        <f>VLOOKUP(N732,etat!$A$9:$N$1003,9,FALSE)</f>
        <v>#N/A</v>
      </c>
      <c r="S732" s="797" t="e">
        <f>VLOOKUP(N732,etat!$A$9:$P$905,16,FALSE)</f>
        <v>#N/A</v>
      </c>
      <c r="T732" s="755"/>
      <c r="U732" s="791"/>
      <c r="V732" s="784"/>
      <c r="W732" s="784"/>
      <c r="X732" s="784"/>
      <c r="Y732" s="784"/>
      <c r="Z732" s="965" t="str">
        <f>VLOOKUP(L732,اس!$S$3:$X$31,3,FALSE)</f>
        <v>.</v>
      </c>
    </row>
    <row r="733" spans="12:26" ht="18.75">
      <c r="L733" s="777">
        <v>5</v>
      </c>
      <c r="M733" s="864"/>
      <c r="N733" s="976">
        <v>0</v>
      </c>
      <c r="O733" s="1020">
        <v>676</v>
      </c>
      <c r="P733" s="860" t="e">
        <f>VLOOKUP(N733,etat!$A$9:$N$1004,2,FALSE)</f>
        <v>#N/A</v>
      </c>
      <c r="Q733" s="797" t="e">
        <f>VLOOKUP(N733,etat!$A$9:$N$963,7,FALSE)</f>
        <v>#N/A</v>
      </c>
      <c r="R733" s="905" t="e">
        <f>VLOOKUP(N733,etat!$A$9:$N$1003,9,FALSE)</f>
        <v>#N/A</v>
      </c>
      <c r="S733" s="797" t="e">
        <f>VLOOKUP(N733,etat!$A$9:$P$905,16,FALSE)</f>
        <v>#N/A</v>
      </c>
      <c r="T733" s="755"/>
      <c r="U733" s="791"/>
      <c r="V733" s="784"/>
      <c r="W733" s="784"/>
      <c r="X733" s="784"/>
      <c r="Y733" s="784"/>
      <c r="Z733" s="965" t="str">
        <f>VLOOKUP(L733,اس!$S$3:$X$31,3,FALSE)</f>
        <v>.</v>
      </c>
    </row>
    <row r="734" spans="12:26" ht="18.75">
      <c r="L734" s="777">
        <v>5</v>
      </c>
      <c r="M734" s="864"/>
      <c r="N734" s="976">
        <v>0</v>
      </c>
      <c r="O734" s="1020">
        <v>677</v>
      </c>
      <c r="P734" s="860" t="e">
        <f>VLOOKUP(N734,etat!$A$9:$N$1004,2,FALSE)</f>
        <v>#N/A</v>
      </c>
      <c r="Q734" s="797" t="e">
        <f>VLOOKUP(N734,etat!$A$9:$N$963,7,FALSE)</f>
        <v>#N/A</v>
      </c>
      <c r="R734" s="905" t="e">
        <f>VLOOKUP(N734,etat!$A$9:$N$1003,9,FALSE)</f>
        <v>#N/A</v>
      </c>
      <c r="S734" s="797" t="e">
        <f>VLOOKUP(N734,etat!$A$9:$P$905,16,FALSE)</f>
        <v>#N/A</v>
      </c>
      <c r="T734" s="755"/>
      <c r="U734" s="791"/>
      <c r="V734" s="784"/>
      <c r="W734" s="784"/>
      <c r="X734" s="784"/>
      <c r="Y734" s="784"/>
      <c r="Z734" s="965" t="str">
        <f>VLOOKUP(L734,اس!$S$3:$X$31,3,FALSE)</f>
        <v>.</v>
      </c>
    </row>
    <row r="735" spans="12:26" ht="18.75">
      <c r="L735" s="777">
        <v>5</v>
      </c>
      <c r="M735" s="864"/>
      <c r="N735" s="976">
        <v>0</v>
      </c>
      <c r="O735" s="1020">
        <v>678</v>
      </c>
      <c r="P735" s="860" t="e">
        <f>VLOOKUP(N735,etat!$A$9:$N$1004,2,FALSE)</f>
        <v>#N/A</v>
      </c>
      <c r="Q735" s="797" t="e">
        <f>VLOOKUP(N735,etat!$A$9:$N$963,7,FALSE)</f>
        <v>#N/A</v>
      </c>
      <c r="R735" s="905" t="e">
        <f>VLOOKUP(N735,etat!$A$9:$N$1003,9,FALSE)</f>
        <v>#N/A</v>
      </c>
      <c r="S735" s="797" t="e">
        <f>VLOOKUP(N735,etat!$A$9:$P$905,16,FALSE)</f>
        <v>#N/A</v>
      </c>
      <c r="T735" s="755"/>
      <c r="U735" s="791"/>
      <c r="V735" s="784"/>
      <c r="W735" s="784"/>
      <c r="X735" s="784"/>
      <c r="Y735" s="784"/>
      <c r="Z735" s="965" t="str">
        <f>VLOOKUP(L735,اس!$S$3:$X$31,3,FALSE)</f>
        <v>.</v>
      </c>
    </row>
    <row r="736" spans="12:26" ht="18.75">
      <c r="L736" s="777">
        <v>5</v>
      </c>
      <c r="M736" s="864"/>
      <c r="N736" s="976">
        <v>0</v>
      </c>
      <c r="O736" s="1020">
        <v>679</v>
      </c>
      <c r="P736" s="860" t="e">
        <f>VLOOKUP(N736,etat!$A$9:$N$1004,2,FALSE)</f>
        <v>#N/A</v>
      </c>
      <c r="Q736" s="797" t="e">
        <f>VLOOKUP(N736,etat!$A$9:$N$963,7,FALSE)</f>
        <v>#N/A</v>
      </c>
      <c r="R736" s="905" t="e">
        <f>VLOOKUP(N736,etat!$A$9:$N$1003,9,FALSE)</f>
        <v>#N/A</v>
      </c>
      <c r="S736" s="797" t="e">
        <f>VLOOKUP(N736,etat!$A$9:$P$905,16,FALSE)</f>
        <v>#N/A</v>
      </c>
      <c r="T736" s="755"/>
      <c r="U736" s="791"/>
      <c r="V736" s="784"/>
      <c r="W736" s="784"/>
      <c r="X736" s="784"/>
      <c r="Y736" s="784"/>
      <c r="Z736" s="965" t="str">
        <f>VLOOKUP(L736,اس!$S$3:$X$31,3,FALSE)</f>
        <v>.</v>
      </c>
    </row>
    <row r="737" spans="12:26" ht="18.75">
      <c r="L737" s="777">
        <v>5</v>
      </c>
      <c r="M737" s="864"/>
      <c r="N737" s="976">
        <v>0</v>
      </c>
      <c r="O737" s="1020">
        <v>680</v>
      </c>
      <c r="P737" s="860" t="e">
        <f>VLOOKUP(N737,etat!$A$9:$N$1004,2,FALSE)</f>
        <v>#N/A</v>
      </c>
      <c r="Q737" s="797" t="e">
        <f>VLOOKUP(N737,etat!$A$9:$N$963,7,FALSE)</f>
        <v>#N/A</v>
      </c>
      <c r="R737" s="905" t="e">
        <f>VLOOKUP(N737,etat!$A$9:$N$1003,9,FALSE)</f>
        <v>#N/A</v>
      </c>
      <c r="S737" s="797" t="e">
        <f>VLOOKUP(N737,etat!$A$9:$P$905,16,FALSE)</f>
        <v>#N/A</v>
      </c>
      <c r="T737" s="755"/>
      <c r="U737" s="791"/>
      <c r="V737" s="784"/>
      <c r="W737" s="784"/>
      <c r="X737" s="784"/>
      <c r="Y737" s="784"/>
      <c r="Z737" s="965" t="str">
        <f>VLOOKUP(L737,اس!$S$3:$X$31,3,FALSE)</f>
        <v>.</v>
      </c>
    </row>
    <row r="738" spans="12:26" ht="18.75">
      <c r="L738" s="777">
        <v>5</v>
      </c>
      <c r="M738" s="864"/>
      <c r="N738" s="976">
        <v>0</v>
      </c>
      <c r="O738" s="1020">
        <v>681</v>
      </c>
      <c r="P738" s="860" t="e">
        <f>VLOOKUP(N738,etat!$A$9:$N$1004,2,FALSE)</f>
        <v>#N/A</v>
      </c>
      <c r="Q738" s="797" t="e">
        <f>VLOOKUP(N738,etat!$A$9:$N$963,7,FALSE)</f>
        <v>#N/A</v>
      </c>
      <c r="R738" s="905" t="e">
        <f>VLOOKUP(N738,etat!$A$9:$N$1003,9,FALSE)</f>
        <v>#N/A</v>
      </c>
      <c r="S738" s="797" t="e">
        <f>VLOOKUP(N738,etat!$A$9:$P$905,16,FALSE)</f>
        <v>#N/A</v>
      </c>
      <c r="T738" s="755"/>
      <c r="U738" s="791"/>
      <c r="V738" s="784"/>
      <c r="W738" s="784"/>
      <c r="X738" s="784"/>
      <c r="Y738" s="784"/>
      <c r="Z738" s="965" t="str">
        <f>VLOOKUP(L738,اس!$S$3:$X$31,3,FALSE)</f>
        <v>.</v>
      </c>
    </row>
    <row r="739" spans="12:26" ht="18.75">
      <c r="L739" s="777">
        <v>5</v>
      </c>
      <c r="M739" s="864"/>
      <c r="N739" s="976">
        <v>0</v>
      </c>
      <c r="O739" s="1020">
        <v>682</v>
      </c>
      <c r="P739" s="860" t="e">
        <f>VLOOKUP(N739,etat!$A$9:$N$1004,2,FALSE)</f>
        <v>#N/A</v>
      </c>
      <c r="Q739" s="797" t="e">
        <f>VLOOKUP(N739,etat!$A$9:$N$963,7,FALSE)</f>
        <v>#N/A</v>
      </c>
      <c r="R739" s="905" t="e">
        <f>VLOOKUP(N739,etat!$A$9:$N$1003,9,FALSE)</f>
        <v>#N/A</v>
      </c>
      <c r="S739" s="797" t="e">
        <f>VLOOKUP(N739,etat!$A$9:$P$905,16,FALSE)</f>
        <v>#N/A</v>
      </c>
      <c r="T739" s="755"/>
      <c r="U739" s="791"/>
      <c r="V739" s="784"/>
      <c r="W739" s="784"/>
      <c r="X739" s="784"/>
      <c r="Y739" s="784"/>
      <c r="Z739" s="965" t="str">
        <f>VLOOKUP(L739,اس!$S$3:$X$31,3,FALSE)</f>
        <v>.</v>
      </c>
    </row>
    <row r="740" spans="12:26" ht="18.75">
      <c r="L740" s="777">
        <v>5</v>
      </c>
      <c r="M740" s="864"/>
      <c r="N740" s="976">
        <v>0</v>
      </c>
      <c r="O740" s="1020">
        <v>683</v>
      </c>
      <c r="P740" s="860" t="e">
        <f>VLOOKUP(N740,etat!$A$9:$N$1004,2,FALSE)</f>
        <v>#N/A</v>
      </c>
      <c r="Q740" s="797" t="e">
        <f>VLOOKUP(N740,etat!$A$9:$N$963,7,FALSE)</f>
        <v>#N/A</v>
      </c>
      <c r="R740" s="905" t="e">
        <f>VLOOKUP(N740,etat!$A$9:$N$1003,9,FALSE)</f>
        <v>#N/A</v>
      </c>
      <c r="S740" s="797" t="e">
        <f>VLOOKUP(N740,etat!$A$9:$P$905,16,FALSE)</f>
        <v>#N/A</v>
      </c>
      <c r="T740" s="755"/>
      <c r="U740" s="791"/>
      <c r="V740" s="784"/>
      <c r="W740" s="784"/>
      <c r="X740" s="784"/>
      <c r="Y740" s="784"/>
      <c r="Z740" s="965" t="str">
        <f>VLOOKUP(L740,اس!$S$3:$X$31,3,FALSE)</f>
        <v>.</v>
      </c>
    </row>
    <row r="741" spans="12:26" ht="18.75">
      <c r="L741" s="777">
        <v>5</v>
      </c>
      <c r="M741" s="864"/>
      <c r="N741" s="976">
        <v>0</v>
      </c>
      <c r="O741" s="1020">
        <v>684</v>
      </c>
      <c r="P741" s="860" t="e">
        <f>VLOOKUP(N741,etat!$A$9:$N$1004,2,FALSE)</f>
        <v>#N/A</v>
      </c>
      <c r="Q741" s="797" t="e">
        <f>VLOOKUP(N741,etat!$A$9:$N$963,7,FALSE)</f>
        <v>#N/A</v>
      </c>
      <c r="R741" s="905" t="e">
        <f>VLOOKUP(N741,etat!$A$9:$N$1003,9,FALSE)</f>
        <v>#N/A</v>
      </c>
      <c r="S741" s="797" t="e">
        <f>VLOOKUP(N741,etat!$A$9:$P$905,16,FALSE)</f>
        <v>#N/A</v>
      </c>
      <c r="T741" s="755"/>
      <c r="U741" s="791"/>
      <c r="V741" s="784"/>
      <c r="W741" s="784"/>
      <c r="X741" s="784"/>
      <c r="Y741" s="784"/>
      <c r="Z741" s="965" t="str">
        <f>VLOOKUP(L741,اس!$S$3:$X$31,3,FALSE)</f>
        <v>.</v>
      </c>
    </row>
    <row r="742" spans="12:26" ht="18.75">
      <c r="L742" s="777">
        <v>5</v>
      </c>
      <c r="M742" s="864"/>
      <c r="N742" s="976">
        <v>0</v>
      </c>
      <c r="O742" s="1020">
        <v>685</v>
      </c>
      <c r="P742" s="860" t="e">
        <f>VLOOKUP(N742,etat!$A$9:$N$1004,2,FALSE)</f>
        <v>#N/A</v>
      </c>
      <c r="Q742" s="797" t="e">
        <f>VLOOKUP(N742,etat!$A$9:$N$963,7,FALSE)</f>
        <v>#N/A</v>
      </c>
      <c r="R742" s="905" t="e">
        <f>VLOOKUP(N742,etat!$A$9:$N$1003,9,FALSE)</f>
        <v>#N/A</v>
      </c>
      <c r="S742" s="797" t="e">
        <f>VLOOKUP(N742,etat!$A$9:$P$905,16,FALSE)</f>
        <v>#N/A</v>
      </c>
      <c r="T742" s="755"/>
      <c r="U742" s="791"/>
      <c r="V742" s="784"/>
      <c r="W742" s="784"/>
      <c r="X742" s="784"/>
      <c r="Y742" s="784"/>
      <c r="Z742" s="965" t="str">
        <f>VLOOKUP(L742,اس!$S$3:$X$31,3,FALSE)</f>
        <v>.</v>
      </c>
    </row>
    <row r="743" spans="12:26" ht="18.75">
      <c r="L743" s="777">
        <v>5</v>
      </c>
      <c r="M743" s="864"/>
      <c r="N743" s="976">
        <v>0</v>
      </c>
      <c r="O743" s="1020">
        <v>686</v>
      </c>
      <c r="P743" s="860" t="e">
        <f>VLOOKUP(N743,etat!$A$9:$N$1004,2,FALSE)</f>
        <v>#N/A</v>
      </c>
      <c r="Q743" s="797" t="e">
        <f>VLOOKUP(N743,etat!$A$9:$N$963,7,FALSE)</f>
        <v>#N/A</v>
      </c>
      <c r="R743" s="905" t="e">
        <f>VLOOKUP(N743,etat!$A$9:$N$1003,9,FALSE)</f>
        <v>#N/A</v>
      </c>
      <c r="S743" s="797" t="e">
        <f>VLOOKUP(N743,etat!$A$9:$P$905,16,FALSE)</f>
        <v>#N/A</v>
      </c>
      <c r="T743" s="755"/>
      <c r="U743" s="791"/>
      <c r="V743" s="784"/>
      <c r="W743" s="784"/>
      <c r="X743" s="784"/>
      <c r="Y743" s="784"/>
      <c r="Z743" s="965" t="str">
        <f>VLOOKUP(L743,اس!$S$3:$X$31,3,FALSE)</f>
        <v>.</v>
      </c>
    </row>
    <row r="744" spans="12:26" ht="18.75">
      <c r="L744" s="777">
        <v>5</v>
      </c>
      <c r="M744" s="864"/>
      <c r="N744" s="976">
        <v>0</v>
      </c>
      <c r="O744" s="1020">
        <v>687</v>
      </c>
      <c r="P744" s="860" t="e">
        <f>VLOOKUP(N744,etat!$A$9:$N$1004,2,FALSE)</f>
        <v>#N/A</v>
      </c>
      <c r="Q744" s="797" t="e">
        <f>VLOOKUP(N744,etat!$A$9:$N$963,7,FALSE)</f>
        <v>#N/A</v>
      </c>
      <c r="R744" s="905" t="e">
        <f>VLOOKUP(N744,etat!$A$9:$N$1003,9,FALSE)</f>
        <v>#N/A</v>
      </c>
      <c r="S744" s="797" t="e">
        <f>VLOOKUP(N744,etat!$A$9:$P$905,16,FALSE)</f>
        <v>#N/A</v>
      </c>
      <c r="T744" s="755"/>
      <c r="U744" s="791"/>
      <c r="V744" s="784"/>
      <c r="W744" s="784"/>
      <c r="X744" s="784"/>
      <c r="Y744" s="784"/>
      <c r="Z744" s="965" t="str">
        <f>VLOOKUP(L744,اس!$S$3:$X$31,3,FALSE)</f>
        <v>.</v>
      </c>
    </row>
    <row r="745" spans="12:26" ht="18.75">
      <c r="L745" s="777">
        <v>5</v>
      </c>
      <c r="M745" s="864"/>
      <c r="N745" s="976">
        <v>0</v>
      </c>
      <c r="O745" s="1020">
        <v>688</v>
      </c>
      <c r="P745" s="860" t="e">
        <f>VLOOKUP(N745,etat!$A$9:$N$1004,2,FALSE)</f>
        <v>#N/A</v>
      </c>
      <c r="Q745" s="797" t="e">
        <f>VLOOKUP(N745,etat!$A$9:$N$963,7,FALSE)</f>
        <v>#N/A</v>
      </c>
      <c r="R745" s="905" t="e">
        <f>VLOOKUP(N745,etat!$A$9:$N$1003,9,FALSE)</f>
        <v>#N/A</v>
      </c>
      <c r="S745" s="797" t="e">
        <f>VLOOKUP(N745,etat!$A$9:$P$905,16,FALSE)</f>
        <v>#N/A</v>
      </c>
      <c r="T745" s="755"/>
      <c r="U745" s="791"/>
      <c r="V745" s="784"/>
      <c r="W745" s="784"/>
      <c r="X745" s="784"/>
      <c r="Y745" s="784"/>
      <c r="Z745" s="965" t="str">
        <f>VLOOKUP(L745,اس!$S$3:$X$31,3,FALSE)</f>
        <v>.</v>
      </c>
    </row>
    <row r="746" spans="12:26" ht="18.75">
      <c r="L746" s="777">
        <v>5</v>
      </c>
      <c r="M746" s="864"/>
      <c r="N746" s="976">
        <v>0</v>
      </c>
      <c r="O746" s="1020">
        <v>689</v>
      </c>
      <c r="P746" s="860" t="e">
        <f>VLOOKUP(N746,etat!$A$9:$N$1004,2,FALSE)</f>
        <v>#N/A</v>
      </c>
      <c r="Q746" s="797" t="e">
        <f>VLOOKUP(N746,etat!$A$9:$N$963,7,FALSE)</f>
        <v>#N/A</v>
      </c>
      <c r="R746" s="905" t="e">
        <f>VLOOKUP(N746,etat!$A$9:$N$1003,9,FALSE)</f>
        <v>#N/A</v>
      </c>
      <c r="S746" s="797" t="e">
        <f>VLOOKUP(N746,etat!$A$9:$P$905,16,FALSE)</f>
        <v>#N/A</v>
      </c>
      <c r="T746" s="755"/>
      <c r="U746" s="791"/>
      <c r="V746" s="784"/>
      <c r="W746" s="784"/>
      <c r="X746" s="784"/>
      <c r="Y746" s="784"/>
      <c r="Z746" s="965" t="str">
        <f>VLOOKUP(L746,اس!$S$3:$X$31,3,FALSE)</f>
        <v>.</v>
      </c>
    </row>
    <row r="747" spans="12:26" ht="18.75">
      <c r="L747" s="777">
        <v>5</v>
      </c>
      <c r="M747" s="864"/>
      <c r="N747" s="976">
        <v>0</v>
      </c>
      <c r="O747" s="1020">
        <v>690</v>
      </c>
      <c r="P747" s="860" t="e">
        <f>VLOOKUP(N747,etat!$A$9:$N$1004,2,FALSE)</f>
        <v>#N/A</v>
      </c>
      <c r="Q747" s="797" t="e">
        <f>VLOOKUP(N747,etat!$A$9:$N$963,7,FALSE)</f>
        <v>#N/A</v>
      </c>
      <c r="R747" s="905" t="e">
        <f>VLOOKUP(N747,etat!$A$9:$N$1003,9,FALSE)</f>
        <v>#N/A</v>
      </c>
      <c r="S747" s="797" t="e">
        <f>VLOOKUP(N747,etat!$A$9:$P$905,16,FALSE)</f>
        <v>#N/A</v>
      </c>
      <c r="T747" s="755"/>
      <c r="U747" s="791"/>
      <c r="V747" s="784"/>
      <c r="W747" s="784"/>
      <c r="X747" s="784"/>
      <c r="Y747" s="784"/>
      <c r="Z747" s="965" t="str">
        <f>VLOOKUP(L747,اس!$S$3:$X$31,3,FALSE)</f>
        <v>.</v>
      </c>
    </row>
    <row r="748" spans="12:26" ht="18.75">
      <c r="L748" s="777">
        <v>5</v>
      </c>
      <c r="M748" s="864"/>
      <c r="N748" s="976">
        <v>0</v>
      </c>
      <c r="O748" s="1020">
        <v>691</v>
      </c>
      <c r="P748" s="860" t="e">
        <f>VLOOKUP(N748,etat!$A$9:$N$1004,2,FALSE)</f>
        <v>#N/A</v>
      </c>
      <c r="Q748" s="797" t="e">
        <f>VLOOKUP(N748,etat!$A$9:$N$963,7,FALSE)</f>
        <v>#N/A</v>
      </c>
      <c r="R748" s="905" t="e">
        <f>VLOOKUP(N748,etat!$A$9:$N$1003,9,FALSE)</f>
        <v>#N/A</v>
      </c>
      <c r="S748" s="797" t="e">
        <f>VLOOKUP(N748,etat!$A$9:$P$905,16,FALSE)</f>
        <v>#N/A</v>
      </c>
      <c r="T748" s="755"/>
      <c r="U748" s="791"/>
      <c r="V748" s="784"/>
      <c r="W748" s="784"/>
      <c r="X748" s="784"/>
      <c r="Y748" s="784"/>
      <c r="Z748" s="965" t="str">
        <f>VLOOKUP(L748,اس!$S$3:$X$31,3,FALSE)</f>
        <v>.</v>
      </c>
    </row>
    <row r="749" spans="12:26" ht="18.75">
      <c r="L749" s="777">
        <v>5</v>
      </c>
      <c r="M749" s="864"/>
      <c r="N749" s="976">
        <v>0</v>
      </c>
      <c r="O749" s="1020">
        <v>692</v>
      </c>
      <c r="P749" s="860" t="e">
        <f>VLOOKUP(N749,etat!$A$9:$N$1004,2,FALSE)</f>
        <v>#N/A</v>
      </c>
      <c r="Q749" s="797" t="e">
        <f>VLOOKUP(N749,etat!$A$9:$N$963,7,FALSE)</f>
        <v>#N/A</v>
      </c>
      <c r="R749" s="905" t="e">
        <f>VLOOKUP(N749,etat!$A$9:$N$1003,9,FALSE)</f>
        <v>#N/A</v>
      </c>
      <c r="S749" s="797" t="e">
        <f>VLOOKUP(N749,etat!$A$9:$P$905,16,FALSE)</f>
        <v>#N/A</v>
      </c>
      <c r="T749" s="755"/>
      <c r="U749" s="791"/>
      <c r="V749" s="784"/>
      <c r="W749" s="784"/>
      <c r="X749" s="784"/>
      <c r="Y749" s="784"/>
      <c r="Z749" s="965" t="str">
        <f>VLOOKUP(L749,اس!$S$3:$X$31,3,FALSE)</f>
        <v>.</v>
      </c>
    </row>
    <row r="750" spans="12:26" ht="18.75">
      <c r="L750" s="777">
        <v>5</v>
      </c>
      <c r="M750" s="864"/>
      <c r="N750" s="976">
        <v>0</v>
      </c>
      <c r="O750" s="1020">
        <v>693</v>
      </c>
      <c r="P750" s="860" t="e">
        <f>VLOOKUP(N750,etat!$A$9:$N$1004,2,FALSE)</f>
        <v>#N/A</v>
      </c>
      <c r="Q750" s="797" t="e">
        <f>VLOOKUP(N750,etat!$A$9:$N$963,7,FALSE)</f>
        <v>#N/A</v>
      </c>
      <c r="R750" s="905" t="e">
        <f>VLOOKUP(N750,etat!$A$9:$N$1003,9,FALSE)</f>
        <v>#N/A</v>
      </c>
      <c r="S750" s="797" t="e">
        <f>VLOOKUP(N750,etat!$A$9:$P$905,16,FALSE)</f>
        <v>#N/A</v>
      </c>
      <c r="T750" s="755"/>
      <c r="U750" s="791"/>
      <c r="V750" s="784"/>
      <c r="W750" s="784"/>
      <c r="X750" s="784"/>
      <c r="Y750" s="784"/>
      <c r="Z750" s="965" t="str">
        <f>VLOOKUP(L750,اس!$S$3:$X$31,3,FALSE)</f>
        <v>.</v>
      </c>
    </row>
    <row r="751" spans="12:26" ht="18.75">
      <c r="L751" s="777">
        <v>5</v>
      </c>
      <c r="M751" s="864"/>
      <c r="N751" s="976">
        <v>0</v>
      </c>
      <c r="O751" s="1020">
        <v>694</v>
      </c>
      <c r="P751" s="860" t="e">
        <f>VLOOKUP(N751,etat!$A$9:$N$1004,2,FALSE)</f>
        <v>#N/A</v>
      </c>
      <c r="Q751" s="797" t="e">
        <f>VLOOKUP(N751,etat!$A$9:$N$963,7,FALSE)</f>
        <v>#N/A</v>
      </c>
      <c r="R751" s="905" t="e">
        <f>VLOOKUP(N751,etat!$A$9:$N$1003,9,FALSE)</f>
        <v>#N/A</v>
      </c>
      <c r="S751" s="797" t="e">
        <f>VLOOKUP(N751,etat!$A$9:$P$905,16,FALSE)</f>
        <v>#N/A</v>
      </c>
      <c r="T751" s="755"/>
      <c r="U751" s="791"/>
      <c r="V751" s="784"/>
      <c r="W751" s="784"/>
      <c r="X751" s="784"/>
      <c r="Y751" s="784"/>
      <c r="Z751" s="965" t="str">
        <f>VLOOKUP(L751,اس!$S$3:$X$31,3,FALSE)</f>
        <v>.</v>
      </c>
    </row>
    <row r="752" spans="12:26" ht="18.75">
      <c r="L752" s="777">
        <v>5</v>
      </c>
      <c r="M752" s="864"/>
      <c r="N752" s="976">
        <v>0</v>
      </c>
      <c r="O752" s="1020">
        <v>695</v>
      </c>
      <c r="P752" s="860" t="e">
        <f>VLOOKUP(N752,etat!$A$9:$N$1004,2,FALSE)</f>
        <v>#N/A</v>
      </c>
      <c r="Q752" s="797" t="e">
        <f>VLOOKUP(N752,etat!$A$9:$N$963,7,FALSE)</f>
        <v>#N/A</v>
      </c>
      <c r="R752" s="905" t="e">
        <f>VLOOKUP(N752,etat!$A$9:$N$1003,9,FALSE)</f>
        <v>#N/A</v>
      </c>
      <c r="S752" s="797" t="e">
        <f>VLOOKUP(N752,etat!$A$9:$P$905,16,FALSE)</f>
        <v>#N/A</v>
      </c>
      <c r="T752" s="755"/>
      <c r="U752" s="791"/>
      <c r="V752" s="784"/>
      <c r="W752" s="784"/>
      <c r="X752" s="784"/>
      <c r="Y752" s="784"/>
      <c r="Z752" s="965" t="str">
        <f>VLOOKUP(L752,اس!$S$3:$X$31,3,FALSE)</f>
        <v>.</v>
      </c>
    </row>
    <row r="753" spans="12:26" ht="18.75">
      <c r="L753" s="777">
        <v>5</v>
      </c>
      <c r="M753" s="864"/>
      <c r="N753" s="976">
        <v>0</v>
      </c>
      <c r="O753" s="1020">
        <v>696</v>
      </c>
      <c r="P753" s="860" t="e">
        <f>VLOOKUP(N753,etat!$A$9:$N$1004,2,FALSE)</f>
        <v>#N/A</v>
      </c>
      <c r="Q753" s="797" t="e">
        <f>VLOOKUP(N753,etat!$A$9:$N$963,7,FALSE)</f>
        <v>#N/A</v>
      </c>
      <c r="R753" s="905" t="e">
        <f>VLOOKUP(N753,etat!$A$9:$N$1003,9,FALSE)</f>
        <v>#N/A</v>
      </c>
      <c r="S753" s="797" t="e">
        <f>VLOOKUP(N753,etat!$A$9:$P$905,16,FALSE)</f>
        <v>#N/A</v>
      </c>
      <c r="T753" s="755"/>
      <c r="U753" s="791"/>
      <c r="V753" s="784"/>
      <c r="W753" s="784"/>
      <c r="X753" s="784"/>
      <c r="Y753" s="784"/>
      <c r="Z753" s="965" t="str">
        <f>VLOOKUP(L753,اس!$S$3:$X$31,3,FALSE)</f>
        <v>.</v>
      </c>
    </row>
  </sheetData>
  <sortState ref="N291:AA295">
    <sortCondition ref="N291:N295"/>
  </sortState>
  <mergeCells count="83">
    <mergeCell ref="AA56:AA57"/>
    <mergeCell ref="A1:N1"/>
    <mergeCell ref="J22:L22"/>
    <mergeCell ref="J23:L23"/>
    <mergeCell ref="J24:L24"/>
    <mergeCell ref="J25:L25"/>
    <mergeCell ref="B12:C12"/>
    <mergeCell ref="B10:C10"/>
    <mergeCell ref="D15:E15"/>
    <mergeCell ref="B9:C9"/>
    <mergeCell ref="A9:A10"/>
    <mergeCell ref="B11:C11"/>
    <mergeCell ref="B13:C13"/>
    <mergeCell ref="B14:C14"/>
    <mergeCell ref="B16:C16"/>
    <mergeCell ref="B17:C17"/>
    <mergeCell ref="B18:C18"/>
    <mergeCell ref="B15:C15"/>
    <mergeCell ref="D9:E9"/>
    <mergeCell ref="D10:E10"/>
    <mergeCell ref="D11:E11"/>
    <mergeCell ref="D12:E12"/>
    <mergeCell ref="D13:E13"/>
    <mergeCell ref="D14:E14"/>
    <mergeCell ref="D16:E16"/>
    <mergeCell ref="D17:E17"/>
    <mergeCell ref="D18:E18"/>
    <mergeCell ref="D19:E19"/>
    <mergeCell ref="B22:C22"/>
    <mergeCell ref="D22:E22"/>
    <mergeCell ref="B23:C23"/>
    <mergeCell ref="B19:C19"/>
    <mergeCell ref="B20:C20"/>
    <mergeCell ref="D23:E23"/>
    <mergeCell ref="D20:E20"/>
    <mergeCell ref="B28:C28"/>
    <mergeCell ref="D28:E28"/>
    <mergeCell ref="A42:C42"/>
    <mergeCell ref="F29:G29"/>
    <mergeCell ref="H29:I29"/>
    <mergeCell ref="B34:C34"/>
    <mergeCell ref="D34:E34"/>
    <mergeCell ref="F34:G34"/>
    <mergeCell ref="H34:I34"/>
    <mergeCell ref="B29:C29"/>
    <mergeCell ref="D29:E29"/>
    <mergeCell ref="A35:E35"/>
    <mergeCell ref="F35:H35"/>
    <mergeCell ref="I35:L35"/>
    <mergeCell ref="J33:K33"/>
    <mergeCell ref="F28:G28"/>
    <mergeCell ref="H28:I28"/>
    <mergeCell ref="H22:I22"/>
    <mergeCell ref="F23:G23"/>
    <mergeCell ref="H23:I23"/>
    <mergeCell ref="F22:G22"/>
    <mergeCell ref="T55:U55"/>
    <mergeCell ref="M56:N56"/>
    <mergeCell ref="Q55:R55"/>
    <mergeCell ref="O55:P55"/>
    <mergeCell ref="F7:G7"/>
    <mergeCell ref="H7:J7"/>
    <mergeCell ref="Q26:R26"/>
    <mergeCell ref="N9:N10"/>
    <mergeCell ref="P9:Q9"/>
    <mergeCell ref="Q10:R10"/>
    <mergeCell ref="J26:L26"/>
    <mergeCell ref="N37:N41"/>
    <mergeCell ref="Q22:R22"/>
    <mergeCell ref="Q23:R23"/>
    <mergeCell ref="Q24:R24"/>
    <mergeCell ref="Q25:R25"/>
    <mergeCell ref="O56:O57"/>
    <mergeCell ref="P56:P57"/>
    <mergeCell ref="Q56:Q57"/>
    <mergeCell ref="R56:R57"/>
    <mergeCell ref="T56:T57"/>
    <mergeCell ref="U56:U57"/>
    <mergeCell ref="V56:V57"/>
    <mergeCell ref="W56:W57"/>
    <mergeCell ref="Y56:Y57"/>
    <mergeCell ref="Z56:Z57"/>
    <mergeCell ref="X56:X57"/>
  </mergeCells>
  <dataValidations disablePrompts="1" count="1">
    <dataValidation type="list" allowBlank="1" showInputMessage="1" showErrorMessage="1" sqref="M23:M26">
      <formula1>$S$10:$S$14</formula1>
    </dataValidation>
  </dataValidations>
  <hyperlinks>
    <hyperlink ref="S4" location="الرجوع!A1" display="الرجوع!A1"/>
  </hyperlinks>
  <pageMargins left="0.7" right="0.7" top="0.75" bottom="0.75" header="0.3" footer="0.3"/>
  <pageSetup paperSize="9" scale="85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1"/>
  <sheetViews>
    <sheetView rightToLeft="1" workbookViewId="0">
      <selection activeCell="G57" sqref="G57"/>
    </sheetView>
  </sheetViews>
  <sheetFormatPr baseColWidth="10" defaultRowHeight="15"/>
  <cols>
    <col min="1" max="1" width="5.140625" customWidth="1"/>
    <col min="2" max="2" width="11.140625" customWidth="1"/>
    <col min="3" max="3" width="13.85546875" customWidth="1"/>
    <col min="4" max="4" width="7.7109375" customWidth="1"/>
    <col min="5" max="5" width="12.5703125" bestFit="1" customWidth="1"/>
    <col min="6" max="6" width="17.7109375" customWidth="1"/>
    <col min="7" max="7" width="17.28515625" customWidth="1"/>
    <col min="8" max="8" width="13.5703125" customWidth="1"/>
    <col min="10" max="10" width="7" customWidth="1"/>
  </cols>
  <sheetData>
    <row r="1" spans="1:14" ht="18.75">
      <c r="A1" s="1439" t="s">
        <v>253</v>
      </c>
      <c r="B1" s="1439"/>
      <c r="C1" s="1439"/>
      <c r="D1" s="1439"/>
      <c r="E1" s="1439"/>
      <c r="F1" s="1439"/>
      <c r="G1" s="801"/>
      <c r="H1" s="801"/>
      <c r="I1" s="801"/>
      <c r="J1" s="801"/>
      <c r="K1" s="801"/>
      <c r="L1" s="801"/>
      <c r="M1" s="801"/>
      <c r="N1" s="801"/>
    </row>
    <row r="2" spans="1:14" ht="18.75">
      <c r="A2" s="21"/>
      <c r="B2" s="21"/>
      <c r="C2" s="801" t="s">
        <v>254</v>
      </c>
      <c r="D2" s="801"/>
      <c r="E2" s="801"/>
      <c r="F2" s="801"/>
      <c r="G2" s="444"/>
      <c r="H2" s="444"/>
      <c r="I2" s="21"/>
      <c r="J2" s="21"/>
      <c r="K2" s="21"/>
      <c r="L2" s="21"/>
      <c r="M2" s="21"/>
      <c r="N2" s="21"/>
    </row>
    <row r="3" spans="1:14" ht="18.75">
      <c r="A3" s="21" t="s">
        <v>255</v>
      </c>
      <c r="B3" s="21"/>
      <c r="C3" s="21"/>
      <c r="D3" s="444"/>
      <c r="E3" s="444"/>
      <c r="F3" s="444"/>
      <c r="G3" s="444"/>
      <c r="H3" s="444"/>
      <c r="I3" s="21"/>
      <c r="J3" s="21"/>
      <c r="K3" s="21"/>
      <c r="L3" s="21"/>
      <c r="M3" s="21"/>
      <c r="N3" s="21"/>
    </row>
    <row r="4" spans="1:14" ht="18.75">
      <c r="A4" s="21" t="s">
        <v>256</v>
      </c>
      <c r="B4" s="21"/>
      <c r="C4" s="21"/>
      <c r="D4" s="444"/>
      <c r="E4" s="445" t="str">
        <f>etat!N4</f>
        <v>السنة الدراسية : 2025/2026</v>
      </c>
      <c r="F4" s="444"/>
      <c r="G4" s="444"/>
      <c r="H4" s="444"/>
      <c r="J4" s="445"/>
      <c r="K4" s="445"/>
      <c r="L4" s="445"/>
      <c r="M4" s="21"/>
      <c r="N4" s="21"/>
    </row>
    <row r="7" spans="1:14" ht="26.25">
      <c r="D7" s="802" t="s">
        <v>1564</v>
      </c>
    </row>
    <row r="8" spans="1:14" ht="26.25" customHeight="1">
      <c r="C8" s="803" t="s">
        <v>1973</v>
      </c>
      <c r="D8" s="803"/>
      <c r="E8" s="800"/>
    </row>
    <row r="10" spans="1:14" ht="16.5" thickBot="1">
      <c r="A10" s="805" t="s">
        <v>258</v>
      </c>
      <c r="B10" s="1489" t="s">
        <v>1974</v>
      </c>
      <c r="C10" s="1490"/>
      <c r="D10" s="805" t="s">
        <v>5</v>
      </c>
      <c r="E10" s="805" t="s">
        <v>1975</v>
      </c>
      <c r="F10" s="805" t="s">
        <v>1976</v>
      </c>
      <c r="G10" s="805" t="s">
        <v>1977</v>
      </c>
      <c r="H10" s="805" t="s">
        <v>1978</v>
      </c>
    </row>
    <row r="11" spans="1:14" ht="17.100000000000001" customHeight="1" thickBot="1">
      <c r="A11" s="804">
        <v>1</v>
      </c>
      <c r="B11" s="782" t="s">
        <v>200</v>
      </c>
      <c r="C11" s="781" t="s">
        <v>1331</v>
      </c>
      <c r="D11" s="275" t="s">
        <v>6</v>
      </c>
      <c r="E11" s="755">
        <v>45067</v>
      </c>
      <c r="F11" s="806" t="s">
        <v>1979</v>
      </c>
      <c r="G11" s="809" t="s">
        <v>46</v>
      </c>
      <c r="H11" s="804"/>
    </row>
    <row r="12" spans="1:14" ht="17.100000000000001" customHeight="1" thickBot="1">
      <c r="A12" s="804">
        <v>2</v>
      </c>
      <c r="B12" s="782" t="s">
        <v>508</v>
      </c>
      <c r="C12" s="781" t="s">
        <v>1212</v>
      </c>
      <c r="D12" s="275" t="s">
        <v>563</v>
      </c>
      <c r="E12" s="755">
        <v>45067</v>
      </c>
      <c r="F12" s="807" t="s">
        <v>1980</v>
      </c>
      <c r="G12" s="810" t="s">
        <v>1983</v>
      </c>
      <c r="H12" s="804"/>
    </row>
    <row r="13" spans="1:14" ht="17.100000000000001" customHeight="1" thickBot="1">
      <c r="A13" s="804">
        <v>3</v>
      </c>
      <c r="B13" s="782" t="s">
        <v>539</v>
      </c>
      <c r="C13" s="781" t="s">
        <v>1134</v>
      </c>
      <c r="D13" s="275" t="s">
        <v>4</v>
      </c>
      <c r="E13" s="755">
        <v>45067</v>
      </c>
      <c r="F13" s="807" t="s">
        <v>1980</v>
      </c>
      <c r="G13" s="810" t="s">
        <v>1984</v>
      </c>
      <c r="H13" s="804"/>
    </row>
    <row r="14" spans="1:14" ht="17.100000000000001" customHeight="1" thickBot="1">
      <c r="A14" s="804">
        <v>4</v>
      </c>
      <c r="B14" s="782" t="s">
        <v>508</v>
      </c>
      <c r="C14" s="781" t="s">
        <v>1212</v>
      </c>
      <c r="D14" s="275" t="s">
        <v>563</v>
      </c>
      <c r="E14" s="755">
        <v>45068</v>
      </c>
      <c r="F14" s="807" t="s">
        <v>1981</v>
      </c>
      <c r="G14" s="810" t="s">
        <v>1985</v>
      </c>
      <c r="H14" s="804"/>
    </row>
    <row r="15" spans="1:14" ht="17.100000000000001" customHeight="1" thickBot="1">
      <c r="A15" s="804">
        <v>5</v>
      </c>
      <c r="B15" s="782" t="s">
        <v>154</v>
      </c>
      <c r="C15" s="781" t="s">
        <v>1092</v>
      </c>
      <c r="D15" s="277" t="s">
        <v>1457</v>
      </c>
      <c r="E15" s="755">
        <v>45068</v>
      </c>
      <c r="F15" s="807" t="s">
        <v>1981</v>
      </c>
      <c r="G15" s="810" t="s">
        <v>1986</v>
      </c>
      <c r="H15" s="804"/>
    </row>
    <row r="16" spans="1:14" ht="17.100000000000001" customHeight="1" thickBot="1">
      <c r="A16" s="804">
        <v>6</v>
      </c>
      <c r="B16" s="782" t="s">
        <v>539</v>
      </c>
      <c r="C16" s="781" t="s">
        <v>1134</v>
      </c>
      <c r="D16" s="275" t="s">
        <v>4</v>
      </c>
      <c r="E16" s="755">
        <v>45068</v>
      </c>
      <c r="F16" s="808" t="s">
        <v>1981</v>
      </c>
      <c r="G16" s="811" t="s">
        <v>1987</v>
      </c>
      <c r="H16" s="804"/>
    </row>
    <row r="17" spans="1:8" ht="17.100000000000001" customHeight="1" thickBot="1">
      <c r="A17" s="804">
        <v>7</v>
      </c>
      <c r="B17" s="782" t="s">
        <v>1500</v>
      </c>
      <c r="C17" s="781" t="s">
        <v>94</v>
      </c>
      <c r="D17" s="277" t="s">
        <v>8</v>
      </c>
      <c r="E17" s="755">
        <v>45068</v>
      </c>
      <c r="F17" s="807" t="s">
        <v>1982</v>
      </c>
      <c r="G17" s="810" t="s">
        <v>1988</v>
      </c>
      <c r="H17" s="804"/>
    </row>
    <row r="18" spans="1:8" ht="17.100000000000001" customHeight="1">
      <c r="A18" s="804">
        <v>8</v>
      </c>
      <c r="B18" s="804"/>
      <c r="C18" s="804"/>
      <c r="D18" s="804"/>
      <c r="E18" s="804"/>
      <c r="F18" s="804"/>
      <c r="G18" s="804"/>
      <c r="H18" s="804"/>
    </row>
    <row r="19" spans="1:8" ht="17.100000000000001" customHeight="1">
      <c r="A19" s="804">
        <v>9</v>
      </c>
      <c r="B19" s="804"/>
      <c r="C19" s="804"/>
      <c r="D19" s="804"/>
      <c r="E19" s="804"/>
      <c r="F19" s="804"/>
      <c r="G19" s="804"/>
      <c r="H19" s="804"/>
    </row>
    <row r="20" spans="1:8" ht="17.100000000000001" customHeight="1">
      <c r="A20" s="804">
        <v>10</v>
      </c>
      <c r="B20" s="804"/>
      <c r="C20" s="804"/>
      <c r="D20" s="804"/>
      <c r="E20" s="804"/>
      <c r="F20" s="804"/>
      <c r="G20" s="804"/>
      <c r="H20" s="804"/>
    </row>
    <row r="21" spans="1:8" ht="17.100000000000001" customHeight="1">
      <c r="A21" s="804">
        <v>11</v>
      </c>
      <c r="B21" s="804"/>
      <c r="C21" s="804"/>
      <c r="D21" s="804"/>
      <c r="E21" s="804"/>
      <c r="F21" s="804"/>
      <c r="G21" s="804"/>
      <c r="H21" s="804"/>
    </row>
    <row r="22" spans="1:8" ht="17.100000000000001" customHeight="1">
      <c r="A22" s="804">
        <v>12</v>
      </c>
      <c r="B22" s="804"/>
      <c r="C22" s="804"/>
      <c r="D22" s="804"/>
      <c r="E22" s="804"/>
      <c r="F22" s="804"/>
      <c r="G22" s="804"/>
      <c r="H22" s="804"/>
    </row>
    <row r="23" spans="1:8" ht="17.100000000000001" customHeight="1">
      <c r="A23" s="804">
        <v>13</v>
      </c>
      <c r="B23" s="804"/>
      <c r="C23" s="804"/>
      <c r="D23" s="804"/>
      <c r="E23" s="804"/>
      <c r="F23" s="804"/>
      <c r="G23" s="804"/>
      <c r="H23" s="804"/>
    </row>
    <row r="24" spans="1:8" ht="17.100000000000001" customHeight="1">
      <c r="A24" s="804">
        <v>14</v>
      </c>
      <c r="B24" s="782"/>
      <c r="C24" s="781"/>
      <c r="D24" s="804"/>
      <c r="E24" s="804"/>
      <c r="F24" s="804"/>
      <c r="G24" s="804"/>
      <c r="H24" s="804"/>
    </row>
    <row r="25" spans="1:8" ht="17.100000000000001" customHeight="1">
      <c r="A25" s="804">
        <v>15</v>
      </c>
      <c r="B25" s="782"/>
      <c r="C25" s="781"/>
      <c r="D25" s="804"/>
      <c r="E25" s="804"/>
      <c r="F25" s="804"/>
      <c r="G25" s="804"/>
      <c r="H25" s="804"/>
    </row>
    <row r="26" spans="1:8" ht="17.100000000000001" customHeight="1">
      <c r="A26" s="804">
        <v>16</v>
      </c>
      <c r="B26" s="782"/>
      <c r="C26" s="781"/>
      <c r="D26" s="277"/>
      <c r="E26" s="804"/>
      <c r="F26" s="804"/>
      <c r="G26" s="804"/>
      <c r="H26" s="804"/>
    </row>
    <row r="27" spans="1:8" ht="17.100000000000001" customHeight="1">
      <c r="A27" s="804">
        <v>17</v>
      </c>
      <c r="B27" s="782"/>
      <c r="C27" s="781"/>
      <c r="D27" s="275"/>
      <c r="E27" s="405"/>
      <c r="F27" s="275"/>
      <c r="G27" s="804"/>
      <c r="H27" s="804"/>
    </row>
    <row r="28" spans="1:8" ht="17.100000000000001" customHeight="1">
      <c r="A28" s="804">
        <v>18</v>
      </c>
      <c r="B28" s="782"/>
      <c r="C28" s="781"/>
      <c r="D28" s="277"/>
      <c r="E28" s="278"/>
      <c r="F28" s="277"/>
      <c r="G28" s="804"/>
      <c r="H28" s="804"/>
    </row>
    <row r="29" spans="1:8" ht="17.100000000000001" customHeight="1">
      <c r="A29" s="804">
        <v>19</v>
      </c>
      <c r="B29" s="804"/>
      <c r="C29" s="804"/>
      <c r="D29" s="804"/>
      <c r="E29" s="804"/>
      <c r="F29" s="804"/>
      <c r="G29" s="804"/>
      <c r="H29" s="804"/>
    </row>
    <row r="30" spans="1:8" ht="17.100000000000001" customHeight="1">
      <c r="A30" s="804">
        <v>20</v>
      </c>
      <c r="B30" s="804"/>
      <c r="C30" s="804"/>
      <c r="D30" s="804"/>
      <c r="E30" s="804"/>
      <c r="F30" s="804"/>
      <c r="G30" s="804"/>
      <c r="H30" s="804"/>
    </row>
    <row r="31" spans="1:8" ht="17.100000000000001" customHeight="1">
      <c r="A31" s="804">
        <v>21</v>
      </c>
      <c r="B31" s="804"/>
      <c r="C31" s="804"/>
      <c r="D31" s="804"/>
      <c r="E31" s="804"/>
      <c r="F31" s="804"/>
      <c r="G31" s="804"/>
      <c r="H31" s="804"/>
    </row>
    <row r="32" spans="1:8" ht="17.100000000000001" customHeight="1">
      <c r="A32" s="804">
        <v>22</v>
      </c>
      <c r="B32" s="804"/>
      <c r="C32" s="804"/>
      <c r="D32" s="804"/>
      <c r="E32" s="804"/>
      <c r="F32" s="804"/>
      <c r="G32" s="804"/>
      <c r="H32" s="804"/>
    </row>
    <row r="33" spans="1:8" ht="17.100000000000001" customHeight="1">
      <c r="A33" s="804">
        <v>23</v>
      </c>
      <c r="B33" s="804"/>
      <c r="C33" s="804"/>
      <c r="D33" s="804"/>
      <c r="E33" s="804"/>
      <c r="F33" s="804"/>
      <c r="G33" s="804"/>
      <c r="H33" s="804"/>
    </row>
    <row r="34" spans="1:8" ht="17.100000000000001" customHeight="1">
      <c r="A34" s="804">
        <v>24</v>
      </c>
      <c r="B34" s="804"/>
      <c r="C34" s="804"/>
      <c r="D34" s="804"/>
      <c r="E34" s="804"/>
      <c r="F34" s="804"/>
      <c r="G34" s="804"/>
      <c r="H34" s="804"/>
    </row>
    <row r="35" spans="1:8" ht="17.100000000000001" customHeight="1">
      <c r="A35" s="804">
        <v>25</v>
      </c>
      <c r="B35" s="804"/>
      <c r="C35" s="804"/>
      <c r="D35" s="804"/>
      <c r="E35" s="804"/>
      <c r="F35" s="804"/>
      <c r="G35" s="804"/>
      <c r="H35" s="804"/>
    </row>
    <row r="36" spans="1:8" ht="17.100000000000001" customHeight="1">
      <c r="A36" s="804">
        <v>26</v>
      </c>
      <c r="B36" s="804"/>
      <c r="C36" s="804"/>
      <c r="D36" s="804"/>
      <c r="E36" s="804"/>
      <c r="F36" s="804"/>
      <c r="G36" s="804"/>
      <c r="H36" s="804"/>
    </row>
    <row r="37" spans="1:8" ht="17.100000000000001" customHeight="1">
      <c r="A37" s="804">
        <v>27</v>
      </c>
      <c r="B37" s="804"/>
      <c r="C37" s="804"/>
      <c r="D37" s="804"/>
      <c r="E37" s="804"/>
      <c r="F37" s="804"/>
      <c r="G37" s="804"/>
      <c r="H37" s="804"/>
    </row>
    <row r="38" spans="1:8" ht="17.100000000000001" customHeight="1">
      <c r="A38" s="804">
        <v>28</v>
      </c>
      <c r="B38" s="804"/>
      <c r="C38" s="804"/>
      <c r="D38" s="804"/>
      <c r="E38" s="804"/>
      <c r="F38" s="804"/>
      <c r="G38" s="804"/>
      <c r="H38" s="804"/>
    </row>
    <row r="39" spans="1:8" ht="17.100000000000001" customHeight="1">
      <c r="A39" s="804">
        <v>29</v>
      </c>
      <c r="B39" s="804"/>
      <c r="C39" s="804"/>
      <c r="D39" s="804"/>
      <c r="E39" s="804"/>
      <c r="F39" s="804"/>
      <c r="G39" s="804"/>
      <c r="H39" s="804"/>
    </row>
    <row r="40" spans="1:8" ht="17.100000000000001" customHeight="1">
      <c r="A40" s="804">
        <v>30</v>
      </c>
      <c r="B40" s="804"/>
      <c r="C40" s="804"/>
      <c r="D40" s="804"/>
      <c r="E40" s="804"/>
      <c r="F40" s="804"/>
      <c r="G40" s="804"/>
      <c r="H40" s="804"/>
    </row>
    <row r="41" spans="1:8" ht="17.100000000000001" customHeight="1">
      <c r="A41" s="804">
        <v>31</v>
      </c>
      <c r="B41" s="804"/>
      <c r="C41" s="804"/>
      <c r="D41" s="804"/>
      <c r="E41" s="804"/>
      <c r="F41" s="804"/>
      <c r="G41" s="804"/>
      <c r="H41" s="804"/>
    </row>
    <row r="42" spans="1:8" ht="17.100000000000001" customHeight="1">
      <c r="A42" s="804">
        <v>32</v>
      </c>
      <c r="B42" s="804"/>
      <c r="C42" s="804"/>
      <c r="D42" s="804"/>
      <c r="E42" s="804"/>
      <c r="F42" s="804"/>
      <c r="G42" s="804"/>
      <c r="H42" s="804"/>
    </row>
    <row r="43" spans="1:8" ht="17.100000000000001" customHeight="1">
      <c r="A43" s="804">
        <v>33</v>
      </c>
      <c r="B43" s="804"/>
      <c r="C43" s="804"/>
      <c r="D43" s="804"/>
      <c r="E43" s="804"/>
      <c r="F43" s="804"/>
      <c r="G43" s="804"/>
      <c r="H43" s="804"/>
    </row>
    <row r="44" spans="1:8">
      <c r="A44" s="804">
        <v>34</v>
      </c>
      <c r="B44" s="804"/>
      <c r="C44" s="804"/>
      <c r="D44" s="804"/>
      <c r="E44" s="804"/>
      <c r="F44" s="804"/>
      <c r="G44" s="804"/>
      <c r="H44" s="804"/>
    </row>
    <row r="45" spans="1:8">
      <c r="A45" s="804">
        <v>35</v>
      </c>
      <c r="B45" s="804"/>
      <c r="C45" s="804"/>
      <c r="D45" s="804"/>
      <c r="E45" s="804"/>
      <c r="F45" s="804"/>
      <c r="G45" s="804"/>
      <c r="H45" s="804"/>
    </row>
    <row r="46" spans="1:8">
      <c r="A46" s="804">
        <v>36</v>
      </c>
      <c r="B46" s="804"/>
      <c r="C46" s="804"/>
      <c r="D46" s="804"/>
      <c r="E46" s="804"/>
      <c r="F46" s="804"/>
      <c r="G46" s="804"/>
      <c r="H46" s="804"/>
    </row>
    <row r="47" spans="1:8">
      <c r="A47" s="804">
        <v>37</v>
      </c>
      <c r="B47" s="804"/>
      <c r="C47" s="804"/>
      <c r="D47" s="804"/>
      <c r="E47" s="804"/>
      <c r="F47" s="804"/>
      <c r="G47" s="804"/>
      <c r="H47" s="804"/>
    </row>
    <row r="48" spans="1:8">
      <c r="A48" s="804">
        <v>38</v>
      </c>
      <c r="B48" s="804"/>
      <c r="C48" s="804"/>
      <c r="D48" s="804"/>
      <c r="E48" s="804"/>
      <c r="F48" s="804"/>
      <c r="G48" s="804"/>
      <c r="H48" s="804"/>
    </row>
    <row r="49" spans="1:8">
      <c r="A49" s="804">
        <v>39</v>
      </c>
      <c r="B49" s="804"/>
      <c r="C49" s="804"/>
      <c r="D49" s="804"/>
      <c r="E49" s="804"/>
      <c r="F49" s="804"/>
      <c r="G49" s="804"/>
      <c r="H49" s="804"/>
    </row>
    <row r="50" spans="1:8">
      <c r="A50" s="804">
        <v>40</v>
      </c>
      <c r="B50" s="804"/>
      <c r="C50" s="804"/>
      <c r="D50" s="804"/>
      <c r="E50" s="804"/>
      <c r="F50" s="804"/>
      <c r="G50" s="804"/>
      <c r="H50" s="804"/>
    </row>
    <row r="51" spans="1:8">
      <c r="A51" s="804">
        <v>41</v>
      </c>
      <c r="B51" s="804"/>
      <c r="C51" s="804"/>
      <c r="D51" s="804"/>
      <c r="E51" s="804"/>
      <c r="F51" s="804"/>
      <c r="G51" s="804"/>
      <c r="H51" s="804"/>
    </row>
    <row r="52" spans="1:8">
      <c r="A52" s="804">
        <v>42</v>
      </c>
      <c r="B52" s="804"/>
      <c r="C52" s="804"/>
      <c r="D52" s="804"/>
      <c r="E52" s="804"/>
      <c r="F52" s="804"/>
      <c r="G52" s="804"/>
      <c r="H52" s="804"/>
    </row>
    <row r="53" spans="1:8">
      <c r="A53" s="804">
        <v>43</v>
      </c>
      <c r="B53" s="804"/>
      <c r="C53" s="804"/>
      <c r="D53" s="804"/>
      <c r="E53" s="804"/>
      <c r="F53" s="804"/>
      <c r="G53" s="804"/>
      <c r="H53" s="804"/>
    </row>
    <row r="54" spans="1:8">
      <c r="A54" s="804">
        <v>44</v>
      </c>
      <c r="B54" s="804"/>
      <c r="C54" s="804"/>
      <c r="D54" s="804"/>
      <c r="E54" s="804"/>
      <c r="F54" s="804"/>
      <c r="G54" s="804"/>
      <c r="H54" s="804"/>
    </row>
    <row r="55" spans="1:8">
      <c r="A55" s="804">
        <v>45</v>
      </c>
      <c r="B55" s="804"/>
      <c r="C55" s="804"/>
      <c r="D55" s="804"/>
      <c r="E55" s="804"/>
      <c r="F55" s="804"/>
      <c r="G55" s="804"/>
      <c r="H55" s="804"/>
    </row>
    <row r="56" spans="1:8">
      <c r="A56" s="804">
        <v>46</v>
      </c>
      <c r="B56" s="804"/>
      <c r="C56" s="804"/>
      <c r="D56" s="804"/>
      <c r="E56" s="804"/>
      <c r="F56" s="804"/>
      <c r="G56" s="804"/>
      <c r="H56" s="804"/>
    </row>
    <row r="57" spans="1:8">
      <c r="A57" s="804">
        <v>47</v>
      </c>
      <c r="B57" s="804"/>
      <c r="C57" s="804"/>
      <c r="D57" s="804"/>
      <c r="E57" s="804"/>
      <c r="F57" s="804"/>
      <c r="G57" s="804"/>
      <c r="H57" s="804"/>
    </row>
    <row r="58" spans="1:8">
      <c r="A58" s="804"/>
      <c r="B58" s="804"/>
      <c r="C58" s="804"/>
      <c r="D58" s="804"/>
      <c r="E58" s="804"/>
      <c r="F58" s="804"/>
      <c r="G58" s="804"/>
      <c r="H58" s="804"/>
    </row>
    <row r="59" spans="1:8">
      <c r="A59" s="804"/>
      <c r="B59" s="804"/>
      <c r="C59" s="804"/>
      <c r="D59" s="804"/>
      <c r="E59" s="804"/>
      <c r="F59" s="804"/>
      <c r="G59" s="804"/>
      <c r="H59" s="804"/>
    </row>
    <row r="60" spans="1:8">
      <c r="A60" s="804"/>
      <c r="B60" s="804"/>
      <c r="C60" s="804"/>
      <c r="D60" s="804"/>
      <c r="E60" s="804"/>
      <c r="F60" s="804"/>
      <c r="G60" s="804"/>
      <c r="H60" s="804"/>
    </row>
    <row r="61" spans="1:8">
      <c r="A61" s="804"/>
      <c r="B61" s="804"/>
      <c r="C61" s="804"/>
      <c r="D61" s="804"/>
      <c r="E61" s="804"/>
      <c r="F61" s="804"/>
      <c r="G61" s="804"/>
      <c r="H61" s="804"/>
    </row>
    <row r="62" spans="1:8">
      <c r="A62" s="804"/>
      <c r="B62" s="804"/>
      <c r="C62" s="804"/>
      <c r="D62" s="804"/>
      <c r="E62" s="804"/>
      <c r="F62" s="804"/>
      <c r="G62" s="804"/>
      <c r="H62" s="804"/>
    </row>
    <row r="63" spans="1:8">
      <c r="A63" s="804"/>
      <c r="B63" s="804"/>
      <c r="C63" s="804"/>
      <c r="D63" s="804"/>
      <c r="E63" s="804"/>
      <c r="F63" s="804"/>
      <c r="G63" s="804"/>
      <c r="H63" s="804"/>
    </row>
    <row r="64" spans="1:8">
      <c r="A64" s="804"/>
      <c r="B64" s="804"/>
      <c r="C64" s="804"/>
      <c r="D64" s="804"/>
      <c r="E64" s="804"/>
      <c r="F64" s="804"/>
      <c r="G64" s="804"/>
      <c r="H64" s="804"/>
    </row>
    <row r="65" spans="1:8">
      <c r="A65" s="804"/>
      <c r="B65" s="804"/>
      <c r="C65" s="804"/>
      <c r="D65" s="804"/>
      <c r="E65" s="804"/>
      <c r="F65" s="804"/>
      <c r="G65" s="804"/>
      <c r="H65" s="804"/>
    </row>
    <row r="66" spans="1:8">
      <c r="A66" s="804"/>
      <c r="B66" s="804"/>
      <c r="C66" s="804"/>
      <c r="D66" s="804"/>
      <c r="E66" s="804"/>
      <c r="F66" s="804"/>
      <c r="G66" s="804"/>
      <c r="H66" s="804"/>
    </row>
    <row r="67" spans="1:8">
      <c r="A67" s="804"/>
      <c r="B67" s="804"/>
      <c r="C67" s="804"/>
      <c r="D67" s="804"/>
      <c r="E67" s="804"/>
      <c r="F67" s="804"/>
      <c r="G67" s="804"/>
      <c r="H67" s="804"/>
    </row>
    <row r="68" spans="1:8">
      <c r="A68" s="804"/>
      <c r="B68" s="804"/>
      <c r="C68" s="804"/>
      <c r="D68" s="804"/>
      <c r="E68" s="804"/>
      <c r="F68" s="804"/>
      <c r="G68" s="804"/>
      <c r="H68" s="804"/>
    </row>
    <row r="69" spans="1:8">
      <c r="A69" s="804"/>
      <c r="B69" s="804"/>
      <c r="C69" s="804"/>
      <c r="D69" s="804"/>
      <c r="E69" s="804"/>
      <c r="F69" s="804"/>
      <c r="G69" s="804"/>
      <c r="H69" s="804"/>
    </row>
    <row r="70" spans="1:8">
      <c r="A70" s="804"/>
      <c r="B70" s="804"/>
      <c r="C70" s="804"/>
      <c r="D70" s="804"/>
      <c r="E70" s="804"/>
      <c r="F70" s="804"/>
      <c r="G70" s="804"/>
      <c r="H70" s="804"/>
    </row>
    <row r="71" spans="1:8">
      <c r="A71" s="804"/>
      <c r="B71" s="804"/>
      <c r="C71" s="804"/>
      <c r="D71" s="804"/>
      <c r="E71" s="804"/>
      <c r="F71" s="804"/>
      <c r="G71" s="804"/>
      <c r="H71" s="804"/>
    </row>
    <row r="72" spans="1:8">
      <c r="A72" s="804"/>
      <c r="B72" s="804"/>
      <c r="C72" s="804"/>
      <c r="D72" s="804"/>
      <c r="E72" s="804"/>
      <c r="F72" s="804"/>
      <c r="G72" s="804"/>
      <c r="H72" s="804"/>
    </row>
    <row r="73" spans="1:8">
      <c r="A73" s="804"/>
      <c r="B73" s="804"/>
      <c r="C73" s="804"/>
      <c r="D73" s="804"/>
      <c r="E73" s="804"/>
      <c r="F73" s="804"/>
      <c r="G73" s="804"/>
      <c r="H73" s="804"/>
    </row>
    <row r="74" spans="1:8">
      <c r="A74" s="804"/>
      <c r="B74" s="804"/>
      <c r="C74" s="804"/>
      <c r="D74" s="804"/>
      <c r="E74" s="804"/>
      <c r="F74" s="804"/>
      <c r="G74" s="804"/>
      <c r="H74" s="804"/>
    </row>
    <row r="75" spans="1:8">
      <c r="A75" s="804"/>
      <c r="B75" s="804"/>
      <c r="C75" s="804"/>
      <c r="D75" s="804"/>
      <c r="E75" s="804"/>
      <c r="F75" s="804"/>
      <c r="G75" s="804"/>
      <c r="H75" s="804"/>
    </row>
    <row r="76" spans="1:8">
      <c r="A76" s="804"/>
      <c r="B76" s="804"/>
      <c r="C76" s="804"/>
      <c r="D76" s="804"/>
      <c r="E76" s="804"/>
      <c r="F76" s="804"/>
      <c r="G76" s="804"/>
      <c r="H76" s="804"/>
    </row>
    <row r="77" spans="1:8">
      <c r="A77" s="804"/>
      <c r="B77" s="804"/>
      <c r="C77" s="804"/>
      <c r="D77" s="804"/>
      <c r="E77" s="804"/>
      <c r="F77" s="804"/>
      <c r="G77" s="804"/>
      <c r="H77" s="804"/>
    </row>
    <row r="78" spans="1:8">
      <c r="A78" s="804"/>
      <c r="B78" s="804"/>
      <c r="C78" s="804"/>
      <c r="D78" s="804"/>
      <c r="E78" s="804"/>
      <c r="F78" s="804"/>
      <c r="G78" s="804"/>
      <c r="H78" s="804"/>
    </row>
    <row r="79" spans="1:8">
      <c r="A79" s="804"/>
      <c r="B79" s="804"/>
      <c r="C79" s="804"/>
      <c r="D79" s="804"/>
      <c r="E79" s="804"/>
      <c r="F79" s="804"/>
      <c r="G79" s="804"/>
      <c r="H79" s="804"/>
    </row>
    <row r="80" spans="1:8">
      <c r="A80" s="804"/>
      <c r="B80" s="804"/>
      <c r="C80" s="804"/>
      <c r="D80" s="804"/>
      <c r="E80" s="804"/>
      <c r="F80" s="804"/>
      <c r="G80" s="804"/>
      <c r="H80" s="804"/>
    </row>
    <row r="81" spans="1:8">
      <c r="A81" s="804"/>
      <c r="B81" s="804"/>
      <c r="C81" s="804"/>
      <c r="D81" s="804"/>
      <c r="E81" s="804"/>
      <c r="F81" s="804"/>
      <c r="G81" s="804"/>
      <c r="H81" s="804"/>
    </row>
    <row r="82" spans="1:8">
      <c r="A82" s="804"/>
      <c r="B82" s="804"/>
      <c r="C82" s="804"/>
      <c r="D82" s="804"/>
      <c r="E82" s="804"/>
      <c r="F82" s="804"/>
      <c r="G82" s="804"/>
      <c r="H82" s="804"/>
    </row>
    <row r="83" spans="1:8">
      <c r="A83" s="804"/>
      <c r="B83" s="804"/>
      <c r="C83" s="804"/>
      <c r="D83" s="804"/>
      <c r="E83" s="804"/>
      <c r="F83" s="804"/>
      <c r="G83" s="804"/>
      <c r="H83" s="804"/>
    </row>
    <row r="84" spans="1:8">
      <c r="A84" s="804"/>
      <c r="B84" s="804"/>
      <c r="C84" s="804"/>
      <c r="D84" s="804"/>
      <c r="E84" s="804"/>
      <c r="F84" s="804"/>
      <c r="G84" s="804"/>
      <c r="H84" s="804"/>
    </row>
    <row r="85" spans="1:8">
      <c r="A85" s="804"/>
      <c r="B85" s="804"/>
      <c r="C85" s="804"/>
      <c r="D85" s="804"/>
      <c r="E85" s="804"/>
      <c r="F85" s="804"/>
      <c r="G85" s="804"/>
      <c r="H85" s="804"/>
    </row>
    <row r="86" spans="1:8">
      <c r="A86" s="804"/>
      <c r="B86" s="804"/>
      <c r="C86" s="804"/>
      <c r="D86" s="804"/>
      <c r="E86" s="804"/>
      <c r="F86" s="804"/>
      <c r="G86" s="804"/>
      <c r="H86" s="804"/>
    </row>
    <row r="87" spans="1:8">
      <c r="A87" s="804"/>
      <c r="B87" s="804"/>
      <c r="C87" s="804"/>
      <c r="D87" s="804"/>
      <c r="E87" s="804"/>
      <c r="F87" s="804"/>
      <c r="G87" s="804"/>
      <c r="H87" s="804"/>
    </row>
    <row r="88" spans="1:8">
      <c r="A88" s="804"/>
      <c r="B88" s="804"/>
      <c r="C88" s="804"/>
      <c r="D88" s="804"/>
      <c r="E88" s="804"/>
      <c r="F88" s="804"/>
      <c r="G88" s="804"/>
      <c r="H88" s="804"/>
    </row>
    <row r="89" spans="1:8">
      <c r="A89" s="804"/>
      <c r="B89" s="804"/>
      <c r="C89" s="804"/>
      <c r="D89" s="804"/>
      <c r="E89" s="804"/>
      <c r="F89" s="804"/>
      <c r="G89" s="804"/>
      <c r="H89" s="804"/>
    </row>
    <row r="90" spans="1:8">
      <c r="A90" s="804"/>
      <c r="B90" s="804"/>
      <c r="C90" s="804"/>
      <c r="D90" s="804"/>
      <c r="E90" s="804"/>
      <c r="F90" s="804"/>
      <c r="G90" s="804"/>
      <c r="H90" s="804"/>
    </row>
    <row r="91" spans="1:8">
      <c r="A91" s="804"/>
      <c r="B91" s="804"/>
      <c r="C91" s="804"/>
      <c r="D91" s="804"/>
      <c r="E91" s="804"/>
      <c r="F91" s="804"/>
      <c r="G91" s="804"/>
      <c r="H91" s="804"/>
    </row>
    <row r="92" spans="1:8">
      <c r="A92" s="804"/>
      <c r="B92" s="804"/>
      <c r="C92" s="804"/>
      <c r="D92" s="804"/>
      <c r="E92" s="804"/>
      <c r="F92" s="804"/>
      <c r="G92" s="804"/>
      <c r="H92" s="804"/>
    </row>
    <row r="93" spans="1:8">
      <c r="A93" s="804"/>
      <c r="B93" s="804"/>
      <c r="C93" s="804"/>
      <c r="D93" s="804"/>
      <c r="E93" s="804"/>
      <c r="F93" s="804"/>
      <c r="G93" s="804"/>
      <c r="H93" s="804"/>
    </row>
    <row r="94" spans="1:8">
      <c r="A94" s="804"/>
      <c r="B94" s="804"/>
      <c r="C94" s="804"/>
      <c r="D94" s="804"/>
      <c r="E94" s="804"/>
      <c r="F94" s="804"/>
      <c r="G94" s="804"/>
      <c r="H94" s="804"/>
    </row>
    <row r="95" spans="1:8">
      <c r="A95" s="804"/>
      <c r="B95" s="804"/>
      <c r="C95" s="804"/>
      <c r="D95" s="804"/>
      <c r="E95" s="804"/>
      <c r="F95" s="804"/>
      <c r="G95" s="804"/>
      <c r="H95" s="804"/>
    </row>
    <row r="96" spans="1:8">
      <c r="A96" s="804"/>
      <c r="B96" s="804"/>
      <c r="C96" s="804"/>
      <c r="D96" s="804"/>
      <c r="E96" s="804"/>
      <c r="F96" s="804"/>
      <c r="G96" s="804"/>
      <c r="H96" s="804"/>
    </row>
    <row r="97" spans="1:8">
      <c r="A97" s="804"/>
      <c r="B97" s="804"/>
      <c r="C97" s="804"/>
      <c r="D97" s="804"/>
      <c r="E97" s="804"/>
      <c r="F97" s="804"/>
      <c r="G97" s="804"/>
      <c r="H97" s="804"/>
    </row>
    <row r="98" spans="1:8">
      <c r="A98" s="804"/>
      <c r="B98" s="804"/>
      <c r="C98" s="804"/>
      <c r="D98" s="804"/>
      <c r="E98" s="804"/>
      <c r="F98" s="804"/>
      <c r="G98" s="804"/>
      <c r="H98" s="804"/>
    </row>
    <row r="99" spans="1:8">
      <c r="A99" s="804"/>
      <c r="B99" s="804"/>
      <c r="C99" s="804"/>
      <c r="D99" s="804"/>
      <c r="E99" s="804"/>
      <c r="F99" s="804"/>
      <c r="G99" s="804"/>
      <c r="H99" s="804"/>
    </row>
    <row r="100" spans="1:8">
      <c r="A100" s="804"/>
      <c r="B100" s="804"/>
      <c r="C100" s="804"/>
      <c r="D100" s="804"/>
      <c r="E100" s="804"/>
      <c r="F100" s="804"/>
      <c r="G100" s="804"/>
      <c r="H100" s="804"/>
    </row>
    <row r="101" spans="1:8">
      <c r="A101" s="804"/>
      <c r="B101" s="804"/>
      <c r="C101" s="804"/>
      <c r="D101" s="804"/>
      <c r="E101" s="804"/>
      <c r="F101" s="804"/>
      <c r="G101" s="804"/>
      <c r="H101" s="804"/>
    </row>
  </sheetData>
  <mergeCells count="2">
    <mergeCell ref="A1:F1"/>
    <mergeCell ref="B10:C10"/>
  </mergeCells>
  <conditionalFormatting sqref="B25:C25">
    <cfRule type="expression" dxfId="4241" priority="2342" stopIfTrue="1">
      <formula>#REF!=""</formula>
    </cfRule>
  </conditionalFormatting>
  <conditionalFormatting sqref="B25:C25">
    <cfRule type="expression" dxfId="4240" priority="2341" stopIfTrue="1">
      <formula>#REF!=""</formula>
    </cfRule>
  </conditionalFormatting>
  <conditionalFormatting sqref="B25:C25">
    <cfRule type="expression" dxfId="4239" priority="2340" stopIfTrue="1">
      <formula>#REF!=""</formula>
    </cfRule>
  </conditionalFormatting>
  <conditionalFormatting sqref="B25:C25">
    <cfRule type="expression" dxfId="4238" priority="2339" stopIfTrue="1">
      <formula>#REF!=""</formula>
    </cfRule>
  </conditionalFormatting>
  <conditionalFormatting sqref="C25">
    <cfRule type="expression" dxfId="4237" priority="2338" stopIfTrue="1">
      <formula>#REF!=""</formula>
    </cfRule>
  </conditionalFormatting>
  <conditionalFormatting sqref="C25">
    <cfRule type="expression" dxfId="4236" priority="2337" stopIfTrue="1">
      <formula>#REF!=""</formula>
    </cfRule>
  </conditionalFormatting>
  <conditionalFormatting sqref="B25:C25">
    <cfRule type="expression" dxfId="4235" priority="2336" stopIfTrue="1">
      <formula>#REF!=""</formula>
    </cfRule>
  </conditionalFormatting>
  <conditionalFormatting sqref="C25">
    <cfRule type="expression" dxfId="4234" priority="2335" stopIfTrue="1">
      <formula>#REF!=""</formula>
    </cfRule>
  </conditionalFormatting>
  <conditionalFormatting sqref="B24:C24">
    <cfRule type="expression" dxfId="4233" priority="2334" stopIfTrue="1">
      <formula>#REF!=""</formula>
    </cfRule>
  </conditionalFormatting>
  <conditionalFormatting sqref="B24:C24">
    <cfRule type="expression" dxfId="4232" priority="2333" stopIfTrue="1">
      <formula>#REF!=""</formula>
    </cfRule>
  </conditionalFormatting>
  <conditionalFormatting sqref="B24:C24">
    <cfRule type="expression" dxfId="4231" priority="2332" stopIfTrue="1">
      <formula>#REF!=""</formula>
    </cfRule>
  </conditionalFormatting>
  <conditionalFormatting sqref="B24:C24">
    <cfRule type="expression" dxfId="4230" priority="2331" stopIfTrue="1">
      <formula>#REF!=""</formula>
    </cfRule>
  </conditionalFormatting>
  <conditionalFormatting sqref="B24:C24">
    <cfRule type="expression" dxfId="4229" priority="2330" stopIfTrue="1">
      <formula>#REF!=""</formula>
    </cfRule>
  </conditionalFormatting>
  <conditionalFormatting sqref="B24:C24">
    <cfRule type="expression" dxfId="4228" priority="2329" stopIfTrue="1">
      <formula>#REF!=""</formula>
    </cfRule>
  </conditionalFormatting>
  <conditionalFormatting sqref="B24:C24">
    <cfRule type="expression" dxfId="4227" priority="2328" stopIfTrue="1">
      <formula>#REF!=""</formula>
    </cfRule>
  </conditionalFormatting>
  <conditionalFormatting sqref="B24:C24">
    <cfRule type="expression" dxfId="4226" priority="2327" stopIfTrue="1">
      <formula>#REF!=""</formula>
    </cfRule>
  </conditionalFormatting>
  <conditionalFormatting sqref="B26:C26">
    <cfRule type="expression" dxfId="4225" priority="2326" stopIfTrue="1">
      <formula>#REF!=""</formula>
    </cfRule>
  </conditionalFormatting>
  <conditionalFormatting sqref="B26:C26">
    <cfRule type="expression" dxfId="4224" priority="2325" stopIfTrue="1">
      <formula>#REF!=""</formula>
    </cfRule>
  </conditionalFormatting>
  <conditionalFormatting sqref="B26:C26">
    <cfRule type="expression" dxfId="4223" priority="2324" stopIfTrue="1">
      <formula>#REF!=""</formula>
    </cfRule>
  </conditionalFormatting>
  <conditionalFormatting sqref="B26:C26">
    <cfRule type="expression" dxfId="4222" priority="2323" stopIfTrue="1">
      <formula>#REF!=""</formula>
    </cfRule>
  </conditionalFormatting>
  <conditionalFormatting sqref="B26:C26">
    <cfRule type="expression" dxfId="4221" priority="2322" stopIfTrue="1">
      <formula>#REF!=""</formula>
    </cfRule>
  </conditionalFormatting>
  <conditionalFormatting sqref="B26:C26">
    <cfRule type="expression" dxfId="4220" priority="2321" stopIfTrue="1">
      <formula>#REF!=""</formula>
    </cfRule>
  </conditionalFormatting>
  <conditionalFormatting sqref="B26:C26">
    <cfRule type="expression" dxfId="4219" priority="2320" stopIfTrue="1">
      <formula>#REF!=""</formula>
    </cfRule>
  </conditionalFormatting>
  <conditionalFormatting sqref="B26:C26">
    <cfRule type="expression" dxfId="4218" priority="2319" stopIfTrue="1">
      <formula>#REF!=""</formula>
    </cfRule>
  </conditionalFormatting>
  <conditionalFormatting sqref="D26">
    <cfRule type="expression" dxfId="4217" priority="2318" stopIfTrue="1">
      <formula>#REF!=""</formula>
    </cfRule>
  </conditionalFormatting>
  <conditionalFormatting sqref="D26">
    <cfRule type="containsText" dxfId="4216" priority="2306" stopIfTrue="1" operator="containsText" text="خارجية">
      <formula>NOT(ISERROR(SEARCH("خارجية",D26)))</formula>
    </cfRule>
    <cfRule type="containsText" dxfId="4215" priority="2307" stopIfTrue="1" operator="containsText" text="ن داخلية">
      <formula>NOT(ISERROR(SEARCH("ن داخلية",D26)))</formula>
    </cfRule>
    <cfRule type="containsText" dxfId="4214" priority="2308" stopIfTrue="1" operator="containsText" text="داخلية">
      <formula>NOT(ISERROR(SEARCH("داخلية",D26)))</formula>
    </cfRule>
    <cfRule type="containsText" dxfId="4213" priority="2309" stopIfTrue="1" operator="containsText" text="ن داخلية">
      <formula>NOT(ISERROR(SEARCH("ن داخلية",D26)))</formula>
    </cfRule>
    <cfRule type="containsText" dxfId="4212" priority="2310" stopIfTrue="1" operator="containsText" text="داخلية">
      <formula>NOT(ISERROR(SEARCH("داخلية",D26)))</formula>
    </cfRule>
    <cfRule type="cellIs" dxfId="4211" priority="2311" stopIfTrue="1" operator="equal">
      <formula>"ن داخلي"</formula>
    </cfRule>
    <cfRule type="cellIs" dxfId="4210" priority="2312" stopIfTrue="1" operator="equal">
      <formula>"ن داخلية"</formula>
    </cfRule>
    <cfRule type="cellIs" dxfId="4209" priority="2313" stopIfTrue="1" operator="equal">
      <formula>#REF!</formula>
    </cfRule>
    <cfRule type="cellIs" dxfId="4208" priority="2314" stopIfTrue="1" operator="equal">
      <formula>#REF!</formula>
    </cfRule>
    <cfRule type="cellIs" dxfId="4207" priority="2315" stopIfTrue="1" operator="equal">
      <formula>#REF!</formula>
    </cfRule>
    <cfRule type="cellIs" dxfId="4206" priority="2316" stopIfTrue="1" operator="equal">
      <formula>#REF!</formula>
    </cfRule>
    <cfRule type="cellIs" dxfId="4205" priority="2317" stopIfTrue="1" operator="equal">
      <formula>"داخلية"</formula>
    </cfRule>
  </conditionalFormatting>
  <conditionalFormatting sqref="D26">
    <cfRule type="containsText" dxfId="4204" priority="2304" stopIfTrue="1" operator="containsText" text="خارجية">
      <formula>NOT(ISERROR(SEARCH("خارجية",D26)))</formula>
    </cfRule>
    <cfRule type="containsText" dxfId="4203" priority="2305" stopIfTrue="1" operator="containsText" text="خارجي">
      <formula>NOT(ISERROR(SEARCH("خارجي",D26)))</formula>
    </cfRule>
  </conditionalFormatting>
  <conditionalFormatting sqref="D26">
    <cfRule type="expression" dxfId="4202" priority="2303" stopIfTrue="1">
      <formula>#REF!=""</formula>
    </cfRule>
  </conditionalFormatting>
  <conditionalFormatting sqref="D26">
    <cfRule type="expression" dxfId="4201" priority="2302" stopIfTrue="1">
      <formula>#REF!=""</formula>
    </cfRule>
  </conditionalFormatting>
  <conditionalFormatting sqref="D26">
    <cfRule type="containsText" dxfId="4200" priority="2290" stopIfTrue="1" operator="containsText" text="خارجية">
      <formula>NOT(ISERROR(SEARCH("خارجية",D26)))</formula>
    </cfRule>
    <cfRule type="containsText" dxfId="4199" priority="2291" stopIfTrue="1" operator="containsText" text="ن داخلية">
      <formula>NOT(ISERROR(SEARCH("ن داخلية",D26)))</formula>
    </cfRule>
    <cfRule type="containsText" dxfId="4198" priority="2292" stopIfTrue="1" operator="containsText" text="داخلية">
      <formula>NOT(ISERROR(SEARCH("داخلية",D26)))</formula>
    </cfRule>
    <cfRule type="containsText" dxfId="4197" priority="2293" stopIfTrue="1" operator="containsText" text="ن داخلية">
      <formula>NOT(ISERROR(SEARCH("ن داخلية",D26)))</formula>
    </cfRule>
    <cfRule type="containsText" dxfId="4196" priority="2294" stopIfTrue="1" operator="containsText" text="داخلية">
      <formula>NOT(ISERROR(SEARCH("داخلية",D26)))</formula>
    </cfRule>
    <cfRule type="cellIs" dxfId="4195" priority="2295" stopIfTrue="1" operator="equal">
      <formula>"ن داخلي"</formula>
    </cfRule>
    <cfRule type="cellIs" dxfId="4194" priority="2296" stopIfTrue="1" operator="equal">
      <formula>"ن داخلية"</formula>
    </cfRule>
    <cfRule type="cellIs" dxfId="4193" priority="2297" stopIfTrue="1" operator="equal">
      <formula>#REF!</formula>
    </cfRule>
    <cfRule type="cellIs" dxfId="4192" priority="2298" stopIfTrue="1" operator="equal">
      <formula>#REF!</formula>
    </cfRule>
    <cfRule type="cellIs" dxfId="4191" priority="2299" stopIfTrue="1" operator="equal">
      <formula>#REF!</formula>
    </cfRule>
    <cfRule type="cellIs" dxfId="4190" priority="2300" stopIfTrue="1" operator="equal">
      <formula>#REF!</formula>
    </cfRule>
    <cfRule type="cellIs" dxfId="4189" priority="2301" stopIfTrue="1" operator="equal">
      <formula>"داخلية"</formula>
    </cfRule>
  </conditionalFormatting>
  <conditionalFormatting sqref="D26">
    <cfRule type="containsText" dxfId="4188" priority="2288" stopIfTrue="1" operator="containsText" text="خارجية">
      <formula>NOT(ISERROR(SEARCH("خارجية",D26)))</formula>
    </cfRule>
    <cfRule type="containsText" dxfId="4187" priority="2289" stopIfTrue="1" operator="containsText" text="خارجي">
      <formula>NOT(ISERROR(SEARCH("خارجي",D26)))</formula>
    </cfRule>
  </conditionalFormatting>
  <conditionalFormatting sqref="D26">
    <cfRule type="expression" dxfId="4186" priority="2287" stopIfTrue="1">
      <formula>#REF!=""</formula>
    </cfRule>
  </conditionalFormatting>
  <conditionalFormatting sqref="D26">
    <cfRule type="containsText" dxfId="4185" priority="2285" stopIfTrue="1" operator="containsText" text="خارجية">
      <formula>NOT(ISERROR(SEARCH("خارجية",D26)))</formula>
    </cfRule>
    <cfRule type="containsText" dxfId="4184" priority="2286" stopIfTrue="1" operator="containsText" text="خارجي">
      <formula>NOT(ISERROR(SEARCH("خارجي",D26)))</formula>
    </cfRule>
  </conditionalFormatting>
  <conditionalFormatting sqref="D26">
    <cfRule type="containsText" dxfId="4183" priority="2273" stopIfTrue="1" operator="containsText" text="خارجية">
      <formula>NOT(ISERROR(SEARCH("خارجية",D26)))</formula>
    </cfRule>
    <cfRule type="containsText" dxfId="4182" priority="2274" stopIfTrue="1" operator="containsText" text="ن داخلية">
      <formula>NOT(ISERROR(SEARCH("ن داخلية",D26)))</formula>
    </cfRule>
    <cfRule type="containsText" dxfId="4181" priority="2275" stopIfTrue="1" operator="containsText" text="داخلية">
      <formula>NOT(ISERROR(SEARCH("داخلية",D26)))</formula>
    </cfRule>
    <cfRule type="containsText" dxfId="4180" priority="2276" stopIfTrue="1" operator="containsText" text="ن داخلية">
      <formula>NOT(ISERROR(SEARCH("ن داخلية",D26)))</formula>
    </cfRule>
    <cfRule type="containsText" dxfId="4179" priority="2277" stopIfTrue="1" operator="containsText" text="داخلية">
      <formula>NOT(ISERROR(SEARCH("داخلية",D26)))</formula>
    </cfRule>
    <cfRule type="cellIs" dxfId="4178" priority="2278" stopIfTrue="1" operator="equal">
      <formula>"ن داخلي"</formula>
    </cfRule>
    <cfRule type="cellIs" dxfId="4177" priority="2279" stopIfTrue="1" operator="equal">
      <formula>"ن داخلية"</formula>
    </cfRule>
    <cfRule type="cellIs" dxfId="4176" priority="2280" stopIfTrue="1" operator="equal">
      <formula>#REF!</formula>
    </cfRule>
    <cfRule type="cellIs" dxfId="4175" priority="2281" stopIfTrue="1" operator="equal">
      <formula>#REF!</formula>
    </cfRule>
    <cfRule type="cellIs" dxfId="4174" priority="2282" stopIfTrue="1" operator="equal">
      <formula>#REF!</formula>
    </cfRule>
    <cfRule type="cellIs" dxfId="4173" priority="2283" stopIfTrue="1" operator="equal">
      <formula>#REF!</formula>
    </cfRule>
    <cfRule type="cellIs" dxfId="4172" priority="2284" stopIfTrue="1" operator="equal">
      <formula>"داخلية"</formula>
    </cfRule>
  </conditionalFormatting>
  <conditionalFormatting sqref="D26">
    <cfRule type="containsText" dxfId="4171" priority="2271" stopIfTrue="1" operator="containsText" text="خارجية">
      <formula>NOT(ISERROR(SEARCH("خارجية",D26)))</formula>
    </cfRule>
    <cfRule type="containsText" dxfId="4170" priority="2272" stopIfTrue="1" operator="containsText" text="خارجي">
      <formula>NOT(ISERROR(SEARCH("خارجي",D26)))</formula>
    </cfRule>
  </conditionalFormatting>
  <conditionalFormatting sqref="D26">
    <cfRule type="containsText" dxfId="4169" priority="2259" stopIfTrue="1" operator="containsText" text="خارجية">
      <formula>NOT(ISERROR(SEARCH("خارجية",D26)))</formula>
    </cfRule>
    <cfRule type="containsText" dxfId="4168" priority="2260" stopIfTrue="1" operator="containsText" text="ن داخلية">
      <formula>NOT(ISERROR(SEARCH("ن داخلية",D26)))</formula>
    </cfRule>
    <cfRule type="containsText" dxfId="4167" priority="2261" stopIfTrue="1" operator="containsText" text="داخلية">
      <formula>NOT(ISERROR(SEARCH("داخلية",D26)))</formula>
    </cfRule>
    <cfRule type="containsText" dxfId="4166" priority="2262" stopIfTrue="1" operator="containsText" text="ن داخلية">
      <formula>NOT(ISERROR(SEARCH("ن داخلية",D26)))</formula>
    </cfRule>
    <cfRule type="containsText" dxfId="4165" priority="2263" stopIfTrue="1" operator="containsText" text="داخلية">
      <formula>NOT(ISERROR(SEARCH("داخلية",D26)))</formula>
    </cfRule>
    <cfRule type="cellIs" dxfId="4164" priority="2264" stopIfTrue="1" operator="equal">
      <formula>"ن داخلي"</formula>
    </cfRule>
    <cfRule type="cellIs" dxfId="4163" priority="2265" stopIfTrue="1" operator="equal">
      <formula>"ن داخلية"</formula>
    </cfRule>
    <cfRule type="cellIs" dxfId="4162" priority="2266" stopIfTrue="1" operator="equal">
      <formula>#REF!</formula>
    </cfRule>
    <cfRule type="cellIs" dxfId="4161" priority="2267" stopIfTrue="1" operator="equal">
      <formula>#REF!</formula>
    </cfRule>
    <cfRule type="cellIs" dxfId="4160" priority="2268" stopIfTrue="1" operator="equal">
      <formula>#REF!</formula>
    </cfRule>
    <cfRule type="cellIs" dxfId="4159" priority="2269" stopIfTrue="1" operator="equal">
      <formula>#REF!</formula>
    </cfRule>
    <cfRule type="cellIs" dxfId="4158" priority="2270" stopIfTrue="1" operator="equal">
      <formula>"داخلية"</formula>
    </cfRule>
  </conditionalFormatting>
  <conditionalFormatting sqref="D26">
    <cfRule type="expression" dxfId="4157" priority="2258" stopIfTrue="1">
      <formula>#REF!=""</formula>
    </cfRule>
  </conditionalFormatting>
  <conditionalFormatting sqref="D26">
    <cfRule type="containsText" dxfId="4156" priority="2246" stopIfTrue="1" operator="containsText" text="خارجية">
      <formula>NOT(ISERROR(SEARCH("خارجية",D26)))</formula>
    </cfRule>
    <cfRule type="containsText" dxfId="4155" priority="2247" stopIfTrue="1" operator="containsText" text="ن داخلية">
      <formula>NOT(ISERROR(SEARCH("ن داخلية",D26)))</formula>
    </cfRule>
    <cfRule type="containsText" dxfId="4154" priority="2248" stopIfTrue="1" operator="containsText" text="داخلية">
      <formula>NOT(ISERROR(SEARCH("داخلية",D26)))</formula>
    </cfRule>
    <cfRule type="containsText" dxfId="4153" priority="2249" stopIfTrue="1" operator="containsText" text="ن داخلية">
      <formula>NOT(ISERROR(SEARCH("ن داخلية",D26)))</formula>
    </cfRule>
    <cfRule type="containsText" dxfId="4152" priority="2250" stopIfTrue="1" operator="containsText" text="داخلية">
      <formula>NOT(ISERROR(SEARCH("داخلية",D26)))</formula>
    </cfRule>
    <cfRule type="cellIs" dxfId="4151" priority="2251" stopIfTrue="1" operator="equal">
      <formula>"ن داخلي"</formula>
    </cfRule>
    <cfRule type="cellIs" dxfId="4150" priority="2252" stopIfTrue="1" operator="equal">
      <formula>"ن داخلية"</formula>
    </cfRule>
    <cfRule type="cellIs" dxfId="4149" priority="2253" stopIfTrue="1" operator="equal">
      <formula>#REF!</formula>
    </cfRule>
    <cfRule type="cellIs" dxfId="4148" priority="2254" stopIfTrue="1" operator="equal">
      <formula>#REF!</formula>
    </cfRule>
    <cfRule type="cellIs" dxfId="4147" priority="2255" stopIfTrue="1" operator="equal">
      <formula>#REF!</formula>
    </cfRule>
    <cfRule type="cellIs" dxfId="4146" priority="2256" stopIfTrue="1" operator="equal">
      <formula>#REF!</formula>
    </cfRule>
    <cfRule type="cellIs" dxfId="4145" priority="2257" stopIfTrue="1" operator="equal">
      <formula>"داخلية"</formula>
    </cfRule>
  </conditionalFormatting>
  <conditionalFormatting sqref="D26">
    <cfRule type="containsText" dxfId="4144" priority="2244" stopIfTrue="1" operator="containsText" text="خارجية">
      <formula>NOT(ISERROR(SEARCH("خارجية",D26)))</formula>
    </cfRule>
    <cfRule type="containsText" dxfId="4143" priority="2245" stopIfTrue="1" operator="containsText" text="خارجي">
      <formula>NOT(ISERROR(SEARCH("خارجي",D26)))</formula>
    </cfRule>
  </conditionalFormatting>
  <conditionalFormatting sqref="D26">
    <cfRule type="expression" dxfId="4142" priority="2243" stopIfTrue="1">
      <formula>#REF!=""</formula>
    </cfRule>
  </conditionalFormatting>
  <conditionalFormatting sqref="D26">
    <cfRule type="containsText" dxfId="4141" priority="2241" stopIfTrue="1" operator="containsText" text="خارجية">
      <formula>NOT(ISERROR(SEARCH("خارجية",D26)))</formula>
    </cfRule>
    <cfRule type="containsText" dxfId="4140" priority="2242" stopIfTrue="1" operator="containsText" text="خارجي">
      <formula>NOT(ISERROR(SEARCH("خارجي",D26)))</formula>
    </cfRule>
  </conditionalFormatting>
  <conditionalFormatting sqref="D26">
    <cfRule type="containsText" dxfId="4139" priority="2229" stopIfTrue="1" operator="containsText" text="خارجية">
      <formula>NOT(ISERROR(SEARCH("خارجية",D26)))</formula>
    </cfRule>
    <cfRule type="containsText" dxfId="4138" priority="2230" stopIfTrue="1" operator="containsText" text="ن داخلية">
      <formula>NOT(ISERROR(SEARCH("ن داخلية",D26)))</formula>
    </cfRule>
    <cfRule type="containsText" dxfId="4137" priority="2231" stopIfTrue="1" operator="containsText" text="داخلية">
      <formula>NOT(ISERROR(SEARCH("داخلية",D26)))</formula>
    </cfRule>
    <cfRule type="containsText" dxfId="4136" priority="2232" stopIfTrue="1" operator="containsText" text="ن داخلية">
      <formula>NOT(ISERROR(SEARCH("ن داخلية",D26)))</formula>
    </cfRule>
    <cfRule type="containsText" dxfId="4135" priority="2233" stopIfTrue="1" operator="containsText" text="داخلية">
      <formula>NOT(ISERROR(SEARCH("داخلية",D26)))</formula>
    </cfRule>
    <cfRule type="cellIs" dxfId="4134" priority="2234" stopIfTrue="1" operator="equal">
      <formula>"ن داخلي"</formula>
    </cfRule>
    <cfRule type="cellIs" dxfId="4133" priority="2235" stopIfTrue="1" operator="equal">
      <formula>"ن داخلية"</formula>
    </cfRule>
    <cfRule type="cellIs" dxfId="4132" priority="2236" stopIfTrue="1" operator="equal">
      <formula>#REF!</formula>
    </cfRule>
    <cfRule type="cellIs" dxfId="4131" priority="2237" stopIfTrue="1" operator="equal">
      <formula>#REF!</formula>
    </cfRule>
    <cfRule type="cellIs" dxfId="4130" priority="2238" stopIfTrue="1" operator="equal">
      <formula>#REF!</formula>
    </cfRule>
    <cfRule type="cellIs" dxfId="4129" priority="2239" stopIfTrue="1" operator="equal">
      <formula>#REF!</formula>
    </cfRule>
    <cfRule type="cellIs" dxfId="4128" priority="2240" stopIfTrue="1" operator="equal">
      <formula>"داخلية"</formula>
    </cfRule>
  </conditionalFormatting>
  <conditionalFormatting sqref="D26">
    <cfRule type="containsText" dxfId="4127" priority="2227" stopIfTrue="1" operator="containsText" text="خارجية">
      <formula>NOT(ISERROR(SEARCH("خارجية",D26)))</formula>
    </cfRule>
    <cfRule type="containsText" dxfId="4126" priority="2228" stopIfTrue="1" operator="containsText" text="خارجي">
      <formula>NOT(ISERROR(SEARCH("خارجي",D26)))</formula>
    </cfRule>
  </conditionalFormatting>
  <conditionalFormatting sqref="D26">
    <cfRule type="containsText" dxfId="4125" priority="2215" stopIfTrue="1" operator="containsText" text="خارجية">
      <formula>NOT(ISERROR(SEARCH("خارجية",D26)))</formula>
    </cfRule>
    <cfRule type="containsText" dxfId="4124" priority="2216" stopIfTrue="1" operator="containsText" text="ن داخلية">
      <formula>NOT(ISERROR(SEARCH("ن داخلية",D26)))</formula>
    </cfRule>
    <cfRule type="containsText" dxfId="4123" priority="2217" stopIfTrue="1" operator="containsText" text="داخلية">
      <formula>NOT(ISERROR(SEARCH("داخلية",D26)))</formula>
    </cfRule>
    <cfRule type="containsText" dxfId="4122" priority="2218" stopIfTrue="1" operator="containsText" text="ن داخلية">
      <formula>NOT(ISERROR(SEARCH("ن داخلية",D26)))</formula>
    </cfRule>
    <cfRule type="containsText" dxfId="4121" priority="2219" stopIfTrue="1" operator="containsText" text="داخلية">
      <formula>NOT(ISERROR(SEARCH("داخلية",D26)))</formula>
    </cfRule>
    <cfRule type="cellIs" dxfId="4120" priority="2220" stopIfTrue="1" operator="equal">
      <formula>"ن داخلي"</formula>
    </cfRule>
    <cfRule type="cellIs" dxfId="4119" priority="2221" stopIfTrue="1" operator="equal">
      <formula>"ن داخلية"</formula>
    </cfRule>
    <cfRule type="cellIs" dxfId="4118" priority="2222" stopIfTrue="1" operator="equal">
      <formula>#REF!</formula>
    </cfRule>
    <cfRule type="cellIs" dxfId="4117" priority="2223" stopIfTrue="1" operator="equal">
      <formula>#REF!</formula>
    </cfRule>
    <cfRule type="cellIs" dxfId="4116" priority="2224" stopIfTrue="1" operator="equal">
      <formula>#REF!</formula>
    </cfRule>
    <cfRule type="cellIs" dxfId="4115" priority="2225" stopIfTrue="1" operator="equal">
      <formula>#REF!</formula>
    </cfRule>
    <cfRule type="cellIs" dxfId="4114" priority="2226" stopIfTrue="1" operator="equal">
      <formula>"داخلية"</formula>
    </cfRule>
  </conditionalFormatting>
  <conditionalFormatting sqref="D26">
    <cfRule type="expression" dxfId="4113" priority="2214" stopIfTrue="1">
      <formula>#REF!=""</formula>
    </cfRule>
  </conditionalFormatting>
  <conditionalFormatting sqref="D26">
    <cfRule type="containsText" dxfId="4112" priority="2202" stopIfTrue="1" operator="containsText" text="خارجية">
      <formula>NOT(ISERROR(SEARCH("خارجية",D26)))</formula>
    </cfRule>
    <cfRule type="containsText" dxfId="4111" priority="2203" stopIfTrue="1" operator="containsText" text="ن داخلية">
      <formula>NOT(ISERROR(SEARCH("ن داخلية",D26)))</formula>
    </cfRule>
    <cfRule type="containsText" dxfId="4110" priority="2204" stopIfTrue="1" operator="containsText" text="داخلية">
      <formula>NOT(ISERROR(SEARCH("داخلية",D26)))</formula>
    </cfRule>
    <cfRule type="containsText" dxfId="4109" priority="2205" stopIfTrue="1" operator="containsText" text="ن داخلية">
      <formula>NOT(ISERROR(SEARCH("ن داخلية",D26)))</formula>
    </cfRule>
    <cfRule type="containsText" dxfId="4108" priority="2206" stopIfTrue="1" operator="containsText" text="داخلية">
      <formula>NOT(ISERROR(SEARCH("داخلية",D26)))</formula>
    </cfRule>
    <cfRule type="cellIs" dxfId="4107" priority="2207" stopIfTrue="1" operator="equal">
      <formula>"ن داخلي"</formula>
    </cfRule>
    <cfRule type="cellIs" dxfId="4106" priority="2208" stopIfTrue="1" operator="equal">
      <formula>"ن داخلية"</formula>
    </cfRule>
    <cfRule type="cellIs" dxfId="4105" priority="2209" stopIfTrue="1" operator="equal">
      <formula>#REF!</formula>
    </cfRule>
    <cfRule type="cellIs" dxfId="4104" priority="2210" stopIfTrue="1" operator="equal">
      <formula>#REF!</formula>
    </cfRule>
    <cfRule type="cellIs" dxfId="4103" priority="2211" stopIfTrue="1" operator="equal">
      <formula>#REF!</formula>
    </cfRule>
    <cfRule type="cellIs" dxfId="4102" priority="2212" stopIfTrue="1" operator="equal">
      <formula>#REF!</formula>
    </cfRule>
    <cfRule type="cellIs" dxfId="4101" priority="2213" stopIfTrue="1" operator="equal">
      <formula>"داخلية"</formula>
    </cfRule>
  </conditionalFormatting>
  <conditionalFormatting sqref="D26">
    <cfRule type="containsText" dxfId="4100" priority="2200" stopIfTrue="1" operator="containsText" text="خارجية">
      <formula>NOT(ISERROR(SEARCH("خارجية",D26)))</formula>
    </cfRule>
    <cfRule type="containsText" dxfId="4099" priority="2201" stopIfTrue="1" operator="containsText" text="خارجي">
      <formula>NOT(ISERROR(SEARCH("خارجي",D26)))</formula>
    </cfRule>
  </conditionalFormatting>
  <conditionalFormatting sqref="D26">
    <cfRule type="expression" dxfId="4098" priority="2199" stopIfTrue="1">
      <formula>#REF!=""</formula>
    </cfRule>
  </conditionalFormatting>
  <conditionalFormatting sqref="D26">
    <cfRule type="expression" dxfId="4097" priority="2198" stopIfTrue="1">
      <formula>#REF!=""</formula>
    </cfRule>
  </conditionalFormatting>
  <conditionalFormatting sqref="D26">
    <cfRule type="containsText" dxfId="4096" priority="2186" stopIfTrue="1" operator="containsText" text="خارجية">
      <formula>NOT(ISERROR(SEARCH("خارجية",D26)))</formula>
    </cfRule>
    <cfRule type="containsText" dxfId="4095" priority="2187" stopIfTrue="1" operator="containsText" text="ن داخلية">
      <formula>NOT(ISERROR(SEARCH("ن داخلية",D26)))</formula>
    </cfRule>
    <cfRule type="containsText" dxfId="4094" priority="2188" stopIfTrue="1" operator="containsText" text="داخلية">
      <formula>NOT(ISERROR(SEARCH("داخلية",D26)))</formula>
    </cfRule>
    <cfRule type="containsText" dxfId="4093" priority="2189" stopIfTrue="1" operator="containsText" text="ن داخلية">
      <formula>NOT(ISERROR(SEARCH("ن داخلية",D26)))</formula>
    </cfRule>
    <cfRule type="containsText" dxfId="4092" priority="2190" stopIfTrue="1" operator="containsText" text="داخلية">
      <formula>NOT(ISERROR(SEARCH("داخلية",D26)))</formula>
    </cfRule>
    <cfRule type="cellIs" dxfId="4091" priority="2191" stopIfTrue="1" operator="equal">
      <formula>"ن داخلي"</formula>
    </cfRule>
    <cfRule type="cellIs" dxfId="4090" priority="2192" stopIfTrue="1" operator="equal">
      <formula>"ن داخلية"</formula>
    </cfRule>
    <cfRule type="cellIs" dxfId="4089" priority="2193" stopIfTrue="1" operator="equal">
      <formula>#REF!</formula>
    </cfRule>
    <cfRule type="cellIs" dxfId="4088" priority="2194" stopIfTrue="1" operator="equal">
      <formula>#REF!</formula>
    </cfRule>
    <cfRule type="cellIs" dxfId="4087" priority="2195" stopIfTrue="1" operator="equal">
      <formula>#REF!</formula>
    </cfRule>
    <cfRule type="cellIs" dxfId="4086" priority="2196" stopIfTrue="1" operator="equal">
      <formula>#REF!</formula>
    </cfRule>
    <cfRule type="cellIs" dxfId="4085" priority="2197" stopIfTrue="1" operator="equal">
      <formula>"داخلية"</formula>
    </cfRule>
  </conditionalFormatting>
  <conditionalFormatting sqref="D26">
    <cfRule type="containsText" dxfId="4084" priority="2184" stopIfTrue="1" operator="containsText" text="خارجية">
      <formula>NOT(ISERROR(SEARCH("خارجية",D26)))</formula>
    </cfRule>
    <cfRule type="containsText" dxfId="4083" priority="2185" stopIfTrue="1" operator="containsText" text="خارجي">
      <formula>NOT(ISERROR(SEARCH("خارجي",D26)))</formula>
    </cfRule>
  </conditionalFormatting>
  <conditionalFormatting sqref="D26">
    <cfRule type="expression" dxfId="4082" priority="2183" stopIfTrue="1">
      <formula>#REF!=""</formula>
    </cfRule>
  </conditionalFormatting>
  <conditionalFormatting sqref="D26">
    <cfRule type="expression" dxfId="4081" priority="2182" stopIfTrue="1">
      <formula>#REF!=""</formula>
    </cfRule>
  </conditionalFormatting>
  <conditionalFormatting sqref="D26">
    <cfRule type="containsText" dxfId="4080" priority="2170" stopIfTrue="1" operator="containsText" text="خارجية">
      <formula>NOT(ISERROR(SEARCH("خارجية",D26)))</formula>
    </cfRule>
    <cfRule type="containsText" dxfId="4079" priority="2171" stopIfTrue="1" operator="containsText" text="ن داخلية">
      <formula>NOT(ISERROR(SEARCH("ن داخلية",D26)))</formula>
    </cfRule>
    <cfRule type="containsText" dxfId="4078" priority="2172" stopIfTrue="1" operator="containsText" text="داخلية">
      <formula>NOT(ISERROR(SEARCH("داخلية",D26)))</formula>
    </cfRule>
    <cfRule type="containsText" dxfId="4077" priority="2173" stopIfTrue="1" operator="containsText" text="ن داخلية">
      <formula>NOT(ISERROR(SEARCH("ن داخلية",D26)))</formula>
    </cfRule>
    <cfRule type="containsText" dxfId="4076" priority="2174" stopIfTrue="1" operator="containsText" text="داخلية">
      <formula>NOT(ISERROR(SEARCH("داخلية",D26)))</formula>
    </cfRule>
    <cfRule type="cellIs" dxfId="4075" priority="2175" stopIfTrue="1" operator="equal">
      <formula>"ن داخلي"</formula>
    </cfRule>
    <cfRule type="cellIs" dxfId="4074" priority="2176" stopIfTrue="1" operator="equal">
      <formula>"ن داخلية"</formula>
    </cfRule>
    <cfRule type="cellIs" dxfId="4073" priority="2177" stopIfTrue="1" operator="equal">
      <formula>#REF!</formula>
    </cfRule>
    <cfRule type="cellIs" dxfId="4072" priority="2178" stopIfTrue="1" operator="equal">
      <formula>#REF!</formula>
    </cfRule>
    <cfRule type="cellIs" dxfId="4071" priority="2179" stopIfTrue="1" operator="equal">
      <formula>#REF!</formula>
    </cfRule>
    <cfRule type="cellIs" dxfId="4070" priority="2180" stopIfTrue="1" operator="equal">
      <formula>#REF!</formula>
    </cfRule>
    <cfRule type="cellIs" dxfId="4069" priority="2181" stopIfTrue="1" operator="equal">
      <formula>"داخلية"</formula>
    </cfRule>
  </conditionalFormatting>
  <conditionalFormatting sqref="D26">
    <cfRule type="containsText" dxfId="4068" priority="2168" stopIfTrue="1" operator="containsText" text="خارجية">
      <formula>NOT(ISERROR(SEARCH("خارجية",D26)))</formula>
    </cfRule>
    <cfRule type="containsText" dxfId="4067" priority="2169" stopIfTrue="1" operator="containsText" text="خارجي">
      <formula>NOT(ISERROR(SEARCH("خارجي",D26)))</formula>
    </cfRule>
  </conditionalFormatting>
  <conditionalFormatting sqref="D26">
    <cfRule type="expression" dxfId="4066" priority="2167" stopIfTrue="1">
      <formula>#REF!=""</formula>
    </cfRule>
  </conditionalFormatting>
  <conditionalFormatting sqref="D26">
    <cfRule type="containsText" dxfId="4065" priority="2165" stopIfTrue="1" operator="containsText" text="خارجية">
      <formula>NOT(ISERROR(SEARCH("خارجية",D26)))</formula>
    </cfRule>
    <cfRule type="containsText" dxfId="4064" priority="2166" stopIfTrue="1" operator="containsText" text="خارجي">
      <formula>NOT(ISERROR(SEARCH("خارجي",D26)))</formula>
    </cfRule>
  </conditionalFormatting>
  <conditionalFormatting sqref="D26">
    <cfRule type="containsText" dxfId="4063" priority="2153" stopIfTrue="1" operator="containsText" text="خارجية">
      <formula>NOT(ISERROR(SEARCH("خارجية",D26)))</formula>
    </cfRule>
    <cfRule type="containsText" dxfId="4062" priority="2154" stopIfTrue="1" operator="containsText" text="ن داخلية">
      <formula>NOT(ISERROR(SEARCH("ن داخلية",D26)))</formula>
    </cfRule>
    <cfRule type="containsText" dxfId="4061" priority="2155" stopIfTrue="1" operator="containsText" text="داخلية">
      <formula>NOT(ISERROR(SEARCH("داخلية",D26)))</formula>
    </cfRule>
    <cfRule type="containsText" dxfId="4060" priority="2156" stopIfTrue="1" operator="containsText" text="ن داخلية">
      <formula>NOT(ISERROR(SEARCH("ن داخلية",D26)))</formula>
    </cfRule>
    <cfRule type="containsText" dxfId="4059" priority="2157" stopIfTrue="1" operator="containsText" text="داخلية">
      <formula>NOT(ISERROR(SEARCH("داخلية",D26)))</formula>
    </cfRule>
    <cfRule type="cellIs" dxfId="4058" priority="2158" stopIfTrue="1" operator="equal">
      <formula>"ن داخلي"</formula>
    </cfRule>
    <cfRule type="cellIs" dxfId="4057" priority="2159" stopIfTrue="1" operator="equal">
      <formula>"ن داخلية"</formula>
    </cfRule>
    <cfRule type="cellIs" dxfId="4056" priority="2160" stopIfTrue="1" operator="equal">
      <formula>#REF!</formula>
    </cfRule>
    <cfRule type="cellIs" dxfId="4055" priority="2161" stopIfTrue="1" operator="equal">
      <formula>#REF!</formula>
    </cfRule>
    <cfRule type="cellIs" dxfId="4054" priority="2162" stopIfTrue="1" operator="equal">
      <formula>#REF!</formula>
    </cfRule>
    <cfRule type="cellIs" dxfId="4053" priority="2163" stopIfTrue="1" operator="equal">
      <formula>#REF!</formula>
    </cfRule>
    <cfRule type="cellIs" dxfId="4052" priority="2164" stopIfTrue="1" operator="equal">
      <formula>"داخلية"</formula>
    </cfRule>
  </conditionalFormatting>
  <conditionalFormatting sqref="B27:C27 E27:F27">
    <cfRule type="expression" dxfId="4051" priority="2152" stopIfTrue="1">
      <formula>#REF!=""</formula>
    </cfRule>
  </conditionalFormatting>
  <conditionalFormatting sqref="F27">
    <cfRule type="containsText" dxfId="4050" priority="2140" stopIfTrue="1" operator="containsText" text="خارجية">
      <formula>NOT(ISERROR(SEARCH("خارجية",F27)))</formula>
    </cfRule>
    <cfRule type="containsText" dxfId="4049" priority="2141" stopIfTrue="1" operator="containsText" text="ن داخلية">
      <formula>NOT(ISERROR(SEARCH("ن داخلية",F27)))</formula>
    </cfRule>
    <cfRule type="containsText" dxfId="4048" priority="2142" stopIfTrue="1" operator="containsText" text="داخلية">
      <formula>NOT(ISERROR(SEARCH("داخلية",F27)))</formula>
    </cfRule>
    <cfRule type="containsText" dxfId="4047" priority="2143" stopIfTrue="1" operator="containsText" text="ن داخلية">
      <formula>NOT(ISERROR(SEARCH("ن داخلية",F27)))</formula>
    </cfRule>
    <cfRule type="containsText" dxfId="4046" priority="2144" stopIfTrue="1" operator="containsText" text="داخلية">
      <formula>NOT(ISERROR(SEARCH("داخلية",F27)))</formula>
    </cfRule>
    <cfRule type="cellIs" dxfId="4045" priority="2145" stopIfTrue="1" operator="equal">
      <formula>"ن داخلي"</formula>
    </cfRule>
    <cfRule type="cellIs" dxfId="4044" priority="2146" stopIfTrue="1" operator="equal">
      <formula>"ن داخلية"</formula>
    </cfRule>
    <cfRule type="cellIs" dxfId="4043" priority="2147" stopIfTrue="1" operator="equal">
      <formula>#REF!</formula>
    </cfRule>
    <cfRule type="cellIs" dxfId="4042" priority="2148" stopIfTrue="1" operator="equal">
      <formula>#REF!</formula>
    </cfRule>
    <cfRule type="cellIs" dxfId="4041" priority="2149" stopIfTrue="1" operator="equal">
      <formula>#REF!</formula>
    </cfRule>
    <cfRule type="cellIs" dxfId="4040" priority="2150" stopIfTrue="1" operator="equal">
      <formula>#REF!</formula>
    </cfRule>
    <cfRule type="cellIs" dxfId="4039" priority="2151" stopIfTrue="1" operator="equal">
      <formula>"داخلية"</formula>
    </cfRule>
  </conditionalFormatting>
  <conditionalFormatting sqref="F27">
    <cfRule type="containsText" dxfId="4038" priority="2138" stopIfTrue="1" operator="containsText" text="خارجية">
      <formula>NOT(ISERROR(SEARCH("خارجية",F27)))</formula>
    </cfRule>
    <cfRule type="containsText" dxfId="4037" priority="2139" stopIfTrue="1" operator="containsText" text="خارجي">
      <formula>NOT(ISERROR(SEARCH("خارجي",F27)))</formula>
    </cfRule>
  </conditionalFormatting>
  <conditionalFormatting sqref="B27:C27 E27:F27">
    <cfRule type="expression" dxfId="4036" priority="2137" stopIfTrue="1">
      <formula>#REF!=""</formula>
    </cfRule>
  </conditionalFormatting>
  <conditionalFormatting sqref="B27:C27 E27:F27">
    <cfRule type="expression" dxfId="4035" priority="2136" stopIfTrue="1">
      <formula>#REF!=""</formula>
    </cfRule>
  </conditionalFormatting>
  <conditionalFormatting sqref="F27">
    <cfRule type="containsText" dxfId="4034" priority="2124" stopIfTrue="1" operator="containsText" text="خارجية">
      <formula>NOT(ISERROR(SEARCH("خارجية",F27)))</formula>
    </cfRule>
    <cfRule type="containsText" dxfId="4033" priority="2125" stopIfTrue="1" operator="containsText" text="ن داخلية">
      <formula>NOT(ISERROR(SEARCH("ن داخلية",F27)))</formula>
    </cfRule>
    <cfRule type="containsText" dxfId="4032" priority="2126" stopIfTrue="1" operator="containsText" text="داخلية">
      <formula>NOT(ISERROR(SEARCH("داخلية",F27)))</formula>
    </cfRule>
    <cfRule type="containsText" dxfId="4031" priority="2127" stopIfTrue="1" operator="containsText" text="ن داخلية">
      <formula>NOT(ISERROR(SEARCH("ن داخلية",F27)))</formula>
    </cfRule>
    <cfRule type="containsText" dxfId="4030" priority="2128" stopIfTrue="1" operator="containsText" text="داخلية">
      <formula>NOT(ISERROR(SEARCH("داخلية",F27)))</formula>
    </cfRule>
    <cfRule type="cellIs" dxfId="4029" priority="2129" stopIfTrue="1" operator="equal">
      <formula>"ن داخلي"</formula>
    </cfRule>
    <cfRule type="cellIs" dxfId="4028" priority="2130" stopIfTrue="1" operator="equal">
      <formula>"ن داخلية"</formula>
    </cfRule>
    <cfRule type="cellIs" dxfId="4027" priority="2131" stopIfTrue="1" operator="equal">
      <formula>#REF!</formula>
    </cfRule>
    <cfRule type="cellIs" dxfId="4026" priority="2132" stopIfTrue="1" operator="equal">
      <formula>#REF!</formula>
    </cfRule>
    <cfRule type="cellIs" dxfId="4025" priority="2133" stopIfTrue="1" operator="equal">
      <formula>#REF!</formula>
    </cfRule>
    <cfRule type="cellIs" dxfId="4024" priority="2134" stopIfTrue="1" operator="equal">
      <formula>#REF!</formula>
    </cfRule>
    <cfRule type="cellIs" dxfId="4023" priority="2135" stopIfTrue="1" operator="equal">
      <formula>"داخلية"</formula>
    </cfRule>
  </conditionalFormatting>
  <conditionalFormatting sqref="F27">
    <cfRule type="containsText" dxfId="4022" priority="2122" stopIfTrue="1" operator="containsText" text="خارجية">
      <formula>NOT(ISERROR(SEARCH("خارجية",F27)))</formula>
    </cfRule>
    <cfRule type="containsText" dxfId="4021" priority="2123" stopIfTrue="1" operator="containsText" text="خارجي">
      <formula>NOT(ISERROR(SEARCH("خارجي",F27)))</formula>
    </cfRule>
  </conditionalFormatting>
  <conditionalFormatting sqref="B27:C27 E27:F27">
    <cfRule type="expression" dxfId="4020" priority="2121" stopIfTrue="1">
      <formula>#REF!=""</formula>
    </cfRule>
  </conditionalFormatting>
  <conditionalFormatting sqref="B27:E27">
    <cfRule type="expression" dxfId="4019" priority="2120" stopIfTrue="1">
      <formula>#REF!=""</formula>
    </cfRule>
  </conditionalFormatting>
  <conditionalFormatting sqref="F27">
    <cfRule type="containsText" dxfId="4018" priority="2118" stopIfTrue="1" operator="containsText" text="خارجية">
      <formula>NOT(ISERROR(SEARCH("خارجية",F27)))</formula>
    </cfRule>
    <cfRule type="containsText" dxfId="4017" priority="2119" stopIfTrue="1" operator="containsText" text="خارجي">
      <formula>NOT(ISERROR(SEARCH("خارجي",F27)))</formula>
    </cfRule>
  </conditionalFormatting>
  <conditionalFormatting sqref="F27">
    <cfRule type="containsText" dxfId="4016" priority="2106" stopIfTrue="1" operator="containsText" text="خارجية">
      <formula>NOT(ISERROR(SEARCH("خارجية",F27)))</formula>
    </cfRule>
    <cfRule type="containsText" dxfId="4015" priority="2107" stopIfTrue="1" operator="containsText" text="ن داخلية">
      <formula>NOT(ISERROR(SEARCH("ن داخلية",F27)))</formula>
    </cfRule>
    <cfRule type="containsText" dxfId="4014" priority="2108" stopIfTrue="1" operator="containsText" text="داخلية">
      <formula>NOT(ISERROR(SEARCH("داخلية",F27)))</formula>
    </cfRule>
    <cfRule type="containsText" dxfId="4013" priority="2109" stopIfTrue="1" operator="containsText" text="ن داخلية">
      <formula>NOT(ISERROR(SEARCH("ن داخلية",F27)))</formula>
    </cfRule>
    <cfRule type="containsText" dxfId="4012" priority="2110" stopIfTrue="1" operator="containsText" text="داخلية">
      <formula>NOT(ISERROR(SEARCH("داخلية",F27)))</formula>
    </cfRule>
    <cfRule type="cellIs" dxfId="4011" priority="2111" stopIfTrue="1" operator="equal">
      <formula>"ن داخلي"</formula>
    </cfRule>
    <cfRule type="cellIs" dxfId="4010" priority="2112" stopIfTrue="1" operator="equal">
      <formula>"ن داخلية"</formula>
    </cfRule>
    <cfRule type="cellIs" dxfId="4009" priority="2113" stopIfTrue="1" operator="equal">
      <formula>#REF!</formula>
    </cfRule>
    <cfRule type="cellIs" dxfId="4008" priority="2114" stopIfTrue="1" operator="equal">
      <formula>#REF!</formula>
    </cfRule>
    <cfRule type="cellIs" dxfId="4007" priority="2115" stopIfTrue="1" operator="equal">
      <formula>#REF!</formula>
    </cfRule>
    <cfRule type="cellIs" dxfId="4006" priority="2116" stopIfTrue="1" operator="equal">
      <formula>#REF!</formula>
    </cfRule>
    <cfRule type="cellIs" dxfId="4005" priority="2117" stopIfTrue="1" operator="equal">
      <formula>"داخلية"</formula>
    </cfRule>
  </conditionalFormatting>
  <conditionalFormatting sqref="B27:E27">
    <cfRule type="expression" dxfId="4004" priority="2105" stopIfTrue="1">
      <formula>#REF!=""</formula>
    </cfRule>
  </conditionalFormatting>
  <conditionalFormatting sqref="F27">
    <cfRule type="containsText" dxfId="4003" priority="2093" stopIfTrue="1" operator="containsText" text="خارجية">
      <formula>NOT(ISERROR(SEARCH("خارجية",F27)))</formula>
    </cfRule>
    <cfRule type="containsText" dxfId="4002" priority="2094" stopIfTrue="1" operator="containsText" text="ن داخلية">
      <formula>NOT(ISERROR(SEARCH("ن داخلية",F27)))</formula>
    </cfRule>
    <cfRule type="containsText" dxfId="4001" priority="2095" stopIfTrue="1" operator="containsText" text="داخلية">
      <formula>NOT(ISERROR(SEARCH("داخلية",F27)))</formula>
    </cfRule>
    <cfRule type="containsText" dxfId="4000" priority="2096" stopIfTrue="1" operator="containsText" text="ن داخلية">
      <formula>NOT(ISERROR(SEARCH("ن داخلية",F27)))</formula>
    </cfRule>
    <cfRule type="containsText" dxfId="3999" priority="2097" stopIfTrue="1" operator="containsText" text="داخلية">
      <formula>NOT(ISERROR(SEARCH("داخلية",F27)))</formula>
    </cfRule>
    <cfRule type="cellIs" dxfId="3998" priority="2098" stopIfTrue="1" operator="equal">
      <formula>"ن داخلي"</formula>
    </cfRule>
    <cfRule type="cellIs" dxfId="3997" priority="2099" stopIfTrue="1" operator="equal">
      <formula>"ن داخلية"</formula>
    </cfRule>
    <cfRule type="cellIs" dxfId="3996" priority="2100" stopIfTrue="1" operator="equal">
      <formula>#REF!</formula>
    </cfRule>
    <cfRule type="cellIs" dxfId="3995" priority="2101" stopIfTrue="1" operator="equal">
      <formula>#REF!</formula>
    </cfRule>
    <cfRule type="cellIs" dxfId="3994" priority="2102" stopIfTrue="1" operator="equal">
      <formula>#REF!</formula>
    </cfRule>
    <cfRule type="cellIs" dxfId="3993" priority="2103" stopIfTrue="1" operator="equal">
      <formula>#REF!</formula>
    </cfRule>
    <cfRule type="cellIs" dxfId="3992" priority="2104" stopIfTrue="1" operator="equal">
      <formula>"داخلية"</formula>
    </cfRule>
  </conditionalFormatting>
  <conditionalFormatting sqref="F27">
    <cfRule type="containsText" dxfId="3991" priority="2091" stopIfTrue="1" operator="containsText" text="خارجية">
      <formula>NOT(ISERROR(SEARCH("خارجية",F27)))</formula>
    </cfRule>
    <cfRule type="containsText" dxfId="3990" priority="2092" stopIfTrue="1" operator="containsText" text="خارجي">
      <formula>NOT(ISERROR(SEARCH("خارجي",F27)))</formula>
    </cfRule>
  </conditionalFormatting>
  <conditionalFormatting sqref="B27:E27">
    <cfRule type="expression" dxfId="3989" priority="2090" stopIfTrue="1">
      <formula>#REF!=""</formula>
    </cfRule>
  </conditionalFormatting>
  <conditionalFormatting sqref="F27">
    <cfRule type="containsText" dxfId="3988" priority="2078" stopIfTrue="1" operator="containsText" text="خارجية">
      <formula>NOT(ISERROR(SEARCH("خارجية",F27)))</formula>
    </cfRule>
    <cfRule type="containsText" dxfId="3987" priority="2079" stopIfTrue="1" operator="containsText" text="ن داخلية">
      <formula>NOT(ISERROR(SEARCH("ن داخلية",F27)))</formula>
    </cfRule>
    <cfRule type="containsText" dxfId="3986" priority="2080" stopIfTrue="1" operator="containsText" text="داخلية">
      <formula>NOT(ISERROR(SEARCH("داخلية",F27)))</formula>
    </cfRule>
    <cfRule type="containsText" dxfId="3985" priority="2081" stopIfTrue="1" operator="containsText" text="ن داخلية">
      <formula>NOT(ISERROR(SEARCH("ن داخلية",F27)))</formula>
    </cfRule>
    <cfRule type="containsText" dxfId="3984" priority="2082" stopIfTrue="1" operator="containsText" text="داخلية">
      <formula>NOT(ISERROR(SEARCH("داخلية",F27)))</formula>
    </cfRule>
    <cfRule type="cellIs" dxfId="3983" priority="2083" stopIfTrue="1" operator="equal">
      <formula>"ن داخلي"</formula>
    </cfRule>
    <cfRule type="cellIs" dxfId="3982" priority="2084" stopIfTrue="1" operator="equal">
      <formula>"ن داخلية"</formula>
    </cfRule>
    <cfRule type="cellIs" dxfId="3981" priority="2085" stopIfTrue="1" operator="equal">
      <formula>#REF!</formula>
    </cfRule>
    <cfRule type="cellIs" dxfId="3980" priority="2086" stopIfTrue="1" operator="equal">
      <formula>#REF!</formula>
    </cfRule>
    <cfRule type="cellIs" dxfId="3979" priority="2087" stopIfTrue="1" operator="equal">
      <formula>#REF!</formula>
    </cfRule>
    <cfRule type="cellIs" dxfId="3978" priority="2088" stopIfTrue="1" operator="equal">
      <formula>#REF!</formula>
    </cfRule>
    <cfRule type="cellIs" dxfId="3977" priority="2089" stopIfTrue="1" operator="equal">
      <formula>"داخلية"</formula>
    </cfRule>
  </conditionalFormatting>
  <conditionalFormatting sqref="F27">
    <cfRule type="containsText" dxfId="3976" priority="2076" stopIfTrue="1" operator="containsText" text="خارجية">
      <formula>NOT(ISERROR(SEARCH("خارجية",F27)))</formula>
    </cfRule>
    <cfRule type="containsText" dxfId="3975" priority="2077" stopIfTrue="1" operator="containsText" text="خارجي">
      <formula>NOT(ISERROR(SEARCH("خارجي",F27)))</formula>
    </cfRule>
  </conditionalFormatting>
  <conditionalFormatting sqref="F27">
    <cfRule type="expression" dxfId="3974" priority="2075" stopIfTrue="1">
      <formula>#REF!=""</formula>
    </cfRule>
  </conditionalFormatting>
  <conditionalFormatting sqref="F27">
    <cfRule type="expression" dxfId="3973" priority="2074" stopIfTrue="1">
      <formula>#REF!=""</formula>
    </cfRule>
  </conditionalFormatting>
  <conditionalFormatting sqref="F27">
    <cfRule type="containsText" dxfId="3972" priority="2072" stopIfTrue="1" operator="containsText" text="خارجية">
      <formula>NOT(ISERROR(SEARCH("خارجية",F27)))</formula>
    </cfRule>
    <cfRule type="containsText" dxfId="3971" priority="2073" stopIfTrue="1" operator="containsText" text="خارجي">
      <formula>NOT(ISERROR(SEARCH("خارجي",F27)))</formula>
    </cfRule>
  </conditionalFormatting>
  <conditionalFormatting sqref="F27">
    <cfRule type="containsText" dxfId="3970" priority="2060" stopIfTrue="1" operator="containsText" text="خارجية">
      <formula>NOT(ISERROR(SEARCH("خارجية",F27)))</formula>
    </cfRule>
    <cfRule type="containsText" dxfId="3969" priority="2061" stopIfTrue="1" operator="containsText" text="ن داخلية">
      <formula>NOT(ISERROR(SEARCH("ن داخلية",F27)))</formula>
    </cfRule>
    <cfRule type="containsText" dxfId="3968" priority="2062" stopIfTrue="1" operator="containsText" text="داخلية">
      <formula>NOT(ISERROR(SEARCH("داخلية",F27)))</formula>
    </cfRule>
    <cfRule type="containsText" dxfId="3967" priority="2063" stopIfTrue="1" operator="containsText" text="ن داخلية">
      <formula>NOT(ISERROR(SEARCH("ن داخلية",F27)))</formula>
    </cfRule>
    <cfRule type="containsText" dxfId="3966" priority="2064" stopIfTrue="1" operator="containsText" text="داخلية">
      <formula>NOT(ISERROR(SEARCH("داخلية",F27)))</formula>
    </cfRule>
    <cfRule type="cellIs" dxfId="3965" priority="2065" stopIfTrue="1" operator="equal">
      <formula>"ن داخلي"</formula>
    </cfRule>
    <cfRule type="cellIs" dxfId="3964" priority="2066" stopIfTrue="1" operator="equal">
      <formula>"ن داخلية"</formula>
    </cfRule>
    <cfRule type="cellIs" dxfId="3963" priority="2067" stopIfTrue="1" operator="equal">
      <formula>#REF!</formula>
    </cfRule>
    <cfRule type="cellIs" dxfId="3962" priority="2068" stopIfTrue="1" operator="equal">
      <formula>#REF!</formula>
    </cfRule>
    <cfRule type="cellIs" dxfId="3961" priority="2069" stopIfTrue="1" operator="equal">
      <formula>#REF!</formula>
    </cfRule>
    <cfRule type="cellIs" dxfId="3960" priority="2070" stopIfTrue="1" operator="equal">
      <formula>#REF!</formula>
    </cfRule>
    <cfRule type="cellIs" dxfId="3959" priority="2071" stopIfTrue="1" operator="equal">
      <formula>"داخلية"</formula>
    </cfRule>
  </conditionalFormatting>
  <conditionalFormatting sqref="B27:E27">
    <cfRule type="expression" dxfId="3958" priority="2059" stopIfTrue="1">
      <formula>#REF!=""</formula>
    </cfRule>
  </conditionalFormatting>
  <conditionalFormatting sqref="F27">
    <cfRule type="containsText" dxfId="3957" priority="2047" stopIfTrue="1" operator="containsText" text="خارجية">
      <formula>NOT(ISERROR(SEARCH("خارجية",F27)))</formula>
    </cfRule>
    <cfRule type="containsText" dxfId="3956" priority="2048" stopIfTrue="1" operator="containsText" text="ن داخلية">
      <formula>NOT(ISERROR(SEARCH("ن داخلية",F27)))</formula>
    </cfRule>
    <cfRule type="containsText" dxfId="3955" priority="2049" stopIfTrue="1" operator="containsText" text="داخلية">
      <formula>NOT(ISERROR(SEARCH("داخلية",F27)))</formula>
    </cfRule>
    <cfRule type="containsText" dxfId="3954" priority="2050" stopIfTrue="1" operator="containsText" text="ن داخلية">
      <formula>NOT(ISERROR(SEARCH("ن داخلية",F27)))</formula>
    </cfRule>
    <cfRule type="containsText" dxfId="3953" priority="2051" stopIfTrue="1" operator="containsText" text="داخلية">
      <formula>NOT(ISERROR(SEARCH("داخلية",F27)))</formula>
    </cfRule>
    <cfRule type="cellIs" dxfId="3952" priority="2052" stopIfTrue="1" operator="equal">
      <formula>"ن داخلي"</formula>
    </cfRule>
    <cfRule type="cellIs" dxfId="3951" priority="2053" stopIfTrue="1" operator="equal">
      <formula>"ن داخلية"</formula>
    </cfRule>
    <cfRule type="cellIs" dxfId="3950" priority="2054" stopIfTrue="1" operator="equal">
      <formula>#REF!</formula>
    </cfRule>
    <cfRule type="cellIs" dxfId="3949" priority="2055" stopIfTrue="1" operator="equal">
      <formula>#REF!</formula>
    </cfRule>
    <cfRule type="cellIs" dxfId="3948" priority="2056" stopIfTrue="1" operator="equal">
      <formula>#REF!</formula>
    </cfRule>
    <cfRule type="cellIs" dxfId="3947" priority="2057" stopIfTrue="1" operator="equal">
      <formula>#REF!</formula>
    </cfRule>
    <cfRule type="cellIs" dxfId="3946" priority="2058" stopIfTrue="1" operator="equal">
      <formula>"داخلية"</formula>
    </cfRule>
  </conditionalFormatting>
  <conditionalFormatting sqref="F27">
    <cfRule type="containsText" dxfId="3945" priority="2045" stopIfTrue="1" operator="containsText" text="خارجية">
      <formula>NOT(ISERROR(SEARCH("خارجية",F27)))</formula>
    </cfRule>
    <cfRule type="containsText" dxfId="3944" priority="2046" stopIfTrue="1" operator="containsText" text="خارجي">
      <formula>NOT(ISERROR(SEARCH("خارجي",F27)))</formula>
    </cfRule>
  </conditionalFormatting>
  <conditionalFormatting sqref="F27">
    <cfRule type="containsText" dxfId="3943" priority="2043" stopIfTrue="1" operator="containsText" text="خارجية">
      <formula>NOT(ISERROR(SEARCH("خارجية",F27)))</formula>
    </cfRule>
    <cfRule type="containsText" dxfId="3942" priority="2044" stopIfTrue="1" operator="containsText" text="خارجي">
      <formula>NOT(ISERROR(SEARCH("خارجي",F27)))</formula>
    </cfRule>
  </conditionalFormatting>
  <conditionalFormatting sqref="F27">
    <cfRule type="containsText" dxfId="3941" priority="2031" stopIfTrue="1" operator="containsText" text="خارجية">
      <formula>NOT(ISERROR(SEARCH("خارجية",F27)))</formula>
    </cfRule>
    <cfRule type="containsText" dxfId="3940" priority="2032" stopIfTrue="1" operator="containsText" text="ن داخلية">
      <formula>NOT(ISERROR(SEARCH("ن داخلية",F27)))</formula>
    </cfRule>
    <cfRule type="containsText" dxfId="3939" priority="2033" stopIfTrue="1" operator="containsText" text="داخلية">
      <formula>NOT(ISERROR(SEARCH("داخلية",F27)))</formula>
    </cfRule>
    <cfRule type="containsText" dxfId="3938" priority="2034" stopIfTrue="1" operator="containsText" text="ن داخلية">
      <formula>NOT(ISERROR(SEARCH("ن داخلية",F27)))</formula>
    </cfRule>
    <cfRule type="containsText" dxfId="3937" priority="2035" stopIfTrue="1" operator="containsText" text="داخلية">
      <formula>NOT(ISERROR(SEARCH("داخلية",F27)))</formula>
    </cfRule>
    <cfRule type="cellIs" dxfId="3936" priority="2036" stopIfTrue="1" operator="equal">
      <formula>"ن داخلي"</formula>
    </cfRule>
    <cfRule type="cellIs" dxfId="3935" priority="2037" stopIfTrue="1" operator="equal">
      <formula>"ن داخلية"</formula>
    </cfRule>
    <cfRule type="cellIs" dxfId="3934" priority="2038" stopIfTrue="1" operator="equal">
      <formula>#REF!</formula>
    </cfRule>
    <cfRule type="cellIs" dxfId="3933" priority="2039" stopIfTrue="1" operator="equal">
      <formula>#REF!</formula>
    </cfRule>
    <cfRule type="cellIs" dxfId="3932" priority="2040" stopIfTrue="1" operator="equal">
      <formula>#REF!</formula>
    </cfRule>
    <cfRule type="cellIs" dxfId="3931" priority="2041" stopIfTrue="1" operator="equal">
      <formula>#REF!</formula>
    </cfRule>
    <cfRule type="cellIs" dxfId="3930" priority="2042" stopIfTrue="1" operator="equal">
      <formula>"داخلية"</formula>
    </cfRule>
  </conditionalFormatting>
  <conditionalFormatting sqref="E27:F27">
    <cfRule type="expression" dxfId="3929" priority="2030" stopIfTrue="1">
      <formula>#REF!=""</formula>
    </cfRule>
  </conditionalFormatting>
  <conditionalFormatting sqref="F27">
    <cfRule type="containsText" dxfId="3928" priority="2018" stopIfTrue="1" operator="containsText" text="خارجية">
      <formula>NOT(ISERROR(SEARCH("خارجية",F27)))</formula>
    </cfRule>
    <cfRule type="containsText" dxfId="3927" priority="2019" stopIfTrue="1" operator="containsText" text="ن داخلية">
      <formula>NOT(ISERROR(SEARCH("ن داخلية",F27)))</formula>
    </cfRule>
    <cfRule type="containsText" dxfId="3926" priority="2020" stopIfTrue="1" operator="containsText" text="داخلية">
      <formula>NOT(ISERROR(SEARCH("داخلية",F27)))</formula>
    </cfRule>
    <cfRule type="containsText" dxfId="3925" priority="2021" stopIfTrue="1" operator="containsText" text="ن داخلية">
      <formula>NOT(ISERROR(SEARCH("ن داخلية",F27)))</formula>
    </cfRule>
    <cfRule type="containsText" dxfId="3924" priority="2022" stopIfTrue="1" operator="containsText" text="داخلية">
      <formula>NOT(ISERROR(SEARCH("داخلية",F27)))</formula>
    </cfRule>
    <cfRule type="cellIs" dxfId="3923" priority="2023" stopIfTrue="1" operator="equal">
      <formula>"ن داخلي"</formula>
    </cfRule>
    <cfRule type="cellIs" dxfId="3922" priority="2024" stopIfTrue="1" operator="equal">
      <formula>"ن داخلية"</formula>
    </cfRule>
    <cfRule type="cellIs" dxfId="3921" priority="2025" stopIfTrue="1" operator="equal">
      <formula>#REF!</formula>
    </cfRule>
    <cfRule type="cellIs" dxfId="3920" priority="2026" stopIfTrue="1" operator="equal">
      <formula>#REF!</formula>
    </cfRule>
    <cfRule type="cellIs" dxfId="3919" priority="2027" stopIfTrue="1" operator="equal">
      <formula>#REF!</formula>
    </cfRule>
    <cfRule type="cellIs" dxfId="3918" priority="2028" stopIfTrue="1" operator="equal">
      <formula>#REF!</formula>
    </cfRule>
    <cfRule type="cellIs" dxfId="3917" priority="2029" stopIfTrue="1" operator="equal">
      <formula>"داخلية"</formula>
    </cfRule>
  </conditionalFormatting>
  <conditionalFormatting sqref="F27">
    <cfRule type="containsText" dxfId="3916" priority="2016" stopIfTrue="1" operator="containsText" text="خارجية">
      <formula>NOT(ISERROR(SEARCH("خارجية",F27)))</formula>
    </cfRule>
    <cfRule type="containsText" dxfId="3915" priority="2017" stopIfTrue="1" operator="containsText" text="خارجي">
      <formula>NOT(ISERROR(SEARCH("خارجي",F27)))</formula>
    </cfRule>
  </conditionalFormatting>
  <conditionalFormatting sqref="E27:F27">
    <cfRule type="expression" dxfId="3914" priority="2015" stopIfTrue="1">
      <formula>#REF!=""</formula>
    </cfRule>
  </conditionalFormatting>
  <conditionalFormatting sqref="F27">
    <cfRule type="containsText" dxfId="3913" priority="2013" stopIfTrue="1" operator="containsText" text="خارجية">
      <formula>NOT(ISERROR(SEARCH("خارجية",F27)))</formula>
    </cfRule>
    <cfRule type="containsText" dxfId="3912" priority="2014" stopIfTrue="1" operator="containsText" text="خارجي">
      <formula>NOT(ISERROR(SEARCH("خارجي",F27)))</formula>
    </cfRule>
  </conditionalFormatting>
  <conditionalFormatting sqref="F27">
    <cfRule type="containsText" dxfId="3911" priority="2001" stopIfTrue="1" operator="containsText" text="خارجية">
      <formula>NOT(ISERROR(SEARCH("خارجية",F27)))</formula>
    </cfRule>
    <cfRule type="containsText" dxfId="3910" priority="2002" stopIfTrue="1" operator="containsText" text="ن داخلية">
      <formula>NOT(ISERROR(SEARCH("ن داخلية",F27)))</formula>
    </cfRule>
    <cfRule type="containsText" dxfId="3909" priority="2003" stopIfTrue="1" operator="containsText" text="داخلية">
      <formula>NOT(ISERROR(SEARCH("داخلية",F27)))</formula>
    </cfRule>
    <cfRule type="containsText" dxfId="3908" priority="2004" stopIfTrue="1" operator="containsText" text="ن داخلية">
      <formula>NOT(ISERROR(SEARCH("ن داخلية",F27)))</formula>
    </cfRule>
    <cfRule type="containsText" dxfId="3907" priority="2005" stopIfTrue="1" operator="containsText" text="داخلية">
      <formula>NOT(ISERROR(SEARCH("داخلية",F27)))</formula>
    </cfRule>
    <cfRule type="cellIs" dxfId="3906" priority="2006" stopIfTrue="1" operator="equal">
      <formula>"ن داخلي"</formula>
    </cfRule>
    <cfRule type="cellIs" dxfId="3905" priority="2007" stopIfTrue="1" operator="equal">
      <formula>"ن داخلية"</formula>
    </cfRule>
    <cfRule type="cellIs" dxfId="3904" priority="2008" stopIfTrue="1" operator="equal">
      <formula>#REF!</formula>
    </cfRule>
    <cfRule type="cellIs" dxfId="3903" priority="2009" stopIfTrue="1" operator="equal">
      <formula>#REF!</formula>
    </cfRule>
    <cfRule type="cellIs" dxfId="3902" priority="2010" stopIfTrue="1" operator="equal">
      <formula>#REF!</formula>
    </cfRule>
    <cfRule type="cellIs" dxfId="3901" priority="2011" stopIfTrue="1" operator="equal">
      <formula>#REF!</formula>
    </cfRule>
    <cfRule type="cellIs" dxfId="3900" priority="2012" stopIfTrue="1" operator="equal">
      <formula>"داخلية"</formula>
    </cfRule>
  </conditionalFormatting>
  <conditionalFormatting sqref="E27">
    <cfRule type="expression" dxfId="3899" priority="2000" stopIfTrue="1">
      <formula>#REF!=""</formula>
    </cfRule>
  </conditionalFormatting>
  <conditionalFormatting sqref="D27">
    <cfRule type="containsText" dxfId="3898" priority="1988" stopIfTrue="1" operator="containsText" text="خارجية">
      <formula>NOT(ISERROR(SEARCH("خارجية",D27)))</formula>
    </cfRule>
    <cfRule type="containsText" dxfId="3897" priority="1989" stopIfTrue="1" operator="containsText" text="ن داخلية">
      <formula>NOT(ISERROR(SEARCH("ن داخلية",D27)))</formula>
    </cfRule>
    <cfRule type="containsText" dxfId="3896" priority="1990" stopIfTrue="1" operator="containsText" text="داخلية">
      <formula>NOT(ISERROR(SEARCH("داخلية",D27)))</formula>
    </cfRule>
    <cfRule type="containsText" dxfId="3895" priority="1991" stopIfTrue="1" operator="containsText" text="ن داخلية">
      <formula>NOT(ISERROR(SEARCH("ن داخلية",D27)))</formula>
    </cfRule>
    <cfRule type="containsText" dxfId="3894" priority="1992" stopIfTrue="1" operator="containsText" text="داخلية">
      <formula>NOT(ISERROR(SEARCH("داخلية",D27)))</formula>
    </cfRule>
    <cfRule type="cellIs" dxfId="3893" priority="1993" stopIfTrue="1" operator="equal">
      <formula>"ن داخلي"</formula>
    </cfRule>
    <cfRule type="cellIs" dxfId="3892" priority="1994" stopIfTrue="1" operator="equal">
      <formula>"ن داخلية"</formula>
    </cfRule>
    <cfRule type="cellIs" dxfId="3891" priority="1995" stopIfTrue="1" operator="equal">
      <formula>#REF!</formula>
    </cfRule>
    <cfRule type="cellIs" dxfId="3890" priority="1996" stopIfTrue="1" operator="equal">
      <formula>#REF!</formula>
    </cfRule>
    <cfRule type="cellIs" dxfId="3889" priority="1997" stopIfTrue="1" operator="equal">
      <formula>#REF!</formula>
    </cfRule>
    <cfRule type="cellIs" dxfId="3888" priority="1998" stopIfTrue="1" operator="equal">
      <formula>#REF!</formula>
    </cfRule>
    <cfRule type="cellIs" dxfId="3887" priority="1999" stopIfTrue="1" operator="equal">
      <formula>"داخلية"</formula>
    </cfRule>
  </conditionalFormatting>
  <conditionalFormatting sqref="D27">
    <cfRule type="cellIs" dxfId="3886" priority="1987" stopIfTrue="1" operator="greaterThan">
      <formula>"9.999"</formula>
    </cfRule>
  </conditionalFormatting>
  <conditionalFormatting sqref="D27:E27">
    <cfRule type="expression" dxfId="3885" priority="1986" stopIfTrue="1">
      <formula>#REF!=""</formula>
    </cfRule>
  </conditionalFormatting>
  <conditionalFormatting sqref="F27">
    <cfRule type="expression" dxfId="3884" priority="1985" stopIfTrue="1">
      <formula>#REF!=""</formula>
    </cfRule>
  </conditionalFormatting>
  <conditionalFormatting sqref="F27">
    <cfRule type="containsText" dxfId="3883" priority="1983" stopIfTrue="1" operator="containsText" text="خارجية">
      <formula>NOT(ISERROR(SEARCH("خارجية",F27)))</formula>
    </cfRule>
    <cfRule type="containsText" dxfId="3882" priority="1984" stopIfTrue="1" operator="containsText" text="خارجي">
      <formula>NOT(ISERROR(SEARCH("خارجي",F27)))</formula>
    </cfRule>
  </conditionalFormatting>
  <conditionalFormatting sqref="F27">
    <cfRule type="containsText" dxfId="3881" priority="1971" stopIfTrue="1" operator="containsText" text="خارجية">
      <formula>NOT(ISERROR(SEARCH("خارجية",F27)))</formula>
    </cfRule>
    <cfRule type="containsText" dxfId="3880" priority="1972" stopIfTrue="1" operator="containsText" text="ن داخلية">
      <formula>NOT(ISERROR(SEARCH("ن داخلية",F27)))</formula>
    </cfRule>
    <cfRule type="containsText" dxfId="3879" priority="1973" stopIfTrue="1" operator="containsText" text="داخلية">
      <formula>NOT(ISERROR(SEARCH("داخلية",F27)))</formula>
    </cfRule>
    <cfRule type="containsText" dxfId="3878" priority="1974" stopIfTrue="1" operator="containsText" text="ن داخلية">
      <formula>NOT(ISERROR(SEARCH("ن داخلية",F27)))</formula>
    </cfRule>
    <cfRule type="containsText" dxfId="3877" priority="1975" stopIfTrue="1" operator="containsText" text="داخلية">
      <formula>NOT(ISERROR(SEARCH("داخلية",F27)))</formula>
    </cfRule>
    <cfRule type="cellIs" dxfId="3876" priority="1976" stopIfTrue="1" operator="equal">
      <formula>"ن داخلي"</formula>
    </cfRule>
    <cfRule type="cellIs" dxfId="3875" priority="1977" stopIfTrue="1" operator="equal">
      <formula>"ن داخلية"</formula>
    </cfRule>
    <cfRule type="cellIs" dxfId="3874" priority="1978" stopIfTrue="1" operator="equal">
      <formula>#REF!</formula>
    </cfRule>
    <cfRule type="cellIs" dxfId="3873" priority="1979" stopIfTrue="1" operator="equal">
      <formula>#REF!</formula>
    </cfRule>
    <cfRule type="cellIs" dxfId="3872" priority="1980" stopIfTrue="1" operator="equal">
      <formula>#REF!</formula>
    </cfRule>
    <cfRule type="cellIs" dxfId="3871" priority="1981" stopIfTrue="1" operator="equal">
      <formula>#REF!</formula>
    </cfRule>
    <cfRule type="cellIs" dxfId="3870" priority="1982" stopIfTrue="1" operator="equal">
      <formula>"داخلية"</formula>
    </cfRule>
  </conditionalFormatting>
  <conditionalFormatting sqref="E27">
    <cfRule type="expression" dxfId="3869" priority="1970" stopIfTrue="1">
      <formula>#REF!=""</formula>
    </cfRule>
  </conditionalFormatting>
  <conditionalFormatting sqref="D27">
    <cfRule type="containsText" dxfId="3868" priority="1958" stopIfTrue="1" operator="containsText" text="خارجية">
      <formula>NOT(ISERROR(SEARCH("خارجية",D27)))</formula>
    </cfRule>
    <cfRule type="containsText" dxfId="3867" priority="1959" stopIfTrue="1" operator="containsText" text="ن داخلية">
      <formula>NOT(ISERROR(SEARCH("ن داخلية",D27)))</formula>
    </cfRule>
    <cfRule type="containsText" dxfId="3866" priority="1960" stopIfTrue="1" operator="containsText" text="داخلية">
      <formula>NOT(ISERROR(SEARCH("داخلية",D27)))</formula>
    </cfRule>
    <cfRule type="containsText" dxfId="3865" priority="1961" stopIfTrue="1" operator="containsText" text="ن داخلية">
      <formula>NOT(ISERROR(SEARCH("ن داخلية",D27)))</formula>
    </cfRule>
    <cfRule type="containsText" dxfId="3864" priority="1962" stopIfTrue="1" operator="containsText" text="داخلية">
      <formula>NOT(ISERROR(SEARCH("داخلية",D27)))</formula>
    </cfRule>
    <cfRule type="cellIs" dxfId="3863" priority="1963" stopIfTrue="1" operator="equal">
      <formula>"ن داخلي"</formula>
    </cfRule>
    <cfRule type="cellIs" dxfId="3862" priority="1964" stopIfTrue="1" operator="equal">
      <formula>"ن داخلية"</formula>
    </cfRule>
    <cfRule type="cellIs" dxfId="3861" priority="1965" stopIfTrue="1" operator="equal">
      <formula>#REF!</formula>
    </cfRule>
    <cfRule type="cellIs" dxfId="3860" priority="1966" stopIfTrue="1" operator="equal">
      <formula>#REF!</formula>
    </cfRule>
    <cfRule type="cellIs" dxfId="3859" priority="1967" stopIfTrue="1" operator="equal">
      <formula>#REF!</formula>
    </cfRule>
    <cfRule type="cellIs" dxfId="3858" priority="1968" stopIfTrue="1" operator="equal">
      <formula>#REF!</formula>
    </cfRule>
    <cfRule type="cellIs" dxfId="3857" priority="1969" stopIfTrue="1" operator="equal">
      <formula>"داخلية"</formula>
    </cfRule>
  </conditionalFormatting>
  <conditionalFormatting sqref="D27">
    <cfRule type="cellIs" dxfId="3856" priority="1957" stopIfTrue="1" operator="greaterThan">
      <formula>"9.999"</formula>
    </cfRule>
  </conditionalFormatting>
  <conditionalFormatting sqref="D27:E27">
    <cfRule type="expression" dxfId="3855" priority="1956" stopIfTrue="1">
      <formula>#REF!=""</formula>
    </cfRule>
  </conditionalFormatting>
  <conditionalFormatting sqref="F27">
    <cfRule type="expression" dxfId="3854" priority="1955" stopIfTrue="1">
      <formula>#REF!=""</formula>
    </cfRule>
  </conditionalFormatting>
  <conditionalFormatting sqref="F27">
    <cfRule type="containsText" dxfId="3853" priority="1943" stopIfTrue="1" operator="containsText" text="خارجية">
      <formula>NOT(ISERROR(SEARCH("خارجية",F27)))</formula>
    </cfRule>
    <cfRule type="containsText" dxfId="3852" priority="1944" stopIfTrue="1" operator="containsText" text="ن داخلية">
      <formula>NOT(ISERROR(SEARCH("ن داخلية",F27)))</formula>
    </cfRule>
    <cfRule type="containsText" dxfId="3851" priority="1945" stopIfTrue="1" operator="containsText" text="داخلية">
      <formula>NOT(ISERROR(SEARCH("داخلية",F27)))</formula>
    </cfRule>
    <cfRule type="containsText" dxfId="3850" priority="1946" stopIfTrue="1" operator="containsText" text="ن داخلية">
      <formula>NOT(ISERROR(SEARCH("ن داخلية",F27)))</formula>
    </cfRule>
    <cfRule type="containsText" dxfId="3849" priority="1947" stopIfTrue="1" operator="containsText" text="داخلية">
      <formula>NOT(ISERROR(SEARCH("داخلية",F27)))</formula>
    </cfRule>
    <cfRule type="cellIs" dxfId="3848" priority="1948" stopIfTrue="1" operator="equal">
      <formula>"ن داخلي"</formula>
    </cfRule>
    <cfRule type="cellIs" dxfId="3847" priority="1949" stopIfTrue="1" operator="equal">
      <formula>"ن داخلية"</formula>
    </cfRule>
    <cfRule type="cellIs" dxfId="3846" priority="1950" stopIfTrue="1" operator="equal">
      <formula>#REF!</formula>
    </cfRule>
    <cfRule type="cellIs" dxfId="3845" priority="1951" stopIfTrue="1" operator="equal">
      <formula>#REF!</formula>
    </cfRule>
    <cfRule type="cellIs" dxfId="3844" priority="1952" stopIfTrue="1" operator="equal">
      <formula>#REF!</formula>
    </cfRule>
    <cfRule type="cellIs" dxfId="3843" priority="1953" stopIfTrue="1" operator="equal">
      <formula>#REF!</formula>
    </cfRule>
    <cfRule type="cellIs" dxfId="3842" priority="1954" stopIfTrue="1" operator="equal">
      <formula>"داخلية"</formula>
    </cfRule>
  </conditionalFormatting>
  <conditionalFormatting sqref="F27">
    <cfRule type="containsText" dxfId="3841" priority="1941" stopIfTrue="1" operator="containsText" text="خارجية">
      <formula>NOT(ISERROR(SEARCH("خارجية",F27)))</formula>
    </cfRule>
    <cfRule type="containsText" dxfId="3840" priority="1942" stopIfTrue="1" operator="containsText" text="خارجي">
      <formula>NOT(ISERROR(SEARCH("خارجي",F27)))</formula>
    </cfRule>
  </conditionalFormatting>
  <conditionalFormatting sqref="F27">
    <cfRule type="expression" dxfId="3839" priority="1940" stopIfTrue="1">
      <formula>#REF!=""</formula>
    </cfRule>
  </conditionalFormatting>
  <conditionalFormatting sqref="F27">
    <cfRule type="expression" dxfId="3838" priority="1939" stopIfTrue="1">
      <formula>#REF!=""</formula>
    </cfRule>
  </conditionalFormatting>
  <conditionalFormatting sqref="F27">
    <cfRule type="expression" dxfId="3837" priority="1938" stopIfTrue="1">
      <formula>#REF!=""</formula>
    </cfRule>
  </conditionalFormatting>
  <conditionalFormatting sqref="F27">
    <cfRule type="containsText" dxfId="3836" priority="1926" stopIfTrue="1" operator="containsText" text="خارجية">
      <formula>NOT(ISERROR(SEARCH("خارجية",F27)))</formula>
    </cfRule>
    <cfRule type="containsText" dxfId="3835" priority="1927" stopIfTrue="1" operator="containsText" text="ن داخلية">
      <formula>NOT(ISERROR(SEARCH("ن داخلية",F27)))</formula>
    </cfRule>
    <cfRule type="containsText" dxfId="3834" priority="1928" stopIfTrue="1" operator="containsText" text="داخلية">
      <formula>NOT(ISERROR(SEARCH("داخلية",F27)))</formula>
    </cfRule>
    <cfRule type="containsText" dxfId="3833" priority="1929" stopIfTrue="1" operator="containsText" text="ن داخلية">
      <formula>NOT(ISERROR(SEARCH("ن داخلية",F27)))</formula>
    </cfRule>
    <cfRule type="containsText" dxfId="3832" priority="1930" stopIfTrue="1" operator="containsText" text="داخلية">
      <formula>NOT(ISERROR(SEARCH("داخلية",F27)))</formula>
    </cfRule>
    <cfRule type="cellIs" dxfId="3831" priority="1931" stopIfTrue="1" operator="equal">
      <formula>"ن داخلي"</formula>
    </cfRule>
    <cfRule type="cellIs" dxfId="3830" priority="1932" stopIfTrue="1" operator="equal">
      <formula>"ن داخلية"</formula>
    </cfRule>
    <cfRule type="cellIs" dxfId="3829" priority="1933" stopIfTrue="1" operator="equal">
      <formula>#REF!</formula>
    </cfRule>
    <cfRule type="cellIs" dxfId="3828" priority="1934" stopIfTrue="1" operator="equal">
      <formula>#REF!</formula>
    </cfRule>
    <cfRule type="cellIs" dxfId="3827" priority="1935" stopIfTrue="1" operator="equal">
      <formula>#REF!</formula>
    </cfRule>
    <cfRule type="cellIs" dxfId="3826" priority="1936" stopIfTrue="1" operator="equal">
      <formula>#REF!</formula>
    </cfRule>
    <cfRule type="cellIs" dxfId="3825" priority="1937" stopIfTrue="1" operator="equal">
      <formula>"داخلية"</formula>
    </cfRule>
  </conditionalFormatting>
  <conditionalFormatting sqref="F27">
    <cfRule type="containsText" dxfId="3824" priority="1924" stopIfTrue="1" operator="containsText" text="خارجية">
      <formula>NOT(ISERROR(SEARCH("خارجية",F27)))</formula>
    </cfRule>
    <cfRule type="containsText" dxfId="3823" priority="1925" stopIfTrue="1" operator="containsText" text="خارجي">
      <formula>NOT(ISERROR(SEARCH("خارجي",F27)))</formula>
    </cfRule>
  </conditionalFormatting>
  <conditionalFormatting sqref="F27">
    <cfRule type="expression" dxfId="3822" priority="1923" stopIfTrue="1">
      <formula>#REF!=""</formula>
    </cfRule>
  </conditionalFormatting>
  <conditionalFormatting sqref="F27">
    <cfRule type="expression" dxfId="3821" priority="1922" stopIfTrue="1">
      <formula>#REF!=""</formula>
    </cfRule>
  </conditionalFormatting>
  <conditionalFormatting sqref="E27:F27">
    <cfRule type="expression" dxfId="3820" priority="1921" stopIfTrue="1">
      <formula>#REF!=""</formula>
    </cfRule>
  </conditionalFormatting>
  <conditionalFormatting sqref="D27:F27">
    <cfRule type="containsText" dxfId="3819" priority="1909" stopIfTrue="1" operator="containsText" text="خارجية">
      <formula>NOT(ISERROR(SEARCH("خارجية",D27)))</formula>
    </cfRule>
    <cfRule type="containsText" dxfId="3818" priority="1910" stopIfTrue="1" operator="containsText" text="ن داخلية">
      <formula>NOT(ISERROR(SEARCH("ن داخلية",D27)))</formula>
    </cfRule>
    <cfRule type="containsText" dxfId="3817" priority="1911" stopIfTrue="1" operator="containsText" text="داخلية">
      <formula>NOT(ISERROR(SEARCH("داخلية",D27)))</formula>
    </cfRule>
    <cfRule type="containsText" dxfId="3816" priority="1912" stopIfTrue="1" operator="containsText" text="ن داخلية">
      <formula>NOT(ISERROR(SEARCH("ن داخلية",D27)))</formula>
    </cfRule>
    <cfRule type="containsText" dxfId="3815" priority="1913" stopIfTrue="1" operator="containsText" text="داخلية">
      <formula>NOT(ISERROR(SEARCH("داخلية",D27)))</formula>
    </cfRule>
    <cfRule type="cellIs" dxfId="3814" priority="1914" stopIfTrue="1" operator="equal">
      <formula>"ن داخلي"</formula>
    </cfRule>
    <cfRule type="cellIs" dxfId="3813" priority="1915" stopIfTrue="1" operator="equal">
      <formula>"ن داخلية"</formula>
    </cfRule>
    <cfRule type="cellIs" dxfId="3812" priority="1916" stopIfTrue="1" operator="equal">
      <formula>#REF!</formula>
    </cfRule>
    <cfRule type="cellIs" dxfId="3811" priority="1917" stopIfTrue="1" operator="equal">
      <formula>#REF!</formula>
    </cfRule>
    <cfRule type="cellIs" dxfId="3810" priority="1918" stopIfTrue="1" operator="equal">
      <formula>#REF!</formula>
    </cfRule>
    <cfRule type="cellIs" dxfId="3809" priority="1919" stopIfTrue="1" operator="equal">
      <formula>#REF!</formula>
    </cfRule>
    <cfRule type="cellIs" dxfId="3808" priority="1920" stopIfTrue="1" operator="equal">
      <formula>"داخلية"</formula>
    </cfRule>
  </conditionalFormatting>
  <conditionalFormatting sqref="E27:F27">
    <cfRule type="containsText" dxfId="3807" priority="1907" stopIfTrue="1" operator="containsText" text="خارجية">
      <formula>NOT(ISERROR(SEARCH("خارجية",E27)))</formula>
    </cfRule>
    <cfRule type="containsText" dxfId="3806" priority="1908" stopIfTrue="1" operator="containsText" text="خارجي">
      <formula>NOT(ISERROR(SEARCH("خارجي",E27)))</formula>
    </cfRule>
  </conditionalFormatting>
  <conditionalFormatting sqref="D27">
    <cfRule type="cellIs" dxfId="3805" priority="1906" stopIfTrue="1" operator="greaterThan">
      <formula>"9.999"</formula>
    </cfRule>
  </conditionalFormatting>
  <conditionalFormatting sqref="D27:F27">
    <cfRule type="expression" dxfId="3804" priority="1905" stopIfTrue="1">
      <formula>#REF!=""</formula>
    </cfRule>
  </conditionalFormatting>
  <conditionalFormatting sqref="E27">
    <cfRule type="containsText" dxfId="3803" priority="1903" stopIfTrue="1" operator="containsText" text="خارجية">
      <formula>NOT(ISERROR(SEARCH("خارجية",E27)))</formula>
    </cfRule>
    <cfRule type="containsText" dxfId="3802" priority="1904" stopIfTrue="1" operator="containsText" text="خارجي">
      <formula>NOT(ISERROR(SEARCH("خارجي",E27)))</formula>
    </cfRule>
  </conditionalFormatting>
  <conditionalFormatting sqref="D27">
    <cfRule type="cellIs" dxfId="3801" priority="1902" stopIfTrue="1" operator="greaterThan">
      <formula>"9.999"</formula>
    </cfRule>
  </conditionalFormatting>
  <conditionalFormatting sqref="D27:E27">
    <cfRule type="containsText" dxfId="3800" priority="1890" stopIfTrue="1" operator="containsText" text="خارجية">
      <formula>NOT(ISERROR(SEARCH("خارجية",D27)))</formula>
    </cfRule>
    <cfRule type="containsText" dxfId="3799" priority="1891" stopIfTrue="1" operator="containsText" text="ن داخلية">
      <formula>NOT(ISERROR(SEARCH("ن داخلية",D27)))</formula>
    </cfRule>
    <cfRule type="containsText" dxfId="3798" priority="1892" stopIfTrue="1" operator="containsText" text="داخلية">
      <formula>NOT(ISERROR(SEARCH("داخلية",D27)))</formula>
    </cfRule>
    <cfRule type="containsText" dxfId="3797" priority="1893" stopIfTrue="1" operator="containsText" text="ن داخلية">
      <formula>NOT(ISERROR(SEARCH("ن داخلية",D27)))</formula>
    </cfRule>
    <cfRule type="containsText" dxfId="3796" priority="1894" stopIfTrue="1" operator="containsText" text="داخلية">
      <formula>NOT(ISERROR(SEARCH("داخلية",D27)))</formula>
    </cfRule>
    <cfRule type="cellIs" dxfId="3795" priority="1895" stopIfTrue="1" operator="equal">
      <formula>"ن داخلي"</formula>
    </cfRule>
    <cfRule type="cellIs" dxfId="3794" priority="1896" stopIfTrue="1" operator="equal">
      <formula>"ن داخلية"</formula>
    </cfRule>
    <cfRule type="cellIs" dxfId="3793" priority="1897" stopIfTrue="1" operator="equal">
      <formula>#REF!</formula>
    </cfRule>
    <cfRule type="cellIs" dxfId="3792" priority="1898" stopIfTrue="1" operator="equal">
      <formula>#REF!</formula>
    </cfRule>
    <cfRule type="cellIs" dxfId="3791" priority="1899" stopIfTrue="1" operator="equal">
      <formula>#REF!</formula>
    </cfRule>
    <cfRule type="cellIs" dxfId="3790" priority="1900" stopIfTrue="1" operator="equal">
      <formula>#REF!</formula>
    </cfRule>
    <cfRule type="cellIs" dxfId="3789" priority="1901" stopIfTrue="1" operator="equal">
      <formula>"داخلية"</formula>
    </cfRule>
  </conditionalFormatting>
  <conditionalFormatting sqref="E27">
    <cfRule type="expression" dxfId="3788" priority="1889" stopIfTrue="1">
      <formula>#REF!=""</formula>
    </cfRule>
  </conditionalFormatting>
  <conditionalFormatting sqref="E27">
    <cfRule type="expression" dxfId="3787" priority="1888" stopIfTrue="1">
      <formula>#REF!=""</formula>
    </cfRule>
  </conditionalFormatting>
  <conditionalFormatting sqref="F27">
    <cfRule type="containsText" dxfId="3786" priority="1886" stopIfTrue="1" operator="containsText" text="خارجية">
      <formula>NOT(ISERROR(SEARCH("خارجية",F27)))</formula>
    </cfRule>
    <cfRule type="containsText" dxfId="3785" priority="1887" stopIfTrue="1" operator="containsText" text="خارجي">
      <formula>NOT(ISERROR(SEARCH("خارجي",F27)))</formula>
    </cfRule>
  </conditionalFormatting>
  <conditionalFormatting sqref="F27">
    <cfRule type="containsText" dxfId="3784" priority="1874" stopIfTrue="1" operator="containsText" text="خارجية">
      <formula>NOT(ISERROR(SEARCH("خارجية",F27)))</formula>
    </cfRule>
    <cfRule type="containsText" dxfId="3783" priority="1875" stopIfTrue="1" operator="containsText" text="ن داخلية">
      <formula>NOT(ISERROR(SEARCH("ن داخلية",F27)))</formula>
    </cfRule>
    <cfRule type="containsText" dxfId="3782" priority="1876" stopIfTrue="1" operator="containsText" text="داخلية">
      <formula>NOT(ISERROR(SEARCH("داخلية",F27)))</formula>
    </cfRule>
    <cfRule type="containsText" dxfId="3781" priority="1877" stopIfTrue="1" operator="containsText" text="ن داخلية">
      <formula>NOT(ISERROR(SEARCH("ن داخلية",F27)))</formula>
    </cfRule>
    <cfRule type="containsText" dxfId="3780" priority="1878" stopIfTrue="1" operator="containsText" text="داخلية">
      <formula>NOT(ISERROR(SEARCH("داخلية",F27)))</formula>
    </cfRule>
    <cfRule type="cellIs" dxfId="3779" priority="1879" stopIfTrue="1" operator="equal">
      <formula>"ن داخلي"</formula>
    </cfRule>
    <cfRule type="cellIs" dxfId="3778" priority="1880" stopIfTrue="1" operator="equal">
      <formula>"ن داخلية"</formula>
    </cfRule>
    <cfRule type="cellIs" dxfId="3777" priority="1881" stopIfTrue="1" operator="equal">
      <formula>#REF!</formula>
    </cfRule>
    <cfRule type="cellIs" dxfId="3776" priority="1882" stopIfTrue="1" operator="equal">
      <formula>#REF!</formula>
    </cfRule>
    <cfRule type="cellIs" dxfId="3775" priority="1883" stopIfTrue="1" operator="equal">
      <formula>#REF!</formula>
    </cfRule>
    <cfRule type="cellIs" dxfId="3774" priority="1884" stopIfTrue="1" operator="equal">
      <formula>#REF!</formula>
    </cfRule>
    <cfRule type="cellIs" dxfId="3773" priority="1885" stopIfTrue="1" operator="equal">
      <formula>"داخلية"</formula>
    </cfRule>
  </conditionalFormatting>
  <conditionalFormatting sqref="D27">
    <cfRule type="expression" dxfId="3772" priority="1873" stopIfTrue="1">
      <formula>#REF!=""</formula>
    </cfRule>
  </conditionalFormatting>
  <conditionalFormatting sqref="D27">
    <cfRule type="containsText" dxfId="3771" priority="1861" stopIfTrue="1" operator="containsText" text="خارجية">
      <formula>NOT(ISERROR(SEARCH("خارجية",D27)))</formula>
    </cfRule>
    <cfRule type="containsText" dxfId="3770" priority="1862" stopIfTrue="1" operator="containsText" text="ن داخلية">
      <formula>NOT(ISERROR(SEARCH("ن داخلية",D27)))</formula>
    </cfRule>
    <cfRule type="containsText" dxfId="3769" priority="1863" stopIfTrue="1" operator="containsText" text="داخلية">
      <formula>NOT(ISERROR(SEARCH("داخلية",D27)))</formula>
    </cfRule>
    <cfRule type="containsText" dxfId="3768" priority="1864" stopIfTrue="1" operator="containsText" text="ن داخلية">
      <formula>NOT(ISERROR(SEARCH("ن داخلية",D27)))</formula>
    </cfRule>
    <cfRule type="containsText" dxfId="3767" priority="1865" stopIfTrue="1" operator="containsText" text="داخلية">
      <formula>NOT(ISERROR(SEARCH("داخلية",D27)))</formula>
    </cfRule>
    <cfRule type="cellIs" dxfId="3766" priority="1866" stopIfTrue="1" operator="equal">
      <formula>"ن داخلي"</formula>
    </cfRule>
    <cfRule type="cellIs" dxfId="3765" priority="1867" stopIfTrue="1" operator="equal">
      <formula>"ن داخلية"</formula>
    </cfRule>
    <cfRule type="cellIs" dxfId="3764" priority="1868" stopIfTrue="1" operator="equal">
      <formula>#REF!</formula>
    </cfRule>
    <cfRule type="cellIs" dxfId="3763" priority="1869" stopIfTrue="1" operator="equal">
      <formula>#REF!</formula>
    </cfRule>
    <cfRule type="cellIs" dxfId="3762" priority="1870" stopIfTrue="1" operator="equal">
      <formula>#REF!</formula>
    </cfRule>
    <cfRule type="cellIs" dxfId="3761" priority="1871" stopIfTrue="1" operator="equal">
      <formula>#REF!</formula>
    </cfRule>
    <cfRule type="cellIs" dxfId="3760" priority="1872" stopIfTrue="1" operator="equal">
      <formula>"داخلية"</formula>
    </cfRule>
  </conditionalFormatting>
  <conditionalFormatting sqref="D27">
    <cfRule type="containsText" dxfId="3759" priority="1859" stopIfTrue="1" operator="containsText" text="خارجية">
      <formula>NOT(ISERROR(SEARCH("خارجية",D27)))</formula>
    </cfRule>
    <cfRule type="containsText" dxfId="3758" priority="1860" stopIfTrue="1" operator="containsText" text="خارجي">
      <formula>NOT(ISERROR(SEARCH("خارجي",D27)))</formula>
    </cfRule>
  </conditionalFormatting>
  <conditionalFormatting sqref="D27">
    <cfRule type="expression" dxfId="3757" priority="1858" stopIfTrue="1">
      <formula>#REF!=""</formula>
    </cfRule>
  </conditionalFormatting>
  <conditionalFormatting sqref="D27">
    <cfRule type="expression" dxfId="3756" priority="1857" stopIfTrue="1">
      <formula>#REF!=""</formula>
    </cfRule>
  </conditionalFormatting>
  <conditionalFormatting sqref="D27">
    <cfRule type="containsText" dxfId="3755" priority="1845" stopIfTrue="1" operator="containsText" text="خارجية">
      <formula>NOT(ISERROR(SEARCH("خارجية",D27)))</formula>
    </cfRule>
    <cfRule type="containsText" dxfId="3754" priority="1846" stopIfTrue="1" operator="containsText" text="ن داخلية">
      <formula>NOT(ISERROR(SEARCH("ن داخلية",D27)))</formula>
    </cfRule>
    <cfRule type="containsText" dxfId="3753" priority="1847" stopIfTrue="1" operator="containsText" text="داخلية">
      <formula>NOT(ISERROR(SEARCH("داخلية",D27)))</formula>
    </cfRule>
    <cfRule type="containsText" dxfId="3752" priority="1848" stopIfTrue="1" operator="containsText" text="ن داخلية">
      <formula>NOT(ISERROR(SEARCH("ن داخلية",D27)))</formula>
    </cfRule>
    <cfRule type="containsText" dxfId="3751" priority="1849" stopIfTrue="1" operator="containsText" text="داخلية">
      <formula>NOT(ISERROR(SEARCH("داخلية",D27)))</formula>
    </cfRule>
    <cfRule type="cellIs" dxfId="3750" priority="1850" stopIfTrue="1" operator="equal">
      <formula>"ن داخلي"</formula>
    </cfRule>
    <cfRule type="cellIs" dxfId="3749" priority="1851" stopIfTrue="1" operator="equal">
      <formula>"ن داخلية"</formula>
    </cfRule>
    <cfRule type="cellIs" dxfId="3748" priority="1852" stopIfTrue="1" operator="equal">
      <formula>#REF!</formula>
    </cfRule>
    <cfRule type="cellIs" dxfId="3747" priority="1853" stopIfTrue="1" operator="equal">
      <formula>#REF!</formula>
    </cfRule>
    <cfRule type="cellIs" dxfId="3746" priority="1854" stopIfTrue="1" operator="equal">
      <formula>#REF!</formula>
    </cfRule>
    <cfRule type="cellIs" dxfId="3745" priority="1855" stopIfTrue="1" operator="equal">
      <formula>#REF!</formula>
    </cfRule>
    <cfRule type="cellIs" dxfId="3744" priority="1856" stopIfTrue="1" operator="equal">
      <formula>"داخلية"</formula>
    </cfRule>
  </conditionalFormatting>
  <conditionalFormatting sqref="D27">
    <cfRule type="containsText" dxfId="3743" priority="1843" stopIfTrue="1" operator="containsText" text="خارجية">
      <formula>NOT(ISERROR(SEARCH("خارجية",D27)))</formula>
    </cfRule>
    <cfRule type="containsText" dxfId="3742" priority="1844" stopIfTrue="1" operator="containsText" text="خارجي">
      <formula>NOT(ISERROR(SEARCH("خارجي",D27)))</formula>
    </cfRule>
  </conditionalFormatting>
  <conditionalFormatting sqref="D27">
    <cfRule type="expression" dxfId="3741" priority="1842" stopIfTrue="1">
      <formula>#REF!=""</formula>
    </cfRule>
  </conditionalFormatting>
  <conditionalFormatting sqref="D27">
    <cfRule type="containsText" dxfId="3740" priority="1840" stopIfTrue="1" operator="containsText" text="خارجية">
      <formula>NOT(ISERROR(SEARCH("خارجية",D27)))</formula>
    </cfRule>
    <cfRule type="containsText" dxfId="3739" priority="1841" stopIfTrue="1" operator="containsText" text="خارجي">
      <formula>NOT(ISERROR(SEARCH("خارجي",D27)))</formula>
    </cfRule>
  </conditionalFormatting>
  <conditionalFormatting sqref="D27">
    <cfRule type="containsText" dxfId="3738" priority="1828" stopIfTrue="1" operator="containsText" text="خارجية">
      <formula>NOT(ISERROR(SEARCH("خارجية",D27)))</formula>
    </cfRule>
    <cfRule type="containsText" dxfId="3737" priority="1829" stopIfTrue="1" operator="containsText" text="ن داخلية">
      <formula>NOT(ISERROR(SEARCH("ن داخلية",D27)))</formula>
    </cfRule>
    <cfRule type="containsText" dxfId="3736" priority="1830" stopIfTrue="1" operator="containsText" text="داخلية">
      <formula>NOT(ISERROR(SEARCH("داخلية",D27)))</formula>
    </cfRule>
    <cfRule type="containsText" dxfId="3735" priority="1831" stopIfTrue="1" operator="containsText" text="ن داخلية">
      <formula>NOT(ISERROR(SEARCH("ن داخلية",D27)))</formula>
    </cfRule>
    <cfRule type="containsText" dxfId="3734" priority="1832" stopIfTrue="1" operator="containsText" text="داخلية">
      <formula>NOT(ISERROR(SEARCH("داخلية",D27)))</formula>
    </cfRule>
    <cfRule type="cellIs" dxfId="3733" priority="1833" stopIfTrue="1" operator="equal">
      <formula>"ن داخلي"</formula>
    </cfRule>
    <cfRule type="cellIs" dxfId="3732" priority="1834" stopIfTrue="1" operator="equal">
      <formula>"ن داخلية"</formula>
    </cfRule>
    <cfRule type="cellIs" dxfId="3731" priority="1835" stopIfTrue="1" operator="equal">
      <formula>#REF!</formula>
    </cfRule>
    <cfRule type="cellIs" dxfId="3730" priority="1836" stopIfTrue="1" operator="equal">
      <formula>#REF!</formula>
    </cfRule>
    <cfRule type="cellIs" dxfId="3729" priority="1837" stopIfTrue="1" operator="equal">
      <formula>#REF!</formula>
    </cfRule>
    <cfRule type="cellIs" dxfId="3728" priority="1838" stopIfTrue="1" operator="equal">
      <formula>#REF!</formula>
    </cfRule>
    <cfRule type="cellIs" dxfId="3727" priority="1839" stopIfTrue="1" operator="equal">
      <formula>"داخلية"</formula>
    </cfRule>
  </conditionalFormatting>
  <conditionalFormatting sqref="D27">
    <cfRule type="containsText" dxfId="3726" priority="1816" stopIfTrue="1" operator="containsText" text="خارجية">
      <formula>NOT(ISERROR(SEARCH("خارجية",D27)))</formula>
    </cfRule>
    <cfRule type="containsText" dxfId="3725" priority="1817" stopIfTrue="1" operator="containsText" text="ن داخلية">
      <formula>NOT(ISERROR(SEARCH("ن داخلية",D27)))</formula>
    </cfRule>
    <cfRule type="containsText" dxfId="3724" priority="1818" stopIfTrue="1" operator="containsText" text="داخلية">
      <formula>NOT(ISERROR(SEARCH("داخلية",D27)))</formula>
    </cfRule>
    <cfRule type="containsText" dxfId="3723" priority="1819" stopIfTrue="1" operator="containsText" text="ن داخلية">
      <formula>NOT(ISERROR(SEARCH("ن داخلية",D27)))</formula>
    </cfRule>
    <cfRule type="containsText" dxfId="3722" priority="1820" stopIfTrue="1" operator="containsText" text="داخلية">
      <formula>NOT(ISERROR(SEARCH("داخلية",D27)))</formula>
    </cfRule>
    <cfRule type="cellIs" dxfId="3721" priority="1821" stopIfTrue="1" operator="equal">
      <formula>"ن داخلي"</formula>
    </cfRule>
    <cfRule type="cellIs" dxfId="3720" priority="1822" stopIfTrue="1" operator="equal">
      <formula>"ن داخلية"</formula>
    </cfRule>
    <cfRule type="cellIs" dxfId="3719" priority="1823" stopIfTrue="1" operator="equal">
      <formula>#REF!</formula>
    </cfRule>
    <cfRule type="cellIs" dxfId="3718" priority="1824" stopIfTrue="1" operator="equal">
      <formula>#REF!</formula>
    </cfRule>
    <cfRule type="cellIs" dxfId="3717" priority="1825" stopIfTrue="1" operator="equal">
      <formula>#REF!</formula>
    </cfRule>
    <cfRule type="cellIs" dxfId="3716" priority="1826" stopIfTrue="1" operator="equal">
      <formula>#REF!</formula>
    </cfRule>
    <cfRule type="cellIs" dxfId="3715" priority="1827" stopIfTrue="1" operator="equal">
      <formula>"داخلية"</formula>
    </cfRule>
  </conditionalFormatting>
  <conditionalFormatting sqref="D27">
    <cfRule type="containsText" dxfId="3714" priority="1814" stopIfTrue="1" operator="containsText" text="خارجية">
      <formula>NOT(ISERROR(SEARCH("خارجية",D27)))</formula>
    </cfRule>
    <cfRule type="containsText" dxfId="3713" priority="1815" stopIfTrue="1" operator="containsText" text="خارجي">
      <formula>NOT(ISERROR(SEARCH("خارجي",D27)))</formula>
    </cfRule>
  </conditionalFormatting>
  <conditionalFormatting sqref="D27">
    <cfRule type="containsText" dxfId="3712" priority="1802" stopIfTrue="1" operator="containsText" text="خارجية">
      <formula>NOT(ISERROR(SEARCH("خارجية",D27)))</formula>
    </cfRule>
    <cfRule type="containsText" dxfId="3711" priority="1803" stopIfTrue="1" operator="containsText" text="ن داخلية">
      <formula>NOT(ISERROR(SEARCH("ن داخلية",D27)))</formula>
    </cfRule>
    <cfRule type="containsText" dxfId="3710" priority="1804" stopIfTrue="1" operator="containsText" text="داخلية">
      <formula>NOT(ISERROR(SEARCH("داخلية",D27)))</formula>
    </cfRule>
    <cfRule type="containsText" dxfId="3709" priority="1805" stopIfTrue="1" operator="containsText" text="ن داخلية">
      <formula>NOT(ISERROR(SEARCH("ن داخلية",D27)))</formula>
    </cfRule>
    <cfRule type="containsText" dxfId="3708" priority="1806" stopIfTrue="1" operator="containsText" text="داخلية">
      <formula>NOT(ISERROR(SEARCH("داخلية",D27)))</formula>
    </cfRule>
    <cfRule type="cellIs" dxfId="3707" priority="1807" stopIfTrue="1" operator="equal">
      <formula>"ن داخلي"</formula>
    </cfRule>
    <cfRule type="cellIs" dxfId="3706" priority="1808" stopIfTrue="1" operator="equal">
      <formula>"ن داخلية"</formula>
    </cfRule>
    <cfRule type="cellIs" dxfId="3705" priority="1809" stopIfTrue="1" operator="equal">
      <formula>#REF!</formula>
    </cfRule>
    <cfRule type="cellIs" dxfId="3704" priority="1810" stopIfTrue="1" operator="equal">
      <formula>#REF!</formula>
    </cfRule>
    <cfRule type="cellIs" dxfId="3703" priority="1811" stopIfTrue="1" operator="equal">
      <formula>#REF!</formula>
    </cfRule>
    <cfRule type="cellIs" dxfId="3702" priority="1812" stopIfTrue="1" operator="equal">
      <formula>#REF!</formula>
    </cfRule>
    <cfRule type="cellIs" dxfId="3701" priority="1813" stopIfTrue="1" operator="equal">
      <formula>"داخلية"</formula>
    </cfRule>
  </conditionalFormatting>
  <conditionalFormatting sqref="D27">
    <cfRule type="containsText" dxfId="3700" priority="1800" stopIfTrue="1" operator="containsText" text="خارجية">
      <formula>NOT(ISERROR(SEARCH("خارجية",D27)))</formula>
    </cfRule>
    <cfRule type="containsText" dxfId="3699" priority="1801" stopIfTrue="1" operator="containsText" text="خارجي">
      <formula>NOT(ISERROR(SEARCH("خارجي",D27)))</formula>
    </cfRule>
  </conditionalFormatting>
  <conditionalFormatting sqref="D27">
    <cfRule type="expression" dxfId="3698" priority="1799" stopIfTrue="1">
      <formula>#REF!=""</formula>
    </cfRule>
  </conditionalFormatting>
  <conditionalFormatting sqref="D27">
    <cfRule type="expression" dxfId="3697" priority="1798" stopIfTrue="1">
      <formula>#REF!=""</formula>
    </cfRule>
  </conditionalFormatting>
  <conditionalFormatting sqref="D27">
    <cfRule type="containsText" dxfId="3696" priority="1796" stopIfTrue="1" operator="containsText" text="خارجية">
      <formula>NOT(ISERROR(SEARCH("خارجية",D27)))</formula>
    </cfRule>
    <cfRule type="containsText" dxfId="3695" priority="1797" stopIfTrue="1" operator="containsText" text="خارجي">
      <formula>NOT(ISERROR(SEARCH("خارجي",D27)))</formula>
    </cfRule>
  </conditionalFormatting>
  <conditionalFormatting sqref="D27">
    <cfRule type="containsText" dxfId="3694" priority="1784" stopIfTrue="1" operator="containsText" text="خارجية">
      <formula>NOT(ISERROR(SEARCH("خارجية",D27)))</formula>
    </cfRule>
    <cfRule type="containsText" dxfId="3693" priority="1785" stopIfTrue="1" operator="containsText" text="ن داخلية">
      <formula>NOT(ISERROR(SEARCH("ن داخلية",D27)))</formula>
    </cfRule>
    <cfRule type="containsText" dxfId="3692" priority="1786" stopIfTrue="1" operator="containsText" text="داخلية">
      <formula>NOT(ISERROR(SEARCH("داخلية",D27)))</formula>
    </cfRule>
    <cfRule type="containsText" dxfId="3691" priority="1787" stopIfTrue="1" operator="containsText" text="ن داخلية">
      <formula>NOT(ISERROR(SEARCH("ن داخلية",D27)))</formula>
    </cfRule>
    <cfRule type="containsText" dxfId="3690" priority="1788" stopIfTrue="1" operator="containsText" text="داخلية">
      <formula>NOT(ISERROR(SEARCH("داخلية",D27)))</formula>
    </cfRule>
    <cfRule type="cellIs" dxfId="3689" priority="1789" stopIfTrue="1" operator="equal">
      <formula>"ن داخلي"</formula>
    </cfRule>
    <cfRule type="cellIs" dxfId="3688" priority="1790" stopIfTrue="1" operator="equal">
      <formula>"ن داخلية"</formula>
    </cfRule>
    <cfRule type="cellIs" dxfId="3687" priority="1791" stopIfTrue="1" operator="equal">
      <formula>#REF!</formula>
    </cfRule>
    <cfRule type="cellIs" dxfId="3686" priority="1792" stopIfTrue="1" operator="equal">
      <formula>#REF!</formula>
    </cfRule>
    <cfRule type="cellIs" dxfId="3685" priority="1793" stopIfTrue="1" operator="equal">
      <formula>#REF!</formula>
    </cfRule>
    <cfRule type="cellIs" dxfId="3684" priority="1794" stopIfTrue="1" operator="equal">
      <formula>#REF!</formula>
    </cfRule>
    <cfRule type="cellIs" dxfId="3683" priority="1795" stopIfTrue="1" operator="equal">
      <formula>"داخلية"</formula>
    </cfRule>
  </conditionalFormatting>
  <conditionalFormatting sqref="D27">
    <cfRule type="containsText" dxfId="3682" priority="1772" stopIfTrue="1" operator="containsText" text="خارجية">
      <formula>NOT(ISERROR(SEARCH("خارجية",D27)))</formula>
    </cfRule>
    <cfRule type="containsText" dxfId="3681" priority="1773" stopIfTrue="1" operator="containsText" text="ن داخلية">
      <formula>NOT(ISERROR(SEARCH("ن داخلية",D27)))</formula>
    </cfRule>
    <cfRule type="containsText" dxfId="3680" priority="1774" stopIfTrue="1" operator="containsText" text="داخلية">
      <formula>NOT(ISERROR(SEARCH("داخلية",D27)))</formula>
    </cfRule>
    <cfRule type="containsText" dxfId="3679" priority="1775" stopIfTrue="1" operator="containsText" text="ن داخلية">
      <formula>NOT(ISERROR(SEARCH("ن داخلية",D27)))</formula>
    </cfRule>
    <cfRule type="containsText" dxfId="3678" priority="1776" stopIfTrue="1" operator="containsText" text="داخلية">
      <formula>NOT(ISERROR(SEARCH("داخلية",D27)))</formula>
    </cfRule>
    <cfRule type="cellIs" dxfId="3677" priority="1777" stopIfTrue="1" operator="equal">
      <formula>"ن داخلي"</formula>
    </cfRule>
    <cfRule type="cellIs" dxfId="3676" priority="1778" stopIfTrue="1" operator="equal">
      <formula>"ن داخلية"</formula>
    </cfRule>
    <cfRule type="cellIs" dxfId="3675" priority="1779" stopIfTrue="1" operator="equal">
      <formula>#REF!</formula>
    </cfRule>
    <cfRule type="cellIs" dxfId="3674" priority="1780" stopIfTrue="1" operator="equal">
      <formula>#REF!</formula>
    </cfRule>
    <cfRule type="cellIs" dxfId="3673" priority="1781" stopIfTrue="1" operator="equal">
      <formula>#REF!</formula>
    </cfRule>
    <cfRule type="cellIs" dxfId="3672" priority="1782" stopIfTrue="1" operator="equal">
      <formula>#REF!</formula>
    </cfRule>
    <cfRule type="cellIs" dxfId="3671" priority="1783" stopIfTrue="1" operator="equal">
      <formula>"داخلية"</formula>
    </cfRule>
  </conditionalFormatting>
  <conditionalFormatting sqref="D27">
    <cfRule type="containsText" dxfId="3670" priority="1770" stopIfTrue="1" operator="containsText" text="خارجية">
      <formula>NOT(ISERROR(SEARCH("خارجية",D27)))</formula>
    </cfRule>
    <cfRule type="containsText" dxfId="3669" priority="1771" stopIfTrue="1" operator="containsText" text="خارجي">
      <formula>NOT(ISERROR(SEARCH("خارجي",D27)))</formula>
    </cfRule>
  </conditionalFormatting>
  <conditionalFormatting sqref="D27">
    <cfRule type="containsText" dxfId="3668" priority="1768" stopIfTrue="1" operator="containsText" text="خارجية">
      <formula>NOT(ISERROR(SEARCH("خارجية",D27)))</formula>
    </cfRule>
    <cfRule type="containsText" dxfId="3667" priority="1769" stopIfTrue="1" operator="containsText" text="خارجي">
      <formula>NOT(ISERROR(SEARCH("خارجي",D27)))</formula>
    </cfRule>
  </conditionalFormatting>
  <conditionalFormatting sqref="D27">
    <cfRule type="containsText" dxfId="3666" priority="1756" stopIfTrue="1" operator="containsText" text="خارجية">
      <formula>NOT(ISERROR(SEARCH("خارجية",D27)))</formula>
    </cfRule>
    <cfRule type="containsText" dxfId="3665" priority="1757" stopIfTrue="1" operator="containsText" text="ن داخلية">
      <formula>NOT(ISERROR(SEARCH("ن داخلية",D27)))</formula>
    </cfRule>
    <cfRule type="containsText" dxfId="3664" priority="1758" stopIfTrue="1" operator="containsText" text="داخلية">
      <formula>NOT(ISERROR(SEARCH("داخلية",D27)))</formula>
    </cfRule>
    <cfRule type="containsText" dxfId="3663" priority="1759" stopIfTrue="1" operator="containsText" text="ن داخلية">
      <formula>NOT(ISERROR(SEARCH("ن داخلية",D27)))</formula>
    </cfRule>
    <cfRule type="containsText" dxfId="3662" priority="1760" stopIfTrue="1" operator="containsText" text="داخلية">
      <formula>NOT(ISERROR(SEARCH("داخلية",D27)))</formula>
    </cfRule>
    <cfRule type="cellIs" dxfId="3661" priority="1761" stopIfTrue="1" operator="equal">
      <formula>"ن داخلي"</formula>
    </cfRule>
    <cfRule type="cellIs" dxfId="3660" priority="1762" stopIfTrue="1" operator="equal">
      <formula>"ن داخلية"</formula>
    </cfRule>
    <cfRule type="cellIs" dxfId="3659" priority="1763" stopIfTrue="1" operator="equal">
      <formula>#REF!</formula>
    </cfRule>
    <cfRule type="cellIs" dxfId="3658" priority="1764" stopIfTrue="1" operator="equal">
      <formula>#REF!</formula>
    </cfRule>
    <cfRule type="cellIs" dxfId="3657" priority="1765" stopIfTrue="1" operator="equal">
      <formula>#REF!</formula>
    </cfRule>
    <cfRule type="cellIs" dxfId="3656" priority="1766" stopIfTrue="1" operator="equal">
      <formula>#REF!</formula>
    </cfRule>
    <cfRule type="cellIs" dxfId="3655" priority="1767" stopIfTrue="1" operator="equal">
      <formula>"داخلية"</formula>
    </cfRule>
  </conditionalFormatting>
  <conditionalFormatting sqref="D27">
    <cfRule type="expression" dxfId="3654" priority="1755" stopIfTrue="1">
      <formula>#REF!=""</formula>
    </cfRule>
  </conditionalFormatting>
  <conditionalFormatting sqref="D27">
    <cfRule type="containsText" dxfId="3653" priority="1743" stopIfTrue="1" operator="containsText" text="خارجية">
      <formula>NOT(ISERROR(SEARCH("خارجية",D27)))</formula>
    </cfRule>
    <cfRule type="containsText" dxfId="3652" priority="1744" stopIfTrue="1" operator="containsText" text="ن داخلية">
      <formula>NOT(ISERROR(SEARCH("ن داخلية",D27)))</formula>
    </cfRule>
    <cfRule type="containsText" dxfId="3651" priority="1745" stopIfTrue="1" operator="containsText" text="داخلية">
      <formula>NOT(ISERROR(SEARCH("داخلية",D27)))</formula>
    </cfRule>
    <cfRule type="containsText" dxfId="3650" priority="1746" stopIfTrue="1" operator="containsText" text="ن داخلية">
      <formula>NOT(ISERROR(SEARCH("ن داخلية",D27)))</formula>
    </cfRule>
    <cfRule type="containsText" dxfId="3649" priority="1747" stopIfTrue="1" operator="containsText" text="داخلية">
      <formula>NOT(ISERROR(SEARCH("داخلية",D27)))</formula>
    </cfRule>
    <cfRule type="cellIs" dxfId="3648" priority="1748" stopIfTrue="1" operator="equal">
      <formula>"ن داخلي"</formula>
    </cfRule>
    <cfRule type="cellIs" dxfId="3647" priority="1749" stopIfTrue="1" operator="equal">
      <formula>"ن داخلية"</formula>
    </cfRule>
    <cfRule type="cellIs" dxfId="3646" priority="1750" stopIfTrue="1" operator="equal">
      <formula>#REF!</formula>
    </cfRule>
    <cfRule type="cellIs" dxfId="3645" priority="1751" stopIfTrue="1" operator="equal">
      <formula>#REF!</formula>
    </cfRule>
    <cfRule type="cellIs" dxfId="3644" priority="1752" stopIfTrue="1" operator="equal">
      <formula>#REF!</formula>
    </cfRule>
    <cfRule type="cellIs" dxfId="3643" priority="1753" stopIfTrue="1" operator="equal">
      <formula>#REF!</formula>
    </cfRule>
    <cfRule type="cellIs" dxfId="3642" priority="1754" stopIfTrue="1" operator="equal">
      <formula>"داخلية"</formula>
    </cfRule>
  </conditionalFormatting>
  <conditionalFormatting sqref="D27">
    <cfRule type="containsText" dxfId="3641" priority="1741" stopIfTrue="1" operator="containsText" text="خارجية">
      <formula>NOT(ISERROR(SEARCH("خارجية",D27)))</formula>
    </cfRule>
    <cfRule type="containsText" dxfId="3640" priority="1742" stopIfTrue="1" operator="containsText" text="خارجي">
      <formula>NOT(ISERROR(SEARCH("خارجي",D27)))</formula>
    </cfRule>
  </conditionalFormatting>
  <conditionalFormatting sqref="D27">
    <cfRule type="expression" dxfId="3639" priority="1740" stopIfTrue="1">
      <formula>#REF!=""</formula>
    </cfRule>
  </conditionalFormatting>
  <conditionalFormatting sqref="D27">
    <cfRule type="containsText" dxfId="3638" priority="1738" stopIfTrue="1" operator="containsText" text="خارجية">
      <formula>NOT(ISERROR(SEARCH("خارجية",D27)))</formula>
    </cfRule>
    <cfRule type="containsText" dxfId="3637" priority="1739" stopIfTrue="1" operator="containsText" text="خارجي">
      <formula>NOT(ISERROR(SEARCH("خارجي",D27)))</formula>
    </cfRule>
  </conditionalFormatting>
  <conditionalFormatting sqref="D27">
    <cfRule type="containsText" dxfId="3636" priority="1726" stopIfTrue="1" operator="containsText" text="خارجية">
      <formula>NOT(ISERROR(SEARCH("خارجية",D27)))</formula>
    </cfRule>
    <cfRule type="containsText" dxfId="3635" priority="1727" stopIfTrue="1" operator="containsText" text="ن داخلية">
      <formula>NOT(ISERROR(SEARCH("ن داخلية",D27)))</formula>
    </cfRule>
    <cfRule type="containsText" dxfId="3634" priority="1728" stopIfTrue="1" operator="containsText" text="داخلية">
      <formula>NOT(ISERROR(SEARCH("داخلية",D27)))</formula>
    </cfRule>
    <cfRule type="containsText" dxfId="3633" priority="1729" stopIfTrue="1" operator="containsText" text="ن داخلية">
      <formula>NOT(ISERROR(SEARCH("ن داخلية",D27)))</formula>
    </cfRule>
    <cfRule type="containsText" dxfId="3632" priority="1730" stopIfTrue="1" operator="containsText" text="داخلية">
      <formula>NOT(ISERROR(SEARCH("داخلية",D27)))</formula>
    </cfRule>
    <cfRule type="cellIs" dxfId="3631" priority="1731" stopIfTrue="1" operator="equal">
      <formula>"ن داخلي"</formula>
    </cfRule>
    <cfRule type="cellIs" dxfId="3630" priority="1732" stopIfTrue="1" operator="equal">
      <formula>"ن داخلية"</formula>
    </cfRule>
    <cfRule type="cellIs" dxfId="3629" priority="1733" stopIfTrue="1" operator="equal">
      <formula>#REF!</formula>
    </cfRule>
    <cfRule type="cellIs" dxfId="3628" priority="1734" stopIfTrue="1" operator="equal">
      <formula>#REF!</formula>
    </cfRule>
    <cfRule type="cellIs" dxfId="3627" priority="1735" stopIfTrue="1" operator="equal">
      <formula>#REF!</formula>
    </cfRule>
    <cfRule type="cellIs" dxfId="3626" priority="1736" stopIfTrue="1" operator="equal">
      <formula>#REF!</formula>
    </cfRule>
    <cfRule type="cellIs" dxfId="3625" priority="1737" stopIfTrue="1" operator="equal">
      <formula>"داخلية"</formula>
    </cfRule>
  </conditionalFormatting>
  <conditionalFormatting sqref="D27">
    <cfRule type="expression" dxfId="3624" priority="1725" stopIfTrue="1">
      <formula>#REF!=""</formula>
    </cfRule>
  </conditionalFormatting>
  <conditionalFormatting sqref="D27">
    <cfRule type="containsText" dxfId="3623" priority="1723" stopIfTrue="1" operator="containsText" text="خارجية">
      <formula>NOT(ISERROR(SEARCH("خارجية",D27)))</formula>
    </cfRule>
    <cfRule type="containsText" dxfId="3622" priority="1724" stopIfTrue="1" operator="containsText" text="خارجي">
      <formula>NOT(ISERROR(SEARCH("خارجي",D27)))</formula>
    </cfRule>
  </conditionalFormatting>
  <conditionalFormatting sqref="D27">
    <cfRule type="containsText" dxfId="3621" priority="1711" stopIfTrue="1" operator="containsText" text="خارجية">
      <formula>NOT(ISERROR(SEARCH("خارجية",D27)))</formula>
    </cfRule>
    <cfRule type="containsText" dxfId="3620" priority="1712" stopIfTrue="1" operator="containsText" text="ن داخلية">
      <formula>NOT(ISERROR(SEARCH("ن داخلية",D27)))</formula>
    </cfRule>
    <cfRule type="containsText" dxfId="3619" priority="1713" stopIfTrue="1" operator="containsText" text="داخلية">
      <formula>NOT(ISERROR(SEARCH("داخلية",D27)))</formula>
    </cfRule>
    <cfRule type="containsText" dxfId="3618" priority="1714" stopIfTrue="1" operator="containsText" text="ن داخلية">
      <formula>NOT(ISERROR(SEARCH("ن داخلية",D27)))</formula>
    </cfRule>
    <cfRule type="containsText" dxfId="3617" priority="1715" stopIfTrue="1" operator="containsText" text="داخلية">
      <formula>NOT(ISERROR(SEARCH("داخلية",D27)))</formula>
    </cfRule>
    <cfRule type="cellIs" dxfId="3616" priority="1716" stopIfTrue="1" operator="equal">
      <formula>"ن داخلي"</formula>
    </cfRule>
    <cfRule type="cellIs" dxfId="3615" priority="1717" stopIfTrue="1" operator="equal">
      <formula>"ن داخلية"</formula>
    </cfRule>
    <cfRule type="cellIs" dxfId="3614" priority="1718" stopIfTrue="1" operator="equal">
      <formula>#REF!</formula>
    </cfRule>
    <cfRule type="cellIs" dxfId="3613" priority="1719" stopIfTrue="1" operator="equal">
      <formula>#REF!</formula>
    </cfRule>
    <cfRule type="cellIs" dxfId="3612" priority="1720" stopIfTrue="1" operator="equal">
      <formula>#REF!</formula>
    </cfRule>
    <cfRule type="cellIs" dxfId="3611" priority="1721" stopIfTrue="1" operator="equal">
      <formula>#REF!</formula>
    </cfRule>
    <cfRule type="cellIs" dxfId="3610" priority="1722" stopIfTrue="1" operator="equal">
      <formula>"داخلية"</formula>
    </cfRule>
  </conditionalFormatting>
  <conditionalFormatting sqref="D27">
    <cfRule type="expression" dxfId="3609" priority="1710" stopIfTrue="1">
      <formula>#REF!=""</formula>
    </cfRule>
  </conditionalFormatting>
  <conditionalFormatting sqref="D27">
    <cfRule type="containsText" dxfId="3608" priority="1698" stopIfTrue="1" operator="containsText" text="خارجية">
      <formula>NOT(ISERROR(SEARCH("خارجية",D27)))</formula>
    </cfRule>
    <cfRule type="containsText" dxfId="3607" priority="1699" stopIfTrue="1" operator="containsText" text="ن داخلية">
      <formula>NOT(ISERROR(SEARCH("ن داخلية",D27)))</formula>
    </cfRule>
    <cfRule type="containsText" dxfId="3606" priority="1700" stopIfTrue="1" operator="containsText" text="داخلية">
      <formula>NOT(ISERROR(SEARCH("داخلية",D27)))</formula>
    </cfRule>
    <cfRule type="containsText" dxfId="3605" priority="1701" stopIfTrue="1" operator="containsText" text="ن داخلية">
      <formula>NOT(ISERROR(SEARCH("ن داخلية",D27)))</formula>
    </cfRule>
    <cfRule type="containsText" dxfId="3604" priority="1702" stopIfTrue="1" operator="containsText" text="داخلية">
      <formula>NOT(ISERROR(SEARCH("داخلية",D27)))</formula>
    </cfRule>
    <cfRule type="cellIs" dxfId="3603" priority="1703" stopIfTrue="1" operator="equal">
      <formula>"ن داخلي"</formula>
    </cfRule>
    <cfRule type="cellIs" dxfId="3602" priority="1704" stopIfTrue="1" operator="equal">
      <formula>"ن داخلية"</formula>
    </cfRule>
    <cfRule type="cellIs" dxfId="3601" priority="1705" stopIfTrue="1" operator="equal">
      <formula>#REF!</formula>
    </cfRule>
    <cfRule type="cellIs" dxfId="3600" priority="1706" stopIfTrue="1" operator="equal">
      <formula>#REF!</formula>
    </cfRule>
    <cfRule type="cellIs" dxfId="3599" priority="1707" stopIfTrue="1" operator="equal">
      <formula>#REF!</formula>
    </cfRule>
    <cfRule type="cellIs" dxfId="3598" priority="1708" stopIfTrue="1" operator="equal">
      <formula>#REF!</formula>
    </cfRule>
    <cfRule type="cellIs" dxfId="3597" priority="1709" stopIfTrue="1" operator="equal">
      <formula>"داخلية"</formula>
    </cfRule>
  </conditionalFormatting>
  <conditionalFormatting sqref="D27">
    <cfRule type="containsText" dxfId="3596" priority="1696" stopIfTrue="1" operator="containsText" text="خارجية">
      <formula>NOT(ISERROR(SEARCH("خارجية",D27)))</formula>
    </cfRule>
    <cfRule type="containsText" dxfId="3595" priority="1697" stopIfTrue="1" operator="containsText" text="خارجي">
      <formula>NOT(ISERROR(SEARCH("خارجي",D27)))</formula>
    </cfRule>
  </conditionalFormatting>
  <conditionalFormatting sqref="D27">
    <cfRule type="expression" dxfId="3594" priority="1695" stopIfTrue="1">
      <formula>#REF!=""</formula>
    </cfRule>
  </conditionalFormatting>
  <conditionalFormatting sqref="D27">
    <cfRule type="expression" dxfId="3593" priority="1694" stopIfTrue="1">
      <formula>#REF!=""</formula>
    </cfRule>
  </conditionalFormatting>
  <conditionalFormatting sqref="D27">
    <cfRule type="expression" dxfId="3592" priority="1693" stopIfTrue="1">
      <formula>#REF!=""</formula>
    </cfRule>
  </conditionalFormatting>
  <conditionalFormatting sqref="D27">
    <cfRule type="containsText" dxfId="3591" priority="1681" stopIfTrue="1" operator="containsText" text="خارجية">
      <formula>NOT(ISERROR(SEARCH("خارجية",D27)))</formula>
    </cfRule>
    <cfRule type="containsText" dxfId="3590" priority="1682" stopIfTrue="1" operator="containsText" text="ن داخلية">
      <formula>NOT(ISERROR(SEARCH("ن داخلية",D27)))</formula>
    </cfRule>
    <cfRule type="containsText" dxfId="3589" priority="1683" stopIfTrue="1" operator="containsText" text="داخلية">
      <formula>NOT(ISERROR(SEARCH("داخلية",D27)))</formula>
    </cfRule>
    <cfRule type="containsText" dxfId="3588" priority="1684" stopIfTrue="1" operator="containsText" text="ن داخلية">
      <formula>NOT(ISERROR(SEARCH("ن داخلية",D27)))</formula>
    </cfRule>
    <cfRule type="containsText" dxfId="3587" priority="1685" stopIfTrue="1" operator="containsText" text="داخلية">
      <formula>NOT(ISERROR(SEARCH("داخلية",D27)))</formula>
    </cfRule>
    <cfRule type="cellIs" dxfId="3586" priority="1686" stopIfTrue="1" operator="equal">
      <formula>"ن داخلي"</formula>
    </cfRule>
    <cfRule type="cellIs" dxfId="3585" priority="1687" stopIfTrue="1" operator="equal">
      <formula>"ن داخلية"</formula>
    </cfRule>
    <cfRule type="cellIs" dxfId="3584" priority="1688" stopIfTrue="1" operator="equal">
      <formula>#REF!</formula>
    </cfRule>
    <cfRule type="cellIs" dxfId="3583" priority="1689" stopIfTrue="1" operator="equal">
      <formula>#REF!</formula>
    </cfRule>
    <cfRule type="cellIs" dxfId="3582" priority="1690" stopIfTrue="1" operator="equal">
      <formula>#REF!</formula>
    </cfRule>
    <cfRule type="cellIs" dxfId="3581" priority="1691" stopIfTrue="1" operator="equal">
      <formula>#REF!</formula>
    </cfRule>
    <cfRule type="cellIs" dxfId="3580" priority="1692" stopIfTrue="1" operator="equal">
      <formula>"داخلية"</formula>
    </cfRule>
  </conditionalFormatting>
  <conditionalFormatting sqref="D27">
    <cfRule type="containsText" dxfId="3579" priority="1679" stopIfTrue="1" operator="containsText" text="خارجية">
      <formula>NOT(ISERROR(SEARCH("خارجية",D27)))</formula>
    </cfRule>
    <cfRule type="containsText" dxfId="3578" priority="1680" stopIfTrue="1" operator="containsText" text="خارجي">
      <formula>NOT(ISERROR(SEARCH("خارجي",D27)))</formula>
    </cfRule>
  </conditionalFormatting>
  <conditionalFormatting sqref="D27">
    <cfRule type="expression" dxfId="3577" priority="1678" stopIfTrue="1">
      <formula>#REF!=""</formula>
    </cfRule>
  </conditionalFormatting>
  <conditionalFormatting sqref="D27">
    <cfRule type="expression" dxfId="3576" priority="1677" stopIfTrue="1">
      <formula>#REF!=""</formula>
    </cfRule>
  </conditionalFormatting>
  <conditionalFormatting sqref="D27">
    <cfRule type="expression" dxfId="3575" priority="1676" stopIfTrue="1">
      <formula>#REF!=""</formula>
    </cfRule>
  </conditionalFormatting>
  <conditionalFormatting sqref="D27">
    <cfRule type="containsText" dxfId="3574" priority="1674" stopIfTrue="1" operator="containsText" text="خارجية">
      <formula>NOT(ISERROR(SEARCH("خارجية",D27)))</formula>
    </cfRule>
    <cfRule type="containsText" dxfId="3573" priority="1675" stopIfTrue="1" operator="containsText" text="خارجي">
      <formula>NOT(ISERROR(SEARCH("خارجي",D27)))</formula>
    </cfRule>
  </conditionalFormatting>
  <conditionalFormatting sqref="D27">
    <cfRule type="containsText" dxfId="3572" priority="1672" stopIfTrue="1" operator="containsText" text="خارجية">
      <formula>NOT(ISERROR(SEARCH("خارجية",D27)))</formula>
    </cfRule>
    <cfRule type="containsText" dxfId="3571" priority="1673" stopIfTrue="1" operator="containsText" text="خارجي">
      <formula>NOT(ISERROR(SEARCH("خارجي",D27)))</formula>
    </cfRule>
  </conditionalFormatting>
  <conditionalFormatting sqref="D27">
    <cfRule type="containsText" dxfId="3570" priority="1660" stopIfTrue="1" operator="containsText" text="خارجية">
      <formula>NOT(ISERROR(SEARCH("خارجية",D27)))</formula>
    </cfRule>
    <cfRule type="containsText" dxfId="3569" priority="1661" stopIfTrue="1" operator="containsText" text="ن داخلية">
      <formula>NOT(ISERROR(SEARCH("ن داخلية",D27)))</formula>
    </cfRule>
    <cfRule type="containsText" dxfId="3568" priority="1662" stopIfTrue="1" operator="containsText" text="داخلية">
      <formula>NOT(ISERROR(SEARCH("داخلية",D27)))</formula>
    </cfRule>
    <cfRule type="containsText" dxfId="3567" priority="1663" stopIfTrue="1" operator="containsText" text="ن داخلية">
      <formula>NOT(ISERROR(SEARCH("ن داخلية",D27)))</formula>
    </cfRule>
    <cfRule type="containsText" dxfId="3566" priority="1664" stopIfTrue="1" operator="containsText" text="داخلية">
      <formula>NOT(ISERROR(SEARCH("داخلية",D27)))</formula>
    </cfRule>
    <cfRule type="cellIs" dxfId="3565" priority="1665" stopIfTrue="1" operator="equal">
      <formula>"ن داخلي"</formula>
    </cfRule>
    <cfRule type="cellIs" dxfId="3564" priority="1666" stopIfTrue="1" operator="equal">
      <formula>"ن داخلية"</formula>
    </cfRule>
    <cfRule type="cellIs" dxfId="3563" priority="1667" stopIfTrue="1" operator="equal">
      <formula>#REF!</formula>
    </cfRule>
    <cfRule type="cellIs" dxfId="3562" priority="1668" stopIfTrue="1" operator="equal">
      <formula>#REF!</formula>
    </cfRule>
    <cfRule type="cellIs" dxfId="3561" priority="1669" stopIfTrue="1" operator="equal">
      <formula>#REF!</formula>
    </cfRule>
    <cfRule type="cellIs" dxfId="3560" priority="1670" stopIfTrue="1" operator="equal">
      <formula>#REF!</formula>
    </cfRule>
    <cfRule type="cellIs" dxfId="3559" priority="1671" stopIfTrue="1" operator="equal">
      <formula>"داخلية"</formula>
    </cfRule>
  </conditionalFormatting>
  <conditionalFormatting sqref="E28">
    <cfRule type="expression" dxfId="3558" priority="1659" stopIfTrue="1">
      <formula>#REF!=""</formula>
    </cfRule>
  </conditionalFormatting>
  <conditionalFormatting sqref="F28">
    <cfRule type="containsText" dxfId="3557" priority="1647" stopIfTrue="1" operator="containsText" text="خارجية">
      <formula>NOT(ISERROR(SEARCH("خارجية",F28)))</formula>
    </cfRule>
    <cfRule type="containsText" dxfId="3556" priority="1648" stopIfTrue="1" operator="containsText" text="ن داخلية">
      <formula>NOT(ISERROR(SEARCH("ن داخلية",F28)))</formula>
    </cfRule>
    <cfRule type="containsText" dxfId="3555" priority="1649" stopIfTrue="1" operator="containsText" text="داخلية">
      <formula>NOT(ISERROR(SEARCH("داخلية",F28)))</formula>
    </cfRule>
    <cfRule type="containsText" dxfId="3554" priority="1650" stopIfTrue="1" operator="containsText" text="ن داخلية">
      <formula>NOT(ISERROR(SEARCH("ن داخلية",F28)))</formula>
    </cfRule>
    <cfRule type="containsText" dxfId="3553" priority="1651" stopIfTrue="1" operator="containsText" text="داخلية">
      <formula>NOT(ISERROR(SEARCH("داخلية",F28)))</formula>
    </cfRule>
    <cfRule type="cellIs" dxfId="3552" priority="1652" stopIfTrue="1" operator="equal">
      <formula>"ن داخلي"</formula>
    </cfRule>
    <cfRule type="cellIs" dxfId="3551" priority="1653" stopIfTrue="1" operator="equal">
      <formula>"ن داخلية"</formula>
    </cfRule>
    <cfRule type="cellIs" dxfId="3550" priority="1654" stopIfTrue="1" operator="equal">
      <formula>#REF!</formula>
    </cfRule>
    <cfRule type="cellIs" dxfId="3549" priority="1655" stopIfTrue="1" operator="equal">
      <formula>#REF!</formula>
    </cfRule>
    <cfRule type="cellIs" dxfId="3548" priority="1656" stopIfTrue="1" operator="equal">
      <formula>#REF!</formula>
    </cfRule>
    <cfRule type="cellIs" dxfId="3547" priority="1657" stopIfTrue="1" operator="equal">
      <formula>#REF!</formula>
    </cfRule>
    <cfRule type="cellIs" dxfId="3546" priority="1658" stopIfTrue="1" operator="equal">
      <formula>"داخلية"</formula>
    </cfRule>
  </conditionalFormatting>
  <conditionalFormatting sqref="F28">
    <cfRule type="containsText" dxfId="3545" priority="1645" stopIfTrue="1" operator="containsText" text="خارجية">
      <formula>NOT(ISERROR(SEARCH("خارجية",F28)))</formula>
    </cfRule>
    <cfRule type="containsText" dxfId="3544" priority="1646" stopIfTrue="1" operator="containsText" text="خارجي">
      <formula>NOT(ISERROR(SEARCH("خارجي",F28)))</formula>
    </cfRule>
  </conditionalFormatting>
  <conditionalFormatting sqref="E28">
    <cfRule type="expression" dxfId="3543" priority="1644" stopIfTrue="1">
      <formula>IF(ROW(#REF!)&lt;=#REF!,"",1)=1</formula>
    </cfRule>
  </conditionalFormatting>
  <conditionalFormatting sqref="B28:C28 E28:F28">
    <cfRule type="expression" dxfId="3542" priority="1643" stopIfTrue="1">
      <formula>#REF!=""</formula>
    </cfRule>
  </conditionalFormatting>
  <conditionalFormatting sqref="E28">
    <cfRule type="expression" dxfId="3541" priority="1642" stopIfTrue="1">
      <formula>#REF!=""</formula>
    </cfRule>
  </conditionalFormatting>
  <conditionalFormatting sqref="F28">
    <cfRule type="containsText" dxfId="3540" priority="1630" stopIfTrue="1" operator="containsText" text="خارجية">
      <formula>NOT(ISERROR(SEARCH("خارجية",F28)))</formula>
    </cfRule>
    <cfRule type="containsText" dxfId="3539" priority="1631" stopIfTrue="1" operator="containsText" text="ن داخلية">
      <formula>NOT(ISERROR(SEARCH("ن داخلية",F28)))</formula>
    </cfRule>
    <cfRule type="containsText" dxfId="3538" priority="1632" stopIfTrue="1" operator="containsText" text="داخلية">
      <formula>NOT(ISERROR(SEARCH("داخلية",F28)))</formula>
    </cfRule>
    <cfRule type="containsText" dxfId="3537" priority="1633" stopIfTrue="1" operator="containsText" text="ن داخلية">
      <formula>NOT(ISERROR(SEARCH("ن داخلية",F28)))</formula>
    </cfRule>
    <cfRule type="containsText" dxfId="3536" priority="1634" stopIfTrue="1" operator="containsText" text="داخلية">
      <formula>NOT(ISERROR(SEARCH("داخلية",F28)))</formula>
    </cfRule>
    <cfRule type="cellIs" dxfId="3535" priority="1635" stopIfTrue="1" operator="equal">
      <formula>"ن داخلي"</formula>
    </cfRule>
    <cfRule type="cellIs" dxfId="3534" priority="1636" stopIfTrue="1" operator="equal">
      <formula>"ن داخلية"</formula>
    </cfRule>
    <cfRule type="cellIs" dxfId="3533" priority="1637" stopIfTrue="1" operator="equal">
      <formula>#REF!</formula>
    </cfRule>
    <cfRule type="cellIs" dxfId="3532" priority="1638" stopIfTrue="1" operator="equal">
      <formula>#REF!</formula>
    </cfRule>
    <cfRule type="cellIs" dxfId="3531" priority="1639" stopIfTrue="1" operator="equal">
      <formula>#REF!</formula>
    </cfRule>
    <cfRule type="cellIs" dxfId="3530" priority="1640" stopIfTrue="1" operator="equal">
      <formula>#REF!</formula>
    </cfRule>
    <cfRule type="cellIs" dxfId="3529" priority="1641" stopIfTrue="1" operator="equal">
      <formula>"داخلية"</formula>
    </cfRule>
  </conditionalFormatting>
  <conditionalFormatting sqref="F28">
    <cfRule type="containsText" dxfId="3528" priority="1628" stopIfTrue="1" operator="containsText" text="خارجية">
      <formula>NOT(ISERROR(SEARCH("خارجية",F28)))</formula>
    </cfRule>
    <cfRule type="containsText" dxfId="3527" priority="1629" stopIfTrue="1" operator="containsText" text="خارجي">
      <formula>NOT(ISERROR(SEARCH("خارجي",F28)))</formula>
    </cfRule>
  </conditionalFormatting>
  <conditionalFormatting sqref="E28">
    <cfRule type="expression" dxfId="3526" priority="1627" stopIfTrue="1">
      <formula>IF(ROW(#REF!)&lt;=#REF!,"",1)=1</formula>
    </cfRule>
  </conditionalFormatting>
  <conditionalFormatting sqref="B28:C28 E28:F28">
    <cfRule type="expression" dxfId="3525" priority="1626" stopIfTrue="1">
      <formula>#REF!=""</formula>
    </cfRule>
  </conditionalFormatting>
  <conditionalFormatting sqref="F28">
    <cfRule type="expression" dxfId="3524" priority="1625" stopIfTrue="1">
      <formula>#REF!=""</formula>
    </cfRule>
  </conditionalFormatting>
  <conditionalFormatting sqref="E28">
    <cfRule type="expression" dxfId="3523" priority="1624" stopIfTrue="1">
      <formula>#REF!=""</formula>
    </cfRule>
  </conditionalFormatting>
  <conditionalFormatting sqref="F28">
    <cfRule type="expression" dxfId="3522" priority="1623" stopIfTrue="1">
      <formula>#REF!=""</formula>
    </cfRule>
  </conditionalFormatting>
  <conditionalFormatting sqref="F28">
    <cfRule type="expression" dxfId="3521" priority="1622" stopIfTrue="1">
      <formula>#REF!=""</formula>
    </cfRule>
  </conditionalFormatting>
  <conditionalFormatting sqref="F28">
    <cfRule type="expression" dxfId="3520" priority="1621" stopIfTrue="1">
      <formula>#REF!=""</formula>
    </cfRule>
  </conditionalFormatting>
  <conditionalFormatting sqref="E28">
    <cfRule type="expression" dxfId="3519" priority="1620" stopIfTrue="1">
      <formula>#REF!=""</formula>
    </cfRule>
  </conditionalFormatting>
  <conditionalFormatting sqref="F28">
    <cfRule type="expression" dxfId="3518" priority="1619" stopIfTrue="1">
      <formula>#REF!=""</formula>
    </cfRule>
  </conditionalFormatting>
  <conditionalFormatting sqref="F28">
    <cfRule type="expression" dxfId="3517" priority="1618" stopIfTrue="1">
      <formula>#REF!=""</formula>
    </cfRule>
  </conditionalFormatting>
  <conditionalFormatting sqref="E28">
    <cfRule type="expression" dxfId="3516" priority="1617" stopIfTrue="1">
      <formula>#REF!=""</formula>
    </cfRule>
  </conditionalFormatting>
  <conditionalFormatting sqref="F28">
    <cfRule type="containsText" dxfId="3515" priority="1605" stopIfTrue="1" operator="containsText" text="خارجية">
      <formula>NOT(ISERROR(SEARCH("خارجية",F28)))</formula>
    </cfRule>
    <cfRule type="containsText" dxfId="3514" priority="1606" stopIfTrue="1" operator="containsText" text="ن داخلية">
      <formula>NOT(ISERROR(SEARCH("ن داخلية",F28)))</formula>
    </cfRule>
    <cfRule type="containsText" dxfId="3513" priority="1607" stopIfTrue="1" operator="containsText" text="داخلية">
      <formula>NOT(ISERROR(SEARCH("داخلية",F28)))</formula>
    </cfRule>
    <cfRule type="containsText" dxfId="3512" priority="1608" stopIfTrue="1" operator="containsText" text="ن داخلية">
      <formula>NOT(ISERROR(SEARCH("ن داخلية",F28)))</formula>
    </cfRule>
    <cfRule type="containsText" dxfId="3511" priority="1609" stopIfTrue="1" operator="containsText" text="داخلية">
      <formula>NOT(ISERROR(SEARCH("داخلية",F28)))</formula>
    </cfRule>
    <cfRule type="cellIs" dxfId="3510" priority="1610" stopIfTrue="1" operator="equal">
      <formula>"ن داخلي"</formula>
    </cfRule>
    <cfRule type="cellIs" dxfId="3509" priority="1611" stopIfTrue="1" operator="equal">
      <formula>"ن داخلية"</formula>
    </cfRule>
    <cfRule type="cellIs" dxfId="3508" priority="1612" stopIfTrue="1" operator="equal">
      <formula>#REF!</formula>
    </cfRule>
    <cfRule type="cellIs" dxfId="3507" priority="1613" stopIfTrue="1" operator="equal">
      <formula>#REF!</formula>
    </cfRule>
    <cfRule type="cellIs" dxfId="3506" priority="1614" stopIfTrue="1" operator="equal">
      <formula>#REF!</formula>
    </cfRule>
    <cfRule type="cellIs" dxfId="3505" priority="1615" stopIfTrue="1" operator="equal">
      <formula>#REF!</formula>
    </cfRule>
    <cfRule type="cellIs" dxfId="3504" priority="1616" stopIfTrue="1" operator="equal">
      <formula>"داخلية"</formula>
    </cfRule>
  </conditionalFormatting>
  <conditionalFormatting sqref="F28">
    <cfRule type="containsText" dxfId="3503" priority="1603" stopIfTrue="1" operator="containsText" text="خارجية">
      <formula>NOT(ISERROR(SEARCH("خارجية",F28)))</formula>
    </cfRule>
    <cfRule type="containsText" dxfId="3502" priority="1604" stopIfTrue="1" operator="containsText" text="خارجي">
      <formula>NOT(ISERROR(SEARCH("خارجي",F28)))</formula>
    </cfRule>
  </conditionalFormatting>
  <conditionalFormatting sqref="E28">
    <cfRule type="expression" dxfId="3501" priority="1602" stopIfTrue="1">
      <formula>IF(ROW(#REF!)&lt;=#REF!,"",1)=1</formula>
    </cfRule>
  </conditionalFormatting>
  <conditionalFormatting sqref="E28:F28">
    <cfRule type="expression" dxfId="3500" priority="1601" stopIfTrue="1">
      <formula>#REF!=""</formula>
    </cfRule>
  </conditionalFormatting>
  <conditionalFormatting sqref="F28">
    <cfRule type="expression" dxfId="3499" priority="1600" stopIfTrue="1">
      <formula>#REF!=""</formula>
    </cfRule>
  </conditionalFormatting>
  <conditionalFormatting sqref="F28">
    <cfRule type="expression" dxfId="3498" priority="1599" stopIfTrue="1">
      <formula>#REF!=""</formula>
    </cfRule>
  </conditionalFormatting>
  <conditionalFormatting sqref="E28">
    <cfRule type="expression" dxfId="3497" priority="1598" stopIfTrue="1">
      <formula>#REF!=""</formula>
    </cfRule>
  </conditionalFormatting>
  <conditionalFormatting sqref="E28">
    <cfRule type="expression" dxfId="3496" priority="1597" stopIfTrue="1">
      <formula>IF(ROW(#REF!)&lt;=#REF!,"",1)=1</formula>
    </cfRule>
  </conditionalFormatting>
  <conditionalFormatting sqref="D28:E28">
    <cfRule type="expression" dxfId="3495" priority="1596" stopIfTrue="1">
      <formula>#REF!=""</formula>
    </cfRule>
  </conditionalFormatting>
  <conditionalFormatting sqref="F28">
    <cfRule type="expression" dxfId="3494" priority="1595" stopIfTrue="1">
      <formula>#REF!=""</formula>
    </cfRule>
  </conditionalFormatting>
  <conditionalFormatting sqref="E28">
    <cfRule type="expression" dxfId="3493" priority="1594" stopIfTrue="1">
      <formula>#REF!=""</formula>
    </cfRule>
  </conditionalFormatting>
  <conditionalFormatting sqref="E28">
    <cfRule type="expression" dxfId="3492" priority="1593" stopIfTrue="1">
      <formula>IF(ROW(#REF!)&lt;=#REF!,"",1)=1</formula>
    </cfRule>
  </conditionalFormatting>
  <conditionalFormatting sqref="D28:E28">
    <cfRule type="expression" dxfId="3491" priority="1592" stopIfTrue="1">
      <formula>#REF!=""</formula>
    </cfRule>
  </conditionalFormatting>
  <conditionalFormatting sqref="F28">
    <cfRule type="expression" dxfId="3490" priority="1591" stopIfTrue="1">
      <formula>#REF!=""</formula>
    </cfRule>
  </conditionalFormatting>
  <conditionalFormatting sqref="F28">
    <cfRule type="containsText" dxfId="3489" priority="1579" stopIfTrue="1" operator="containsText" text="خارجية">
      <formula>NOT(ISERROR(SEARCH("خارجية",F28)))</formula>
    </cfRule>
    <cfRule type="containsText" dxfId="3488" priority="1580" stopIfTrue="1" operator="containsText" text="ن داخلية">
      <formula>NOT(ISERROR(SEARCH("ن داخلية",F28)))</formula>
    </cfRule>
    <cfRule type="containsText" dxfId="3487" priority="1581" stopIfTrue="1" operator="containsText" text="داخلية">
      <formula>NOT(ISERROR(SEARCH("داخلية",F28)))</formula>
    </cfRule>
    <cfRule type="containsText" dxfId="3486" priority="1582" stopIfTrue="1" operator="containsText" text="ن داخلية">
      <formula>NOT(ISERROR(SEARCH("ن داخلية",F28)))</formula>
    </cfRule>
    <cfRule type="containsText" dxfId="3485" priority="1583" stopIfTrue="1" operator="containsText" text="داخلية">
      <formula>NOT(ISERROR(SEARCH("داخلية",F28)))</formula>
    </cfRule>
    <cfRule type="cellIs" dxfId="3484" priority="1584" stopIfTrue="1" operator="equal">
      <formula>"ن داخلي"</formula>
    </cfRule>
    <cfRule type="cellIs" dxfId="3483" priority="1585" stopIfTrue="1" operator="equal">
      <formula>"ن داخلية"</formula>
    </cfRule>
    <cfRule type="cellIs" dxfId="3482" priority="1586" stopIfTrue="1" operator="equal">
      <formula>#REF!</formula>
    </cfRule>
    <cfRule type="cellIs" dxfId="3481" priority="1587" stopIfTrue="1" operator="equal">
      <formula>#REF!</formula>
    </cfRule>
    <cfRule type="cellIs" dxfId="3480" priority="1588" stopIfTrue="1" operator="equal">
      <formula>#REF!</formula>
    </cfRule>
    <cfRule type="cellIs" dxfId="3479" priority="1589" stopIfTrue="1" operator="equal">
      <formula>#REF!</formula>
    </cfRule>
    <cfRule type="cellIs" dxfId="3478" priority="1590" stopIfTrue="1" operator="equal">
      <formula>"داخلية"</formula>
    </cfRule>
  </conditionalFormatting>
  <conditionalFormatting sqref="F28">
    <cfRule type="containsText" dxfId="3477" priority="1577" stopIfTrue="1" operator="containsText" text="خارجية">
      <formula>NOT(ISERROR(SEARCH("خارجية",F28)))</formula>
    </cfRule>
    <cfRule type="containsText" dxfId="3476" priority="1578" stopIfTrue="1" operator="containsText" text="خارجي">
      <formula>NOT(ISERROR(SEARCH("خارجي",F28)))</formula>
    </cfRule>
  </conditionalFormatting>
  <conditionalFormatting sqref="F28">
    <cfRule type="expression" dxfId="3475" priority="1576" stopIfTrue="1">
      <formula>#REF!=""</formula>
    </cfRule>
  </conditionalFormatting>
  <conditionalFormatting sqref="F28">
    <cfRule type="expression" dxfId="3474" priority="1575" stopIfTrue="1">
      <formula>#REF!=""</formula>
    </cfRule>
  </conditionalFormatting>
  <conditionalFormatting sqref="F28">
    <cfRule type="expression" dxfId="3473" priority="1574" stopIfTrue="1">
      <formula>#REF!=""</formula>
    </cfRule>
  </conditionalFormatting>
  <conditionalFormatting sqref="F28">
    <cfRule type="containsText" dxfId="3472" priority="1562" stopIfTrue="1" operator="containsText" text="خارجية">
      <formula>NOT(ISERROR(SEARCH("خارجية",F28)))</formula>
    </cfRule>
    <cfRule type="containsText" dxfId="3471" priority="1563" stopIfTrue="1" operator="containsText" text="ن داخلية">
      <formula>NOT(ISERROR(SEARCH("ن داخلية",F28)))</formula>
    </cfRule>
    <cfRule type="containsText" dxfId="3470" priority="1564" stopIfTrue="1" operator="containsText" text="داخلية">
      <formula>NOT(ISERROR(SEARCH("داخلية",F28)))</formula>
    </cfRule>
    <cfRule type="containsText" dxfId="3469" priority="1565" stopIfTrue="1" operator="containsText" text="ن داخلية">
      <formula>NOT(ISERROR(SEARCH("ن داخلية",F28)))</formula>
    </cfRule>
    <cfRule type="containsText" dxfId="3468" priority="1566" stopIfTrue="1" operator="containsText" text="داخلية">
      <formula>NOT(ISERROR(SEARCH("داخلية",F28)))</formula>
    </cfRule>
    <cfRule type="cellIs" dxfId="3467" priority="1567" stopIfTrue="1" operator="equal">
      <formula>"ن داخلي"</formula>
    </cfRule>
    <cfRule type="cellIs" dxfId="3466" priority="1568" stopIfTrue="1" operator="equal">
      <formula>"ن داخلية"</formula>
    </cfRule>
    <cfRule type="cellIs" dxfId="3465" priority="1569" stopIfTrue="1" operator="equal">
      <formula>#REF!</formula>
    </cfRule>
    <cfRule type="cellIs" dxfId="3464" priority="1570" stopIfTrue="1" operator="equal">
      <formula>#REF!</formula>
    </cfRule>
    <cfRule type="cellIs" dxfId="3463" priority="1571" stopIfTrue="1" operator="equal">
      <formula>#REF!</formula>
    </cfRule>
    <cfRule type="cellIs" dxfId="3462" priority="1572" stopIfTrue="1" operator="equal">
      <formula>#REF!</formula>
    </cfRule>
    <cfRule type="cellIs" dxfId="3461" priority="1573" stopIfTrue="1" operator="equal">
      <formula>"داخلية"</formula>
    </cfRule>
  </conditionalFormatting>
  <conditionalFormatting sqref="F28">
    <cfRule type="containsText" dxfId="3460" priority="1560" stopIfTrue="1" operator="containsText" text="خارجية">
      <formula>NOT(ISERROR(SEARCH("خارجية",F28)))</formula>
    </cfRule>
    <cfRule type="containsText" dxfId="3459" priority="1561" stopIfTrue="1" operator="containsText" text="خارجي">
      <formula>NOT(ISERROR(SEARCH("خارجي",F28)))</formula>
    </cfRule>
  </conditionalFormatting>
  <conditionalFormatting sqref="F28">
    <cfRule type="expression" dxfId="3458" priority="1559" stopIfTrue="1">
      <formula>#REF!=""</formula>
    </cfRule>
  </conditionalFormatting>
  <conditionalFormatting sqref="F28">
    <cfRule type="expression" dxfId="3457" priority="1558" stopIfTrue="1">
      <formula>#REF!=""</formula>
    </cfRule>
  </conditionalFormatting>
  <conditionalFormatting sqref="E28">
    <cfRule type="expression" dxfId="3456" priority="1557" stopIfTrue="1">
      <formula>#REF!=""</formula>
    </cfRule>
  </conditionalFormatting>
  <conditionalFormatting sqref="F28">
    <cfRule type="containsText" dxfId="3455" priority="1545" stopIfTrue="1" operator="containsText" text="خارجية">
      <formula>NOT(ISERROR(SEARCH("خارجية",F28)))</formula>
    </cfRule>
    <cfRule type="containsText" dxfId="3454" priority="1546" stopIfTrue="1" operator="containsText" text="ن داخلية">
      <formula>NOT(ISERROR(SEARCH("ن داخلية",F28)))</formula>
    </cfRule>
    <cfRule type="containsText" dxfId="3453" priority="1547" stopIfTrue="1" operator="containsText" text="داخلية">
      <formula>NOT(ISERROR(SEARCH("داخلية",F28)))</formula>
    </cfRule>
    <cfRule type="containsText" dxfId="3452" priority="1548" stopIfTrue="1" operator="containsText" text="ن داخلية">
      <formula>NOT(ISERROR(SEARCH("ن داخلية",F28)))</formula>
    </cfRule>
    <cfRule type="containsText" dxfId="3451" priority="1549" stopIfTrue="1" operator="containsText" text="داخلية">
      <formula>NOT(ISERROR(SEARCH("داخلية",F28)))</formula>
    </cfRule>
    <cfRule type="cellIs" dxfId="3450" priority="1550" stopIfTrue="1" operator="equal">
      <formula>"ن داخلي"</formula>
    </cfRule>
    <cfRule type="cellIs" dxfId="3449" priority="1551" stopIfTrue="1" operator="equal">
      <formula>"ن داخلية"</formula>
    </cfRule>
    <cfRule type="cellIs" dxfId="3448" priority="1552" stopIfTrue="1" operator="equal">
      <formula>#REF!</formula>
    </cfRule>
    <cfRule type="cellIs" dxfId="3447" priority="1553" stopIfTrue="1" operator="equal">
      <formula>#REF!</formula>
    </cfRule>
    <cfRule type="cellIs" dxfId="3446" priority="1554" stopIfTrue="1" operator="equal">
      <formula>#REF!</formula>
    </cfRule>
    <cfRule type="cellIs" dxfId="3445" priority="1555" stopIfTrue="1" operator="equal">
      <formula>#REF!</formula>
    </cfRule>
    <cfRule type="cellIs" dxfId="3444" priority="1556" stopIfTrue="1" operator="equal">
      <formula>"داخلية"</formula>
    </cfRule>
  </conditionalFormatting>
  <conditionalFormatting sqref="F28">
    <cfRule type="containsText" dxfId="3443" priority="1543" stopIfTrue="1" operator="containsText" text="خارجية">
      <formula>NOT(ISERROR(SEARCH("خارجية",F28)))</formula>
    </cfRule>
    <cfRule type="containsText" dxfId="3442" priority="1544" stopIfTrue="1" operator="containsText" text="خارجي">
      <formula>NOT(ISERROR(SEARCH("خارجي",F28)))</formula>
    </cfRule>
  </conditionalFormatting>
  <conditionalFormatting sqref="E28">
    <cfRule type="expression" dxfId="3441" priority="1542" stopIfTrue="1">
      <formula>IF(ROW(#REF!)&lt;=#REF!,"",1)=1</formula>
    </cfRule>
  </conditionalFormatting>
  <conditionalFormatting sqref="D28:F28">
    <cfRule type="expression" dxfId="3440" priority="1541" stopIfTrue="1">
      <formula>#REF!=""</formula>
    </cfRule>
  </conditionalFormatting>
  <conditionalFormatting sqref="D28">
    <cfRule type="cellIs" dxfId="3439" priority="1540" stopIfTrue="1" operator="greaterThan">
      <formula>"9.999"</formula>
    </cfRule>
  </conditionalFormatting>
  <conditionalFormatting sqref="D28">
    <cfRule type="containsText" dxfId="3438" priority="1528" stopIfTrue="1" operator="containsText" text="خارجية">
      <formula>NOT(ISERROR(SEARCH("خارجية",D28)))</formula>
    </cfRule>
    <cfRule type="containsText" dxfId="3437" priority="1529" stopIfTrue="1" operator="containsText" text="ن داخلية">
      <formula>NOT(ISERROR(SEARCH("ن داخلية",D28)))</formula>
    </cfRule>
    <cfRule type="containsText" dxfId="3436" priority="1530" stopIfTrue="1" operator="containsText" text="داخلية">
      <formula>NOT(ISERROR(SEARCH("داخلية",D28)))</formula>
    </cfRule>
    <cfRule type="containsText" dxfId="3435" priority="1531" stopIfTrue="1" operator="containsText" text="ن داخلية">
      <formula>NOT(ISERROR(SEARCH("ن داخلية",D28)))</formula>
    </cfRule>
    <cfRule type="containsText" dxfId="3434" priority="1532" stopIfTrue="1" operator="containsText" text="داخلية">
      <formula>NOT(ISERROR(SEARCH("داخلية",D28)))</formula>
    </cfRule>
    <cfRule type="cellIs" dxfId="3433" priority="1533" stopIfTrue="1" operator="equal">
      <formula>"ن داخلي"</formula>
    </cfRule>
    <cfRule type="cellIs" dxfId="3432" priority="1534" stopIfTrue="1" operator="equal">
      <formula>"ن داخلية"</formula>
    </cfRule>
    <cfRule type="cellIs" dxfId="3431" priority="1535" stopIfTrue="1" operator="equal">
      <formula>#REF!</formula>
    </cfRule>
    <cfRule type="cellIs" dxfId="3430" priority="1536" stopIfTrue="1" operator="equal">
      <formula>#REF!</formula>
    </cfRule>
    <cfRule type="cellIs" dxfId="3429" priority="1537" stopIfTrue="1" operator="equal">
      <formula>#REF!</formula>
    </cfRule>
    <cfRule type="cellIs" dxfId="3428" priority="1538" stopIfTrue="1" operator="equal">
      <formula>#REF!</formula>
    </cfRule>
    <cfRule type="cellIs" dxfId="3427" priority="1539" stopIfTrue="1" operator="equal">
      <formula>"داخلية"</formula>
    </cfRule>
  </conditionalFormatting>
  <conditionalFormatting sqref="D28:E28">
    <cfRule type="expression" dxfId="3426" priority="1527" stopIfTrue="1">
      <formula>#REF!=""</formula>
    </cfRule>
  </conditionalFormatting>
  <conditionalFormatting sqref="E28">
    <cfRule type="expression" dxfId="3425" priority="1526" stopIfTrue="1">
      <formula>#REF!=""</formula>
    </cfRule>
  </conditionalFormatting>
  <conditionalFormatting sqref="E28">
    <cfRule type="expression" dxfId="3424" priority="1525" stopIfTrue="1">
      <formula>IF(ROW(#REF!)&lt;=#REF!,"",1)=1</formula>
    </cfRule>
  </conditionalFormatting>
  <conditionalFormatting sqref="F28">
    <cfRule type="expression" dxfId="3423" priority="1524" stopIfTrue="1">
      <formula>#REF!=""</formula>
    </cfRule>
  </conditionalFormatting>
  <conditionalFormatting sqref="D28">
    <cfRule type="containsText" dxfId="3422" priority="1512" stopIfTrue="1" operator="containsText" text="خارجية">
      <formula>NOT(ISERROR(SEARCH("خارجية",D28)))</formula>
    </cfRule>
    <cfRule type="containsText" dxfId="3421" priority="1513" stopIfTrue="1" operator="containsText" text="ن داخلية">
      <formula>NOT(ISERROR(SEARCH("ن داخلية",D28)))</formula>
    </cfRule>
    <cfRule type="containsText" dxfId="3420" priority="1514" stopIfTrue="1" operator="containsText" text="داخلية">
      <formula>NOT(ISERROR(SEARCH("داخلية",D28)))</formula>
    </cfRule>
    <cfRule type="containsText" dxfId="3419" priority="1515" stopIfTrue="1" operator="containsText" text="ن داخلية">
      <formula>NOT(ISERROR(SEARCH("ن داخلية",D28)))</formula>
    </cfRule>
    <cfRule type="containsText" dxfId="3418" priority="1516" stopIfTrue="1" operator="containsText" text="داخلية">
      <formula>NOT(ISERROR(SEARCH("داخلية",D28)))</formula>
    </cfRule>
    <cfRule type="cellIs" dxfId="3417" priority="1517" stopIfTrue="1" operator="equal">
      <formula>"ن داخلي"</formula>
    </cfRule>
    <cfRule type="cellIs" dxfId="3416" priority="1518" stopIfTrue="1" operator="equal">
      <formula>"ن داخلية"</formula>
    </cfRule>
    <cfRule type="cellIs" dxfId="3415" priority="1519" stopIfTrue="1" operator="equal">
      <formula>#REF!</formula>
    </cfRule>
    <cfRule type="cellIs" dxfId="3414" priority="1520" stopIfTrue="1" operator="equal">
      <formula>#REF!</formula>
    </cfRule>
    <cfRule type="cellIs" dxfId="3413" priority="1521" stopIfTrue="1" operator="equal">
      <formula>#REF!</formula>
    </cfRule>
    <cfRule type="cellIs" dxfId="3412" priority="1522" stopIfTrue="1" operator="equal">
      <formula>#REF!</formula>
    </cfRule>
    <cfRule type="cellIs" dxfId="3411" priority="1523" stopIfTrue="1" operator="equal">
      <formula>"داخلية"</formula>
    </cfRule>
  </conditionalFormatting>
  <conditionalFormatting sqref="D28">
    <cfRule type="containsText" dxfId="3410" priority="1510" stopIfTrue="1" operator="containsText" text="خارجية">
      <formula>NOT(ISERROR(SEARCH("خارجية",D28)))</formula>
    </cfRule>
    <cfRule type="containsText" dxfId="3409" priority="1511" stopIfTrue="1" operator="containsText" text="خارجي">
      <formula>NOT(ISERROR(SEARCH("خارجي",D28)))</formula>
    </cfRule>
  </conditionalFormatting>
  <conditionalFormatting sqref="D28">
    <cfRule type="expression" dxfId="3408" priority="1509" stopIfTrue="1">
      <formula>#REF!=""</formula>
    </cfRule>
  </conditionalFormatting>
  <conditionalFormatting sqref="D28">
    <cfRule type="containsText" dxfId="3407" priority="1497" stopIfTrue="1" operator="containsText" text="خارجية">
      <formula>NOT(ISERROR(SEARCH("خارجية",D28)))</formula>
    </cfRule>
    <cfRule type="containsText" dxfId="3406" priority="1498" stopIfTrue="1" operator="containsText" text="ن داخلية">
      <formula>NOT(ISERROR(SEARCH("ن داخلية",D28)))</formula>
    </cfRule>
    <cfRule type="containsText" dxfId="3405" priority="1499" stopIfTrue="1" operator="containsText" text="داخلية">
      <formula>NOT(ISERROR(SEARCH("داخلية",D28)))</formula>
    </cfRule>
    <cfRule type="containsText" dxfId="3404" priority="1500" stopIfTrue="1" operator="containsText" text="ن داخلية">
      <formula>NOT(ISERROR(SEARCH("ن داخلية",D28)))</formula>
    </cfRule>
    <cfRule type="containsText" dxfId="3403" priority="1501" stopIfTrue="1" operator="containsText" text="داخلية">
      <formula>NOT(ISERROR(SEARCH("داخلية",D28)))</formula>
    </cfRule>
    <cfRule type="cellIs" dxfId="3402" priority="1502" stopIfTrue="1" operator="equal">
      <formula>"ن داخلي"</formula>
    </cfRule>
    <cfRule type="cellIs" dxfId="3401" priority="1503" stopIfTrue="1" operator="equal">
      <formula>"ن داخلية"</formula>
    </cfRule>
    <cfRule type="cellIs" dxfId="3400" priority="1504" stopIfTrue="1" operator="equal">
      <formula>#REF!</formula>
    </cfRule>
    <cfRule type="cellIs" dxfId="3399" priority="1505" stopIfTrue="1" operator="equal">
      <formula>#REF!</formula>
    </cfRule>
    <cfRule type="cellIs" dxfId="3398" priority="1506" stopIfTrue="1" operator="equal">
      <formula>#REF!</formula>
    </cfRule>
    <cfRule type="cellIs" dxfId="3397" priority="1507" stopIfTrue="1" operator="equal">
      <formula>#REF!</formula>
    </cfRule>
    <cfRule type="cellIs" dxfId="3396" priority="1508" stopIfTrue="1" operator="equal">
      <formula>"داخلية"</formula>
    </cfRule>
  </conditionalFormatting>
  <conditionalFormatting sqref="D28">
    <cfRule type="containsText" dxfId="3395" priority="1495" stopIfTrue="1" operator="containsText" text="خارجية">
      <formula>NOT(ISERROR(SEARCH("خارجية",D28)))</formula>
    </cfRule>
    <cfRule type="containsText" dxfId="3394" priority="1496" stopIfTrue="1" operator="containsText" text="خارجي">
      <formula>NOT(ISERROR(SEARCH("خارجي",D28)))</formula>
    </cfRule>
  </conditionalFormatting>
  <conditionalFormatting sqref="D28">
    <cfRule type="expression" dxfId="3393" priority="1494" stopIfTrue="1">
      <formula>#REF!=""</formula>
    </cfRule>
  </conditionalFormatting>
  <conditionalFormatting sqref="D28">
    <cfRule type="expression" dxfId="3392" priority="1493" stopIfTrue="1">
      <formula>#REF!=""</formula>
    </cfRule>
  </conditionalFormatting>
  <conditionalFormatting sqref="D28">
    <cfRule type="expression" dxfId="3391" priority="1492" stopIfTrue="1">
      <formula>#REF!=""</formula>
    </cfRule>
  </conditionalFormatting>
  <conditionalFormatting sqref="D28">
    <cfRule type="expression" dxfId="3390" priority="1491" stopIfTrue="1">
      <formula>#REF!=""</formula>
    </cfRule>
  </conditionalFormatting>
  <conditionalFormatting sqref="D28">
    <cfRule type="expression" dxfId="3389" priority="1490" stopIfTrue="1">
      <formula>#REF!=""</formula>
    </cfRule>
  </conditionalFormatting>
  <conditionalFormatting sqref="D28">
    <cfRule type="expression" dxfId="3388" priority="1489" stopIfTrue="1">
      <formula>#REF!=""</formula>
    </cfRule>
  </conditionalFormatting>
  <conditionalFormatting sqref="D28">
    <cfRule type="expression" dxfId="3387" priority="1488" stopIfTrue="1">
      <formula>#REF!=""</formula>
    </cfRule>
  </conditionalFormatting>
  <conditionalFormatting sqref="D28">
    <cfRule type="containsText" dxfId="3386" priority="1476" stopIfTrue="1" operator="containsText" text="خارجية">
      <formula>NOT(ISERROR(SEARCH("خارجية",D28)))</formula>
    </cfRule>
    <cfRule type="containsText" dxfId="3385" priority="1477" stopIfTrue="1" operator="containsText" text="ن داخلية">
      <formula>NOT(ISERROR(SEARCH("ن داخلية",D28)))</formula>
    </cfRule>
    <cfRule type="containsText" dxfId="3384" priority="1478" stopIfTrue="1" operator="containsText" text="داخلية">
      <formula>NOT(ISERROR(SEARCH("داخلية",D28)))</formula>
    </cfRule>
    <cfRule type="containsText" dxfId="3383" priority="1479" stopIfTrue="1" operator="containsText" text="ن داخلية">
      <formula>NOT(ISERROR(SEARCH("ن داخلية",D28)))</formula>
    </cfRule>
    <cfRule type="containsText" dxfId="3382" priority="1480" stopIfTrue="1" operator="containsText" text="داخلية">
      <formula>NOT(ISERROR(SEARCH("داخلية",D28)))</formula>
    </cfRule>
    <cfRule type="cellIs" dxfId="3381" priority="1481" stopIfTrue="1" operator="equal">
      <formula>"ن داخلي"</formula>
    </cfRule>
    <cfRule type="cellIs" dxfId="3380" priority="1482" stopIfTrue="1" operator="equal">
      <formula>"ن داخلية"</formula>
    </cfRule>
    <cfRule type="cellIs" dxfId="3379" priority="1483" stopIfTrue="1" operator="equal">
      <formula>#REF!</formula>
    </cfRule>
    <cfRule type="cellIs" dxfId="3378" priority="1484" stopIfTrue="1" operator="equal">
      <formula>#REF!</formula>
    </cfRule>
    <cfRule type="cellIs" dxfId="3377" priority="1485" stopIfTrue="1" operator="equal">
      <formula>#REF!</formula>
    </cfRule>
    <cfRule type="cellIs" dxfId="3376" priority="1486" stopIfTrue="1" operator="equal">
      <formula>#REF!</formula>
    </cfRule>
    <cfRule type="cellIs" dxfId="3375" priority="1487" stopIfTrue="1" operator="equal">
      <formula>"داخلية"</formula>
    </cfRule>
  </conditionalFormatting>
  <conditionalFormatting sqref="D28">
    <cfRule type="containsText" dxfId="3374" priority="1474" stopIfTrue="1" operator="containsText" text="خارجية">
      <formula>NOT(ISERROR(SEARCH("خارجية",D28)))</formula>
    </cfRule>
    <cfRule type="containsText" dxfId="3373" priority="1475" stopIfTrue="1" operator="containsText" text="خارجي">
      <formula>NOT(ISERROR(SEARCH("خارجي",D28)))</formula>
    </cfRule>
  </conditionalFormatting>
  <conditionalFormatting sqref="D28">
    <cfRule type="expression" dxfId="3372" priority="1473" stopIfTrue="1">
      <formula>#REF!=""</formula>
    </cfRule>
  </conditionalFormatting>
  <conditionalFormatting sqref="D28">
    <cfRule type="expression" dxfId="3371" priority="1472" stopIfTrue="1">
      <formula>#REF!=""</formula>
    </cfRule>
  </conditionalFormatting>
  <conditionalFormatting sqref="D28">
    <cfRule type="expression" dxfId="3370" priority="1471" stopIfTrue="1">
      <formula>#REF!=""</formula>
    </cfRule>
  </conditionalFormatting>
  <conditionalFormatting sqref="D28">
    <cfRule type="expression" dxfId="3369" priority="1470" stopIfTrue="1">
      <formula>#REF!=""</formula>
    </cfRule>
  </conditionalFormatting>
  <conditionalFormatting sqref="D28">
    <cfRule type="expression" dxfId="3368" priority="1469" stopIfTrue="1">
      <formula>#REF!=""</formula>
    </cfRule>
  </conditionalFormatting>
  <conditionalFormatting sqref="D28">
    <cfRule type="containsText" dxfId="3367" priority="1457" stopIfTrue="1" operator="containsText" text="خارجية">
      <formula>NOT(ISERROR(SEARCH("خارجية",D28)))</formula>
    </cfRule>
    <cfRule type="containsText" dxfId="3366" priority="1458" stopIfTrue="1" operator="containsText" text="ن داخلية">
      <formula>NOT(ISERROR(SEARCH("ن داخلية",D28)))</formula>
    </cfRule>
    <cfRule type="containsText" dxfId="3365" priority="1459" stopIfTrue="1" operator="containsText" text="داخلية">
      <formula>NOT(ISERROR(SEARCH("داخلية",D28)))</formula>
    </cfRule>
    <cfRule type="containsText" dxfId="3364" priority="1460" stopIfTrue="1" operator="containsText" text="ن داخلية">
      <formula>NOT(ISERROR(SEARCH("ن داخلية",D28)))</formula>
    </cfRule>
    <cfRule type="containsText" dxfId="3363" priority="1461" stopIfTrue="1" operator="containsText" text="داخلية">
      <formula>NOT(ISERROR(SEARCH("داخلية",D28)))</formula>
    </cfRule>
    <cfRule type="cellIs" dxfId="3362" priority="1462" stopIfTrue="1" operator="equal">
      <formula>"ن داخلي"</formula>
    </cfRule>
    <cfRule type="cellIs" dxfId="3361" priority="1463" stopIfTrue="1" operator="equal">
      <formula>"ن داخلية"</formula>
    </cfRule>
    <cfRule type="cellIs" dxfId="3360" priority="1464" stopIfTrue="1" operator="equal">
      <formula>#REF!</formula>
    </cfRule>
    <cfRule type="cellIs" dxfId="3359" priority="1465" stopIfTrue="1" operator="equal">
      <formula>#REF!</formula>
    </cfRule>
    <cfRule type="cellIs" dxfId="3358" priority="1466" stopIfTrue="1" operator="equal">
      <formula>#REF!</formula>
    </cfRule>
    <cfRule type="cellIs" dxfId="3357" priority="1467" stopIfTrue="1" operator="equal">
      <formula>#REF!</formula>
    </cfRule>
    <cfRule type="cellIs" dxfId="3356" priority="1468" stopIfTrue="1" operator="equal">
      <formula>"داخلية"</formula>
    </cfRule>
  </conditionalFormatting>
  <conditionalFormatting sqref="D28">
    <cfRule type="containsText" dxfId="3355" priority="1455" stopIfTrue="1" operator="containsText" text="خارجية">
      <formula>NOT(ISERROR(SEARCH("خارجية",D28)))</formula>
    </cfRule>
    <cfRule type="containsText" dxfId="3354" priority="1456" stopIfTrue="1" operator="containsText" text="خارجي">
      <formula>NOT(ISERROR(SEARCH("خارجي",D28)))</formula>
    </cfRule>
  </conditionalFormatting>
  <conditionalFormatting sqref="D28">
    <cfRule type="expression" dxfId="3353" priority="1454" stopIfTrue="1">
      <formula>#REF!=""</formula>
    </cfRule>
  </conditionalFormatting>
  <conditionalFormatting sqref="D28">
    <cfRule type="expression" dxfId="3352" priority="1453" stopIfTrue="1">
      <formula>#REF!=""</formula>
    </cfRule>
  </conditionalFormatting>
  <conditionalFormatting sqref="D28">
    <cfRule type="expression" dxfId="3351" priority="1452" stopIfTrue="1">
      <formula>#REF!=""</formula>
    </cfRule>
  </conditionalFormatting>
  <conditionalFormatting sqref="D28">
    <cfRule type="containsText" dxfId="3350" priority="1440" stopIfTrue="1" operator="containsText" text="خارجية">
      <formula>NOT(ISERROR(SEARCH("خارجية",D28)))</formula>
    </cfRule>
    <cfRule type="containsText" dxfId="3349" priority="1441" stopIfTrue="1" operator="containsText" text="ن داخلية">
      <formula>NOT(ISERROR(SEARCH("ن داخلية",D28)))</formula>
    </cfRule>
    <cfRule type="containsText" dxfId="3348" priority="1442" stopIfTrue="1" operator="containsText" text="داخلية">
      <formula>NOT(ISERROR(SEARCH("داخلية",D28)))</formula>
    </cfRule>
    <cfRule type="containsText" dxfId="3347" priority="1443" stopIfTrue="1" operator="containsText" text="ن داخلية">
      <formula>NOT(ISERROR(SEARCH("ن داخلية",D28)))</formula>
    </cfRule>
    <cfRule type="containsText" dxfId="3346" priority="1444" stopIfTrue="1" operator="containsText" text="داخلية">
      <formula>NOT(ISERROR(SEARCH("داخلية",D28)))</formula>
    </cfRule>
    <cfRule type="cellIs" dxfId="3345" priority="1445" stopIfTrue="1" operator="equal">
      <formula>"ن داخلي"</formula>
    </cfRule>
    <cfRule type="cellIs" dxfId="3344" priority="1446" stopIfTrue="1" operator="equal">
      <formula>"ن داخلية"</formula>
    </cfRule>
    <cfRule type="cellIs" dxfId="3343" priority="1447" stopIfTrue="1" operator="equal">
      <formula>#REF!</formula>
    </cfRule>
    <cfRule type="cellIs" dxfId="3342" priority="1448" stopIfTrue="1" operator="equal">
      <formula>#REF!</formula>
    </cfRule>
    <cfRule type="cellIs" dxfId="3341" priority="1449" stopIfTrue="1" operator="equal">
      <formula>#REF!</formula>
    </cfRule>
    <cfRule type="cellIs" dxfId="3340" priority="1450" stopIfTrue="1" operator="equal">
      <formula>#REF!</formula>
    </cfRule>
    <cfRule type="cellIs" dxfId="3339" priority="1451" stopIfTrue="1" operator="equal">
      <formula>"داخلية"</formula>
    </cfRule>
  </conditionalFormatting>
  <conditionalFormatting sqref="D28">
    <cfRule type="containsText" dxfId="3338" priority="1438" stopIfTrue="1" operator="containsText" text="خارجية">
      <formula>NOT(ISERROR(SEARCH("خارجية",D28)))</formula>
    </cfRule>
    <cfRule type="containsText" dxfId="3337" priority="1439" stopIfTrue="1" operator="containsText" text="خارجي">
      <formula>NOT(ISERROR(SEARCH("خارجي",D28)))</formula>
    </cfRule>
  </conditionalFormatting>
  <conditionalFormatting sqref="D28">
    <cfRule type="expression" dxfId="3336" priority="1437" stopIfTrue="1">
      <formula>#REF!=""</formula>
    </cfRule>
  </conditionalFormatting>
  <conditionalFormatting sqref="D28">
    <cfRule type="expression" dxfId="3335" priority="1436" stopIfTrue="1">
      <formula>#REF!=""</formula>
    </cfRule>
  </conditionalFormatting>
  <conditionalFormatting sqref="D28">
    <cfRule type="containsText" dxfId="3334" priority="1424" stopIfTrue="1" operator="containsText" text="خارجية">
      <formula>NOT(ISERROR(SEARCH("خارجية",D28)))</formula>
    </cfRule>
    <cfRule type="containsText" dxfId="3333" priority="1425" stopIfTrue="1" operator="containsText" text="ن داخلية">
      <formula>NOT(ISERROR(SEARCH("ن داخلية",D28)))</formula>
    </cfRule>
    <cfRule type="containsText" dxfId="3332" priority="1426" stopIfTrue="1" operator="containsText" text="داخلية">
      <formula>NOT(ISERROR(SEARCH("داخلية",D28)))</formula>
    </cfRule>
    <cfRule type="containsText" dxfId="3331" priority="1427" stopIfTrue="1" operator="containsText" text="ن داخلية">
      <formula>NOT(ISERROR(SEARCH("ن داخلية",D28)))</formula>
    </cfRule>
    <cfRule type="containsText" dxfId="3330" priority="1428" stopIfTrue="1" operator="containsText" text="داخلية">
      <formula>NOT(ISERROR(SEARCH("داخلية",D28)))</formula>
    </cfRule>
    <cfRule type="cellIs" dxfId="3329" priority="1429" stopIfTrue="1" operator="equal">
      <formula>"ن داخلي"</formula>
    </cfRule>
    <cfRule type="cellIs" dxfId="3328" priority="1430" stopIfTrue="1" operator="equal">
      <formula>"ن داخلية"</formula>
    </cfRule>
    <cfRule type="cellIs" dxfId="3327" priority="1431" stopIfTrue="1" operator="equal">
      <formula>#REF!</formula>
    </cfRule>
    <cfRule type="cellIs" dxfId="3326" priority="1432" stopIfTrue="1" operator="equal">
      <formula>#REF!</formula>
    </cfRule>
    <cfRule type="cellIs" dxfId="3325" priority="1433" stopIfTrue="1" operator="equal">
      <formula>#REF!</formula>
    </cfRule>
    <cfRule type="cellIs" dxfId="3324" priority="1434" stopIfTrue="1" operator="equal">
      <formula>#REF!</formula>
    </cfRule>
    <cfRule type="cellIs" dxfId="3323" priority="1435" stopIfTrue="1" operator="equal">
      <formula>"داخلية"</formula>
    </cfRule>
  </conditionalFormatting>
  <conditionalFormatting sqref="D28">
    <cfRule type="containsText" dxfId="3322" priority="1422" stopIfTrue="1" operator="containsText" text="خارجية">
      <formula>NOT(ISERROR(SEARCH("خارجية",D28)))</formula>
    </cfRule>
    <cfRule type="containsText" dxfId="3321" priority="1423" stopIfTrue="1" operator="containsText" text="خارجي">
      <formula>NOT(ISERROR(SEARCH("خارجي",D28)))</formula>
    </cfRule>
  </conditionalFormatting>
  <conditionalFormatting sqref="D28">
    <cfRule type="expression" dxfId="3320" priority="1421" stopIfTrue="1">
      <formula>#REF!=""</formula>
    </cfRule>
  </conditionalFormatting>
  <conditionalFormatting sqref="B12:C12">
    <cfRule type="expression" dxfId="3319" priority="1420" stopIfTrue="1">
      <formula>#REF!=""</formula>
    </cfRule>
  </conditionalFormatting>
  <conditionalFormatting sqref="B12:C12">
    <cfRule type="expression" dxfId="3318" priority="1419" stopIfTrue="1">
      <formula>#REF!=""</formula>
    </cfRule>
  </conditionalFormatting>
  <conditionalFormatting sqref="B12:C12">
    <cfRule type="expression" dxfId="3317" priority="1418" stopIfTrue="1">
      <formula>#REF!=""</formula>
    </cfRule>
  </conditionalFormatting>
  <conditionalFormatting sqref="B12:C12">
    <cfRule type="expression" dxfId="3316" priority="1417" stopIfTrue="1">
      <formula>#REF!=""</formula>
    </cfRule>
  </conditionalFormatting>
  <conditionalFormatting sqref="C12">
    <cfRule type="expression" dxfId="3315" priority="1416" stopIfTrue="1">
      <formula>#REF!=""</formula>
    </cfRule>
  </conditionalFormatting>
  <conditionalFormatting sqref="C12">
    <cfRule type="expression" dxfId="3314" priority="1415" stopIfTrue="1">
      <formula>#REF!=""</formula>
    </cfRule>
  </conditionalFormatting>
  <conditionalFormatting sqref="B12:C12">
    <cfRule type="expression" dxfId="3313" priority="1414" stopIfTrue="1">
      <formula>#REF!=""</formula>
    </cfRule>
  </conditionalFormatting>
  <conditionalFormatting sqref="C12">
    <cfRule type="expression" dxfId="3312" priority="1413" stopIfTrue="1">
      <formula>#REF!=""</formula>
    </cfRule>
  </conditionalFormatting>
  <conditionalFormatting sqref="B11:C11">
    <cfRule type="expression" dxfId="3311" priority="1412" stopIfTrue="1">
      <formula>#REF!=""</formula>
    </cfRule>
  </conditionalFormatting>
  <conditionalFormatting sqref="B11:C11">
    <cfRule type="expression" dxfId="3310" priority="1411" stopIfTrue="1">
      <formula>#REF!=""</formula>
    </cfRule>
  </conditionalFormatting>
  <conditionalFormatting sqref="B11:C11">
    <cfRule type="expression" dxfId="3309" priority="1410" stopIfTrue="1">
      <formula>#REF!=""</formula>
    </cfRule>
  </conditionalFormatting>
  <conditionalFormatting sqref="B11:C11">
    <cfRule type="expression" dxfId="3308" priority="1409" stopIfTrue="1">
      <formula>#REF!=""</formula>
    </cfRule>
  </conditionalFormatting>
  <conditionalFormatting sqref="B11:C11">
    <cfRule type="expression" dxfId="3307" priority="1408" stopIfTrue="1">
      <formula>#REF!=""</formula>
    </cfRule>
  </conditionalFormatting>
  <conditionalFormatting sqref="B11:C11">
    <cfRule type="expression" dxfId="3306" priority="1407" stopIfTrue="1">
      <formula>#REF!=""</formula>
    </cfRule>
  </conditionalFormatting>
  <conditionalFormatting sqref="B11:C11">
    <cfRule type="expression" dxfId="3305" priority="1406" stopIfTrue="1">
      <formula>#REF!=""</formula>
    </cfRule>
  </conditionalFormatting>
  <conditionalFormatting sqref="B11:C11">
    <cfRule type="expression" dxfId="3304" priority="1405" stopIfTrue="1">
      <formula>#REF!=""</formula>
    </cfRule>
  </conditionalFormatting>
  <conditionalFormatting sqref="B13:C13">
    <cfRule type="expression" dxfId="3303" priority="1404" stopIfTrue="1">
      <formula>#REF!=""</formula>
    </cfRule>
  </conditionalFormatting>
  <conditionalFormatting sqref="B13:C13">
    <cfRule type="expression" dxfId="3302" priority="1403" stopIfTrue="1">
      <formula>#REF!=""</formula>
    </cfRule>
  </conditionalFormatting>
  <conditionalFormatting sqref="B13:C13">
    <cfRule type="expression" dxfId="3301" priority="1402" stopIfTrue="1">
      <formula>#REF!=""</formula>
    </cfRule>
  </conditionalFormatting>
  <conditionalFormatting sqref="B13:C13">
    <cfRule type="expression" dxfId="3300" priority="1401" stopIfTrue="1">
      <formula>#REF!=""</formula>
    </cfRule>
  </conditionalFormatting>
  <conditionalFormatting sqref="B13:D13">
    <cfRule type="expression" dxfId="3299" priority="1400" stopIfTrue="1">
      <formula>#REF!=""</formula>
    </cfRule>
  </conditionalFormatting>
  <conditionalFormatting sqref="B13:D13">
    <cfRule type="expression" dxfId="3298" priority="1399" stopIfTrue="1">
      <formula>#REF!=""</formula>
    </cfRule>
  </conditionalFormatting>
  <conditionalFormatting sqref="B13:D13">
    <cfRule type="expression" dxfId="3297" priority="1398" stopIfTrue="1">
      <formula>#REF!=""</formula>
    </cfRule>
  </conditionalFormatting>
  <conditionalFormatting sqref="B13:D13">
    <cfRule type="expression" dxfId="3296" priority="1397" stopIfTrue="1">
      <formula>#REF!=""</formula>
    </cfRule>
  </conditionalFormatting>
  <conditionalFormatting sqref="D13">
    <cfRule type="containsText" dxfId="3295" priority="1385" stopIfTrue="1" operator="containsText" text="خارجية">
      <formula>NOT(ISERROR(SEARCH("خارجية",D13)))</formula>
    </cfRule>
    <cfRule type="containsText" dxfId="3294" priority="1386" stopIfTrue="1" operator="containsText" text="ن داخلية">
      <formula>NOT(ISERROR(SEARCH("ن داخلية",D13)))</formula>
    </cfRule>
    <cfRule type="containsText" dxfId="3293" priority="1387" stopIfTrue="1" operator="containsText" text="داخلية">
      <formula>NOT(ISERROR(SEARCH("داخلية",D13)))</formula>
    </cfRule>
    <cfRule type="containsText" dxfId="3292" priority="1388" stopIfTrue="1" operator="containsText" text="ن داخلية">
      <formula>NOT(ISERROR(SEARCH("ن داخلية",D13)))</formula>
    </cfRule>
    <cfRule type="containsText" dxfId="3291" priority="1389" stopIfTrue="1" operator="containsText" text="داخلية">
      <formula>NOT(ISERROR(SEARCH("داخلية",D13)))</formula>
    </cfRule>
    <cfRule type="cellIs" dxfId="3290" priority="1390" stopIfTrue="1" operator="equal">
      <formula>"ن داخلي"</formula>
    </cfRule>
    <cfRule type="cellIs" dxfId="3289" priority="1391" stopIfTrue="1" operator="equal">
      <formula>"ن داخلية"</formula>
    </cfRule>
    <cfRule type="cellIs" dxfId="3288" priority="1392" stopIfTrue="1" operator="equal">
      <formula>#REF!</formula>
    </cfRule>
    <cfRule type="cellIs" dxfId="3287" priority="1393" stopIfTrue="1" operator="equal">
      <formula>#REF!</formula>
    </cfRule>
    <cfRule type="cellIs" dxfId="3286" priority="1394" stopIfTrue="1" operator="equal">
      <formula>#REF!</formula>
    </cfRule>
    <cfRule type="cellIs" dxfId="3285" priority="1395" stopIfTrue="1" operator="equal">
      <formula>#REF!</formula>
    </cfRule>
    <cfRule type="cellIs" dxfId="3284" priority="1396" stopIfTrue="1" operator="equal">
      <formula>"داخلية"</formula>
    </cfRule>
  </conditionalFormatting>
  <conditionalFormatting sqref="D13">
    <cfRule type="cellIs" dxfId="3283" priority="1384" stopIfTrue="1" operator="greaterThan">
      <formula>"9.999"</formula>
    </cfRule>
  </conditionalFormatting>
  <conditionalFormatting sqref="D13">
    <cfRule type="expression" dxfId="3282" priority="1383" stopIfTrue="1">
      <formula>#REF!=""</formula>
    </cfRule>
  </conditionalFormatting>
  <conditionalFormatting sqref="D13">
    <cfRule type="containsText" dxfId="3281" priority="1371" stopIfTrue="1" operator="containsText" text="خارجية">
      <formula>NOT(ISERROR(SEARCH("خارجية",D13)))</formula>
    </cfRule>
    <cfRule type="containsText" dxfId="3280" priority="1372" stopIfTrue="1" operator="containsText" text="ن داخلية">
      <formula>NOT(ISERROR(SEARCH("ن داخلية",D13)))</formula>
    </cfRule>
    <cfRule type="containsText" dxfId="3279" priority="1373" stopIfTrue="1" operator="containsText" text="داخلية">
      <formula>NOT(ISERROR(SEARCH("داخلية",D13)))</formula>
    </cfRule>
    <cfRule type="containsText" dxfId="3278" priority="1374" stopIfTrue="1" operator="containsText" text="ن داخلية">
      <formula>NOT(ISERROR(SEARCH("ن داخلية",D13)))</formula>
    </cfRule>
    <cfRule type="containsText" dxfId="3277" priority="1375" stopIfTrue="1" operator="containsText" text="داخلية">
      <formula>NOT(ISERROR(SEARCH("داخلية",D13)))</formula>
    </cfRule>
    <cfRule type="cellIs" dxfId="3276" priority="1376" stopIfTrue="1" operator="equal">
      <formula>"ن داخلي"</formula>
    </cfRule>
    <cfRule type="cellIs" dxfId="3275" priority="1377" stopIfTrue="1" operator="equal">
      <formula>"ن داخلية"</formula>
    </cfRule>
    <cfRule type="cellIs" dxfId="3274" priority="1378" stopIfTrue="1" operator="equal">
      <formula>#REF!</formula>
    </cfRule>
    <cfRule type="cellIs" dxfId="3273" priority="1379" stopIfTrue="1" operator="equal">
      <formula>#REF!</formula>
    </cfRule>
    <cfRule type="cellIs" dxfId="3272" priority="1380" stopIfTrue="1" operator="equal">
      <formula>#REF!</formula>
    </cfRule>
    <cfRule type="cellIs" dxfId="3271" priority="1381" stopIfTrue="1" operator="equal">
      <formula>#REF!</formula>
    </cfRule>
    <cfRule type="cellIs" dxfId="3270" priority="1382" stopIfTrue="1" operator="equal">
      <formula>"داخلية"</formula>
    </cfRule>
  </conditionalFormatting>
  <conditionalFormatting sqref="D13">
    <cfRule type="cellIs" dxfId="3269" priority="1370" stopIfTrue="1" operator="greaterThan">
      <formula>"9.999"</formula>
    </cfRule>
  </conditionalFormatting>
  <conditionalFormatting sqref="D13">
    <cfRule type="expression" dxfId="3268" priority="1369" stopIfTrue="1">
      <formula>#REF!=""</formula>
    </cfRule>
  </conditionalFormatting>
  <conditionalFormatting sqref="D13">
    <cfRule type="containsText" dxfId="3267" priority="1357" stopIfTrue="1" operator="containsText" text="خارجية">
      <formula>NOT(ISERROR(SEARCH("خارجية",D13)))</formula>
    </cfRule>
    <cfRule type="containsText" dxfId="3266" priority="1358" stopIfTrue="1" operator="containsText" text="ن داخلية">
      <formula>NOT(ISERROR(SEARCH("ن داخلية",D13)))</formula>
    </cfRule>
    <cfRule type="containsText" dxfId="3265" priority="1359" stopIfTrue="1" operator="containsText" text="داخلية">
      <formula>NOT(ISERROR(SEARCH("داخلية",D13)))</formula>
    </cfRule>
    <cfRule type="containsText" dxfId="3264" priority="1360" stopIfTrue="1" operator="containsText" text="ن داخلية">
      <formula>NOT(ISERROR(SEARCH("ن داخلية",D13)))</formula>
    </cfRule>
    <cfRule type="containsText" dxfId="3263" priority="1361" stopIfTrue="1" operator="containsText" text="داخلية">
      <formula>NOT(ISERROR(SEARCH("داخلية",D13)))</formula>
    </cfRule>
    <cfRule type="cellIs" dxfId="3262" priority="1362" stopIfTrue="1" operator="equal">
      <formula>"ن داخلي"</formula>
    </cfRule>
    <cfRule type="cellIs" dxfId="3261" priority="1363" stopIfTrue="1" operator="equal">
      <formula>"ن داخلية"</formula>
    </cfRule>
    <cfRule type="cellIs" dxfId="3260" priority="1364" stopIfTrue="1" operator="equal">
      <formula>#REF!</formula>
    </cfRule>
    <cfRule type="cellIs" dxfId="3259" priority="1365" stopIfTrue="1" operator="equal">
      <formula>#REF!</formula>
    </cfRule>
    <cfRule type="cellIs" dxfId="3258" priority="1366" stopIfTrue="1" operator="equal">
      <formula>#REF!</formula>
    </cfRule>
    <cfRule type="cellIs" dxfId="3257" priority="1367" stopIfTrue="1" operator="equal">
      <formula>#REF!</formula>
    </cfRule>
    <cfRule type="cellIs" dxfId="3256" priority="1368" stopIfTrue="1" operator="equal">
      <formula>"داخلية"</formula>
    </cfRule>
  </conditionalFormatting>
  <conditionalFormatting sqref="D13">
    <cfRule type="cellIs" dxfId="3255" priority="1356" stopIfTrue="1" operator="greaterThan">
      <formula>"9.999"</formula>
    </cfRule>
  </conditionalFormatting>
  <conditionalFormatting sqref="D13">
    <cfRule type="expression" dxfId="3254" priority="1355" stopIfTrue="1">
      <formula>#REF!=""</formula>
    </cfRule>
  </conditionalFormatting>
  <conditionalFormatting sqref="D13">
    <cfRule type="cellIs" dxfId="3253" priority="1354" stopIfTrue="1" operator="greaterThan">
      <formula>"9.999"</formula>
    </cfRule>
  </conditionalFormatting>
  <conditionalFormatting sqref="D13">
    <cfRule type="containsText" dxfId="3252" priority="1342" stopIfTrue="1" operator="containsText" text="خارجية">
      <formula>NOT(ISERROR(SEARCH("خارجية",D13)))</formula>
    </cfRule>
    <cfRule type="containsText" dxfId="3251" priority="1343" stopIfTrue="1" operator="containsText" text="ن داخلية">
      <formula>NOT(ISERROR(SEARCH("ن داخلية",D13)))</formula>
    </cfRule>
    <cfRule type="containsText" dxfId="3250" priority="1344" stopIfTrue="1" operator="containsText" text="داخلية">
      <formula>NOT(ISERROR(SEARCH("داخلية",D13)))</formula>
    </cfRule>
    <cfRule type="containsText" dxfId="3249" priority="1345" stopIfTrue="1" operator="containsText" text="ن داخلية">
      <formula>NOT(ISERROR(SEARCH("ن داخلية",D13)))</formula>
    </cfRule>
    <cfRule type="containsText" dxfId="3248" priority="1346" stopIfTrue="1" operator="containsText" text="داخلية">
      <formula>NOT(ISERROR(SEARCH("داخلية",D13)))</formula>
    </cfRule>
    <cfRule type="cellIs" dxfId="3247" priority="1347" stopIfTrue="1" operator="equal">
      <formula>"ن داخلي"</formula>
    </cfRule>
    <cfRule type="cellIs" dxfId="3246" priority="1348" stopIfTrue="1" operator="equal">
      <formula>"ن داخلية"</formula>
    </cfRule>
    <cfRule type="cellIs" dxfId="3245" priority="1349" stopIfTrue="1" operator="equal">
      <formula>#REF!</formula>
    </cfRule>
    <cfRule type="cellIs" dxfId="3244" priority="1350" stopIfTrue="1" operator="equal">
      <formula>#REF!</formula>
    </cfRule>
    <cfRule type="cellIs" dxfId="3243" priority="1351" stopIfTrue="1" operator="equal">
      <formula>#REF!</formula>
    </cfRule>
    <cfRule type="cellIs" dxfId="3242" priority="1352" stopIfTrue="1" operator="equal">
      <formula>#REF!</formula>
    </cfRule>
    <cfRule type="cellIs" dxfId="3241" priority="1353" stopIfTrue="1" operator="equal">
      <formula>"داخلية"</formula>
    </cfRule>
  </conditionalFormatting>
  <conditionalFormatting sqref="D13">
    <cfRule type="expression" dxfId="3240" priority="1341" stopIfTrue="1">
      <formula>#REF!=""</formula>
    </cfRule>
  </conditionalFormatting>
  <conditionalFormatting sqref="D13">
    <cfRule type="containsText" dxfId="3239" priority="1329" stopIfTrue="1" operator="containsText" text="خارجية">
      <formula>NOT(ISERROR(SEARCH("خارجية",D13)))</formula>
    </cfRule>
    <cfRule type="containsText" dxfId="3238" priority="1330" stopIfTrue="1" operator="containsText" text="ن داخلية">
      <formula>NOT(ISERROR(SEARCH("ن داخلية",D13)))</formula>
    </cfRule>
    <cfRule type="containsText" dxfId="3237" priority="1331" stopIfTrue="1" operator="containsText" text="داخلية">
      <formula>NOT(ISERROR(SEARCH("داخلية",D13)))</formula>
    </cfRule>
    <cfRule type="containsText" dxfId="3236" priority="1332" stopIfTrue="1" operator="containsText" text="ن داخلية">
      <formula>NOT(ISERROR(SEARCH("ن داخلية",D13)))</formula>
    </cfRule>
    <cfRule type="containsText" dxfId="3235" priority="1333" stopIfTrue="1" operator="containsText" text="داخلية">
      <formula>NOT(ISERROR(SEARCH("داخلية",D13)))</formula>
    </cfRule>
    <cfRule type="cellIs" dxfId="3234" priority="1334" stopIfTrue="1" operator="equal">
      <formula>"ن داخلي"</formula>
    </cfRule>
    <cfRule type="cellIs" dxfId="3233" priority="1335" stopIfTrue="1" operator="equal">
      <formula>"ن داخلية"</formula>
    </cfRule>
    <cfRule type="cellIs" dxfId="3232" priority="1336" stopIfTrue="1" operator="equal">
      <formula>#REF!</formula>
    </cfRule>
    <cfRule type="cellIs" dxfId="3231" priority="1337" stopIfTrue="1" operator="equal">
      <formula>#REF!</formula>
    </cfRule>
    <cfRule type="cellIs" dxfId="3230" priority="1338" stopIfTrue="1" operator="equal">
      <formula>#REF!</formula>
    </cfRule>
    <cfRule type="cellIs" dxfId="3229" priority="1339" stopIfTrue="1" operator="equal">
      <formula>#REF!</formula>
    </cfRule>
    <cfRule type="cellIs" dxfId="3228" priority="1340" stopIfTrue="1" operator="equal">
      <formula>"داخلية"</formula>
    </cfRule>
  </conditionalFormatting>
  <conditionalFormatting sqref="D13">
    <cfRule type="containsText" dxfId="3227" priority="1327" stopIfTrue="1" operator="containsText" text="خارجية">
      <formula>NOT(ISERROR(SEARCH("خارجية",D13)))</formula>
    </cfRule>
    <cfRule type="containsText" dxfId="3226" priority="1328" stopIfTrue="1" operator="containsText" text="خارجي">
      <formula>NOT(ISERROR(SEARCH("خارجي",D13)))</formula>
    </cfRule>
  </conditionalFormatting>
  <conditionalFormatting sqref="D13">
    <cfRule type="expression" dxfId="3225" priority="1326" stopIfTrue="1">
      <formula>#REF!=""</formula>
    </cfRule>
  </conditionalFormatting>
  <conditionalFormatting sqref="D13">
    <cfRule type="expression" dxfId="3224" priority="1325" stopIfTrue="1">
      <formula>#REF!=""</formula>
    </cfRule>
  </conditionalFormatting>
  <conditionalFormatting sqref="D13">
    <cfRule type="containsText" dxfId="3223" priority="1313" stopIfTrue="1" operator="containsText" text="خارجية">
      <formula>NOT(ISERROR(SEARCH("خارجية",D13)))</formula>
    </cfRule>
    <cfRule type="containsText" dxfId="3222" priority="1314" stopIfTrue="1" operator="containsText" text="ن داخلية">
      <formula>NOT(ISERROR(SEARCH("ن داخلية",D13)))</formula>
    </cfRule>
    <cfRule type="containsText" dxfId="3221" priority="1315" stopIfTrue="1" operator="containsText" text="داخلية">
      <formula>NOT(ISERROR(SEARCH("داخلية",D13)))</formula>
    </cfRule>
    <cfRule type="containsText" dxfId="3220" priority="1316" stopIfTrue="1" operator="containsText" text="ن داخلية">
      <formula>NOT(ISERROR(SEARCH("ن داخلية",D13)))</formula>
    </cfRule>
    <cfRule type="containsText" dxfId="3219" priority="1317" stopIfTrue="1" operator="containsText" text="داخلية">
      <formula>NOT(ISERROR(SEARCH("داخلية",D13)))</formula>
    </cfRule>
    <cfRule type="cellIs" dxfId="3218" priority="1318" stopIfTrue="1" operator="equal">
      <formula>"ن داخلي"</formula>
    </cfRule>
    <cfRule type="cellIs" dxfId="3217" priority="1319" stopIfTrue="1" operator="equal">
      <formula>"ن داخلية"</formula>
    </cfRule>
    <cfRule type="cellIs" dxfId="3216" priority="1320" stopIfTrue="1" operator="equal">
      <formula>#REF!</formula>
    </cfRule>
    <cfRule type="cellIs" dxfId="3215" priority="1321" stopIfTrue="1" operator="equal">
      <formula>#REF!</formula>
    </cfRule>
    <cfRule type="cellIs" dxfId="3214" priority="1322" stopIfTrue="1" operator="equal">
      <formula>#REF!</formula>
    </cfRule>
    <cfRule type="cellIs" dxfId="3213" priority="1323" stopIfTrue="1" operator="equal">
      <formula>#REF!</formula>
    </cfRule>
    <cfRule type="cellIs" dxfId="3212" priority="1324" stopIfTrue="1" operator="equal">
      <formula>"داخلية"</formula>
    </cfRule>
  </conditionalFormatting>
  <conditionalFormatting sqref="D13">
    <cfRule type="containsText" dxfId="3211" priority="1311" stopIfTrue="1" operator="containsText" text="خارجية">
      <formula>NOT(ISERROR(SEARCH("خارجية",D13)))</formula>
    </cfRule>
    <cfRule type="containsText" dxfId="3210" priority="1312" stopIfTrue="1" operator="containsText" text="خارجي">
      <formula>NOT(ISERROR(SEARCH("خارجي",D13)))</formula>
    </cfRule>
  </conditionalFormatting>
  <conditionalFormatting sqref="D13">
    <cfRule type="expression" dxfId="3209" priority="1310" stopIfTrue="1">
      <formula>#REF!=""</formula>
    </cfRule>
  </conditionalFormatting>
  <conditionalFormatting sqref="D13">
    <cfRule type="containsText" dxfId="3208" priority="1308" stopIfTrue="1" operator="containsText" text="خارجية">
      <formula>NOT(ISERROR(SEARCH("خارجية",D13)))</formula>
    </cfRule>
    <cfRule type="containsText" dxfId="3207" priority="1309" stopIfTrue="1" operator="containsText" text="خارجي">
      <formula>NOT(ISERROR(SEARCH("خارجي",D13)))</formula>
    </cfRule>
  </conditionalFormatting>
  <conditionalFormatting sqref="D13">
    <cfRule type="containsText" dxfId="3206" priority="1296" stopIfTrue="1" operator="containsText" text="خارجية">
      <formula>NOT(ISERROR(SEARCH("خارجية",D13)))</formula>
    </cfRule>
    <cfRule type="containsText" dxfId="3205" priority="1297" stopIfTrue="1" operator="containsText" text="ن داخلية">
      <formula>NOT(ISERROR(SEARCH("ن داخلية",D13)))</formula>
    </cfRule>
    <cfRule type="containsText" dxfId="3204" priority="1298" stopIfTrue="1" operator="containsText" text="داخلية">
      <formula>NOT(ISERROR(SEARCH("داخلية",D13)))</formula>
    </cfRule>
    <cfRule type="containsText" dxfId="3203" priority="1299" stopIfTrue="1" operator="containsText" text="ن داخلية">
      <formula>NOT(ISERROR(SEARCH("ن داخلية",D13)))</formula>
    </cfRule>
    <cfRule type="containsText" dxfId="3202" priority="1300" stopIfTrue="1" operator="containsText" text="داخلية">
      <formula>NOT(ISERROR(SEARCH("داخلية",D13)))</formula>
    </cfRule>
    <cfRule type="cellIs" dxfId="3201" priority="1301" stopIfTrue="1" operator="equal">
      <formula>"ن داخلي"</formula>
    </cfRule>
    <cfRule type="cellIs" dxfId="3200" priority="1302" stopIfTrue="1" operator="equal">
      <formula>"ن داخلية"</formula>
    </cfRule>
    <cfRule type="cellIs" dxfId="3199" priority="1303" stopIfTrue="1" operator="equal">
      <formula>#REF!</formula>
    </cfRule>
    <cfRule type="cellIs" dxfId="3198" priority="1304" stopIfTrue="1" operator="equal">
      <formula>#REF!</formula>
    </cfRule>
    <cfRule type="cellIs" dxfId="3197" priority="1305" stopIfTrue="1" operator="equal">
      <formula>#REF!</formula>
    </cfRule>
    <cfRule type="cellIs" dxfId="3196" priority="1306" stopIfTrue="1" operator="equal">
      <formula>#REF!</formula>
    </cfRule>
    <cfRule type="cellIs" dxfId="3195" priority="1307" stopIfTrue="1" operator="equal">
      <formula>"داخلية"</formula>
    </cfRule>
  </conditionalFormatting>
  <conditionalFormatting sqref="D13">
    <cfRule type="containsText" dxfId="3194" priority="1284" stopIfTrue="1" operator="containsText" text="خارجية">
      <formula>NOT(ISERROR(SEARCH("خارجية",D13)))</formula>
    </cfRule>
    <cfRule type="containsText" dxfId="3193" priority="1285" stopIfTrue="1" operator="containsText" text="ن داخلية">
      <formula>NOT(ISERROR(SEARCH("ن داخلية",D13)))</formula>
    </cfRule>
    <cfRule type="containsText" dxfId="3192" priority="1286" stopIfTrue="1" operator="containsText" text="داخلية">
      <formula>NOT(ISERROR(SEARCH("داخلية",D13)))</formula>
    </cfRule>
    <cfRule type="containsText" dxfId="3191" priority="1287" stopIfTrue="1" operator="containsText" text="ن داخلية">
      <formula>NOT(ISERROR(SEARCH("ن داخلية",D13)))</formula>
    </cfRule>
    <cfRule type="containsText" dxfId="3190" priority="1288" stopIfTrue="1" operator="containsText" text="داخلية">
      <formula>NOT(ISERROR(SEARCH("داخلية",D13)))</formula>
    </cfRule>
    <cfRule type="cellIs" dxfId="3189" priority="1289" stopIfTrue="1" operator="equal">
      <formula>"ن داخلي"</formula>
    </cfRule>
    <cfRule type="cellIs" dxfId="3188" priority="1290" stopIfTrue="1" operator="equal">
      <formula>"ن داخلية"</formula>
    </cfRule>
    <cfRule type="cellIs" dxfId="3187" priority="1291" stopIfTrue="1" operator="equal">
      <formula>#REF!</formula>
    </cfRule>
    <cfRule type="cellIs" dxfId="3186" priority="1292" stopIfTrue="1" operator="equal">
      <formula>#REF!</formula>
    </cfRule>
    <cfRule type="cellIs" dxfId="3185" priority="1293" stopIfTrue="1" operator="equal">
      <formula>#REF!</formula>
    </cfRule>
    <cfRule type="cellIs" dxfId="3184" priority="1294" stopIfTrue="1" operator="equal">
      <formula>#REF!</formula>
    </cfRule>
    <cfRule type="cellIs" dxfId="3183" priority="1295" stopIfTrue="1" operator="equal">
      <formula>"داخلية"</formula>
    </cfRule>
  </conditionalFormatting>
  <conditionalFormatting sqref="D13">
    <cfRule type="containsText" dxfId="3182" priority="1282" stopIfTrue="1" operator="containsText" text="خارجية">
      <formula>NOT(ISERROR(SEARCH("خارجية",D13)))</formula>
    </cfRule>
    <cfRule type="containsText" dxfId="3181" priority="1283" stopIfTrue="1" operator="containsText" text="خارجي">
      <formula>NOT(ISERROR(SEARCH("خارجي",D13)))</formula>
    </cfRule>
  </conditionalFormatting>
  <conditionalFormatting sqref="D13">
    <cfRule type="containsText" dxfId="3180" priority="1270" stopIfTrue="1" operator="containsText" text="خارجية">
      <formula>NOT(ISERROR(SEARCH("خارجية",D13)))</formula>
    </cfRule>
    <cfRule type="containsText" dxfId="3179" priority="1271" stopIfTrue="1" operator="containsText" text="ن داخلية">
      <formula>NOT(ISERROR(SEARCH("ن داخلية",D13)))</formula>
    </cfRule>
    <cfRule type="containsText" dxfId="3178" priority="1272" stopIfTrue="1" operator="containsText" text="داخلية">
      <formula>NOT(ISERROR(SEARCH("داخلية",D13)))</formula>
    </cfRule>
    <cfRule type="containsText" dxfId="3177" priority="1273" stopIfTrue="1" operator="containsText" text="ن داخلية">
      <formula>NOT(ISERROR(SEARCH("ن داخلية",D13)))</formula>
    </cfRule>
    <cfRule type="containsText" dxfId="3176" priority="1274" stopIfTrue="1" operator="containsText" text="داخلية">
      <formula>NOT(ISERROR(SEARCH("داخلية",D13)))</formula>
    </cfRule>
    <cfRule type="cellIs" dxfId="3175" priority="1275" stopIfTrue="1" operator="equal">
      <formula>"ن داخلي"</formula>
    </cfRule>
    <cfRule type="cellIs" dxfId="3174" priority="1276" stopIfTrue="1" operator="equal">
      <formula>"ن داخلية"</formula>
    </cfRule>
    <cfRule type="cellIs" dxfId="3173" priority="1277" stopIfTrue="1" operator="equal">
      <formula>#REF!</formula>
    </cfRule>
    <cfRule type="cellIs" dxfId="3172" priority="1278" stopIfTrue="1" operator="equal">
      <formula>#REF!</formula>
    </cfRule>
    <cfRule type="cellIs" dxfId="3171" priority="1279" stopIfTrue="1" operator="equal">
      <formula>#REF!</formula>
    </cfRule>
    <cfRule type="cellIs" dxfId="3170" priority="1280" stopIfTrue="1" operator="equal">
      <formula>#REF!</formula>
    </cfRule>
    <cfRule type="cellIs" dxfId="3169" priority="1281" stopIfTrue="1" operator="equal">
      <formula>"داخلية"</formula>
    </cfRule>
  </conditionalFormatting>
  <conditionalFormatting sqref="D13">
    <cfRule type="containsText" dxfId="3168" priority="1268" stopIfTrue="1" operator="containsText" text="خارجية">
      <formula>NOT(ISERROR(SEARCH("خارجية",D13)))</formula>
    </cfRule>
    <cfRule type="containsText" dxfId="3167" priority="1269" stopIfTrue="1" operator="containsText" text="خارجي">
      <formula>NOT(ISERROR(SEARCH("خارجي",D13)))</formula>
    </cfRule>
  </conditionalFormatting>
  <conditionalFormatting sqref="D13">
    <cfRule type="expression" dxfId="3166" priority="1267" stopIfTrue="1">
      <formula>#REF!=""</formula>
    </cfRule>
  </conditionalFormatting>
  <conditionalFormatting sqref="D13">
    <cfRule type="expression" dxfId="3165" priority="1266" stopIfTrue="1">
      <formula>#REF!=""</formula>
    </cfRule>
  </conditionalFormatting>
  <conditionalFormatting sqref="D13">
    <cfRule type="containsText" dxfId="3164" priority="1264" stopIfTrue="1" operator="containsText" text="خارجية">
      <formula>NOT(ISERROR(SEARCH("خارجية",D13)))</formula>
    </cfRule>
    <cfRule type="containsText" dxfId="3163" priority="1265" stopIfTrue="1" operator="containsText" text="خارجي">
      <formula>NOT(ISERROR(SEARCH("خارجي",D13)))</formula>
    </cfRule>
  </conditionalFormatting>
  <conditionalFormatting sqref="D13">
    <cfRule type="containsText" dxfId="3162" priority="1252" stopIfTrue="1" operator="containsText" text="خارجية">
      <formula>NOT(ISERROR(SEARCH("خارجية",D13)))</formula>
    </cfRule>
    <cfRule type="containsText" dxfId="3161" priority="1253" stopIfTrue="1" operator="containsText" text="ن داخلية">
      <formula>NOT(ISERROR(SEARCH("ن داخلية",D13)))</formula>
    </cfRule>
    <cfRule type="containsText" dxfId="3160" priority="1254" stopIfTrue="1" operator="containsText" text="داخلية">
      <formula>NOT(ISERROR(SEARCH("داخلية",D13)))</formula>
    </cfRule>
    <cfRule type="containsText" dxfId="3159" priority="1255" stopIfTrue="1" operator="containsText" text="ن داخلية">
      <formula>NOT(ISERROR(SEARCH("ن داخلية",D13)))</formula>
    </cfRule>
    <cfRule type="containsText" dxfId="3158" priority="1256" stopIfTrue="1" operator="containsText" text="داخلية">
      <formula>NOT(ISERROR(SEARCH("داخلية",D13)))</formula>
    </cfRule>
    <cfRule type="cellIs" dxfId="3157" priority="1257" stopIfTrue="1" operator="equal">
      <formula>"ن داخلي"</formula>
    </cfRule>
    <cfRule type="cellIs" dxfId="3156" priority="1258" stopIfTrue="1" operator="equal">
      <formula>"ن داخلية"</formula>
    </cfRule>
    <cfRule type="cellIs" dxfId="3155" priority="1259" stopIfTrue="1" operator="equal">
      <formula>#REF!</formula>
    </cfRule>
    <cfRule type="cellIs" dxfId="3154" priority="1260" stopIfTrue="1" operator="equal">
      <formula>#REF!</formula>
    </cfRule>
    <cfRule type="cellIs" dxfId="3153" priority="1261" stopIfTrue="1" operator="equal">
      <formula>#REF!</formula>
    </cfRule>
    <cfRule type="cellIs" dxfId="3152" priority="1262" stopIfTrue="1" operator="equal">
      <formula>#REF!</formula>
    </cfRule>
    <cfRule type="cellIs" dxfId="3151" priority="1263" stopIfTrue="1" operator="equal">
      <formula>"داخلية"</formula>
    </cfRule>
  </conditionalFormatting>
  <conditionalFormatting sqref="D13">
    <cfRule type="containsText" dxfId="3150" priority="1240" stopIfTrue="1" operator="containsText" text="خارجية">
      <formula>NOT(ISERROR(SEARCH("خارجية",D13)))</formula>
    </cfRule>
    <cfRule type="containsText" dxfId="3149" priority="1241" stopIfTrue="1" operator="containsText" text="ن داخلية">
      <formula>NOT(ISERROR(SEARCH("ن داخلية",D13)))</formula>
    </cfRule>
    <cfRule type="containsText" dxfId="3148" priority="1242" stopIfTrue="1" operator="containsText" text="داخلية">
      <formula>NOT(ISERROR(SEARCH("داخلية",D13)))</formula>
    </cfRule>
    <cfRule type="containsText" dxfId="3147" priority="1243" stopIfTrue="1" operator="containsText" text="ن داخلية">
      <formula>NOT(ISERROR(SEARCH("ن داخلية",D13)))</formula>
    </cfRule>
    <cfRule type="containsText" dxfId="3146" priority="1244" stopIfTrue="1" operator="containsText" text="داخلية">
      <formula>NOT(ISERROR(SEARCH("داخلية",D13)))</formula>
    </cfRule>
    <cfRule type="cellIs" dxfId="3145" priority="1245" stopIfTrue="1" operator="equal">
      <formula>"ن داخلي"</formula>
    </cfRule>
    <cfRule type="cellIs" dxfId="3144" priority="1246" stopIfTrue="1" operator="equal">
      <formula>"ن داخلية"</formula>
    </cfRule>
    <cfRule type="cellIs" dxfId="3143" priority="1247" stopIfTrue="1" operator="equal">
      <formula>#REF!</formula>
    </cfRule>
    <cfRule type="cellIs" dxfId="3142" priority="1248" stopIfTrue="1" operator="equal">
      <formula>#REF!</formula>
    </cfRule>
    <cfRule type="cellIs" dxfId="3141" priority="1249" stopIfTrue="1" operator="equal">
      <formula>#REF!</formula>
    </cfRule>
    <cfRule type="cellIs" dxfId="3140" priority="1250" stopIfTrue="1" operator="equal">
      <formula>#REF!</formula>
    </cfRule>
    <cfRule type="cellIs" dxfId="3139" priority="1251" stopIfTrue="1" operator="equal">
      <formula>"داخلية"</formula>
    </cfRule>
  </conditionalFormatting>
  <conditionalFormatting sqref="D13">
    <cfRule type="containsText" dxfId="3138" priority="1238" stopIfTrue="1" operator="containsText" text="خارجية">
      <formula>NOT(ISERROR(SEARCH("خارجية",D13)))</formula>
    </cfRule>
    <cfRule type="containsText" dxfId="3137" priority="1239" stopIfTrue="1" operator="containsText" text="خارجي">
      <formula>NOT(ISERROR(SEARCH("خارجي",D13)))</formula>
    </cfRule>
  </conditionalFormatting>
  <conditionalFormatting sqref="D13">
    <cfRule type="containsText" dxfId="3136" priority="1236" stopIfTrue="1" operator="containsText" text="خارجية">
      <formula>NOT(ISERROR(SEARCH("خارجية",D13)))</formula>
    </cfRule>
    <cfRule type="containsText" dxfId="3135" priority="1237" stopIfTrue="1" operator="containsText" text="خارجي">
      <formula>NOT(ISERROR(SEARCH("خارجي",D13)))</formula>
    </cfRule>
  </conditionalFormatting>
  <conditionalFormatting sqref="D13">
    <cfRule type="containsText" dxfId="3134" priority="1224" stopIfTrue="1" operator="containsText" text="خارجية">
      <formula>NOT(ISERROR(SEARCH("خارجية",D13)))</formula>
    </cfRule>
    <cfRule type="containsText" dxfId="3133" priority="1225" stopIfTrue="1" operator="containsText" text="ن داخلية">
      <formula>NOT(ISERROR(SEARCH("ن داخلية",D13)))</formula>
    </cfRule>
    <cfRule type="containsText" dxfId="3132" priority="1226" stopIfTrue="1" operator="containsText" text="داخلية">
      <formula>NOT(ISERROR(SEARCH("داخلية",D13)))</formula>
    </cfRule>
    <cfRule type="containsText" dxfId="3131" priority="1227" stopIfTrue="1" operator="containsText" text="ن داخلية">
      <formula>NOT(ISERROR(SEARCH("ن داخلية",D13)))</formula>
    </cfRule>
    <cfRule type="containsText" dxfId="3130" priority="1228" stopIfTrue="1" operator="containsText" text="داخلية">
      <formula>NOT(ISERROR(SEARCH("داخلية",D13)))</formula>
    </cfRule>
    <cfRule type="cellIs" dxfId="3129" priority="1229" stopIfTrue="1" operator="equal">
      <formula>"ن داخلي"</formula>
    </cfRule>
    <cfRule type="cellIs" dxfId="3128" priority="1230" stopIfTrue="1" operator="equal">
      <formula>"ن داخلية"</formula>
    </cfRule>
    <cfRule type="cellIs" dxfId="3127" priority="1231" stopIfTrue="1" operator="equal">
      <formula>#REF!</formula>
    </cfRule>
    <cfRule type="cellIs" dxfId="3126" priority="1232" stopIfTrue="1" operator="equal">
      <formula>#REF!</formula>
    </cfRule>
    <cfRule type="cellIs" dxfId="3125" priority="1233" stopIfTrue="1" operator="equal">
      <formula>#REF!</formula>
    </cfRule>
    <cfRule type="cellIs" dxfId="3124" priority="1234" stopIfTrue="1" operator="equal">
      <formula>#REF!</formula>
    </cfRule>
    <cfRule type="cellIs" dxfId="3123" priority="1235" stopIfTrue="1" operator="equal">
      <formula>"داخلية"</formula>
    </cfRule>
  </conditionalFormatting>
  <conditionalFormatting sqref="D13">
    <cfRule type="expression" dxfId="3122" priority="1223" stopIfTrue="1">
      <formula>#REF!=""</formula>
    </cfRule>
  </conditionalFormatting>
  <conditionalFormatting sqref="D13">
    <cfRule type="containsText" dxfId="3121" priority="1211" stopIfTrue="1" operator="containsText" text="خارجية">
      <formula>NOT(ISERROR(SEARCH("خارجية",D13)))</formula>
    </cfRule>
    <cfRule type="containsText" dxfId="3120" priority="1212" stopIfTrue="1" operator="containsText" text="ن داخلية">
      <formula>NOT(ISERROR(SEARCH("ن داخلية",D13)))</formula>
    </cfRule>
    <cfRule type="containsText" dxfId="3119" priority="1213" stopIfTrue="1" operator="containsText" text="داخلية">
      <formula>NOT(ISERROR(SEARCH("داخلية",D13)))</formula>
    </cfRule>
    <cfRule type="containsText" dxfId="3118" priority="1214" stopIfTrue="1" operator="containsText" text="ن داخلية">
      <formula>NOT(ISERROR(SEARCH("ن داخلية",D13)))</formula>
    </cfRule>
    <cfRule type="containsText" dxfId="3117" priority="1215" stopIfTrue="1" operator="containsText" text="داخلية">
      <formula>NOT(ISERROR(SEARCH("داخلية",D13)))</formula>
    </cfRule>
    <cfRule type="cellIs" dxfId="3116" priority="1216" stopIfTrue="1" operator="equal">
      <formula>"ن داخلي"</formula>
    </cfRule>
    <cfRule type="cellIs" dxfId="3115" priority="1217" stopIfTrue="1" operator="equal">
      <formula>"ن داخلية"</formula>
    </cfRule>
    <cfRule type="cellIs" dxfId="3114" priority="1218" stopIfTrue="1" operator="equal">
      <formula>#REF!</formula>
    </cfRule>
    <cfRule type="cellIs" dxfId="3113" priority="1219" stopIfTrue="1" operator="equal">
      <formula>#REF!</formula>
    </cfRule>
    <cfRule type="cellIs" dxfId="3112" priority="1220" stopIfTrue="1" operator="equal">
      <formula>#REF!</formula>
    </cfRule>
    <cfRule type="cellIs" dxfId="3111" priority="1221" stopIfTrue="1" operator="equal">
      <formula>#REF!</formula>
    </cfRule>
    <cfRule type="cellIs" dxfId="3110" priority="1222" stopIfTrue="1" operator="equal">
      <formula>"داخلية"</formula>
    </cfRule>
  </conditionalFormatting>
  <conditionalFormatting sqref="D13">
    <cfRule type="containsText" dxfId="3109" priority="1209" stopIfTrue="1" operator="containsText" text="خارجية">
      <formula>NOT(ISERROR(SEARCH("خارجية",D13)))</formula>
    </cfRule>
    <cfRule type="containsText" dxfId="3108" priority="1210" stopIfTrue="1" operator="containsText" text="خارجي">
      <formula>NOT(ISERROR(SEARCH("خارجي",D13)))</formula>
    </cfRule>
  </conditionalFormatting>
  <conditionalFormatting sqref="D13">
    <cfRule type="expression" dxfId="3107" priority="1208" stopIfTrue="1">
      <formula>#REF!=""</formula>
    </cfRule>
  </conditionalFormatting>
  <conditionalFormatting sqref="D13">
    <cfRule type="containsText" dxfId="3106" priority="1206" stopIfTrue="1" operator="containsText" text="خارجية">
      <formula>NOT(ISERROR(SEARCH("خارجية",D13)))</formula>
    </cfRule>
    <cfRule type="containsText" dxfId="3105" priority="1207" stopIfTrue="1" operator="containsText" text="خارجي">
      <formula>NOT(ISERROR(SEARCH("خارجي",D13)))</formula>
    </cfRule>
  </conditionalFormatting>
  <conditionalFormatting sqref="D13">
    <cfRule type="containsText" dxfId="3104" priority="1194" stopIfTrue="1" operator="containsText" text="خارجية">
      <formula>NOT(ISERROR(SEARCH("خارجية",D13)))</formula>
    </cfRule>
    <cfRule type="containsText" dxfId="3103" priority="1195" stopIfTrue="1" operator="containsText" text="ن داخلية">
      <formula>NOT(ISERROR(SEARCH("ن داخلية",D13)))</formula>
    </cfRule>
    <cfRule type="containsText" dxfId="3102" priority="1196" stopIfTrue="1" operator="containsText" text="داخلية">
      <formula>NOT(ISERROR(SEARCH("داخلية",D13)))</formula>
    </cfRule>
    <cfRule type="containsText" dxfId="3101" priority="1197" stopIfTrue="1" operator="containsText" text="ن داخلية">
      <formula>NOT(ISERROR(SEARCH("ن داخلية",D13)))</formula>
    </cfRule>
    <cfRule type="containsText" dxfId="3100" priority="1198" stopIfTrue="1" operator="containsText" text="داخلية">
      <formula>NOT(ISERROR(SEARCH("داخلية",D13)))</formula>
    </cfRule>
    <cfRule type="cellIs" dxfId="3099" priority="1199" stopIfTrue="1" operator="equal">
      <formula>"ن داخلي"</formula>
    </cfRule>
    <cfRule type="cellIs" dxfId="3098" priority="1200" stopIfTrue="1" operator="equal">
      <formula>"ن داخلية"</formula>
    </cfRule>
    <cfRule type="cellIs" dxfId="3097" priority="1201" stopIfTrue="1" operator="equal">
      <formula>#REF!</formula>
    </cfRule>
    <cfRule type="cellIs" dxfId="3096" priority="1202" stopIfTrue="1" operator="equal">
      <formula>#REF!</formula>
    </cfRule>
    <cfRule type="cellIs" dxfId="3095" priority="1203" stopIfTrue="1" operator="equal">
      <formula>#REF!</formula>
    </cfRule>
    <cfRule type="cellIs" dxfId="3094" priority="1204" stopIfTrue="1" operator="equal">
      <formula>#REF!</formula>
    </cfRule>
    <cfRule type="cellIs" dxfId="3093" priority="1205" stopIfTrue="1" operator="equal">
      <formula>"داخلية"</formula>
    </cfRule>
  </conditionalFormatting>
  <conditionalFormatting sqref="D13">
    <cfRule type="expression" dxfId="3092" priority="1193" stopIfTrue="1">
      <formula>#REF!=""</formula>
    </cfRule>
  </conditionalFormatting>
  <conditionalFormatting sqref="D13">
    <cfRule type="containsText" dxfId="3091" priority="1191" stopIfTrue="1" operator="containsText" text="خارجية">
      <formula>NOT(ISERROR(SEARCH("خارجية",D13)))</formula>
    </cfRule>
    <cfRule type="containsText" dxfId="3090" priority="1192" stopIfTrue="1" operator="containsText" text="خارجي">
      <formula>NOT(ISERROR(SEARCH("خارجي",D13)))</formula>
    </cfRule>
  </conditionalFormatting>
  <conditionalFormatting sqref="D13">
    <cfRule type="containsText" dxfId="3089" priority="1179" stopIfTrue="1" operator="containsText" text="خارجية">
      <formula>NOT(ISERROR(SEARCH("خارجية",D13)))</formula>
    </cfRule>
    <cfRule type="containsText" dxfId="3088" priority="1180" stopIfTrue="1" operator="containsText" text="ن داخلية">
      <formula>NOT(ISERROR(SEARCH("ن داخلية",D13)))</formula>
    </cfRule>
    <cfRule type="containsText" dxfId="3087" priority="1181" stopIfTrue="1" operator="containsText" text="داخلية">
      <formula>NOT(ISERROR(SEARCH("داخلية",D13)))</formula>
    </cfRule>
    <cfRule type="containsText" dxfId="3086" priority="1182" stopIfTrue="1" operator="containsText" text="ن داخلية">
      <formula>NOT(ISERROR(SEARCH("ن داخلية",D13)))</formula>
    </cfRule>
    <cfRule type="containsText" dxfId="3085" priority="1183" stopIfTrue="1" operator="containsText" text="داخلية">
      <formula>NOT(ISERROR(SEARCH("داخلية",D13)))</formula>
    </cfRule>
    <cfRule type="cellIs" dxfId="3084" priority="1184" stopIfTrue="1" operator="equal">
      <formula>"ن داخلي"</formula>
    </cfRule>
    <cfRule type="cellIs" dxfId="3083" priority="1185" stopIfTrue="1" operator="equal">
      <formula>"ن داخلية"</formula>
    </cfRule>
    <cfRule type="cellIs" dxfId="3082" priority="1186" stopIfTrue="1" operator="equal">
      <formula>#REF!</formula>
    </cfRule>
    <cfRule type="cellIs" dxfId="3081" priority="1187" stopIfTrue="1" operator="equal">
      <formula>#REF!</formula>
    </cfRule>
    <cfRule type="cellIs" dxfId="3080" priority="1188" stopIfTrue="1" operator="equal">
      <formula>#REF!</formula>
    </cfRule>
    <cfRule type="cellIs" dxfId="3079" priority="1189" stopIfTrue="1" operator="equal">
      <formula>#REF!</formula>
    </cfRule>
    <cfRule type="cellIs" dxfId="3078" priority="1190" stopIfTrue="1" operator="equal">
      <formula>"داخلية"</formula>
    </cfRule>
  </conditionalFormatting>
  <conditionalFormatting sqref="D13">
    <cfRule type="expression" dxfId="3077" priority="1178" stopIfTrue="1">
      <formula>#REF!=""</formula>
    </cfRule>
  </conditionalFormatting>
  <conditionalFormatting sqref="D13">
    <cfRule type="containsText" dxfId="3076" priority="1166" stopIfTrue="1" operator="containsText" text="خارجية">
      <formula>NOT(ISERROR(SEARCH("خارجية",D13)))</formula>
    </cfRule>
    <cfRule type="containsText" dxfId="3075" priority="1167" stopIfTrue="1" operator="containsText" text="ن داخلية">
      <formula>NOT(ISERROR(SEARCH("ن داخلية",D13)))</formula>
    </cfRule>
    <cfRule type="containsText" dxfId="3074" priority="1168" stopIfTrue="1" operator="containsText" text="داخلية">
      <formula>NOT(ISERROR(SEARCH("داخلية",D13)))</formula>
    </cfRule>
    <cfRule type="containsText" dxfId="3073" priority="1169" stopIfTrue="1" operator="containsText" text="ن داخلية">
      <formula>NOT(ISERROR(SEARCH("ن داخلية",D13)))</formula>
    </cfRule>
    <cfRule type="containsText" dxfId="3072" priority="1170" stopIfTrue="1" operator="containsText" text="داخلية">
      <formula>NOT(ISERROR(SEARCH("داخلية",D13)))</formula>
    </cfRule>
    <cfRule type="cellIs" dxfId="3071" priority="1171" stopIfTrue="1" operator="equal">
      <formula>"ن داخلي"</formula>
    </cfRule>
    <cfRule type="cellIs" dxfId="3070" priority="1172" stopIfTrue="1" operator="equal">
      <formula>"ن داخلية"</formula>
    </cfRule>
    <cfRule type="cellIs" dxfId="3069" priority="1173" stopIfTrue="1" operator="equal">
      <formula>#REF!</formula>
    </cfRule>
    <cfRule type="cellIs" dxfId="3068" priority="1174" stopIfTrue="1" operator="equal">
      <formula>#REF!</formula>
    </cfRule>
    <cfRule type="cellIs" dxfId="3067" priority="1175" stopIfTrue="1" operator="equal">
      <formula>#REF!</formula>
    </cfRule>
    <cfRule type="cellIs" dxfId="3066" priority="1176" stopIfTrue="1" operator="equal">
      <formula>#REF!</formula>
    </cfRule>
    <cfRule type="cellIs" dxfId="3065" priority="1177" stopIfTrue="1" operator="equal">
      <formula>"داخلية"</formula>
    </cfRule>
  </conditionalFormatting>
  <conditionalFormatting sqref="D13">
    <cfRule type="containsText" dxfId="3064" priority="1164" stopIfTrue="1" operator="containsText" text="خارجية">
      <formula>NOT(ISERROR(SEARCH("خارجية",D13)))</formula>
    </cfRule>
    <cfRule type="containsText" dxfId="3063" priority="1165" stopIfTrue="1" operator="containsText" text="خارجي">
      <formula>NOT(ISERROR(SEARCH("خارجي",D13)))</formula>
    </cfRule>
  </conditionalFormatting>
  <conditionalFormatting sqref="D13">
    <cfRule type="expression" dxfId="3062" priority="1163" stopIfTrue="1">
      <formula>#REF!=""</formula>
    </cfRule>
  </conditionalFormatting>
  <conditionalFormatting sqref="D13">
    <cfRule type="expression" dxfId="3061" priority="1162" stopIfTrue="1">
      <formula>#REF!=""</formula>
    </cfRule>
  </conditionalFormatting>
  <conditionalFormatting sqref="D13">
    <cfRule type="expression" dxfId="3060" priority="1161" stopIfTrue="1">
      <formula>#REF!=""</formula>
    </cfRule>
  </conditionalFormatting>
  <conditionalFormatting sqref="D13">
    <cfRule type="containsText" dxfId="3059" priority="1149" stopIfTrue="1" operator="containsText" text="خارجية">
      <formula>NOT(ISERROR(SEARCH("خارجية",D13)))</formula>
    </cfRule>
    <cfRule type="containsText" dxfId="3058" priority="1150" stopIfTrue="1" operator="containsText" text="ن داخلية">
      <formula>NOT(ISERROR(SEARCH("ن داخلية",D13)))</formula>
    </cfRule>
    <cfRule type="containsText" dxfId="3057" priority="1151" stopIfTrue="1" operator="containsText" text="داخلية">
      <formula>NOT(ISERROR(SEARCH("داخلية",D13)))</formula>
    </cfRule>
    <cfRule type="containsText" dxfId="3056" priority="1152" stopIfTrue="1" operator="containsText" text="ن داخلية">
      <formula>NOT(ISERROR(SEARCH("ن داخلية",D13)))</formula>
    </cfRule>
    <cfRule type="containsText" dxfId="3055" priority="1153" stopIfTrue="1" operator="containsText" text="داخلية">
      <formula>NOT(ISERROR(SEARCH("داخلية",D13)))</formula>
    </cfRule>
    <cfRule type="cellIs" dxfId="3054" priority="1154" stopIfTrue="1" operator="equal">
      <formula>"ن داخلي"</formula>
    </cfRule>
    <cfRule type="cellIs" dxfId="3053" priority="1155" stopIfTrue="1" operator="equal">
      <formula>"ن داخلية"</formula>
    </cfRule>
    <cfRule type="cellIs" dxfId="3052" priority="1156" stopIfTrue="1" operator="equal">
      <formula>#REF!</formula>
    </cfRule>
    <cfRule type="cellIs" dxfId="3051" priority="1157" stopIfTrue="1" operator="equal">
      <formula>#REF!</formula>
    </cfRule>
    <cfRule type="cellIs" dxfId="3050" priority="1158" stopIfTrue="1" operator="equal">
      <formula>#REF!</formula>
    </cfRule>
    <cfRule type="cellIs" dxfId="3049" priority="1159" stopIfTrue="1" operator="equal">
      <formula>#REF!</formula>
    </cfRule>
    <cfRule type="cellIs" dxfId="3048" priority="1160" stopIfTrue="1" operator="equal">
      <formula>"داخلية"</formula>
    </cfRule>
  </conditionalFormatting>
  <conditionalFormatting sqref="D13">
    <cfRule type="containsText" dxfId="3047" priority="1147" stopIfTrue="1" operator="containsText" text="خارجية">
      <formula>NOT(ISERROR(SEARCH("خارجية",D13)))</formula>
    </cfRule>
    <cfRule type="containsText" dxfId="3046" priority="1148" stopIfTrue="1" operator="containsText" text="خارجي">
      <formula>NOT(ISERROR(SEARCH("خارجي",D13)))</formula>
    </cfRule>
  </conditionalFormatting>
  <conditionalFormatting sqref="D13">
    <cfRule type="expression" dxfId="3045" priority="1146" stopIfTrue="1">
      <formula>#REF!=""</formula>
    </cfRule>
  </conditionalFormatting>
  <conditionalFormatting sqref="D13">
    <cfRule type="expression" dxfId="3044" priority="1145" stopIfTrue="1">
      <formula>#REF!=""</formula>
    </cfRule>
  </conditionalFormatting>
  <conditionalFormatting sqref="D13">
    <cfRule type="expression" dxfId="3043" priority="1144" stopIfTrue="1">
      <formula>#REF!=""</formula>
    </cfRule>
  </conditionalFormatting>
  <conditionalFormatting sqref="D13">
    <cfRule type="containsText" dxfId="3042" priority="1142" stopIfTrue="1" operator="containsText" text="خارجية">
      <formula>NOT(ISERROR(SEARCH("خارجية",D13)))</formula>
    </cfRule>
    <cfRule type="containsText" dxfId="3041" priority="1143" stopIfTrue="1" operator="containsText" text="خارجي">
      <formula>NOT(ISERROR(SEARCH("خارجي",D13)))</formula>
    </cfRule>
  </conditionalFormatting>
  <conditionalFormatting sqref="D13">
    <cfRule type="containsText" dxfId="3040" priority="1140" stopIfTrue="1" operator="containsText" text="خارجية">
      <formula>NOT(ISERROR(SEARCH("خارجية",D13)))</formula>
    </cfRule>
    <cfRule type="containsText" dxfId="3039" priority="1141" stopIfTrue="1" operator="containsText" text="خارجي">
      <formula>NOT(ISERROR(SEARCH("خارجي",D13)))</formula>
    </cfRule>
  </conditionalFormatting>
  <conditionalFormatting sqref="D13">
    <cfRule type="containsText" dxfId="3038" priority="1128" stopIfTrue="1" operator="containsText" text="خارجية">
      <formula>NOT(ISERROR(SEARCH("خارجية",D13)))</formula>
    </cfRule>
    <cfRule type="containsText" dxfId="3037" priority="1129" stopIfTrue="1" operator="containsText" text="ن داخلية">
      <formula>NOT(ISERROR(SEARCH("ن داخلية",D13)))</formula>
    </cfRule>
    <cfRule type="containsText" dxfId="3036" priority="1130" stopIfTrue="1" operator="containsText" text="داخلية">
      <formula>NOT(ISERROR(SEARCH("داخلية",D13)))</formula>
    </cfRule>
    <cfRule type="containsText" dxfId="3035" priority="1131" stopIfTrue="1" operator="containsText" text="ن داخلية">
      <formula>NOT(ISERROR(SEARCH("ن داخلية",D13)))</formula>
    </cfRule>
    <cfRule type="containsText" dxfId="3034" priority="1132" stopIfTrue="1" operator="containsText" text="داخلية">
      <formula>NOT(ISERROR(SEARCH("داخلية",D13)))</formula>
    </cfRule>
    <cfRule type="cellIs" dxfId="3033" priority="1133" stopIfTrue="1" operator="equal">
      <formula>"ن داخلي"</formula>
    </cfRule>
    <cfRule type="cellIs" dxfId="3032" priority="1134" stopIfTrue="1" operator="equal">
      <formula>"ن داخلية"</formula>
    </cfRule>
    <cfRule type="cellIs" dxfId="3031" priority="1135" stopIfTrue="1" operator="equal">
      <formula>#REF!</formula>
    </cfRule>
    <cfRule type="cellIs" dxfId="3030" priority="1136" stopIfTrue="1" operator="equal">
      <formula>#REF!</formula>
    </cfRule>
    <cfRule type="cellIs" dxfId="3029" priority="1137" stopIfTrue="1" operator="equal">
      <formula>#REF!</formula>
    </cfRule>
    <cfRule type="cellIs" dxfId="3028" priority="1138" stopIfTrue="1" operator="equal">
      <formula>#REF!</formula>
    </cfRule>
    <cfRule type="cellIs" dxfId="3027" priority="1139" stopIfTrue="1" operator="equal">
      <formula>"داخلية"</formula>
    </cfRule>
  </conditionalFormatting>
  <conditionalFormatting sqref="B14:C14">
    <cfRule type="expression" dxfId="3026" priority="1127" stopIfTrue="1">
      <formula>#REF!=""</formula>
    </cfRule>
  </conditionalFormatting>
  <conditionalFormatting sqref="B14:C14">
    <cfRule type="expression" dxfId="3025" priority="1126" stopIfTrue="1">
      <formula>#REF!=""</formula>
    </cfRule>
  </conditionalFormatting>
  <conditionalFormatting sqref="B14:C14">
    <cfRule type="expression" dxfId="3024" priority="1125" stopIfTrue="1">
      <formula>#REF!=""</formula>
    </cfRule>
  </conditionalFormatting>
  <conditionalFormatting sqref="B14:C14">
    <cfRule type="expression" dxfId="3023" priority="1124" stopIfTrue="1">
      <formula>#REF!=""</formula>
    </cfRule>
  </conditionalFormatting>
  <conditionalFormatting sqref="C14">
    <cfRule type="expression" dxfId="3022" priority="1123" stopIfTrue="1">
      <formula>#REF!=""</formula>
    </cfRule>
  </conditionalFormatting>
  <conditionalFormatting sqref="C14">
    <cfRule type="expression" dxfId="3021" priority="1122" stopIfTrue="1">
      <formula>#REF!=""</formula>
    </cfRule>
  </conditionalFormatting>
  <conditionalFormatting sqref="B14:C14">
    <cfRule type="expression" dxfId="3020" priority="1121" stopIfTrue="1">
      <formula>#REF!=""</formula>
    </cfRule>
  </conditionalFormatting>
  <conditionalFormatting sqref="C14">
    <cfRule type="expression" dxfId="3019" priority="1120" stopIfTrue="1">
      <formula>#REF!=""</formula>
    </cfRule>
  </conditionalFormatting>
  <conditionalFormatting sqref="B15:C15">
    <cfRule type="expression" dxfId="3018" priority="1119" stopIfTrue="1">
      <formula>#REF!=""</formula>
    </cfRule>
  </conditionalFormatting>
  <conditionalFormatting sqref="B15:C15">
    <cfRule type="expression" dxfId="3017" priority="1118" stopIfTrue="1">
      <formula>#REF!=""</formula>
    </cfRule>
  </conditionalFormatting>
  <conditionalFormatting sqref="B15:C15">
    <cfRule type="expression" dxfId="3016" priority="1117" stopIfTrue="1">
      <formula>#REF!=""</formula>
    </cfRule>
  </conditionalFormatting>
  <conditionalFormatting sqref="B15:C15">
    <cfRule type="expression" dxfId="3015" priority="1116" stopIfTrue="1">
      <formula>#REF!=""</formula>
    </cfRule>
  </conditionalFormatting>
  <conditionalFormatting sqref="B15:C15">
    <cfRule type="expression" dxfId="3014" priority="1115" stopIfTrue="1">
      <formula>#REF!=""</formula>
    </cfRule>
  </conditionalFormatting>
  <conditionalFormatting sqref="B15:C15">
    <cfRule type="expression" dxfId="3013" priority="1114" stopIfTrue="1">
      <formula>#REF!=""</formula>
    </cfRule>
  </conditionalFormatting>
  <conditionalFormatting sqref="B15:C15">
    <cfRule type="expression" dxfId="3012" priority="1113" stopIfTrue="1">
      <formula>#REF!=""</formula>
    </cfRule>
  </conditionalFormatting>
  <conditionalFormatting sqref="B15:C15">
    <cfRule type="expression" dxfId="3011" priority="1112" stopIfTrue="1">
      <formula>#REF!=""</formula>
    </cfRule>
  </conditionalFormatting>
  <conditionalFormatting sqref="D15">
    <cfRule type="expression" dxfId="3010" priority="1111" stopIfTrue="1">
      <formula>#REF!=""</formula>
    </cfRule>
  </conditionalFormatting>
  <conditionalFormatting sqref="D15">
    <cfRule type="containsText" dxfId="3009" priority="1099" stopIfTrue="1" operator="containsText" text="خارجية">
      <formula>NOT(ISERROR(SEARCH("خارجية",D15)))</formula>
    </cfRule>
    <cfRule type="containsText" dxfId="3008" priority="1100" stopIfTrue="1" operator="containsText" text="ن داخلية">
      <formula>NOT(ISERROR(SEARCH("ن داخلية",D15)))</formula>
    </cfRule>
    <cfRule type="containsText" dxfId="3007" priority="1101" stopIfTrue="1" operator="containsText" text="داخلية">
      <formula>NOT(ISERROR(SEARCH("داخلية",D15)))</formula>
    </cfRule>
    <cfRule type="containsText" dxfId="3006" priority="1102" stopIfTrue="1" operator="containsText" text="ن داخلية">
      <formula>NOT(ISERROR(SEARCH("ن داخلية",D15)))</formula>
    </cfRule>
    <cfRule type="containsText" dxfId="3005" priority="1103" stopIfTrue="1" operator="containsText" text="داخلية">
      <formula>NOT(ISERROR(SEARCH("داخلية",D15)))</formula>
    </cfRule>
    <cfRule type="cellIs" dxfId="3004" priority="1104" stopIfTrue="1" operator="equal">
      <formula>"ن داخلي"</formula>
    </cfRule>
    <cfRule type="cellIs" dxfId="3003" priority="1105" stopIfTrue="1" operator="equal">
      <formula>"ن داخلية"</formula>
    </cfRule>
    <cfRule type="cellIs" dxfId="3002" priority="1106" stopIfTrue="1" operator="equal">
      <formula>#REF!</formula>
    </cfRule>
    <cfRule type="cellIs" dxfId="3001" priority="1107" stopIfTrue="1" operator="equal">
      <formula>#REF!</formula>
    </cfRule>
    <cfRule type="cellIs" dxfId="3000" priority="1108" stopIfTrue="1" operator="equal">
      <formula>#REF!</formula>
    </cfRule>
    <cfRule type="cellIs" dxfId="2999" priority="1109" stopIfTrue="1" operator="equal">
      <formula>#REF!</formula>
    </cfRule>
    <cfRule type="cellIs" dxfId="2998" priority="1110" stopIfTrue="1" operator="equal">
      <formula>"داخلية"</formula>
    </cfRule>
  </conditionalFormatting>
  <conditionalFormatting sqref="D15">
    <cfRule type="containsText" dxfId="2997" priority="1097" stopIfTrue="1" operator="containsText" text="خارجية">
      <formula>NOT(ISERROR(SEARCH("خارجية",D15)))</formula>
    </cfRule>
    <cfRule type="containsText" dxfId="2996" priority="1098" stopIfTrue="1" operator="containsText" text="خارجي">
      <formula>NOT(ISERROR(SEARCH("خارجي",D15)))</formula>
    </cfRule>
  </conditionalFormatting>
  <conditionalFormatting sqref="D15">
    <cfRule type="expression" dxfId="2995" priority="1096" stopIfTrue="1">
      <formula>#REF!=""</formula>
    </cfRule>
  </conditionalFormatting>
  <conditionalFormatting sqref="D15">
    <cfRule type="expression" dxfId="2994" priority="1095" stopIfTrue="1">
      <formula>#REF!=""</formula>
    </cfRule>
  </conditionalFormatting>
  <conditionalFormatting sqref="D15">
    <cfRule type="containsText" dxfId="2993" priority="1083" stopIfTrue="1" operator="containsText" text="خارجية">
      <formula>NOT(ISERROR(SEARCH("خارجية",D15)))</formula>
    </cfRule>
    <cfRule type="containsText" dxfId="2992" priority="1084" stopIfTrue="1" operator="containsText" text="ن داخلية">
      <formula>NOT(ISERROR(SEARCH("ن داخلية",D15)))</formula>
    </cfRule>
    <cfRule type="containsText" dxfId="2991" priority="1085" stopIfTrue="1" operator="containsText" text="داخلية">
      <formula>NOT(ISERROR(SEARCH("داخلية",D15)))</formula>
    </cfRule>
    <cfRule type="containsText" dxfId="2990" priority="1086" stopIfTrue="1" operator="containsText" text="ن داخلية">
      <formula>NOT(ISERROR(SEARCH("ن داخلية",D15)))</formula>
    </cfRule>
    <cfRule type="containsText" dxfId="2989" priority="1087" stopIfTrue="1" operator="containsText" text="داخلية">
      <formula>NOT(ISERROR(SEARCH("داخلية",D15)))</formula>
    </cfRule>
    <cfRule type="cellIs" dxfId="2988" priority="1088" stopIfTrue="1" operator="equal">
      <formula>"ن داخلي"</formula>
    </cfRule>
    <cfRule type="cellIs" dxfId="2987" priority="1089" stopIfTrue="1" operator="equal">
      <formula>"ن داخلية"</formula>
    </cfRule>
    <cfRule type="cellIs" dxfId="2986" priority="1090" stopIfTrue="1" operator="equal">
      <formula>#REF!</formula>
    </cfRule>
    <cfRule type="cellIs" dxfId="2985" priority="1091" stopIfTrue="1" operator="equal">
      <formula>#REF!</formula>
    </cfRule>
    <cfRule type="cellIs" dxfId="2984" priority="1092" stopIfTrue="1" operator="equal">
      <formula>#REF!</formula>
    </cfRule>
    <cfRule type="cellIs" dxfId="2983" priority="1093" stopIfTrue="1" operator="equal">
      <formula>#REF!</formula>
    </cfRule>
    <cfRule type="cellIs" dxfId="2982" priority="1094" stopIfTrue="1" operator="equal">
      <formula>"داخلية"</formula>
    </cfRule>
  </conditionalFormatting>
  <conditionalFormatting sqref="D15">
    <cfRule type="containsText" dxfId="2981" priority="1081" stopIfTrue="1" operator="containsText" text="خارجية">
      <formula>NOT(ISERROR(SEARCH("خارجية",D15)))</formula>
    </cfRule>
    <cfRule type="containsText" dxfId="2980" priority="1082" stopIfTrue="1" operator="containsText" text="خارجي">
      <formula>NOT(ISERROR(SEARCH("خارجي",D15)))</formula>
    </cfRule>
  </conditionalFormatting>
  <conditionalFormatting sqref="D15">
    <cfRule type="expression" dxfId="2979" priority="1080" stopIfTrue="1">
      <formula>#REF!=""</formula>
    </cfRule>
  </conditionalFormatting>
  <conditionalFormatting sqref="D15">
    <cfRule type="containsText" dxfId="2978" priority="1078" stopIfTrue="1" operator="containsText" text="خارجية">
      <formula>NOT(ISERROR(SEARCH("خارجية",D15)))</formula>
    </cfRule>
    <cfRule type="containsText" dxfId="2977" priority="1079" stopIfTrue="1" operator="containsText" text="خارجي">
      <formula>NOT(ISERROR(SEARCH("خارجي",D15)))</formula>
    </cfRule>
  </conditionalFormatting>
  <conditionalFormatting sqref="D15">
    <cfRule type="containsText" dxfId="2976" priority="1066" stopIfTrue="1" operator="containsText" text="خارجية">
      <formula>NOT(ISERROR(SEARCH("خارجية",D15)))</formula>
    </cfRule>
    <cfRule type="containsText" dxfId="2975" priority="1067" stopIfTrue="1" operator="containsText" text="ن داخلية">
      <formula>NOT(ISERROR(SEARCH("ن داخلية",D15)))</formula>
    </cfRule>
    <cfRule type="containsText" dxfId="2974" priority="1068" stopIfTrue="1" operator="containsText" text="داخلية">
      <formula>NOT(ISERROR(SEARCH("داخلية",D15)))</formula>
    </cfRule>
    <cfRule type="containsText" dxfId="2973" priority="1069" stopIfTrue="1" operator="containsText" text="ن داخلية">
      <formula>NOT(ISERROR(SEARCH("ن داخلية",D15)))</formula>
    </cfRule>
    <cfRule type="containsText" dxfId="2972" priority="1070" stopIfTrue="1" operator="containsText" text="داخلية">
      <formula>NOT(ISERROR(SEARCH("داخلية",D15)))</formula>
    </cfRule>
    <cfRule type="cellIs" dxfId="2971" priority="1071" stopIfTrue="1" operator="equal">
      <formula>"ن داخلي"</formula>
    </cfRule>
    <cfRule type="cellIs" dxfId="2970" priority="1072" stopIfTrue="1" operator="equal">
      <formula>"ن داخلية"</formula>
    </cfRule>
    <cfRule type="cellIs" dxfId="2969" priority="1073" stopIfTrue="1" operator="equal">
      <formula>#REF!</formula>
    </cfRule>
    <cfRule type="cellIs" dxfId="2968" priority="1074" stopIfTrue="1" operator="equal">
      <formula>#REF!</formula>
    </cfRule>
    <cfRule type="cellIs" dxfId="2967" priority="1075" stopIfTrue="1" operator="equal">
      <formula>#REF!</formula>
    </cfRule>
    <cfRule type="cellIs" dxfId="2966" priority="1076" stopIfTrue="1" operator="equal">
      <formula>#REF!</formula>
    </cfRule>
    <cfRule type="cellIs" dxfId="2965" priority="1077" stopIfTrue="1" operator="equal">
      <formula>"داخلية"</formula>
    </cfRule>
  </conditionalFormatting>
  <conditionalFormatting sqref="D15">
    <cfRule type="containsText" dxfId="2964" priority="1064" stopIfTrue="1" operator="containsText" text="خارجية">
      <formula>NOT(ISERROR(SEARCH("خارجية",D15)))</formula>
    </cfRule>
    <cfRule type="containsText" dxfId="2963" priority="1065" stopIfTrue="1" operator="containsText" text="خارجي">
      <formula>NOT(ISERROR(SEARCH("خارجي",D15)))</formula>
    </cfRule>
  </conditionalFormatting>
  <conditionalFormatting sqref="D15">
    <cfRule type="containsText" dxfId="2962" priority="1052" stopIfTrue="1" operator="containsText" text="خارجية">
      <formula>NOT(ISERROR(SEARCH("خارجية",D15)))</formula>
    </cfRule>
    <cfRule type="containsText" dxfId="2961" priority="1053" stopIfTrue="1" operator="containsText" text="ن داخلية">
      <formula>NOT(ISERROR(SEARCH("ن داخلية",D15)))</formula>
    </cfRule>
    <cfRule type="containsText" dxfId="2960" priority="1054" stopIfTrue="1" operator="containsText" text="داخلية">
      <formula>NOT(ISERROR(SEARCH("داخلية",D15)))</formula>
    </cfRule>
    <cfRule type="containsText" dxfId="2959" priority="1055" stopIfTrue="1" operator="containsText" text="ن داخلية">
      <formula>NOT(ISERROR(SEARCH("ن داخلية",D15)))</formula>
    </cfRule>
    <cfRule type="containsText" dxfId="2958" priority="1056" stopIfTrue="1" operator="containsText" text="داخلية">
      <formula>NOT(ISERROR(SEARCH("داخلية",D15)))</formula>
    </cfRule>
    <cfRule type="cellIs" dxfId="2957" priority="1057" stopIfTrue="1" operator="equal">
      <formula>"ن داخلي"</formula>
    </cfRule>
    <cfRule type="cellIs" dxfId="2956" priority="1058" stopIfTrue="1" operator="equal">
      <formula>"ن داخلية"</formula>
    </cfRule>
    <cfRule type="cellIs" dxfId="2955" priority="1059" stopIfTrue="1" operator="equal">
      <formula>#REF!</formula>
    </cfRule>
    <cfRule type="cellIs" dxfId="2954" priority="1060" stopIfTrue="1" operator="equal">
      <formula>#REF!</formula>
    </cfRule>
    <cfRule type="cellIs" dxfId="2953" priority="1061" stopIfTrue="1" operator="equal">
      <formula>#REF!</formula>
    </cfRule>
    <cfRule type="cellIs" dxfId="2952" priority="1062" stopIfTrue="1" operator="equal">
      <formula>#REF!</formula>
    </cfRule>
    <cfRule type="cellIs" dxfId="2951" priority="1063" stopIfTrue="1" operator="equal">
      <formula>"داخلية"</formula>
    </cfRule>
  </conditionalFormatting>
  <conditionalFormatting sqref="D15">
    <cfRule type="expression" dxfId="2950" priority="1051" stopIfTrue="1">
      <formula>#REF!=""</formula>
    </cfRule>
  </conditionalFormatting>
  <conditionalFormatting sqref="D15">
    <cfRule type="containsText" dxfId="2949" priority="1039" stopIfTrue="1" operator="containsText" text="خارجية">
      <formula>NOT(ISERROR(SEARCH("خارجية",D15)))</formula>
    </cfRule>
    <cfRule type="containsText" dxfId="2948" priority="1040" stopIfTrue="1" operator="containsText" text="ن داخلية">
      <formula>NOT(ISERROR(SEARCH("ن داخلية",D15)))</formula>
    </cfRule>
    <cfRule type="containsText" dxfId="2947" priority="1041" stopIfTrue="1" operator="containsText" text="داخلية">
      <formula>NOT(ISERROR(SEARCH("داخلية",D15)))</formula>
    </cfRule>
    <cfRule type="containsText" dxfId="2946" priority="1042" stopIfTrue="1" operator="containsText" text="ن داخلية">
      <formula>NOT(ISERROR(SEARCH("ن داخلية",D15)))</formula>
    </cfRule>
    <cfRule type="containsText" dxfId="2945" priority="1043" stopIfTrue="1" operator="containsText" text="داخلية">
      <formula>NOT(ISERROR(SEARCH("داخلية",D15)))</formula>
    </cfRule>
    <cfRule type="cellIs" dxfId="2944" priority="1044" stopIfTrue="1" operator="equal">
      <formula>"ن داخلي"</formula>
    </cfRule>
    <cfRule type="cellIs" dxfId="2943" priority="1045" stopIfTrue="1" operator="equal">
      <formula>"ن داخلية"</formula>
    </cfRule>
    <cfRule type="cellIs" dxfId="2942" priority="1046" stopIfTrue="1" operator="equal">
      <formula>#REF!</formula>
    </cfRule>
    <cfRule type="cellIs" dxfId="2941" priority="1047" stopIfTrue="1" operator="equal">
      <formula>#REF!</formula>
    </cfRule>
    <cfRule type="cellIs" dxfId="2940" priority="1048" stopIfTrue="1" operator="equal">
      <formula>#REF!</formula>
    </cfRule>
    <cfRule type="cellIs" dxfId="2939" priority="1049" stopIfTrue="1" operator="equal">
      <formula>#REF!</formula>
    </cfRule>
    <cfRule type="cellIs" dxfId="2938" priority="1050" stopIfTrue="1" operator="equal">
      <formula>"داخلية"</formula>
    </cfRule>
  </conditionalFormatting>
  <conditionalFormatting sqref="D15">
    <cfRule type="containsText" dxfId="2937" priority="1037" stopIfTrue="1" operator="containsText" text="خارجية">
      <formula>NOT(ISERROR(SEARCH("خارجية",D15)))</formula>
    </cfRule>
    <cfRule type="containsText" dxfId="2936" priority="1038" stopIfTrue="1" operator="containsText" text="خارجي">
      <formula>NOT(ISERROR(SEARCH("خارجي",D15)))</formula>
    </cfRule>
  </conditionalFormatting>
  <conditionalFormatting sqref="D15">
    <cfRule type="expression" dxfId="2935" priority="1036" stopIfTrue="1">
      <formula>#REF!=""</formula>
    </cfRule>
  </conditionalFormatting>
  <conditionalFormatting sqref="D15">
    <cfRule type="containsText" dxfId="2934" priority="1034" stopIfTrue="1" operator="containsText" text="خارجية">
      <formula>NOT(ISERROR(SEARCH("خارجية",D15)))</formula>
    </cfRule>
    <cfRule type="containsText" dxfId="2933" priority="1035" stopIfTrue="1" operator="containsText" text="خارجي">
      <formula>NOT(ISERROR(SEARCH("خارجي",D15)))</formula>
    </cfRule>
  </conditionalFormatting>
  <conditionalFormatting sqref="D15">
    <cfRule type="containsText" dxfId="2932" priority="1022" stopIfTrue="1" operator="containsText" text="خارجية">
      <formula>NOT(ISERROR(SEARCH("خارجية",D15)))</formula>
    </cfRule>
    <cfRule type="containsText" dxfId="2931" priority="1023" stopIfTrue="1" operator="containsText" text="ن داخلية">
      <formula>NOT(ISERROR(SEARCH("ن داخلية",D15)))</formula>
    </cfRule>
    <cfRule type="containsText" dxfId="2930" priority="1024" stopIfTrue="1" operator="containsText" text="داخلية">
      <formula>NOT(ISERROR(SEARCH("داخلية",D15)))</formula>
    </cfRule>
    <cfRule type="containsText" dxfId="2929" priority="1025" stopIfTrue="1" operator="containsText" text="ن داخلية">
      <formula>NOT(ISERROR(SEARCH("ن داخلية",D15)))</formula>
    </cfRule>
    <cfRule type="containsText" dxfId="2928" priority="1026" stopIfTrue="1" operator="containsText" text="داخلية">
      <formula>NOT(ISERROR(SEARCH("داخلية",D15)))</formula>
    </cfRule>
    <cfRule type="cellIs" dxfId="2927" priority="1027" stopIfTrue="1" operator="equal">
      <formula>"ن داخلي"</formula>
    </cfRule>
    <cfRule type="cellIs" dxfId="2926" priority="1028" stopIfTrue="1" operator="equal">
      <formula>"ن داخلية"</formula>
    </cfRule>
    <cfRule type="cellIs" dxfId="2925" priority="1029" stopIfTrue="1" operator="equal">
      <formula>#REF!</formula>
    </cfRule>
    <cfRule type="cellIs" dxfId="2924" priority="1030" stopIfTrue="1" operator="equal">
      <formula>#REF!</formula>
    </cfRule>
    <cfRule type="cellIs" dxfId="2923" priority="1031" stopIfTrue="1" operator="equal">
      <formula>#REF!</formula>
    </cfRule>
    <cfRule type="cellIs" dxfId="2922" priority="1032" stopIfTrue="1" operator="equal">
      <formula>#REF!</formula>
    </cfRule>
    <cfRule type="cellIs" dxfId="2921" priority="1033" stopIfTrue="1" operator="equal">
      <formula>"داخلية"</formula>
    </cfRule>
  </conditionalFormatting>
  <conditionalFormatting sqref="D15">
    <cfRule type="containsText" dxfId="2920" priority="1020" stopIfTrue="1" operator="containsText" text="خارجية">
      <formula>NOT(ISERROR(SEARCH("خارجية",D15)))</formula>
    </cfRule>
    <cfRule type="containsText" dxfId="2919" priority="1021" stopIfTrue="1" operator="containsText" text="خارجي">
      <formula>NOT(ISERROR(SEARCH("خارجي",D15)))</formula>
    </cfRule>
  </conditionalFormatting>
  <conditionalFormatting sqref="D15">
    <cfRule type="containsText" dxfId="2918" priority="1008" stopIfTrue="1" operator="containsText" text="خارجية">
      <formula>NOT(ISERROR(SEARCH("خارجية",D15)))</formula>
    </cfRule>
    <cfRule type="containsText" dxfId="2917" priority="1009" stopIfTrue="1" operator="containsText" text="ن داخلية">
      <formula>NOT(ISERROR(SEARCH("ن داخلية",D15)))</formula>
    </cfRule>
    <cfRule type="containsText" dxfId="2916" priority="1010" stopIfTrue="1" operator="containsText" text="داخلية">
      <formula>NOT(ISERROR(SEARCH("داخلية",D15)))</formula>
    </cfRule>
    <cfRule type="containsText" dxfId="2915" priority="1011" stopIfTrue="1" operator="containsText" text="ن داخلية">
      <formula>NOT(ISERROR(SEARCH("ن داخلية",D15)))</formula>
    </cfRule>
    <cfRule type="containsText" dxfId="2914" priority="1012" stopIfTrue="1" operator="containsText" text="داخلية">
      <formula>NOT(ISERROR(SEARCH("داخلية",D15)))</formula>
    </cfRule>
    <cfRule type="cellIs" dxfId="2913" priority="1013" stopIfTrue="1" operator="equal">
      <formula>"ن داخلي"</formula>
    </cfRule>
    <cfRule type="cellIs" dxfId="2912" priority="1014" stopIfTrue="1" operator="equal">
      <formula>"ن داخلية"</formula>
    </cfRule>
    <cfRule type="cellIs" dxfId="2911" priority="1015" stopIfTrue="1" operator="equal">
      <formula>#REF!</formula>
    </cfRule>
    <cfRule type="cellIs" dxfId="2910" priority="1016" stopIfTrue="1" operator="equal">
      <formula>#REF!</formula>
    </cfRule>
    <cfRule type="cellIs" dxfId="2909" priority="1017" stopIfTrue="1" operator="equal">
      <formula>#REF!</formula>
    </cfRule>
    <cfRule type="cellIs" dxfId="2908" priority="1018" stopIfTrue="1" operator="equal">
      <formula>#REF!</formula>
    </cfRule>
    <cfRule type="cellIs" dxfId="2907" priority="1019" stopIfTrue="1" operator="equal">
      <formula>"داخلية"</formula>
    </cfRule>
  </conditionalFormatting>
  <conditionalFormatting sqref="D15">
    <cfRule type="expression" dxfId="2906" priority="1007" stopIfTrue="1">
      <formula>#REF!=""</formula>
    </cfRule>
  </conditionalFormatting>
  <conditionalFormatting sqref="D15">
    <cfRule type="containsText" dxfId="2905" priority="995" stopIfTrue="1" operator="containsText" text="خارجية">
      <formula>NOT(ISERROR(SEARCH("خارجية",D15)))</formula>
    </cfRule>
    <cfRule type="containsText" dxfId="2904" priority="996" stopIfTrue="1" operator="containsText" text="ن داخلية">
      <formula>NOT(ISERROR(SEARCH("ن داخلية",D15)))</formula>
    </cfRule>
    <cfRule type="containsText" dxfId="2903" priority="997" stopIfTrue="1" operator="containsText" text="داخلية">
      <formula>NOT(ISERROR(SEARCH("داخلية",D15)))</formula>
    </cfRule>
    <cfRule type="containsText" dxfId="2902" priority="998" stopIfTrue="1" operator="containsText" text="ن داخلية">
      <formula>NOT(ISERROR(SEARCH("ن داخلية",D15)))</formula>
    </cfRule>
    <cfRule type="containsText" dxfId="2901" priority="999" stopIfTrue="1" operator="containsText" text="داخلية">
      <formula>NOT(ISERROR(SEARCH("داخلية",D15)))</formula>
    </cfRule>
    <cfRule type="cellIs" dxfId="2900" priority="1000" stopIfTrue="1" operator="equal">
      <formula>"ن داخلي"</formula>
    </cfRule>
    <cfRule type="cellIs" dxfId="2899" priority="1001" stopIfTrue="1" operator="equal">
      <formula>"ن داخلية"</formula>
    </cfRule>
    <cfRule type="cellIs" dxfId="2898" priority="1002" stopIfTrue="1" operator="equal">
      <formula>#REF!</formula>
    </cfRule>
    <cfRule type="cellIs" dxfId="2897" priority="1003" stopIfTrue="1" operator="equal">
      <formula>#REF!</formula>
    </cfRule>
    <cfRule type="cellIs" dxfId="2896" priority="1004" stopIfTrue="1" operator="equal">
      <formula>#REF!</formula>
    </cfRule>
    <cfRule type="cellIs" dxfId="2895" priority="1005" stopIfTrue="1" operator="equal">
      <formula>#REF!</formula>
    </cfRule>
    <cfRule type="cellIs" dxfId="2894" priority="1006" stopIfTrue="1" operator="equal">
      <formula>"داخلية"</formula>
    </cfRule>
  </conditionalFormatting>
  <conditionalFormatting sqref="D15">
    <cfRule type="containsText" dxfId="2893" priority="993" stopIfTrue="1" operator="containsText" text="خارجية">
      <formula>NOT(ISERROR(SEARCH("خارجية",D15)))</formula>
    </cfRule>
    <cfRule type="containsText" dxfId="2892" priority="994" stopIfTrue="1" operator="containsText" text="خارجي">
      <formula>NOT(ISERROR(SEARCH("خارجي",D15)))</formula>
    </cfRule>
  </conditionalFormatting>
  <conditionalFormatting sqref="D15">
    <cfRule type="expression" dxfId="2891" priority="992" stopIfTrue="1">
      <formula>#REF!=""</formula>
    </cfRule>
  </conditionalFormatting>
  <conditionalFormatting sqref="D15">
    <cfRule type="expression" dxfId="2890" priority="991" stopIfTrue="1">
      <formula>#REF!=""</formula>
    </cfRule>
  </conditionalFormatting>
  <conditionalFormatting sqref="D15">
    <cfRule type="containsText" dxfId="2889" priority="979" stopIfTrue="1" operator="containsText" text="خارجية">
      <formula>NOT(ISERROR(SEARCH("خارجية",D15)))</formula>
    </cfRule>
    <cfRule type="containsText" dxfId="2888" priority="980" stopIfTrue="1" operator="containsText" text="ن داخلية">
      <formula>NOT(ISERROR(SEARCH("ن داخلية",D15)))</formula>
    </cfRule>
    <cfRule type="containsText" dxfId="2887" priority="981" stopIfTrue="1" operator="containsText" text="داخلية">
      <formula>NOT(ISERROR(SEARCH("داخلية",D15)))</formula>
    </cfRule>
    <cfRule type="containsText" dxfId="2886" priority="982" stopIfTrue="1" operator="containsText" text="ن داخلية">
      <formula>NOT(ISERROR(SEARCH("ن داخلية",D15)))</formula>
    </cfRule>
    <cfRule type="containsText" dxfId="2885" priority="983" stopIfTrue="1" operator="containsText" text="داخلية">
      <formula>NOT(ISERROR(SEARCH("داخلية",D15)))</formula>
    </cfRule>
    <cfRule type="cellIs" dxfId="2884" priority="984" stopIfTrue="1" operator="equal">
      <formula>"ن داخلي"</formula>
    </cfRule>
    <cfRule type="cellIs" dxfId="2883" priority="985" stopIfTrue="1" operator="equal">
      <formula>"ن داخلية"</formula>
    </cfRule>
    <cfRule type="cellIs" dxfId="2882" priority="986" stopIfTrue="1" operator="equal">
      <formula>#REF!</formula>
    </cfRule>
    <cfRule type="cellIs" dxfId="2881" priority="987" stopIfTrue="1" operator="equal">
      <formula>#REF!</formula>
    </cfRule>
    <cfRule type="cellIs" dxfId="2880" priority="988" stopIfTrue="1" operator="equal">
      <formula>#REF!</formula>
    </cfRule>
    <cfRule type="cellIs" dxfId="2879" priority="989" stopIfTrue="1" operator="equal">
      <formula>#REF!</formula>
    </cfRule>
    <cfRule type="cellIs" dxfId="2878" priority="990" stopIfTrue="1" operator="equal">
      <formula>"داخلية"</formula>
    </cfRule>
  </conditionalFormatting>
  <conditionalFormatting sqref="D15">
    <cfRule type="containsText" dxfId="2877" priority="977" stopIfTrue="1" operator="containsText" text="خارجية">
      <formula>NOT(ISERROR(SEARCH("خارجية",D15)))</formula>
    </cfRule>
    <cfRule type="containsText" dxfId="2876" priority="978" stopIfTrue="1" operator="containsText" text="خارجي">
      <formula>NOT(ISERROR(SEARCH("خارجي",D15)))</formula>
    </cfRule>
  </conditionalFormatting>
  <conditionalFormatting sqref="D15">
    <cfRule type="expression" dxfId="2875" priority="976" stopIfTrue="1">
      <formula>#REF!=""</formula>
    </cfRule>
  </conditionalFormatting>
  <conditionalFormatting sqref="D15">
    <cfRule type="expression" dxfId="2874" priority="975" stopIfTrue="1">
      <formula>#REF!=""</formula>
    </cfRule>
  </conditionalFormatting>
  <conditionalFormatting sqref="D15">
    <cfRule type="containsText" dxfId="2873" priority="963" stopIfTrue="1" operator="containsText" text="خارجية">
      <formula>NOT(ISERROR(SEARCH("خارجية",D15)))</formula>
    </cfRule>
    <cfRule type="containsText" dxfId="2872" priority="964" stopIfTrue="1" operator="containsText" text="ن داخلية">
      <formula>NOT(ISERROR(SEARCH("ن داخلية",D15)))</formula>
    </cfRule>
    <cfRule type="containsText" dxfId="2871" priority="965" stopIfTrue="1" operator="containsText" text="داخلية">
      <formula>NOT(ISERROR(SEARCH("داخلية",D15)))</formula>
    </cfRule>
    <cfRule type="containsText" dxfId="2870" priority="966" stopIfTrue="1" operator="containsText" text="ن داخلية">
      <formula>NOT(ISERROR(SEARCH("ن داخلية",D15)))</formula>
    </cfRule>
    <cfRule type="containsText" dxfId="2869" priority="967" stopIfTrue="1" operator="containsText" text="داخلية">
      <formula>NOT(ISERROR(SEARCH("داخلية",D15)))</formula>
    </cfRule>
    <cfRule type="cellIs" dxfId="2868" priority="968" stopIfTrue="1" operator="equal">
      <formula>"ن داخلي"</formula>
    </cfRule>
    <cfRule type="cellIs" dxfId="2867" priority="969" stopIfTrue="1" operator="equal">
      <formula>"ن داخلية"</formula>
    </cfRule>
    <cfRule type="cellIs" dxfId="2866" priority="970" stopIfTrue="1" operator="equal">
      <formula>#REF!</formula>
    </cfRule>
    <cfRule type="cellIs" dxfId="2865" priority="971" stopIfTrue="1" operator="equal">
      <formula>#REF!</formula>
    </cfRule>
    <cfRule type="cellIs" dxfId="2864" priority="972" stopIfTrue="1" operator="equal">
      <formula>#REF!</formula>
    </cfRule>
    <cfRule type="cellIs" dxfId="2863" priority="973" stopIfTrue="1" operator="equal">
      <formula>#REF!</formula>
    </cfRule>
    <cfRule type="cellIs" dxfId="2862" priority="974" stopIfTrue="1" operator="equal">
      <formula>"داخلية"</formula>
    </cfRule>
  </conditionalFormatting>
  <conditionalFormatting sqref="D15">
    <cfRule type="containsText" dxfId="2861" priority="961" stopIfTrue="1" operator="containsText" text="خارجية">
      <formula>NOT(ISERROR(SEARCH("خارجية",D15)))</formula>
    </cfRule>
    <cfRule type="containsText" dxfId="2860" priority="962" stopIfTrue="1" operator="containsText" text="خارجي">
      <formula>NOT(ISERROR(SEARCH("خارجي",D15)))</formula>
    </cfRule>
  </conditionalFormatting>
  <conditionalFormatting sqref="D15">
    <cfRule type="expression" dxfId="2859" priority="960" stopIfTrue="1">
      <formula>#REF!=""</formula>
    </cfRule>
  </conditionalFormatting>
  <conditionalFormatting sqref="D15">
    <cfRule type="containsText" dxfId="2858" priority="958" stopIfTrue="1" operator="containsText" text="خارجية">
      <formula>NOT(ISERROR(SEARCH("خارجية",D15)))</formula>
    </cfRule>
    <cfRule type="containsText" dxfId="2857" priority="959" stopIfTrue="1" operator="containsText" text="خارجي">
      <formula>NOT(ISERROR(SEARCH("خارجي",D15)))</formula>
    </cfRule>
  </conditionalFormatting>
  <conditionalFormatting sqref="D15">
    <cfRule type="containsText" dxfId="2856" priority="946" stopIfTrue="1" operator="containsText" text="خارجية">
      <formula>NOT(ISERROR(SEARCH("خارجية",D15)))</formula>
    </cfRule>
    <cfRule type="containsText" dxfId="2855" priority="947" stopIfTrue="1" operator="containsText" text="ن داخلية">
      <formula>NOT(ISERROR(SEARCH("ن داخلية",D15)))</formula>
    </cfRule>
    <cfRule type="containsText" dxfId="2854" priority="948" stopIfTrue="1" operator="containsText" text="داخلية">
      <formula>NOT(ISERROR(SEARCH("داخلية",D15)))</formula>
    </cfRule>
    <cfRule type="containsText" dxfId="2853" priority="949" stopIfTrue="1" operator="containsText" text="ن داخلية">
      <formula>NOT(ISERROR(SEARCH("ن داخلية",D15)))</formula>
    </cfRule>
    <cfRule type="containsText" dxfId="2852" priority="950" stopIfTrue="1" operator="containsText" text="داخلية">
      <formula>NOT(ISERROR(SEARCH("داخلية",D15)))</formula>
    </cfRule>
    <cfRule type="cellIs" dxfId="2851" priority="951" stopIfTrue="1" operator="equal">
      <formula>"ن داخلي"</formula>
    </cfRule>
    <cfRule type="cellIs" dxfId="2850" priority="952" stopIfTrue="1" operator="equal">
      <formula>"ن داخلية"</formula>
    </cfRule>
    <cfRule type="cellIs" dxfId="2849" priority="953" stopIfTrue="1" operator="equal">
      <formula>#REF!</formula>
    </cfRule>
    <cfRule type="cellIs" dxfId="2848" priority="954" stopIfTrue="1" operator="equal">
      <formula>#REF!</formula>
    </cfRule>
    <cfRule type="cellIs" dxfId="2847" priority="955" stopIfTrue="1" operator="equal">
      <formula>#REF!</formula>
    </cfRule>
    <cfRule type="cellIs" dxfId="2846" priority="956" stopIfTrue="1" operator="equal">
      <formula>#REF!</formula>
    </cfRule>
    <cfRule type="cellIs" dxfId="2845" priority="957" stopIfTrue="1" operator="equal">
      <formula>"داخلية"</formula>
    </cfRule>
  </conditionalFormatting>
  <conditionalFormatting sqref="B16:C16">
    <cfRule type="expression" dxfId="2844" priority="945" stopIfTrue="1">
      <formula>#REF!=""</formula>
    </cfRule>
  </conditionalFormatting>
  <conditionalFormatting sqref="B16:C16">
    <cfRule type="expression" dxfId="2843" priority="944" stopIfTrue="1">
      <formula>#REF!=""</formula>
    </cfRule>
  </conditionalFormatting>
  <conditionalFormatting sqref="B16:C16">
    <cfRule type="expression" dxfId="2842" priority="943" stopIfTrue="1">
      <formula>#REF!=""</formula>
    </cfRule>
  </conditionalFormatting>
  <conditionalFormatting sqref="B16:C16">
    <cfRule type="expression" dxfId="2841" priority="942" stopIfTrue="1">
      <formula>#REF!=""</formula>
    </cfRule>
  </conditionalFormatting>
  <conditionalFormatting sqref="B16:D16">
    <cfRule type="expression" dxfId="2840" priority="941" stopIfTrue="1">
      <formula>#REF!=""</formula>
    </cfRule>
  </conditionalFormatting>
  <conditionalFormatting sqref="B16:D16">
    <cfRule type="expression" dxfId="2839" priority="940" stopIfTrue="1">
      <formula>#REF!=""</formula>
    </cfRule>
  </conditionalFormatting>
  <conditionalFormatting sqref="B16:D16">
    <cfRule type="expression" dxfId="2838" priority="939" stopIfTrue="1">
      <formula>#REF!=""</formula>
    </cfRule>
  </conditionalFormatting>
  <conditionalFormatting sqref="B16:D16">
    <cfRule type="expression" dxfId="2837" priority="938" stopIfTrue="1">
      <formula>#REF!=""</formula>
    </cfRule>
  </conditionalFormatting>
  <conditionalFormatting sqref="D16">
    <cfRule type="containsText" dxfId="2836" priority="926" stopIfTrue="1" operator="containsText" text="خارجية">
      <formula>NOT(ISERROR(SEARCH("خارجية",D16)))</formula>
    </cfRule>
    <cfRule type="containsText" dxfId="2835" priority="927" stopIfTrue="1" operator="containsText" text="ن داخلية">
      <formula>NOT(ISERROR(SEARCH("ن داخلية",D16)))</formula>
    </cfRule>
    <cfRule type="containsText" dxfId="2834" priority="928" stopIfTrue="1" operator="containsText" text="داخلية">
      <formula>NOT(ISERROR(SEARCH("داخلية",D16)))</formula>
    </cfRule>
    <cfRule type="containsText" dxfId="2833" priority="929" stopIfTrue="1" operator="containsText" text="ن داخلية">
      <formula>NOT(ISERROR(SEARCH("ن داخلية",D16)))</formula>
    </cfRule>
    <cfRule type="containsText" dxfId="2832" priority="930" stopIfTrue="1" operator="containsText" text="داخلية">
      <formula>NOT(ISERROR(SEARCH("داخلية",D16)))</formula>
    </cfRule>
    <cfRule type="cellIs" dxfId="2831" priority="931" stopIfTrue="1" operator="equal">
      <formula>"ن داخلي"</formula>
    </cfRule>
    <cfRule type="cellIs" dxfId="2830" priority="932" stopIfTrue="1" operator="equal">
      <formula>"ن داخلية"</formula>
    </cfRule>
    <cfRule type="cellIs" dxfId="2829" priority="933" stopIfTrue="1" operator="equal">
      <formula>#REF!</formula>
    </cfRule>
    <cfRule type="cellIs" dxfId="2828" priority="934" stopIfTrue="1" operator="equal">
      <formula>#REF!</formula>
    </cfRule>
    <cfRule type="cellIs" dxfId="2827" priority="935" stopIfTrue="1" operator="equal">
      <formula>#REF!</formula>
    </cfRule>
    <cfRule type="cellIs" dxfId="2826" priority="936" stopIfTrue="1" operator="equal">
      <formula>#REF!</formula>
    </cfRule>
    <cfRule type="cellIs" dxfId="2825" priority="937" stopIfTrue="1" operator="equal">
      <formula>"داخلية"</formula>
    </cfRule>
  </conditionalFormatting>
  <conditionalFormatting sqref="D16">
    <cfRule type="cellIs" dxfId="2824" priority="925" stopIfTrue="1" operator="greaterThan">
      <formula>"9.999"</formula>
    </cfRule>
  </conditionalFormatting>
  <conditionalFormatting sqref="D16">
    <cfRule type="expression" dxfId="2823" priority="924" stopIfTrue="1">
      <formula>#REF!=""</formula>
    </cfRule>
  </conditionalFormatting>
  <conditionalFormatting sqref="D16">
    <cfRule type="containsText" dxfId="2822" priority="912" stopIfTrue="1" operator="containsText" text="خارجية">
      <formula>NOT(ISERROR(SEARCH("خارجية",D16)))</formula>
    </cfRule>
    <cfRule type="containsText" dxfId="2821" priority="913" stopIfTrue="1" operator="containsText" text="ن داخلية">
      <formula>NOT(ISERROR(SEARCH("ن داخلية",D16)))</formula>
    </cfRule>
    <cfRule type="containsText" dxfId="2820" priority="914" stopIfTrue="1" operator="containsText" text="داخلية">
      <formula>NOT(ISERROR(SEARCH("داخلية",D16)))</formula>
    </cfRule>
    <cfRule type="containsText" dxfId="2819" priority="915" stopIfTrue="1" operator="containsText" text="ن داخلية">
      <formula>NOT(ISERROR(SEARCH("ن داخلية",D16)))</formula>
    </cfRule>
    <cfRule type="containsText" dxfId="2818" priority="916" stopIfTrue="1" operator="containsText" text="داخلية">
      <formula>NOT(ISERROR(SEARCH("داخلية",D16)))</formula>
    </cfRule>
    <cfRule type="cellIs" dxfId="2817" priority="917" stopIfTrue="1" operator="equal">
      <formula>"ن داخلي"</formula>
    </cfRule>
    <cfRule type="cellIs" dxfId="2816" priority="918" stopIfTrue="1" operator="equal">
      <formula>"ن داخلية"</formula>
    </cfRule>
    <cfRule type="cellIs" dxfId="2815" priority="919" stopIfTrue="1" operator="equal">
      <formula>#REF!</formula>
    </cfRule>
    <cfRule type="cellIs" dxfId="2814" priority="920" stopIfTrue="1" operator="equal">
      <formula>#REF!</formula>
    </cfRule>
    <cfRule type="cellIs" dxfId="2813" priority="921" stopIfTrue="1" operator="equal">
      <formula>#REF!</formula>
    </cfRule>
    <cfRule type="cellIs" dxfId="2812" priority="922" stopIfTrue="1" operator="equal">
      <formula>#REF!</formula>
    </cfRule>
    <cfRule type="cellIs" dxfId="2811" priority="923" stopIfTrue="1" operator="equal">
      <formula>"داخلية"</formula>
    </cfRule>
  </conditionalFormatting>
  <conditionalFormatting sqref="D16">
    <cfRule type="cellIs" dxfId="2810" priority="911" stopIfTrue="1" operator="greaterThan">
      <formula>"9.999"</formula>
    </cfRule>
  </conditionalFormatting>
  <conditionalFormatting sqref="D16">
    <cfRule type="expression" dxfId="2809" priority="910" stopIfTrue="1">
      <formula>#REF!=""</formula>
    </cfRule>
  </conditionalFormatting>
  <conditionalFormatting sqref="D16">
    <cfRule type="containsText" dxfId="2808" priority="898" stopIfTrue="1" operator="containsText" text="خارجية">
      <formula>NOT(ISERROR(SEARCH("خارجية",D16)))</formula>
    </cfRule>
    <cfRule type="containsText" dxfId="2807" priority="899" stopIfTrue="1" operator="containsText" text="ن داخلية">
      <formula>NOT(ISERROR(SEARCH("ن داخلية",D16)))</formula>
    </cfRule>
    <cfRule type="containsText" dxfId="2806" priority="900" stopIfTrue="1" operator="containsText" text="داخلية">
      <formula>NOT(ISERROR(SEARCH("داخلية",D16)))</formula>
    </cfRule>
    <cfRule type="containsText" dxfId="2805" priority="901" stopIfTrue="1" operator="containsText" text="ن داخلية">
      <formula>NOT(ISERROR(SEARCH("ن داخلية",D16)))</formula>
    </cfRule>
    <cfRule type="containsText" dxfId="2804" priority="902" stopIfTrue="1" operator="containsText" text="داخلية">
      <formula>NOT(ISERROR(SEARCH("داخلية",D16)))</formula>
    </cfRule>
    <cfRule type="cellIs" dxfId="2803" priority="903" stopIfTrue="1" operator="equal">
      <formula>"ن داخلي"</formula>
    </cfRule>
    <cfRule type="cellIs" dxfId="2802" priority="904" stopIfTrue="1" operator="equal">
      <formula>"ن داخلية"</formula>
    </cfRule>
    <cfRule type="cellIs" dxfId="2801" priority="905" stopIfTrue="1" operator="equal">
      <formula>#REF!</formula>
    </cfRule>
    <cfRule type="cellIs" dxfId="2800" priority="906" stopIfTrue="1" operator="equal">
      <formula>#REF!</formula>
    </cfRule>
    <cfRule type="cellIs" dxfId="2799" priority="907" stopIfTrue="1" operator="equal">
      <formula>#REF!</formula>
    </cfRule>
    <cfRule type="cellIs" dxfId="2798" priority="908" stopIfTrue="1" operator="equal">
      <formula>#REF!</formula>
    </cfRule>
    <cfRule type="cellIs" dxfId="2797" priority="909" stopIfTrue="1" operator="equal">
      <formula>"داخلية"</formula>
    </cfRule>
  </conditionalFormatting>
  <conditionalFormatting sqref="D16">
    <cfRule type="cellIs" dxfId="2796" priority="897" stopIfTrue="1" operator="greaterThan">
      <formula>"9.999"</formula>
    </cfRule>
  </conditionalFormatting>
  <conditionalFormatting sqref="D16">
    <cfRule type="expression" dxfId="2795" priority="896" stopIfTrue="1">
      <formula>#REF!=""</formula>
    </cfRule>
  </conditionalFormatting>
  <conditionalFormatting sqref="D16">
    <cfRule type="cellIs" dxfId="2794" priority="895" stopIfTrue="1" operator="greaterThan">
      <formula>"9.999"</formula>
    </cfRule>
  </conditionalFormatting>
  <conditionalFormatting sqref="D16">
    <cfRule type="containsText" dxfId="2793" priority="883" stopIfTrue="1" operator="containsText" text="خارجية">
      <formula>NOT(ISERROR(SEARCH("خارجية",D16)))</formula>
    </cfRule>
    <cfRule type="containsText" dxfId="2792" priority="884" stopIfTrue="1" operator="containsText" text="ن داخلية">
      <formula>NOT(ISERROR(SEARCH("ن داخلية",D16)))</formula>
    </cfRule>
    <cfRule type="containsText" dxfId="2791" priority="885" stopIfTrue="1" operator="containsText" text="داخلية">
      <formula>NOT(ISERROR(SEARCH("داخلية",D16)))</formula>
    </cfRule>
    <cfRule type="containsText" dxfId="2790" priority="886" stopIfTrue="1" operator="containsText" text="ن داخلية">
      <formula>NOT(ISERROR(SEARCH("ن داخلية",D16)))</formula>
    </cfRule>
    <cfRule type="containsText" dxfId="2789" priority="887" stopIfTrue="1" operator="containsText" text="داخلية">
      <formula>NOT(ISERROR(SEARCH("داخلية",D16)))</formula>
    </cfRule>
    <cfRule type="cellIs" dxfId="2788" priority="888" stopIfTrue="1" operator="equal">
      <formula>"ن داخلي"</formula>
    </cfRule>
    <cfRule type="cellIs" dxfId="2787" priority="889" stopIfTrue="1" operator="equal">
      <formula>"ن داخلية"</formula>
    </cfRule>
    <cfRule type="cellIs" dxfId="2786" priority="890" stopIfTrue="1" operator="equal">
      <formula>#REF!</formula>
    </cfRule>
    <cfRule type="cellIs" dxfId="2785" priority="891" stopIfTrue="1" operator="equal">
      <formula>#REF!</formula>
    </cfRule>
    <cfRule type="cellIs" dxfId="2784" priority="892" stopIfTrue="1" operator="equal">
      <formula>#REF!</formula>
    </cfRule>
    <cfRule type="cellIs" dxfId="2783" priority="893" stopIfTrue="1" operator="equal">
      <formula>#REF!</formula>
    </cfRule>
    <cfRule type="cellIs" dxfId="2782" priority="894" stopIfTrue="1" operator="equal">
      <formula>"داخلية"</formula>
    </cfRule>
  </conditionalFormatting>
  <conditionalFormatting sqref="D16">
    <cfRule type="expression" dxfId="2781" priority="882" stopIfTrue="1">
      <formula>#REF!=""</formula>
    </cfRule>
  </conditionalFormatting>
  <conditionalFormatting sqref="D16">
    <cfRule type="containsText" dxfId="2780" priority="870" stopIfTrue="1" operator="containsText" text="خارجية">
      <formula>NOT(ISERROR(SEARCH("خارجية",D16)))</formula>
    </cfRule>
    <cfRule type="containsText" dxfId="2779" priority="871" stopIfTrue="1" operator="containsText" text="ن داخلية">
      <formula>NOT(ISERROR(SEARCH("ن داخلية",D16)))</formula>
    </cfRule>
    <cfRule type="containsText" dxfId="2778" priority="872" stopIfTrue="1" operator="containsText" text="داخلية">
      <formula>NOT(ISERROR(SEARCH("داخلية",D16)))</formula>
    </cfRule>
    <cfRule type="containsText" dxfId="2777" priority="873" stopIfTrue="1" operator="containsText" text="ن داخلية">
      <formula>NOT(ISERROR(SEARCH("ن داخلية",D16)))</formula>
    </cfRule>
    <cfRule type="containsText" dxfId="2776" priority="874" stopIfTrue="1" operator="containsText" text="داخلية">
      <formula>NOT(ISERROR(SEARCH("داخلية",D16)))</formula>
    </cfRule>
    <cfRule type="cellIs" dxfId="2775" priority="875" stopIfTrue="1" operator="equal">
      <formula>"ن داخلي"</formula>
    </cfRule>
    <cfRule type="cellIs" dxfId="2774" priority="876" stopIfTrue="1" operator="equal">
      <formula>"ن داخلية"</formula>
    </cfRule>
    <cfRule type="cellIs" dxfId="2773" priority="877" stopIfTrue="1" operator="equal">
      <formula>#REF!</formula>
    </cfRule>
    <cfRule type="cellIs" dxfId="2772" priority="878" stopIfTrue="1" operator="equal">
      <formula>#REF!</formula>
    </cfRule>
    <cfRule type="cellIs" dxfId="2771" priority="879" stopIfTrue="1" operator="equal">
      <formula>#REF!</formula>
    </cfRule>
    <cfRule type="cellIs" dxfId="2770" priority="880" stopIfTrue="1" operator="equal">
      <formula>#REF!</formula>
    </cfRule>
    <cfRule type="cellIs" dxfId="2769" priority="881" stopIfTrue="1" operator="equal">
      <formula>"داخلية"</formula>
    </cfRule>
  </conditionalFormatting>
  <conditionalFormatting sqref="D16">
    <cfRule type="containsText" dxfId="2768" priority="868" stopIfTrue="1" operator="containsText" text="خارجية">
      <formula>NOT(ISERROR(SEARCH("خارجية",D16)))</formula>
    </cfRule>
    <cfRule type="containsText" dxfId="2767" priority="869" stopIfTrue="1" operator="containsText" text="خارجي">
      <formula>NOT(ISERROR(SEARCH("خارجي",D16)))</formula>
    </cfRule>
  </conditionalFormatting>
  <conditionalFormatting sqref="D16">
    <cfRule type="expression" dxfId="2766" priority="867" stopIfTrue="1">
      <formula>#REF!=""</formula>
    </cfRule>
  </conditionalFormatting>
  <conditionalFormatting sqref="D16">
    <cfRule type="expression" dxfId="2765" priority="866" stopIfTrue="1">
      <formula>#REF!=""</formula>
    </cfRule>
  </conditionalFormatting>
  <conditionalFormatting sqref="D16">
    <cfRule type="containsText" dxfId="2764" priority="854" stopIfTrue="1" operator="containsText" text="خارجية">
      <formula>NOT(ISERROR(SEARCH("خارجية",D16)))</formula>
    </cfRule>
    <cfRule type="containsText" dxfId="2763" priority="855" stopIfTrue="1" operator="containsText" text="ن داخلية">
      <formula>NOT(ISERROR(SEARCH("ن داخلية",D16)))</formula>
    </cfRule>
    <cfRule type="containsText" dxfId="2762" priority="856" stopIfTrue="1" operator="containsText" text="داخلية">
      <formula>NOT(ISERROR(SEARCH("داخلية",D16)))</formula>
    </cfRule>
    <cfRule type="containsText" dxfId="2761" priority="857" stopIfTrue="1" operator="containsText" text="ن داخلية">
      <formula>NOT(ISERROR(SEARCH("ن داخلية",D16)))</formula>
    </cfRule>
    <cfRule type="containsText" dxfId="2760" priority="858" stopIfTrue="1" operator="containsText" text="داخلية">
      <formula>NOT(ISERROR(SEARCH("داخلية",D16)))</formula>
    </cfRule>
    <cfRule type="cellIs" dxfId="2759" priority="859" stopIfTrue="1" operator="equal">
      <formula>"ن داخلي"</formula>
    </cfRule>
    <cfRule type="cellIs" dxfId="2758" priority="860" stopIfTrue="1" operator="equal">
      <formula>"ن داخلية"</formula>
    </cfRule>
    <cfRule type="cellIs" dxfId="2757" priority="861" stopIfTrue="1" operator="equal">
      <formula>#REF!</formula>
    </cfRule>
    <cfRule type="cellIs" dxfId="2756" priority="862" stopIfTrue="1" operator="equal">
      <formula>#REF!</formula>
    </cfRule>
    <cfRule type="cellIs" dxfId="2755" priority="863" stopIfTrue="1" operator="equal">
      <formula>#REF!</formula>
    </cfRule>
    <cfRule type="cellIs" dxfId="2754" priority="864" stopIfTrue="1" operator="equal">
      <formula>#REF!</formula>
    </cfRule>
    <cfRule type="cellIs" dxfId="2753" priority="865" stopIfTrue="1" operator="equal">
      <formula>"داخلية"</formula>
    </cfRule>
  </conditionalFormatting>
  <conditionalFormatting sqref="D16">
    <cfRule type="containsText" dxfId="2752" priority="852" stopIfTrue="1" operator="containsText" text="خارجية">
      <formula>NOT(ISERROR(SEARCH("خارجية",D16)))</formula>
    </cfRule>
    <cfRule type="containsText" dxfId="2751" priority="853" stopIfTrue="1" operator="containsText" text="خارجي">
      <formula>NOT(ISERROR(SEARCH("خارجي",D16)))</formula>
    </cfRule>
  </conditionalFormatting>
  <conditionalFormatting sqref="D16">
    <cfRule type="expression" dxfId="2750" priority="851" stopIfTrue="1">
      <formula>#REF!=""</formula>
    </cfRule>
  </conditionalFormatting>
  <conditionalFormatting sqref="D16">
    <cfRule type="containsText" dxfId="2749" priority="849" stopIfTrue="1" operator="containsText" text="خارجية">
      <formula>NOT(ISERROR(SEARCH("خارجية",D16)))</formula>
    </cfRule>
    <cfRule type="containsText" dxfId="2748" priority="850" stopIfTrue="1" operator="containsText" text="خارجي">
      <formula>NOT(ISERROR(SEARCH("خارجي",D16)))</formula>
    </cfRule>
  </conditionalFormatting>
  <conditionalFormatting sqref="D16">
    <cfRule type="containsText" dxfId="2747" priority="837" stopIfTrue="1" operator="containsText" text="خارجية">
      <formula>NOT(ISERROR(SEARCH("خارجية",D16)))</formula>
    </cfRule>
    <cfRule type="containsText" dxfId="2746" priority="838" stopIfTrue="1" operator="containsText" text="ن داخلية">
      <formula>NOT(ISERROR(SEARCH("ن داخلية",D16)))</formula>
    </cfRule>
    <cfRule type="containsText" dxfId="2745" priority="839" stopIfTrue="1" operator="containsText" text="داخلية">
      <formula>NOT(ISERROR(SEARCH("داخلية",D16)))</formula>
    </cfRule>
    <cfRule type="containsText" dxfId="2744" priority="840" stopIfTrue="1" operator="containsText" text="ن داخلية">
      <formula>NOT(ISERROR(SEARCH("ن داخلية",D16)))</formula>
    </cfRule>
    <cfRule type="containsText" dxfId="2743" priority="841" stopIfTrue="1" operator="containsText" text="داخلية">
      <formula>NOT(ISERROR(SEARCH("داخلية",D16)))</formula>
    </cfRule>
    <cfRule type="cellIs" dxfId="2742" priority="842" stopIfTrue="1" operator="equal">
      <formula>"ن داخلي"</formula>
    </cfRule>
    <cfRule type="cellIs" dxfId="2741" priority="843" stopIfTrue="1" operator="equal">
      <formula>"ن داخلية"</formula>
    </cfRule>
    <cfRule type="cellIs" dxfId="2740" priority="844" stopIfTrue="1" operator="equal">
      <formula>#REF!</formula>
    </cfRule>
    <cfRule type="cellIs" dxfId="2739" priority="845" stopIfTrue="1" operator="equal">
      <formula>#REF!</formula>
    </cfRule>
    <cfRule type="cellIs" dxfId="2738" priority="846" stopIfTrue="1" operator="equal">
      <formula>#REF!</formula>
    </cfRule>
    <cfRule type="cellIs" dxfId="2737" priority="847" stopIfTrue="1" operator="equal">
      <formula>#REF!</formula>
    </cfRule>
    <cfRule type="cellIs" dxfId="2736" priority="848" stopIfTrue="1" operator="equal">
      <formula>"داخلية"</formula>
    </cfRule>
  </conditionalFormatting>
  <conditionalFormatting sqref="D16">
    <cfRule type="containsText" dxfId="2735" priority="825" stopIfTrue="1" operator="containsText" text="خارجية">
      <formula>NOT(ISERROR(SEARCH("خارجية",D16)))</formula>
    </cfRule>
    <cfRule type="containsText" dxfId="2734" priority="826" stopIfTrue="1" operator="containsText" text="ن داخلية">
      <formula>NOT(ISERROR(SEARCH("ن داخلية",D16)))</formula>
    </cfRule>
    <cfRule type="containsText" dxfId="2733" priority="827" stopIfTrue="1" operator="containsText" text="داخلية">
      <formula>NOT(ISERROR(SEARCH("داخلية",D16)))</formula>
    </cfRule>
    <cfRule type="containsText" dxfId="2732" priority="828" stopIfTrue="1" operator="containsText" text="ن داخلية">
      <formula>NOT(ISERROR(SEARCH("ن داخلية",D16)))</formula>
    </cfRule>
    <cfRule type="containsText" dxfId="2731" priority="829" stopIfTrue="1" operator="containsText" text="داخلية">
      <formula>NOT(ISERROR(SEARCH("داخلية",D16)))</formula>
    </cfRule>
    <cfRule type="cellIs" dxfId="2730" priority="830" stopIfTrue="1" operator="equal">
      <formula>"ن داخلي"</formula>
    </cfRule>
    <cfRule type="cellIs" dxfId="2729" priority="831" stopIfTrue="1" operator="equal">
      <formula>"ن داخلية"</formula>
    </cfRule>
    <cfRule type="cellIs" dxfId="2728" priority="832" stopIfTrue="1" operator="equal">
      <formula>#REF!</formula>
    </cfRule>
    <cfRule type="cellIs" dxfId="2727" priority="833" stopIfTrue="1" operator="equal">
      <formula>#REF!</formula>
    </cfRule>
    <cfRule type="cellIs" dxfId="2726" priority="834" stopIfTrue="1" operator="equal">
      <formula>#REF!</formula>
    </cfRule>
    <cfRule type="cellIs" dxfId="2725" priority="835" stopIfTrue="1" operator="equal">
      <formula>#REF!</formula>
    </cfRule>
    <cfRule type="cellIs" dxfId="2724" priority="836" stopIfTrue="1" operator="equal">
      <formula>"داخلية"</formula>
    </cfRule>
  </conditionalFormatting>
  <conditionalFormatting sqref="D16">
    <cfRule type="containsText" dxfId="2723" priority="823" stopIfTrue="1" operator="containsText" text="خارجية">
      <formula>NOT(ISERROR(SEARCH("خارجية",D16)))</formula>
    </cfRule>
    <cfRule type="containsText" dxfId="2722" priority="824" stopIfTrue="1" operator="containsText" text="خارجي">
      <formula>NOT(ISERROR(SEARCH("خارجي",D16)))</formula>
    </cfRule>
  </conditionalFormatting>
  <conditionalFormatting sqref="D16">
    <cfRule type="containsText" dxfId="2721" priority="811" stopIfTrue="1" operator="containsText" text="خارجية">
      <formula>NOT(ISERROR(SEARCH("خارجية",D16)))</formula>
    </cfRule>
    <cfRule type="containsText" dxfId="2720" priority="812" stopIfTrue="1" operator="containsText" text="ن داخلية">
      <formula>NOT(ISERROR(SEARCH("ن داخلية",D16)))</formula>
    </cfRule>
    <cfRule type="containsText" dxfId="2719" priority="813" stopIfTrue="1" operator="containsText" text="داخلية">
      <formula>NOT(ISERROR(SEARCH("داخلية",D16)))</formula>
    </cfRule>
    <cfRule type="containsText" dxfId="2718" priority="814" stopIfTrue="1" operator="containsText" text="ن داخلية">
      <formula>NOT(ISERROR(SEARCH("ن داخلية",D16)))</formula>
    </cfRule>
    <cfRule type="containsText" dxfId="2717" priority="815" stopIfTrue="1" operator="containsText" text="داخلية">
      <formula>NOT(ISERROR(SEARCH("داخلية",D16)))</formula>
    </cfRule>
    <cfRule type="cellIs" dxfId="2716" priority="816" stopIfTrue="1" operator="equal">
      <formula>"ن داخلي"</formula>
    </cfRule>
    <cfRule type="cellIs" dxfId="2715" priority="817" stopIfTrue="1" operator="equal">
      <formula>"ن داخلية"</formula>
    </cfRule>
    <cfRule type="cellIs" dxfId="2714" priority="818" stopIfTrue="1" operator="equal">
      <formula>#REF!</formula>
    </cfRule>
    <cfRule type="cellIs" dxfId="2713" priority="819" stopIfTrue="1" operator="equal">
      <formula>#REF!</formula>
    </cfRule>
    <cfRule type="cellIs" dxfId="2712" priority="820" stopIfTrue="1" operator="equal">
      <formula>#REF!</formula>
    </cfRule>
    <cfRule type="cellIs" dxfId="2711" priority="821" stopIfTrue="1" operator="equal">
      <formula>#REF!</formula>
    </cfRule>
    <cfRule type="cellIs" dxfId="2710" priority="822" stopIfTrue="1" operator="equal">
      <formula>"داخلية"</formula>
    </cfRule>
  </conditionalFormatting>
  <conditionalFormatting sqref="D16">
    <cfRule type="containsText" dxfId="2709" priority="809" stopIfTrue="1" operator="containsText" text="خارجية">
      <formula>NOT(ISERROR(SEARCH("خارجية",D16)))</formula>
    </cfRule>
    <cfRule type="containsText" dxfId="2708" priority="810" stopIfTrue="1" operator="containsText" text="خارجي">
      <formula>NOT(ISERROR(SEARCH("خارجي",D16)))</formula>
    </cfRule>
  </conditionalFormatting>
  <conditionalFormatting sqref="D16">
    <cfRule type="expression" dxfId="2707" priority="808" stopIfTrue="1">
      <formula>#REF!=""</formula>
    </cfRule>
  </conditionalFormatting>
  <conditionalFormatting sqref="D16">
    <cfRule type="expression" dxfId="2706" priority="807" stopIfTrue="1">
      <formula>#REF!=""</formula>
    </cfRule>
  </conditionalFormatting>
  <conditionalFormatting sqref="D16">
    <cfRule type="containsText" dxfId="2705" priority="805" stopIfTrue="1" operator="containsText" text="خارجية">
      <formula>NOT(ISERROR(SEARCH("خارجية",D16)))</formula>
    </cfRule>
    <cfRule type="containsText" dxfId="2704" priority="806" stopIfTrue="1" operator="containsText" text="خارجي">
      <formula>NOT(ISERROR(SEARCH("خارجي",D16)))</formula>
    </cfRule>
  </conditionalFormatting>
  <conditionalFormatting sqref="D16">
    <cfRule type="containsText" dxfId="2703" priority="793" stopIfTrue="1" operator="containsText" text="خارجية">
      <formula>NOT(ISERROR(SEARCH("خارجية",D16)))</formula>
    </cfRule>
    <cfRule type="containsText" dxfId="2702" priority="794" stopIfTrue="1" operator="containsText" text="ن داخلية">
      <formula>NOT(ISERROR(SEARCH("ن داخلية",D16)))</formula>
    </cfRule>
    <cfRule type="containsText" dxfId="2701" priority="795" stopIfTrue="1" operator="containsText" text="داخلية">
      <formula>NOT(ISERROR(SEARCH("داخلية",D16)))</formula>
    </cfRule>
    <cfRule type="containsText" dxfId="2700" priority="796" stopIfTrue="1" operator="containsText" text="ن داخلية">
      <formula>NOT(ISERROR(SEARCH("ن داخلية",D16)))</formula>
    </cfRule>
    <cfRule type="containsText" dxfId="2699" priority="797" stopIfTrue="1" operator="containsText" text="داخلية">
      <formula>NOT(ISERROR(SEARCH("داخلية",D16)))</formula>
    </cfRule>
    <cfRule type="cellIs" dxfId="2698" priority="798" stopIfTrue="1" operator="equal">
      <formula>"ن داخلي"</formula>
    </cfRule>
    <cfRule type="cellIs" dxfId="2697" priority="799" stopIfTrue="1" operator="equal">
      <formula>"ن داخلية"</formula>
    </cfRule>
    <cfRule type="cellIs" dxfId="2696" priority="800" stopIfTrue="1" operator="equal">
      <formula>#REF!</formula>
    </cfRule>
    <cfRule type="cellIs" dxfId="2695" priority="801" stopIfTrue="1" operator="equal">
      <formula>#REF!</formula>
    </cfRule>
    <cfRule type="cellIs" dxfId="2694" priority="802" stopIfTrue="1" operator="equal">
      <formula>#REF!</formula>
    </cfRule>
    <cfRule type="cellIs" dxfId="2693" priority="803" stopIfTrue="1" operator="equal">
      <formula>#REF!</formula>
    </cfRule>
    <cfRule type="cellIs" dxfId="2692" priority="804" stopIfTrue="1" operator="equal">
      <formula>"داخلية"</formula>
    </cfRule>
  </conditionalFormatting>
  <conditionalFormatting sqref="D16">
    <cfRule type="containsText" dxfId="2691" priority="781" stopIfTrue="1" operator="containsText" text="خارجية">
      <formula>NOT(ISERROR(SEARCH("خارجية",D16)))</formula>
    </cfRule>
    <cfRule type="containsText" dxfId="2690" priority="782" stopIfTrue="1" operator="containsText" text="ن داخلية">
      <formula>NOT(ISERROR(SEARCH("ن داخلية",D16)))</formula>
    </cfRule>
    <cfRule type="containsText" dxfId="2689" priority="783" stopIfTrue="1" operator="containsText" text="داخلية">
      <formula>NOT(ISERROR(SEARCH("داخلية",D16)))</formula>
    </cfRule>
    <cfRule type="containsText" dxfId="2688" priority="784" stopIfTrue="1" operator="containsText" text="ن داخلية">
      <formula>NOT(ISERROR(SEARCH("ن داخلية",D16)))</formula>
    </cfRule>
    <cfRule type="containsText" dxfId="2687" priority="785" stopIfTrue="1" operator="containsText" text="داخلية">
      <formula>NOT(ISERROR(SEARCH("داخلية",D16)))</formula>
    </cfRule>
    <cfRule type="cellIs" dxfId="2686" priority="786" stopIfTrue="1" operator="equal">
      <formula>"ن داخلي"</formula>
    </cfRule>
    <cfRule type="cellIs" dxfId="2685" priority="787" stopIfTrue="1" operator="equal">
      <formula>"ن داخلية"</formula>
    </cfRule>
    <cfRule type="cellIs" dxfId="2684" priority="788" stopIfTrue="1" operator="equal">
      <formula>#REF!</formula>
    </cfRule>
    <cfRule type="cellIs" dxfId="2683" priority="789" stopIfTrue="1" operator="equal">
      <formula>#REF!</formula>
    </cfRule>
    <cfRule type="cellIs" dxfId="2682" priority="790" stopIfTrue="1" operator="equal">
      <formula>#REF!</formula>
    </cfRule>
    <cfRule type="cellIs" dxfId="2681" priority="791" stopIfTrue="1" operator="equal">
      <formula>#REF!</formula>
    </cfRule>
    <cfRule type="cellIs" dxfId="2680" priority="792" stopIfTrue="1" operator="equal">
      <formula>"داخلية"</formula>
    </cfRule>
  </conditionalFormatting>
  <conditionalFormatting sqref="D16">
    <cfRule type="containsText" dxfId="2679" priority="779" stopIfTrue="1" operator="containsText" text="خارجية">
      <formula>NOT(ISERROR(SEARCH("خارجية",D16)))</formula>
    </cfRule>
    <cfRule type="containsText" dxfId="2678" priority="780" stopIfTrue="1" operator="containsText" text="خارجي">
      <formula>NOT(ISERROR(SEARCH("خارجي",D16)))</formula>
    </cfRule>
  </conditionalFormatting>
  <conditionalFormatting sqref="D16">
    <cfRule type="containsText" dxfId="2677" priority="777" stopIfTrue="1" operator="containsText" text="خارجية">
      <formula>NOT(ISERROR(SEARCH("خارجية",D16)))</formula>
    </cfRule>
    <cfRule type="containsText" dxfId="2676" priority="778" stopIfTrue="1" operator="containsText" text="خارجي">
      <formula>NOT(ISERROR(SEARCH("خارجي",D16)))</formula>
    </cfRule>
  </conditionalFormatting>
  <conditionalFormatting sqref="D16">
    <cfRule type="containsText" dxfId="2675" priority="765" stopIfTrue="1" operator="containsText" text="خارجية">
      <formula>NOT(ISERROR(SEARCH("خارجية",D16)))</formula>
    </cfRule>
    <cfRule type="containsText" dxfId="2674" priority="766" stopIfTrue="1" operator="containsText" text="ن داخلية">
      <formula>NOT(ISERROR(SEARCH("ن داخلية",D16)))</formula>
    </cfRule>
    <cfRule type="containsText" dxfId="2673" priority="767" stopIfTrue="1" operator="containsText" text="داخلية">
      <formula>NOT(ISERROR(SEARCH("داخلية",D16)))</formula>
    </cfRule>
    <cfRule type="containsText" dxfId="2672" priority="768" stopIfTrue="1" operator="containsText" text="ن داخلية">
      <formula>NOT(ISERROR(SEARCH("ن داخلية",D16)))</formula>
    </cfRule>
    <cfRule type="containsText" dxfId="2671" priority="769" stopIfTrue="1" operator="containsText" text="داخلية">
      <formula>NOT(ISERROR(SEARCH("داخلية",D16)))</formula>
    </cfRule>
    <cfRule type="cellIs" dxfId="2670" priority="770" stopIfTrue="1" operator="equal">
      <formula>"ن داخلي"</formula>
    </cfRule>
    <cfRule type="cellIs" dxfId="2669" priority="771" stopIfTrue="1" operator="equal">
      <formula>"ن داخلية"</formula>
    </cfRule>
    <cfRule type="cellIs" dxfId="2668" priority="772" stopIfTrue="1" operator="equal">
      <formula>#REF!</formula>
    </cfRule>
    <cfRule type="cellIs" dxfId="2667" priority="773" stopIfTrue="1" operator="equal">
      <formula>#REF!</formula>
    </cfRule>
    <cfRule type="cellIs" dxfId="2666" priority="774" stopIfTrue="1" operator="equal">
      <formula>#REF!</formula>
    </cfRule>
    <cfRule type="cellIs" dxfId="2665" priority="775" stopIfTrue="1" operator="equal">
      <formula>#REF!</formula>
    </cfRule>
    <cfRule type="cellIs" dxfId="2664" priority="776" stopIfTrue="1" operator="equal">
      <formula>"داخلية"</formula>
    </cfRule>
  </conditionalFormatting>
  <conditionalFormatting sqref="D16">
    <cfRule type="expression" dxfId="2663" priority="764" stopIfTrue="1">
      <formula>#REF!=""</formula>
    </cfRule>
  </conditionalFormatting>
  <conditionalFormatting sqref="D16">
    <cfRule type="containsText" dxfId="2662" priority="752" stopIfTrue="1" operator="containsText" text="خارجية">
      <formula>NOT(ISERROR(SEARCH("خارجية",D16)))</formula>
    </cfRule>
    <cfRule type="containsText" dxfId="2661" priority="753" stopIfTrue="1" operator="containsText" text="ن داخلية">
      <formula>NOT(ISERROR(SEARCH("ن داخلية",D16)))</formula>
    </cfRule>
    <cfRule type="containsText" dxfId="2660" priority="754" stopIfTrue="1" operator="containsText" text="داخلية">
      <formula>NOT(ISERROR(SEARCH("داخلية",D16)))</formula>
    </cfRule>
    <cfRule type="containsText" dxfId="2659" priority="755" stopIfTrue="1" operator="containsText" text="ن داخلية">
      <formula>NOT(ISERROR(SEARCH("ن داخلية",D16)))</formula>
    </cfRule>
    <cfRule type="containsText" dxfId="2658" priority="756" stopIfTrue="1" operator="containsText" text="داخلية">
      <formula>NOT(ISERROR(SEARCH("داخلية",D16)))</formula>
    </cfRule>
    <cfRule type="cellIs" dxfId="2657" priority="757" stopIfTrue="1" operator="equal">
      <formula>"ن داخلي"</formula>
    </cfRule>
    <cfRule type="cellIs" dxfId="2656" priority="758" stopIfTrue="1" operator="equal">
      <formula>"ن داخلية"</formula>
    </cfRule>
    <cfRule type="cellIs" dxfId="2655" priority="759" stopIfTrue="1" operator="equal">
      <formula>#REF!</formula>
    </cfRule>
    <cfRule type="cellIs" dxfId="2654" priority="760" stopIfTrue="1" operator="equal">
      <formula>#REF!</formula>
    </cfRule>
    <cfRule type="cellIs" dxfId="2653" priority="761" stopIfTrue="1" operator="equal">
      <formula>#REF!</formula>
    </cfRule>
    <cfRule type="cellIs" dxfId="2652" priority="762" stopIfTrue="1" operator="equal">
      <formula>#REF!</formula>
    </cfRule>
    <cfRule type="cellIs" dxfId="2651" priority="763" stopIfTrue="1" operator="equal">
      <formula>"داخلية"</formula>
    </cfRule>
  </conditionalFormatting>
  <conditionalFormatting sqref="D16">
    <cfRule type="containsText" dxfId="2650" priority="750" stopIfTrue="1" operator="containsText" text="خارجية">
      <formula>NOT(ISERROR(SEARCH("خارجية",D16)))</formula>
    </cfRule>
    <cfRule type="containsText" dxfId="2649" priority="751" stopIfTrue="1" operator="containsText" text="خارجي">
      <formula>NOT(ISERROR(SEARCH("خارجي",D16)))</formula>
    </cfRule>
  </conditionalFormatting>
  <conditionalFormatting sqref="D16">
    <cfRule type="expression" dxfId="2648" priority="749" stopIfTrue="1">
      <formula>#REF!=""</formula>
    </cfRule>
  </conditionalFormatting>
  <conditionalFormatting sqref="D16">
    <cfRule type="containsText" dxfId="2647" priority="747" stopIfTrue="1" operator="containsText" text="خارجية">
      <formula>NOT(ISERROR(SEARCH("خارجية",D16)))</formula>
    </cfRule>
    <cfRule type="containsText" dxfId="2646" priority="748" stopIfTrue="1" operator="containsText" text="خارجي">
      <formula>NOT(ISERROR(SEARCH("خارجي",D16)))</formula>
    </cfRule>
  </conditionalFormatting>
  <conditionalFormatting sqref="D16">
    <cfRule type="containsText" dxfId="2645" priority="735" stopIfTrue="1" operator="containsText" text="خارجية">
      <formula>NOT(ISERROR(SEARCH("خارجية",D16)))</formula>
    </cfRule>
    <cfRule type="containsText" dxfId="2644" priority="736" stopIfTrue="1" operator="containsText" text="ن داخلية">
      <formula>NOT(ISERROR(SEARCH("ن داخلية",D16)))</formula>
    </cfRule>
    <cfRule type="containsText" dxfId="2643" priority="737" stopIfTrue="1" operator="containsText" text="داخلية">
      <formula>NOT(ISERROR(SEARCH("داخلية",D16)))</formula>
    </cfRule>
    <cfRule type="containsText" dxfId="2642" priority="738" stopIfTrue="1" operator="containsText" text="ن داخلية">
      <formula>NOT(ISERROR(SEARCH("ن داخلية",D16)))</formula>
    </cfRule>
    <cfRule type="containsText" dxfId="2641" priority="739" stopIfTrue="1" operator="containsText" text="داخلية">
      <formula>NOT(ISERROR(SEARCH("داخلية",D16)))</formula>
    </cfRule>
    <cfRule type="cellIs" dxfId="2640" priority="740" stopIfTrue="1" operator="equal">
      <formula>"ن داخلي"</formula>
    </cfRule>
    <cfRule type="cellIs" dxfId="2639" priority="741" stopIfTrue="1" operator="equal">
      <formula>"ن داخلية"</formula>
    </cfRule>
    <cfRule type="cellIs" dxfId="2638" priority="742" stopIfTrue="1" operator="equal">
      <formula>#REF!</formula>
    </cfRule>
    <cfRule type="cellIs" dxfId="2637" priority="743" stopIfTrue="1" operator="equal">
      <formula>#REF!</formula>
    </cfRule>
    <cfRule type="cellIs" dxfId="2636" priority="744" stopIfTrue="1" operator="equal">
      <formula>#REF!</formula>
    </cfRule>
    <cfRule type="cellIs" dxfId="2635" priority="745" stopIfTrue="1" operator="equal">
      <formula>#REF!</formula>
    </cfRule>
    <cfRule type="cellIs" dxfId="2634" priority="746" stopIfTrue="1" operator="equal">
      <formula>"داخلية"</formula>
    </cfRule>
  </conditionalFormatting>
  <conditionalFormatting sqref="D16">
    <cfRule type="expression" dxfId="2633" priority="734" stopIfTrue="1">
      <formula>#REF!=""</formula>
    </cfRule>
  </conditionalFormatting>
  <conditionalFormatting sqref="D16">
    <cfRule type="containsText" dxfId="2632" priority="732" stopIfTrue="1" operator="containsText" text="خارجية">
      <formula>NOT(ISERROR(SEARCH("خارجية",D16)))</formula>
    </cfRule>
    <cfRule type="containsText" dxfId="2631" priority="733" stopIfTrue="1" operator="containsText" text="خارجي">
      <formula>NOT(ISERROR(SEARCH("خارجي",D16)))</formula>
    </cfRule>
  </conditionalFormatting>
  <conditionalFormatting sqref="D16">
    <cfRule type="containsText" dxfId="2630" priority="720" stopIfTrue="1" operator="containsText" text="خارجية">
      <formula>NOT(ISERROR(SEARCH("خارجية",D16)))</formula>
    </cfRule>
    <cfRule type="containsText" dxfId="2629" priority="721" stopIfTrue="1" operator="containsText" text="ن داخلية">
      <formula>NOT(ISERROR(SEARCH("ن داخلية",D16)))</formula>
    </cfRule>
    <cfRule type="containsText" dxfId="2628" priority="722" stopIfTrue="1" operator="containsText" text="داخلية">
      <formula>NOT(ISERROR(SEARCH("داخلية",D16)))</formula>
    </cfRule>
    <cfRule type="containsText" dxfId="2627" priority="723" stopIfTrue="1" operator="containsText" text="ن داخلية">
      <formula>NOT(ISERROR(SEARCH("ن داخلية",D16)))</formula>
    </cfRule>
    <cfRule type="containsText" dxfId="2626" priority="724" stopIfTrue="1" operator="containsText" text="داخلية">
      <formula>NOT(ISERROR(SEARCH("داخلية",D16)))</formula>
    </cfRule>
    <cfRule type="cellIs" dxfId="2625" priority="725" stopIfTrue="1" operator="equal">
      <formula>"ن داخلي"</formula>
    </cfRule>
    <cfRule type="cellIs" dxfId="2624" priority="726" stopIfTrue="1" operator="equal">
      <formula>"ن داخلية"</formula>
    </cfRule>
    <cfRule type="cellIs" dxfId="2623" priority="727" stopIfTrue="1" operator="equal">
      <formula>#REF!</formula>
    </cfRule>
    <cfRule type="cellIs" dxfId="2622" priority="728" stopIfTrue="1" operator="equal">
      <formula>#REF!</formula>
    </cfRule>
    <cfRule type="cellIs" dxfId="2621" priority="729" stopIfTrue="1" operator="equal">
      <formula>#REF!</formula>
    </cfRule>
    <cfRule type="cellIs" dxfId="2620" priority="730" stopIfTrue="1" operator="equal">
      <formula>#REF!</formula>
    </cfRule>
    <cfRule type="cellIs" dxfId="2619" priority="731" stopIfTrue="1" operator="equal">
      <formula>"داخلية"</formula>
    </cfRule>
  </conditionalFormatting>
  <conditionalFormatting sqref="D16">
    <cfRule type="expression" dxfId="2618" priority="719" stopIfTrue="1">
      <formula>#REF!=""</formula>
    </cfRule>
  </conditionalFormatting>
  <conditionalFormatting sqref="D16">
    <cfRule type="containsText" dxfId="2617" priority="707" stopIfTrue="1" operator="containsText" text="خارجية">
      <formula>NOT(ISERROR(SEARCH("خارجية",D16)))</formula>
    </cfRule>
    <cfRule type="containsText" dxfId="2616" priority="708" stopIfTrue="1" operator="containsText" text="ن داخلية">
      <formula>NOT(ISERROR(SEARCH("ن داخلية",D16)))</formula>
    </cfRule>
    <cfRule type="containsText" dxfId="2615" priority="709" stopIfTrue="1" operator="containsText" text="داخلية">
      <formula>NOT(ISERROR(SEARCH("داخلية",D16)))</formula>
    </cfRule>
    <cfRule type="containsText" dxfId="2614" priority="710" stopIfTrue="1" operator="containsText" text="ن داخلية">
      <formula>NOT(ISERROR(SEARCH("ن داخلية",D16)))</formula>
    </cfRule>
    <cfRule type="containsText" dxfId="2613" priority="711" stopIfTrue="1" operator="containsText" text="داخلية">
      <formula>NOT(ISERROR(SEARCH("داخلية",D16)))</formula>
    </cfRule>
    <cfRule type="cellIs" dxfId="2612" priority="712" stopIfTrue="1" operator="equal">
      <formula>"ن داخلي"</formula>
    </cfRule>
    <cfRule type="cellIs" dxfId="2611" priority="713" stopIfTrue="1" operator="equal">
      <formula>"ن داخلية"</formula>
    </cfRule>
    <cfRule type="cellIs" dxfId="2610" priority="714" stopIfTrue="1" operator="equal">
      <formula>#REF!</formula>
    </cfRule>
    <cfRule type="cellIs" dxfId="2609" priority="715" stopIfTrue="1" operator="equal">
      <formula>#REF!</formula>
    </cfRule>
    <cfRule type="cellIs" dxfId="2608" priority="716" stopIfTrue="1" operator="equal">
      <formula>#REF!</formula>
    </cfRule>
    <cfRule type="cellIs" dxfId="2607" priority="717" stopIfTrue="1" operator="equal">
      <formula>#REF!</formula>
    </cfRule>
    <cfRule type="cellIs" dxfId="2606" priority="718" stopIfTrue="1" operator="equal">
      <formula>"داخلية"</formula>
    </cfRule>
  </conditionalFormatting>
  <conditionalFormatting sqref="D16">
    <cfRule type="containsText" dxfId="2605" priority="705" stopIfTrue="1" operator="containsText" text="خارجية">
      <formula>NOT(ISERROR(SEARCH("خارجية",D16)))</formula>
    </cfRule>
    <cfRule type="containsText" dxfId="2604" priority="706" stopIfTrue="1" operator="containsText" text="خارجي">
      <formula>NOT(ISERROR(SEARCH("خارجي",D16)))</formula>
    </cfRule>
  </conditionalFormatting>
  <conditionalFormatting sqref="D16">
    <cfRule type="expression" dxfId="2603" priority="704" stopIfTrue="1">
      <formula>#REF!=""</formula>
    </cfRule>
  </conditionalFormatting>
  <conditionalFormatting sqref="D16">
    <cfRule type="expression" dxfId="2602" priority="703" stopIfTrue="1">
      <formula>#REF!=""</formula>
    </cfRule>
  </conditionalFormatting>
  <conditionalFormatting sqref="D16">
    <cfRule type="expression" dxfId="2601" priority="702" stopIfTrue="1">
      <formula>#REF!=""</formula>
    </cfRule>
  </conditionalFormatting>
  <conditionalFormatting sqref="D16">
    <cfRule type="containsText" dxfId="2600" priority="690" stopIfTrue="1" operator="containsText" text="خارجية">
      <formula>NOT(ISERROR(SEARCH("خارجية",D16)))</formula>
    </cfRule>
    <cfRule type="containsText" dxfId="2599" priority="691" stopIfTrue="1" operator="containsText" text="ن داخلية">
      <formula>NOT(ISERROR(SEARCH("ن داخلية",D16)))</formula>
    </cfRule>
    <cfRule type="containsText" dxfId="2598" priority="692" stopIfTrue="1" operator="containsText" text="داخلية">
      <formula>NOT(ISERROR(SEARCH("داخلية",D16)))</formula>
    </cfRule>
    <cfRule type="containsText" dxfId="2597" priority="693" stopIfTrue="1" operator="containsText" text="ن داخلية">
      <formula>NOT(ISERROR(SEARCH("ن داخلية",D16)))</formula>
    </cfRule>
    <cfRule type="containsText" dxfId="2596" priority="694" stopIfTrue="1" operator="containsText" text="داخلية">
      <formula>NOT(ISERROR(SEARCH("داخلية",D16)))</formula>
    </cfRule>
    <cfRule type="cellIs" dxfId="2595" priority="695" stopIfTrue="1" operator="equal">
      <formula>"ن داخلي"</formula>
    </cfRule>
    <cfRule type="cellIs" dxfId="2594" priority="696" stopIfTrue="1" operator="equal">
      <formula>"ن داخلية"</formula>
    </cfRule>
    <cfRule type="cellIs" dxfId="2593" priority="697" stopIfTrue="1" operator="equal">
      <formula>#REF!</formula>
    </cfRule>
    <cfRule type="cellIs" dxfId="2592" priority="698" stopIfTrue="1" operator="equal">
      <formula>#REF!</formula>
    </cfRule>
    <cfRule type="cellIs" dxfId="2591" priority="699" stopIfTrue="1" operator="equal">
      <formula>#REF!</formula>
    </cfRule>
    <cfRule type="cellIs" dxfId="2590" priority="700" stopIfTrue="1" operator="equal">
      <formula>#REF!</formula>
    </cfRule>
    <cfRule type="cellIs" dxfId="2589" priority="701" stopIfTrue="1" operator="equal">
      <formula>"داخلية"</formula>
    </cfRule>
  </conditionalFormatting>
  <conditionalFormatting sqref="D16">
    <cfRule type="containsText" dxfId="2588" priority="688" stopIfTrue="1" operator="containsText" text="خارجية">
      <formula>NOT(ISERROR(SEARCH("خارجية",D16)))</formula>
    </cfRule>
    <cfRule type="containsText" dxfId="2587" priority="689" stopIfTrue="1" operator="containsText" text="خارجي">
      <formula>NOT(ISERROR(SEARCH("خارجي",D16)))</formula>
    </cfRule>
  </conditionalFormatting>
  <conditionalFormatting sqref="D16">
    <cfRule type="expression" dxfId="2586" priority="687" stopIfTrue="1">
      <formula>#REF!=""</formula>
    </cfRule>
  </conditionalFormatting>
  <conditionalFormatting sqref="D16">
    <cfRule type="expression" dxfId="2585" priority="686" stopIfTrue="1">
      <formula>#REF!=""</formula>
    </cfRule>
  </conditionalFormatting>
  <conditionalFormatting sqref="D16">
    <cfRule type="expression" dxfId="2584" priority="685" stopIfTrue="1">
      <formula>#REF!=""</formula>
    </cfRule>
  </conditionalFormatting>
  <conditionalFormatting sqref="D16">
    <cfRule type="containsText" dxfId="2583" priority="683" stopIfTrue="1" operator="containsText" text="خارجية">
      <formula>NOT(ISERROR(SEARCH("خارجية",D16)))</formula>
    </cfRule>
    <cfRule type="containsText" dxfId="2582" priority="684" stopIfTrue="1" operator="containsText" text="خارجي">
      <formula>NOT(ISERROR(SEARCH("خارجي",D16)))</formula>
    </cfRule>
  </conditionalFormatting>
  <conditionalFormatting sqref="D16">
    <cfRule type="containsText" dxfId="2581" priority="681" stopIfTrue="1" operator="containsText" text="خارجية">
      <formula>NOT(ISERROR(SEARCH("خارجية",D16)))</formula>
    </cfRule>
    <cfRule type="containsText" dxfId="2580" priority="682" stopIfTrue="1" operator="containsText" text="خارجي">
      <formula>NOT(ISERROR(SEARCH("خارجي",D16)))</formula>
    </cfRule>
  </conditionalFormatting>
  <conditionalFormatting sqref="D16">
    <cfRule type="containsText" dxfId="2579" priority="669" stopIfTrue="1" operator="containsText" text="خارجية">
      <formula>NOT(ISERROR(SEARCH("خارجية",D16)))</formula>
    </cfRule>
    <cfRule type="containsText" dxfId="2578" priority="670" stopIfTrue="1" operator="containsText" text="ن داخلية">
      <formula>NOT(ISERROR(SEARCH("ن داخلية",D16)))</formula>
    </cfRule>
    <cfRule type="containsText" dxfId="2577" priority="671" stopIfTrue="1" operator="containsText" text="داخلية">
      <formula>NOT(ISERROR(SEARCH("داخلية",D16)))</formula>
    </cfRule>
    <cfRule type="containsText" dxfId="2576" priority="672" stopIfTrue="1" operator="containsText" text="ن داخلية">
      <formula>NOT(ISERROR(SEARCH("ن داخلية",D16)))</formula>
    </cfRule>
    <cfRule type="containsText" dxfId="2575" priority="673" stopIfTrue="1" operator="containsText" text="داخلية">
      <formula>NOT(ISERROR(SEARCH("داخلية",D16)))</formula>
    </cfRule>
    <cfRule type="cellIs" dxfId="2574" priority="674" stopIfTrue="1" operator="equal">
      <formula>"ن داخلي"</formula>
    </cfRule>
    <cfRule type="cellIs" dxfId="2573" priority="675" stopIfTrue="1" operator="equal">
      <formula>"ن داخلية"</formula>
    </cfRule>
    <cfRule type="cellIs" dxfId="2572" priority="676" stopIfTrue="1" operator="equal">
      <formula>#REF!</formula>
    </cfRule>
    <cfRule type="cellIs" dxfId="2571" priority="677" stopIfTrue="1" operator="equal">
      <formula>#REF!</formula>
    </cfRule>
    <cfRule type="cellIs" dxfId="2570" priority="678" stopIfTrue="1" operator="equal">
      <formula>#REF!</formula>
    </cfRule>
    <cfRule type="cellIs" dxfId="2569" priority="679" stopIfTrue="1" operator="equal">
      <formula>#REF!</formula>
    </cfRule>
    <cfRule type="cellIs" dxfId="2568" priority="680" stopIfTrue="1" operator="equal">
      <formula>"داخلية"</formula>
    </cfRule>
  </conditionalFormatting>
  <conditionalFormatting sqref="B17:C17">
    <cfRule type="expression" dxfId="2567" priority="668" stopIfTrue="1">
      <formula>#REF!=""</formula>
    </cfRule>
  </conditionalFormatting>
  <conditionalFormatting sqref="B17:C17">
    <cfRule type="expression" dxfId="2566" priority="667" stopIfTrue="1">
      <formula>#REF!=""</formula>
    </cfRule>
  </conditionalFormatting>
  <conditionalFormatting sqref="D17">
    <cfRule type="expression" dxfId="2565" priority="666" stopIfTrue="1">
      <formula>#REF!=""</formula>
    </cfRule>
  </conditionalFormatting>
  <conditionalFormatting sqref="D17">
    <cfRule type="expression" dxfId="2564" priority="665" stopIfTrue="1">
      <formula>#REF!=""</formula>
    </cfRule>
  </conditionalFormatting>
  <conditionalFormatting sqref="D17">
    <cfRule type="expression" dxfId="2563" priority="664" stopIfTrue="1">
      <formula>#REF!=""</formula>
    </cfRule>
  </conditionalFormatting>
  <conditionalFormatting sqref="D17">
    <cfRule type="cellIs" dxfId="2562" priority="663" stopIfTrue="1" operator="greaterThan">
      <formula>"9.999"</formula>
    </cfRule>
  </conditionalFormatting>
  <conditionalFormatting sqref="D17">
    <cfRule type="containsText" dxfId="2561" priority="651" stopIfTrue="1" operator="containsText" text="خارجية">
      <formula>NOT(ISERROR(SEARCH("خارجية",D17)))</formula>
    </cfRule>
    <cfRule type="containsText" dxfId="2560" priority="652" stopIfTrue="1" operator="containsText" text="ن داخلية">
      <formula>NOT(ISERROR(SEARCH("ن داخلية",D17)))</formula>
    </cfRule>
    <cfRule type="containsText" dxfId="2559" priority="653" stopIfTrue="1" operator="containsText" text="داخلية">
      <formula>NOT(ISERROR(SEARCH("داخلية",D17)))</formula>
    </cfRule>
    <cfRule type="containsText" dxfId="2558" priority="654" stopIfTrue="1" operator="containsText" text="ن داخلية">
      <formula>NOT(ISERROR(SEARCH("ن داخلية",D17)))</formula>
    </cfRule>
    <cfRule type="containsText" dxfId="2557" priority="655" stopIfTrue="1" operator="containsText" text="داخلية">
      <formula>NOT(ISERROR(SEARCH("داخلية",D17)))</formula>
    </cfRule>
    <cfRule type="cellIs" dxfId="2556" priority="656" stopIfTrue="1" operator="equal">
      <formula>"ن داخلي"</formula>
    </cfRule>
    <cfRule type="cellIs" dxfId="2555" priority="657" stopIfTrue="1" operator="equal">
      <formula>"ن داخلية"</formula>
    </cfRule>
    <cfRule type="cellIs" dxfId="2554" priority="658" stopIfTrue="1" operator="equal">
      <formula>#REF!</formula>
    </cfRule>
    <cfRule type="cellIs" dxfId="2553" priority="659" stopIfTrue="1" operator="equal">
      <formula>#REF!</formula>
    </cfRule>
    <cfRule type="cellIs" dxfId="2552" priority="660" stopIfTrue="1" operator="equal">
      <formula>#REF!</formula>
    </cfRule>
    <cfRule type="cellIs" dxfId="2551" priority="661" stopIfTrue="1" operator="equal">
      <formula>#REF!</formula>
    </cfRule>
    <cfRule type="cellIs" dxfId="2550" priority="662" stopIfTrue="1" operator="equal">
      <formula>"داخلية"</formula>
    </cfRule>
  </conditionalFormatting>
  <conditionalFormatting sqref="D17">
    <cfRule type="expression" dxfId="2549" priority="650" stopIfTrue="1">
      <formula>#REF!=""</formula>
    </cfRule>
  </conditionalFormatting>
  <conditionalFormatting sqref="D17">
    <cfRule type="containsText" dxfId="2548" priority="638" stopIfTrue="1" operator="containsText" text="خارجية">
      <formula>NOT(ISERROR(SEARCH("خارجية",D17)))</formula>
    </cfRule>
    <cfRule type="containsText" dxfId="2547" priority="639" stopIfTrue="1" operator="containsText" text="ن داخلية">
      <formula>NOT(ISERROR(SEARCH("ن داخلية",D17)))</formula>
    </cfRule>
    <cfRule type="containsText" dxfId="2546" priority="640" stopIfTrue="1" operator="containsText" text="داخلية">
      <formula>NOT(ISERROR(SEARCH("داخلية",D17)))</formula>
    </cfRule>
    <cfRule type="containsText" dxfId="2545" priority="641" stopIfTrue="1" operator="containsText" text="ن داخلية">
      <formula>NOT(ISERROR(SEARCH("ن داخلية",D17)))</formula>
    </cfRule>
    <cfRule type="containsText" dxfId="2544" priority="642" stopIfTrue="1" operator="containsText" text="داخلية">
      <formula>NOT(ISERROR(SEARCH("داخلية",D17)))</formula>
    </cfRule>
    <cfRule type="cellIs" dxfId="2543" priority="643" stopIfTrue="1" operator="equal">
      <formula>"ن داخلي"</formula>
    </cfRule>
    <cfRule type="cellIs" dxfId="2542" priority="644" stopIfTrue="1" operator="equal">
      <formula>"ن داخلية"</formula>
    </cfRule>
    <cfRule type="cellIs" dxfId="2541" priority="645" stopIfTrue="1" operator="equal">
      <formula>#REF!</formula>
    </cfRule>
    <cfRule type="cellIs" dxfId="2540" priority="646" stopIfTrue="1" operator="equal">
      <formula>#REF!</formula>
    </cfRule>
    <cfRule type="cellIs" dxfId="2539" priority="647" stopIfTrue="1" operator="equal">
      <formula>#REF!</formula>
    </cfRule>
    <cfRule type="cellIs" dxfId="2538" priority="648" stopIfTrue="1" operator="equal">
      <formula>#REF!</formula>
    </cfRule>
    <cfRule type="cellIs" dxfId="2537" priority="649" stopIfTrue="1" operator="equal">
      <formula>"داخلية"</formula>
    </cfRule>
  </conditionalFormatting>
  <conditionalFormatting sqref="D17">
    <cfRule type="containsText" dxfId="2536" priority="636" stopIfTrue="1" operator="containsText" text="خارجية">
      <formula>NOT(ISERROR(SEARCH("خارجية",D17)))</formula>
    </cfRule>
    <cfRule type="containsText" dxfId="2535" priority="637" stopIfTrue="1" operator="containsText" text="خارجي">
      <formula>NOT(ISERROR(SEARCH("خارجي",D17)))</formula>
    </cfRule>
  </conditionalFormatting>
  <conditionalFormatting sqref="D17">
    <cfRule type="expression" dxfId="2534" priority="635" stopIfTrue="1">
      <formula>#REF!=""</formula>
    </cfRule>
  </conditionalFormatting>
  <conditionalFormatting sqref="D17">
    <cfRule type="containsText" dxfId="2533" priority="623" stopIfTrue="1" operator="containsText" text="خارجية">
      <formula>NOT(ISERROR(SEARCH("خارجية",D17)))</formula>
    </cfRule>
    <cfRule type="containsText" dxfId="2532" priority="624" stopIfTrue="1" operator="containsText" text="ن داخلية">
      <formula>NOT(ISERROR(SEARCH("ن داخلية",D17)))</formula>
    </cfRule>
    <cfRule type="containsText" dxfId="2531" priority="625" stopIfTrue="1" operator="containsText" text="داخلية">
      <formula>NOT(ISERROR(SEARCH("داخلية",D17)))</formula>
    </cfRule>
    <cfRule type="containsText" dxfId="2530" priority="626" stopIfTrue="1" operator="containsText" text="ن داخلية">
      <formula>NOT(ISERROR(SEARCH("ن داخلية",D17)))</formula>
    </cfRule>
    <cfRule type="containsText" dxfId="2529" priority="627" stopIfTrue="1" operator="containsText" text="داخلية">
      <formula>NOT(ISERROR(SEARCH("داخلية",D17)))</formula>
    </cfRule>
    <cfRule type="cellIs" dxfId="2528" priority="628" stopIfTrue="1" operator="equal">
      <formula>"ن داخلي"</formula>
    </cfRule>
    <cfRule type="cellIs" dxfId="2527" priority="629" stopIfTrue="1" operator="equal">
      <formula>"ن داخلية"</formula>
    </cfRule>
    <cfRule type="cellIs" dxfId="2526" priority="630" stopIfTrue="1" operator="equal">
      <formula>#REF!</formula>
    </cfRule>
    <cfRule type="cellIs" dxfId="2525" priority="631" stopIfTrue="1" operator="equal">
      <formula>#REF!</formula>
    </cfRule>
    <cfRule type="cellIs" dxfId="2524" priority="632" stopIfTrue="1" operator="equal">
      <formula>#REF!</formula>
    </cfRule>
    <cfRule type="cellIs" dxfId="2523" priority="633" stopIfTrue="1" operator="equal">
      <formula>#REF!</formula>
    </cfRule>
    <cfRule type="cellIs" dxfId="2522" priority="634" stopIfTrue="1" operator="equal">
      <formula>"داخلية"</formula>
    </cfRule>
  </conditionalFormatting>
  <conditionalFormatting sqref="D17">
    <cfRule type="containsText" dxfId="2521" priority="621" stopIfTrue="1" operator="containsText" text="خارجية">
      <formula>NOT(ISERROR(SEARCH("خارجية",D17)))</formula>
    </cfRule>
    <cfRule type="containsText" dxfId="2520" priority="622" stopIfTrue="1" operator="containsText" text="خارجي">
      <formula>NOT(ISERROR(SEARCH("خارجي",D17)))</formula>
    </cfRule>
  </conditionalFormatting>
  <conditionalFormatting sqref="D17">
    <cfRule type="expression" dxfId="2519" priority="620" stopIfTrue="1">
      <formula>#REF!=""</formula>
    </cfRule>
  </conditionalFormatting>
  <conditionalFormatting sqref="D17">
    <cfRule type="expression" dxfId="2518" priority="619" stopIfTrue="1">
      <formula>#REF!=""</formula>
    </cfRule>
  </conditionalFormatting>
  <conditionalFormatting sqref="D17">
    <cfRule type="expression" dxfId="2517" priority="618" stopIfTrue="1">
      <formula>#REF!=""</formula>
    </cfRule>
  </conditionalFormatting>
  <conditionalFormatting sqref="D17">
    <cfRule type="expression" dxfId="2516" priority="617" stopIfTrue="1">
      <formula>#REF!=""</formula>
    </cfRule>
  </conditionalFormatting>
  <conditionalFormatting sqref="D17">
    <cfRule type="expression" dxfId="2515" priority="616" stopIfTrue="1">
      <formula>#REF!=""</formula>
    </cfRule>
  </conditionalFormatting>
  <conditionalFormatting sqref="D17">
    <cfRule type="expression" dxfId="2514" priority="615" stopIfTrue="1">
      <formula>#REF!=""</formula>
    </cfRule>
  </conditionalFormatting>
  <conditionalFormatting sqref="D17">
    <cfRule type="expression" dxfId="2513" priority="614" stopIfTrue="1">
      <formula>#REF!=""</formula>
    </cfRule>
  </conditionalFormatting>
  <conditionalFormatting sqref="D17">
    <cfRule type="containsText" dxfId="2512" priority="602" stopIfTrue="1" operator="containsText" text="خارجية">
      <formula>NOT(ISERROR(SEARCH("خارجية",D17)))</formula>
    </cfRule>
    <cfRule type="containsText" dxfId="2511" priority="603" stopIfTrue="1" operator="containsText" text="ن داخلية">
      <formula>NOT(ISERROR(SEARCH("ن داخلية",D17)))</formula>
    </cfRule>
    <cfRule type="containsText" dxfId="2510" priority="604" stopIfTrue="1" operator="containsText" text="داخلية">
      <formula>NOT(ISERROR(SEARCH("داخلية",D17)))</formula>
    </cfRule>
    <cfRule type="containsText" dxfId="2509" priority="605" stopIfTrue="1" operator="containsText" text="ن داخلية">
      <formula>NOT(ISERROR(SEARCH("ن داخلية",D17)))</formula>
    </cfRule>
    <cfRule type="containsText" dxfId="2508" priority="606" stopIfTrue="1" operator="containsText" text="داخلية">
      <formula>NOT(ISERROR(SEARCH("داخلية",D17)))</formula>
    </cfRule>
    <cfRule type="cellIs" dxfId="2507" priority="607" stopIfTrue="1" operator="equal">
      <formula>"ن داخلي"</formula>
    </cfRule>
    <cfRule type="cellIs" dxfId="2506" priority="608" stopIfTrue="1" operator="equal">
      <formula>"ن داخلية"</formula>
    </cfRule>
    <cfRule type="cellIs" dxfId="2505" priority="609" stopIfTrue="1" operator="equal">
      <formula>#REF!</formula>
    </cfRule>
    <cfRule type="cellIs" dxfId="2504" priority="610" stopIfTrue="1" operator="equal">
      <formula>#REF!</formula>
    </cfRule>
    <cfRule type="cellIs" dxfId="2503" priority="611" stopIfTrue="1" operator="equal">
      <formula>#REF!</formula>
    </cfRule>
    <cfRule type="cellIs" dxfId="2502" priority="612" stopIfTrue="1" operator="equal">
      <formula>#REF!</formula>
    </cfRule>
    <cfRule type="cellIs" dxfId="2501" priority="613" stopIfTrue="1" operator="equal">
      <formula>"داخلية"</formula>
    </cfRule>
  </conditionalFormatting>
  <conditionalFormatting sqref="D17">
    <cfRule type="containsText" dxfId="2500" priority="600" stopIfTrue="1" operator="containsText" text="خارجية">
      <formula>NOT(ISERROR(SEARCH("خارجية",D17)))</formula>
    </cfRule>
    <cfRule type="containsText" dxfId="2499" priority="601" stopIfTrue="1" operator="containsText" text="خارجي">
      <formula>NOT(ISERROR(SEARCH("خارجي",D17)))</formula>
    </cfRule>
  </conditionalFormatting>
  <conditionalFormatting sqref="D17">
    <cfRule type="expression" dxfId="2498" priority="599" stopIfTrue="1">
      <formula>#REF!=""</formula>
    </cfRule>
  </conditionalFormatting>
  <conditionalFormatting sqref="D17">
    <cfRule type="expression" dxfId="2497" priority="598" stopIfTrue="1">
      <formula>#REF!=""</formula>
    </cfRule>
  </conditionalFormatting>
  <conditionalFormatting sqref="D17">
    <cfRule type="expression" dxfId="2496" priority="597" stopIfTrue="1">
      <formula>#REF!=""</formula>
    </cfRule>
  </conditionalFormatting>
  <conditionalFormatting sqref="D17">
    <cfRule type="expression" dxfId="2495" priority="596" stopIfTrue="1">
      <formula>#REF!=""</formula>
    </cfRule>
  </conditionalFormatting>
  <conditionalFormatting sqref="D17">
    <cfRule type="expression" dxfId="2494" priority="595" stopIfTrue="1">
      <formula>#REF!=""</formula>
    </cfRule>
  </conditionalFormatting>
  <conditionalFormatting sqref="D17">
    <cfRule type="containsText" dxfId="2493" priority="583" stopIfTrue="1" operator="containsText" text="خارجية">
      <formula>NOT(ISERROR(SEARCH("خارجية",D17)))</formula>
    </cfRule>
    <cfRule type="containsText" dxfId="2492" priority="584" stopIfTrue="1" operator="containsText" text="ن داخلية">
      <formula>NOT(ISERROR(SEARCH("ن داخلية",D17)))</formula>
    </cfRule>
    <cfRule type="containsText" dxfId="2491" priority="585" stopIfTrue="1" operator="containsText" text="داخلية">
      <formula>NOT(ISERROR(SEARCH("داخلية",D17)))</formula>
    </cfRule>
    <cfRule type="containsText" dxfId="2490" priority="586" stopIfTrue="1" operator="containsText" text="ن داخلية">
      <formula>NOT(ISERROR(SEARCH("ن داخلية",D17)))</formula>
    </cfRule>
    <cfRule type="containsText" dxfId="2489" priority="587" stopIfTrue="1" operator="containsText" text="داخلية">
      <formula>NOT(ISERROR(SEARCH("داخلية",D17)))</formula>
    </cfRule>
    <cfRule type="cellIs" dxfId="2488" priority="588" stopIfTrue="1" operator="equal">
      <formula>"ن داخلي"</formula>
    </cfRule>
    <cfRule type="cellIs" dxfId="2487" priority="589" stopIfTrue="1" operator="equal">
      <formula>"ن داخلية"</formula>
    </cfRule>
    <cfRule type="cellIs" dxfId="2486" priority="590" stopIfTrue="1" operator="equal">
      <formula>#REF!</formula>
    </cfRule>
    <cfRule type="cellIs" dxfId="2485" priority="591" stopIfTrue="1" operator="equal">
      <formula>#REF!</formula>
    </cfRule>
    <cfRule type="cellIs" dxfId="2484" priority="592" stopIfTrue="1" operator="equal">
      <formula>#REF!</formula>
    </cfRule>
    <cfRule type="cellIs" dxfId="2483" priority="593" stopIfTrue="1" operator="equal">
      <formula>#REF!</formula>
    </cfRule>
    <cfRule type="cellIs" dxfId="2482" priority="594" stopIfTrue="1" operator="equal">
      <formula>"داخلية"</formula>
    </cfRule>
  </conditionalFormatting>
  <conditionalFormatting sqref="D17">
    <cfRule type="containsText" dxfId="2481" priority="581" stopIfTrue="1" operator="containsText" text="خارجية">
      <formula>NOT(ISERROR(SEARCH("خارجية",D17)))</formula>
    </cfRule>
    <cfRule type="containsText" dxfId="2480" priority="582" stopIfTrue="1" operator="containsText" text="خارجي">
      <formula>NOT(ISERROR(SEARCH("خارجي",D17)))</formula>
    </cfRule>
  </conditionalFormatting>
  <conditionalFormatting sqref="D17">
    <cfRule type="expression" dxfId="2479" priority="580" stopIfTrue="1">
      <formula>#REF!=""</formula>
    </cfRule>
  </conditionalFormatting>
  <conditionalFormatting sqref="D17">
    <cfRule type="expression" dxfId="2478" priority="579" stopIfTrue="1">
      <formula>#REF!=""</formula>
    </cfRule>
  </conditionalFormatting>
  <conditionalFormatting sqref="D17">
    <cfRule type="expression" dxfId="2477" priority="578" stopIfTrue="1">
      <formula>#REF!=""</formula>
    </cfRule>
  </conditionalFormatting>
  <conditionalFormatting sqref="D17">
    <cfRule type="containsText" dxfId="2476" priority="566" stopIfTrue="1" operator="containsText" text="خارجية">
      <formula>NOT(ISERROR(SEARCH("خارجية",D17)))</formula>
    </cfRule>
    <cfRule type="containsText" dxfId="2475" priority="567" stopIfTrue="1" operator="containsText" text="ن داخلية">
      <formula>NOT(ISERROR(SEARCH("ن داخلية",D17)))</formula>
    </cfRule>
    <cfRule type="containsText" dxfId="2474" priority="568" stopIfTrue="1" operator="containsText" text="داخلية">
      <formula>NOT(ISERROR(SEARCH("داخلية",D17)))</formula>
    </cfRule>
    <cfRule type="containsText" dxfId="2473" priority="569" stopIfTrue="1" operator="containsText" text="ن داخلية">
      <formula>NOT(ISERROR(SEARCH("ن داخلية",D17)))</formula>
    </cfRule>
    <cfRule type="containsText" dxfId="2472" priority="570" stopIfTrue="1" operator="containsText" text="داخلية">
      <formula>NOT(ISERROR(SEARCH("داخلية",D17)))</formula>
    </cfRule>
    <cfRule type="cellIs" dxfId="2471" priority="571" stopIfTrue="1" operator="equal">
      <formula>"ن داخلي"</formula>
    </cfRule>
    <cfRule type="cellIs" dxfId="2470" priority="572" stopIfTrue="1" operator="equal">
      <formula>"ن داخلية"</formula>
    </cfRule>
    <cfRule type="cellIs" dxfId="2469" priority="573" stopIfTrue="1" operator="equal">
      <formula>#REF!</formula>
    </cfRule>
    <cfRule type="cellIs" dxfId="2468" priority="574" stopIfTrue="1" operator="equal">
      <formula>#REF!</formula>
    </cfRule>
    <cfRule type="cellIs" dxfId="2467" priority="575" stopIfTrue="1" operator="equal">
      <formula>#REF!</formula>
    </cfRule>
    <cfRule type="cellIs" dxfId="2466" priority="576" stopIfTrue="1" operator="equal">
      <formula>#REF!</formula>
    </cfRule>
    <cfRule type="cellIs" dxfId="2465" priority="577" stopIfTrue="1" operator="equal">
      <formula>"داخلية"</formula>
    </cfRule>
  </conditionalFormatting>
  <conditionalFormatting sqref="D17">
    <cfRule type="containsText" dxfId="2464" priority="564" stopIfTrue="1" operator="containsText" text="خارجية">
      <formula>NOT(ISERROR(SEARCH("خارجية",D17)))</formula>
    </cfRule>
    <cfRule type="containsText" dxfId="2463" priority="565" stopIfTrue="1" operator="containsText" text="خارجي">
      <formula>NOT(ISERROR(SEARCH("خارجي",D17)))</formula>
    </cfRule>
  </conditionalFormatting>
  <conditionalFormatting sqref="D17">
    <cfRule type="expression" dxfId="2462" priority="563" stopIfTrue="1">
      <formula>#REF!=""</formula>
    </cfRule>
  </conditionalFormatting>
  <conditionalFormatting sqref="D17">
    <cfRule type="expression" dxfId="2461" priority="562" stopIfTrue="1">
      <formula>#REF!=""</formula>
    </cfRule>
  </conditionalFormatting>
  <conditionalFormatting sqref="D17">
    <cfRule type="containsText" dxfId="2460" priority="550" stopIfTrue="1" operator="containsText" text="خارجية">
      <formula>NOT(ISERROR(SEARCH("خارجية",D17)))</formula>
    </cfRule>
    <cfRule type="containsText" dxfId="2459" priority="551" stopIfTrue="1" operator="containsText" text="ن داخلية">
      <formula>NOT(ISERROR(SEARCH("ن داخلية",D17)))</formula>
    </cfRule>
    <cfRule type="containsText" dxfId="2458" priority="552" stopIfTrue="1" operator="containsText" text="داخلية">
      <formula>NOT(ISERROR(SEARCH("داخلية",D17)))</formula>
    </cfRule>
    <cfRule type="containsText" dxfId="2457" priority="553" stopIfTrue="1" operator="containsText" text="ن داخلية">
      <formula>NOT(ISERROR(SEARCH("ن داخلية",D17)))</formula>
    </cfRule>
    <cfRule type="containsText" dxfId="2456" priority="554" stopIfTrue="1" operator="containsText" text="داخلية">
      <formula>NOT(ISERROR(SEARCH("داخلية",D17)))</formula>
    </cfRule>
    <cfRule type="cellIs" dxfId="2455" priority="555" stopIfTrue="1" operator="equal">
      <formula>"ن داخلي"</formula>
    </cfRule>
    <cfRule type="cellIs" dxfId="2454" priority="556" stopIfTrue="1" operator="equal">
      <formula>"ن داخلية"</formula>
    </cfRule>
    <cfRule type="cellIs" dxfId="2453" priority="557" stopIfTrue="1" operator="equal">
      <formula>#REF!</formula>
    </cfRule>
    <cfRule type="cellIs" dxfId="2452" priority="558" stopIfTrue="1" operator="equal">
      <formula>#REF!</formula>
    </cfRule>
    <cfRule type="cellIs" dxfId="2451" priority="559" stopIfTrue="1" operator="equal">
      <formula>#REF!</formula>
    </cfRule>
    <cfRule type="cellIs" dxfId="2450" priority="560" stopIfTrue="1" operator="equal">
      <formula>#REF!</formula>
    </cfRule>
    <cfRule type="cellIs" dxfId="2449" priority="561" stopIfTrue="1" operator="equal">
      <formula>"داخلية"</formula>
    </cfRule>
  </conditionalFormatting>
  <conditionalFormatting sqref="D17">
    <cfRule type="containsText" dxfId="2448" priority="548" stopIfTrue="1" operator="containsText" text="خارجية">
      <formula>NOT(ISERROR(SEARCH("خارجية",D17)))</formula>
    </cfRule>
    <cfRule type="containsText" dxfId="2447" priority="549" stopIfTrue="1" operator="containsText" text="خارجي">
      <formula>NOT(ISERROR(SEARCH("خارجي",D17)))</formula>
    </cfRule>
  </conditionalFormatting>
  <conditionalFormatting sqref="D17">
    <cfRule type="expression" dxfId="2446" priority="547" stopIfTrue="1">
      <formula>#REF!=""</formula>
    </cfRule>
  </conditionalFormatting>
  <conditionalFormatting sqref="D11:D12">
    <cfRule type="expression" dxfId="2445" priority="546" stopIfTrue="1">
      <formula>#REF!=""</formula>
    </cfRule>
  </conditionalFormatting>
  <conditionalFormatting sqref="D11:D12">
    <cfRule type="expression" dxfId="2444" priority="545" stopIfTrue="1">
      <formula>#REF!=""</formula>
    </cfRule>
  </conditionalFormatting>
  <conditionalFormatting sqref="D11:D12">
    <cfRule type="expression" dxfId="2443" priority="544" stopIfTrue="1">
      <formula>#REF!=""</formula>
    </cfRule>
  </conditionalFormatting>
  <conditionalFormatting sqref="D11:D12">
    <cfRule type="expression" dxfId="2442" priority="543" stopIfTrue="1">
      <formula>#REF!=""</formula>
    </cfRule>
  </conditionalFormatting>
  <conditionalFormatting sqref="D11:D12">
    <cfRule type="containsText" dxfId="2441" priority="531" stopIfTrue="1" operator="containsText" text="خارجية">
      <formula>NOT(ISERROR(SEARCH("خارجية",D11)))</formula>
    </cfRule>
    <cfRule type="containsText" dxfId="2440" priority="532" stopIfTrue="1" operator="containsText" text="ن داخلية">
      <formula>NOT(ISERROR(SEARCH("ن داخلية",D11)))</formula>
    </cfRule>
    <cfRule type="containsText" dxfId="2439" priority="533" stopIfTrue="1" operator="containsText" text="داخلية">
      <formula>NOT(ISERROR(SEARCH("داخلية",D11)))</formula>
    </cfRule>
    <cfRule type="containsText" dxfId="2438" priority="534" stopIfTrue="1" operator="containsText" text="ن داخلية">
      <formula>NOT(ISERROR(SEARCH("ن داخلية",D11)))</formula>
    </cfRule>
    <cfRule type="containsText" dxfId="2437" priority="535" stopIfTrue="1" operator="containsText" text="داخلية">
      <formula>NOT(ISERROR(SEARCH("داخلية",D11)))</formula>
    </cfRule>
    <cfRule type="cellIs" dxfId="2436" priority="536" stopIfTrue="1" operator="equal">
      <formula>"ن داخلي"</formula>
    </cfRule>
    <cfRule type="cellIs" dxfId="2435" priority="537" stopIfTrue="1" operator="equal">
      <formula>"ن داخلية"</formula>
    </cfRule>
    <cfRule type="cellIs" dxfId="2434" priority="538" stopIfTrue="1" operator="equal">
      <formula>#REF!</formula>
    </cfRule>
    <cfRule type="cellIs" dxfId="2433" priority="539" stopIfTrue="1" operator="equal">
      <formula>#REF!</formula>
    </cfRule>
    <cfRule type="cellIs" dxfId="2432" priority="540" stopIfTrue="1" operator="equal">
      <formula>#REF!</formula>
    </cfRule>
    <cfRule type="cellIs" dxfId="2431" priority="541" stopIfTrue="1" operator="equal">
      <formula>#REF!</formula>
    </cfRule>
    <cfRule type="cellIs" dxfId="2430" priority="542" stopIfTrue="1" operator="equal">
      <formula>"داخلية"</formula>
    </cfRule>
  </conditionalFormatting>
  <conditionalFormatting sqref="D11:D12">
    <cfRule type="cellIs" dxfId="2429" priority="530" stopIfTrue="1" operator="greaterThan">
      <formula>"9.999"</formula>
    </cfRule>
  </conditionalFormatting>
  <conditionalFormatting sqref="D11:D12">
    <cfRule type="expression" dxfId="2428" priority="529" stopIfTrue="1">
      <formula>#REF!=""</formula>
    </cfRule>
  </conditionalFormatting>
  <conditionalFormatting sqref="D11:D12">
    <cfRule type="containsText" dxfId="2427" priority="517" stopIfTrue="1" operator="containsText" text="خارجية">
      <formula>NOT(ISERROR(SEARCH("خارجية",D11)))</formula>
    </cfRule>
    <cfRule type="containsText" dxfId="2426" priority="518" stopIfTrue="1" operator="containsText" text="ن داخلية">
      <formula>NOT(ISERROR(SEARCH("ن داخلية",D11)))</formula>
    </cfRule>
    <cfRule type="containsText" dxfId="2425" priority="519" stopIfTrue="1" operator="containsText" text="داخلية">
      <formula>NOT(ISERROR(SEARCH("داخلية",D11)))</formula>
    </cfRule>
    <cfRule type="containsText" dxfId="2424" priority="520" stopIfTrue="1" operator="containsText" text="ن داخلية">
      <formula>NOT(ISERROR(SEARCH("ن داخلية",D11)))</formula>
    </cfRule>
    <cfRule type="containsText" dxfId="2423" priority="521" stopIfTrue="1" operator="containsText" text="داخلية">
      <formula>NOT(ISERROR(SEARCH("داخلية",D11)))</formula>
    </cfRule>
    <cfRule type="cellIs" dxfId="2422" priority="522" stopIfTrue="1" operator="equal">
      <formula>"ن داخلي"</formula>
    </cfRule>
    <cfRule type="cellIs" dxfId="2421" priority="523" stopIfTrue="1" operator="equal">
      <formula>"ن داخلية"</formula>
    </cfRule>
    <cfRule type="cellIs" dxfId="2420" priority="524" stopIfTrue="1" operator="equal">
      <formula>#REF!</formula>
    </cfRule>
    <cfRule type="cellIs" dxfId="2419" priority="525" stopIfTrue="1" operator="equal">
      <formula>#REF!</formula>
    </cfRule>
    <cfRule type="cellIs" dxfId="2418" priority="526" stopIfTrue="1" operator="equal">
      <formula>#REF!</formula>
    </cfRule>
    <cfRule type="cellIs" dxfId="2417" priority="527" stopIfTrue="1" operator="equal">
      <formula>#REF!</formula>
    </cfRule>
    <cfRule type="cellIs" dxfId="2416" priority="528" stopIfTrue="1" operator="equal">
      <formula>"داخلية"</formula>
    </cfRule>
  </conditionalFormatting>
  <conditionalFormatting sqref="D11:D12">
    <cfRule type="cellIs" dxfId="2415" priority="516" stopIfTrue="1" operator="greaterThan">
      <formula>"9.999"</formula>
    </cfRule>
  </conditionalFormatting>
  <conditionalFormatting sqref="D11:D12">
    <cfRule type="expression" dxfId="2414" priority="515" stopIfTrue="1">
      <formula>#REF!=""</formula>
    </cfRule>
  </conditionalFormatting>
  <conditionalFormatting sqref="D11:D12">
    <cfRule type="containsText" dxfId="2413" priority="503" stopIfTrue="1" operator="containsText" text="خارجية">
      <formula>NOT(ISERROR(SEARCH("خارجية",D11)))</formula>
    </cfRule>
    <cfRule type="containsText" dxfId="2412" priority="504" stopIfTrue="1" operator="containsText" text="ن داخلية">
      <formula>NOT(ISERROR(SEARCH("ن داخلية",D11)))</formula>
    </cfRule>
    <cfRule type="containsText" dxfId="2411" priority="505" stopIfTrue="1" operator="containsText" text="داخلية">
      <formula>NOT(ISERROR(SEARCH("داخلية",D11)))</formula>
    </cfRule>
    <cfRule type="containsText" dxfId="2410" priority="506" stopIfTrue="1" operator="containsText" text="ن داخلية">
      <formula>NOT(ISERROR(SEARCH("ن داخلية",D11)))</formula>
    </cfRule>
    <cfRule type="containsText" dxfId="2409" priority="507" stopIfTrue="1" operator="containsText" text="داخلية">
      <formula>NOT(ISERROR(SEARCH("داخلية",D11)))</formula>
    </cfRule>
    <cfRule type="cellIs" dxfId="2408" priority="508" stopIfTrue="1" operator="equal">
      <formula>"ن داخلي"</formula>
    </cfRule>
    <cfRule type="cellIs" dxfId="2407" priority="509" stopIfTrue="1" operator="equal">
      <formula>"ن داخلية"</formula>
    </cfRule>
    <cfRule type="cellIs" dxfId="2406" priority="510" stopIfTrue="1" operator="equal">
      <formula>#REF!</formula>
    </cfRule>
    <cfRule type="cellIs" dxfId="2405" priority="511" stopIfTrue="1" operator="equal">
      <formula>#REF!</formula>
    </cfRule>
    <cfRule type="cellIs" dxfId="2404" priority="512" stopIfTrue="1" operator="equal">
      <formula>#REF!</formula>
    </cfRule>
    <cfRule type="cellIs" dxfId="2403" priority="513" stopIfTrue="1" operator="equal">
      <formula>#REF!</formula>
    </cfRule>
    <cfRule type="cellIs" dxfId="2402" priority="514" stopIfTrue="1" operator="equal">
      <formula>"داخلية"</formula>
    </cfRule>
  </conditionalFormatting>
  <conditionalFormatting sqref="D11:D12">
    <cfRule type="cellIs" dxfId="2401" priority="502" stopIfTrue="1" operator="greaterThan">
      <formula>"9.999"</formula>
    </cfRule>
  </conditionalFormatting>
  <conditionalFormatting sqref="D11:D12">
    <cfRule type="expression" dxfId="2400" priority="501" stopIfTrue="1">
      <formula>#REF!=""</formula>
    </cfRule>
  </conditionalFormatting>
  <conditionalFormatting sqref="D11:D12">
    <cfRule type="cellIs" dxfId="2399" priority="500" stopIfTrue="1" operator="greaterThan">
      <formula>"9.999"</formula>
    </cfRule>
  </conditionalFormatting>
  <conditionalFormatting sqref="D11:D12">
    <cfRule type="containsText" dxfId="2398" priority="488" stopIfTrue="1" operator="containsText" text="خارجية">
      <formula>NOT(ISERROR(SEARCH("خارجية",D11)))</formula>
    </cfRule>
    <cfRule type="containsText" dxfId="2397" priority="489" stopIfTrue="1" operator="containsText" text="ن داخلية">
      <formula>NOT(ISERROR(SEARCH("ن داخلية",D11)))</formula>
    </cfRule>
    <cfRule type="containsText" dxfId="2396" priority="490" stopIfTrue="1" operator="containsText" text="داخلية">
      <formula>NOT(ISERROR(SEARCH("داخلية",D11)))</formula>
    </cfRule>
    <cfRule type="containsText" dxfId="2395" priority="491" stopIfTrue="1" operator="containsText" text="ن داخلية">
      <formula>NOT(ISERROR(SEARCH("ن داخلية",D11)))</formula>
    </cfRule>
    <cfRule type="containsText" dxfId="2394" priority="492" stopIfTrue="1" operator="containsText" text="داخلية">
      <formula>NOT(ISERROR(SEARCH("داخلية",D11)))</formula>
    </cfRule>
    <cfRule type="cellIs" dxfId="2393" priority="493" stopIfTrue="1" operator="equal">
      <formula>"ن داخلي"</formula>
    </cfRule>
    <cfRule type="cellIs" dxfId="2392" priority="494" stopIfTrue="1" operator="equal">
      <formula>"ن داخلية"</formula>
    </cfRule>
    <cfRule type="cellIs" dxfId="2391" priority="495" stopIfTrue="1" operator="equal">
      <formula>#REF!</formula>
    </cfRule>
    <cfRule type="cellIs" dxfId="2390" priority="496" stopIfTrue="1" operator="equal">
      <formula>#REF!</formula>
    </cfRule>
    <cfRule type="cellIs" dxfId="2389" priority="497" stopIfTrue="1" operator="equal">
      <formula>#REF!</formula>
    </cfRule>
    <cfRule type="cellIs" dxfId="2388" priority="498" stopIfTrue="1" operator="equal">
      <formula>#REF!</formula>
    </cfRule>
    <cfRule type="cellIs" dxfId="2387" priority="499" stopIfTrue="1" operator="equal">
      <formula>"داخلية"</formula>
    </cfRule>
  </conditionalFormatting>
  <conditionalFormatting sqref="D11:D12">
    <cfRule type="expression" dxfId="2386" priority="487" stopIfTrue="1">
      <formula>#REF!=""</formula>
    </cfRule>
  </conditionalFormatting>
  <conditionalFormatting sqref="D11:D12">
    <cfRule type="containsText" dxfId="2385" priority="475" stopIfTrue="1" operator="containsText" text="خارجية">
      <formula>NOT(ISERROR(SEARCH("خارجية",D11)))</formula>
    </cfRule>
    <cfRule type="containsText" dxfId="2384" priority="476" stopIfTrue="1" operator="containsText" text="ن داخلية">
      <formula>NOT(ISERROR(SEARCH("ن داخلية",D11)))</formula>
    </cfRule>
    <cfRule type="containsText" dxfId="2383" priority="477" stopIfTrue="1" operator="containsText" text="داخلية">
      <formula>NOT(ISERROR(SEARCH("داخلية",D11)))</formula>
    </cfRule>
    <cfRule type="containsText" dxfId="2382" priority="478" stopIfTrue="1" operator="containsText" text="ن داخلية">
      <formula>NOT(ISERROR(SEARCH("ن داخلية",D11)))</formula>
    </cfRule>
    <cfRule type="containsText" dxfId="2381" priority="479" stopIfTrue="1" operator="containsText" text="داخلية">
      <formula>NOT(ISERROR(SEARCH("داخلية",D11)))</formula>
    </cfRule>
    <cfRule type="cellIs" dxfId="2380" priority="480" stopIfTrue="1" operator="equal">
      <formula>"ن داخلي"</formula>
    </cfRule>
    <cfRule type="cellIs" dxfId="2379" priority="481" stopIfTrue="1" operator="equal">
      <formula>"ن داخلية"</formula>
    </cfRule>
    <cfRule type="cellIs" dxfId="2378" priority="482" stopIfTrue="1" operator="equal">
      <formula>#REF!</formula>
    </cfRule>
    <cfRule type="cellIs" dxfId="2377" priority="483" stopIfTrue="1" operator="equal">
      <formula>#REF!</formula>
    </cfRule>
    <cfRule type="cellIs" dxfId="2376" priority="484" stopIfTrue="1" operator="equal">
      <formula>#REF!</formula>
    </cfRule>
    <cfRule type="cellIs" dxfId="2375" priority="485" stopIfTrue="1" operator="equal">
      <formula>#REF!</formula>
    </cfRule>
    <cfRule type="cellIs" dxfId="2374" priority="486" stopIfTrue="1" operator="equal">
      <formula>"داخلية"</formula>
    </cfRule>
  </conditionalFormatting>
  <conditionalFormatting sqref="D11:D12">
    <cfRule type="containsText" dxfId="2373" priority="473" stopIfTrue="1" operator="containsText" text="خارجية">
      <formula>NOT(ISERROR(SEARCH("خارجية",D11)))</formula>
    </cfRule>
    <cfRule type="containsText" dxfId="2372" priority="474" stopIfTrue="1" operator="containsText" text="خارجي">
      <formula>NOT(ISERROR(SEARCH("خارجي",D11)))</formula>
    </cfRule>
  </conditionalFormatting>
  <conditionalFormatting sqref="D11:D12">
    <cfRule type="expression" dxfId="2371" priority="472" stopIfTrue="1">
      <formula>#REF!=""</formula>
    </cfRule>
  </conditionalFormatting>
  <conditionalFormatting sqref="D11:D12">
    <cfRule type="expression" dxfId="2370" priority="471" stopIfTrue="1">
      <formula>#REF!=""</formula>
    </cfRule>
  </conditionalFormatting>
  <conditionalFormatting sqref="D11:D12">
    <cfRule type="containsText" dxfId="2369" priority="459" stopIfTrue="1" operator="containsText" text="خارجية">
      <formula>NOT(ISERROR(SEARCH("خارجية",D11)))</formula>
    </cfRule>
    <cfRule type="containsText" dxfId="2368" priority="460" stopIfTrue="1" operator="containsText" text="ن داخلية">
      <formula>NOT(ISERROR(SEARCH("ن داخلية",D11)))</formula>
    </cfRule>
    <cfRule type="containsText" dxfId="2367" priority="461" stopIfTrue="1" operator="containsText" text="داخلية">
      <formula>NOT(ISERROR(SEARCH("داخلية",D11)))</formula>
    </cfRule>
    <cfRule type="containsText" dxfId="2366" priority="462" stopIfTrue="1" operator="containsText" text="ن داخلية">
      <formula>NOT(ISERROR(SEARCH("ن داخلية",D11)))</formula>
    </cfRule>
    <cfRule type="containsText" dxfId="2365" priority="463" stopIfTrue="1" operator="containsText" text="داخلية">
      <formula>NOT(ISERROR(SEARCH("داخلية",D11)))</formula>
    </cfRule>
    <cfRule type="cellIs" dxfId="2364" priority="464" stopIfTrue="1" operator="equal">
      <formula>"ن داخلي"</formula>
    </cfRule>
    <cfRule type="cellIs" dxfId="2363" priority="465" stopIfTrue="1" operator="equal">
      <formula>"ن داخلية"</formula>
    </cfRule>
    <cfRule type="cellIs" dxfId="2362" priority="466" stopIfTrue="1" operator="equal">
      <formula>#REF!</formula>
    </cfRule>
    <cfRule type="cellIs" dxfId="2361" priority="467" stopIfTrue="1" operator="equal">
      <formula>#REF!</formula>
    </cfRule>
    <cfRule type="cellIs" dxfId="2360" priority="468" stopIfTrue="1" operator="equal">
      <formula>#REF!</formula>
    </cfRule>
    <cfRule type="cellIs" dxfId="2359" priority="469" stopIfTrue="1" operator="equal">
      <formula>#REF!</formula>
    </cfRule>
    <cfRule type="cellIs" dxfId="2358" priority="470" stopIfTrue="1" operator="equal">
      <formula>"داخلية"</formula>
    </cfRule>
  </conditionalFormatting>
  <conditionalFormatting sqref="D11:D12">
    <cfRule type="containsText" dxfId="2357" priority="457" stopIfTrue="1" operator="containsText" text="خارجية">
      <formula>NOT(ISERROR(SEARCH("خارجية",D11)))</formula>
    </cfRule>
    <cfRule type="containsText" dxfId="2356" priority="458" stopIfTrue="1" operator="containsText" text="خارجي">
      <formula>NOT(ISERROR(SEARCH("خارجي",D11)))</formula>
    </cfRule>
  </conditionalFormatting>
  <conditionalFormatting sqref="D11:D12">
    <cfRule type="expression" dxfId="2355" priority="456" stopIfTrue="1">
      <formula>#REF!=""</formula>
    </cfRule>
  </conditionalFormatting>
  <conditionalFormatting sqref="D11:D12">
    <cfRule type="containsText" dxfId="2354" priority="454" stopIfTrue="1" operator="containsText" text="خارجية">
      <formula>NOT(ISERROR(SEARCH("خارجية",D11)))</formula>
    </cfRule>
    <cfRule type="containsText" dxfId="2353" priority="455" stopIfTrue="1" operator="containsText" text="خارجي">
      <formula>NOT(ISERROR(SEARCH("خارجي",D11)))</formula>
    </cfRule>
  </conditionalFormatting>
  <conditionalFormatting sqref="D11:D12">
    <cfRule type="containsText" dxfId="2352" priority="442" stopIfTrue="1" operator="containsText" text="خارجية">
      <formula>NOT(ISERROR(SEARCH("خارجية",D11)))</formula>
    </cfRule>
    <cfRule type="containsText" dxfId="2351" priority="443" stopIfTrue="1" operator="containsText" text="ن داخلية">
      <formula>NOT(ISERROR(SEARCH("ن داخلية",D11)))</formula>
    </cfRule>
    <cfRule type="containsText" dxfId="2350" priority="444" stopIfTrue="1" operator="containsText" text="داخلية">
      <formula>NOT(ISERROR(SEARCH("داخلية",D11)))</formula>
    </cfRule>
    <cfRule type="containsText" dxfId="2349" priority="445" stopIfTrue="1" operator="containsText" text="ن داخلية">
      <formula>NOT(ISERROR(SEARCH("ن داخلية",D11)))</formula>
    </cfRule>
    <cfRule type="containsText" dxfId="2348" priority="446" stopIfTrue="1" operator="containsText" text="داخلية">
      <formula>NOT(ISERROR(SEARCH("داخلية",D11)))</formula>
    </cfRule>
    <cfRule type="cellIs" dxfId="2347" priority="447" stopIfTrue="1" operator="equal">
      <formula>"ن داخلي"</formula>
    </cfRule>
    <cfRule type="cellIs" dxfId="2346" priority="448" stopIfTrue="1" operator="equal">
      <formula>"ن داخلية"</formula>
    </cfRule>
    <cfRule type="cellIs" dxfId="2345" priority="449" stopIfTrue="1" operator="equal">
      <formula>#REF!</formula>
    </cfRule>
    <cfRule type="cellIs" dxfId="2344" priority="450" stopIfTrue="1" operator="equal">
      <formula>#REF!</formula>
    </cfRule>
    <cfRule type="cellIs" dxfId="2343" priority="451" stopIfTrue="1" operator="equal">
      <formula>#REF!</formula>
    </cfRule>
    <cfRule type="cellIs" dxfId="2342" priority="452" stopIfTrue="1" operator="equal">
      <formula>#REF!</formula>
    </cfRule>
    <cfRule type="cellIs" dxfId="2341" priority="453" stopIfTrue="1" operator="equal">
      <formula>"داخلية"</formula>
    </cfRule>
  </conditionalFormatting>
  <conditionalFormatting sqref="D11:D12">
    <cfRule type="containsText" dxfId="2340" priority="430" stopIfTrue="1" operator="containsText" text="خارجية">
      <formula>NOT(ISERROR(SEARCH("خارجية",D11)))</formula>
    </cfRule>
    <cfRule type="containsText" dxfId="2339" priority="431" stopIfTrue="1" operator="containsText" text="ن داخلية">
      <formula>NOT(ISERROR(SEARCH("ن داخلية",D11)))</formula>
    </cfRule>
    <cfRule type="containsText" dxfId="2338" priority="432" stopIfTrue="1" operator="containsText" text="داخلية">
      <formula>NOT(ISERROR(SEARCH("داخلية",D11)))</formula>
    </cfRule>
    <cfRule type="containsText" dxfId="2337" priority="433" stopIfTrue="1" operator="containsText" text="ن داخلية">
      <formula>NOT(ISERROR(SEARCH("ن داخلية",D11)))</formula>
    </cfRule>
    <cfRule type="containsText" dxfId="2336" priority="434" stopIfTrue="1" operator="containsText" text="داخلية">
      <formula>NOT(ISERROR(SEARCH("داخلية",D11)))</formula>
    </cfRule>
    <cfRule type="cellIs" dxfId="2335" priority="435" stopIfTrue="1" operator="equal">
      <formula>"ن داخلي"</formula>
    </cfRule>
    <cfRule type="cellIs" dxfId="2334" priority="436" stopIfTrue="1" operator="equal">
      <formula>"ن داخلية"</formula>
    </cfRule>
    <cfRule type="cellIs" dxfId="2333" priority="437" stopIfTrue="1" operator="equal">
      <formula>#REF!</formula>
    </cfRule>
    <cfRule type="cellIs" dxfId="2332" priority="438" stopIfTrue="1" operator="equal">
      <formula>#REF!</formula>
    </cfRule>
    <cfRule type="cellIs" dxfId="2331" priority="439" stopIfTrue="1" operator="equal">
      <formula>#REF!</formula>
    </cfRule>
    <cfRule type="cellIs" dxfId="2330" priority="440" stopIfTrue="1" operator="equal">
      <formula>#REF!</formula>
    </cfRule>
    <cfRule type="cellIs" dxfId="2329" priority="441" stopIfTrue="1" operator="equal">
      <formula>"داخلية"</formula>
    </cfRule>
  </conditionalFormatting>
  <conditionalFormatting sqref="D11:D12">
    <cfRule type="containsText" dxfId="2328" priority="428" stopIfTrue="1" operator="containsText" text="خارجية">
      <formula>NOT(ISERROR(SEARCH("خارجية",D11)))</formula>
    </cfRule>
    <cfRule type="containsText" dxfId="2327" priority="429" stopIfTrue="1" operator="containsText" text="خارجي">
      <formula>NOT(ISERROR(SEARCH("خارجي",D11)))</formula>
    </cfRule>
  </conditionalFormatting>
  <conditionalFormatting sqref="D11:D12">
    <cfRule type="containsText" dxfId="2326" priority="416" stopIfTrue="1" operator="containsText" text="خارجية">
      <formula>NOT(ISERROR(SEARCH("خارجية",D11)))</formula>
    </cfRule>
    <cfRule type="containsText" dxfId="2325" priority="417" stopIfTrue="1" operator="containsText" text="ن داخلية">
      <formula>NOT(ISERROR(SEARCH("ن داخلية",D11)))</formula>
    </cfRule>
    <cfRule type="containsText" dxfId="2324" priority="418" stopIfTrue="1" operator="containsText" text="داخلية">
      <formula>NOT(ISERROR(SEARCH("داخلية",D11)))</formula>
    </cfRule>
    <cfRule type="containsText" dxfId="2323" priority="419" stopIfTrue="1" operator="containsText" text="ن داخلية">
      <formula>NOT(ISERROR(SEARCH("ن داخلية",D11)))</formula>
    </cfRule>
    <cfRule type="containsText" dxfId="2322" priority="420" stopIfTrue="1" operator="containsText" text="داخلية">
      <formula>NOT(ISERROR(SEARCH("داخلية",D11)))</formula>
    </cfRule>
    <cfRule type="cellIs" dxfId="2321" priority="421" stopIfTrue="1" operator="equal">
      <formula>"ن داخلي"</formula>
    </cfRule>
    <cfRule type="cellIs" dxfId="2320" priority="422" stopIfTrue="1" operator="equal">
      <formula>"ن داخلية"</formula>
    </cfRule>
    <cfRule type="cellIs" dxfId="2319" priority="423" stopIfTrue="1" operator="equal">
      <formula>#REF!</formula>
    </cfRule>
    <cfRule type="cellIs" dxfId="2318" priority="424" stopIfTrue="1" operator="equal">
      <formula>#REF!</formula>
    </cfRule>
    <cfRule type="cellIs" dxfId="2317" priority="425" stopIfTrue="1" operator="equal">
      <formula>#REF!</formula>
    </cfRule>
    <cfRule type="cellIs" dxfId="2316" priority="426" stopIfTrue="1" operator="equal">
      <formula>#REF!</formula>
    </cfRule>
    <cfRule type="cellIs" dxfId="2315" priority="427" stopIfTrue="1" operator="equal">
      <formula>"داخلية"</formula>
    </cfRule>
  </conditionalFormatting>
  <conditionalFormatting sqref="D11:D12">
    <cfRule type="containsText" dxfId="2314" priority="414" stopIfTrue="1" operator="containsText" text="خارجية">
      <formula>NOT(ISERROR(SEARCH("خارجية",D11)))</formula>
    </cfRule>
    <cfRule type="containsText" dxfId="2313" priority="415" stopIfTrue="1" operator="containsText" text="خارجي">
      <formula>NOT(ISERROR(SEARCH("خارجي",D11)))</formula>
    </cfRule>
  </conditionalFormatting>
  <conditionalFormatting sqref="D11:D12">
    <cfRule type="expression" dxfId="2312" priority="413" stopIfTrue="1">
      <formula>#REF!=""</formula>
    </cfRule>
  </conditionalFormatting>
  <conditionalFormatting sqref="D11:D12">
    <cfRule type="expression" dxfId="2311" priority="412" stopIfTrue="1">
      <formula>#REF!=""</formula>
    </cfRule>
  </conditionalFormatting>
  <conditionalFormatting sqref="D11:D12">
    <cfRule type="containsText" dxfId="2310" priority="410" stopIfTrue="1" operator="containsText" text="خارجية">
      <formula>NOT(ISERROR(SEARCH("خارجية",D11)))</formula>
    </cfRule>
    <cfRule type="containsText" dxfId="2309" priority="411" stopIfTrue="1" operator="containsText" text="خارجي">
      <formula>NOT(ISERROR(SEARCH("خارجي",D11)))</formula>
    </cfRule>
  </conditionalFormatting>
  <conditionalFormatting sqref="D11:D12">
    <cfRule type="containsText" dxfId="2308" priority="398" stopIfTrue="1" operator="containsText" text="خارجية">
      <formula>NOT(ISERROR(SEARCH("خارجية",D11)))</formula>
    </cfRule>
    <cfRule type="containsText" dxfId="2307" priority="399" stopIfTrue="1" operator="containsText" text="ن داخلية">
      <formula>NOT(ISERROR(SEARCH("ن داخلية",D11)))</formula>
    </cfRule>
    <cfRule type="containsText" dxfId="2306" priority="400" stopIfTrue="1" operator="containsText" text="داخلية">
      <formula>NOT(ISERROR(SEARCH("داخلية",D11)))</formula>
    </cfRule>
    <cfRule type="containsText" dxfId="2305" priority="401" stopIfTrue="1" operator="containsText" text="ن داخلية">
      <formula>NOT(ISERROR(SEARCH("ن داخلية",D11)))</formula>
    </cfRule>
    <cfRule type="containsText" dxfId="2304" priority="402" stopIfTrue="1" operator="containsText" text="داخلية">
      <formula>NOT(ISERROR(SEARCH("داخلية",D11)))</formula>
    </cfRule>
    <cfRule type="cellIs" dxfId="2303" priority="403" stopIfTrue="1" operator="equal">
      <formula>"ن داخلي"</formula>
    </cfRule>
    <cfRule type="cellIs" dxfId="2302" priority="404" stopIfTrue="1" operator="equal">
      <formula>"ن داخلية"</formula>
    </cfRule>
    <cfRule type="cellIs" dxfId="2301" priority="405" stopIfTrue="1" operator="equal">
      <formula>#REF!</formula>
    </cfRule>
    <cfRule type="cellIs" dxfId="2300" priority="406" stopIfTrue="1" operator="equal">
      <formula>#REF!</formula>
    </cfRule>
    <cfRule type="cellIs" dxfId="2299" priority="407" stopIfTrue="1" operator="equal">
      <formula>#REF!</formula>
    </cfRule>
    <cfRule type="cellIs" dxfId="2298" priority="408" stopIfTrue="1" operator="equal">
      <formula>#REF!</formula>
    </cfRule>
    <cfRule type="cellIs" dxfId="2297" priority="409" stopIfTrue="1" operator="equal">
      <formula>"داخلية"</formula>
    </cfRule>
  </conditionalFormatting>
  <conditionalFormatting sqref="D11:D12">
    <cfRule type="containsText" dxfId="2296" priority="386" stopIfTrue="1" operator="containsText" text="خارجية">
      <formula>NOT(ISERROR(SEARCH("خارجية",D11)))</formula>
    </cfRule>
    <cfRule type="containsText" dxfId="2295" priority="387" stopIfTrue="1" operator="containsText" text="ن داخلية">
      <formula>NOT(ISERROR(SEARCH("ن داخلية",D11)))</formula>
    </cfRule>
    <cfRule type="containsText" dxfId="2294" priority="388" stopIfTrue="1" operator="containsText" text="داخلية">
      <formula>NOT(ISERROR(SEARCH("داخلية",D11)))</formula>
    </cfRule>
    <cfRule type="containsText" dxfId="2293" priority="389" stopIfTrue="1" operator="containsText" text="ن داخلية">
      <formula>NOT(ISERROR(SEARCH("ن داخلية",D11)))</formula>
    </cfRule>
    <cfRule type="containsText" dxfId="2292" priority="390" stopIfTrue="1" operator="containsText" text="داخلية">
      <formula>NOT(ISERROR(SEARCH("داخلية",D11)))</formula>
    </cfRule>
    <cfRule type="cellIs" dxfId="2291" priority="391" stopIfTrue="1" operator="equal">
      <formula>"ن داخلي"</formula>
    </cfRule>
    <cfRule type="cellIs" dxfId="2290" priority="392" stopIfTrue="1" operator="equal">
      <formula>"ن داخلية"</formula>
    </cfRule>
    <cfRule type="cellIs" dxfId="2289" priority="393" stopIfTrue="1" operator="equal">
      <formula>#REF!</formula>
    </cfRule>
    <cfRule type="cellIs" dxfId="2288" priority="394" stopIfTrue="1" operator="equal">
      <formula>#REF!</formula>
    </cfRule>
    <cfRule type="cellIs" dxfId="2287" priority="395" stopIfTrue="1" operator="equal">
      <formula>#REF!</formula>
    </cfRule>
    <cfRule type="cellIs" dxfId="2286" priority="396" stopIfTrue="1" operator="equal">
      <formula>#REF!</formula>
    </cfRule>
    <cfRule type="cellIs" dxfId="2285" priority="397" stopIfTrue="1" operator="equal">
      <formula>"داخلية"</formula>
    </cfRule>
  </conditionalFormatting>
  <conditionalFormatting sqref="D11:D12">
    <cfRule type="containsText" dxfId="2284" priority="384" stopIfTrue="1" operator="containsText" text="خارجية">
      <formula>NOT(ISERROR(SEARCH("خارجية",D11)))</formula>
    </cfRule>
    <cfRule type="containsText" dxfId="2283" priority="385" stopIfTrue="1" operator="containsText" text="خارجي">
      <formula>NOT(ISERROR(SEARCH("خارجي",D11)))</formula>
    </cfRule>
  </conditionalFormatting>
  <conditionalFormatting sqref="D11:D12">
    <cfRule type="containsText" dxfId="2282" priority="382" stopIfTrue="1" operator="containsText" text="خارجية">
      <formula>NOT(ISERROR(SEARCH("خارجية",D11)))</formula>
    </cfRule>
    <cfRule type="containsText" dxfId="2281" priority="383" stopIfTrue="1" operator="containsText" text="خارجي">
      <formula>NOT(ISERROR(SEARCH("خارجي",D11)))</formula>
    </cfRule>
  </conditionalFormatting>
  <conditionalFormatting sqref="D11:D12">
    <cfRule type="containsText" dxfId="2280" priority="370" stopIfTrue="1" operator="containsText" text="خارجية">
      <formula>NOT(ISERROR(SEARCH("خارجية",D11)))</formula>
    </cfRule>
    <cfRule type="containsText" dxfId="2279" priority="371" stopIfTrue="1" operator="containsText" text="ن داخلية">
      <formula>NOT(ISERROR(SEARCH("ن داخلية",D11)))</formula>
    </cfRule>
    <cfRule type="containsText" dxfId="2278" priority="372" stopIfTrue="1" operator="containsText" text="داخلية">
      <formula>NOT(ISERROR(SEARCH("داخلية",D11)))</formula>
    </cfRule>
    <cfRule type="containsText" dxfId="2277" priority="373" stopIfTrue="1" operator="containsText" text="ن داخلية">
      <formula>NOT(ISERROR(SEARCH("ن داخلية",D11)))</formula>
    </cfRule>
    <cfRule type="containsText" dxfId="2276" priority="374" stopIfTrue="1" operator="containsText" text="داخلية">
      <formula>NOT(ISERROR(SEARCH("داخلية",D11)))</formula>
    </cfRule>
    <cfRule type="cellIs" dxfId="2275" priority="375" stopIfTrue="1" operator="equal">
      <formula>"ن داخلي"</formula>
    </cfRule>
    <cfRule type="cellIs" dxfId="2274" priority="376" stopIfTrue="1" operator="equal">
      <formula>"ن داخلية"</formula>
    </cfRule>
    <cfRule type="cellIs" dxfId="2273" priority="377" stopIfTrue="1" operator="equal">
      <formula>#REF!</formula>
    </cfRule>
    <cfRule type="cellIs" dxfId="2272" priority="378" stopIfTrue="1" operator="equal">
      <formula>#REF!</formula>
    </cfRule>
    <cfRule type="cellIs" dxfId="2271" priority="379" stopIfTrue="1" operator="equal">
      <formula>#REF!</formula>
    </cfRule>
    <cfRule type="cellIs" dxfId="2270" priority="380" stopIfTrue="1" operator="equal">
      <formula>#REF!</formula>
    </cfRule>
    <cfRule type="cellIs" dxfId="2269" priority="381" stopIfTrue="1" operator="equal">
      <formula>"داخلية"</formula>
    </cfRule>
  </conditionalFormatting>
  <conditionalFormatting sqref="D11:D12">
    <cfRule type="expression" dxfId="2268" priority="369" stopIfTrue="1">
      <formula>#REF!=""</formula>
    </cfRule>
  </conditionalFormatting>
  <conditionalFormatting sqref="D11:D12">
    <cfRule type="containsText" dxfId="2267" priority="357" stopIfTrue="1" operator="containsText" text="خارجية">
      <formula>NOT(ISERROR(SEARCH("خارجية",D11)))</formula>
    </cfRule>
    <cfRule type="containsText" dxfId="2266" priority="358" stopIfTrue="1" operator="containsText" text="ن داخلية">
      <formula>NOT(ISERROR(SEARCH("ن داخلية",D11)))</formula>
    </cfRule>
    <cfRule type="containsText" dxfId="2265" priority="359" stopIfTrue="1" operator="containsText" text="داخلية">
      <formula>NOT(ISERROR(SEARCH("داخلية",D11)))</formula>
    </cfRule>
    <cfRule type="containsText" dxfId="2264" priority="360" stopIfTrue="1" operator="containsText" text="ن داخلية">
      <formula>NOT(ISERROR(SEARCH("ن داخلية",D11)))</formula>
    </cfRule>
    <cfRule type="containsText" dxfId="2263" priority="361" stopIfTrue="1" operator="containsText" text="داخلية">
      <formula>NOT(ISERROR(SEARCH("داخلية",D11)))</formula>
    </cfRule>
    <cfRule type="cellIs" dxfId="2262" priority="362" stopIfTrue="1" operator="equal">
      <formula>"ن داخلي"</formula>
    </cfRule>
    <cfRule type="cellIs" dxfId="2261" priority="363" stopIfTrue="1" operator="equal">
      <formula>"ن داخلية"</formula>
    </cfRule>
    <cfRule type="cellIs" dxfId="2260" priority="364" stopIfTrue="1" operator="equal">
      <formula>#REF!</formula>
    </cfRule>
    <cfRule type="cellIs" dxfId="2259" priority="365" stopIfTrue="1" operator="equal">
      <formula>#REF!</formula>
    </cfRule>
    <cfRule type="cellIs" dxfId="2258" priority="366" stopIfTrue="1" operator="equal">
      <formula>#REF!</formula>
    </cfRule>
    <cfRule type="cellIs" dxfId="2257" priority="367" stopIfTrue="1" operator="equal">
      <formula>#REF!</formula>
    </cfRule>
    <cfRule type="cellIs" dxfId="2256" priority="368" stopIfTrue="1" operator="equal">
      <formula>"داخلية"</formula>
    </cfRule>
  </conditionalFormatting>
  <conditionalFormatting sqref="D11:D12">
    <cfRule type="containsText" dxfId="2255" priority="355" stopIfTrue="1" operator="containsText" text="خارجية">
      <formula>NOT(ISERROR(SEARCH("خارجية",D11)))</formula>
    </cfRule>
    <cfRule type="containsText" dxfId="2254" priority="356" stopIfTrue="1" operator="containsText" text="خارجي">
      <formula>NOT(ISERROR(SEARCH("خارجي",D11)))</formula>
    </cfRule>
  </conditionalFormatting>
  <conditionalFormatting sqref="D11:D12">
    <cfRule type="expression" dxfId="2253" priority="354" stopIfTrue="1">
      <formula>#REF!=""</formula>
    </cfRule>
  </conditionalFormatting>
  <conditionalFormatting sqref="D11:D12">
    <cfRule type="containsText" dxfId="2252" priority="352" stopIfTrue="1" operator="containsText" text="خارجية">
      <formula>NOT(ISERROR(SEARCH("خارجية",D11)))</formula>
    </cfRule>
    <cfRule type="containsText" dxfId="2251" priority="353" stopIfTrue="1" operator="containsText" text="خارجي">
      <formula>NOT(ISERROR(SEARCH("خارجي",D11)))</formula>
    </cfRule>
  </conditionalFormatting>
  <conditionalFormatting sqref="D11:D12">
    <cfRule type="containsText" dxfId="2250" priority="340" stopIfTrue="1" operator="containsText" text="خارجية">
      <formula>NOT(ISERROR(SEARCH("خارجية",D11)))</formula>
    </cfRule>
    <cfRule type="containsText" dxfId="2249" priority="341" stopIfTrue="1" operator="containsText" text="ن داخلية">
      <formula>NOT(ISERROR(SEARCH("ن داخلية",D11)))</formula>
    </cfRule>
    <cfRule type="containsText" dxfId="2248" priority="342" stopIfTrue="1" operator="containsText" text="داخلية">
      <formula>NOT(ISERROR(SEARCH("داخلية",D11)))</formula>
    </cfRule>
    <cfRule type="containsText" dxfId="2247" priority="343" stopIfTrue="1" operator="containsText" text="ن داخلية">
      <formula>NOT(ISERROR(SEARCH("ن داخلية",D11)))</formula>
    </cfRule>
    <cfRule type="containsText" dxfId="2246" priority="344" stopIfTrue="1" operator="containsText" text="داخلية">
      <formula>NOT(ISERROR(SEARCH("داخلية",D11)))</formula>
    </cfRule>
    <cfRule type="cellIs" dxfId="2245" priority="345" stopIfTrue="1" operator="equal">
      <formula>"ن داخلي"</formula>
    </cfRule>
    <cfRule type="cellIs" dxfId="2244" priority="346" stopIfTrue="1" operator="equal">
      <formula>"ن داخلية"</formula>
    </cfRule>
    <cfRule type="cellIs" dxfId="2243" priority="347" stopIfTrue="1" operator="equal">
      <formula>#REF!</formula>
    </cfRule>
    <cfRule type="cellIs" dxfId="2242" priority="348" stopIfTrue="1" operator="equal">
      <formula>#REF!</formula>
    </cfRule>
    <cfRule type="cellIs" dxfId="2241" priority="349" stopIfTrue="1" operator="equal">
      <formula>#REF!</formula>
    </cfRule>
    <cfRule type="cellIs" dxfId="2240" priority="350" stopIfTrue="1" operator="equal">
      <formula>#REF!</formula>
    </cfRule>
    <cfRule type="cellIs" dxfId="2239" priority="351" stopIfTrue="1" operator="equal">
      <formula>"داخلية"</formula>
    </cfRule>
  </conditionalFormatting>
  <conditionalFormatting sqref="D11:D12">
    <cfRule type="expression" dxfId="2238" priority="339" stopIfTrue="1">
      <formula>#REF!=""</formula>
    </cfRule>
  </conditionalFormatting>
  <conditionalFormatting sqref="D11:D12">
    <cfRule type="containsText" dxfId="2237" priority="337" stopIfTrue="1" operator="containsText" text="خارجية">
      <formula>NOT(ISERROR(SEARCH("خارجية",D11)))</formula>
    </cfRule>
    <cfRule type="containsText" dxfId="2236" priority="338" stopIfTrue="1" operator="containsText" text="خارجي">
      <formula>NOT(ISERROR(SEARCH("خارجي",D11)))</formula>
    </cfRule>
  </conditionalFormatting>
  <conditionalFormatting sqref="D11:D12">
    <cfRule type="containsText" dxfId="2235" priority="325" stopIfTrue="1" operator="containsText" text="خارجية">
      <formula>NOT(ISERROR(SEARCH("خارجية",D11)))</formula>
    </cfRule>
    <cfRule type="containsText" dxfId="2234" priority="326" stopIfTrue="1" operator="containsText" text="ن داخلية">
      <formula>NOT(ISERROR(SEARCH("ن داخلية",D11)))</formula>
    </cfRule>
    <cfRule type="containsText" dxfId="2233" priority="327" stopIfTrue="1" operator="containsText" text="داخلية">
      <formula>NOT(ISERROR(SEARCH("داخلية",D11)))</formula>
    </cfRule>
    <cfRule type="containsText" dxfId="2232" priority="328" stopIfTrue="1" operator="containsText" text="ن داخلية">
      <formula>NOT(ISERROR(SEARCH("ن داخلية",D11)))</formula>
    </cfRule>
    <cfRule type="containsText" dxfId="2231" priority="329" stopIfTrue="1" operator="containsText" text="داخلية">
      <formula>NOT(ISERROR(SEARCH("داخلية",D11)))</formula>
    </cfRule>
    <cfRule type="cellIs" dxfId="2230" priority="330" stopIfTrue="1" operator="equal">
      <formula>"ن داخلي"</formula>
    </cfRule>
    <cfRule type="cellIs" dxfId="2229" priority="331" stopIfTrue="1" operator="equal">
      <formula>"ن داخلية"</formula>
    </cfRule>
    <cfRule type="cellIs" dxfId="2228" priority="332" stopIfTrue="1" operator="equal">
      <formula>#REF!</formula>
    </cfRule>
    <cfRule type="cellIs" dxfId="2227" priority="333" stopIfTrue="1" operator="equal">
      <formula>#REF!</formula>
    </cfRule>
    <cfRule type="cellIs" dxfId="2226" priority="334" stopIfTrue="1" operator="equal">
      <formula>#REF!</formula>
    </cfRule>
    <cfRule type="cellIs" dxfId="2225" priority="335" stopIfTrue="1" operator="equal">
      <formula>#REF!</formula>
    </cfRule>
    <cfRule type="cellIs" dxfId="2224" priority="336" stopIfTrue="1" operator="equal">
      <formula>"داخلية"</formula>
    </cfRule>
  </conditionalFormatting>
  <conditionalFormatting sqref="D11:D12">
    <cfRule type="expression" dxfId="2223" priority="324" stopIfTrue="1">
      <formula>#REF!=""</formula>
    </cfRule>
  </conditionalFormatting>
  <conditionalFormatting sqref="D11:D12">
    <cfRule type="containsText" dxfId="2222" priority="312" stopIfTrue="1" operator="containsText" text="خارجية">
      <formula>NOT(ISERROR(SEARCH("خارجية",D11)))</formula>
    </cfRule>
    <cfRule type="containsText" dxfId="2221" priority="313" stopIfTrue="1" operator="containsText" text="ن داخلية">
      <formula>NOT(ISERROR(SEARCH("ن داخلية",D11)))</formula>
    </cfRule>
    <cfRule type="containsText" dxfId="2220" priority="314" stopIfTrue="1" operator="containsText" text="داخلية">
      <formula>NOT(ISERROR(SEARCH("داخلية",D11)))</formula>
    </cfRule>
    <cfRule type="containsText" dxfId="2219" priority="315" stopIfTrue="1" operator="containsText" text="ن داخلية">
      <formula>NOT(ISERROR(SEARCH("ن داخلية",D11)))</formula>
    </cfRule>
    <cfRule type="containsText" dxfId="2218" priority="316" stopIfTrue="1" operator="containsText" text="داخلية">
      <formula>NOT(ISERROR(SEARCH("داخلية",D11)))</formula>
    </cfRule>
    <cfRule type="cellIs" dxfId="2217" priority="317" stopIfTrue="1" operator="equal">
      <formula>"ن داخلي"</formula>
    </cfRule>
    <cfRule type="cellIs" dxfId="2216" priority="318" stopIfTrue="1" operator="equal">
      <formula>"ن داخلية"</formula>
    </cfRule>
    <cfRule type="cellIs" dxfId="2215" priority="319" stopIfTrue="1" operator="equal">
      <formula>#REF!</formula>
    </cfRule>
    <cfRule type="cellIs" dxfId="2214" priority="320" stopIfTrue="1" operator="equal">
      <formula>#REF!</formula>
    </cfRule>
    <cfRule type="cellIs" dxfId="2213" priority="321" stopIfTrue="1" operator="equal">
      <formula>#REF!</formula>
    </cfRule>
    <cfRule type="cellIs" dxfId="2212" priority="322" stopIfTrue="1" operator="equal">
      <formula>#REF!</formula>
    </cfRule>
    <cfRule type="cellIs" dxfId="2211" priority="323" stopIfTrue="1" operator="equal">
      <formula>"داخلية"</formula>
    </cfRule>
  </conditionalFormatting>
  <conditionalFormatting sqref="D11:D12">
    <cfRule type="containsText" dxfId="2210" priority="310" stopIfTrue="1" operator="containsText" text="خارجية">
      <formula>NOT(ISERROR(SEARCH("خارجية",D11)))</formula>
    </cfRule>
    <cfRule type="containsText" dxfId="2209" priority="311" stopIfTrue="1" operator="containsText" text="خارجي">
      <formula>NOT(ISERROR(SEARCH("خارجي",D11)))</formula>
    </cfRule>
  </conditionalFormatting>
  <conditionalFormatting sqref="D11:D12">
    <cfRule type="expression" dxfId="2208" priority="309" stopIfTrue="1">
      <formula>#REF!=""</formula>
    </cfRule>
  </conditionalFormatting>
  <conditionalFormatting sqref="D11:D12">
    <cfRule type="expression" dxfId="2207" priority="308" stopIfTrue="1">
      <formula>#REF!=""</formula>
    </cfRule>
  </conditionalFormatting>
  <conditionalFormatting sqref="D11:D12">
    <cfRule type="expression" dxfId="2206" priority="307" stopIfTrue="1">
      <formula>#REF!=""</formula>
    </cfRule>
  </conditionalFormatting>
  <conditionalFormatting sqref="D11:D12">
    <cfRule type="containsText" dxfId="2205" priority="295" stopIfTrue="1" operator="containsText" text="خارجية">
      <formula>NOT(ISERROR(SEARCH("خارجية",D11)))</formula>
    </cfRule>
    <cfRule type="containsText" dxfId="2204" priority="296" stopIfTrue="1" operator="containsText" text="ن داخلية">
      <formula>NOT(ISERROR(SEARCH("ن داخلية",D11)))</formula>
    </cfRule>
    <cfRule type="containsText" dxfId="2203" priority="297" stopIfTrue="1" operator="containsText" text="داخلية">
      <formula>NOT(ISERROR(SEARCH("داخلية",D11)))</formula>
    </cfRule>
    <cfRule type="containsText" dxfId="2202" priority="298" stopIfTrue="1" operator="containsText" text="ن داخلية">
      <formula>NOT(ISERROR(SEARCH("ن داخلية",D11)))</formula>
    </cfRule>
    <cfRule type="containsText" dxfId="2201" priority="299" stopIfTrue="1" operator="containsText" text="داخلية">
      <formula>NOT(ISERROR(SEARCH("داخلية",D11)))</formula>
    </cfRule>
    <cfRule type="cellIs" dxfId="2200" priority="300" stopIfTrue="1" operator="equal">
      <formula>"ن داخلي"</formula>
    </cfRule>
    <cfRule type="cellIs" dxfId="2199" priority="301" stopIfTrue="1" operator="equal">
      <formula>"ن داخلية"</formula>
    </cfRule>
    <cfRule type="cellIs" dxfId="2198" priority="302" stopIfTrue="1" operator="equal">
      <formula>#REF!</formula>
    </cfRule>
    <cfRule type="cellIs" dxfId="2197" priority="303" stopIfTrue="1" operator="equal">
      <formula>#REF!</formula>
    </cfRule>
    <cfRule type="cellIs" dxfId="2196" priority="304" stopIfTrue="1" operator="equal">
      <formula>#REF!</formula>
    </cfRule>
    <cfRule type="cellIs" dxfId="2195" priority="305" stopIfTrue="1" operator="equal">
      <formula>#REF!</formula>
    </cfRule>
    <cfRule type="cellIs" dxfId="2194" priority="306" stopIfTrue="1" operator="equal">
      <formula>"داخلية"</formula>
    </cfRule>
  </conditionalFormatting>
  <conditionalFormatting sqref="D11:D12">
    <cfRule type="containsText" dxfId="2193" priority="293" stopIfTrue="1" operator="containsText" text="خارجية">
      <formula>NOT(ISERROR(SEARCH("خارجية",D11)))</formula>
    </cfRule>
    <cfRule type="containsText" dxfId="2192" priority="294" stopIfTrue="1" operator="containsText" text="خارجي">
      <formula>NOT(ISERROR(SEARCH("خارجي",D11)))</formula>
    </cfRule>
  </conditionalFormatting>
  <conditionalFormatting sqref="D11:D12">
    <cfRule type="expression" dxfId="2191" priority="292" stopIfTrue="1">
      <formula>#REF!=""</formula>
    </cfRule>
  </conditionalFormatting>
  <conditionalFormatting sqref="D11:D12">
    <cfRule type="expression" dxfId="2190" priority="291" stopIfTrue="1">
      <formula>#REF!=""</formula>
    </cfRule>
  </conditionalFormatting>
  <conditionalFormatting sqref="D11:D12">
    <cfRule type="expression" dxfId="2189" priority="290" stopIfTrue="1">
      <formula>#REF!=""</formula>
    </cfRule>
  </conditionalFormatting>
  <conditionalFormatting sqref="D11:D12">
    <cfRule type="containsText" dxfId="2188" priority="288" stopIfTrue="1" operator="containsText" text="خارجية">
      <formula>NOT(ISERROR(SEARCH("خارجية",D11)))</formula>
    </cfRule>
    <cfRule type="containsText" dxfId="2187" priority="289" stopIfTrue="1" operator="containsText" text="خارجي">
      <formula>NOT(ISERROR(SEARCH("خارجي",D11)))</formula>
    </cfRule>
  </conditionalFormatting>
  <conditionalFormatting sqref="D11:D12">
    <cfRule type="containsText" dxfId="2186" priority="286" stopIfTrue="1" operator="containsText" text="خارجية">
      <formula>NOT(ISERROR(SEARCH("خارجية",D11)))</formula>
    </cfRule>
    <cfRule type="containsText" dxfId="2185" priority="287" stopIfTrue="1" operator="containsText" text="خارجي">
      <formula>NOT(ISERROR(SEARCH("خارجي",D11)))</formula>
    </cfRule>
  </conditionalFormatting>
  <conditionalFormatting sqref="D11:D12">
    <cfRule type="containsText" dxfId="2184" priority="274" stopIfTrue="1" operator="containsText" text="خارجية">
      <formula>NOT(ISERROR(SEARCH("خارجية",D11)))</formula>
    </cfRule>
    <cfRule type="containsText" dxfId="2183" priority="275" stopIfTrue="1" operator="containsText" text="ن داخلية">
      <formula>NOT(ISERROR(SEARCH("ن داخلية",D11)))</formula>
    </cfRule>
    <cfRule type="containsText" dxfId="2182" priority="276" stopIfTrue="1" operator="containsText" text="داخلية">
      <formula>NOT(ISERROR(SEARCH("داخلية",D11)))</formula>
    </cfRule>
    <cfRule type="containsText" dxfId="2181" priority="277" stopIfTrue="1" operator="containsText" text="ن داخلية">
      <formula>NOT(ISERROR(SEARCH("ن داخلية",D11)))</formula>
    </cfRule>
    <cfRule type="containsText" dxfId="2180" priority="278" stopIfTrue="1" operator="containsText" text="داخلية">
      <formula>NOT(ISERROR(SEARCH("داخلية",D11)))</formula>
    </cfRule>
    <cfRule type="cellIs" dxfId="2179" priority="279" stopIfTrue="1" operator="equal">
      <formula>"ن داخلي"</formula>
    </cfRule>
    <cfRule type="cellIs" dxfId="2178" priority="280" stopIfTrue="1" operator="equal">
      <formula>"ن داخلية"</formula>
    </cfRule>
    <cfRule type="cellIs" dxfId="2177" priority="281" stopIfTrue="1" operator="equal">
      <formula>#REF!</formula>
    </cfRule>
    <cfRule type="cellIs" dxfId="2176" priority="282" stopIfTrue="1" operator="equal">
      <formula>#REF!</formula>
    </cfRule>
    <cfRule type="cellIs" dxfId="2175" priority="283" stopIfTrue="1" operator="equal">
      <formula>#REF!</formula>
    </cfRule>
    <cfRule type="cellIs" dxfId="2174" priority="284" stopIfTrue="1" operator="equal">
      <formula>#REF!</formula>
    </cfRule>
    <cfRule type="cellIs" dxfId="2173" priority="285" stopIfTrue="1" operator="equal">
      <formula>"داخلية"</formula>
    </cfRule>
  </conditionalFormatting>
  <conditionalFormatting sqref="D14">
    <cfRule type="expression" dxfId="2172" priority="273" stopIfTrue="1">
      <formula>#REF!=""</formula>
    </cfRule>
  </conditionalFormatting>
  <conditionalFormatting sqref="D14">
    <cfRule type="expression" dxfId="2171" priority="272" stopIfTrue="1">
      <formula>#REF!=""</formula>
    </cfRule>
  </conditionalFormatting>
  <conditionalFormatting sqref="D14">
    <cfRule type="expression" dxfId="2170" priority="271" stopIfTrue="1">
      <formula>#REF!=""</formula>
    </cfRule>
  </conditionalFormatting>
  <conditionalFormatting sqref="D14">
    <cfRule type="expression" dxfId="2169" priority="270" stopIfTrue="1">
      <formula>#REF!=""</formula>
    </cfRule>
  </conditionalFormatting>
  <conditionalFormatting sqref="D14">
    <cfRule type="containsText" dxfId="2168" priority="258" stopIfTrue="1" operator="containsText" text="خارجية">
      <formula>NOT(ISERROR(SEARCH("خارجية",D14)))</formula>
    </cfRule>
    <cfRule type="containsText" dxfId="2167" priority="259" stopIfTrue="1" operator="containsText" text="ن داخلية">
      <formula>NOT(ISERROR(SEARCH("ن داخلية",D14)))</formula>
    </cfRule>
    <cfRule type="containsText" dxfId="2166" priority="260" stopIfTrue="1" operator="containsText" text="داخلية">
      <formula>NOT(ISERROR(SEARCH("داخلية",D14)))</formula>
    </cfRule>
    <cfRule type="containsText" dxfId="2165" priority="261" stopIfTrue="1" operator="containsText" text="ن داخلية">
      <formula>NOT(ISERROR(SEARCH("ن داخلية",D14)))</formula>
    </cfRule>
    <cfRule type="containsText" dxfId="2164" priority="262" stopIfTrue="1" operator="containsText" text="داخلية">
      <formula>NOT(ISERROR(SEARCH("داخلية",D14)))</formula>
    </cfRule>
    <cfRule type="cellIs" dxfId="2163" priority="263" stopIfTrue="1" operator="equal">
      <formula>"ن داخلي"</formula>
    </cfRule>
    <cfRule type="cellIs" dxfId="2162" priority="264" stopIfTrue="1" operator="equal">
      <formula>"ن داخلية"</formula>
    </cfRule>
    <cfRule type="cellIs" dxfId="2161" priority="265" stopIfTrue="1" operator="equal">
      <formula>#REF!</formula>
    </cfRule>
    <cfRule type="cellIs" dxfId="2160" priority="266" stopIfTrue="1" operator="equal">
      <formula>#REF!</formula>
    </cfRule>
    <cfRule type="cellIs" dxfId="2159" priority="267" stopIfTrue="1" operator="equal">
      <formula>#REF!</formula>
    </cfRule>
    <cfRule type="cellIs" dxfId="2158" priority="268" stopIfTrue="1" operator="equal">
      <formula>#REF!</formula>
    </cfRule>
    <cfRule type="cellIs" dxfId="2157" priority="269" stopIfTrue="1" operator="equal">
      <formula>"داخلية"</formula>
    </cfRule>
  </conditionalFormatting>
  <conditionalFormatting sqref="D14">
    <cfRule type="cellIs" dxfId="2156" priority="257" stopIfTrue="1" operator="greaterThan">
      <formula>"9.999"</formula>
    </cfRule>
  </conditionalFormatting>
  <conditionalFormatting sqref="D14">
    <cfRule type="expression" dxfId="2155" priority="256" stopIfTrue="1">
      <formula>#REF!=""</formula>
    </cfRule>
  </conditionalFormatting>
  <conditionalFormatting sqref="D14">
    <cfRule type="containsText" dxfId="2154" priority="244" stopIfTrue="1" operator="containsText" text="خارجية">
      <formula>NOT(ISERROR(SEARCH("خارجية",D14)))</formula>
    </cfRule>
    <cfRule type="containsText" dxfId="2153" priority="245" stopIfTrue="1" operator="containsText" text="ن داخلية">
      <formula>NOT(ISERROR(SEARCH("ن داخلية",D14)))</formula>
    </cfRule>
    <cfRule type="containsText" dxfId="2152" priority="246" stopIfTrue="1" operator="containsText" text="داخلية">
      <formula>NOT(ISERROR(SEARCH("داخلية",D14)))</formula>
    </cfRule>
    <cfRule type="containsText" dxfId="2151" priority="247" stopIfTrue="1" operator="containsText" text="ن داخلية">
      <formula>NOT(ISERROR(SEARCH("ن داخلية",D14)))</formula>
    </cfRule>
    <cfRule type="containsText" dxfId="2150" priority="248" stopIfTrue="1" operator="containsText" text="داخلية">
      <formula>NOT(ISERROR(SEARCH("داخلية",D14)))</formula>
    </cfRule>
    <cfRule type="cellIs" dxfId="2149" priority="249" stopIfTrue="1" operator="equal">
      <formula>"ن داخلي"</formula>
    </cfRule>
    <cfRule type="cellIs" dxfId="2148" priority="250" stopIfTrue="1" operator="equal">
      <formula>"ن داخلية"</formula>
    </cfRule>
    <cfRule type="cellIs" dxfId="2147" priority="251" stopIfTrue="1" operator="equal">
      <formula>#REF!</formula>
    </cfRule>
    <cfRule type="cellIs" dxfId="2146" priority="252" stopIfTrue="1" operator="equal">
      <formula>#REF!</formula>
    </cfRule>
    <cfRule type="cellIs" dxfId="2145" priority="253" stopIfTrue="1" operator="equal">
      <formula>#REF!</formula>
    </cfRule>
    <cfRule type="cellIs" dxfId="2144" priority="254" stopIfTrue="1" operator="equal">
      <formula>#REF!</formula>
    </cfRule>
    <cfRule type="cellIs" dxfId="2143" priority="255" stopIfTrue="1" operator="equal">
      <formula>"داخلية"</formula>
    </cfRule>
  </conditionalFormatting>
  <conditionalFormatting sqref="D14">
    <cfRule type="cellIs" dxfId="2142" priority="243" stopIfTrue="1" operator="greaterThan">
      <formula>"9.999"</formula>
    </cfRule>
  </conditionalFormatting>
  <conditionalFormatting sqref="D14">
    <cfRule type="expression" dxfId="2141" priority="242" stopIfTrue="1">
      <formula>#REF!=""</formula>
    </cfRule>
  </conditionalFormatting>
  <conditionalFormatting sqref="D14">
    <cfRule type="containsText" dxfId="2140" priority="230" stopIfTrue="1" operator="containsText" text="خارجية">
      <formula>NOT(ISERROR(SEARCH("خارجية",D14)))</formula>
    </cfRule>
    <cfRule type="containsText" dxfId="2139" priority="231" stopIfTrue="1" operator="containsText" text="ن داخلية">
      <formula>NOT(ISERROR(SEARCH("ن داخلية",D14)))</formula>
    </cfRule>
    <cfRule type="containsText" dxfId="2138" priority="232" stopIfTrue="1" operator="containsText" text="داخلية">
      <formula>NOT(ISERROR(SEARCH("داخلية",D14)))</formula>
    </cfRule>
    <cfRule type="containsText" dxfId="2137" priority="233" stopIfTrue="1" operator="containsText" text="ن داخلية">
      <formula>NOT(ISERROR(SEARCH("ن داخلية",D14)))</formula>
    </cfRule>
    <cfRule type="containsText" dxfId="2136" priority="234" stopIfTrue="1" operator="containsText" text="داخلية">
      <formula>NOT(ISERROR(SEARCH("داخلية",D14)))</formula>
    </cfRule>
    <cfRule type="cellIs" dxfId="2135" priority="235" stopIfTrue="1" operator="equal">
      <formula>"ن داخلي"</formula>
    </cfRule>
    <cfRule type="cellIs" dxfId="2134" priority="236" stopIfTrue="1" operator="equal">
      <formula>"ن داخلية"</formula>
    </cfRule>
    <cfRule type="cellIs" dxfId="2133" priority="237" stopIfTrue="1" operator="equal">
      <formula>#REF!</formula>
    </cfRule>
    <cfRule type="cellIs" dxfId="2132" priority="238" stopIfTrue="1" operator="equal">
      <formula>#REF!</formula>
    </cfRule>
    <cfRule type="cellIs" dxfId="2131" priority="239" stopIfTrue="1" operator="equal">
      <formula>#REF!</formula>
    </cfRule>
    <cfRule type="cellIs" dxfId="2130" priority="240" stopIfTrue="1" operator="equal">
      <formula>#REF!</formula>
    </cfRule>
    <cfRule type="cellIs" dxfId="2129" priority="241" stopIfTrue="1" operator="equal">
      <formula>"داخلية"</formula>
    </cfRule>
  </conditionalFormatting>
  <conditionalFormatting sqref="D14">
    <cfRule type="cellIs" dxfId="2128" priority="229" stopIfTrue="1" operator="greaterThan">
      <formula>"9.999"</formula>
    </cfRule>
  </conditionalFormatting>
  <conditionalFormatting sqref="D14">
    <cfRule type="expression" dxfId="2127" priority="228" stopIfTrue="1">
      <formula>#REF!=""</formula>
    </cfRule>
  </conditionalFormatting>
  <conditionalFormatting sqref="D14">
    <cfRule type="cellIs" dxfId="2126" priority="227" stopIfTrue="1" operator="greaterThan">
      <formula>"9.999"</formula>
    </cfRule>
  </conditionalFormatting>
  <conditionalFormatting sqref="D14">
    <cfRule type="containsText" dxfId="2125" priority="215" stopIfTrue="1" operator="containsText" text="خارجية">
      <formula>NOT(ISERROR(SEARCH("خارجية",D14)))</formula>
    </cfRule>
    <cfRule type="containsText" dxfId="2124" priority="216" stopIfTrue="1" operator="containsText" text="ن داخلية">
      <formula>NOT(ISERROR(SEARCH("ن داخلية",D14)))</formula>
    </cfRule>
    <cfRule type="containsText" dxfId="2123" priority="217" stopIfTrue="1" operator="containsText" text="داخلية">
      <formula>NOT(ISERROR(SEARCH("داخلية",D14)))</formula>
    </cfRule>
    <cfRule type="containsText" dxfId="2122" priority="218" stopIfTrue="1" operator="containsText" text="ن داخلية">
      <formula>NOT(ISERROR(SEARCH("ن داخلية",D14)))</formula>
    </cfRule>
    <cfRule type="containsText" dxfId="2121" priority="219" stopIfTrue="1" operator="containsText" text="داخلية">
      <formula>NOT(ISERROR(SEARCH("داخلية",D14)))</formula>
    </cfRule>
    <cfRule type="cellIs" dxfId="2120" priority="220" stopIfTrue="1" operator="equal">
      <formula>"ن داخلي"</formula>
    </cfRule>
    <cfRule type="cellIs" dxfId="2119" priority="221" stopIfTrue="1" operator="equal">
      <formula>"ن داخلية"</formula>
    </cfRule>
    <cfRule type="cellIs" dxfId="2118" priority="222" stopIfTrue="1" operator="equal">
      <formula>#REF!</formula>
    </cfRule>
    <cfRule type="cellIs" dxfId="2117" priority="223" stopIfTrue="1" operator="equal">
      <formula>#REF!</formula>
    </cfRule>
    <cfRule type="cellIs" dxfId="2116" priority="224" stopIfTrue="1" operator="equal">
      <formula>#REF!</formula>
    </cfRule>
    <cfRule type="cellIs" dxfId="2115" priority="225" stopIfTrue="1" operator="equal">
      <formula>#REF!</formula>
    </cfRule>
    <cfRule type="cellIs" dxfId="2114" priority="226" stopIfTrue="1" operator="equal">
      <formula>"داخلية"</formula>
    </cfRule>
  </conditionalFormatting>
  <conditionalFormatting sqref="D14">
    <cfRule type="expression" dxfId="2113" priority="214" stopIfTrue="1">
      <formula>#REF!=""</formula>
    </cfRule>
  </conditionalFormatting>
  <conditionalFormatting sqref="D14">
    <cfRule type="containsText" dxfId="2112" priority="202" stopIfTrue="1" operator="containsText" text="خارجية">
      <formula>NOT(ISERROR(SEARCH("خارجية",D14)))</formula>
    </cfRule>
    <cfRule type="containsText" dxfId="2111" priority="203" stopIfTrue="1" operator="containsText" text="ن داخلية">
      <formula>NOT(ISERROR(SEARCH("ن داخلية",D14)))</formula>
    </cfRule>
    <cfRule type="containsText" dxfId="2110" priority="204" stopIfTrue="1" operator="containsText" text="داخلية">
      <formula>NOT(ISERROR(SEARCH("داخلية",D14)))</formula>
    </cfRule>
    <cfRule type="containsText" dxfId="2109" priority="205" stopIfTrue="1" operator="containsText" text="ن داخلية">
      <formula>NOT(ISERROR(SEARCH("ن داخلية",D14)))</formula>
    </cfRule>
    <cfRule type="containsText" dxfId="2108" priority="206" stopIfTrue="1" operator="containsText" text="داخلية">
      <formula>NOT(ISERROR(SEARCH("داخلية",D14)))</formula>
    </cfRule>
    <cfRule type="cellIs" dxfId="2107" priority="207" stopIfTrue="1" operator="equal">
      <formula>"ن داخلي"</formula>
    </cfRule>
    <cfRule type="cellIs" dxfId="2106" priority="208" stopIfTrue="1" operator="equal">
      <formula>"ن داخلية"</formula>
    </cfRule>
    <cfRule type="cellIs" dxfId="2105" priority="209" stopIfTrue="1" operator="equal">
      <formula>#REF!</formula>
    </cfRule>
    <cfRule type="cellIs" dxfId="2104" priority="210" stopIfTrue="1" operator="equal">
      <formula>#REF!</formula>
    </cfRule>
    <cfRule type="cellIs" dxfId="2103" priority="211" stopIfTrue="1" operator="equal">
      <formula>#REF!</formula>
    </cfRule>
    <cfRule type="cellIs" dxfId="2102" priority="212" stopIfTrue="1" operator="equal">
      <formula>#REF!</formula>
    </cfRule>
    <cfRule type="cellIs" dxfId="2101" priority="213" stopIfTrue="1" operator="equal">
      <formula>"داخلية"</formula>
    </cfRule>
  </conditionalFormatting>
  <conditionalFormatting sqref="D14">
    <cfRule type="containsText" dxfId="2100" priority="200" stopIfTrue="1" operator="containsText" text="خارجية">
      <formula>NOT(ISERROR(SEARCH("خارجية",D14)))</formula>
    </cfRule>
    <cfRule type="containsText" dxfId="2099" priority="201" stopIfTrue="1" operator="containsText" text="خارجي">
      <formula>NOT(ISERROR(SEARCH("خارجي",D14)))</formula>
    </cfRule>
  </conditionalFormatting>
  <conditionalFormatting sqref="D14">
    <cfRule type="expression" dxfId="2098" priority="199" stopIfTrue="1">
      <formula>#REF!=""</formula>
    </cfRule>
  </conditionalFormatting>
  <conditionalFormatting sqref="D14">
    <cfRule type="expression" dxfId="2097" priority="198" stopIfTrue="1">
      <formula>#REF!=""</formula>
    </cfRule>
  </conditionalFormatting>
  <conditionalFormatting sqref="D14">
    <cfRule type="containsText" dxfId="2096" priority="186" stopIfTrue="1" operator="containsText" text="خارجية">
      <formula>NOT(ISERROR(SEARCH("خارجية",D14)))</formula>
    </cfRule>
    <cfRule type="containsText" dxfId="2095" priority="187" stopIfTrue="1" operator="containsText" text="ن داخلية">
      <formula>NOT(ISERROR(SEARCH("ن داخلية",D14)))</formula>
    </cfRule>
    <cfRule type="containsText" dxfId="2094" priority="188" stopIfTrue="1" operator="containsText" text="داخلية">
      <formula>NOT(ISERROR(SEARCH("داخلية",D14)))</formula>
    </cfRule>
    <cfRule type="containsText" dxfId="2093" priority="189" stopIfTrue="1" operator="containsText" text="ن داخلية">
      <formula>NOT(ISERROR(SEARCH("ن داخلية",D14)))</formula>
    </cfRule>
    <cfRule type="containsText" dxfId="2092" priority="190" stopIfTrue="1" operator="containsText" text="داخلية">
      <formula>NOT(ISERROR(SEARCH("داخلية",D14)))</formula>
    </cfRule>
    <cfRule type="cellIs" dxfId="2091" priority="191" stopIfTrue="1" operator="equal">
      <formula>"ن داخلي"</formula>
    </cfRule>
    <cfRule type="cellIs" dxfId="2090" priority="192" stopIfTrue="1" operator="equal">
      <formula>"ن داخلية"</formula>
    </cfRule>
    <cfRule type="cellIs" dxfId="2089" priority="193" stopIfTrue="1" operator="equal">
      <formula>#REF!</formula>
    </cfRule>
    <cfRule type="cellIs" dxfId="2088" priority="194" stopIfTrue="1" operator="equal">
      <formula>#REF!</formula>
    </cfRule>
    <cfRule type="cellIs" dxfId="2087" priority="195" stopIfTrue="1" operator="equal">
      <formula>#REF!</formula>
    </cfRule>
    <cfRule type="cellIs" dxfId="2086" priority="196" stopIfTrue="1" operator="equal">
      <formula>#REF!</formula>
    </cfRule>
    <cfRule type="cellIs" dxfId="2085" priority="197" stopIfTrue="1" operator="equal">
      <formula>"داخلية"</formula>
    </cfRule>
  </conditionalFormatting>
  <conditionalFormatting sqref="D14">
    <cfRule type="containsText" dxfId="2084" priority="184" stopIfTrue="1" operator="containsText" text="خارجية">
      <formula>NOT(ISERROR(SEARCH("خارجية",D14)))</formula>
    </cfRule>
    <cfRule type="containsText" dxfId="2083" priority="185" stopIfTrue="1" operator="containsText" text="خارجي">
      <formula>NOT(ISERROR(SEARCH("خارجي",D14)))</formula>
    </cfRule>
  </conditionalFormatting>
  <conditionalFormatting sqref="D14">
    <cfRule type="expression" dxfId="2082" priority="183" stopIfTrue="1">
      <formula>#REF!=""</formula>
    </cfRule>
  </conditionalFormatting>
  <conditionalFormatting sqref="D14">
    <cfRule type="containsText" dxfId="2081" priority="181" stopIfTrue="1" operator="containsText" text="خارجية">
      <formula>NOT(ISERROR(SEARCH("خارجية",D14)))</formula>
    </cfRule>
    <cfRule type="containsText" dxfId="2080" priority="182" stopIfTrue="1" operator="containsText" text="خارجي">
      <formula>NOT(ISERROR(SEARCH("خارجي",D14)))</formula>
    </cfRule>
  </conditionalFormatting>
  <conditionalFormatting sqref="D14">
    <cfRule type="containsText" dxfId="2079" priority="169" stopIfTrue="1" operator="containsText" text="خارجية">
      <formula>NOT(ISERROR(SEARCH("خارجية",D14)))</formula>
    </cfRule>
    <cfRule type="containsText" dxfId="2078" priority="170" stopIfTrue="1" operator="containsText" text="ن داخلية">
      <formula>NOT(ISERROR(SEARCH("ن داخلية",D14)))</formula>
    </cfRule>
    <cfRule type="containsText" dxfId="2077" priority="171" stopIfTrue="1" operator="containsText" text="داخلية">
      <formula>NOT(ISERROR(SEARCH("داخلية",D14)))</formula>
    </cfRule>
    <cfRule type="containsText" dxfId="2076" priority="172" stopIfTrue="1" operator="containsText" text="ن داخلية">
      <formula>NOT(ISERROR(SEARCH("ن داخلية",D14)))</formula>
    </cfRule>
    <cfRule type="containsText" dxfId="2075" priority="173" stopIfTrue="1" operator="containsText" text="داخلية">
      <formula>NOT(ISERROR(SEARCH("داخلية",D14)))</formula>
    </cfRule>
    <cfRule type="cellIs" dxfId="2074" priority="174" stopIfTrue="1" operator="equal">
      <formula>"ن داخلي"</formula>
    </cfRule>
    <cfRule type="cellIs" dxfId="2073" priority="175" stopIfTrue="1" operator="equal">
      <formula>"ن داخلية"</formula>
    </cfRule>
    <cfRule type="cellIs" dxfId="2072" priority="176" stopIfTrue="1" operator="equal">
      <formula>#REF!</formula>
    </cfRule>
    <cfRule type="cellIs" dxfId="2071" priority="177" stopIfTrue="1" operator="equal">
      <formula>#REF!</formula>
    </cfRule>
    <cfRule type="cellIs" dxfId="2070" priority="178" stopIfTrue="1" operator="equal">
      <formula>#REF!</formula>
    </cfRule>
    <cfRule type="cellIs" dxfId="2069" priority="179" stopIfTrue="1" operator="equal">
      <formula>#REF!</formula>
    </cfRule>
    <cfRule type="cellIs" dxfId="2068" priority="180" stopIfTrue="1" operator="equal">
      <formula>"داخلية"</formula>
    </cfRule>
  </conditionalFormatting>
  <conditionalFormatting sqref="D14">
    <cfRule type="containsText" dxfId="2067" priority="157" stopIfTrue="1" operator="containsText" text="خارجية">
      <formula>NOT(ISERROR(SEARCH("خارجية",D14)))</formula>
    </cfRule>
    <cfRule type="containsText" dxfId="2066" priority="158" stopIfTrue="1" operator="containsText" text="ن داخلية">
      <formula>NOT(ISERROR(SEARCH("ن داخلية",D14)))</formula>
    </cfRule>
    <cfRule type="containsText" dxfId="2065" priority="159" stopIfTrue="1" operator="containsText" text="داخلية">
      <formula>NOT(ISERROR(SEARCH("داخلية",D14)))</formula>
    </cfRule>
    <cfRule type="containsText" dxfId="2064" priority="160" stopIfTrue="1" operator="containsText" text="ن داخلية">
      <formula>NOT(ISERROR(SEARCH("ن داخلية",D14)))</formula>
    </cfRule>
    <cfRule type="containsText" dxfId="2063" priority="161" stopIfTrue="1" operator="containsText" text="داخلية">
      <formula>NOT(ISERROR(SEARCH("داخلية",D14)))</formula>
    </cfRule>
    <cfRule type="cellIs" dxfId="2062" priority="162" stopIfTrue="1" operator="equal">
      <formula>"ن داخلي"</formula>
    </cfRule>
    <cfRule type="cellIs" dxfId="2061" priority="163" stopIfTrue="1" operator="equal">
      <formula>"ن داخلية"</formula>
    </cfRule>
    <cfRule type="cellIs" dxfId="2060" priority="164" stopIfTrue="1" operator="equal">
      <formula>#REF!</formula>
    </cfRule>
    <cfRule type="cellIs" dxfId="2059" priority="165" stopIfTrue="1" operator="equal">
      <formula>#REF!</formula>
    </cfRule>
    <cfRule type="cellIs" dxfId="2058" priority="166" stopIfTrue="1" operator="equal">
      <formula>#REF!</formula>
    </cfRule>
    <cfRule type="cellIs" dxfId="2057" priority="167" stopIfTrue="1" operator="equal">
      <formula>#REF!</formula>
    </cfRule>
    <cfRule type="cellIs" dxfId="2056" priority="168" stopIfTrue="1" operator="equal">
      <formula>"داخلية"</formula>
    </cfRule>
  </conditionalFormatting>
  <conditionalFormatting sqref="D14">
    <cfRule type="containsText" dxfId="2055" priority="155" stopIfTrue="1" operator="containsText" text="خارجية">
      <formula>NOT(ISERROR(SEARCH("خارجية",D14)))</formula>
    </cfRule>
    <cfRule type="containsText" dxfId="2054" priority="156" stopIfTrue="1" operator="containsText" text="خارجي">
      <formula>NOT(ISERROR(SEARCH("خارجي",D14)))</formula>
    </cfRule>
  </conditionalFormatting>
  <conditionalFormatting sqref="D14">
    <cfRule type="containsText" dxfId="2053" priority="143" stopIfTrue="1" operator="containsText" text="خارجية">
      <formula>NOT(ISERROR(SEARCH("خارجية",D14)))</formula>
    </cfRule>
    <cfRule type="containsText" dxfId="2052" priority="144" stopIfTrue="1" operator="containsText" text="ن داخلية">
      <formula>NOT(ISERROR(SEARCH("ن داخلية",D14)))</formula>
    </cfRule>
    <cfRule type="containsText" dxfId="2051" priority="145" stopIfTrue="1" operator="containsText" text="داخلية">
      <formula>NOT(ISERROR(SEARCH("داخلية",D14)))</formula>
    </cfRule>
    <cfRule type="containsText" dxfId="2050" priority="146" stopIfTrue="1" operator="containsText" text="ن داخلية">
      <formula>NOT(ISERROR(SEARCH("ن داخلية",D14)))</formula>
    </cfRule>
    <cfRule type="containsText" dxfId="2049" priority="147" stopIfTrue="1" operator="containsText" text="داخلية">
      <formula>NOT(ISERROR(SEARCH("داخلية",D14)))</formula>
    </cfRule>
    <cfRule type="cellIs" dxfId="2048" priority="148" stopIfTrue="1" operator="equal">
      <formula>"ن داخلي"</formula>
    </cfRule>
    <cfRule type="cellIs" dxfId="2047" priority="149" stopIfTrue="1" operator="equal">
      <formula>"ن داخلية"</formula>
    </cfRule>
    <cfRule type="cellIs" dxfId="2046" priority="150" stopIfTrue="1" operator="equal">
      <formula>#REF!</formula>
    </cfRule>
    <cfRule type="cellIs" dxfId="2045" priority="151" stopIfTrue="1" operator="equal">
      <formula>#REF!</formula>
    </cfRule>
    <cfRule type="cellIs" dxfId="2044" priority="152" stopIfTrue="1" operator="equal">
      <formula>#REF!</formula>
    </cfRule>
    <cfRule type="cellIs" dxfId="2043" priority="153" stopIfTrue="1" operator="equal">
      <formula>#REF!</formula>
    </cfRule>
    <cfRule type="cellIs" dxfId="2042" priority="154" stopIfTrue="1" operator="equal">
      <formula>"داخلية"</formula>
    </cfRule>
  </conditionalFormatting>
  <conditionalFormatting sqref="D14">
    <cfRule type="containsText" dxfId="2041" priority="141" stopIfTrue="1" operator="containsText" text="خارجية">
      <formula>NOT(ISERROR(SEARCH("خارجية",D14)))</formula>
    </cfRule>
    <cfRule type="containsText" dxfId="2040" priority="142" stopIfTrue="1" operator="containsText" text="خارجي">
      <formula>NOT(ISERROR(SEARCH("خارجي",D14)))</formula>
    </cfRule>
  </conditionalFormatting>
  <conditionalFormatting sqref="D14">
    <cfRule type="expression" dxfId="2039" priority="140" stopIfTrue="1">
      <formula>#REF!=""</formula>
    </cfRule>
  </conditionalFormatting>
  <conditionalFormatting sqref="D14">
    <cfRule type="expression" dxfId="2038" priority="139" stopIfTrue="1">
      <formula>#REF!=""</formula>
    </cfRule>
  </conditionalFormatting>
  <conditionalFormatting sqref="D14">
    <cfRule type="containsText" dxfId="2037" priority="137" stopIfTrue="1" operator="containsText" text="خارجية">
      <formula>NOT(ISERROR(SEARCH("خارجية",D14)))</formula>
    </cfRule>
    <cfRule type="containsText" dxfId="2036" priority="138" stopIfTrue="1" operator="containsText" text="خارجي">
      <formula>NOT(ISERROR(SEARCH("خارجي",D14)))</formula>
    </cfRule>
  </conditionalFormatting>
  <conditionalFormatting sqref="D14">
    <cfRule type="containsText" dxfId="2035" priority="125" stopIfTrue="1" operator="containsText" text="خارجية">
      <formula>NOT(ISERROR(SEARCH("خارجية",D14)))</formula>
    </cfRule>
    <cfRule type="containsText" dxfId="2034" priority="126" stopIfTrue="1" operator="containsText" text="ن داخلية">
      <formula>NOT(ISERROR(SEARCH("ن داخلية",D14)))</formula>
    </cfRule>
    <cfRule type="containsText" dxfId="2033" priority="127" stopIfTrue="1" operator="containsText" text="داخلية">
      <formula>NOT(ISERROR(SEARCH("داخلية",D14)))</formula>
    </cfRule>
    <cfRule type="containsText" dxfId="2032" priority="128" stopIfTrue="1" operator="containsText" text="ن داخلية">
      <formula>NOT(ISERROR(SEARCH("ن داخلية",D14)))</formula>
    </cfRule>
    <cfRule type="containsText" dxfId="2031" priority="129" stopIfTrue="1" operator="containsText" text="داخلية">
      <formula>NOT(ISERROR(SEARCH("داخلية",D14)))</formula>
    </cfRule>
    <cfRule type="cellIs" dxfId="2030" priority="130" stopIfTrue="1" operator="equal">
      <formula>"ن داخلي"</formula>
    </cfRule>
    <cfRule type="cellIs" dxfId="2029" priority="131" stopIfTrue="1" operator="equal">
      <formula>"ن داخلية"</formula>
    </cfRule>
    <cfRule type="cellIs" dxfId="2028" priority="132" stopIfTrue="1" operator="equal">
      <formula>#REF!</formula>
    </cfRule>
    <cfRule type="cellIs" dxfId="2027" priority="133" stopIfTrue="1" operator="equal">
      <formula>#REF!</formula>
    </cfRule>
    <cfRule type="cellIs" dxfId="2026" priority="134" stopIfTrue="1" operator="equal">
      <formula>#REF!</formula>
    </cfRule>
    <cfRule type="cellIs" dxfId="2025" priority="135" stopIfTrue="1" operator="equal">
      <formula>#REF!</formula>
    </cfRule>
    <cfRule type="cellIs" dxfId="2024" priority="136" stopIfTrue="1" operator="equal">
      <formula>"داخلية"</formula>
    </cfRule>
  </conditionalFormatting>
  <conditionalFormatting sqref="D14">
    <cfRule type="containsText" dxfId="2023" priority="113" stopIfTrue="1" operator="containsText" text="خارجية">
      <formula>NOT(ISERROR(SEARCH("خارجية",D14)))</formula>
    </cfRule>
    <cfRule type="containsText" dxfId="2022" priority="114" stopIfTrue="1" operator="containsText" text="ن داخلية">
      <formula>NOT(ISERROR(SEARCH("ن داخلية",D14)))</formula>
    </cfRule>
    <cfRule type="containsText" dxfId="2021" priority="115" stopIfTrue="1" operator="containsText" text="داخلية">
      <formula>NOT(ISERROR(SEARCH("داخلية",D14)))</formula>
    </cfRule>
    <cfRule type="containsText" dxfId="2020" priority="116" stopIfTrue="1" operator="containsText" text="ن داخلية">
      <formula>NOT(ISERROR(SEARCH("ن داخلية",D14)))</formula>
    </cfRule>
    <cfRule type="containsText" dxfId="2019" priority="117" stopIfTrue="1" operator="containsText" text="داخلية">
      <formula>NOT(ISERROR(SEARCH("داخلية",D14)))</formula>
    </cfRule>
    <cfRule type="cellIs" dxfId="2018" priority="118" stopIfTrue="1" operator="equal">
      <formula>"ن داخلي"</formula>
    </cfRule>
    <cfRule type="cellIs" dxfId="2017" priority="119" stopIfTrue="1" operator="equal">
      <formula>"ن داخلية"</formula>
    </cfRule>
    <cfRule type="cellIs" dxfId="2016" priority="120" stopIfTrue="1" operator="equal">
      <formula>#REF!</formula>
    </cfRule>
    <cfRule type="cellIs" dxfId="2015" priority="121" stopIfTrue="1" operator="equal">
      <formula>#REF!</formula>
    </cfRule>
    <cfRule type="cellIs" dxfId="2014" priority="122" stopIfTrue="1" operator="equal">
      <formula>#REF!</formula>
    </cfRule>
    <cfRule type="cellIs" dxfId="2013" priority="123" stopIfTrue="1" operator="equal">
      <formula>#REF!</formula>
    </cfRule>
    <cfRule type="cellIs" dxfId="2012" priority="124" stopIfTrue="1" operator="equal">
      <formula>"داخلية"</formula>
    </cfRule>
  </conditionalFormatting>
  <conditionalFormatting sqref="D14">
    <cfRule type="containsText" dxfId="2011" priority="111" stopIfTrue="1" operator="containsText" text="خارجية">
      <formula>NOT(ISERROR(SEARCH("خارجية",D14)))</formula>
    </cfRule>
    <cfRule type="containsText" dxfId="2010" priority="112" stopIfTrue="1" operator="containsText" text="خارجي">
      <formula>NOT(ISERROR(SEARCH("خارجي",D14)))</formula>
    </cfRule>
  </conditionalFormatting>
  <conditionalFormatting sqref="D14">
    <cfRule type="containsText" dxfId="2009" priority="109" stopIfTrue="1" operator="containsText" text="خارجية">
      <formula>NOT(ISERROR(SEARCH("خارجية",D14)))</formula>
    </cfRule>
    <cfRule type="containsText" dxfId="2008" priority="110" stopIfTrue="1" operator="containsText" text="خارجي">
      <formula>NOT(ISERROR(SEARCH("خارجي",D14)))</formula>
    </cfRule>
  </conditionalFormatting>
  <conditionalFormatting sqref="D14">
    <cfRule type="containsText" dxfId="2007" priority="97" stopIfTrue="1" operator="containsText" text="خارجية">
      <formula>NOT(ISERROR(SEARCH("خارجية",D14)))</formula>
    </cfRule>
    <cfRule type="containsText" dxfId="2006" priority="98" stopIfTrue="1" operator="containsText" text="ن داخلية">
      <formula>NOT(ISERROR(SEARCH("ن داخلية",D14)))</formula>
    </cfRule>
    <cfRule type="containsText" dxfId="2005" priority="99" stopIfTrue="1" operator="containsText" text="داخلية">
      <formula>NOT(ISERROR(SEARCH("داخلية",D14)))</formula>
    </cfRule>
    <cfRule type="containsText" dxfId="2004" priority="100" stopIfTrue="1" operator="containsText" text="ن داخلية">
      <formula>NOT(ISERROR(SEARCH("ن داخلية",D14)))</formula>
    </cfRule>
    <cfRule type="containsText" dxfId="2003" priority="101" stopIfTrue="1" operator="containsText" text="داخلية">
      <formula>NOT(ISERROR(SEARCH("داخلية",D14)))</formula>
    </cfRule>
    <cfRule type="cellIs" dxfId="2002" priority="102" stopIfTrue="1" operator="equal">
      <formula>"ن داخلي"</formula>
    </cfRule>
    <cfRule type="cellIs" dxfId="2001" priority="103" stopIfTrue="1" operator="equal">
      <formula>"ن داخلية"</formula>
    </cfRule>
    <cfRule type="cellIs" dxfId="2000" priority="104" stopIfTrue="1" operator="equal">
      <formula>#REF!</formula>
    </cfRule>
    <cfRule type="cellIs" dxfId="1999" priority="105" stopIfTrue="1" operator="equal">
      <formula>#REF!</formula>
    </cfRule>
    <cfRule type="cellIs" dxfId="1998" priority="106" stopIfTrue="1" operator="equal">
      <formula>#REF!</formula>
    </cfRule>
    <cfRule type="cellIs" dxfId="1997" priority="107" stopIfTrue="1" operator="equal">
      <formula>#REF!</formula>
    </cfRule>
    <cfRule type="cellIs" dxfId="1996" priority="108" stopIfTrue="1" operator="equal">
      <formula>"داخلية"</formula>
    </cfRule>
  </conditionalFormatting>
  <conditionalFormatting sqref="D14">
    <cfRule type="expression" dxfId="1995" priority="96" stopIfTrue="1">
      <formula>#REF!=""</formula>
    </cfRule>
  </conditionalFormatting>
  <conditionalFormatting sqref="D14">
    <cfRule type="containsText" dxfId="1994" priority="84" stopIfTrue="1" operator="containsText" text="خارجية">
      <formula>NOT(ISERROR(SEARCH("خارجية",D14)))</formula>
    </cfRule>
    <cfRule type="containsText" dxfId="1993" priority="85" stopIfTrue="1" operator="containsText" text="ن داخلية">
      <formula>NOT(ISERROR(SEARCH("ن داخلية",D14)))</formula>
    </cfRule>
    <cfRule type="containsText" dxfId="1992" priority="86" stopIfTrue="1" operator="containsText" text="داخلية">
      <formula>NOT(ISERROR(SEARCH("داخلية",D14)))</formula>
    </cfRule>
    <cfRule type="containsText" dxfId="1991" priority="87" stopIfTrue="1" operator="containsText" text="ن داخلية">
      <formula>NOT(ISERROR(SEARCH("ن داخلية",D14)))</formula>
    </cfRule>
    <cfRule type="containsText" dxfId="1990" priority="88" stopIfTrue="1" operator="containsText" text="داخلية">
      <formula>NOT(ISERROR(SEARCH("داخلية",D14)))</formula>
    </cfRule>
    <cfRule type="cellIs" dxfId="1989" priority="89" stopIfTrue="1" operator="equal">
      <formula>"ن داخلي"</formula>
    </cfRule>
    <cfRule type="cellIs" dxfId="1988" priority="90" stopIfTrue="1" operator="equal">
      <formula>"ن داخلية"</formula>
    </cfRule>
    <cfRule type="cellIs" dxfId="1987" priority="91" stopIfTrue="1" operator="equal">
      <formula>#REF!</formula>
    </cfRule>
    <cfRule type="cellIs" dxfId="1986" priority="92" stopIfTrue="1" operator="equal">
      <formula>#REF!</formula>
    </cfRule>
    <cfRule type="cellIs" dxfId="1985" priority="93" stopIfTrue="1" operator="equal">
      <formula>#REF!</formula>
    </cfRule>
    <cfRule type="cellIs" dxfId="1984" priority="94" stopIfTrue="1" operator="equal">
      <formula>#REF!</formula>
    </cfRule>
    <cfRule type="cellIs" dxfId="1983" priority="95" stopIfTrue="1" operator="equal">
      <formula>"داخلية"</formula>
    </cfRule>
  </conditionalFormatting>
  <conditionalFormatting sqref="D14">
    <cfRule type="containsText" dxfId="1982" priority="82" stopIfTrue="1" operator="containsText" text="خارجية">
      <formula>NOT(ISERROR(SEARCH("خارجية",D14)))</formula>
    </cfRule>
    <cfRule type="containsText" dxfId="1981" priority="83" stopIfTrue="1" operator="containsText" text="خارجي">
      <formula>NOT(ISERROR(SEARCH("خارجي",D14)))</formula>
    </cfRule>
  </conditionalFormatting>
  <conditionalFormatting sqref="D14">
    <cfRule type="expression" dxfId="1980" priority="81" stopIfTrue="1">
      <formula>#REF!=""</formula>
    </cfRule>
  </conditionalFormatting>
  <conditionalFormatting sqref="D14">
    <cfRule type="containsText" dxfId="1979" priority="79" stopIfTrue="1" operator="containsText" text="خارجية">
      <formula>NOT(ISERROR(SEARCH("خارجية",D14)))</formula>
    </cfRule>
    <cfRule type="containsText" dxfId="1978" priority="80" stopIfTrue="1" operator="containsText" text="خارجي">
      <formula>NOT(ISERROR(SEARCH("خارجي",D14)))</formula>
    </cfRule>
  </conditionalFormatting>
  <conditionalFormatting sqref="D14">
    <cfRule type="containsText" dxfId="1977" priority="67" stopIfTrue="1" operator="containsText" text="خارجية">
      <formula>NOT(ISERROR(SEARCH("خارجية",D14)))</formula>
    </cfRule>
    <cfRule type="containsText" dxfId="1976" priority="68" stopIfTrue="1" operator="containsText" text="ن داخلية">
      <formula>NOT(ISERROR(SEARCH("ن داخلية",D14)))</formula>
    </cfRule>
    <cfRule type="containsText" dxfId="1975" priority="69" stopIfTrue="1" operator="containsText" text="داخلية">
      <formula>NOT(ISERROR(SEARCH("داخلية",D14)))</formula>
    </cfRule>
    <cfRule type="containsText" dxfId="1974" priority="70" stopIfTrue="1" operator="containsText" text="ن داخلية">
      <formula>NOT(ISERROR(SEARCH("ن داخلية",D14)))</formula>
    </cfRule>
    <cfRule type="containsText" dxfId="1973" priority="71" stopIfTrue="1" operator="containsText" text="داخلية">
      <formula>NOT(ISERROR(SEARCH("داخلية",D14)))</formula>
    </cfRule>
    <cfRule type="cellIs" dxfId="1972" priority="72" stopIfTrue="1" operator="equal">
      <formula>"ن داخلي"</formula>
    </cfRule>
    <cfRule type="cellIs" dxfId="1971" priority="73" stopIfTrue="1" operator="equal">
      <formula>"ن داخلية"</formula>
    </cfRule>
    <cfRule type="cellIs" dxfId="1970" priority="74" stopIfTrue="1" operator="equal">
      <formula>#REF!</formula>
    </cfRule>
    <cfRule type="cellIs" dxfId="1969" priority="75" stopIfTrue="1" operator="equal">
      <formula>#REF!</formula>
    </cfRule>
    <cfRule type="cellIs" dxfId="1968" priority="76" stopIfTrue="1" operator="equal">
      <formula>#REF!</formula>
    </cfRule>
    <cfRule type="cellIs" dxfId="1967" priority="77" stopIfTrue="1" operator="equal">
      <formula>#REF!</formula>
    </cfRule>
    <cfRule type="cellIs" dxfId="1966" priority="78" stopIfTrue="1" operator="equal">
      <formula>"داخلية"</formula>
    </cfRule>
  </conditionalFormatting>
  <conditionalFormatting sqref="D14">
    <cfRule type="expression" dxfId="1965" priority="66" stopIfTrue="1">
      <formula>#REF!=""</formula>
    </cfRule>
  </conditionalFormatting>
  <conditionalFormatting sqref="D14">
    <cfRule type="containsText" dxfId="1964" priority="64" stopIfTrue="1" operator="containsText" text="خارجية">
      <formula>NOT(ISERROR(SEARCH("خارجية",D14)))</formula>
    </cfRule>
    <cfRule type="containsText" dxfId="1963" priority="65" stopIfTrue="1" operator="containsText" text="خارجي">
      <formula>NOT(ISERROR(SEARCH("خارجي",D14)))</formula>
    </cfRule>
  </conditionalFormatting>
  <conditionalFormatting sqref="D14">
    <cfRule type="containsText" dxfId="1962" priority="52" stopIfTrue="1" operator="containsText" text="خارجية">
      <formula>NOT(ISERROR(SEARCH("خارجية",D14)))</formula>
    </cfRule>
    <cfRule type="containsText" dxfId="1961" priority="53" stopIfTrue="1" operator="containsText" text="ن داخلية">
      <formula>NOT(ISERROR(SEARCH("ن داخلية",D14)))</formula>
    </cfRule>
    <cfRule type="containsText" dxfId="1960" priority="54" stopIfTrue="1" operator="containsText" text="داخلية">
      <formula>NOT(ISERROR(SEARCH("داخلية",D14)))</formula>
    </cfRule>
    <cfRule type="containsText" dxfId="1959" priority="55" stopIfTrue="1" operator="containsText" text="ن داخلية">
      <formula>NOT(ISERROR(SEARCH("ن داخلية",D14)))</formula>
    </cfRule>
    <cfRule type="containsText" dxfId="1958" priority="56" stopIfTrue="1" operator="containsText" text="داخلية">
      <formula>NOT(ISERROR(SEARCH("داخلية",D14)))</formula>
    </cfRule>
    <cfRule type="cellIs" dxfId="1957" priority="57" stopIfTrue="1" operator="equal">
      <formula>"ن داخلي"</formula>
    </cfRule>
    <cfRule type="cellIs" dxfId="1956" priority="58" stopIfTrue="1" operator="equal">
      <formula>"ن داخلية"</formula>
    </cfRule>
    <cfRule type="cellIs" dxfId="1955" priority="59" stopIfTrue="1" operator="equal">
      <formula>#REF!</formula>
    </cfRule>
    <cfRule type="cellIs" dxfId="1954" priority="60" stopIfTrue="1" operator="equal">
      <formula>#REF!</formula>
    </cfRule>
    <cfRule type="cellIs" dxfId="1953" priority="61" stopIfTrue="1" operator="equal">
      <formula>#REF!</formula>
    </cfRule>
    <cfRule type="cellIs" dxfId="1952" priority="62" stopIfTrue="1" operator="equal">
      <formula>#REF!</formula>
    </cfRule>
    <cfRule type="cellIs" dxfId="1951" priority="63" stopIfTrue="1" operator="equal">
      <formula>"داخلية"</formula>
    </cfRule>
  </conditionalFormatting>
  <conditionalFormatting sqref="D14">
    <cfRule type="expression" dxfId="1950" priority="51" stopIfTrue="1">
      <formula>#REF!=""</formula>
    </cfRule>
  </conditionalFormatting>
  <conditionalFormatting sqref="D14">
    <cfRule type="containsText" dxfId="1949" priority="39" stopIfTrue="1" operator="containsText" text="خارجية">
      <formula>NOT(ISERROR(SEARCH("خارجية",D14)))</formula>
    </cfRule>
    <cfRule type="containsText" dxfId="1948" priority="40" stopIfTrue="1" operator="containsText" text="ن داخلية">
      <formula>NOT(ISERROR(SEARCH("ن داخلية",D14)))</formula>
    </cfRule>
    <cfRule type="containsText" dxfId="1947" priority="41" stopIfTrue="1" operator="containsText" text="داخلية">
      <formula>NOT(ISERROR(SEARCH("داخلية",D14)))</formula>
    </cfRule>
    <cfRule type="containsText" dxfId="1946" priority="42" stopIfTrue="1" operator="containsText" text="ن داخلية">
      <formula>NOT(ISERROR(SEARCH("ن داخلية",D14)))</formula>
    </cfRule>
    <cfRule type="containsText" dxfId="1945" priority="43" stopIfTrue="1" operator="containsText" text="داخلية">
      <formula>NOT(ISERROR(SEARCH("داخلية",D14)))</formula>
    </cfRule>
    <cfRule type="cellIs" dxfId="1944" priority="44" stopIfTrue="1" operator="equal">
      <formula>"ن داخلي"</formula>
    </cfRule>
    <cfRule type="cellIs" dxfId="1943" priority="45" stopIfTrue="1" operator="equal">
      <formula>"ن داخلية"</formula>
    </cfRule>
    <cfRule type="cellIs" dxfId="1942" priority="46" stopIfTrue="1" operator="equal">
      <formula>#REF!</formula>
    </cfRule>
    <cfRule type="cellIs" dxfId="1941" priority="47" stopIfTrue="1" operator="equal">
      <formula>#REF!</formula>
    </cfRule>
    <cfRule type="cellIs" dxfId="1940" priority="48" stopIfTrue="1" operator="equal">
      <formula>#REF!</formula>
    </cfRule>
    <cfRule type="cellIs" dxfId="1939" priority="49" stopIfTrue="1" operator="equal">
      <formula>#REF!</formula>
    </cfRule>
    <cfRule type="cellIs" dxfId="1938" priority="50" stopIfTrue="1" operator="equal">
      <formula>"داخلية"</formula>
    </cfRule>
  </conditionalFormatting>
  <conditionalFormatting sqref="D14">
    <cfRule type="containsText" dxfId="1937" priority="37" stopIfTrue="1" operator="containsText" text="خارجية">
      <formula>NOT(ISERROR(SEARCH("خارجية",D14)))</formula>
    </cfRule>
    <cfRule type="containsText" dxfId="1936" priority="38" stopIfTrue="1" operator="containsText" text="خارجي">
      <formula>NOT(ISERROR(SEARCH("خارجي",D14)))</formula>
    </cfRule>
  </conditionalFormatting>
  <conditionalFormatting sqref="D14">
    <cfRule type="expression" dxfId="1935" priority="36" stopIfTrue="1">
      <formula>#REF!=""</formula>
    </cfRule>
  </conditionalFormatting>
  <conditionalFormatting sqref="D14">
    <cfRule type="expression" dxfId="1934" priority="35" stopIfTrue="1">
      <formula>#REF!=""</formula>
    </cfRule>
  </conditionalFormatting>
  <conditionalFormatting sqref="D14">
    <cfRule type="expression" dxfId="1933" priority="34" stopIfTrue="1">
      <formula>#REF!=""</formula>
    </cfRule>
  </conditionalFormatting>
  <conditionalFormatting sqref="D14">
    <cfRule type="containsText" dxfId="1932" priority="22" stopIfTrue="1" operator="containsText" text="خارجية">
      <formula>NOT(ISERROR(SEARCH("خارجية",D14)))</formula>
    </cfRule>
    <cfRule type="containsText" dxfId="1931" priority="23" stopIfTrue="1" operator="containsText" text="ن داخلية">
      <formula>NOT(ISERROR(SEARCH("ن داخلية",D14)))</formula>
    </cfRule>
    <cfRule type="containsText" dxfId="1930" priority="24" stopIfTrue="1" operator="containsText" text="داخلية">
      <formula>NOT(ISERROR(SEARCH("داخلية",D14)))</formula>
    </cfRule>
    <cfRule type="containsText" dxfId="1929" priority="25" stopIfTrue="1" operator="containsText" text="ن داخلية">
      <formula>NOT(ISERROR(SEARCH("ن داخلية",D14)))</formula>
    </cfRule>
    <cfRule type="containsText" dxfId="1928" priority="26" stopIfTrue="1" operator="containsText" text="داخلية">
      <formula>NOT(ISERROR(SEARCH("داخلية",D14)))</formula>
    </cfRule>
    <cfRule type="cellIs" dxfId="1927" priority="27" stopIfTrue="1" operator="equal">
      <formula>"ن داخلي"</formula>
    </cfRule>
    <cfRule type="cellIs" dxfId="1926" priority="28" stopIfTrue="1" operator="equal">
      <formula>"ن داخلية"</formula>
    </cfRule>
    <cfRule type="cellIs" dxfId="1925" priority="29" stopIfTrue="1" operator="equal">
      <formula>#REF!</formula>
    </cfRule>
    <cfRule type="cellIs" dxfId="1924" priority="30" stopIfTrue="1" operator="equal">
      <formula>#REF!</formula>
    </cfRule>
    <cfRule type="cellIs" dxfId="1923" priority="31" stopIfTrue="1" operator="equal">
      <formula>#REF!</formula>
    </cfRule>
    <cfRule type="cellIs" dxfId="1922" priority="32" stopIfTrue="1" operator="equal">
      <formula>#REF!</formula>
    </cfRule>
    <cfRule type="cellIs" dxfId="1921" priority="33" stopIfTrue="1" operator="equal">
      <formula>"داخلية"</formula>
    </cfRule>
  </conditionalFormatting>
  <conditionalFormatting sqref="D14">
    <cfRule type="containsText" dxfId="1920" priority="20" stopIfTrue="1" operator="containsText" text="خارجية">
      <formula>NOT(ISERROR(SEARCH("خارجية",D14)))</formula>
    </cfRule>
    <cfRule type="containsText" dxfId="1919" priority="21" stopIfTrue="1" operator="containsText" text="خارجي">
      <formula>NOT(ISERROR(SEARCH("خارجي",D14)))</formula>
    </cfRule>
  </conditionalFormatting>
  <conditionalFormatting sqref="D14">
    <cfRule type="expression" dxfId="1918" priority="19" stopIfTrue="1">
      <formula>#REF!=""</formula>
    </cfRule>
  </conditionalFormatting>
  <conditionalFormatting sqref="D14">
    <cfRule type="expression" dxfId="1917" priority="18" stopIfTrue="1">
      <formula>#REF!=""</formula>
    </cfRule>
  </conditionalFormatting>
  <conditionalFormatting sqref="D14">
    <cfRule type="expression" dxfId="1916" priority="17" stopIfTrue="1">
      <formula>#REF!=""</formula>
    </cfRule>
  </conditionalFormatting>
  <conditionalFormatting sqref="D14">
    <cfRule type="containsText" dxfId="1915" priority="15" stopIfTrue="1" operator="containsText" text="خارجية">
      <formula>NOT(ISERROR(SEARCH("خارجية",D14)))</formula>
    </cfRule>
    <cfRule type="containsText" dxfId="1914" priority="16" stopIfTrue="1" operator="containsText" text="خارجي">
      <formula>NOT(ISERROR(SEARCH("خارجي",D14)))</formula>
    </cfRule>
  </conditionalFormatting>
  <conditionalFormatting sqref="D14">
    <cfRule type="containsText" dxfId="1913" priority="13" stopIfTrue="1" operator="containsText" text="خارجية">
      <formula>NOT(ISERROR(SEARCH("خارجية",D14)))</formula>
    </cfRule>
    <cfRule type="containsText" dxfId="1912" priority="14" stopIfTrue="1" operator="containsText" text="خارجي">
      <formula>NOT(ISERROR(SEARCH("خارجي",D14)))</formula>
    </cfRule>
  </conditionalFormatting>
  <conditionalFormatting sqref="D14">
    <cfRule type="containsText" dxfId="1911" priority="1" stopIfTrue="1" operator="containsText" text="خارجية">
      <formula>NOT(ISERROR(SEARCH("خارجية",D14)))</formula>
    </cfRule>
    <cfRule type="containsText" dxfId="1910" priority="2" stopIfTrue="1" operator="containsText" text="ن داخلية">
      <formula>NOT(ISERROR(SEARCH("ن داخلية",D14)))</formula>
    </cfRule>
    <cfRule type="containsText" dxfId="1909" priority="3" stopIfTrue="1" operator="containsText" text="داخلية">
      <formula>NOT(ISERROR(SEARCH("داخلية",D14)))</formula>
    </cfRule>
    <cfRule type="containsText" dxfId="1908" priority="4" stopIfTrue="1" operator="containsText" text="ن داخلية">
      <formula>NOT(ISERROR(SEARCH("ن داخلية",D14)))</formula>
    </cfRule>
    <cfRule type="containsText" dxfId="1907" priority="5" stopIfTrue="1" operator="containsText" text="داخلية">
      <formula>NOT(ISERROR(SEARCH("داخلية",D14)))</formula>
    </cfRule>
    <cfRule type="cellIs" dxfId="1906" priority="6" stopIfTrue="1" operator="equal">
      <formula>"ن داخلي"</formula>
    </cfRule>
    <cfRule type="cellIs" dxfId="1905" priority="7" stopIfTrue="1" operator="equal">
      <formula>"ن داخلية"</formula>
    </cfRule>
    <cfRule type="cellIs" dxfId="1904" priority="8" stopIfTrue="1" operator="equal">
      <formula>#REF!</formula>
    </cfRule>
    <cfRule type="cellIs" dxfId="1903" priority="9" stopIfTrue="1" operator="equal">
      <formula>#REF!</formula>
    </cfRule>
    <cfRule type="cellIs" dxfId="1902" priority="10" stopIfTrue="1" operator="equal">
      <formula>#REF!</formula>
    </cfRule>
    <cfRule type="cellIs" dxfId="1901" priority="11" stopIfTrue="1" operator="equal">
      <formula>#REF!</formula>
    </cfRule>
    <cfRule type="cellIs" dxfId="1900" priority="12" stopIfTrue="1" operator="equal">
      <formula>"داخلية"</formula>
    </cfRule>
  </conditionalFormatting>
  <pageMargins left="0.7" right="0.7" top="0.75" bottom="0.75" header="0.3" footer="0.3"/>
  <pageSetup paperSize="9" scale="67" orientation="portrait" verticalDpi="0" r:id="rId1"/>
  <colBreaks count="1" manualBreakCount="1">
    <brk id="10" max="100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8"/>
  <dimension ref="A1:AG1454"/>
  <sheetViews>
    <sheetView rightToLeft="1" topLeftCell="A31" workbookViewId="0">
      <selection activeCell="I109" sqref="I109:J109"/>
    </sheetView>
  </sheetViews>
  <sheetFormatPr baseColWidth="10" defaultRowHeight="15"/>
  <cols>
    <col min="1" max="12" width="7.7109375" customWidth="1"/>
  </cols>
  <sheetData>
    <row r="1" spans="1:33" ht="18">
      <c r="A1" s="1500" t="s">
        <v>78</v>
      </c>
      <c r="B1" s="1500"/>
      <c r="C1" s="1500"/>
      <c r="D1" s="1500"/>
      <c r="E1" s="1500"/>
      <c r="F1" s="1500"/>
      <c r="G1" s="1500"/>
      <c r="H1" s="1500"/>
      <c r="I1" s="1500"/>
      <c r="J1" s="1500"/>
      <c r="K1" s="1500"/>
      <c r="L1" s="1500"/>
      <c r="M1" s="124"/>
      <c r="N1" s="124"/>
      <c r="O1" s="124"/>
      <c r="P1" s="124"/>
    </row>
    <row r="2" spans="1:33" ht="18">
      <c r="A2" s="1500" t="s">
        <v>79</v>
      </c>
      <c r="B2" s="1500"/>
      <c r="C2" s="1500"/>
      <c r="D2" s="1500"/>
      <c r="E2" s="1500"/>
      <c r="F2" s="1500"/>
      <c r="G2" s="1500"/>
      <c r="H2" s="1500"/>
      <c r="I2" s="1500"/>
      <c r="J2" s="1500"/>
      <c r="K2" s="1500"/>
      <c r="L2" s="1500"/>
      <c r="M2" s="124"/>
      <c r="N2" s="124"/>
      <c r="O2" s="124"/>
      <c r="P2" s="125"/>
      <c r="Q2" s="125"/>
      <c r="R2" s="125"/>
      <c r="S2" s="125">
        <v>1</v>
      </c>
      <c r="T2" s="125">
        <v>2</v>
      </c>
      <c r="U2" s="125">
        <v>3</v>
      </c>
      <c r="V2" s="125">
        <v>4</v>
      </c>
      <c r="W2" s="125">
        <v>5</v>
      </c>
      <c r="X2" s="125">
        <v>6</v>
      </c>
      <c r="Y2" s="125">
        <v>7</v>
      </c>
      <c r="Z2" s="125">
        <v>8</v>
      </c>
      <c r="AA2" s="125">
        <v>9</v>
      </c>
      <c r="AB2" s="125">
        <v>10</v>
      </c>
      <c r="AC2" s="125">
        <v>11</v>
      </c>
      <c r="AD2" s="125">
        <v>12</v>
      </c>
      <c r="AE2" s="125">
        <v>13</v>
      </c>
      <c r="AF2" s="125">
        <v>14</v>
      </c>
      <c r="AG2" s="125">
        <v>15</v>
      </c>
    </row>
    <row r="3" spans="1:33" ht="18">
      <c r="A3" s="30" t="s">
        <v>220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124"/>
      <c r="N3" s="124"/>
      <c r="O3" s="124"/>
      <c r="P3" s="129" t="e">
        <f>CONCATENATE(#REF!)</f>
        <v>#REF!</v>
      </c>
      <c r="Q3" s="129" t="s">
        <v>381</v>
      </c>
      <c r="R3" s="129"/>
      <c r="S3" s="129" t="e">
        <f>P3</f>
        <v>#REF!</v>
      </c>
      <c r="T3" s="130" t="e">
        <f>CONCATENATE(#REF!)</f>
        <v>#REF!</v>
      </c>
      <c r="U3" s="130" t="e">
        <f>CONCATENATE(#REF!)</f>
        <v>#REF!</v>
      </c>
      <c r="V3" s="129" t="str">
        <f>CONCATENATE(IF(ISERROR(VLOOKUP(P3,#REF!,15,0)),"",(VLOOKUP(P3,#REF!,15,0))))</f>
        <v/>
      </c>
      <c r="W3" s="129" t="str">
        <f>CONCATENATE(IF(ISERROR(VLOOKUP(P3,#REF!,16,0)),"",(VLOOKUP(P3,#REF!,16,0))))</f>
        <v/>
      </c>
      <c r="X3" s="129" t="str">
        <f>CONCATENATE(IF(ISERROR(VLOOKUP(P3,#REF!,17,0)),"",(VLOOKUP(P3,#REF!,17,0))))</f>
        <v/>
      </c>
      <c r="Y3" s="129" t="str">
        <f>CONCATENATE(IF(ISERROR(VLOOKUP(P3,#REF!,18,0)),"",(VLOOKUP(P3,#REF!,18,0))))</f>
        <v/>
      </c>
      <c r="Z3" s="129" t="str">
        <f>CONCATENATE(IF(ISERROR(VLOOKUP(P3,#REF!,19,0)),"",(VLOOKUP(P3,#REF!,19,0))))</f>
        <v/>
      </c>
      <c r="AA3" s="129" t="str">
        <f>CONCATENATE(IF(ISERROR(VLOOKUP(P3,#REF!,20,0)),"",(VLOOKUP(P3,#REF!,20,0))))</f>
        <v/>
      </c>
      <c r="AB3" s="129" t="str">
        <f>CONCATENATE(IF(ISERROR(VLOOKUP(P3,#REF!,21,0)),"",(VLOOKUP(P3,#REF!,21,0))))</f>
        <v/>
      </c>
      <c r="AC3" s="129" t="str">
        <f>CONCATENATE(IF(ISERROR(VLOOKUP(P3,#REF!,22,0)),"",(VLOOKUP(P3,#REF!,22,0))))</f>
        <v/>
      </c>
      <c r="AD3" s="129" t="str">
        <f>CONCATENATE(IF(ISERROR(VLOOKUP(P3,#REF!,23,0)),"",(VLOOKUP(P3,#REF!,23,0))))</f>
        <v/>
      </c>
      <c r="AE3" s="129" t="str">
        <f>CONCATENATE(IF(ISERROR(VLOOKUP(P3,#REF!,24,0)),"",(VLOOKUP(P3,#REF!,24,0))))</f>
        <v/>
      </c>
      <c r="AF3" s="129" t="str">
        <f>CONCATENATE(IF(ISERROR(VLOOKUP(P3,#REF!,25,0)),"",(VLOOKUP(P3,#REF!,25,0))))</f>
        <v/>
      </c>
      <c r="AG3" s="129" t="str">
        <f>CONCATENATE(IF(ISERROR(VLOOKUP(P3,#REF!,26,0)),"",(VLOOKUP(P3,#REF!,26,0))))</f>
        <v/>
      </c>
    </row>
    <row r="4" spans="1:33" ht="18">
      <c r="A4" s="30" t="s">
        <v>361</v>
      </c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124"/>
      <c r="N4" s="124"/>
      <c r="O4" s="124"/>
      <c r="P4" s="131"/>
      <c r="Q4" s="131" t="s">
        <v>495</v>
      </c>
      <c r="R4" s="131" t="e">
        <f>P3</f>
        <v>#REF!</v>
      </c>
      <c r="S4" s="131"/>
      <c r="T4" s="132"/>
      <c r="U4" s="132"/>
      <c r="V4" s="131" t="e">
        <f>CONCATENATE(IF(V3=#REF!,""&amp;#REF!&amp;"",IF(V3=#REF!,""&amp;#REF!&amp;"",IF(V3=#REF!,""&amp;#REF!&amp;"",IF(V3=#REF!,""&amp;#REF!&amp;"",IF(V3=#REF!,""&amp;#REF!&amp;"",IF(V3=#REF!,""&amp;#REF!&amp;"",IF(V3=#REF!,""&amp;#REF!&amp;"",IF(V3=#REF!,""&amp;#REF!&amp;"",IF(V3=#REF!,""&amp;#REF!&amp;"",IF(V3=#REF!,""&amp;#REF!&amp;"",IF(V3=#REF!,""&amp;#REF!&amp;"",IF(V3=#REF!,""&amp;#REF!&amp;"",IF(V3=#REF!,""&amp;#REF!&amp;"",IF(V3=#REF!,""&amp;#REF!&amp;"",IF(V3=#REF!,""&amp;#REF!&amp;"",IF(V3=#REF!,""&amp;#REF!&amp;"",IF(V3=#REF!,""&amp;#REF!&amp;"",IF(V3=#REF!,""&amp;#REF!&amp;"",IF(V3=#REF!,""&amp;#REF!&amp;"",))))))))))))))))))))</f>
        <v>#REF!</v>
      </c>
      <c r="W4" s="131" t="e">
        <f>CONCATENATE(IF(W3=#REF!,""&amp;#REF!&amp;"",IF(W3=#REF!,""&amp;#REF!&amp;"",IF(W3=#REF!,""&amp;#REF!&amp;"",IF(W3=#REF!,""&amp;#REF!&amp;"",IF(W3=#REF!,""&amp;#REF!&amp;"",IF(W3=#REF!,""&amp;#REF!&amp;"",IF(W3=#REF!,""&amp;#REF!&amp;"",IF(W3=#REF!,""&amp;#REF!&amp;"",IF(W3=#REF!,""&amp;#REF!&amp;"",IF(W3=#REF!,""&amp;#REF!&amp;"",IF(W3=#REF!,""&amp;#REF!&amp;"",IF(W3=#REF!,""&amp;#REF!&amp;"",IF(W3=#REF!,""&amp;#REF!&amp;"",IF(W3=#REF!,""&amp;#REF!&amp;"",IF(W3=#REF!,""&amp;#REF!&amp;"",IF(W3=#REF!,""&amp;#REF!&amp;"",IF(W3=#REF!,""&amp;#REF!&amp;"",IF(W3=#REF!,""&amp;#REF!&amp;"",IF(W3=#REF!,""&amp;#REF!&amp;"",))))))))))))))))))))</f>
        <v>#REF!</v>
      </c>
      <c r="X4" s="131" t="e">
        <f>CONCATENATE(IF(X3=#REF!,""&amp;#REF!&amp;"",IF(X3=#REF!,""&amp;#REF!&amp;"",IF(X3=#REF!,""&amp;#REF!&amp;"",IF(X3=#REF!,""&amp;#REF!&amp;"",IF(X3=#REF!,""&amp;#REF!&amp;"",IF(X3=#REF!,""&amp;#REF!&amp;"",IF(X3=#REF!,""&amp;#REF!&amp;"",IF(X3=#REF!,""&amp;#REF!&amp;"",IF(X3=#REF!,""&amp;#REF!&amp;"",IF(X3=#REF!,""&amp;#REF!&amp;"",IF(X3=#REF!,""&amp;#REF!&amp;"",IF(X3=#REF!,""&amp;#REF!&amp;"",IF(X3=#REF!,""&amp;#REF!&amp;"",IF(X3=#REF!,""&amp;#REF!&amp;"",IF(X3=#REF!,""&amp;#REF!&amp;"",IF(X3=#REF!,""&amp;#REF!&amp;"",IF(X3=#REF!,""&amp;#REF!&amp;"",IF(X3=#REF!,""&amp;#REF!&amp;"",IF(X3=#REF!,""&amp;#REF!&amp;"",))))))))))))))))))))</f>
        <v>#REF!</v>
      </c>
      <c r="Y4" s="131" t="e">
        <f>CONCATENATE(IF(Y3=#REF!,""&amp;#REF!&amp;"",IF(Y3=#REF!,""&amp;#REF!&amp;"",IF(Y3=#REF!,""&amp;#REF!&amp;"",IF(Y3=#REF!,""&amp;#REF!&amp;"",IF(Y3=#REF!,""&amp;#REF!&amp;"",IF(Y3=#REF!,""&amp;#REF!&amp;"",IF(Y3=#REF!,""&amp;#REF!&amp;"",IF(Y3=#REF!,""&amp;#REF!&amp;"",IF(Y3=#REF!,""&amp;#REF!&amp;"",IF(Y3=#REF!,""&amp;#REF!&amp;"",IF(Y3=#REF!,""&amp;#REF!&amp;"",IF(Y3=#REF!,""&amp;#REF!&amp;"",IF(Y3=#REF!,""&amp;#REF!&amp;"",IF(Y3=#REF!,""&amp;#REF!&amp;"",IF(Y3=#REF!,""&amp;#REF!&amp;"",IF(Y3=#REF!,""&amp;#REF!&amp;"",IF(Y3=#REF!,""&amp;#REF!&amp;"",IF(Y3=#REF!,""&amp;#REF!&amp;"",IF(Y3=#REF!,""&amp;#REF!&amp;"",))))))))))))))))))))</f>
        <v>#REF!</v>
      </c>
      <c r="Z4" s="131" t="e">
        <f>CONCATENATE(IF(Z3=#REF!,""&amp;#REF!&amp;"",IF(Z3=#REF!,""&amp;#REF!&amp;"",IF(Z3=#REF!,""&amp;#REF!&amp;"",IF(Z3=#REF!,""&amp;#REF!&amp;"",IF(Z3=#REF!,""&amp;#REF!&amp;"",IF(Z3=#REF!,""&amp;#REF!&amp;"",IF(Z3=#REF!,""&amp;#REF!&amp;"",IF(Z3=#REF!,""&amp;#REF!&amp;"",IF(Z3=#REF!,""&amp;#REF!&amp;"",IF(Z3=#REF!,""&amp;#REF!&amp;"",IF(Z3=#REF!,""&amp;#REF!&amp;"",IF(Z3=#REF!,""&amp;#REF!&amp;"",IF(Z3=#REF!,""&amp;#REF!&amp;"",IF(Z3=#REF!,""&amp;#REF!&amp;"",IF(Z3=#REF!,""&amp;#REF!&amp;"",IF(Z3=#REF!,""&amp;#REF!&amp;"",IF(Z3=#REF!,""&amp;#REF!&amp;"",IF(Z3=#REF!,""&amp;#REF!&amp;"",IF(Z3=#REF!,""&amp;#REF!&amp;"",))))))))))))))))))))</f>
        <v>#REF!</v>
      </c>
      <c r="AA4" s="131" t="e">
        <f>CONCATENATE(IF(AA3=#REF!,""&amp;#REF!&amp;"",IF(AA3=#REF!,""&amp;#REF!&amp;"",IF(AA3=#REF!,""&amp;#REF!&amp;"",IF(AA3=#REF!,""&amp;#REF!&amp;"",IF(AA3=#REF!,""&amp;#REF!&amp;"",IF(AA3=#REF!,""&amp;#REF!&amp;"",IF(AA3=#REF!,""&amp;#REF!&amp;"",IF(AA3=#REF!,""&amp;#REF!&amp;"",IF(AA3=#REF!,""&amp;#REF!&amp;"",IF(AA3=#REF!,""&amp;#REF!&amp;"",IF(AA3=#REF!,""&amp;#REF!&amp;"",IF(AA3=#REF!,""&amp;#REF!&amp;"",IF(AA3=#REF!,""&amp;#REF!&amp;"",IF(AA3=#REF!,""&amp;#REF!&amp;"",IF(AA3=#REF!,""&amp;#REF!&amp;"",IF(AA3=#REF!,""&amp;#REF!&amp;"",IF(AA3=#REF!,""&amp;#REF!&amp;"",IF(AA3=#REF!,""&amp;#REF!&amp;"",IF(AA3=#REF!,""&amp;#REF!&amp;"",))))))))))))))))))))</f>
        <v>#REF!</v>
      </c>
      <c r="AB4" s="131" t="e">
        <f>CONCATENATE(IF(AB3=#REF!,""&amp;#REF!&amp;"",IF(AB3=#REF!,""&amp;#REF!&amp;"",IF(AB3=#REF!,""&amp;#REF!&amp;"",IF(AB3=#REF!,""&amp;#REF!&amp;"",IF(AB3=#REF!,""&amp;#REF!&amp;"",IF(AB3=#REF!,""&amp;#REF!&amp;"",IF(AB3=#REF!,""&amp;#REF!&amp;"",IF(AB3=#REF!,""&amp;#REF!&amp;"",IF(AB3=#REF!,""&amp;#REF!&amp;"",IF(AB3=#REF!,""&amp;#REF!&amp;"",IF(AB3=#REF!,""&amp;#REF!&amp;"",IF(AB3=#REF!,""&amp;#REF!&amp;"",IF(AB3=#REF!,""&amp;#REF!&amp;"",IF(AB3=#REF!,""&amp;#REF!&amp;"",IF(AB3=#REF!,""&amp;#REF!&amp;"",IF(AB3=#REF!,""&amp;#REF!&amp;"",IF(AB3=#REF!,""&amp;#REF!&amp;"",IF(AB3=#REF!,""&amp;#REF!&amp;"",IF(AB3=#REF!,""&amp;#REF!&amp;"",))))))))))))))))))))</f>
        <v>#REF!</v>
      </c>
      <c r="AC4" s="131" t="e">
        <f>CONCATENATE(IF(AC3=#REF!,""&amp;#REF!&amp;"",IF(AC3=#REF!,""&amp;#REF!&amp;"",IF(AC3=#REF!,""&amp;#REF!&amp;"",IF(AC3=#REF!,""&amp;#REF!&amp;"",IF(AC3=#REF!,""&amp;#REF!&amp;"",IF(AC3=#REF!,""&amp;#REF!&amp;"",IF(AC3=#REF!,""&amp;#REF!&amp;"",IF(AC3=#REF!,""&amp;#REF!&amp;"",IF(AC3=#REF!,""&amp;#REF!&amp;"",IF(AC3=#REF!,""&amp;#REF!&amp;"",IF(AC3=#REF!,""&amp;#REF!&amp;"",IF(AC3=#REF!,""&amp;#REF!&amp;"",IF(AC3=#REF!,""&amp;#REF!&amp;"",IF(AC3=#REF!,""&amp;#REF!&amp;"",IF(AC3=#REF!,""&amp;#REF!&amp;"",IF(AC3=#REF!,""&amp;#REF!&amp;"",IF(AC3=#REF!,""&amp;#REF!&amp;"",IF(AC3=#REF!,""&amp;#REF!&amp;"",IF(AC3=#REF!,""&amp;#REF!&amp;"",))))))))))))))))))))</f>
        <v>#REF!</v>
      </c>
      <c r="AD4" s="131" t="e">
        <f>CONCATENATE(IF(AD3=#REF!,""&amp;#REF!&amp;"",IF(AD3=#REF!,""&amp;#REF!&amp;"",IF(AD3=#REF!,""&amp;#REF!&amp;"",IF(AD3=#REF!,""&amp;#REF!&amp;"",IF(AD3=#REF!,""&amp;#REF!&amp;"",IF(AD3=#REF!,""&amp;#REF!&amp;"",IF(AD3=#REF!,""&amp;#REF!&amp;"",IF(AD3=#REF!,""&amp;#REF!&amp;"",IF(AD3=#REF!,""&amp;#REF!&amp;"",IF(AD3=#REF!,""&amp;#REF!&amp;"",IF(AD3=#REF!,""&amp;#REF!&amp;"",IF(AD3=#REF!,""&amp;#REF!&amp;"",IF(AD3=#REF!,""&amp;#REF!&amp;"",IF(AD3=#REF!,""&amp;#REF!&amp;"",IF(AD3=#REF!,""&amp;#REF!&amp;"",IF(AD3=#REF!,""&amp;#REF!&amp;"",IF(AD3=#REF!,""&amp;#REF!&amp;"",IF(AD3=#REF!,""&amp;#REF!&amp;"",IF(AD3=#REF!,""&amp;#REF!&amp;"",))))))))))))))))))))</f>
        <v>#REF!</v>
      </c>
      <c r="AE4" s="131" t="e">
        <f>CONCATENATE(IF(AE3=#REF!,""&amp;#REF!&amp;"",IF(AE3=#REF!,""&amp;#REF!&amp;"",IF(AE3=#REF!,""&amp;#REF!&amp;"",IF(AE3=#REF!,""&amp;#REF!&amp;"",IF(AE3=#REF!,""&amp;#REF!&amp;"",IF(AE3=#REF!,""&amp;#REF!&amp;"",IF(AE3=#REF!,""&amp;#REF!&amp;"",IF(AE3=#REF!,""&amp;#REF!&amp;"",IF(AE3=#REF!,""&amp;#REF!&amp;"",IF(AE3=#REF!,""&amp;#REF!&amp;"",IF(AE3=#REF!,""&amp;#REF!&amp;"",IF(AE3=#REF!,""&amp;#REF!&amp;"",IF(AE3=#REF!,""&amp;#REF!&amp;"",IF(AE3=#REF!,""&amp;#REF!&amp;"",IF(AE3=#REF!,""&amp;#REF!&amp;"",IF(AE3=#REF!,""&amp;#REF!&amp;"",IF(AE3=#REF!,""&amp;#REF!&amp;"",IF(AE3=#REF!,""&amp;#REF!&amp;"",IF(AE3=#REF!,""&amp;#REF!&amp;"",))))))))))))))))))))</f>
        <v>#REF!</v>
      </c>
      <c r="AF4" s="131" t="e">
        <f>CONCATENATE(IF(AF3=#REF!,""&amp;#REF!&amp;"",IF(AF3=#REF!,""&amp;#REF!&amp;"",IF(AF3=#REF!,""&amp;#REF!&amp;"",IF(AF3=#REF!,""&amp;#REF!&amp;"",IF(AF3=#REF!,""&amp;#REF!&amp;"",IF(AF3=#REF!,""&amp;#REF!&amp;"",IF(AF3=#REF!,""&amp;#REF!&amp;"",IF(AF3=#REF!,""&amp;#REF!&amp;"",IF(AF3=#REF!,""&amp;#REF!&amp;"",IF(AF3=#REF!,""&amp;#REF!&amp;"",IF(AF3=#REF!,""&amp;#REF!&amp;"",IF(AF3=#REF!,""&amp;#REF!&amp;"",IF(AF3=#REF!,""&amp;#REF!&amp;"",IF(AF3=#REF!,""&amp;#REF!&amp;"",IF(AF3=#REF!,""&amp;#REF!&amp;"",IF(AF3=#REF!,""&amp;#REF!&amp;"",IF(AF3=#REF!,""&amp;#REF!&amp;"",IF(AF3=#REF!,""&amp;#REF!&amp;"",IF(AF3=#REF!,""&amp;#REF!&amp;"",))))))))))))))))))))</f>
        <v>#REF!</v>
      </c>
      <c r="AG4" s="131" t="e">
        <f>CONCATENATE(IF(AG3=#REF!,""&amp;#REF!&amp;"",IF(AG3=#REF!,""&amp;#REF!&amp;"",IF(AG3=#REF!,""&amp;#REF!&amp;"",IF(AG3=#REF!,""&amp;#REF!&amp;"",IF(AG3=#REF!,""&amp;#REF!&amp;"",IF(AG3=#REF!,""&amp;#REF!&amp;"",IF(AG3=#REF!,""&amp;#REF!&amp;"",IF(AG3=#REF!,""&amp;#REF!&amp;"",IF(AG3=#REF!,""&amp;#REF!&amp;"",IF(AG3=#REF!,""&amp;#REF!&amp;"",IF(AG3=#REF!,""&amp;#REF!&amp;"",IF(AG3=#REF!,""&amp;#REF!&amp;"",IF(AG3=#REF!,""&amp;#REF!&amp;"",IF(AG3=#REF!,""&amp;#REF!&amp;"",IF(AG3=#REF!,""&amp;#REF!&amp;"",IF(AG3=#REF!,""&amp;#REF!&amp;"",IF(AG3=#REF!,""&amp;#REF!&amp;"",IF(AG3=#REF!,""&amp;#REF!&amp;"",IF(AG3=#REF!,""&amp;#REF!&amp;"",))))))))))))))))))))</f>
        <v>#REF!</v>
      </c>
    </row>
    <row r="5" spans="1:33" ht="18.75" thickBot="1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124"/>
      <c r="N5" s="124"/>
      <c r="O5" s="124"/>
      <c r="P5" s="129" t="e">
        <f>CONCATENATE(#REF!)</f>
        <v>#REF!</v>
      </c>
      <c r="Q5" s="129" t="s">
        <v>381</v>
      </c>
      <c r="R5" s="129"/>
      <c r="S5" s="129" t="e">
        <f>P5</f>
        <v>#REF!</v>
      </c>
      <c r="T5" s="130" t="e">
        <f>CONCATENATE(#REF!)</f>
        <v>#REF!</v>
      </c>
      <c r="U5" s="130" t="e">
        <f>CONCATENATE(#REF!)</f>
        <v>#REF!</v>
      </c>
      <c r="V5" s="129" t="str">
        <f>CONCATENATE(IF(ISERROR(VLOOKUP(P5,#REF!,15,0)),"",(VLOOKUP(P5,#REF!,15,0))))</f>
        <v/>
      </c>
      <c r="W5" s="129" t="str">
        <f>CONCATENATE(IF(ISERROR(VLOOKUP(P5,#REF!,16,0)),"",(VLOOKUP(P5,#REF!,16,0))))</f>
        <v/>
      </c>
      <c r="X5" s="129" t="str">
        <f>CONCATENATE(IF(ISERROR(VLOOKUP(P5,#REF!,17,0)),"",(VLOOKUP(P5,#REF!,17,0))))</f>
        <v/>
      </c>
      <c r="Y5" s="129" t="str">
        <f>CONCATENATE(IF(ISERROR(VLOOKUP(P5,#REF!,18,0)),"",(VLOOKUP(P5,#REF!,18,0))))</f>
        <v/>
      </c>
      <c r="Z5" s="129" t="str">
        <f>CONCATENATE(IF(ISERROR(VLOOKUP(P5,#REF!,19,0)),"",(VLOOKUP(P5,#REF!,19,0))))</f>
        <v/>
      </c>
      <c r="AA5" s="129" t="str">
        <f>CONCATENATE(IF(ISERROR(VLOOKUP(P5,#REF!,20,0)),"",(VLOOKUP(P5,#REF!,20,0))))</f>
        <v/>
      </c>
      <c r="AB5" s="129" t="str">
        <f>CONCATENATE(IF(ISERROR(VLOOKUP(P5,#REF!,21,0)),"",(VLOOKUP(P5,#REF!,21,0))))</f>
        <v/>
      </c>
      <c r="AC5" s="129" t="str">
        <f>CONCATENATE(IF(ISERROR(VLOOKUP(P5,#REF!,22,0)),"",(VLOOKUP(P5,#REF!,22,0))))</f>
        <v/>
      </c>
      <c r="AD5" s="129" t="str">
        <f>CONCATENATE(IF(ISERROR(VLOOKUP(P5,#REF!,23,0)),"",(VLOOKUP(P5,#REF!,23,0))))</f>
        <v/>
      </c>
      <c r="AE5" s="129" t="str">
        <f>CONCATENATE(IF(ISERROR(VLOOKUP(P5,#REF!,24,0)),"",(VLOOKUP(P5,#REF!,24,0))))</f>
        <v/>
      </c>
      <c r="AF5" s="129" t="str">
        <f>CONCATENATE(IF(ISERROR(VLOOKUP(P5,#REF!,25,0)),"",(VLOOKUP(P5,#REF!,25,0))))</f>
        <v/>
      </c>
      <c r="AG5" s="133" t="str">
        <f>IF(ISERROR(HLOOKUP(AG3,#REF!,2,0)),"",(HLOOKUP(AG3,#REF!,2,0)))</f>
        <v/>
      </c>
    </row>
    <row r="6" spans="1:33" ht="24" thickBot="1">
      <c r="A6" s="31"/>
      <c r="B6" s="31"/>
      <c r="C6" s="1532" t="s">
        <v>362</v>
      </c>
      <c r="D6" s="1533"/>
      <c r="E6" s="1533"/>
      <c r="F6" s="1533"/>
      <c r="G6" s="1534"/>
      <c r="H6" s="1518" t="s">
        <v>12</v>
      </c>
      <c r="I6" s="1519"/>
      <c r="J6" s="31"/>
      <c r="K6" s="31"/>
      <c r="L6" s="187" t="s">
        <v>496</v>
      </c>
      <c r="M6" s="125"/>
      <c r="N6" s="126" t="str">
        <f>H6</f>
        <v>3ريا</v>
      </c>
      <c r="O6" s="125"/>
      <c r="P6" s="131"/>
      <c r="Q6" s="134" t="s">
        <v>495</v>
      </c>
      <c r="R6" s="131" t="e">
        <f>P5</f>
        <v>#REF!</v>
      </c>
      <c r="S6" s="131"/>
      <c r="T6" s="130"/>
      <c r="U6" s="130"/>
      <c r="V6" s="131" t="e">
        <f>CONCATENATE(IF(V5=#REF!,""&amp;#REF!&amp;"",IF(V5=#REF!,""&amp;#REF!&amp;"",IF(V5=#REF!,""&amp;#REF!&amp;"",IF(V5=#REF!,""&amp;#REF!&amp;"",IF(V5=#REF!,""&amp;#REF!&amp;"",IF(V5=#REF!,""&amp;#REF!&amp;"",IF(V5=#REF!,""&amp;#REF!&amp;"",IF(V5=#REF!,""&amp;#REF!&amp;"",IF(V5=#REF!,""&amp;#REF!&amp;"",IF(V5=#REF!,""&amp;#REF!&amp;"",IF(V5=#REF!,""&amp;#REF!&amp;"",IF(V5=#REF!,""&amp;#REF!&amp;"",IF(V5=#REF!,""&amp;#REF!&amp;"",IF(V5=#REF!,""&amp;#REF!&amp;"",IF(V5=#REF!,""&amp;#REF!&amp;"",IF(V5=#REF!,""&amp;#REF!&amp;"",IF(V5=#REF!,""&amp;#REF!&amp;"",IF(V5=#REF!,""&amp;#REF!&amp;"",IF(V5=#REF!,""&amp;#REF!&amp;"",))))))))))))))))))))</f>
        <v>#REF!</v>
      </c>
      <c r="W6" s="131" t="e">
        <f>CONCATENATE(IF(W5=#REF!,""&amp;#REF!&amp;"",IF(W5=#REF!,""&amp;#REF!&amp;"",IF(W5=#REF!,""&amp;#REF!&amp;"",IF(W5=#REF!,""&amp;#REF!&amp;"",IF(W5=#REF!,""&amp;#REF!&amp;"",IF(W5=#REF!,""&amp;#REF!&amp;"",IF(W5=#REF!,""&amp;#REF!&amp;"",IF(W5=#REF!,""&amp;#REF!&amp;"",IF(W5=#REF!,""&amp;#REF!&amp;"",IF(W5=#REF!,""&amp;#REF!&amp;"",IF(W5=#REF!,""&amp;#REF!&amp;"",IF(W5=#REF!,""&amp;#REF!&amp;"",IF(W5=#REF!,""&amp;#REF!&amp;"",IF(W5=#REF!,""&amp;#REF!&amp;"",IF(W5=#REF!,""&amp;#REF!&amp;"",IF(W5=#REF!,""&amp;#REF!&amp;"",IF(W5=#REF!,""&amp;#REF!&amp;"",IF(W5=#REF!,""&amp;#REF!&amp;"",IF(W5=#REF!,""&amp;#REF!&amp;"",))))))))))))))))))))</f>
        <v>#REF!</v>
      </c>
      <c r="X6" s="131" t="e">
        <f>CONCATENATE(IF(X5=#REF!,""&amp;#REF!&amp;"",IF(X5=#REF!,""&amp;#REF!&amp;"",IF(X5=#REF!,""&amp;#REF!&amp;"",IF(X5=#REF!,""&amp;#REF!&amp;"",IF(X5=#REF!,""&amp;#REF!&amp;"",IF(X5=#REF!,""&amp;#REF!&amp;"",IF(X5=#REF!,""&amp;#REF!&amp;"",IF(X5=#REF!,""&amp;#REF!&amp;"",IF(X5=#REF!,""&amp;#REF!&amp;"",IF(X5=#REF!,""&amp;#REF!&amp;"",IF(X5=#REF!,""&amp;#REF!&amp;"",IF(X5=#REF!,""&amp;#REF!&amp;"",IF(X5=#REF!,""&amp;#REF!&amp;"",IF(X5=#REF!,""&amp;#REF!&amp;"",IF(X5=#REF!,""&amp;#REF!&amp;"",IF(X5=#REF!,""&amp;#REF!&amp;"",IF(X5=#REF!,""&amp;#REF!&amp;"",IF(X5=#REF!,""&amp;#REF!&amp;"",IF(X5=#REF!,""&amp;#REF!&amp;"",))))))))))))))))))))</f>
        <v>#REF!</v>
      </c>
      <c r="Y6" s="131" t="e">
        <f>CONCATENATE(IF(Y5=#REF!,""&amp;#REF!&amp;"",IF(Y5=#REF!,""&amp;#REF!&amp;"",IF(Y5=#REF!,""&amp;#REF!&amp;"",IF(Y5=#REF!,""&amp;#REF!&amp;"",IF(Y5=#REF!,""&amp;#REF!&amp;"",IF(Y5=#REF!,""&amp;#REF!&amp;"",IF(Y5=#REF!,""&amp;#REF!&amp;"",IF(Y5=#REF!,""&amp;#REF!&amp;"",IF(Y5=#REF!,""&amp;#REF!&amp;"",IF(Y5=#REF!,""&amp;#REF!&amp;"",IF(Y5=#REF!,""&amp;#REF!&amp;"",IF(Y5=#REF!,""&amp;#REF!&amp;"",IF(Y5=#REF!,""&amp;#REF!&amp;"",IF(Y5=#REF!,""&amp;#REF!&amp;"",IF(Y5=#REF!,""&amp;#REF!&amp;"",IF(Y5=#REF!,""&amp;#REF!&amp;"",IF(Y5=#REF!,""&amp;#REF!&amp;"",IF(Y5=#REF!,""&amp;#REF!&amp;"",IF(Y5=#REF!,""&amp;#REF!&amp;"",))))))))))))))))))))</f>
        <v>#REF!</v>
      </c>
      <c r="Z6" s="131" t="e">
        <f>CONCATENATE(IF(Z5=#REF!,""&amp;#REF!&amp;"",IF(Z5=#REF!,""&amp;#REF!&amp;"",IF(Z5=#REF!,""&amp;#REF!&amp;"",IF(Z5=#REF!,""&amp;#REF!&amp;"",IF(Z5=#REF!,""&amp;#REF!&amp;"",IF(Z5=#REF!,""&amp;#REF!&amp;"",IF(Z5=#REF!,""&amp;#REF!&amp;"",IF(Z5=#REF!,""&amp;#REF!&amp;"",IF(Z5=#REF!,""&amp;#REF!&amp;"",IF(Z5=#REF!,""&amp;#REF!&amp;"",IF(Z5=#REF!,""&amp;#REF!&amp;"",IF(Z5=#REF!,""&amp;#REF!&amp;"",IF(Z5=#REF!,""&amp;#REF!&amp;"",IF(Z5=#REF!,""&amp;#REF!&amp;"",IF(Z5=#REF!,""&amp;#REF!&amp;"",IF(Z5=#REF!,""&amp;#REF!&amp;"",IF(Z5=#REF!,""&amp;#REF!&amp;"",IF(Z5=#REF!,""&amp;#REF!&amp;"",IF(Z5=#REF!,""&amp;#REF!&amp;"",))))))))))))))))))))</f>
        <v>#REF!</v>
      </c>
      <c r="AA6" s="131" t="e">
        <f>CONCATENATE(IF(AA5=#REF!,""&amp;#REF!&amp;"",IF(AA5=#REF!,""&amp;#REF!&amp;"",IF(AA5=#REF!,""&amp;#REF!&amp;"",IF(AA5=#REF!,""&amp;#REF!&amp;"",IF(AA5=#REF!,""&amp;#REF!&amp;"",IF(AA5=#REF!,""&amp;#REF!&amp;"",IF(AA5=#REF!,""&amp;#REF!&amp;"",IF(AA5=#REF!,""&amp;#REF!&amp;"",IF(AA5=#REF!,""&amp;#REF!&amp;"",IF(AA5=#REF!,""&amp;#REF!&amp;"",IF(AA5=#REF!,""&amp;#REF!&amp;"",IF(AA5=#REF!,""&amp;#REF!&amp;"",IF(AA5=#REF!,""&amp;#REF!&amp;"",IF(AA5=#REF!,""&amp;#REF!&amp;"",IF(AA5=#REF!,""&amp;#REF!&amp;"",IF(AA5=#REF!,""&amp;#REF!&amp;"",IF(AA5=#REF!,""&amp;#REF!&amp;"",IF(AA5=#REF!,""&amp;#REF!&amp;"",IF(AA5=#REF!,""&amp;#REF!&amp;"",))))))))))))))))))))</f>
        <v>#REF!</v>
      </c>
      <c r="AB6" s="131" t="e">
        <f>CONCATENATE(IF(AB5=#REF!,""&amp;#REF!&amp;"",IF(AB5=#REF!,""&amp;#REF!&amp;"",IF(AB5=#REF!,""&amp;#REF!&amp;"",IF(AB5=#REF!,""&amp;#REF!&amp;"",IF(AB5=#REF!,""&amp;#REF!&amp;"",IF(AB5=#REF!,""&amp;#REF!&amp;"",IF(AB5=#REF!,""&amp;#REF!&amp;"",IF(AB5=#REF!,""&amp;#REF!&amp;"",IF(AB5=#REF!,""&amp;#REF!&amp;"",IF(AB5=#REF!,""&amp;#REF!&amp;"",IF(AB5=#REF!,""&amp;#REF!&amp;"",IF(AB5=#REF!,""&amp;#REF!&amp;"",IF(AB5=#REF!,""&amp;#REF!&amp;"",IF(AB5=#REF!,""&amp;#REF!&amp;"",IF(AB5=#REF!,""&amp;#REF!&amp;"",IF(AB5=#REF!,""&amp;#REF!&amp;"",IF(AB5=#REF!,""&amp;#REF!&amp;"",IF(AB5=#REF!,""&amp;#REF!&amp;"",IF(AB5=#REF!,""&amp;#REF!&amp;"",))))))))))))))))))))</f>
        <v>#REF!</v>
      </c>
      <c r="AC6" s="131" t="e">
        <f>CONCATENATE(IF(AC5=#REF!,""&amp;#REF!&amp;"",IF(AC5=#REF!,""&amp;#REF!&amp;"",IF(AC5=#REF!,""&amp;#REF!&amp;"",IF(AC5=#REF!,""&amp;#REF!&amp;"",IF(AC5=#REF!,""&amp;#REF!&amp;"",IF(AC5=#REF!,""&amp;#REF!&amp;"",IF(AC5=#REF!,""&amp;#REF!&amp;"",IF(AC5=#REF!,""&amp;#REF!&amp;"",IF(AC5=#REF!,""&amp;#REF!&amp;"",IF(AC5=#REF!,""&amp;#REF!&amp;"",IF(AC5=#REF!,""&amp;#REF!&amp;"",IF(AC5=#REF!,""&amp;#REF!&amp;"",IF(AC5=#REF!,""&amp;#REF!&amp;"",IF(AC5=#REF!,""&amp;#REF!&amp;"",IF(AC5=#REF!,""&amp;#REF!&amp;"",IF(AC5=#REF!,""&amp;#REF!&amp;"",IF(AC5=#REF!,""&amp;#REF!&amp;"",IF(AC5=#REF!,""&amp;#REF!&amp;"",IF(AC5=#REF!,""&amp;#REF!&amp;"",))))))))))))))))))))</f>
        <v>#REF!</v>
      </c>
      <c r="AD6" s="131" t="e">
        <f>CONCATENATE(IF(AD5=#REF!,""&amp;#REF!&amp;"",IF(AD5=#REF!,""&amp;#REF!&amp;"",IF(AD5=#REF!,""&amp;#REF!&amp;"",IF(AD5=#REF!,""&amp;#REF!&amp;"",IF(AD5=#REF!,""&amp;#REF!&amp;"",IF(AD5=#REF!,""&amp;#REF!&amp;"",IF(AD5=#REF!,""&amp;#REF!&amp;"",IF(AD5=#REF!,""&amp;#REF!&amp;"",IF(AD5=#REF!,""&amp;#REF!&amp;"",IF(AD5=#REF!,""&amp;#REF!&amp;"",IF(AD5=#REF!,""&amp;#REF!&amp;"",IF(AD5=#REF!,""&amp;#REF!&amp;"",IF(AD5=#REF!,""&amp;#REF!&amp;"",IF(AD5=#REF!,""&amp;#REF!&amp;"",IF(AD5=#REF!,""&amp;#REF!&amp;"",IF(AD5=#REF!,""&amp;#REF!&amp;"",IF(AD5=#REF!,""&amp;#REF!&amp;"",IF(AD5=#REF!,""&amp;#REF!&amp;"",IF(AD5=#REF!,""&amp;#REF!&amp;"",))))))))))))))))))))</f>
        <v>#REF!</v>
      </c>
      <c r="AE6" s="131" t="e">
        <f>CONCATENATE(IF(AE5=#REF!,""&amp;#REF!&amp;"",IF(AE5=#REF!,""&amp;#REF!&amp;"",IF(AE5=#REF!,""&amp;#REF!&amp;"",IF(AE5=#REF!,""&amp;#REF!&amp;"",IF(AE5=#REF!,""&amp;#REF!&amp;"",IF(AE5=#REF!,""&amp;#REF!&amp;"",IF(AE5=#REF!,""&amp;#REF!&amp;"",IF(AE5=#REF!,""&amp;#REF!&amp;"",IF(AE5=#REF!,""&amp;#REF!&amp;"",IF(AE5=#REF!,""&amp;#REF!&amp;"",IF(AE5=#REF!,""&amp;#REF!&amp;"",IF(AE5=#REF!,""&amp;#REF!&amp;"",IF(AE5=#REF!,""&amp;#REF!&amp;"",IF(AE5=#REF!,""&amp;#REF!&amp;"",IF(AE5=#REF!,""&amp;#REF!&amp;"",IF(AE5=#REF!,""&amp;#REF!&amp;"",IF(AE5=#REF!,""&amp;#REF!&amp;"",IF(AE5=#REF!,""&amp;#REF!&amp;"",IF(AE5=#REF!,""&amp;#REF!&amp;"",))))))))))))))))))))</f>
        <v>#REF!</v>
      </c>
      <c r="AF6" s="131" t="e">
        <f>CONCATENATE(IF(AF5=#REF!,""&amp;#REF!&amp;"",IF(AF5=#REF!,""&amp;#REF!&amp;"",IF(AF5=#REF!,""&amp;#REF!&amp;"",IF(AF5=#REF!,""&amp;#REF!&amp;"",IF(AF5=#REF!,""&amp;#REF!&amp;"",IF(AF5=#REF!,""&amp;#REF!&amp;"",IF(AF5=#REF!,""&amp;#REF!&amp;"",IF(AF5=#REF!,""&amp;#REF!&amp;"",IF(AF5=#REF!,""&amp;#REF!&amp;"",IF(AF5=#REF!,""&amp;#REF!&amp;"",IF(AF5=#REF!,""&amp;#REF!&amp;"",IF(AF5=#REF!,""&amp;#REF!&amp;"",IF(AF5=#REF!,""&amp;#REF!&amp;"",IF(AF5=#REF!,""&amp;#REF!&amp;"",IF(AF5=#REF!,""&amp;#REF!&amp;"",IF(AF5=#REF!,""&amp;#REF!&amp;"",IF(AF5=#REF!,""&amp;#REF!&amp;"",IF(AF5=#REF!,""&amp;#REF!&amp;"",IF(AF5=#REF!,""&amp;#REF!&amp;"",))))))))))))))))))))</f>
        <v>#REF!</v>
      </c>
      <c r="AG6" s="131" t="e">
        <f>CONCATENATE(IF(AG5=#REF!,""&amp;#REF!&amp;"",IF(AG5=#REF!,""&amp;#REF!&amp;"",IF(AG5=#REF!,""&amp;#REF!&amp;"",IF(AG5=#REF!,""&amp;#REF!&amp;"",IF(AG5=#REF!,""&amp;#REF!&amp;"",IF(AG5=#REF!,""&amp;#REF!&amp;"",IF(AG5=#REF!,""&amp;#REF!&amp;"",IF(AG5=#REF!,""&amp;#REF!&amp;"",IF(AG5=#REF!,""&amp;#REF!&amp;"",IF(AG5=#REF!,""&amp;#REF!&amp;"",IF(AG5=#REF!,""&amp;#REF!&amp;"",IF(AG5=#REF!,""&amp;#REF!&amp;"",IF(AG5=#REF!,""&amp;#REF!&amp;"",IF(AG5=#REF!,""&amp;#REF!&amp;"",IF(AG5=#REF!,""&amp;#REF!&amp;"",IF(AG5=#REF!,""&amp;#REF!&amp;"",IF(AG5=#REF!,""&amp;#REF!&amp;"",IF(AG5=#REF!,""&amp;#REF!&amp;"",IF(AG5=#REF!,""&amp;#REF!&amp;"",))))))))))))))))))))</f>
        <v>#REF!</v>
      </c>
    </row>
    <row r="7" spans="1:33" ht="18">
      <c r="A7" s="31"/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124"/>
      <c r="N7" s="124"/>
      <c r="O7" s="124"/>
      <c r="P7" s="129" t="e">
        <f>CONCATENATE(#REF!)</f>
        <v>#REF!</v>
      </c>
      <c r="Q7" s="134" t="s">
        <v>381</v>
      </c>
      <c r="R7" s="134"/>
      <c r="S7" s="129" t="e">
        <f>P7</f>
        <v>#REF!</v>
      </c>
      <c r="T7" s="130" t="e">
        <f>CONCATENATE(#REF!)</f>
        <v>#REF!</v>
      </c>
      <c r="U7" s="130" t="e">
        <f>CONCATENATE(#REF!)</f>
        <v>#REF!</v>
      </c>
      <c r="V7" s="129" t="str">
        <f>CONCATENATE(IF(ISERROR(VLOOKUP(P7,#REF!,15,0)),"",(VLOOKUP(P7,#REF!,15,0))))</f>
        <v/>
      </c>
      <c r="W7" s="129" t="str">
        <f>CONCATENATE(IF(ISERROR(VLOOKUP(P7,#REF!,16,0)),"",(VLOOKUP(P7,#REF!,16,0))))</f>
        <v/>
      </c>
      <c r="X7" s="129" t="str">
        <f>CONCATENATE(IF(ISERROR(VLOOKUP(P7,#REF!,17,0)),"",(VLOOKUP(P7,#REF!,17,0))))</f>
        <v/>
      </c>
      <c r="Y7" s="129" t="str">
        <f>CONCATENATE(IF(ISERROR(VLOOKUP(P7,#REF!,18,0)),"",(VLOOKUP(P7,#REF!,18,0))))</f>
        <v/>
      </c>
      <c r="Z7" s="129" t="str">
        <f>CONCATENATE(IF(ISERROR(VLOOKUP(P7,#REF!,19,0)),"",(VLOOKUP(P7,#REF!,19,0))))</f>
        <v/>
      </c>
      <c r="AA7" s="129" t="str">
        <f>CONCATENATE(IF(ISERROR(VLOOKUP(P7,#REF!,20,0)),"",(VLOOKUP(P7,#REF!,20,0))))</f>
        <v/>
      </c>
      <c r="AB7" s="129" t="str">
        <f>CONCATENATE(IF(ISERROR(VLOOKUP(P7,#REF!,21,0)),"",(VLOOKUP(P7,#REF!,21,0))))</f>
        <v/>
      </c>
      <c r="AC7" s="129" t="str">
        <f>CONCATENATE(IF(ISERROR(VLOOKUP(P7,#REF!,22,0)),"",(VLOOKUP(P7,#REF!,22,0))))</f>
        <v/>
      </c>
      <c r="AD7" s="129" t="str">
        <f>CONCATENATE(IF(ISERROR(VLOOKUP(P7,#REF!,23,0)),"",(VLOOKUP(P7,#REF!,23,0))))</f>
        <v/>
      </c>
      <c r="AE7" s="129" t="str">
        <f>CONCATENATE(IF(ISERROR(VLOOKUP(P7,#REF!,24,0)),"",(VLOOKUP(P7,#REF!,24,0))))</f>
        <v/>
      </c>
      <c r="AF7" s="129" t="str">
        <f>CONCATENATE(IF(ISERROR(VLOOKUP(P7,#REF!,25,0)),"",(VLOOKUP(P7,#REF!,25,0))))</f>
        <v/>
      </c>
      <c r="AG7" s="135"/>
    </row>
    <row r="8" spans="1:33" ht="18">
      <c r="A8" s="30" t="s">
        <v>363</v>
      </c>
      <c r="B8" s="31"/>
      <c r="C8" s="1500" t="s">
        <v>275</v>
      </c>
      <c r="D8" s="1500"/>
      <c r="E8" s="1500"/>
      <c r="F8" s="31"/>
      <c r="G8" s="31" t="s">
        <v>364</v>
      </c>
      <c r="H8" s="31"/>
      <c r="I8" s="1295" t="str">
        <f>CONCATENATE([3]Feuil2!$M$5)</f>
        <v/>
      </c>
      <c r="J8" s="1295"/>
      <c r="K8" s="1295"/>
      <c r="L8" s="31"/>
      <c r="M8" s="124"/>
      <c r="N8" s="124"/>
      <c r="O8" s="124"/>
      <c r="P8" s="131"/>
      <c r="Q8" s="134" t="s">
        <v>495</v>
      </c>
      <c r="R8" s="131" t="e">
        <f>P7</f>
        <v>#REF!</v>
      </c>
      <c r="S8" s="131"/>
      <c r="T8" s="132"/>
      <c r="U8" s="132"/>
      <c r="V8" s="131" t="e">
        <f>CONCATENATE(IF(V7=#REF!,""&amp;#REF!&amp;"",IF(V7=#REF!,""&amp;#REF!&amp;"",IF(V7=#REF!,""&amp;#REF!&amp;"",IF(V7=#REF!,""&amp;#REF!&amp;"",IF(V7=#REF!,""&amp;#REF!&amp;"",IF(V7=#REF!,""&amp;#REF!&amp;"",IF(V7=#REF!,""&amp;#REF!&amp;"",IF(V7=#REF!,""&amp;#REF!&amp;"",IF(V7=#REF!,""&amp;#REF!&amp;"",IF(V7=#REF!,""&amp;#REF!&amp;"",IF(V7=#REF!,""&amp;#REF!&amp;"",IF(V7=#REF!,""&amp;#REF!&amp;"",IF(V7=#REF!,""&amp;#REF!&amp;"",IF(V7=#REF!,""&amp;#REF!&amp;"",IF(V7=#REF!,""&amp;#REF!&amp;"",IF(V7=#REF!,""&amp;#REF!&amp;"",IF(V7=#REF!,""&amp;#REF!&amp;"",IF(V7=#REF!,""&amp;#REF!&amp;"",IF(V7=#REF!,""&amp;#REF!&amp;"",))))))))))))))))))))</f>
        <v>#REF!</v>
      </c>
      <c r="W8" s="131" t="e">
        <f>CONCATENATE(IF(W7=#REF!,""&amp;#REF!&amp;"",IF(W7=#REF!,""&amp;#REF!&amp;"",IF(W7=#REF!,""&amp;#REF!&amp;"",IF(W7=#REF!,""&amp;#REF!&amp;"",IF(W7=#REF!,""&amp;#REF!&amp;"",IF(W7=#REF!,""&amp;#REF!&amp;"",IF(W7=#REF!,""&amp;#REF!&amp;"",IF(W7=#REF!,""&amp;#REF!&amp;"",IF(W7=#REF!,""&amp;#REF!&amp;"",IF(W7=#REF!,""&amp;#REF!&amp;"",IF(W7=#REF!,""&amp;#REF!&amp;"",IF(W7=#REF!,""&amp;#REF!&amp;"",IF(W7=#REF!,""&amp;#REF!&amp;"",IF(W7=#REF!,""&amp;#REF!&amp;"",IF(W7=#REF!,""&amp;#REF!&amp;"",IF(W7=#REF!,""&amp;#REF!&amp;"",IF(W7=#REF!,""&amp;#REF!&amp;"",IF(W7=#REF!,""&amp;#REF!&amp;"",IF(W7=#REF!,""&amp;#REF!&amp;"",))))))))))))))))))))</f>
        <v>#REF!</v>
      </c>
      <c r="X8" s="131" t="e">
        <f>CONCATENATE(IF(X7=#REF!,""&amp;#REF!&amp;"",IF(X7=#REF!,""&amp;#REF!&amp;"",IF(X7=#REF!,""&amp;#REF!&amp;"",IF(X7=#REF!,""&amp;#REF!&amp;"",IF(X7=#REF!,""&amp;#REF!&amp;"",IF(X7=#REF!,""&amp;#REF!&amp;"",IF(X7=#REF!,""&amp;#REF!&amp;"",IF(X7=#REF!,""&amp;#REF!&amp;"",IF(X7=#REF!,""&amp;#REF!&amp;"",IF(X7=#REF!,""&amp;#REF!&amp;"",IF(X7=#REF!,""&amp;#REF!&amp;"",IF(X7=#REF!,""&amp;#REF!&amp;"",IF(X7=#REF!,""&amp;#REF!&amp;"",IF(X7=#REF!,""&amp;#REF!&amp;"",IF(X7=#REF!,""&amp;#REF!&amp;"",IF(X7=#REF!,""&amp;#REF!&amp;"",IF(X7=#REF!,""&amp;#REF!&amp;"",IF(X7=#REF!,""&amp;#REF!&amp;"",IF(X7=#REF!,""&amp;#REF!&amp;"",))))))))))))))))))))</f>
        <v>#REF!</v>
      </c>
      <c r="Y8" s="131" t="e">
        <f>CONCATENATE(IF(Y7=#REF!,""&amp;#REF!&amp;"",IF(Y7=#REF!,""&amp;#REF!&amp;"",IF(Y7=#REF!,""&amp;#REF!&amp;"",IF(Y7=#REF!,""&amp;#REF!&amp;"",IF(Y7=#REF!,""&amp;#REF!&amp;"",IF(Y7=#REF!,""&amp;#REF!&amp;"",IF(Y7=#REF!,""&amp;#REF!&amp;"",IF(Y7=#REF!,""&amp;#REF!&amp;"",IF(Y7=#REF!,""&amp;#REF!&amp;"",IF(Y7=#REF!,""&amp;#REF!&amp;"",IF(Y7=#REF!,""&amp;#REF!&amp;"",IF(Y7=#REF!,""&amp;#REF!&amp;"",IF(Y7=#REF!,""&amp;#REF!&amp;"",IF(Y7=#REF!,""&amp;#REF!&amp;"",IF(Y7=#REF!,""&amp;#REF!&amp;"",IF(Y7=#REF!,""&amp;#REF!&amp;"",IF(Y7=#REF!,""&amp;#REF!&amp;"",IF(Y7=#REF!,""&amp;#REF!&amp;"",IF(Y7=#REF!,""&amp;#REF!&amp;"",))))))))))))))))))))</f>
        <v>#REF!</v>
      </c>
      <c r="Z8" s="131" t="e">
        <f>CONCATENATE(IF(Z7=#REF!,""&amp;#REF!&amp;"",IF(Z7=#REF!,""&amp;#REF!&amp;"",IF(Z7=#REF!,""&amp;#REF!&amp;"",IF(Z7=#REF!,""&amp;#REF!&amp;"",IF(Z7=#REF!,""&amp;#REF!&amp;"",IF(Z7=#REF!,""&amp;#REF!&amp;"",IF(Z7=#REF!,""&amp;#REF!&amp;"",IF(Z7=#REF!,""&amp;#REF!&amp;"",IF(Z7=#REF!,""&amp;#REF!&amp;"",IF(Z7=#REF!,""&amp;#REF!&amp;"",IF(Z7=#REF!,""&amp;#REF!&amp;"",IF(Z7=#REF!,""&amp;#REF!&amp;"",IF(Z7=#REF!,""&amp;#REF!&amp;"",IF(Z7=#REF!,""&amp;#REF!&amp;"",IF(Z7=#REF!,""&amp;#REF!&amp;"",IF(Z7=#REF!,""&amp;#REF!&amp;"",IF(Z7=#REF!,""&amp;#REF!&amp;"",IF(Z7=#REF!,""&amp;#REF!&amp;"",IF(Z7=#REF!,""&amp;#REF!&amp;"",))))))))))))))))))))</f>
        <v>#REF!</v>
      </c>
      <c r="AA8" s="131" t="e">
        <f>CONCATENATE(IF(AA7=#REF!,""&amp;#REF!&amp;"",IF(AA7=#REF!,""&amp;#REF!&amp;"",IF(AA7=#REF!,""&amp;#REF!&amp;"",IF(AA7=#REF!,""&amp;#REF!&amp;"",IF(AA7=#REF!,""&amp;#REF!&amp;"",IF(AA7=#REF!,""&amp;#REF!&amp;"",IF(AA7=#REF!,""&amp;#REF!&amp;"",IF(AA7=#REF!,""&amp;#REF!&amp;"",IF(AA7=#REF!,""&amp;#REF!&amp;"",IF(AA7=#REF!,""&amp;#REF!&amp;"",IF(AA7=#REF!,""&amp;#REF!&amp;"",IF(AA7=#REF!,""&amp;#REF!&amp;"",IF(AA7=#REF!,""&amp;#REF!&amp;"",IF(AA7=#REF!,""&amp;#REF!&amp;"",IF(AA7=#REF!,""&amp;#REF!&amp;"",IF(AA7=#REF!,""&amp;#REF!&amp;"",IF(AA7=#REF!,""&amp;#REF!&amp;"",IF(AA7=#REF!,""&amp;#REF!&amp;"",IF(AA7=#REF!,""&amp;#REF!&amp;"",))))))))))))))))))))</f>
        <v>#REF!</v>
      </c>
      <c r="AB8" s="131" t="e">
        <f>CONCATENATE(IF(AB7=#REF!,""&amp;#REF!&amp;"",IF(AB7=#REF!,""&amp;#REF!&amp;"",IF(AB7=#REF!,""&amp;#REF!&amp;"",IF(AB7=#REF!,""&amp;#REF!&amp;"",IF(AB7=#REF!,""&amp;#REF!&amp;"",IF(AB7=#REF!,""&amp;#REF!&amp;"",IF(AB7=#REF!,""&amp;#REF!&amp;"",IF(AB7=#REF!,""&amp;#REF!&amp;"",IF(AB7=#REF!,""&amp;#REF!&amp;"",IF(AB7=#REF!,""&amp;#REF!&amp;"",IF(AB7=#REF!,""&amp;#REF!&amp;"",IF(AB7=#REF!,""&amp;#REF!&amp;"",IF(AB7=#REF!,""&amp;#REF!&amp;"",IF(AB7=#REF!,""&amp;#REF!&amp;"",IF(AB7=#REF!,""&amp;#REF!&amp;"",IF(AB7=#REF!,""&amp;#REF!&amp;"",IF(AB7=#REF!,""&amp;#REF!&amp;"",IF(AB7=#REF!,""&amp;#REF!&amp;"",IF(AB7=#REF!,""&amp;#REF!&amp;"",))))))))))))))))))))</f>
        <v>#REF!</v>
      </c>
      <c r="AC8" s="131" t="e">
        <f>CONCATENATE(IF(AC7=#REF!,""&amp;#REF!&amp;"",IF(AC7=#REF!,""&amp;#REF!&amp;"",IF(AC7=#REF!,""&amp;#REF!&amp;"",IF(AC7=#REF!,""&amp;#REF!&amp;"",IF(AC7=#REF!,""&amp;#REF!&amp;"",IF(AC7=#REF!,""&amp;#REF!&amp;"",IF(AC7=#REF!,""&amp;#REF!&amp;"",IF(AC7=#REF!,""&amp;#REF!&amp;"",IF(AC7=#REF!,""&amp;#REF!&amp;"",IF(AC7=#REF!,""&amp;#REF!&amp;"",IF(AC7=#REF!,""&amp;#REF!&amp;"",IF(AC7=#REF!,""&amp;#REF!&amp;"",IF(AC7=#REF!,""&amp;#REF!&amp;"",IF(AC7=#REF!,""&amp;#REF!&amp;"",IF(AC7=#REF!,""&amp;#REF!&amp;"",IF(AC7=#REF!,""&amp;#REF!&amp;"",IF(AC7=#REF!,""&amp;#REF!&amp;"",IF(AC7=#REF!,""&amp;#REF!&amp;"",IF(AC7=#REF!,""&amp;#REF!&amp;"",))))))))))))))))))))</f>
        <v>#REF!</v>
      </c>
      <c r="AD8" s="131" t="e">
        <f>CONCATENATE(IF(AD7=#REF!,""&amp;#REF!&amp;"",IF(AD7=#REF!,""&amp;#REF!&amp;"",IF(AD7=#REF!,""&amp;#REF!&amp;"",IF(AD7=#REF!,""&amp;#REF!&amp;"",IF(AD7=#REF!,""&amp;#REF!&amp;"",IF(AD7=#REF!,""&amp;#REF!&amp;"",IF(AD7=#REF!,""&amp;#REF!&amp;"",IF(AD7=#REF!,""&amp;#REF!&amp;"",IF(AD7=#REF!,""&amp;#REF!&amp;"",IF(AD7=#REF!,""&amp;#REF!&amp;"",IF(AD7=#REF!,""&amp;#REF!&amp;"",IF(AD7=#REF!,""&amp;#REF!&amp;"",IF(AD7=#REF!,""&amp;#REF!&amp;"",IF(AD7=#REF!,""&amp;#REF!&amp;"",IF(AD7=#REF!,""&amp;#REF!&amp;"",IF(AD7=#REF!,""&amp;#REF!&amp;"",IF(AD7=#REF!,""&amp;#REF!&amp;"",IF(AD7=#REF!,""&amp;#REF!&amp;"",IF(AD7=#REF!,""&amp;#REF!&amp;"",))))))))))))))))))))</f>
        <v>#REF!</v>
      </c>
      <c r="AE8" s="131" t="e">
        <f>CONCATENATE(IF(AE7=#REF!,""&amp;#REF!&amp;"",IF(AE7=#REF!,""&amp;#REF!&amp;"",IF(AE7=#REF!,""&amp;#REF!&amp;"",IF(AE7=#REF!,""&amp;#REF!&amp;"",IF(AE7=#REF!,""&amp;#REF!&amp;"",IF(AE7=#REF!,""&amp;#REF!&amp;"",IF(AE7=#REF!,""&amp;#REF!&amp;"",IF(AE7=#REF!,""&amp;#REF!&amp;"",IF(AE7=#REF!,""&amp;#REF!&amp;"",IF(AE7=#REF!,""&amp;#REF!&amp;"",IF(AE7=#REF!,""&amp;#REF!&amp;"",IF(AE7=#REF!,""&amp;#REF!&amp;"",IF(AE7=#REF!,""&amp;#REF!&amp;"",IF(AE7=#REF!,""&amp;#REF!&amp;"",IF(AE7=#REF!,""&amp;#REF!&amp;"",IF(AE7=#REF!,""&amp;#REF!&amp;"",IF(AE7=#REF!,""&amp;#REF!&amp;"",IF(AE7=#REF!,""&amp;#REF!&amp;"",IF(AE7=#REF!,""&amp;#REF!&amp;"",))))))))))))))))))))</f>
        <v>#REF!</v>
      </c>
      <c r="AF8" s="131" t="e">
        <f>CONCATENATE(IF(AF7=#REF!,""&amp;#REF!&amp;"",IF(AF7=#REF!,""&amp;#REF!&amp;"",IF(AF7=#REF!,""&amp;#REF!&amp;"",IF(AF7=#REF!,""&amp;#REF!&amp;"",IF(AF7=#REF!,""&amp;#REF!&amp;"",IF(AF7=#REF!,""&amp;#REF!&amp;"",IF(AF7=#REF!,""&amp;#REF!&amp;"",IF(AF7=#REF!,""&amp;#REF!&amp;"",IF(AF7=#REF!,""&amp;#REF!&amp;"",IF(AF7=#REF!,""&amp;#REF!&amp;"",IF(AF7=#REF!,""&amp;#REF!&amp;"",IF(AF7=#REF!,""&amp;#REF!&amp;"",IF(AF7=#REF!,""&amp;#REF!&amp;"",IF(AF7=#REF!,""&amp;#REF!&amp;"",IF(AF7=#REF!,""&amp;#REF!&amp;"",IF(AF7=#REF!,""&amp;#REF!&amp;"",IF(AF7=#REF!,""&amp;#REF!&amp;"",IF(AF7=#REF!,""&amp;#REF!&amp;"",IF(AF7=#REF!,""&amp;#REF!&amp;"",))))))))))))))))))))</f>
        <v>#REF!</v>
      </c>
      <c r="AG8" s="131" t="e">
        <f>CONCATENATE(IF(AG7=#REF!,""&amp;#REF!&amp;"",IF(AG7=#REF!,""&amp;#REF!&amp;"",IF(AG7=#REF!,""&amp;#REF!&amp;"",IF(AG7=#REF!,""&amp;#REF!&amp;"",IF(AG7=#REF!,""&amp;#REF!&amp;"",IF(AG7=#REF!,""&amp;#REF!&amp;"",IF(AG7=#REF!,""&amp;#REF!&amp;"",IF(AG7=#REF!,""&amp;#REF!&amp;"",IF(AG7=#REF!,""&amp;#REF!&amp;"",IF(AG7=#REF!,""&amp;#REF!&amp;"",IF(AG7=#REF!,""&amp;#REF!&amp;"",IF(AG7=#REF!,""&amp;#REF!&amp;"",IF(AG7=#REF!,""&amp;#REF!&amp;"",IF(AG7=#REF!,""&amp;#REF!&amp;"",IF(AG7=#REF!,""&amp;#REF!&amp;"",IF(AG7=#REF!,""&amp;#REF!&amp;"",IF(AG7=#REF!,""&amp;#REF!&amp;"",IF(AG7=#REF!,""&amp;#REF!&amp;"",IF(AG7=#REF!,""&amp;#REF!&amp;"",))))))))))))))))))))</f>
        <v>#REF!</v>
      </c>
    </row>
    <row r="9" spans="1:33" ht="18.75" thickBot="1">
      <c r="A9" s="30" t="s">
        <v>365</v>
      </c>
      <c r="B9" s="31"/>
      <c r="C9" s="31">
        <v>13</v>
      </c>
      <c r="D9" s="31"/>
      <c r="E9" s="31"/>
      <c r="F9" s="31"/>
      <c r="G9" s="31" t="s">
        <v>366</v>
      </c>
      <c r="H9" s="31"/>
      <c r="I9" s="31">
        <v>8</v>
      </c>
      <c r="J9" s="31"/>
      <c r="K9" s="31"/>
      <c r="L9" s="31"/>
      <c r="M9" s="124"/>
      <c r="N9" s="124"/>
      <c r="O9" s="124"/>
      <c r="P9" s="129" t="e">
        <f>CONCATENATE(#REF!)</f>
        <v>#REF!</v>
      </c>
      <c r="Q9" s="134" t="s">
        <v>381</v>
      </c>
      <c r="R9" s="131"/>
      <c r="S9" s="129" t="e">
        <f>P9</f>
        <v>#REF!</v>
      </c>
      <c r="T9" s="130" t="e">
        <f>CONCATENATE(#REF!)</f>
        <v>#REF!</v>
      </c>
      <c r="U9" s="130" t="e">
        <f>CONCATENATE(#REF!)</f>
        <v>#REF!</v>
      </c>
      <c r="V9" s="129" t="str">
        <f>CONCATENATE(IF(ISERROR(VLOOKUP(P9,#REF!,15,0)),"",(VLOOKUP(P9,#REF!,15,0))))</f>
        <v/>
      </c>
      <c r="W9" s="129" t="str">
        <f>CONCATENATE(IF(ISERROR(VLOOKUP(P9,#REF!,16,0)),"",(VLOOKUP(P9,#REF!,16,0))))</f>
        <v/>
      </c>
      <c r="X9" s="129" t="str">
        <f>CONCATENATE(IF(ISERROR(VLOOKUP(P9,#REF!,17,0)),"",(VLOOKUP(P9,#REF!,17,0))))</f>
        <v/>
      </c>
      <c r="Y9" s="129" t="str">
        <f>CONCATENATE(IF(ISERROR(VLOOKUP(P9,#REF!,18,0)),"",(VLOOKUP(P9,#REF!,18,0))))</f>
        <v/>
      </c>
      <c r="Z9" s="129" t="str">
        <f>CONCATENATE(IF(ISERROR(VLOOKUP(P9,#REF!,19,0)),"",(VLOOKUP(P9,#REF!,19,0))))</f>
        <v/>
      </c>
      <c r="AA9" s="129" t="str">
        <f>CONCATENATE(IF(ISERROR(VLOOKUP(P9,#REF!,20,0)),"",(VLOOKUP(P9,#REF!,20,0))))</f>
        <v/>
      </c>
      <c r="AB9" s="129" t="str">
        <f>CONCATENATE(IF(ISERROR(VLOOKUP(P9,#REF!,21,0)),"",(VLOOKUP(P9,#REF!,21,0))))</f>
        <v/>
      </c>
      <c r="AC9" s="129" t="str">
        <f>CONCATENATE(IF(ISERROR(VLOOKUP(P9,#REF!,22,0)),"",(VLOOKUP(P9,#REF!,22,0))))</f>
        <v/>
      </c>
      <c r="AD9" s="129" t="str">
        <f>CONCATENATE(IF(ISERROR(VLOOKUP(P9,#REF!,23,0)),"",(VLOOKUP(P9,#REF!,23,0))))</f>
        <v/>
      </c>
      <c r="AE9" s="129" t="str">
        <f>CONCATENATE(IF(ISERROR(VLOOKUP(P9,#REF!,24,0)),"",(VLOOKUP(P9,#REF!,24,0))))</f>
        <v/>
      </c>
      <c r="AF9" s="129" t="str">
        <f>CONCATENATE(IF(ISERROR(VLOOKUP(P9,#REF!,25,0)),"",(VLOOKUP(P9,#REF!,25,0))))</f>
        <v/>
      </c>
      <c r="AG9" s="131" t="e">
        <f>CONCATENATE(IF(AG8=#REF!,""&amp;#REF!&amp;"",IF(AG8=#REF!,""&amp;#REF!&amp;"",IF(AG8=#REF!,""&amp;#REF!&amp;"",IF(AG8=#REF!,""&amp;#REF!&amp;"",IF(AG8=#REF!,""&amp;#REF!&amp;"",IF(AG8=#REF!,""&amp;#REF!&amp;"",IF(AG8=#REF!,""&amp;#REF!&amp;"",IF(AG8=#REF!,""&amp;#REF!&amp;"",IF(AG8=#REF!,""&amp;#REF!&amp;"",IF(AG8=#REF!,""&amp;#REF!&amp;"",IF(AG8=#REF!,""&amp;#REF!&amp;"",IF(AG8=#REF!,""&amp;#REF!&amp;"",IF(AG8=#REF!,""&amp;#REF!&amp;"",IF(AG8=#REF!,""&amp;#REF!&amp;"",IF(AG8=#REF!,""&amp;#REF!&amp;"",IF(AG8=#REF!,""&amp;#REF!&amp;"",)))))))))))))))))</f>
        <v>#REF!</v>
      </c>
    </row>
    <row r="10" spans="1:33" ht="17.25" thickTop="1" thickBot="1">
      <c r="A10" s="1510" t="s">
        <v>367</v>
      </c>
      <c r="B10" s="1511"/>
      <c r="C10" s="1551" t="s">
        <v>360</v>
      </c>
      <c r="D10" s="1511"/>
      <c r="E10" s="1551" t="s">
        <v>368</v>
      </c>
      <c r="F10" s="1511"/>
      <c r="G10" s="1551" t="s">
        <v>369</v>
      </c>
      <c r="H10" s="1511"/>
      <c r="I10" s="1551" t="s">
        <v>370</v>
      </c>
      <c r="J10" s="1511"/>
      <c r="K10" s="1551" t="s">
        <v>371</v>
      </c>
      <c r="L10" s="1552"/>
      <c r="M10" s="125"/>
      <c r="N10" s="125"/>
      <c r="O10" s="125"/>
      <c r="P10" s="131"/>
      <c r="Q10" s="134" t="s">
        <v>495</v>
      </c>
      <c r="R10" s="131" t="e">
        <f>P9</f>
        <v>#REF!</v>
      </c>
      <c r="S10" s="131"/>
      <c r="T10" s="132"/>
      <c r="U10" s="132"/>
      <c r="V10" s="131" t="e">
        <f>CONCATENATE(IF(V9=#REF!,""&amp;#REF!&amp;"",IF(V9=#REF!,""&amp;#REF!&amp;"",IF(V9=#REF!,""&amp;#REF!&amp;"",IF(V9=#REF!,""&amp;#REF!&amp;"",IF(V9=#REF!,""&amp;#REF!&amp;"",IF(V9=#REF!,""&amp;#REF!&amp;"",IF(V9=#REF!,""&amp;#REF!&amp;"",IF(V9=#REF!,""&amp;#REF!&amp;"",IF(V9=#REF!,""&amp;#REF!&amp;"",IF(V9=#REF!,""&amp;#REF!&amp;"",IF(V9=#REF!,""&amp;#REF!&amp;"",IF(V9=#REF!,""&amp;#REF!&amp;"",IF(V9=#REF!,""&amp;#REF!&amp;"",IF(V9=#REF!,""&amp;#REF!&amp;"",IF(V9=#REF!,""&amp;#REF!&amp;"",IF(V9=#REF!,""&amp;#REF!&amp;"",IF(V9=#REF!,""&amp;#REF!&amp;"",IF(V9=#REF!,""&amp;#REF!&amp;"",IF(V9=#REF!,""&amp;#REF!&amp;"",))))))))))))))))))))</f>
        <v>#REF!</v>
      </c>
      <c r="W10" s="131" t="e">
        <f>CONCATENATE(IF(W9=#REF!,""&amp;#REF!&amp;"",IF(W9=#REF!,""&amp;#REF!&amp;"",IF(W9=#REF!,""&amp;#REF!&amp;"",IF(W9=#REF!,""&amp;#REF!&amp;"",IF(W9=#REF!,""&amp;#REF!&amp;"",IF(W9=#REF!,""&amp;#REF!&amp;"",IF(W9=#REF!,""&amp;#REF!&amp;"",IF(W9=#REF!,""&amp;#REF!&amp;"",IF(W9=#REF!,""&amp;#REF!&amp;"",IF(W9=#REF!,""&amp;#REF!&amp;"",IF(W9=#REF!,""&amp;#REF!&amp;"",IF(W9=#REF!,""&amp;#REF!&amp;"",IF(W9=#REF!,""&amp;#REF!&amp;"",IF(W9=#REF!,""&amp;#REF!&amp;"",IF(W9=#REF!,""&amp;#REF!&amp;"",IF(W9=#REF!,""&amp;#REF!&amp;"",IF(W9=#REF!,""&amp;#REF!&amp;"",IF(W9=#REF!,""&amp;#REF!&amp;"",IF(W9=#REF!,""&amp;#REF!&amp;"",))))))))))))))))))))</f>
        <v>#REF!</v>
      </c>
      <c r="X10" s="131" t="e">
        <f>CONCATENATE(IF(X9=#REF!,""&amp;#REF!&amp;"",IF(X9=#REF!,""&amp;#REF!&amp;"",IF(X9=#REF!,""&amp;#REF!&amp;"",IF(X9=#REF!,""&amp;#REF!&amp;"",IF(X9=#REF!,""&amp;#REF!&amp;"",IF(X9=#REF!,""&amp;#REF!&amp;"",IF(X9=#REF!,""&amp;#REF!&amp;"",IF(X9=#REF!,""&amp;#REF!&amp;"",IF(X9=#REF!,""&amp;#REF!&amp;"",IF(X9=#REF!,""&amp;#REF!&amp;"",IF(X9=#REF!,""&amp;#REF!&amp;"",IF(X9=#REF!,""&amp;#REF!&amp;"",IF(X9=#REF!,""&amp;#REF!&amp;"",IF(X9=#REF!,""&amp;#REF!&amp;"",IF(X9=#REF!,""&amp;#REF!&amp;"",IF(X9=#REF!,""&amp;#REF!&amp;"",IF(X9=#REF!,""&amp;#REF!&amp;"",IF(X9=#REF!,""&amp;#REF!&amp;"",IF(X9=#REF!,""&amp;#REF!&amp;"",))))))))))))))))))))</f>
        <v>#REF!</v>
      </c>
      <c r="Y10" s="131" t="e">
        <f>CONCATENATE(IF(Y9=#REF!,""&amp;#REF!&amp;"",IF(Y9=#REF!,""&amp;#REF!&amp;"",IF(Y9=#REF!,""&amp;#REF!&amp;"",IF(Y9=#REF!,""&amp;#REF!&amp;"",IF(Y9=#REF!,""&amp;#REF!&amp;"",IF(Y9=#REF!,""&amp;#REF!&amp;"",IF(Y9=#REF!,""&amp;#REF!&amp;"",IF(Y9=#REF!,""&amp;#REF!&amp;"",IF(Y9=#REF!,""&amp;#REF!&amp;"",IF(Y9=#REF!,""&amp;#REF!&amp;"",IF(Y9=#REF!,""&amp;#REF!&amp;"",IF(Y9=#REF!,""&amp;#REF!&amp;"",IF(Y9=#REF!,""&amp;#REF!&amp;"",IF(Y9=#REF!,""&amp;#REF!&amp;"",IF(Y9=#REF!,""&amp;#REF!&amp;"",IF(Y9=#REF!,""&amp;#REF!&amp;"",IF(Y9=#REF!,""&amp;#REF!&amp;"",IF(Y9=#REF!,""&amp;#REF!&amp;"",IF(Y9=#REF!,""&amp;#REF!&amp;"",))))))))))))))))))))</f>
        <v>#REF!</v>
      </c>
      <c r="Z10" s="131" t="e">
        <f>CONCATENATE(IF(Z9=#REF!,""&amp;#REF!&amp;"",IF(Z9=#REF!,""&amp;#REF!&amp;"",IF(Z9=#REF!,""&amp;#REF!&amp;"",IF(Z9=#REF!,""&amp;#REF!&amp;"",IF(Z9=#REF!,""&amp;#REF!&amp;"",IF(Z9=#REF!,""&amp;#REF!&amp;"",IF(Z9=#REF!,""&amp;#REF!&amp;"",IF(Z9=#REF!,""&amp;#REF!&amp;"",IF(Z9=#REF!,""&amp;#REF!&amp;"",IF(Z9=#REF!,""&amp;#REF!&amp;"",IF(Z9=#REF!,""&amp;#REF!&amp;"",IF(Z9=#REF!,""&amp;#REF!&amp;"",IF(Z9=#REF!,""&amp;#REF!&amp;"",IF(Z9=#REF!,""&amp;#REF!&amp;"",IF(Z9=#REF!,""&amp;#REF!&amp;"",IF(Z9=#REF!,""&amp;#REF!&amp;"",IF(Z9=#REF!,""&amp;#REF!&amp;"",IF(Z9=#REF!,""&amp;#REF!&amp;"",IF(Z9=#REF!,""&amp;#REF!&amp;"",))))))))))))))))))))</f>
        <v>#REF!</v>
      </c>
      <c r="AA10" s="131" t="e">
        <f>CONCATENATE(IF(AA9=#REF!,""&amp;#REF!&amp;"",IF(AA9=#REF!,""&amp;#REF!&amp;"",IF(AA9=#REF!,""&amp;#REF!&amp;"",IF(AA9=#REF!,""&amp;#REF!&amp;"",IF(AA9=#REF!,""&amp;#REF!&amp;"",IF(AA9=#REF!,""&amp;#REF!&amp;"",IF(AA9=#REF!,""&amp;#REF!&amp;"",IF(AA9=#REF!,""&amp;#REF!&amp;"",IF(AA9=#REF!,""&amp;#REF!&amp;"",IF(AA9=#REF!,""&amp;#REF!&amp;"",IF(AA9=#REF!,""&amp;#REF!&amp;"",IF(AA9=#REF!,""&amp;#REF!&amp;"",IF(AA9=#REF!,""&amp;#REF!&amp;"",IF(AA9=#REF!,""&amp;#REF!&amp;"",IF(AA9=#REF!,""&amp;#REF!&amp;"",IF(AA9=#REF!,""&amp;#REF!&amp;"",IF(AA9=#REF!,""&amp;#REF!&amp;"",IF(AA9=#REF!,""&amp;#REF!&amp;"",IF(AA9=#REF!,""&amp;#REF!&amp;"",))))))))))))))))))))</f>
        <v>#REF!</v>
      </c>
      <c r="AB10" s="131" t="e">
        <f>CONCATENATE(IF(AB9=#REF!,""&amp;#REF!&amp;"",IF(AB9=#REF!,""&amp;#REF!&amp;"",IF(AB9=#REF!,""&amp;#REF!&amp;"",IF(AB9=#REF!,""&amp;#REF!&amp;"",IF(AB9=#REF!,""&amp;#REF!&amp;"",IF(AB9=#REF!,""&amp;#REF!&amp;"",IF(AB9=#REF!,""&amp;#REF!&amp;"",IF(AB9=#REF!,""&amp;#REF!&amp;"",IF(AB9=#REF!,""&amp;#REF!&amp;"",IF(AB9=#REF!,""&amp;#REF!&amp;"",IF(AB9=#REF!,""&amp;#REF!&amp;"",IF(AB9=#REF!,""&amp;#REF!&amp;"",IF(AB9=#REF!,""&amp;#REF!&amp;"",IF(AB9=#REF!,""&amp;#REF!&amp;"",IF(AB9=#REF!,""&amp;#REF!&amp;"",IF(AB9=#REF!,""&amp;#REF!&amp;"",IF(AB9=#REF!,""&amp;#REF!&amp;"",IF(AB9=#REF!,""&amp;#REF!&amp;"",IF(AB9=#REF!,""&amp;#REF!&amp;"",))))))))))))))))))))</f>
        <v>#REF!</v>
      </c>
      <c r="AC10" s="131" t="e">
        <f>CONCATENATE(IF(AC9=#REF!,""&amp;#REF!&amp;"",IF(AC9=#REF!,""&amp;#REF!&amp;"",IF(AC9=#REF!,""&amp;#REF!&amp;"",IF(AC9=#REF!,""&amp;#REF!&amp;"",IF(AC9=#REF!,""&amp;#REF!&amp;"",IF(AC9=#REF!,""&amp;#REF!&amp;"",IF(AC9=#REF!,""&amp;#REF!&amp;"",IF(AC9=#REF!,""&amp;#REF!&amp;"",IF(AC9=#REF!,""&amp;#REF!&amp;"",IF(AC9=#REF!,""&amp;#REF!&amp;"",IF(AC9=#REF!,""&amp;#REF!&amp;"",IF(AC9=#REF!,""&amp;#REF!&amp;"",IF(AC9=#REF!,""&amp;#REF!&amp;"",IF(AC9=#REF!,""&amp;#REF!&amp;"",IF(AC9=#REF!,""&amp;#REF!&amp;"",IF(AC9=#REF!,""&amp;#REF!&amp;"",IF(AC9=#REF!,""&amp;#REF!&amp;"",IF(AC9=#REF!,""&amp;#REF!&amp;"",IF(AC9=#REF!,""&amp;#REF!&amp;"",))))))))))))))))))))</f>
        <v>#REF!</v>
      </c>
      <c r="AD10" s="131" t="e">
        <f>CONCATENATE(IF(AD9=#REF!,""&amp;#REF!&amp;"",IF(AD9=#REF!,""&amp;#REF!&amp;"",IF(AD9=#REF!,""&amp;#REF!&amp;"",IF(AD9=#REF!,""&amp;#REF!&amp;"",IF(AD9=#REF!,""&amp;#REF!&amp;"",IF(AD9=#REF!,""&amp;#REF!&amp;"",IF(AD9=#REF!,""&amp;#REF!&amp;"",IF(AD9=#REF!,""&amp;#REF!&amp;"",IF(AD9=#REF!,""&amp;#REF!&amp;"",IF(AD9=#REF!,""&amp;#REF!&amp;"",IF(AD9=#REF!,""&amp;#REF!&amp;"",IF(AD9=#REF!,""&amp;#REF!&amp;"",IF(AD9=#REF!,""&amp;#REF!&amp;"",IF(AD9=#REF!,""&amp;#REF!&amp;"",IF(AD9=#REF!,""&amp;#REF!&amp;"",IF(AD9=#REF!,""&amp;#REF!&amp;"",IF(AD9=#REF!,""&amp;#REF!&amp;"",IF(AD9=#REF!,""&amp;#REF!&amp;"",IF(AD9=#REF!,""&amp;#REF!&amp;"",))))))))))))))))))))</f>
        <v>#REF!</v>
      </c>
      <c r="AE10" s="131" t="e">
        <f>CONCATENATE(IF(AE9=#REF!,""&amp;#REF!&amp;"",IF(AE9=#REF!,""&amp;#REF!&amp;"",IF(AE9=#REF!,""&amp;#REF!&amp;"",IF(AE9=#REF!,""&amp;#REF!&amp;"",IF(AE9=#REF!,""&amp;#REF!&amp;"",IF(AE9=#REF!,""&amp;#REF!&amp;"",IF(AE9=#REF!,""&amp;#REF!&amp;"",IF(AE9=#REF!,""&amp;#REF!&amp;"",IF(AE9=#REF!,""&amp;#REF!&amp;"",IF(AE9=#REF!,""&amp;#REF!&amp;"",IF(AE9=#REF!,""&amp;#REF!&amp;"",IF(AE9=#REF!,""&amp;#REF!&amp;"",IF(AE9=#REF!,""&amp;#REF!&amp;"",IF(AE9=#REF!,""&amp;#REF!&amp;"",IF(AE9=#REF!,""&amp;#REF!&amp;"",IF(AE9=#REF!,""&amp;#REF!&amp;"",IF(AE9=#REF!,""&amp;#REF!&amp;"",IF(AE9=#REF!,""&amp;#REF!&amp;"",IF(AE9=#REF!,""&amp;#REF!&amp;"",))))))))))))))))))))</f>
        <v>#REF!</v>
      </c>
      <c r="AF10" s="131" t="e">
        <f>CONCATENATE(IF(AF9=#REF!,""&amp;#REF!&amp;"",IF(AF9=#REF!,""&amp;#REF!&amp;"",IF(AF9=#REF!,""&amp;#REF!&amp;"",IF(AF9=#REF!,""&amp;#REF!&amp;"",IF(AF9=#REF!,""&amp;#REF!&amp;"",IF(AF9=#REF!,""&amp;#REF!&amp;"",IF(AF9=#REF!,""&amp;#REF!&amp;"",IF(AF9=#REF!,""&amp;#REF!&amp;"",IF(AF9=#REF!,""&amp;#REF!&amp;"",IF(AF9=#REF!,""&amp;#REF!&amp;"",IF(AF9=#REF!,""&amp;#REF!&amp;"",IF(AF9=#REF!,""&amp;#REF!&amp;"",IF(AF9=#REF!,""&amp;#REF!&amp;"",IF(AF9=#REF!,""&amp;#REF!&amp;"",IF(AF9=#REF!,""&amp;#REF!&amp;"",IF(AF9=#REF!,""&amp;#REF!&amp;"",IF(AF9=#REF!,""&amp;#REF!&amp;"",IF(AF9=#REF!,""&amp;#REF!&amp;"",IF(AF9=#REF!,""&amp;#REF!&amp;"",))))))))))))))))))))</f>
        <v>#REF!</v>
      </c>
      <c r="AG10" s="131" t="e">
        <f>CONCATENATE(IF(AG9=#REF!,""&amp;#REF!&amp;"",IF(AG9=#REF!,""&amp;#REF!&amp;"",IF(AG9=#REF!,""&amp;#REF!&amp;"",IF(AG9=#REF!,""&amp;#REF!&amp;"",IF(AG9=#REF!,""&amp;#REF!&amp;"",IF(AG9=#REF!,""&amp;#REF!&amp;"",IF(AG9=#REF!,""&amp;#REF!&amp;"",IF(AG9=#REF!,""&amp;#REF!&amp;"",IF(AG9=#REF!,""&amp;#REF!&amp;"",IF(AG9=#REF!,""&amp;#REF!&amp;"",IF(AG9=#REF!,""&amp;#REF!&amp;"",IF(AG9=#REF!,""&amp;#REF!&amp;"",IF(AG9=#REF!,""&amp;#REF!&amp;"",IF(AG9=#REF!,""&amp;#REF!&amp;"",IF(AG9=#REF!,""&amp;#REF!&amp;"",IF(AG9=#REF!,""&amp;#REF!&amp;"",IF(AG9=#REF!,""&amp;#REF!&amp;"",IF(AG9=#REF!,""&amp;#REF!&amp;"",IF(AG9=#REF!,""&amp;#REF!&amp;"",))))))))))))))))))))</f>
        <v>#REF!</v>
      </c>
    </row>
    <row r="11" spans="1:33" ht="17.25" thickTop="1" thickBot="1">
      <c r="A11" s="1528" t="s">
        <v>372</v>
      </c>
      <c r="B11" s="1550"/>
      <c r="C11" s="1315" t="str">
        <f>IF(ISERROR(HLOOKUP($H$6,[3]Feuil2!$C$3:$AG$44,4,0)),"",(HLOOKUP($H$6,[3]Feuil2!$C$3:$AG$44,4,0)))</f>
        <v/>
      </c>
      <c r="D11" s="1316"/>
      <c r="E11" s="1315" t="str">
        <f>IF(ISERROR(HLOOKUP($H$6,[3]Feuil2!$C$3:$AG$44,12,0)),"",(HLOOKUP($H$6,[3]Feuil2!$C$3:$AG$44,12,0)))</f>
        <v/>
      </c>
      <c r="F11" s="1316"/>
      <c r="G11" s="1315" t="str">
        <f>IF(ISERROR(HLOOKUP($H$6,[3]Feuil2!$C$3:$AG$44,20,0)),"",(HLOOKUP($H$6,[3]Feuil2!$C$3:$AG$44,20,0)))</f>
        <v/>
      </c>
      <c r="H11" s="1316"/>
      <c r="I11" s="1315" t="str">
        <f>IF(ISERROR(HLOOKUP($H$6,[3]Feuil2!$C$3:$AG$44,28,0)),"",(HLOOKUP($H$6,[3]Feuil2!$C$3:$AG$44,28,0)))</f>
        <v/>
      </c>
      <c r="J11" s="1316"/>
      <c r="K11" s="1315" t="str">
        <f>IF(ISERROR(HLOOKUP($H$6,[3]Feuil2!$C$3:$AG$44,36,0)),"",(HLOOKUP($H$6,[3]Feuil2!$C$3:$AG$44,36,0)))</f>
        <v/>
      </c>
      <c r="L11" s="1316"/>
      <c r="M11" s="125"/>
      <c r="N11" s="125"/>
      <c r="O11" s="125"/>
      <c r="P11" s="129" t="e">
        <f>CONCATENATE(#REF!)</f>
        <v>#REF!</v>
      </c>
      <c r="Q11" s="134" t="s">
        <v>381</v>
      </c>
      <c r="R11" s="134"/>
      <c r="S11" s="129" t="e">
        <f>P11</f>
        <v>#REF!</v>
      </c>
      <c r="T11" s="130" t="e">
        <f>CONCATENATE(#REF!)</f>
        <v>#REF!</v>
      </c>
      <c r="U11" s="130" t="e">
        <f>CONCATENATE(#REF!)</f>
        <v>#REF!</v>
      </c>
      <c r="V11" s="129" t="str">
        <f>CONCATENATE(IF(ISERROR(VLOOKUP(P11,#REF!,15,0)),"",(VLOOKUP(P11,#REF!,15,0))))</f>
        <v/>
      </c>
      <c r="W11" s="129" t="str">
        <f>CONCATENATE(IF(ISERROR(VLOOKUP(P11,#REF!,16,0)),"",(VLOOKUP(P11,#REF!,16,0))))</f>
        <v/>
      </c>
      <c r="X11" s="129" t="str">
        <f>CONCATENATE(IF(ISERROR(VLOOKUP(P11,#REF!,17,0)),"",(VLOOKUP(P11,#REF!,17,0))))</f>
        <v/>
      </c>
      <c r="Y11" s="129" t="str">
        <f>CONCATENATE(IF(ISERROR(VLOOKUP(P11,#REF!,18,0)),"",(VLOOKUP(P11,#REF!,18,0))))</f>
        <v/>
      </c>
      <c r="Z11" s="129" t="str">
        <f>CONCATENATE(IF(ISERROR(VLOOKUP(P11,#REF!,19,0)),"",(VLOOKUP(P11,#REF!,19,0))))</f>
        <v/>
      </c>
      <c r="AA11" s="129" t="str">
        <f>CONCATENATE(IF(ISERROR(VLOOKUP(P11,#REF!,20,0)),"",(VLOOKUP(P11,#REF!,20,0))))</f>
        <v/>
      </c>
      <c r="AB11" s="129" t="str">
        <f>CONCATENATE(IF(ISERROR(VLOOKUP(P11,#REF!,21,0)),"",(VLOOKUP(P11,#REF!,21,0))))</f>
        <v/>
      </c>
      <c r="AC11" s="129" t="str">
        <f>CONCATENATE(IF(ISERROR(VLOOKUP(P11,#REF!,22,0)),"",(VLOOKUP(P11,#REF!,22,0))))</f>
        <v/>
      </c>
      <c r="AD11" s="129" t="str">
        <f>CONCATENATE(IF(ISERROR(VLOOKUP(P11,#REF!,23,0)),"",(VLOOKUP(P11,#REF!,23,0))))</f>
        <v/>
      </c>
      <c r="AE11" s="129" t="str">
        <f>CONCATENATE(IF(ISERROR(VLOOKUP(P11,#REF!,24,0)),"",(VLOOKUP(P11,#REF!,24,0))))</f>
        <v/>
      </c>
      <c r="AF11" s="129" t="str">
        <f>CONCATENATE(IF(ISERROR(VLOOKUP(P11,#REF!,25,0)),"",(VLOOKUP(P11,#REF!,25,0))))</f>
        <v/>
      </c>
      <c r="AG11" s="136"/>
    </row>
    <row r="12" spans="1:33" ht="17.25" thickTop="1" thickBot="1">
      <c r="A12" s="1528" t="s">
        <v>373</v>
      </c>
      <c r="B12" s="1550"/>
      <c r="C12" s="1315" t="str">
        <f>IF(ISERROR(HLOOKUP($H$6,[3]Feuil2!$C$3:$AG$44,5,0)),"",(HLOOKUP($H$6,[3]Feuil2!$C$3:$AG$44,5,0)))</f>
        <v/>
      </c>
      <c r="D12" s="1316"/>
      <c r="E12" s="1315" t="str">
        <f>IF(ISERROR(HLOOKUP($H$6,[3]Feuil2!$C$3:$AG$44,13,0)),"",(HLOOKUP($H$6,[3]Feuil2!$C$3:$AG$44,13,0)))</f>
        <v/>
      </c>
      <c r="F12" s="1316"/>
      <c r="G12" s="1315" t="str">
        <f>IF(ISERROR(HLOOKUP($H$6,[3]Feuil2!$C$3:$AG$44,21,0)),"",(HLOOKUP($H$6,[3]Feuil2!$C$3:$AG$44,21,0)))</f>
        <v/>
      </c>
      <c r="H12" s="1316"/>
      <c r="I12" s="1315" t="str">
        <f>IF(ISERROR(HLOOKUP($H$6,[3]Feuil2!$C$3:$AG$44,29,0)),"",(HLOOKUP($H$6,[3]Feuil2!$C$3:$AG$44,29,0)))</f>
        <v/>
      </c>
      <c r="J12" s="1316"/>
      <c r="K12" s="1315" t="str">
        <f>IF(ISERROR(HLOOKUP($H$6,[3]Feuil2!$C$3:$AG$44,37,0)),"",(HLOOKUP($H$6,[3]Feuil2!$C$3:$AG$44,37,0)))</f>
        <v/>
      </c>
      <c r="L12" s="1316"/>
      <c r="M12" s="125"/>
      <c r="N12" s="125"/>
      <c r="O12" s="125"/>
      <c r="P12" s="131"/>
      <c r="Q12" s="134" t="s">
        <v>495</v>
      </c>
      <c r="R12" s="131" t="e">
        <f>P11</f>
        <v>#REF!</v>
      </c>
      <c r="S12" s="131"/>
      <c r="T12" s="130"/>
      <c r="U12" s="130"/>
      <c r="V12" s="131" t="e">
        <f>CONCATENATE(IF(V11=#REF!,""&amp;#REF!&amp;"",IF(V11=#REF!,""&amp;#REF!&amp;"",IF(V11=#REF!,""&amp;#REF!&amp;"",IF(V11=#REF!,""&amp;#REF!&amp;"",IF(V11=#REF!,""&amp;#REF!&amp;"",IF(V11=#REF!,""&amp;#REF!&amp;"",IF(V11=#REF!,""&amp;#REF!&amp;"",IF(V11=#REF!,""&amp;#REF!&amp;"",IF(V11=#REF!,""&amp;#REF!&amp;"",IF(V11=#REF!,""&amp;#REF!&amp;"",IF(V11=#REF!,""&amp;#REF!&amp;"",IF(V11=#REF!,""&amp;#REF!&amp;"",IF(V11=#REF!,""&amp;#REF!&amp;"",IF(V11=#REF!,""&amp;#REF!&amp;"",IF(V11=#REF!,""&amp;#REF!&amp;"",IF(V11=#REF!,""&amp;#REF!&amp;"",IF(V11=#REF!,""&amp;#REF!&amp;"",IF(V11=#REF!,""&amp;#REF!&amp;"",IF(V11=#REF!,""&amp;#REF!&amp;"",))))))))))))))))))))</f>
        <v>#REF!</v>
      </c>
      <c r="W12" s="131" t="e">
        <f>CONCATENATE(IF(W11=#REF!,""&amp;#REF!&amp;"",IF(W11=#REF!,""&amp;#REF!&amp;"",IF(W11=#REF!,""&amp;#REF!&amp;"",IF(W11=#REF!,""&amp;#REF!&amp;"",IF(W11=#REF!,""&amp;#REF!&amp;"",IF(W11=#REF!,""&amp;#REF!&amp;"",IF(W11=#REF!,""&amp;#REF!&amp;"",IF(W11=#REF!,""&amp;#REF!&amp;"",IF(W11=#REF!,""&amp;#REF!&amp;"",IF(W11=#REF!,""&amp;#REF!&amp;"",IF(W11=#REF!,""&amp;#REF!&amp;"",IF(W11=#REF!,""&amp;#REF!&amp;"",IF(W11=#REF!,""&amp;#REF!&amp;"",IF(W11=#REF!,""&amp;#REF!&amp;"",IF(W11=#REF!,""&amp;#REF!&amp;"",IF(W11=#REF!,""&amp;#REF!&amp;"",IF(W11=#REF!,""&amp;#REF!&amp;"",IF(W11=#REF!,""&amp;#REF!&amp;"",IF(W11=#REF!,""&amp;#REF!&amp;"",))))))))))))))))))))</f>
        <v>#REF!</v>
      </c>
      <c r="X12" s="131" t="e">
        <f>CONCATENATE(IF(X11=#REF!,""&amp;#REF!&amp;"",IF(X11=#REF!,""&amp;#REF!&amp;"",IF(X11=#REF!,""&amp;#REF!&amp;"",IF(X11=#REF!,""&amp;#REF!&amp;"",IF(X11=#REF!,""&amp;#REF!&amp;"",IF(X11=#REF!,""&amp;#REF!&amp;"",IF(X11=#REF!,""&amp;#REF!&amp;"",IF(X11=#REF!,""&amp;#REF!&amp;"",IF(X11=#REF!,""&amp;#REF!&amp;"",IF(X11=#REF!,""&amp;#REF!&amp;"",IF(X11=#REF!,""&amp;#REF!&amp;"",IF(X11=#REF!,""&amp;#REF!&amp;"",IF(X11=#REF!,""&amp;#REF!&amp;"",IF(X11=#REF!,""&amp;#REF!&amp;"",IF(X11=#REF!,""&amp;#REF!&amp;"",IF(X11=#REF!,""&amp;#REF!&amp;"",IF(X11=#REF!,""&amp;#REF!&amp;"",IF(X11=#REF!,""&amp;#REF!&amp;"",IF(X11=#REF!,""&amp;#REF!&amp;"",))))))))))))))))))))</f>
        <v>#REF!</v>
      </c>
      <c r="Y12" s="131" t="e">
        <f>CONCATENATE(IF(Y11=#REF!,""&amp;#REF!&amp;"",IF(Y11=#REF!,""&amp;#REF!&amp;"",IF(Y11=#REF!,""&amp;#REF!&amp;"",IF(Y11=#REF!,""&amp;#REF!&amp;"",IF(Y11=#REF!,""&amp;#REF!&amp;"",IF(Y11=#REF!,""&amp;#REF!&amp;"",IF(Y11=#REF!,""&amp;#REF!&amp;"",IF(Y11=#REF!,""&amp;#REF!&amp;"",IF(Y11=#REF!,""&amp;#REF!&amp;"",IF(Y11=#REF!,""&amp;#REF!&amp;"",IF(Y11=#REF!,""&amp;#REF!&amp;"",IF(Y11=#REF!,""&amp;#REF!&amp;"",IF(Y11=#REF!,""&amp;#REF!&amp;"",IF(Y11=#REF!,""&amp;#REF!&amp;"",IF(Y11=#REF!,""&amp;#REF!&amp;"",IF(Y11=#REF!,""&amp;#REF!&amp;"",IF(Y11=#REF!,""&amp;#REF!&amp;"",IF(Y11=#REF!,""&amp;#REF!&amp;"",IF(Y11=#REF!,""&amp;#REF!&amp;"",))))))))))))))))))))</f>
        <v>#REF!</v>
      </c>
      <c r="Z12" s="131" t="e">
        <f>CONCATENATE(IF(Z11=#REF!,""&amp;#REF!&amp;"",IF(Z11=#REF!,""&amp;#REF!&amp;"",IF(Z11=#REF!,""&amp;#REF!&amp;"",IF(Z11=#REF!,""&amp;#REF!&amp;"",IF(Z11=#REF!,""&amp;#REF!&amp;"",IF(Z11=#REF!,""&amp;#REF!&amp;"",IF(Z11=#REF!,""&amp;#REF!&amp;"",IF(Z11=#REF!,""&amp;#REF!&amp;"",IF(Z11=#REF!,""&amp;#REF!&amp;"",IF(Z11=#REF!,""&amp;#REF!&amp;"",IF(Z11=#REF!,""&amp;#REF!&amp;"",IF(Z11=#REF!,""&amp;#REF!&amp;"",IF(Z11=#REF!,""&amp;#REF!&amp;"",IF(Z11=#REF!,""&amp;#REF!&amp;"",IF(Z11=#REF!,""&amp;#REF!&amp;"",IF(Z11=#REF!,""&amp;#REF!&amp;"",IF(Z11=#REF!,""&amp;#REF!&amp;"",IF(Z11=#REF!,""&amp;#REF!&amp;"",IF(Z11=#REF!,""&amp;#REF!&amp;"",))))))))))))))))))))</f>
        <v>#REF!</v>
      </c>
      <c r="AA12" s="131" t="e">
        <f>CONCATENATE(IF(AA11=#REF!,""&amp;#REF!&amp;"",IF(AA11=#REF!,""&amp;#REF!&amp;"",IF(AA11=#REF!,""&amp;#REF!&amp;"",IF(AA11=#REF!,""&amp;#REF!&amp;"",IF(AA11=#REF!,""&amp;#REF!&amp;"",IF(AA11=#REF!,""&amp;#REF!&amp;"",IF(AA11=#REF!,""&amp;#REF!&amp;"",IF(AA11=#REF!,""&amp;#REF!&amp;"",IF(AA11=#REF!,""&amp;#REF!&amp;"",IF(AA11=#REF!,""&amp;#REF!&amp;"",IF(AA11=#REF!,""&amp;#REF!&amp;"",IF(AA11=#REF!,""&amp;#REF!&amp;"",IF(AA11=#REF!,""&amp;#REF!&amp;"",IF(AA11=#REF!,""&amp;#REF!&amp;"",IF(AA11=#REF!,""&amp;#REF!&amp;"",IF(AA11=#REF!,""&amp;#REF!&amp;"",IF(AA11=#REF!,""&amp;#REF!&amp;"",IF(AA11=#REF!,""&amp;#REF!&amp;"",IF(AA11=#REF!,""&amp;#REF!&amp;"",))))))))))))))))))))</f>
        <v>#REF!</v>
      </c>
      <c r="AB12" s="131" t="e">
        <f>CONCATENATE(IF(AB11=#REF!,""&amp;#REF!&amp;"",IF(AB11=#REF!,""&amp;#REF!&amp;"",IF(AB11=#REF!,""&amp;#REF!&amp;"",IF(AB11=#REF!,""&amp;#REF!&amp;"",IF(AB11=#REF!,""&amp;#REF!&amp;"",IF(AB11=#REF!,""&amp;#REF!&amp;"",IF(AB11=#REF!,""&amp;#REF!&amp;"",IF(AB11=#REF!,""&amp;#REF!&amp;"",IF(AB11=#REF!,""&amp;#REF!&amp;"",IF(AB11=#REF!,""&amp;#REF!&amp;"",IF(AB11=#REF!,""&amp;#REF!&amp;"",IF(AB11=#REF!,""&amp;#REF!&amp;"",IF(AB11=#REF!,""&amp;#REF!&amp;"",IF(AB11=#REF!,""&amp;#REF!&amp;"",IF(AB11=#REF!,""&amp;#REF!&amp;"",IF(AB11=#REF!,""&amp;#REF!&amp;"",IF(AB11=#REF!,""&amp;#REF!&amp;"",IF(AB11=#REF!,""&amp;#REF!&amp;"",IF(AB11=#REF!,""&amp;#REF!&amp;"",))))))))))))))))))))</f>
        <v>#REF!</v>
      </c>
      <c r="AC12" s="131" t="e">
        <f>CONCATENATE(IF(AC11=#REF!,""&amp;#REF!&amp;"",IF(AC11=#REF!,""&amp;#REF!&amp;"",IF(AC11=#REF!,""&amp;#REF!&amp;"",IF(AC11=#REF!,""&amp;#REF!&amp;"",IF(AC11=#REF!,""&amp;#REF!&amp;"",IF(AC11=#REF!,""&amp;#REF!&amp;"",IF(AC11=#REF!,""&amp;#REF!&amp;"",IF(AC11=#REF!,""&amp;#REF!&amp;"",IF(AC11=#REF!,""&amp;#REF!&amp;"",IF(AC11=#REF!,""&amp;#REF!&amp;"",IF(AC11=#REF!,""&amp;#REF!&amp;"",IF(AC11=#REF!,""&amp;#REF!&amp;"",IF(AC11=#REF!,""&amp;#REF!&amp;"",IF(AC11=#REF!,""&amp;#REF!&amp;"",IF(AC11=#REF!,""&amp;#REF!&amp;"",IF(AC11=#REF!,""&amp;#REF!&amp;"",IF(AC11=#REF!,""&amp;#REF!&amp;"",IF(AC11=#REF!,""&amp;#REF!&amp;"",IF(AC11=#REF!,""&amp;#REF!&amp;"",))))))))))))))))))))</f>
        <v>#REF!</v>
      </c>
      <c r="AD12" s="131" t="e">
        <f>CONCATENATE(IF(AD11=#REF!,""&amp;#REF!&amp;"",IF(AD11=#REF!,""&amp;#REF!&amp;"",IF(AD11=#REF!,""&amp;#REF!&amp;"",IF(AD11=#REF!,""&amp;#REF!&amp;"",IF(AD11=#REF!,""&amp;#REF!&amp;"",IF(AD11=#REF!,""&amp;#REF!&amp;"",IF(AD11=#REF!,""&amp;#REF!&amp;"",IF(AD11=#REF!,""&amp;#REF!&amp;"",IF(AD11=#REF!,""&amp;#REF!&amp;"",IF(AD11=#REF!,""&amp;#REF!&amp;"",IF(AD11=#REF!,""&amp;#REF!&amp;"",IF(AD11=#REF!,""&amp;#REF!&amp;"",IF(AD11=#REF!,""&amp;#REF!&amp;"",IF(AD11=#REF!,""&amp;#REF!&amp;"",IF(AD11=#REF!,""&amp;#REF!&amp;"",IF(AD11=#REF!,""&amp;#REF!&amp;"",IF(AD11=#REF!,""&amp;#REF!&amp;"",IF(AD11=#REF!,""&amp;#REF!&amp;"",IF(AD11=#REF!,""&amp;#REF!&amp;"",))))))))))))))))))))</f>
        <v>#REF!</v>
      </c>
      <c r="AE12" s="131" t="e">
        <f>CONCATENATE(IF(AE11=#REF!,""&amp;#REF!&amp;"",IF(AE11=#REF!,""&amp;#REF!&amp;"",IF(AE11=#REF!,""&amp;#REF!&amp;"",IF(AE11=#REF!,""&amp;#REF!&amp;"",IF(AE11=#REF!,""&amp;#REF!&amp;"",IF(AE11=#REF!,""&amp;#REF!&amp;"",IF(AE11=#REF!,""&amp;#REF!&amp;"",IF(AE11=#REF!,""&amp;#REF!&amp;"",IF(AE11=#REF!,""&amp;#REF!&amp;"",IF(AE11=#REF!,""&amp;#REF!&amp;"",IF(AE11=#REF!,""&amp;#REF!&amp;"",IF(AE11=#REF!,""&amp;#REF!&amp;"",IF(AE11=#REF!,""&amp;#REF!&amp;"",IF(AE11=#REF!,""&amp;#REF!&amp;"",IF(AE11=#REF!,""&amp;#REF!&amp;"",IF(AE11=#REF!,""&amp;#REF!&amp;"",IF(AE11=#REF!,""&amp;#REF!&amp;"",IF(AE11=#REF!,""&amp;#REF!&amp;"",IF(AE11=#REF!,""&amp;#REF!&amp;"",))))))))))))))))))))</f>
        <v>#REF!</v>
      </c>
      <c r="AF12" s="131" t="e">
        <f>CONCATENATE(IF(AF11=#REF!,""&amp;#REF!&amp;"",IF(AF11=#REF!,""&amp;#REF!&amp;"",IF(AF11=#REF!,""&amp;#REF!&amp;"",IF(AF11=#REF!,""&amp;#REF!&amp;"",IF(AF11=#REF!,""&amp;#REF!&amp;"",IF(AF11=#REF!,""&amp;#REF!&amp;"",IF(AF11=#REF!,""&amp;#REF!&amp;"",IF(AF11=#REF!,""&amp;#REF!&amp;"",IF(AF11=#REF!,""&amp;#REF!&amp;"",IF(AF11=#REF!,""&amp;#REF!&amp;"",IF(AF11=#REF!,""&amp;#REF!&amp;"",IF(AF11=#REF!,""&amp;#REF!&amp;"",IF(AF11=#REF!,""&amp;#REF!&amp;"",IF(AF11=#REF!,""&amp;#REF!&amp;"",IF(AF11=#REF!,""&amp;#REF!&amp;"",IF(AF11=#REF!,""&amp;#REF!&amp;"",IF(AF11=#REF!,""&amp;#REF!&amp;"",IF(AF11=#REF!,""&amp;#REF!&amp;"",IF(AF11=#REF!,""&amp;#REF!&amp;"",))))))))))))))))))))</f>
        <v>#REF!</v>
      </c>
      <c r="AG12" s="131" t="e">
        <f>CONCATENATE(IF(AG11=#REF!,""&amp;#REF!&amp;"",IF(AG11=#REF!,""&amp;#REF!&amp;"",IF(AG11=#REF!,""&amp;#REF!&amp;"",IF(AG11=#REF!,""&amp;#REF!&amp;"",IF(AG11=#REF!,""&amp;#REF!&amp;"",IF(AG11=#REF!,""&amp;#REF!&amp;"",IF(AG11=#REF!,""&amp;#REF!&amp;"",IF(AG11=#REF!,""&amp;#REF!&amp;"",IF(AG11=#REF!,""&amp;#REF!&amp;"",IF(AG11=#REF!,""&amp;#REF!&amp;"",IF(AG11=#REF!,""&amp;#REF!&amp;"",IF(AG11=#REF!,""&amp;#REF!&amp;"",IF(AG11=#REF!,""&amp;#REF!&amp;"",IF(AG11=#REF!,""&amp;#REF!&amp;"",IF(AG11=#REF!,""&amp;#REF!&amp;"",IF(AG11=#REF!,""&amp;#REF!&amp;"",IF(AG11=#REF!,""&amp;#REF!&amp;"",IF(AG11=#REF!,""&amp;#REF!&amp;"",IF(AG11=#REF!,""&amp;#REF!&amp;"",))))))))))))))))))))</f>
        <v>#REF!</v>
      </c>
    </row>
    <row r="13" spans="1:33" ht="17.25" thickTop="1" thickBot="1">
      <c r="A13" s="1528" t="s">
        <v>374</v>
      </c>
      <c r="B13" s="1550"/>
      <c r="C13" s="1315" t="str">
        <f>IF(ISERROR(HLOOKUP($H$6,[3]Feuil2!$C$3:$AG$44,6,0)),"",(HLOOKUP($H$6,[3]Feuil2!$C$3:$AG$44,6,0)))</f>
        <v/>
      </c>
      <c r="D13" s="1316"/>
      <c r="E13" s="1315" t="str">
        <f>IF(ISERROR(HLOOKUP($H$6,[3]Feuil2!$C$3:$AG$44,14,0)),"",(HLOOKUP($H$6,[3]Feuil2!$C$3:$AG$44,14,0)))</f>
        <v/>
      </c>
      <c r="F13" s="1316"/>
      <c r="G13" s="1315" t="str">
        <f>IF(ISERROR(HLOOKUP($H$6,[3]Feuil2!$C$3:$AG$44,22,0)),"",(HLOOKUP($H$6,[3]Feuil2!$C$3:$AG$44,22,0)))</f>
        <v/>
      </c>
      <c r="H13" s="1316"/>
      <c r="I13" s="1315" t="str">
        <f>IF(ISERROR(HLOOKUP($H$6,[3]Feuil2!$C$3:$AG$44,30,0)),"",(HLOOKUP($H$6,[3]Feuil2!$C$3:$AG$44,30,0)))</f>
        <v/>
      </c>
      <c r="J13" s="1316"/>
      <c r="K13" s="1336" t="str">
        <f>IF(ISERROR(HLOOKUP($H$6,[3]Feuil2!$C$3:$AG$44,38,0)),"",(HLOOKUP($H$6,[3]Feuil2!$C$3:$AG$44,38,0)))</f>
        <v/>
      </c>
      <c r="L13" s="1337"/>
      <c r="M13" s="125"/>
      <c r="N13" s="125"/>
      <c r="O13" s="125"/>
      <c r="P13" s="129" t="e">
        <f>CONCATENATE(#REF!)</f>
        <v>#REF!</v>
      </c>
      <c r="Q13" s="134" t="s">
        <v>381</v>
      </c>
      <c r="R13" s="134"/>
      <c r="S13" s="129" t="e">
        <f>P13</f>
        <v>#REF!</v>
      </c>
      <c r="T13" s="130" t="e">
        <f>CONCATENATE(#REF!)</f>
        <v>#REF!</v>
      </c>
      <c r="U13" s="130" t="e">
        <f>CONCATENATE(#REF!)</f>
        <v>#REF!</v>
      </c>
      <c r="V13" s="129" t="str">
        <f>CONCATENATE(IF(ISERROR(VLOOKUP(P13,#REF!,15,0)),"",(VLOOKUP(P13,#REF!,15,0))))</f>
        <v/>
      </c>
      <c r="W13" s="129" t="str">
        <f>CONCATENATE(IF(ISERROR(VLOOKUP(P13,#REF!,16,0)),"",(VLOOKUP(P13,#REF!,16,0))))</f>
        <v/>
      </c>
      <c r="X13" s="129" t="str">
        <f>CONCATENATE(IF(ISERROR(VLOOKUP(P13,#REF!,17,0)),"",(VLOOKUP(P13,#REF!,17,0))))</f>
        <v/>
      </c>
      <c r="Y13" s="129" t="str">
        <f>CONCATENATE(IF(ISERROR(VLOOKUP(P13,#REF!,18,0)),"",(VLOOKUP(P13,#REF!,18,0))))</f>
        <v/>
      </c>
      <c r="Z13" s="129" t="str">
        <f>CONCATENATE(IF(ISERROR(VLOOKUP(P13,#REF!,19,0)),"",(VLOOKUP(P13,#REF!,19,0))))</f>
        <v/>
      </c>
      <c r="AA13" s="129" t="str">
        <f>CONCATENATE(IF(ISERROR(VLOOKUP(P13,#REF!,20,0)),"",(VLOOKUP(P13,#REF!,20,0))))</f>
        <v/>
      </c>
      <c r="AB13" s="129" t="str">
        <f>CONCATENATE(IF(ISERROR(VLOOKUP(P13,#REF!,21,0)),"",(VLOOKUP(P13,#REF!,21,0))))</f>
        <v/>
      </c>
      <c r="AC13" s="129" t="str">
        <f>CONCATENATE(IF(ISERROR(VLOOKUP(P13,#REF!,22,0)),"",(VLOOKUP(P13,#REF!,22,0))))</f>
        <v/>
      </c>
      <c r="AD13" s="129" t="str">
        <f>CONCATENATE(IF(ISERROR(VLOOKUP(P13,#REF!,23,0)),"",(VLOOKUP(P13,#REF!,23,0))))</f>
        <v/>
      </c>
      <c r="AE13" s="129" t="str">
        <f>CONCATENATE(IF(ISERROR(VLOOKUP(P13,#REF!,24,0)),"",(VLOOKUP(P13,#REF!,24,0))))</f>
        <v/>
      </c>
      <c r="AF13" s="129" t="str">
        <f>CONCATENATE(IF(ISERROR(VLOOKUP(P13,#REF!,25,0)),"",(VLOOKUP(P13,#REF!,25,0))))</f>
        <v/>
      </c>
      <c r="AG13" s="129" t="str">
        <f>CONCATENATE(IF(ISERROR(VLOOKUP(P13,#REF!,26,0)),"",(VLOOKUP(P13,#REF!,26,0))))</f>
        <v/>
      </c>
    </row>
    <row r="14" spans="1:33" ht="17.25" thickTop="1" thickBot="1">
      <c r="A14" s="1526" t="s">
        <v>375</v>
      </c>
      <c r="B14" s="1549"/>
      <c r="C14" s="1315"/>
      <c r="D14" s="1316"/>
      <c r="E14" s="1315" t="str">
        <f>IF(ISERROR(HLOOKUP($H$6,[3]Feuil2!$C$3:$AG$44,15,0)),"",(HLOOKUP($H$6,[3]Feuil2!$C$3:$AG$44,15,0)))</f>
        <v/>
      </c>
      <c r="F14" s="1316"/>
      <c r="G14" s="1315" t="str">
        <f>IF(ISERROR(HLOOKUP($H$6,[3]Feuil2!$C$3:$AG$44,23,0)),"",(HLOOKUP($H$6,[3]Feuil2!$C$3:$AG$44,23,0)))</f>
        <v/>
      </c>
      <c r="H14" s="1316"/>
      <c r="I14" s="1315" t="str">
        <f>IF(ISERROR(HLOOKUP($H$6,[3]Feuil2!$C$3:$AG$44,31,0)),"",(HLOOKUP($H$6,[3]Feuil2!$C$3:$AG$44,31,0)))</f>
        <v/>
      </c>
      <c r="J14" s="1316"/>
      <c r="K14" s="1315" t="str">
        <f>IF(ISERROR(HLOOKUP($H$6,[3]Feuil2!$C$3:$AG$44,39,0)),"",(HLOOKUP($H$6,[3]Feuil2!$C$3:$AG$44,39,0)))</f>
        <v/>
      </c>
      <c r="L14" s="1316"/>
      <c r="M14" s="125"/>
      <c r="N14" s="125"/>
      <c r="O14" s="125"/>
      <c r="P14" s="131"/>
      <c r="Q14" s="134" t="s">
        <v>495</v>
      </c>
      <c r="R14" s="131" t="e">
        <f>P13</f>
        <v>#REF!</v>
      </c>
      <c r="S14" s="131"/>
      <c r="T14" s="132"/>
      <c r="U14" s="132"/>
      <c r="V14" s="131" t="e">
        <f>CONCATENATE(IF(V13=#REF!,""&amp;#REF!&amp;"",IF(V13=#REF!,""&amp;#REF!&amp;"",IF(V13=#REF!,""&amp;#REF!&amp;"",IF(V13=#REF!,""&amp;#REF!&amp;"",IF(V13=#REF!,""&amp;#REF!&amp;"",IF(V13=#REF!,""&amp;#REF!&amp;"",IF(V13=#REF!,""&amp;#REF!&amp;"",IF(V13=#REF!,""&amp;#REF!&amp;"",IF(V13=#REF!,""&amp;#REF!&amp;"",IF(V13=#REF!,""&amp;#REF!&amp;"",IF(V13=#REF!,""&amp;#REF!&amp;"",IF(V13=#REF!,""&amp;#REF!&amp;"",IF(V13=#REF!,""&amp;#REF!&amp;"",IF(V13=#REF!,""&amp;#REF!&amp;"",IF(V13=#REF!,""&amp;#REF!&amp;"",IF(V13=#REF!,""&amp;#REF!&amp;"",IF(V13=#REF!,""&amp;#REF!&amp;"",IF(V13=#REF!,""&amp;#REF!&amp;"",IF(V13=#REF!,""&amp;#REF!&amp;"",))))))))))))))))))))</f>
        <v>#REF!</v>
      </c>
      <c r="W14" s="131" t="e">
        <f>CONCATENATE(IF(W13=#REF!,""&amp;#REF!&amp;"",IF(W13=#REF!,""&amp;#REF!&amp;"",IF(W13=#REF!,""&amp;#REF!&amp;"",IF(W13=#REF!,""&amp;#REF!&amp;"",IF(W13=#REF!,""&amp;#REF!&amp;"",IF(W13=#REF!,""&amp;#REF!&amp;"",IF(W13=#REF!,""&amp;#REF!&amp;"",IF(W13=#REF!,""&amp;#REF!&amp;"",IF(W13=#REF!,""&amp;#REF!&amp;"",IF(W13=#REF!,""&amp;#REF!&amp;"",IF(W13=#REF!,""&amp;#REF!&amp;"",IF(W13=#REF!,""&amp;#REF!&amp;"",IF(W13=#REF!,""&amp;#REF!&amp;"",IF(W13=#REF!,""&amp;#REF!&amp;"",IF(W13=#REF!,""&amp;#REF!&amp;"",IF(W13=#REF!,""&amp;#REF!&amp;"",IF(W13=#REF!,""&amp;#REF!&amp;"",IF(W13=#REF!,""&amp;#REF!&amp;"",IF(W13=#REF!,""&amp;#REF!&amp;"",))))))))))))))))))))</f>
        <v>#REF!</v>
      </c>
      <c r="X14" s="131" t="e">
        <f>CONCATENATE(IF(X13=#REF!,""&amp;#REF!&amp;"",IF(X13=#REF!,""&amp;#REF!&amp;"",IF(X13=#REF!,""&amp;#REF!&amp;"",IF(X13=#REF!,""&amp;#REF!&amp;"",IF(X13=#REF!,""&amp;#REF!&amp;"",IF(X13=#REF!,""&amp;#REF!&amp;"",IF(X13=#REF!,""&amp;#REF!&amp;"",IF(X13=#REF!,""&amp;#REF!&amp;"",IF(X13=#REF!,""&amp;#REF!&amp;"",IF(X13=#REF!,""&amp;#REF!&amp;"",IF(X13=#REF!,""&amp;#REF!&amp;"",IF(X13=#REF!,""&amp;#REF!&amp;"",IF(X13=#REF!,""&amp;#REF!&amp;"",IF(X13=#REF!,""&amp;#REF!&amp;"",IF(X13=#REF!,""&amp;#REF!&amp;"",IF(X13=#REF!,""&amp;#REF!&amp;"",IF(X13=#REF!,""&amp;#REF!&amp;"",IF(X13=#REF!,""&amp;#REF!&amp;"",IF(X13=#REF!,""&amp;#REF!&amp;"",))))))))))))))))))))</f>
        <v>#REF!</v>
      </c>
      <c r="Y14" s="131" t="e">
        <f>CONCATENATE(IF(Y13=#REF!,""&amp;#REF!&amp;"",IF(Y13=#REF!,""&amp;#REF!&amp;"",IF(Y13=#REF!,""&amp;#REF!&amp;"",IF(Y13=#REF!,""&amp;#REF!&amp;"",IF(Y13=#REF!,""&amp;#REF!&amp;"",IF(Y13=#REF!,""&amp;#REF!&amp;"",IF(Y13=#REF!,""&amp;#REF!&amp;"",IF(Y13=#REF!,""&amp;#REF!&amp;"",IF(Y13=#REF!,""&amp;#REF!&amp;"",IF(Y13=#REF!,""&amp;#REF!&amp;"",IF(Y13=#REF!,""&amp;#REF!&amp;"",IF(Y13=#REF!,""&amp;#REF!&amp;"",IF(Y13=#REF!,""&amp;#REF!&amp;"",IF(Y13=#REF!,""&amp;#REF!&amp;"",IF(Y13=#REF!,""&amp;#REF!&amp;"",IF(Y13=#REF!,""&amp;#REF!&amp;"",IF(Y13=#REF!,""&amp;#REF!&amp;"",IF(Y13=#REF!,""&amp;#REF!&amp;"",IF(Y13=#REF!,""&amp;#REF!&amp;"",))))))))))))))))))))</f>
        <v>#REF!</v>
      </c>
      <c r="Z14" s="131" t="e">
        <f>CONCATENATE(IF(Z13=#REF!,""&amp;#REF!&amp;"",IF(Z13=#REF!,""&amp;#REF!&amp;"",IF(Z13=#REF!,""&amp;#REF!&amp;"",IF(Z13=#REF!,""&amp;#REF!&amp;"",IF(Z13=#REF!,""&amp;#REF!&amp;"",IF(Z13=#REF!,""&amp;#REF!&amp;"",IF(Z13=#REF!,""&amp;#REF!&amp;"",IF(Z13=#REF!,""&amp;#REF!&amp;"",IF(Z13=#REF!,""&amp;#REF!&amp;"",IF(Z13=#REF!,""&amp;#REF!&amp;"",IF(Z13=#REF!,""&amp;#REF!&amp;"",IF(Z13=#REF!,""&amp;#REF!&amp;"",IF(Z13=#REF!,""&amp;#REF!&amp;"",IF(Z13=#REF!,""&amp;#REF!&amp;"",IF(Z13=#REF!,""&amp;#REF!&amp;"",IF(Z13=#REF!,""&amp;#REF!&amp;"",IF(Z13=#REF!,""&amp;#REF!&amp;"",IF(Z13=#REF!,""&amp;#REF!&amp;"",IF(Z13=#REF!,""&amp;#REF!&amp;"",))))))))))))))))))))</f>
        <v>#REF!</v>
      </c>
      <c r="AA14" s="131" t="e">
        <f>CONCATENATE(IF(AA13=#REF!,""&amp;#REF!&amp;"",IF(AA13=#REF!,""&amp;#REF!&amp;"",IF(AA13=#REF!,""&amp;#REF!&amp;"",IF(AA13=#REF!,""&amp;#REF!&amp;"",IF(AA13=#REF!,""&amp;#REF!&amp;"",IF(AA13=#REF!,""&amp;#REF!&amp;"",IF(AA13=#REF!,""&amp;#REF!&amp;"",IF(AA13=#REF!,""&amp;#REF!&amp;"",IF(AA13=#REF!,""&amp;#REF!&amp;"",IF(AA13=#REF!,""&amp;#REF!&amp;"",IF(AA13=#REF!,""&amp;#REF!&amp;"",IF(AA13=#REF!,""&amp;#REF!&amp;"",IF(AA13=#REF!,""&amp;#REF!&amp;"",IF(AA13=#REF!,""&amp;#REF!&amp;"",IF(AA13=#REF!,""&amp;#REF!&amp;"",IF(AA13=#REF!,""&amp;#REF!&amp;"",IF(AA13=#REF!,""&amp;#REF!&amp;"",IF(AA13=#REF!,""&amp;#REF!&amp;"",IF(AA13=#REF!,""&amp;#REF!&amp;"",))))))))))))))))))))</f>
        <v>#REF!</v>
      </c>
      <c r="AB14" s="131" t="e">
        <f>CONCATENATE(IF(AB13=#REF!,""&amp;#REF!&amp;"",IF(AB13=#REF!,""&amp;#REF!&amp;"",IF(AB13=#REF!,""&amp;#REF!&amp;"",IF(AB13=#REF!,""&amp;#REF!&amp;"",IF(AB13=#REF!,""&amp;#REF!&amp;"",IF(AB13=#REF!,""&amp;#REF!&amp;"",IF(AB13=#REF!,""&amp;#REF!&amp;"",IF(AB13=#REF!,""&amp;#REF!&amp;"",IF(AB13=#REF!,""&amp;#REF!&amp;"",IF(AB13=#REF!,""&amp;#REF!&amp;"",IF(AB13=#REF!,""&amp;#REF!&amp;"",IF(AB13=#REF!,""&amp;#REF!&amp;"",IF(AB13=#REF!,""&amp;#REF!&amp;"",IF(AB13=#REF!,""&amp;#REF!&amp;"",IF(AB13=#REF!,""&amp;#REF!&amp;"",IF(AB13=#REF!,""&amp;#REF!&amp;"",IF(AB13=#REF!,""&amp;#REF!&amp;"",IF(AB13=#REF!,""&amp;#REF!&amp;"",IF(AB13=#REF!,""&amp;#REF!&amp;"",))))))))))))))))))))</f>
        <v>#REF!</v>
      </c>
      <c r="AC14" s="131" t="e">
        <f>CONCATENATE(IF(AC13=#REF!,""&amp;#REF!&amp;"",IF(AC13=#REF!,""&amp;#REF!&amp;"",IF(AC13=#REF!,""&amp;#REF!&amp;"",IF(AC13=#REF!,""&amp;#REF!&amp;"",IF(AC13=#REF!,""&amp;#REF!&amp;"",IF(AC13=#REF!,""&amp;#REF!&amp;"",IF(AC13=#REF!,""&amp;#REF!&amp;"",IF(AC13=#REF!,""&amp;#REF!&amp;"",IF(AC13=#REF!,""&amp;#REF!&amp;"",IF(AC13=#REF!,""&amp;#REF!&amp;"",IF(AC13=#REF!,""&amp;#REF!&amp;"",IF(AC13=#REF!,""&amp;#REF!&amp;"",IF(AC13=#REF!,""&amp;#REF!&amp;"",IF(AC13=#REF!,""&amp;#REF!&amp;"",IF(AC13=#REF!,""&amp;#REF!&amp;"",IF(AC13=#REF!,""&amp;#REF!&amp;"",IF(AC13=#REF!,""&amp;#REF!&amp;"",IF(AC13=#REF!,""&amp;#REF!&amp;"",IF(AC13=#REF!,""&amp;#REF!&amp;"",))))))))))))))))))))</f>
        <v>#REF!</v>
      </c>
      <c r="AD14" s="131" t="e">
        <f>CONCATENATE(IF(AD13=#REF!,""&amp;#REF!&amp;"",IF(AD13=#REF!,""&amp;#REF!&amp;"",IF(AD13=#REF!,""&amp;#REF!&amp;"",IF(AD13=#REF!,""&amp;#REF!&amp;"",IF(AD13=#REF!,""&amp;#REF!&amp;"",IF(AD13=#REF!,""&amp;#REF!&amp;"",IF(AD13=#REF!,""&amp;#REF!&amp;"",IF(AD13=#REF!,""&amp;#REF!&amp;"",IF(AD13=#REF!,""&amp;#REF!&amp;"",IF(AD13=#REF!,""&amp;#REF!&amp;"",IF(AD13=#REF!,""&amp;#REF!&amp;"",IF(AD13=#REF!,""&amp;#REF!&amp;"",IF(AD13=#REF!,""&amp;#REF!&amp;"",IF(AD13=#REF!,""&amp;#REF!&amp;"",IF(AD13=#REF!,""&amp;#REF!&amp;"",IF(AD13=#REF!,""&amp;#REF!&amp;"",IF(AD13=#REF!,""&amp;#REF!&amp;"",IF(AD13=#REF!,""&amp;#REF!&amp;"",IF(AD13=#REF!,""&amp;#REF!&amp;"",))))))))))))))))))))</f>
        <v>#REF!</v>
      </c>
      <c r="AE14" s="131" t="e">
        <f>CONCATENATE(IF(AE13=#REF!,""&amp;#REF!&amp;"",IF(AE13=#REF!,""&amp;#REF!&amp;"",IF(AE13=#REF!,""&amp;#REF!&amp;"",IF(AE13=#REF!,""&amp;#REF!&amp;"",IF(AE13=#REF!,""&amp;#REF!&amp;"",IF(AE13=#REF!,""&amp;#REF!&amp;"",IF(AE13=#REF!,""&amp;#REF!&amp;"",IF(AE13=#REF!,""&amp;#REF!&amp;"",IF(AE13=#REF!,""&amp;#REF!&amp;"",IF(AE13=#REF!,""&amp;#REF!&amp;"",IF(AE13=#REF!,""&amp;#REF!&amp;"",IF(AE13=#REF!,""&amp;#REF!&amp;"",IF(AE13=#REF!,""&amp;#REF!&amp;"",IF(AE13=#REF!,""&amp;#REF!&amp;"",IF(AE13=#REF!,""&amp;#REF!&amp;"",IF(AE13=#REF!,""&amp;#REF!&amp;"",IF(AE13=#REF!,""&amp;#REF!&amp;"",IF(AE13=#REF!,""&amp;#REF!&amp;"",IF(AE13=#REF!,""&amp;#REF!&amp;"",))))))))))))))))))))</f>
        <v>#REF!</v>
      </c>
      <c r="AF14" s="131" t="e">
        <f>CONCATENATE(IF(AF13=#REF!,""&amp;#REF!&amp;"",IF(AF13=#REF!,""&amp;#REF!&amp;"",IF(AF13=#REF!,""&amp;#REF!&amp;"",IF(AF13=#REF!,""&amp;#REF!&amp;"",IF(AF13=#REF!,""&amp;#REF!&amp;"",IF(AF13=#REF!,""&amp;#REF!&amp;"",IF(AF13=#REF!,""&amp;#REF!&amp;"",IF(AF13=#REF!,""&amp;#REF!&amp;"",IF(AF13=#REF!,""&amp;#REF!&amp;"",IF(AF13=#REF!,""&amp;#REF!&amp;"",IF(AF13=#REF!,""&amp;#REF!&amp;"",IF(AF13=#REF!,""&amp;#REF!&amp;"",IF(AF13=#REF!,""&amp;#REF!&amp;"",IF(AF13=#REF!,""&amp;#REF!&amp;"",IF(AF13=#REF!,""&amp;#REF!&amp;"",IF(AF13=#REF!,""&amp;#REF!&amp;"",IF(AF13=#REF!,""&amp;#REF!&amp;"",IF(AF13=#REF!,""&amp;#REF!&amp;"",IF(AF13=#REF!,""&amp;#REF!&amp;"",))))))))))))))))))))</f>
        <v>#REF!</v>
      </c>
      <c r="AG14" s="131" t="e">
        <f>CONCATENATE(IF(AG13=#REF!,""&amp;#REF!&amp;"",IF(AG13=#REF!,""&amp;#REF!&amp;"",IF(AG13=#REF!,""&amp;#REF!&amp;"",IF(AG13=#REF!,""&amp;#REF!&amp;"",IF(AG13=#REF!,""&amp;#REF!&amp;"",IF(AG13=#REF!,""&amp;#REF!&amp;"",IF(AG13=#REF!,""&amp;#REF!&amp;"",IF(AG13=#REF!,""&amp;#REF!&amp;"",IF(AG13=#REF!,""&amp;#REF!&amp;"",IF(AG13=#REF!,""&amp;#REF!&amp;"",IF(AG13=#REF!,""&amp;#REF!&amp;"",IF(AG13=#REF!,""&amp;#REF!&amp;"",IF(AG13=#REF!,""&amp;#REF!&amp;"",IF(AG13=#REF!,""&amp;#REF!&amp;"",IF(AG13=#REF!,""&amp;#REF!&amp;"",IF(AG13=#REF!,""&amp;#REF!&amp;"",IF(AG13=#REF!,""&amp;#REF!&amp;"",IF(AG13=#REF!,""&amp;#REF!&amp;"",IF(AG13=#REF!,""&amp;#REF!&amp;"",))))))))))))))))))))</f>
        <v>#REF!</v>
      </c>
    </row>
    <row r="15" spans="1:33" ht="17.25" thickTop="1" thickBot="1">
      <c r="A15" s="32"/>
      <c r="B15" s="32"/>
      <c r="C15" s="33"/>
      <c r="D15" s="33"/>
      <c r="E15" s="33"/>
      <c r="F15" s="33"/>
      <c r="G15" s="33"/>
      <c r="H15" s="33"/>
      <c r="I15" s="34"/>
      <c r="J15" s="34"/>
      <c r="K15" s="33"/>
      <c r="L15" s="33"/>
      <c r="M15" s="125"/>
      <c r="N15" s="125"/>
      <c r="O15" s="125"/>
      <c r="P15" s="129" t="e">
        <f>CONCATENATE(#REF!)</f>
        <v>#REF!</v>
      </c>
      <c r="Q15" s="134" t="s">
        <v>381</v>
      </c>
      <c r="R15" s="134"/>
      <c r="S15" s="129" t="e">
        <f>P15</f>
        <v>#REF!</v>
      </c>
      <c r="T15" s="130" t="e">
        <f>CONCATENATE(#REF!)</f>
        <v>#REF!</v>
      </c>
      <c r="U15" s="130" t="e">
        <f>CONCATENATE(#REF!)</f>
        <v>#REF!</v>
      </c>
      <c r="V15" s="129" t="str">
        <f>CONCATENATE(IF(ISERROR(VLOOKUP(P15,#REF!,15,0)),"",(VLOOKUP(P15,#REF!,15,0))))</f>
        <v/>
      </c>
      <c r="W15" s="129" t="str">
        <f>CONCATENATE(IF(ISERROR(VLOOKUP(P15,#REF!,16,0)),"",(VLOOKUP(P15,#REF!,16,0))))</f>
        <v/>
      </c>
      <c r="X15" s="129" t="str">
        <f>CONCATENATE(IF(ISERROR(VLOOKUP(P15,#REF!,17,0)),"",(VLOOKUP(P15,#REF!,17,0))))</f>
        <v/>
      </c>
      <c r="Y15" s="129" t="str">
        <f>CONCATENATE(IF(ISERROR(VLOOKUP(P15,#REF!,18,0)),"",(VLOOKUP(P15,#REF!,18,0))))</f>
        <v/>
      </c>
      <c r="Z15" s="129" t="str">
        <f>CONCATENATE(IF(ISERROR(VLOOKUP(P15,#REF!,19,0)),"",(VLOOKUP(P15,#REF!,19,0))))</f>
        <v/>
      </c>
      <c r="AA15" s="129" t="str">
        <f>CONCATENATE(IF(ISERROR(VLOOKUP(P15,#REF!,20,0)),"",(VLOOKUP(P15,#REF!,20,0))))</f>
        <v/>
      </c>
      <c r="AB15" s="129" t="str">
        <f>CONCATENATE(IF(ISERROR(VLOOKUP(P15,#REF!,21,0)),"",(VLOOKUP(P15,#REF!,21,0))))</f>
        <v/>
      </c>
      <c r="AC15" s="129" t="str">
        <f>CONCATENATE(IF(ISERROR(VLOOKUP(P15,#REF!,22,0)),"",(VLOOKUP(P15,#REF!,22,0))))</f>
        <v/>
      </c>
      <c r="AD15" s="129" t="str">
        <f>CONCATENATE(IF(ISERROR(VLOOKUP(P15,#REF!,23,0)),"",(VLOOKUP(P15,#REF!,23,0))))</f>
        <v/>
      </c>
      <c r="AE15" s="129" t="str">
        <f>CONCATENATE(IF(ISERROR(VLOOKUP(P15,#REF!,24,0)),"",(VLOOKUP(P15,#REF!,24,0))))</f>
        <v/>
      </c>
      <c r="AF15" s="129" t="str">
        <f>CONCATENATE(IF(ISERROR(VLOOKUP(P15,#REF!,25,0)),"",(VLOOKUP(P15,#REF!,25,0))))</f>
        <v/>
      </c>
      <c r="AG15" s="133" t="e">
        <f>CONCATENATE(IF(AG13=#REF!,""&amp;#REF!&amp;"",IF(AG13=#REF!,""&amp;#REF!&amp;"",IF(AG13=#REF!,""&amp;#REF!&amp;"",IF(AG13=#REF!,""&amp;#REF!&amp;"",IF(AG13=#REF!,""&amp;#REF!&amp;"",IF(AG13=#REF!,""&amp;#REF!&amp;"",IF(AG13=#REF!,""&amp;#REF!&amp;"",IF(AG13=#REF!,""&amp;#REF!&amp;"",IF(AG13=#REF!,""&amp;#REF!&amp;"",IF(AG13=#REF!,""&amp;#REF!&amp;"",IF(AG13=#REF!,""&amp;#REF!&amp;"",IF(AG13=#REF!,""&amp;#REF!&amp;"",IF(AG13=#REF!,""&amp;#REF!&amp;"",IF(AG13=#REF!,""&amp;#REF!&amp;"",IF(AG13=#REF!,""&amp;#REF!&amp;"",IF(AG13=#REF!,""&amp;#REF!&amp;"",IF(AG13=#REF!,""&amp;#REF!&amp;"",IF(AG13=#REF!,""&amp;#REF!&amp;"",IF(AG13=#REF!,""&amp;#REF!&amp;"",))))))))))))))))))))</f>
        <v>#REF!</v>
      </c>
    </row>
    <row r="16" spans="1:33" ht="17.25" thickTop="1" thickBot="1">
      <c r="A16" s="1508" t="s">
        <v>376</v>
      </c>
      <c r="B16" s="1539"/>
      <c r="C16" s="1315" t="str">
        <f>IF(ISERROR(HLOOKUP($H$6,[3]Feuil2!$C$3:$AG$44,8,0)),"",(HLOOKUP($H$6,[3]Feuil2!$C$3:$AG$44,8,0)))</f>
        <v/>
      </c>
      <c r="D16" s="1316"/>
      <c r="E16" s="1315" t="str">
        <f>IF(ISERROR(HLOOKUP($H$6,[3]Feuil2!$C$3:$AG$44,16,0)),"",(HLOOKUP($H$6,[3]Feuil2!$C$3:$AG$44,16,0)))</f>
        <v/>
      </c>
      <c r="F16" s="1316"/>
      <c r="G16" s="1315" t="str">
        <f>IF(ISERROR(HLOOKUP($H$6,[3]Feuil2!$C$3:$AG$44,24,0)),"",(HLOOKUP($H$6,[3]Feuil2!$C$3:$AG$44,24,0)))</f>
        <v/>
      </c>
      <c r="H16" s="1316"/>
      <c r="I16" s="1315" t="str">
        <f>IF(ISERROR(HLOOKUP($H$6,[3]Feuil2!$C$3:$AG$44,32,0)),"",(HLOOKUP($H$6,[3]Feuil2!$C$3:$AG$44,32,0)))</f>
        <v/>
      </c>
      <c r="J16" s="1316"/>
      <c r="K16" s="1315" t="str">
        <f>IF(ISERROR(HLOOKUP($H$6,[3]Feuil2!$C$3:$AG$44,40,0)),"",(HLOOKUP($H$6,[3]Feuil2!$C$3:$AG$44,40,0)))</f>
        <v/>
      </c>
      <c r="L16" s="1316"/>
      <c r="M16" s="125"/>
      <c r="N16" s="125"/>
      <c r="O16" s="125"/>
      <c r="P16" s="131"/>
      <c r="Q16" s="134" t="s">
        <v>495</v>
      </c>
      <c r="R16" s="131" t="e">
        <f>P15</f>
        <v>#REF!</v>
      </c>
      <c r="S16" s="131"/>
      <c r="T16" s="132"/>
      <c r="U16" s="132"/>
      <c r="V16" s="131" t="e">
        <f>CONCATENATE(IF(V15=#REF!,""&amp;#REF!&amp;"",IF(V15=#REF!,""&amp;#REF!&amp;"",IF(V15=#REF!,""&amp;#REF!&amp;"",IF(V15=#REF!,""&amp;#REF!&amp;"",IF(V15=#REF!,""&amp;#REF!&amp;"",IF(V15=#REF!,""&amp;#REF!&amp;"",IF(V15=#REF!,""&amp;#REF!&amp;"",IF(V15=#REF!,""&amp;#REF!&amp;"",IF(V15=#REF!,""&amp;#REF!&amp;"",IF(V15=#REF!,""&amp;#REF!&amp;"",IF(V15=#REF!,""&amp;#REF!&amp;"",IF(V15=#REF!,""&amp;#REF!&amp;"",IF(V15=#REF!,""&amp;#REF!&amp;"",IF(V15=#REF!,""&amp;#REF!&amp;"",IF(V15=#REF!,""&amp;#REF!&amp;"",IF(V15=#REF!,""&amp;#REF!&amp;"",IF(V15=#REF!,""&amp;#REF!&amp;"",IF(V15=#REF!,""&amp;#REF!&amp;"",IF(V15=#REF!,""&amp;#REF!&amp;"",))))))))))))))))))))</f>
        <v>#REF!</v>
      </c>
      <c r="W16" s="131" t="e">
        <f>CONCATENATE(IF(W15=#REF!,""&amp;#REF!&amp;"",IF(W15=#REF!,""&amp;#REF!&amp;"",IF(W15=#REF!,""&amp;#REF!&amp;"",IF(W15=#REF!,""&amp;#REF!&amp;"",IF(W15=#REF!,""&amp;#REF!&amp;"",IF(W15=#REF!,""&amp;#REF!&amp;"",IF(W15=#REF!,""&amp;#REF!&amp;"",IF(W15=#REF!,""&amp;#REF!&amp;"",IF(W15=#REF!,""&amp;#REF!&amp;"",IF(W15=#REF!,""&amp;#REF!&amp;"",IF(W15=#REF!,""&amp;#REF!&amp;"",IF(W15=#REF!,""&amp;#REF!&amp;"",IF(W15=#REF!,""&amp;#REF!&amp;"",IF(W15=#REF!,""&amp;#REF!&amp;"",IF(W15=#REF!,""&amp;#REF!&amp;"",IF(W15=#REF!,""&amp;#REF!&amp;"",IF(W15=#REF!,""&amp;#REF!&amp;"",IF(W15=#REF!,""&amp;#REF!&amp;"",IF(W15=#REF!,""&amp;#REF!&amp;"",))))))))))))))))))))</f>
        <v>#REF!</v>
      </c>
      <c r="X16" s="131" t="e">
        <f>CONCATENATE(IF(X15=#REF!,""&amp;#REF!&amp;"",IF(X15=#REF!,""&amp;#REF!&amp;"",IF(X15=#REF!,""&amp;#REF!&amp;"",IF(X15=#REF!,""&amp;#REF!&amp;"",IF(X15=#REF!,""&amp;#REF!&amp;"",IF(X15=#REF!,""&amp;#REF!&amp;"",IF(X15=#REF!,""&amp;#REF!&amp;"",IF(X15=#REF!,""&amp;#REF!&amp;"",IF(X15=#REF!,""&amp;#REF!&amp;"",IF(X15=#REF!,""&amp;#REF!&amp;"",IF(X15=#REF!,""&amp;#REF!&amp;"",IF(X15=#REF!,""&amp;#REF!&amp;"",IF(X15=#REF!,""&amp;#REF!&amp;"",IF(X15=#REF!,""&amp;#REF!&amp;"",IF(X15=#REF!,""&amp;#REF!&amp;"",IF(X15=#REF!,""&amp;#REF!&amp;"",IF(X15=#REF!,""&amp;#REF!&amp;"",IF(X15=#REF!,""&amp;#REF!&amp;"",IF(X15=#REF!,""&amp;#REF!&amp;"",))))))))))))))))))))</f>
        <v>#REF!</v>
      </c>
      <c r="Y16" s="131" t="e">
        <f>CONCATENATE(IF(Y15=#REF!,""&amp;#REF!&amp;"",IF(Y15=#REF!,""&amp;#REF!&amp;"",IF(Y15=#REF!,""&amp;#REF!&amp;"",IF(Y15=#REF!,""&amp;#REF!&amp;"",IF(Y15=#REF!,""&amp;#REF!&amp;"",IF(Y15=#REF!,""&amp;#REF!&amp;"",IF(Y15=#REF!,""&amp;#REF!&amp;"",IF(Y15=#REF!,""&amp;#REF!&amp;"",IF(Y15=#REF!,""&amp;#REF!&amp;"",IF(Y15=#REF!,""&amp;#REF!&amp;"",IF(Y15=#REF!,""&amp;#REF!&amp;"",IF(Y15=#REF!,""&amp;#REF!&amp;"",IF(Y15=#REF!,""&amp;#REF!&amp;"",IF(Y15=#REF!,""&amp;#REF!&amp;"",IF(Y15=#REF!,""&amp;#REF!&amp;"",IF(Y15=#REF!,""&amp;#REF!&amp;"",IF(Y15=#REF!,""&amp;#REF!&amp;"",IF(Y15=#REF!,""&amp;#REF!&amp;"",IF(Y15=#REF!,""&amp;#REF!&amp;"",))))))))))))))))))))</f>
        <v>#REF!</v>
      </c>
      <c r="Z16" s="131" t="e">
        <f>CONCATENATE(IF(Z15=#REF!,""&amp;#REF!&amp;"",IF(Z15=#REF!,""&amp;#REF!&amp;"",IF(Z15=#REF!,""&amp;#REF!&amp;"",IF(Z15=#REF!,""&amp;#REF!&amp;"",IF(Z15=#REF!,""&amp;#REF!&amp;"",IF(Z15=#REF!,""&amp;#REF!&amp;"",IF(Z15=#REF!,""&amp;#REF!&amp;"",IF(Z15=#REF!,""&amp;#REF!&amp;"",IF(Z15=#REF!,""&amp;#REF!&amp;"",IF(Z15=#REF!,""&amp;#REF!&amp;"",IF(Z15=#REF!,""&amp;#REF!&amp;"",IF(Z15=#REF!,""&amp;#REF!&amp;"",IF(Z15=#REF!,""&amp;#REF!&amp;"",IF(Z15=#REF!,""&amp;#REF!&amp;"",IF(Z15=#REF!,""&amp;#REF!&amp;"",IF(Z15=#REF!,""&amp;#REF!&amp;"",IF(Z15=#REF!,""&amp;#REF!&amp;"",IF(Z15=#REF!,""&amp;#REF!&amp;"",IF(Z15=#REF!,""&amp;#REF!&amp;"",))))))))))))))))))))</f>
        <v>#REF!</v>
      </c>
      <c r="AA16" s="131" t="e">
        <f>CONCATENATE(IF(AA15=#REF!,""&amp;#REF!&amp;"",IF(AA15=#REF!,""&amp;#REF!&amp;"",IF(AA15=#REF!,""&amp;#REF!&amp;"",IF(AA15=#REF!,""&amp;#REF!&amp;"",IF(AA15=#REF!,""&amp;#REF!&amp;"",IF(AA15=#REF!,""&amp;#REF!&amp;"",IF(AA15=#REF!,""&amp;#REF!&amp;"",IF(AA15=#REF!,""&amp;#REF!&amp;"",IF(AA15=#REF!,""&amp;#REF!&amp;"",IF(AA15=#REF!,""&amp;#REF!&amp;"",IF(AA15=#REF!,""&amp;#REF!&amp;"",IF(AA15=#REF!,""&amp;#REF!&amp;"",IF(AA15=#REF!,""&amp;#REF!&amp;"",IF(AA15=#REF!,""&amp;#REF!&amp;"",IF(AA15=#REF!,""&amp;#REF!&amp;"",IF(AA15=#REF!,""&amp;#REF!&amp;"",IF(AA15=#REF!,""&amp;#REF!&amp;"",IF(AA15=#REF!,""&amp;#REF!&amp;"",IF(AA15=#REF!,""&amp;#REF!&amp;"",))))))))))))))))))))</f>
        <v>#REF!</v>
      </c>
      <c r="AB16" s="131" t="e">
        <f>CONCATENATE(IF(AB15=#REF!,""&amp;#REF!&amp;"",IF(AB15=#REF!,""&amp;#REF!&amp;"",IF(AB15=#REF!,""&amp;#REF!&amp;"",IF(AB15=#REF!,""&amp;#REF!&amp;"",IF(AB15=#REF!,""&amp;#REF!&amp;"",IF(AB15=#REF!,""&amp;#REF!&amp;"",IF(AB15=#REF!,""&amp;#REF!&amp;"",IF(AB15=#REF!,""&amp;#REF!&amp;"",IF(AB15=#REF!,""&amp;#REF!&amp;"",IF(AB15=#REF!,""&amp;#REF!&amp;"",IF(AB15=#REF!,""&amp;#REF!&amp;"",IF(AB15=#REF!,""&amp;#REF!&amp;"",IF(AB15=#REF!,""&amp;#REF!&amp;"",IF(AB15=#REF!,""&amp;#REF!&amp;"",IF(AB15=#REF!,""&amp;#REF!&amp;"",IF(AB15=#REF!,""&amp;#REF!&amp;"",IF(AB15=#REF!,""&amp;#REF!&amp;"",IF(AB15=#REF!,""&amp;#REF!&amp;"",IF(AB15=#REF!,""&amp;#REF!&amp;"",))))))))))))))))))))</f>
        <v>#REF!</v>
      </c>
      <c r="AC16" s="131" t="e">
        <f>CONCATENATE(IF(AC15=#REF!,""&amp;#REF!&amp;"",IF(AC15=#REF!,""&amp;#REF!&amp;"",IF(AC15=#REF!,""&amp;#REF!&amp;"",IF(AC15=#REF!,""&amp;#REF!&amp;"",IF(AC15=#REF!,""&amp;#REF!&amp;"",IF(AC15=#REF!,""&amp;#REF!&amp;"",IF(AC15=#REF!,""&amp;#REF!&amp;"",IF(AC15=#REF!,""&amp;#REF!&amp;"",IF(AC15=#REF!,""&amp;#REF!&amp;"",IF(AC15=#REF!,""&amp;#REF!&amp;"",IF(AC15=#REF!,""&amp;#REF!&amp;"",IF(AC15=#REF!,""&amp;#REF!&amp;"",IF(AC15=#REF!,""&amp;#REF!&amp;"",IF(AC15=#REF!,""&amp;#REF!&amp;"",IF(AC15=#REF!,""&amp;#REF!&amp;"",IF(AC15=#REF!,""&amp;#REF!&amp;"",IF(AC15=#REF!,""&amp;#REF!&amp;"",IF(AC15=#REF!,""&amp;#REF!&amp;"",IF(AC15=#REF!,""&amp;#REF!&amp;"",))))))))))))))))))))</f>
        <v>#REF!</v>
      </c>
      <c r="AD16" s="131" t="e">
        <f>CONCATENATE(IF(AD15=#REF!,""&amp;#REF!&amp;"",IF(AD15=#REF!,""&amp;#REF!&amp;"",IF(AD15=#REF!,""&amp;#REF!&amp;"",IF(AD15=#REF!,""&amp;#REF!&amp;"",IF(AD15=#REF!,""&amp;#REF!&amp;"",IF(AD15=#REF!,""&amp;#REF!&amp;"",IF(AD15=#REF!,""&amp;#REF!&amp;"",IF(AD15=#REF!,""&amp;#REF!&amp;"",IF(AD15=#REF!,""&amp;#REF!&amp;"",IF(AD15=#REF!,""&amp;#REF!&amp;"",IF(AD15=#REF!,""&amp;#REF!&amp;"",IF(AD15=#REF!,""&amp;#REF!&amp;"",IF(AD15=#REF!,""&amp;#REF!&amp;"",IF(AD15=#REF!,""&amp;#REF!&amp;"",IF(AD15=#REF!,""&amp;#REF!&amp;"",IF(AD15=#REF!,""&amp;#REF!&amp;"",IF(AD15=#REF!,""&amp;#REF!&amp;"",IF(AD15=#REF!,""&amp;#REF!&amp;"",IF(AD15=#REF!,""&amp;#REF!&amp;"",))))))))))))))))))))</f>
        <v>#REF!</v>
      </c>
      <c r="AE16" s="131" t="e">
        <f>CONCATENATE(IF(AE15=#REF!,""&amp;#REF!&amp;"",IF(AE15=#REF!,""&amp;#REF!&amp;"",IF(AE15=#REF!,""&amp;#REF!&amp;"",IF(AE15=#REF!,""&amp;#REF!&amp;"",IF(AE15=#REF!,""&amp;#REF!&amp;"",IF(AE15=#REF!,""&amp;#REF!&amp;"",IF(AE15=#REF!,""&amp;#REF!&amp;"",IF(AE15=#REF!,""&amp;#REF!&amp;"",IF(AE15=#REF!,""&amp;#REF!&amp;"",IF(AE15=#REF!,""&amp;#REF!&amp;"",IF(AE15=#REF!,""&amp;#REF!&amp;"",IF(AE15=#REF!,""&amp;#REF!&amp;"",IF(AE15=#REF!,""&amp;#REF!&amp;"",IF(AE15=#REF!,""&amp;#REF!&amp;"",IF(AE15=#REF!,""&amp;#REF!&amp;"",IF(AE15=#REF!,""&amp;#REF!&amp;"",IF(AE15=#REF!,""&amp;#REF!&amp;"",IF(AE15=#REF!,""&amp;#REF!&amp;"",IF(AE15=#REF!,""&amp;#REF!&amp;"",))))))))))))))))))))</f>
        <v>#REF!</v>
      </c>
      <c r="AF16" s="131" t="e">
        <f>CONCATENATE(IF(AF15=#REF!,""&amp;#REF!&amp;"",IF(AF15=#REF!,""&amp;#REF!&amp;"",IF(AF15=#REF!,""&amp;#REF!&amp;"",IF(AF15=#REF!,""&amp;#REF!&amp;"",IF(AF15=#REF!,""&amp;#REF!&amp;"",IF(AF15=#REF!,""&amp;#REF!&amp;"",IF(AF15=#REF!,""&amp;#REF!&amp;"",IF(AF15=#REF!,""&amp;#REF!&amp;"",IF(AF15=#REF!,""&amp;#REF!&amp;"",IF(AF15=#REF!,""&amp;#REF!&amp;"",IF(AF15=#REF!,""&amp;#REF!&amp;"",IF(AF15=#REF!,""&amp;#REF!&amp;"",IF(AF15=#REF!,""&amp;#REF!&amp;"",IF(AF15=#REF!,""&amp;#REF!&amp;"",IF(AF15=#REF!,""&amp;#REF!&amp;"",IF(AF15=#REF!,""&amp;#REF!&amp;"",IF(AF15=#REF!,""&amp;#REF!&amp;"",IF(AF15=#REF!,""&amp;#REF!&amp;"",IF(AF15=#REF!,""&amp;#REF!&amp;"",))))))))))))))))))))</f>
        <v>#REF!</v>
      </c>
      <c r="AG16" s="131" t="e">
        <f>CONCATENATE(IF(AG15=#REF!,""&amp;#REF!&amp;"",IF(AG15=#REF!,""&amp;#REF!&amp;"",IF(AG15=#REF!,""&amp;#REF!&amp;"",IF(AG15=#REF!,""&amp;#REF!&amp;"",IF(AG15=#REF!,""&amp;#REF!&amp;"",IF(AG15=#REF!,""&amp;#REF!&amp;"",IF(AG15=#REF!,""&amp;#REF!&amp;"",IF(AG15=#REF!,""&amp;#REF!&amp;"",IF(AG15=#REF!,""&amp;#REF!&amp;"",IF(AG15=#REF!,""&amp;#REF!&amp;"",IF(AG15=#REF!,""&amp;#REF!&amp;"",IF(AG15=#REF!,""&amp;#REF!&amp;"",IF(AG15=#REF!,""&amp;#REF!&amp;"",IF(AG15=#REF!,""&amp;#REF!&amp;"",IF(AG15=#REF!,""&amp;#REF!&amp;"",IF(AG15=#REF!,""&amp;#REF!&amp;"",IF(AG15=#REF!,""&amp;#REF!&amp;"",IF(AG15=#REF!,""&amp;#REF!&amp;"",IF(AG15=#REF!,""&amp;#REF!&amp;"",))))))))))))))))))))</f>
        <v>#REF!</v>
      </c>
    </row>
    <row r="17" spans="1:33" ht="17.25" thickTop="1" thickBot="1">
      <c r="A17" s="1506" t="s">
        <v>377</v>
      </c>
      <c r="B17" s="1538"/>
      <c r="C17" s="1315" t="str">
        <f>IF(ISERROR(HLOOKUP($H$6,[3]Feuil2!$C$3:$AG$44,9,0)),"",(HLOOKUP($H$6,[3]Feuil2!$C$3:$AG$44,9,0)))</f>
        <v/>
      </c>
      <c r="D17" s="1316"/>
      <c r="E17" s="1315" t="str">
        <f>IF(ISERROR(HLOOKUP($H$6,[3]Feuil2!$C$3:$AG$44,17,0)),"",(HLOOKUP($H$6,[3]Feuil2!$C$3:$AG$44,17,0)))</f>
        <v/>
      </c>
      <c r="F17" s="1316"/>
      <c r="G17" s="1315" t="str">
        <f>IF(ISERROR(HLOOKUP($H$6,[3]Feuil2!$C$3:$AG$44,25,0)),"",(HLOOKUP($H$6,[3]Feuil2!$C$3:$AG$44,25,0)))</f>
        <v/>
      </c>
      <c r="H17" s="1316"/>
      <c r="I17" s="1315" t="str">
        <f>IF(ISERROR(HLOOKUP($H$6,[3]Feuil2!$C$3:$AG$44,33,0)),"",(HLOOKUP($H$6,[3]Feuil2!$C$3:$AG$44,33,0)))</f>
        <v/>
      </c>
      <c r="J17" s="1316"/>
      <c r="K17" s="1315" t="str">
        <f>IF(ISERROR(HLOOKUP($H$6,[3]Feuil2!$C$3:$AG$44,41,0)),"",(HLOOKUP($H$6,[3]Feuil2!$C$3:$AG$44,41,0)))</f>
        <v/>
      </c>
      <c r="L17" s="1316"/>
      <c r="M17" s="125"/>
      <c r="N17" s="125"/>
      <c r="O17" s="125"/>
      <c r="P17" s="129" t="e">
        <f>CONCATENATE(#REF!)</f>
        <v>#REF!</v>
      </c>
      <c r="Q17" s="134" t="s">
        <v>381</v>
      </c>
      <c r="R17" s="134"/>
      <c r="S17" s="129" t="e">
        <f>P17</f>
        <v>#REF!</v>
      </c>
      <c r="T17" s="130" t="e">
        <f>CONCATENATE(#REF!)</f>
        <v>#REF!</v>
      </c>
      <c r="U17" s="130" t="e">
        <f>CONCATENATE(#REF!)</f>
        <v>#REF!</v>
      </c>
      <c r="V17" s="129" t="str">
        <f>CONCATENATE(IF(ISERROR(VLOOKUP(P17,#REF!,15,0)),"",(VLOOKUP(P17,#REF!,15,0))))</f>
        <v/>
      </c>
      <c r="W17" s="129" t="str">
        <f>CONCATENATE(IF(ISERROR(VLOOKUP(P17,#REF!,16,0)),"",(VLOOKUP(P17,#REF!,16,0))))</f>
        <v/>
      </c>
      <c r="X17" s="129" t="str">
        <f>CONCATENATE(IF(ISERROR(VLOOKUP(P17,#REF!,17,0)),"",(VLOOKUP(P17,#REF!,17,0))))</f>
        <v/>
      </c>
      <c r="Y17" s="129" t="str">
        <f>CONCATENATE(IF(ISERROR(VLOOKUP(P17,#REF!,18,0)),"",(VLOOKUP(P17,#REF!,18,0))))</f>
        <v/>
      </c>
      <c r="Z17" s="129" t="str">
        <f>CONCATENATE(IF(ISERROR(VLOOKUP(P17,#REF!,19,0)),"",(VLOOKUP(P17,#REF!,19,0))))</f>
        <v/>
      </c>
      <c r="AA17" s="129" t="str">
        <f>CONCATENATE(IF(ISERROR(VLOOKUP(P17,#REF!,20,0)),"",(VLOOKUP(P17,#REF!,20,0))))</f>
        <v/>
      </c>
      <c r="AB17" s="129" t="str">
        <f>CONCATENATE(IF(ISERROR(VLOOKUP(P17,#REF!,21,0)),"",(VLOOKUP(P17,#REF!,21,0))))</f>
        <v/>
      </c>
      <c r="AC17" s="129" t="str">
        <f>CONCATENATE(IF(ISERROR(VLOOKUP(P17,#REF!,22,0)),"",(VLOOKUP(P17,#REF!,22,0))))</f>
        <v/>
      </c>
      <c r="AD17" s="129" t="str">
        <f>CONCATENATE(IF(ISERROR(VLOOKUP(P17,#REF!,23,0)),"",(VLOOKUP(P17,#REF!,23,0))))</f>
        <v/>
      </c>
      <c r="AE17" s="129" t="str">
        <f>CONCATENATE(IF(ISERROR(VLOOKUP(P17,#REF!,24,0)),"",(VLOOKUP(P17,#REF!,24,0))))</f>
        <v/>
      </c>
      <c r="AF17" s="129" t="str">
        <f>CONCATENATE(IF(ISERROR(VLOOKUP(P17,#REF!,25,0)),"",(VLOOKUP(P17,#REF!,25,0))))</f>
        <v/>
      </c>
      <c r="AG17" s="135"/>
    </row>
    <row r="18" spans="1:33" ht="17.25" thickTop="1" thickBot="1">
      <c r="A18" s="1506" t="s">
        <v>378</v>
      </c>
      <c r="B18" s="1538"/>
      <c r="C18" s="1315" t="str">
        <f>IF(ISERROR(HLOOKUP($H$6,[3]Feuil2!$C$3:$AG$44,10,0)),"",(HLOOKUP($H$6,[3]Feuil2!$C$3:$AG$44,10,0)))</f>
        <v/>
      </c>
      <c r="D18" s="1316"/>
      <c r="E18" s="1315" t="str">
        <f>IF(ISERROR(HLOOKUP($H$6,[3]Feuil2!$C$3:$AG$44,18,0)),"",(HLOOKUP($H$6,[3]Feuil2!$C$3:$AG$44,18,0)))</f>
        <v/>
      </c>
      <c r="F18" s="1316"/>
      <c r="G18" s="1315"/>
      <c r="H18" s="1316"/>
      <c r="I18" s="1315"/>
      <c r="J18" s="1316"/>
      <c r="K18" s="1315"/>
      <c r="L18" s="1316"/>
      <c r="M18" s="125"/>
      <c r="N18" s="125"/>
      <c r="O18" s="125"/>
      <c r="P18" s="131"/>
      <c r="Q18" s="134" t="s">
        <v>495</v>
      </c>
      <c r="R18" s="131" t="e">
        <f>P17</f>
        <v>#REF!</v>
      </c>
      <c r="S18" s="131"/>
      <c r="T18" s="130"/>
      <c r="U18" s="130"/>
      <c r="V18" s="131" t="e">
        <f>CONCATENATE(IF(V17=#REF!,""&amp;#REF!&amp;"",IF(V17=#REF!,""&amp;#REF!&amp;"",IF(V17=#REF!,""&amp;#REF!&amp;"",IF(V17=#REF!,""&amp;#REF!&amp;"",IF(V17=#REF!,""&amp;#REF!&amp;"",IF(V17=#REF!,""&amp;#REF!&amp;"",IF(V17=#REF!,""&amp;#REF!&amp;"",IF(V17=#REF!,""&amp;#REF!&amp;"",IF(V17=#REF!,""&amp;#REF!&amp;"",IF(V17=#REF!,""&amp;#REF!&amp;"",IF(V17=#REF!,""&amp;#REF!&amp;"",IF(V17=#REF!,""&amp;#REF!&amp;"",IF(V17=#REF!,""&amp;#REF!&amp;"",IF(V17=#REF!,""&amp;#REF!&amp;"",IF(V17=#REF!,""&amp;#REF!&amp;"",IF(V17=#REF!,""&amp;#REF!&amp;"",IF(V17=#REF!,""&amp;#REF!&amp;"",IF(V17=#REF!,""&amp;#REF!&amp;"",IF(V17=#REF!,""&amp;#REF!&amp;"",))))))))))))))))))))</f>
        <v>#REF!</v>
      </c>
      <c r="W18" s="131" t="e">
        <f>CONCATENATE(IF(W17=#REF!,""&amp;#REF!&amp;"",IF(W17=#REF!,""&amp;#REF!&amp;"",IF(W17=#REF!,""&amp;#REF!&amp;"",IF(W17=#REF!,""&amp;#REF!&amp;"",IF(W17=#REF!,""&amp;#REF!&amp;"",IF(W17=#REF!,""&amp;#REF!&amp;"",IF(W17=#REF!,""&amp;#REF!&amp;"",IF(W17=#REF!,""&amp;#REF!&amp;"",IF(W17=#REF!,""&amp;#REF!&amp;"",IF(W17=#REF!,""&amp;#REF!&amp;"",IF(W17=#REF!,""&amp;#REF!&amp;"",IF(W17=#REF!,""&amp;#REF!&amp;"",IF(W17=#REF!,""&amp;#REF!&amp;"",IF(W17=#REF!,""&amp;#REF!&amp;"",IF(W17=#REF!,""&amp;#REF!&amp;"",IF(W17=#REF!,""&amp;#REF!&amp;"",IF(W17=#REF!,""&amp;#REF!&amp;"",IF(W17=#REF!,""&amp;#REF!&amp;"",IF(W17=#REF!,""&amp;#REF!&amp;"",))))))))))))))))))))</f>
        <v>#REF!</v>
      </c>
      <c r="X18" s="131" t="e">
        <f>CONCATENATE(IF(X17=#REF!,""&amp;#REF!&amp;"",IF(X17=#REF!,""&amp;#REF!&amp;"",IF(X17=#REF!,""&amp;#REF!&amp;"",IF(X17=#REF!,""&amp;#REF!&amp;"",IF(X17=#REF!,""&amp;#REF!&amp;"",IF(X17=#REF!,""&amp;#REF!&amp;"",IF(X17=#REF!,""&amp;#REF!&amp;"",IF(X17=#REF!,""&amp;#REF!&amp;"",IF(X17=#REF!,""&amp;#REF!&amp;"",IF(X17=#REF!,""&amp;#REF!&amp;"",IF(X17=#REF!,""&amp;#REF!&amp;"",IF(X17=#REF!,""&amp;#REF!&amp;"",IF(X17=#REF!,""&amp;#REF!&amp;"",IF(X17=#REF!,""&amp;#REF!&amp;"",IF(X17=#REF!,""&amp;#REF!&amp;"",IF(X17=#REF!,""&amp;#REF!&amp;"",IF(X17=#REF!,""&amp;#REF!&amp;"",IF(X17=#REF!,""&amp;#REF!&amp;"",IF(X17=#REF!,""&amp;#REF!&amp;"",))))))))))))))))))))</f>
        <v>#REF!</v>
      </c>
      <c r="Y18" s="131" t="e">
        <f>CONCATENATE(IF(Y17=#REF!,""&amp;#REF!&amp;"",IF(Y17=#REF!,""&amp;#REF!&amp;"",IF(Y17=#REF!,""&amp;#REF!&amp;"",IF(Y17=#REF!,""&amp;#REF!&amp;"",IF(Y17=#REF!,""&amp;#REF!&amp;"",IF(Y17=#REF!,""&amp;#REF!&amp;"",IF(Y17=#REF!,""&amp;#REF!&amp;"",IF(Y17=#REF!,""&amp;#REF!&amp;"",IF(Y17=#REF!,""&amp;#REF!&amp;"",IF(Y17=#REF!,""&amp;#REF!&amp;"",IF(Y17=#REF!,""&amp;#REF!&amp;"",IF(Y17=#REF!,""&amp;#REF!&amp;"",IF(Y17=#REF!,""&amp;#REF!&amp;"",IF(Y17=#REF!,""&amp;#REF!&amp;"",IF(Y17=#REF!,""&amp;#REF!&amp;"",IF(Y17=#REF!,""&amp;#REF!&amp;"",IF(Y17=#REF!,""&amp;#REF!&amp;"",IF(Y17=#REF!,""&amp;#REF!&amp;"",IF(Y17=#REF!,""&amp;#REF!&amp;"",))))))))))))))))))))</f>
        <v>#REF!</v>
      </c>
      <c r="Z18" s="131" t="e">
        <f>CONCATENATE(IF(Z17=#REF!,""&amp;#REF!&amp;"",IF(Z17=#REF!,""&amp;#REF!&amp;"",IF(Z17=#REF!,""&amp;#REF!&amp;"",IF(Z17=#REF!,""&amp;#REF!&amp;"",IF(Z17=#REF!,""&amp;#REF!&amp;"",IF(Z17=#REF!,""&amp;#REF!&amp;"",IF(Z17=#REF!,""&amp;#REF!&amp;"",IF(Z17=#REF!,""&amp;#REF!&amp;"",IF(Z17=#REF!,""&amp;#REF!&amp;"",IF(Z17=#REF!,""&amp;#REF!&amp;"",IF(Z17=#REF!,""&amp;#REF!&amp;"",IF(Z17=#REF!,""&amp;#REF!&amp;"",IF(Z17=#REF!,""&amp;#REF!&amp;"",IF(Z17=#REF!,""&amp;#REF!&amp;"",IF(Z17=#REF!,""&amp;#REF!&amp;"",IF(Z17=#REF!,""&amp;#REF!&amp;"",IF(Z17=#REF!,""&amp;#REF!&amp;"",IF(Z17=#REF!,""&amp;#REF!&amp;"",IF(Z17=#REF!,""&amp;#REF!&amp;"",))))))))))))))))))))</f>
        <v>#REF!</v>
      </c>
      <c r="AA18" s="131" t="e">
        <f>CONCATENATE(IF(AA17=#REF!,""&amp;#REF!&amp;"",IF(AA17=#REF!,""&amp;#REF!&amp;"",IF(AA17=#REF!,""&amp;#REF!&amp;"",IF(AA17=#REF!,""&amp;#REF!&amp;"",IF(AA17=#REF!,""&amp;#REF!&amp;"",IF(AA17=#REF!,""&amp;#REF!&amp;"",IF(AA17=#REF!,""&amp;#REF!&amp;"",IF(AA17=#REF!,""&amp;#REF!&amp;"",IF(AA17=#REF!,""&amp;#REF!&amp;"",IF(AA17=#REF!,""&amp;#REF!&amp;"",IF(AA17=#REF!,""&amp;#REF!&amp;"",IF(AA17=#REF!,""&amp;#REF!&amp;"",IF(AA17=#REF!,""&amp;#REF!&amp;"",IF(AA17=#REF!,""&amp;#REF!&amp;"",IF(AA17=#REF!,""&amp;#REF!&amp;"",IF(AA17=#REF!,""&amp;#REF!&amp;"",IF(AA17=#REF!,""&amp;#REF!&amp;"",IF(AA17=#REF!,""&amp;#REF!&amp;"",IF(AA17=#REF!,""&amp;#REF!&amp;"",))))))))))))))))))))</f>
        <v>#REF!</v>
      </c>
      <c r="AB18" s="131" t="e">
        <f>CONCATENATE(IF(AB17=#REF!,""&amp;#REF!&amp;"",IF(AB17=#REF!,""&amp;#REF!&amp;"",IF(AB17=#REF!,""&amp;#REF!&amp;"",IF(AB17=#REF!,""&amp;#REF!&amp;"",IF(AB17=#REF!,""&amp;#REF!&amp;"",IF(AB17=#REF!,""&amp;#REF!&amp;"",IF(AB17=#REF!,""&amp;#REF!&amp;"",IF(AB17=#REF!,""&amp;#REF!&amp;"",IF(AB17=#REF!,""&amp;#REF!&amp;"",IF(AB17=#REF!,""&amp;#REF!&amp;"",IF(AB17=#REF!,""&amp;#REF!&amp;"",IF(AB17=#REF!,""&amp;#REF!&amp;"",IF(AB17=#REF!,""&amp;#REF!&amp;"",IF(AB17=#REF!,""&amp;#REF!&amp;"",IF(AB17=#REF!,""&amp;#REF!&amp;"",IF(AB17=#REF!,""&amp;#REF!&amp;"",IF(AB17=#REF!,""&amp;#REF!&amp;"",IF(AB17=#REF!,""&amp;#REF!&amp;"",IF(AB17=#REF!,""&amp;#REF!&amp;"",))))))))))))))))))))</f>
        <v>#REF!</v>
      </c>
      <c r="AC18" s="131" t="e">
        <f>CONCATENATE(IF(AC17=#REF!,""&amp;#REF!&amp;"",IF(AC17=#REF!,""&amp;#REF!&amp;"",IF(AC17=#REF!,""&amp;#REF!&amp;"",IF(AC17=#REF!,""&amp;#REF!&amp;"",IF(AC17=#REF!,""&amp;#REF!&amp;"",IF(AC17=#REF!,""&amp;#REF!&amp;"",IF(AC17=#REF!,""&amp;#REF!&amp;"",IF(AC17=#REF!,""&amp;#REF!&amp;"",IF(AC17=#REF!,""&amp;#REF!&amp;"",IF(AC17=#REF!,""&amp;#REF!&amp;"",IF(AC17=#REF!,""&amp;#REF!&amp;"",IF(AC17=#REF!,""&amp;#REF!&amp;"",IF(AC17=#REF!,""&amp;#REF!&amp;"",IF(AC17=#REF!,""&amp;#REF!&amp;"",IF(AC17=#REF!,""&amp;#REF!&amp;"",IF(AC17=#REF!,""&amp;#REF!&amp;"",IF(AC17=#REF!,""&amp;#REF!&amp;"",IF(AC17=#REF!,""&amp;#REF!&amp;"",IF(AC17=#REF!,""&amp;#REF!&amp;"",))))))))))))))))))))</f>
        <v>#REF!</v>
      </c>
      <c r="AD18" s="131" t="e">
        <f>CONCATENATE(IF(AD17=#REF!,""&amp;#REF!&amp;"",IF(AD17=#REF!,""&amp;#REF!&amp;"",IF(AD17=#REF!,""&amp;#REF!&amp;"",IF(AD17=#REF!,""&amp;#REF!&amp;"",IF(AD17=#REF!,""&amp;#REF!&amp;"",IF(AD17=#REF!,""&amp;#REF!&amp;"",IF(AD17=#REF!,""&amp;#REF!&amp;"",IF(AD17=#REF!,""&amp;#REF!&amp;"",IF(AD17=#REF!,""&amp;#REF!&amp;"",IF(AD17=#REF!,""&amp;#REF!&amp;"",IF(AD17=#REF!,""&amp;#REF!&amp;"",IF(AD17=#REF!,""&amp;#REF!&amp;"",IF(AD17=#REF!,""&amp;#REF!&amp;"",IF(AD17=#REF!,""&amp;#REF!&amp;"",IF(AD17=#REF!,""&amp;#REF!&amp;"",IF(AD17=#REF!,""&amp;#REF!&amp;"",IF(AD17=#REF!,""&amp;#REF!&amp;"",IF(AD17=#REF!,""&amp;#REF!&amp;"",IF(AD17=#REF!,""&amp;#REF!&amp;"",))))))))))))))))))))</f>
        <v>#REF!</v>
      </c>
      <c r="AE18" s="131" t="e">
        <f>CONCATENATE(IF(AE17=#REF!,""&amp;#REF!&amp;"",IF(AE17=#REF!,""&amp;#REF!&amp;"",IF(AE17=#REF!,""&amp;#REF!&amp;"",IF(AE17=#REF!,""&amp;#REF!&amp;"",IF(AE17=#REF!,""&amp;#REF!&amp;"",IF(AE17=#REF!,""&amp;#REF!&amp;"",IF(AE17=#REF!,""&amp;#REF!&amp;"",IF(AE17=#REF!,""&amp;#REF!&amp;"",IF(AE17=#REF!,""&amp;#REF!&amp;"",IF(AE17=#REF!,""&amp;#REF!&amp;"",IF(AE17=#REF!,""&amp;#REF!&amp;"",IF(AE17=#REF!,""&amp;#REF!&amp;"",IF(AE17=#REF!,""&amp;#REF!&amp;"",IF(AE17=#REF!,""&amp;#REF!&amp;"",IF(AE17=#REF!,""&amp;#REF!&amp;"",IF(AE17=#REF!,""&amp;#REF!&amp;"",IF(AE17=#REF!,""&amp;#REF!&amp;"",IF(AE17=#REF!,""&amp;#REF!&amp;"",IF(AE17=#REF!,""&amp;#REF!&amp;"",))))))))))))))))))))</f>
        <v>#REF!</v>
      </c>
      <c r="AF18" s="131" t="e">
        <f>CONCATENATE(IF(AF17=#REF!,""&amp;#REF!&amp;"",IF(AF17=#REF!,""&amp;#REF!&amp;"",IF(AF17=#REF!,""&amp;#REF!&amp;"",IF(AF17=#REF!,""&amp;#REF!&amp;"",IF(AF17=#REF!,""&amp;#REF!&amp;"",IF(AF17=#REF!,""&amp;#REF!&amp;"",IF(AF17=#REF!,""&amp;#REF!&amp;"",IF(AF17=#REF!,""&amp;#REF!&amp;"",IF(AF17=#REF!,""&amp;#REF!&amp;"",IF(AF17=#REF!,""&amp;#REF!&amp;"",IF(AF17=#REF!,""&amp;#REF!&amp;"",IF(AF17=#REF!,""&amp;#REF!&amp;"",IF(AF17=#REF!,""&amp;#REF!&amp;"",IF(AF17=#REF!,""&amp;#REF!&amp;"",IF(AF17=#REF!,""&amp;#REF!&amp;"",IF(AF17=#REF!,""&amp;#REF!&amp;"",IF(AF17=#REF!,""&amp;#REF!&amp;"",IF(AF17=#REF!,""&amp;#REF!&amp;"",IF(AF17=#REF!,""&amp;#REF!&amp;"",))))))))))))))))))))</f>
        <v>#REF!</v>
      </c>
      <c r="AG18" s="131" t="e">
        <f>CONCATENATE(IF(AG17=#REF!,""&amp;#REF!&amp;"",IF(AG17=#REF!,""&amp;#REF!&amp;"",IF(AG17=#REF!,""&amp;#REF!&amp;"",IF(AG17=#REF!,""&amp;#REF!&amp;"",IF(AG17=#REF!,""&amp;#REF!&amp;"",IF(AG17=#REF!,""&amp;#REF!&amp;"",IF(AG17=#REF!,""&amp;#REF!&amp;"",IF(AG17=#REF!,""&amp;#REF!&amp;"",IF(AG17=#REF!,""&amp;#REF!&amp;"",IF(AG17=#REF!,""&amp;#REF!&amp;"",IF(AG17=#REF!,""&amp;#REF!&amp;"",IF(AG17=#REF!,""&amp;#REF!&amp;"",IF(AG17=#REF!,""&amp;#REF!&amp;"",IF(AG17=#REF!,""&amp;#REF!&amp;"",IF(AG17=#REF!,""&amp;#REF!&amp;"",IF(AG17=#REF!,""&amp;#REF!&amp;"",IF(AG17=#REF!,""&amp;#REF!&amp;"",IF(AG17=#REF!,""&amp;#REF!&amp;"",IF(AG17=#REF!,""&amp;#REF!&amp;"",))))))))))))))))))))</f>
        <v>#REF!</v>
      </c>
    </row>
    <row r="19" spans="1:33" ht="17.25" thickTop="1" thickBot="1">
      <c r="A19" s="1536" t="s">
        <v>379</v>
      </c>
      <c r="B19" s="1537"/>
      <c r="C19" s="1504">
        <v>0</v>
      </c>
      <c r="D19" s="1505"/>
      <c r="E19" s="1504">
        <v>0</v>
      </c>
      <c r="F19" s="1505"/>
      <c r="G19" s="1504">
        <v>0</v>
      </c>
      <c r="H19" s="1505"/>
      <c r="I19" s="1504">
        <v>0</v>
      </c>
      <c r="J19" s="1505"/>
      <c r="K19" s="1504" t="s">
        <v>380</v>
      </c>
      <c r="L19" s="1505"/>
      <c r="M19" s="125"/>
      <c r="N19" s="125"/>
      <c r="O19" s="125"/>
      <c r="P19" s="129" t="e">
        <f>CONCATENATE(#REF!)</f>
        <v>#REF!</v>
      </c>
      <c r="Q19" s="134" t="s">
        <v>381</v>
      </c>
      <c r="R19" s="134"/>
      <c r="S19" s="129" t="e">
        <f>P19</f>
        <v>#REF!</v>
      </c>
      <c r="T19" s="130" t="e">
        <f>CONCATENATE(#REF!)</f>
        <v>#REF!</v>
      </c>
      <c r="U19" s="130" t="e">
        <f>CONCATENATE(#REF!)</f>
        <v>#REF!</v>
      </c>
      <c r="V19" s="129" t="str">
        <f>CONCATENATE(IF(ISERROR(VLOOKUP(P19,#REF!,15,0)),"",(VLOOKUP(P19,#REF!,15,0))))</f>
        <v/>
      </c>
      <c r="W19" s="129" t="str">
        <f>CONCATENATE(IF(ISERROR(VLOOKUP(P19,#REF!,16,0)),"",(VLOOKUP(P19,#REF!,16,0))))</f>
        <v/>
      </c>
      <c r="X19" s="129" t="str">
        <f>CONCATENATE(IF(ISERROR(VLOOKUP(P19,#REF!,17,0)),"",(VLOOKUP(P19,#REF!,17,0))))</f>
        <v/>
      </c>
      <c r="Y19" s="129" t="str">
        <f>CONCATENATE(IF(ISERROR(VLOOKUP(P19,#REF!,18,0)),"",(VLOOKUP(P19,#REF!,18,0))))</f>
        <v/>
      </c>
      <c r="Z19" s="129" t="str">
        <f>CONCATENATE(IF(ISERROR(VLOOKUP(P19,#REF!,19,0)),"",(VLOOKUP(P19,#REF!,19,0))))</f>
        <v/>
      </c>
      <c r="AA19" s="129" t="str">
        <f>CONCATENATE(IF(ISERROR(VLOOKUP(P19,#REF!,20,0)),"",(VLOOKUP(P19,#REF!,20,0))))</f>
        <v/>
      </c>
      <c r="AB19" s="129" t="str">
        <f>CONCATENATE(IF(ISERROR(VLOOKUP(P19,#REF!,21,0)),"",(VLOOKUP(P19,#REF!,21,0))))</f>
        <v/>
      </c>
      <c r="AC19" s="129" t="str">
        <f>CONCATENATE(IF(ISERROR(VLOOKUP(P19,#REF!,22,0)),"",(VLOOKUP(P19,#REF!,22,0))))</f>
        <v/>
      </c>
      <c r="AD19" s="129" t="str">
        <f>CONCATENATE(IF(ISERROR(VLOOKUP(P19,#REF!,23,0)),"",(VLOOKUP(P19,#REF!,23,0))))</f>
        <v/>
      </c>
      <c r="AE19" s="129" t="str">
        <f>CONCATENATE(IF(ISERROR(VLOOKUP(P19,#REF!,24,0)),"",(VLOOKUP(P19,#REF!,24,0))))</f>
        <v/>
      </c>
      <c r="AF19" s="129" t="str">
        <f>CONCATENATE(IF(ISERROR(VLOOKUP(P19,#REF!,25,0)),"",(VLOOKUP(P19,#REF!,25,0))))</f>
        <v/>
      </c>
      <c r="AG19" s="131" t="e">
        <f>CONCATENATE(IF(AG18=#REF!,""&amp;#REF!&amp;"",IF(AG18=#REF!,""&amp;#REF!&amp;"",IF(AG18=#REF!,""&amp;#REF!&amp;"",IF(AG18=#REF!,""&amp;#REF!&amp;"",IF(AG18=#REF!,""&amp;#REF!&amp;"",IF(AG18=#REF!,""&amp;#REF!&amp;"",IF(AG18=#REF!,""&amp;#REF!&amp;"",IF(AG18=#REF!,""&amp;#REF!&amp;"",IF(AG18=#REF!,""&amp;#REF!&amp;"",IF(AG18=#REF!,""&amp;#REF!&amp;"",IF(AG18=#REF!,""&amp;#REF!&amp;"",IF(AG18=#REF!,""&amp;#REF!&amp;"",IF(AG18=#REF!,""&amp;#REF!&amp;"",IF(AG18=#REF!,""&amp;#REF!&amp;"",IF(AG18=#REF!,""&amp;#REF!&amp;"",IF(AG18=#REF!,""&amp;#REF!&amp;"",)))))))))))))))))</f>
        <v>#REF!</v>
      </c>
    </row>
    <row r="20" spans="1:33" ht="17.25" thickTop="1" thickBo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125"/>
      <c r="N20" s="125"/>
      <c r="O20" s="125"/>
      <c r="P20" s="131"/>
      <c r="Q20" s="134" t="s">
        <v>495</v>
      </c>
      <c r="R20" s="131" t="e">
        <f>P19</f>
        <v>#REF!</v>
      </c>
      <c r="S20" s="131"/>
      <c r="T20" s="132"/>
      <c r="U20" s="132"/>
      <c r="V20" s="131" t="e">
        <f>CONCATENATE(IF(V19=#REF!,""&amp;#REF!&amp;"",IF(V19=#REF!,""&amp;#REF!&amp;"",IF(V19=#REF!,""&amp;#REF!&amp;"",IF(V19=#REF!,""&amp;#REF!&amp;"",IF(V19=#REF!,""&amp;#REF!&amp;"",IF(V19=#REF!,""&amp;#REF!&amp;"",IF(V19=#REF!,""&amp;#REF!&amp;"",IF(V19=#REF!,""&amp;#REF!&amp;"",IF(V19=#REF!,""&amp;#REF!&amp;"",IF(V19=#REF!,""&amp;#REF!&amp;"",IF(V19=#REF!,""&amp;#REF!&amp;"",IF(V19=#REF!,""&amp;#REF!&amp;"",IF(V19=#REF!,""&amp;#REF!&amp;"",IF(V19=#REF!,""&amp;#REF!&amp;"",IF(V19=#REF!,""&amp;#REF!&amp;"",IF(V19=#REF!,""&amp;#REF!&amp;"",IF(V19=#REF!,""&amp;#REF!&amp;"",IF(V19=#REF!,""&amp;#REF!&amp;"",IF(V19=#REF!,""&amp;#REF!&amp;"",))))))))))))))))))))</f>
        <v>#REF!</v>
      </c>
      <c r="W20" s="131" t="e">
        <f>CONCATENATE(IF(W19=#REF!,""&amp;#REF!&amp;"",IF(W19=#REF!,""&amp;#REF!&amp;"",IF(W19=#REF!,""&amp;#REF!&amp;"",IF(W19=#REF!,""&amp;#REF!&amp;"",IF(W19=#REF!,""&amp;#REF!&amp;"",IF(W19=#REF!,""&amp;#REF!&amp;"",IF(W19=#REF!,""&amp;#REF!&amp;"",IF(W19=#REF!,""&amp;#REF!&amp;"",IF(W19=#REF!,""&amp;#REF!&amp;"",IF(W19=#REF!,""&amp;#REF!&amp;"",IF(W19=#REF!,""&amp;#REF!&amp;"",IF(W19=#REF!,""&amp;#REF!&amp;"",IF(W19=#REF!,""&amp;#REF!&amp;"",IF(W19=#REF!,""&amp;#REF!&amp;"",IF(W19=#REF!,""&amp;#REF!&amp;"",IF(W19=#REF!,""&amp;#REF!&amp;"",IF(W19=#REF!,""&amp;#REF!&amp;"",IF(W19=#REF!,""&amp;#REF!&amp;"",IF(W19=#REF!,""&amp;#REF!&amp;"",))))))))))))))))))))</f>
        <v>#REF!</v>
      </c>
      <c r="X20" s="131" t="e">
        <f>CONCATENATE(IF(X19=#REF!,""&amp;#REF!&amp;"",IF(X19=#REF!,""&amp;#REF!&amp;"",IF(X19=#REF!,""&amp;#REF!&amp;"",IF(X19=#REF!,""&amp;#REF!&amp;"",IF(X19=#REF!,""&amp;#REF!&amp;"",IF(X19=#REF!,""&amp;#REF!&amp;"",IF(X19=#REF!,""&amp;#REF!&amp;"",IF(X19=#REF!,""&amp;#REF!&amp;"",IF(X19=#REF!,""&amp;#REF!&amp;"",IF(X19=#REF!,""&amp;#REF!&amp;"",IF(X19=#REF!,""&amp;#REF!&amp;"",IF(X19=#REF!,""&amp;#REF!&amp;"",IF(X19=#REF!,""&amp;#REF!&amp;"",IF(X19=#REF!,""&amp;#REF!&amp;"",IF(X19=#REF!,""&amp;#REF!&amp;"",IF(X19=#REF!,""&amp;#REF!&amp;"",IF(X19=#REF!,""&amp;#REF!&amp;"",IF(X19=#REF!,""&amp;#REF!&amp;"",IF(X19=#REF!,""&amp;#REF!&amp;"",))))))))))))))))))))</f>
        <v>#REF!</v>
      </c>
      <c r="Y20" s="131" t="e">
        <f>CONCATENATE(IF(Y19=#REF!,""&amp;#REF!&amp;"",IF(Y19=#REF!,""&amp;#REF!&amp;"",IF(Y19=#REF!,""&amp;#REF!&amp;"",IF(Y19=#REF!,""&amp;#REF!&amp;"",IF(Y19=#REF!,""&amp;#REF!&amp;"",IF(Y19=#REF!,""&amp;#REF!&amp;"",IF(Y19=#REF!,""&amp;#REF!&amp;"",IF(Y19=#REF!,""&amp;#REF!&amp;"",IF(Y19=#REF!,""&amp;#REF!&amp;"",IF(Y19=#REF!,""&amp;#REF!&amp;"",IF(Y19=#REF!,""&amp;#REF!&amp;"",IF(Y19=#REF!,""&amp;#REF!&amp;"",IF(Y19=#REF!,""&amp;#REF!&amp;"",IF(Y19=#REF!,""&amp;#REF!&amp;"",IF(Y19=#REF!,""&amp;#REF!&amp;"",IF(Y19=#REF!,""&amp;#REF!&amp;"",IF(Y19=#REF!,""&amp;#REF!&amp;"",IF(Y19=#REF!,""&amp;#REF!&amp;"",IF(Y19=#REF!,""&amp;#REF!&amp;"",))))))))))))))))))))</f>
        <v>#REF!</v>
      </c>
      <c r="Z20" s="131" t="e">
        <f>CONCATENATE(IF(Z19=#REF!,""&amp;#REF!&amp;"",IF(Z19=#REF!,""&amp;#REF!&amp;"",IF(Z19=#REF!,""&amp;#REF!&amp;"",IF(Z19=#REF!,""&amp;#REF!&amp;"",IF(Z19=#REF!,""&amp;#REF!&amp;"",IF(Z19=#REF!,""&amp;#REF!&amp;"",IF(Z19=#REF!,""&amp;#REF!&amp;"",IF(Z19=#REF!,""&amp;#REF!&amp;"",IF(Z19=#REF!,""&amp;#REF!&amp;"",IF(Z19=#REF!,""&amp;#REF!&amp;"",IF(Z19=#REF!,""&amp;#REF!&amp;"",IF(Z19=#REF!,""&amp;#REF!&amp;"",IF(Z19=#REF!,""&amp;#REF!&amp;"",IF(Z19=#REF!,""&amp;#REF!&amp;"",IF(Z19=#REF!,""&amp;#REF!&amp;"",IF(Z19=#REF!,""&amp;#REF!&amp;"",IF(Z19=#REF!,""&amp;#REF!&amp;"",IF(Z19=#REF!,""&amp;#REF!&amp;"",IF(Z19=#REF!,""&amp;#REF!&amp;"",))))))))))))))))))))</f>
        <v>#REF!</v>
      </c>
      <c r="AA20" s="131" t="e">
        <f>CONCATENATE(IF(AA19=#REF!,""&amp;#REF!&amp;"",IF(AA19=#REF!,""&amp;#REF!&amp;"",IF(AA19=#REF!,""&amp;#REF!&amp;"",IF(AA19=#REF!,""&amp;#REF!&amp;"",IF(AA19=#REF!,""&amp;#REF!&amp;"",IF(AA19=#REF!,""&amp;#REF!&amp;"",IF(AA19=#REF!,""&amp;#REF!&amp;"",IF(AA19=#REF!,""&amp;#REF!&amp;"",IF(AA19=#REF!,""&amp;#REF!&amp;"",IF(AA19=#REF!,""&amp;#REF!&amp;"",IF(AA19=#REF!,""&amp;#REF!&amp;"",IF(AA19=#REF!,""&amp;#REF!&amp;"",IF(AA19=#REF!,""&amp;#REF!&amp;"",IF(AA19=#REF!,""&amp;#REF!&amp;"",IF(AA19=#REF!,""&amp;#REF!&amp;"",IF(AA19=#REF!,""&amp;#REF!&amp;"",IF(AA19=#REF!,""&amp;#REF!&amp;"",IF(AA19=#REF!,""&amp;#REF!&amp;"",IF(AA19=#REF!,""&amp;#REF!&amp;"",))))))))))))))))))))</f>
        <v>#REF!</v>
      </c>
      <c r="AB20" s="131" t="e">
        <f>CONCATENATE(IF(AB19=#REF!,""&amp;#REF!&amp;"",IF(AB19=#REF!,""&amp;#REF!&amp;"",IF(AB19=#REF!,""&amp;#REF!&amp;"",IF(AB19=#REF!,""&amp;#REF!&amp;"",IF(AB19=#REF!,""&amp;#REF!&amp;"",IF(AB19=#REF!,""&amp;#REF!&amp;"",IF(AB19=#REF!,""&amp;#REF!&amp;"",IF(AB19=#REF!,""&amp;#REF!&amp;"",IF(AB19=#REF!,""&amp;#REF!&amp;"",IF(AB19=#REF!,""&amp;#REF!&amp;"",IF(AB19=#REF!,""&amp;#REF!&amp;"",IF(AB19=#REF!,""&amp;#REF!&amp;"",IF(AB19=#REF!,""&amp;#REF!&amp;"",IF(AB19=#REF!,""&amp;#REF!&amp;"",IF(AB19=#REF!,""&amp;#REF!&amp;"",IF(AB19=#REF!,""&amp;#REF!&amp;"",IF(AB19=#REF!,""&amp;#REF!&amp;"",IF(AB19=#REF!,""&amp;#REF!&amp;"",IF(AB19=#REF!,""&amp;#REF!&amp;"",))))))))))))))))))))</f>
        <v>#REF!</v>
      </c>
      <c r="AC20" s="131" t="e">
        <f>CONCATENATE(IF(AC19=#REF!,""&amp;#REF!&amp;"",IF(AC19=#REF!,""&amp;#REF!&amp;"",IF(AC19=#REF!,""&amp;#REF!&amp;"",IF(AC19=#REF!,""&amp;#REF!&amp;"",IF(AC19=#REF!,""&amp;#REF!&amp;"",IF(AC19=#REF!,""&amp;#REF!&amp;"",IF(AC19=#REF!,""&amp;#REF!&amp;"",IF(AC19=#REF!,""&amp;#REF!&amp;"",IF(AC19=#REF!,""&amp;#REF!&amp;"",IF(AC19=#REF!,""&amp;#REF!&amp;"",IF(AC19=#REF!,""&amp;#REF!&amp;"",IF(AC19=#REF!,""&amp;#REF!&amp;"",IF(AC19=#REF!,""&amp;#REF!&amp;"",IF(AC19=#REF!,""&amp;#REF!&amp;"",IF(AC19=#REF!,""&amp;#REF!&amp;"",IF(AC19=#REF!,""&amp;#REF!&amp;"",IF(AC19=#REF!,""&amp;#REF!&amp;"",IF(AC19=#REF!,""&amp;#REF!&amp;"",IF(AC19=#REF!,""&amp;#REF!&amp;"",))))))))))))))))))))</f>
        <v>#REF!</v>
      </c>
      <c r="AD20" s="131" t="e">
        <f>CONCATENATE(IF(AD19=#REF!,""&amp;#REF!&amp;"",IF(AD19=#REF!,""&amp;#REF!&amp;"",IF(AD19=#REF!,""&amp;#REF!&amp;"",IF(AD19=#REF!,""&amp;#REF!&amp;"",IF(AD19=#REF!,""&amp;#REF!&amp;"",IF(AD19=#REF!,""&amp;#REF!&amp;"",IF(AD19=#REF!,""&amp;#REF!&amp;"",IF(AD19=#REF!,""&amp;#REF!&amp;"",IF(AD19=#REF!,""&amp;#REF!&amp;"",IF(AD19=#REF!,""&amp;#REF!&amp;"",IF(AD19=#REF!,""&amp;#REF!&amp;"",IF(AD19=#REF!,""&amp;#REF!&amp;"",IF(AD19=#REF!,""&amp;#REF!&amp;"",IF(AD19=#REF!,""&amp;#REF!&amp;"",IF(AD19=#REF!,""&amp;#REF!&amp;"",IF(AD19=#REF!,""&amp;#REF!&amp;"",IF(AD19=#REF!,""&amp;#REF!&amp;"",IF(AD19=#REF!,""&amp;#REF!&amp;"",IF(AD19=#REF!,""&amp;#REF!&amp;"",))))))))))))))))))))</f>
        <v>#REF!</v>
      </c>
      <c r="AE20" s="131" t="e">
        <f>CONCATENATE(IF(AE19=#REF!,""&amp;#REF!&amp;"",IF(AE19=#REF!,""&amp;#REF!&amp;"",IF(AE19=#REF!,""&amp;#REF!&amp;"",IF(AE19=#REF!,""&amp;#REF!&amp;"",IF(AE19=#REF!,""&amp;#REF!&amp;"",IF(AE19=#REF!,""&amp;#REF!&amp;"",IF(AE19=#REF!,""&amp;#REF!&amp;"",IF(AE19=#REF!,""&amp;#REF!&amp;"",IF(AE19=#REF!,""&amp;#REF!&amp;"",IF(AE19=#REF!,""&amp;#REF!&amp;"",IF(AE19=#REF!,""&amp;#REF!&amp;"",IF(AE19=#REF!,""&amp;#REF!&amp;"",IF(AE19=#REF!,""&amp;#REF!&amp;"",IF(AE19=#REF!,""&amp;#REF!&amp;"",IF(AE19=#REF!,""&amp;#REF!&amp;"",IF(AE19=#REF!,""&amp;#REF!&amp;"",IF(AE19=#REF!,""&amp;#REF!&amp;"",IF(AE19=#REF!,""&amp;#REF!&amp;"",IF(AE19=#REF!,""&amp;#REF!&amp;"",))))))))))))))))))))</f>
        <v>#REF!</v>
      </c>
      <c r="AF20" s="131" t="e">
        <f>CONCATENATE(IF(AF19=#REF!,""&amp;#REF!&amp;"",IF(AF19=#REF!,""&amp;#REF!&amp;"",IF(AF19=#REF!,""&amp;#REF!&amp;"",IF(AF19=#REF!,""&amp;#REF!&amp;"",IF(AF19=#REF!,""&amp;#REF!&amp;"",IF(AF19=#REF!,""&amp;#REF!&amp;"",IF(AF19=#REF!,""&amp;#REF!&amp;"",IF(AF19=#REF!,""&amp;#REF!&amp;"",IF(AF19=#REF!,""&amp;#REF!&amp;"",IF(AF19=#REF!,""&amp;#REF!&amp;"",IF(AF19=#REF!,""&amp;#REF!&amp;"",IF(AF19=#REF!,""&amp;#REF!&amp;"",IF(AF19=#REF!,""&amp;#REF!&amp;"",IF(AF19=#REF!,""&amp;#REF!&amp;"",IF(AF19=#REF!,""&amp;#REF!&amp;"",IF(AF19=#REF!,""&amp;#REF!&amp;"",IF(AF19=#REF!,""&amp;#REF!&amp;"",IF(AF19=#REF!,""&amp;#REF!&amp;"",IF(AF19=#REF!,""&amp;#REF!&amp;"",))))))))))))))))))))</f>
        <v>#REF!</v>
      </c>
      <c r="AG20" s="131" t="e">
        <f>CONCATENATE(IF(AG19=#REF!,""&amp;#REF!&amp;"",IF(AG19=#REF!,""&amp;#REF!&amp;"",IF(AG19=#REF!,""&amp;#REF!&amp;"",IF(AG19=#REF!,""&amp;#REF!&amp;"",IF(AG19=#REF!,""&amp;#REF!&amp;"",IF(AG19=#REF!,""&amp;#REF!&amp;"",IF(AG19=#REF!,""&amp;#REF!&amp;"",IF(AG19=#REF!,""&amp;#REF!&amp;"",IF(AG19=#REF!,""&amp;#REF!&amp;"",IF(AG19=#REF!,""&amp;#REF!&amp;"",IF(AG19=#REF!,""&amp;#REF!&amp;"",IF(AG19=#REF!,""&amp;#REF!&amp;"",IF(AG19=#REF!,""&amp;#REF!&amp;"",IF(AG19=#REF!,""&amp;#REF!&amp;"",IF(AG19=#REF!,""&amp;#REF!&amp;"",IF(AG19=#REF!,""&amp;#REF!&amp;"",IF(AG19=#REF!,""&amp;#REF!&amp;"",IF(AG19=#REF!,""&amp;#REF!&amp;"",IF(AG19=#REF!,""&amp;#REF!&amp;"",))))))))))))))))))))</f>
        <v>#REF!</v>
      </c>
    </row>
    <row r="21" spans="1:33" ht="16.5" thickTop="1">
      <c r="A21" s="35" t="s">
        <v>381</v>
      </c>
      <c r="B21" s="36" t="s">
        <v>262</v>
      </c>
      <c r="C21" s="36" t="s">
        <v>270</v>
      </c>
      <c r="D21" s="36" t="s">
        <v>382</v>
      </c>
      <c r="E21" s="36" t="s">
        <v>383</v>
      </c>
      <c r="F21" s="36" t="s">
        <v>384</v>
      </c>
      <c r="G21" s="36" t="s">
        <v>279</v>
      </c>
      <c r="H21" s="36" t="s">
        <v>385</v>
      </c>
      <c r="I21" s="36" t="s">
        <v>290</v>
      </c>
      <c r="J21" s="36" t="s">
        <v>386</v>
      </c>
      <c r="K21" s="36" t="s">
        <v>387</v>
      </c>
      <c r="L21" s="36" t="s">
        <v>380</v>
      </c>
      <c r="M21" s="125"/>
      <c r="N21" s="125"/>
      <c r="O21" s="125"/>
      <c r="P21" s="129" t="e">
        <f>CONCATENATE(#REF!)</f>
        <v>#REF!</v>
      </c>
      <c r="Q21" s="134" t="s">
        <v>381</v>
      </c>
      <c r="R21" s="134"/>
      <c r="S21" s="129" t="e">
        <f>P21</f>
        <v>#REF!</v>
      </c>
      <c r="T21" s="130" t="e">
        <f>CONCATENATE(#REF!)</f>
        <v>#REF!</v>
      </c>
      <c r="U21" s="130" t="e">
        <f>CONCATENATE(#REF!)</f>
        <v>#REF!</v>
      </c>
      <c r="V21" s="129" t="str">
        <f>CONCATENATE(IF(ISERROR(VLOOKUP(P21,#REF!,15,0)),"",(VLOOKUP(P21,#REF!,15,0))))</f>
        <v/>
      </c>
      <c r="W21" s="129" t="str">
        <f>CONCATENATE(IF(ISERROR(VLOOKUP(P21,#REF!,16,0)),"",(VLOOKUP(P21,#REF!,16,0))))</f>
        <v/>
      </c>
      <c r="X21" s="129" t="str">
        <f>CONCATENATE(IF(ISERROR(VLOOKUP(P21,#REF!,17,0)),"",(VLOOKUP(P21,#REF!,17,0))))</f>
        <v/>
      </c>
      <c r="Y21" s="129" t="str">
        <f>CONCATENATE(IF(ISERROR(VLOOKUP(P21,#REF!,18,0)),"",(VLOOKUP(P21,#REF!,18,0))))</f>
        <v/>
      </c>
      <c r="Z21" s="129" t="str">
        <f>CONCATENATE(IF(ISERROR(VLOOKUP(P21,#REF!,19,0)),"",(VLOOKUP(P21,#REF!,19,0))))</f>
        <v/>
      </c>
      <c r="AA21" s="129" t="str">
        <f>CONCATENATE(IF(ISERROR(VLOOKUP(P21,#REF!,20,0)),"",(VLOOKUP(P21,#REF!,20,0))))</f>
        <v/>
      </c>
      <c r="AB21" s="129" t="str">
        <f>CONCATENATE(IF(ISERROR(VLOOKUP(P21,#REF!,21,0)),"",(VLOOKUP(P21,#REF!,21,0))))</f>
        <v/>
      </c>
      <c r="AC21" s="129" t="str">
        <f>CONCATENATE(IF(ISERROR(VLOOKUP(P21,#REF!,22,0)),"",(VLOOKUP(P21,#REF!,22,0))))</f>
        <v/>
      </c>
      <c r="AD21" s="129" t="str">
        <f>CONCATENATE(IF(ISERROR(VLOOKUP(P21,#REF!,23,0)),"",(VLOOKUP(P21,#REF!,23,0))))</f>
        <v/>
      </c>
      <c r="AE21" s="129" t="str">
        <f>CONCATENATE(IF(ISERROR(VLOOKUP(P21,#REF!,24,0)),"",(VLOOKUP(P21,#REF!,24,0))))</f>
        <v/>
      </c>
      <c r="AF21" s="129" t="str">
        <f>CONCATENATE(IF(ISERROR(VLOOKUP(P21,#REF!,25,0)),"",(VLOOKUP(P21,#REF!,25,0))))</f>
        <v/>
      </c>
      <c r="AG21" s="136"/>
    </row>
    <row r="22" spans="1:33" ht="15.75">
      <c r="A22" s="37" t="s">
        <v>388</v>
      </c>
      <c r="B22" s="38" t="s">
        <v>389</v>
      </c>
      <c r="C22" s="38" t="s">
        <v>390</v>
      </c>
      <c r="D22" s="38" t="s">
        <v>391</v>
      </c>
      <c r="E22" s="38" t="s">
        <v>359</v>
      </c>
      <c r="F22" s="38" t="s">
        <v>392</v>
      </c>
      <c r="G22" s="38">
        <v>2</v>
      </c>
      <c r="H22" s="38" t="s">
        <v>359</v>
      </c>
      <c r="I22" s="38" t="s">
        <v>393</v>
      </c>
      <c r="J22" s="38" t="s">
        <v>393</v>
      </c>
      <c r="K22" s="38" t="s">
        <v>359</v>
      </c>
      <c r="L22" s="38" t="s">
        <v>380</v>
      </c>
      <c r="M22" s="125"/>
      <c r="N22" s="125"/>
      <c r="O22" s="125"/>
      <c r="P22" s="131"/>
      <c r="Q22" s="134" t="s">
        <v>495</v>
      </c>
      <c r="R22" s="131" t="e">
        <f>P21</f>
        <v>#REF!</v>
      </c>
      <c r="S22" s="131"/>
      <c r="T22" s="132"/>
      <c r="U22" s="132"/>
      <c r="V22" s="131" t="e">
        <f>CONCATENATE(IF(V21=#REF!,""&amp;#REF!&amp;"",IF(V21=#REF!,""&amp;#REF!&amp;"",IF(V21=#REF!,""&amp;#REF!&amp;"",IF(V21=#REF!,""&amp;#REF!&amp;"",IF(V21=#REF!,""&amp;#REF!&amp;"",IF(V21=#REF!,""&amp;#REF!&amp;"",IF(V21=#REF!,""&amp;#REF!&amp;"",IF(V21=#REF!,""&amp;#REF!&amp;"",IF(V21=#REF!,""&amp;#REF!&amp;"",IF(V21=#REF!,""&amp;#REF!&amp;"",IF(V21=#REF!,""&amp;#REF!&amp;"",IF(V21=#REF!,""&amp;#REF!&amp;"",IF(V21=#REF!,""&amp;#REF!&amp;"",IF(V21=#REF!,""&amp;#REF!&amp;"",IF(V21=#REF!,""&amp;#REF!&amp;"",IF(V21=#REF!,""&amp;#REF!&amp;"",IF(V21=#REF!,""&amp;#REF!&amp;"",IF(V21=#REF!,""&amp;#REF!&amp;"",IF(V21=#REF!,""&amp;#REF!&amp;"",))))))))))))))))))))</f>
        <v>#REF!</v>
      </c>
      <c r="W22" s="131" t="e">
        <f>CONCATENATE(IF(W21=#REF!,""&amp;#REF!&amp;"",IF(W21=#REF!,""&amp;#REF!&amp;"",IF(W21=#REF!,""&amp;#REF!&amp;"",IF(W21=#REF!,""&amp;#REF!&amp;"",IF(W21=#REF!,""&amp;#REF!&amp;"",IF(W21=#REF!,""&amp;#REF!&amp;"",IF(W21=#REF!,""&amp;#REF!&amp;"",IF(W21=#REF!,""&amp;#REF!&amp;"",IF(W21=#REF!,""&amp;#REF!&amp;"",IF(W21=#REF!,""&amp;#REF!&amp;"",IF(W21=#REF!,""&amp;#REF!&amp;"",IF(W21=#REF!,""&amp;#REF!&amp;"",IF(W21=#REF!,""&amp;#REF!&amp;"",IF(W21=#REF!,""&amp;#REF!&amp;"",IF(W21=#REF!,""&amp;#REF!&amp;"",IF(W21=#REF!,""&amp;#REF!&amp;"",IF(W21=#REF!,""&amp;#REF!&amp;"",IF(W21=#REF!,""&amp;#REF!&amp;"",IF(W21=#REF!,""&amp;#REF!&amp;"",))))))))))))))))))))</f>
        <v>#REF!</v>
      </c>
      <c r="X22" s="131" t="e">
        <f>CONCATENATE(IF(X21=#REF!,""&amp;#REF!&amp;"",IF(X21=#REF!,""&amp;#REF!&amp;"",IF(X21=#REF!,""&amp;#REF!&amp;"",IF(X21=#REF!,""&amp;#REF!&amp;"",IF(X21=#REF!,""&amp;#REF!&amp;"",IF(X21=#REF!,""&amp;#REF!&amp;"",IF(X21=#REF!,""&amp;#REF!&amp;"",IF(X21=#REF!,""&amp;#REF!&amp;"",IF(X21=#REF!,""&amp;#REF!&amp;"",IF(X21=#REF!,""&amp;#REF!&amp;"",IF(X21=#REF!,""&amp;#REF!&amp;"",IF(X21=#REF!,""&amp;#REF!&amp;"",IF(X21=#REF!,""&amp;#REF!&amp;"",IF(X21=#REF!,""&amp;#REF!&amp;"",IF(X21=#REF!,""&amp;#REF!&amp;"",IF(X21=#REF!,""&amp;#REF!&amp;"",IF(X21=#REF!,""&amp;#REF!&amp;"",IF(X21=#REF!,""&amp;#REF!&amp;"",IF(X21=#REF!,""&amp;#REF!&amp;"",))))))))))))))))))))</f>
        <v>#REF!</v>
      </c>
      <c r="Y22" s="131" t="e">
        <f>CONCATENATE(IF(Y21=#REF!,""&amp;#REF!&amp;"",IF(Y21=#REF!,""&amp;#REF!&amp;"",IF(Y21=#REF!,""&amp;#REF!&amp;"",IF(Y21=#REF!,""&amp;#REF!&amp;"",IF(Y21=#REF!,""&amp;#REF!&amp;"",IF(Y21=#REF!,""&amp;#REF!&amp;"",IF(Y21=#REF!,""&amp;#REF!&amp;"",IF(Y21=#REF!,""&amp;#REF!&amp;"",IF(Y21=#REF!,""&amp;#REF!&amp;"",IF(Y21=#REF!,""&amp;#REF!&amp;"",IF(Y21=#REF!,""&amp;#REF!&amp;"",IF(Y21=#REF!,""&amp;#REF!&amp;"",IF(Y21=#REF!,""&amp;#REF!&amp;"",IF(Y21=#REF!,""&amp;#REF!&amp;"",IF(Y21=#REF!,""&amp;#REF!&amp;"",IF(Y21=#REF!,""&amp;#REF!&amp;"",IF(Y21=#REF!,""&amp;#REF!&amp;"",IF(Y21=#REF!,""&amp;#REF!&amp;"",IF(Y21=#REF!,""&amp;#REF!&amp;"",))))))))))))))))))))</f>
        <v>#REF!</v>
      </c>
      <c r="Z22" s="131" t="e">
        <f>CONCATENATE(IF(Z21=#REF!,""&amp;#REF!&amp;"",IF(Z21=#REF!,""&amp;#REF!&amp;"",IF(Z21=#REF!,""&amp;#REF!&amp;"",IF(Z21=#REF!,""&amp;#REF!&amp;"",IF(Z21=#REF!,""&amp;#REF!&amp;"",IF(Z21=#REF!,""&amp;#REF!&amp;"",IF(Z21=#REF!,""&amp;#REF!&amp;"",IF(Z21=#REF!,""&amp;#REF!&amp;"",IF(Z21=#REF!,""&amp;#REF!&amp;"",IF(Z21=#REF!,""&amp;#REF!&amp;"",IF(Z21=#REF!,""&amp;#REF!&amp;"",IF(Z21=#REF!,""&amp;#REF!&amp;"",IF(Z21=#REF!,""&amp;#REF!&amp;"",IF(Z21=#REF!,""&amp;#REF!&amp;"",IF(Z21=#REF!,""&amp;#REF!&amp;"",IF(Z21=#REF!,""&amp;#REF!&amp;"",IF(Z21=#REF!,""&amp;#REF!&amp;"",IF(Z21=#REF!,""&amp;#REF!&amp;"",IF(Z21=#REF!,""&amp;#REF!&amp;"",))))))))))))))))))))</f>
        <v>#REF!</v>
      </c>
      <c r="AA22" s="131" t="e">
        <f>CONCATENATE(IF(AA21=#REF!,""&amp;#REF!&amp;"",IF(AA21=#REF!,""&amp;#REF!&amp;"",IF(AA21=#REF!,""&amp;#REF!&amp;"",IF(AA21=#REF!,""&amp;#REF!&amp;"",IF(AA21=#REF!,""&amp;#REF!&amp;"",IF(AA21=#REF!,""&amp;#REF!&amp;"",IF(AA21=#REF!,""&amp;#REF!&amp;"",IF(AA21=#REF!,""&amp;#REF!&amp;"",IF(AA21=#REF!,""&amp;#REF!&amp;"",IF(AA21=#REF!,""&amp;#REF!&amp;"",IF(AA21=#REF!,""&amp;#REF!&amp;"",IF(AA21=#REF!,""&amp;#REF!&amp;"",IF(AA21=#REF!,""&amp;#REF!&amp;"",IF(AA21=#REF!,""&amp;#REF!&amp;"",IF(AA21=#REF!,""&amp;#REF!&amp;"",IF(AA21=#REF!,""&amp;#REF!&amp;"",IF(AA21=#REF!,""&amp;#REF!&amp;"",IF(AA21=#REF!,""&amp;#REF!&amp;"",IF(AA21=#REF!,""&amp;#REF!&amp;"",))))))))))))))))))))</f>
        <v>#REF!</v>
      </c>
      <c r="AB22" s="131" t="e">
        <f>CONCATENATE(IF(AB21=#REF!,""&amp;#REF!&amp;"",IF(AB21=#REF!,""&amp;#REF!&amp;"",IF(AB21=#REF!,""&amp;#REF!&amp;"",IF(AB21=#REF!,""&amp;#REF!&amp;"",IF(AB21=#REF!,""&amp;#REF!&amp;"",IF(AB21=#REF!,""&amp;#REF!&amp;"",IF(AB21=#REF!,""&amp;#REF!&amp;"",IF(AB21=#REF!,""&amp;#REF!&amp;"",IF(AB21=#REF!,""&amp;#REF!&amp;"",IF(AB21=#REF!,""&amp;#REF!&amp;"",IF(AB21=#REF!,""&amp;#REF!&amp;"",IF(AB21=#REF!,""&amp;#REF!&amp;"",IF(AB21=#REF!,""&amp;#REF!&amp;"",IF(AB21=#REF!,""&amp;#REF!&amp;"",IF(AB21=#REF!,""&amp;#REF!&amp;"",IF(AB21=#REF!,""&amp;#REF!&amp;"",IF(AB21=#REF!,""&amp;#REF!&amp;"",IF(AB21=#REF!,""&amp;#REF!&amp;"",IF(AB21=#REF!,""&amp;#REF!&amp;"",))))))))))))))))))))</f>
        <v>#REF!</v>
      </c>
      <c r="AC22" s="131" t="e">
        <f>CONCATENATE(IF(AC21=#REF!,""&amp;#REF!&amp;"",IF(AC21=#REF!,""&amp;#REF!&amp;"",IF(AC21=#REF!,""&amp;#REF!&amp;"",IF(AC21=#REF!,""&amp;#REF!&amp;"",IF(AC21=#REF!,""&amp;#REF!&amp;"",IF(AC21=#REF!,""&amp;#REF!&amp;"",IF(AC21=#REF!,""&amp;#REF!&amp;"",IF(AC21=#REF!,""&amp;#REF!&amp;"",IF(AC21=#REF!,""&amp;#REF!&amp;"",IF(AC21=#REF!,""&amp;#REF!&amp;"",IF(AC21=#REF!,""&amp;#REF!&amp;"",IF(AC21=#REF!,""&amp;#REF!&amp;"",IF(AC21=#REF!,""&amp;#REF!&amp;"",IF(AC21=#REF!,""&amp;#REF!&amp;"",IF(AC21=#REF!,""&amp;#REF!&amp;"",IF(AC21=#REF!,""&amp;#REF!&amp;"",IF(AC21=#REF!,""&amp;#REF!&amp;"",IF(AC21=#REF!,""&amp;#REF!&amp;"",IF(AC21=#REF!,""&amp;#REF!&amp;"",))))))))))))))))))))</f>
        <v>#REF!</v>
      </c>
      <c r="AD22" s="131" t="e">
        <f>CONCATENATE(IF(AD21=#REF!,""&amp;#REF!&amp;"",IF(AD21=#REF!,""&amp;#REF!&amp;"",IF(AD21=#REF!,""&amp;#REF!&amp;"",IF(AD21=#REF!,""&amp;#REF!&amp;"",IF(AD21=#REF!,""&amp;#REF!&amp;"",IF(AD21=#REF!,""&amp;#REF!&amp;"",IF(AD21=#REF!,""&amp;#REF!&amp;"",IF(AD21=#REF!,""&amp;#REF!&amp;"",IF(AD21=#REF!,""&amp;#REF!&amp;"",IF(AD21=#REF!,""&amp;#REF!&amp;"",IF(AD21=#REF!,""&amp;#REF!&amp;"",IF(AD21=#REF!,""&amp;#REF!&amp;"",IF(AD21=#REF!,""&amp;#REF!&amp;"",IF(AD21=#REF!,""&amp;#REF!&amp;"",IF(AD21=#REF!,""&amp;#REF!&amp;"",IF(AD21=#REF!,""&amp;#REF!&amp;"",IF(AD21=#REF!,""&amp;#REF!&amp;"",IF(AD21=#REF!,""&amp;#REF!&amp;"",IF(AD21=#REF!,""&amp;#REF!&amp;"",))))))))))))))))))))</f>
        <v>#REF!</v>
      </c>
      <c r="AE22" s="131" t="e">
        <f>CONCATENATE(IF(AE21=#REF!,""&amp;#REF!&amp;"",IF(AE21=#REF!,""&amp;#REF!&amp;"",IF(AE21=#REF!,""&amp;#REF!&amp;"",IF(AE21=#REF!,""&amp;#REF!&amp;"",IF(AE21=#REF!,""&amp;#REF!&amp;"",IF(AE21=#REF!,""&amp;#REF!&amp;"",IF(AE21=#REF!,""&amp;#REF!&amp;"",IF(AE21=#REF!,""&amp;#REF!&amp;"",IF(AE21=#REF!,""&amp;#REF!&amp;"",IF(AE21=#REF!,""&amp;#REF!&amp;"",IF(AE21=#REF!,""&amp;#REF!&amp;"",IF(AE21=#REF!,""&amp;#REF!&amp;"",IF(AE21=#REF!,""&amp;#REF!&amp;"",IF(AE21=#REF!,""&amp;#REF!&amp;"",IF(AE21=#REF!,""&amp;#REF!&amp;"",IF(AE21=#REF!,""&amp;#REF!&amp;"",IF(AE21=#REF!,""&amp;#REF!&amp;"",IF(AE21=#REF!,""&amp;#REF!&amp;"",IF(AE21=#REF!,""&amp;#REF!&amp;"",))))))))))))))))))))</f>
        <v>#REF!</v>
      </c>
      <c r="AF22" s="131" t="e">
        <f>CONCATENATE(IF(AF21=#REF!,""&amp;#REF!&amp;"",IF(AF21=#REF!,""&amp;#REF!&amp;"",IF(AF21=#REF!,""&amp;#REF!&amp;"",IF(AF21=#REF!,""&amp;#REF!&amp;"",IF(AF21=#REF!,""&amp;#REF!&amp;"",IF(AF21=#REF!,""&amp;#REF!&amp;"",IF(AF21=#REF!,""&amp;#REF!&amp;"",IF(AF21=#REF!,""&amp;#REF!&amp;"",IF(AF21=#REF!,""&amp;#REF!&amp;"",IF(AF21=#REF!,""&amp;#REF!&amp;"",IF(AF21=#REF!,""&amp;#REF!&amp;"",IF(AF21=#REF!,""&amp;#REF!&amp;"",IF(AF21=#REF!,""&amp;#REF!&amp;"",IF(AF21=#REF!,""&amp;#REF!&amp;"",IF(AF21=#REF!,""&amp;#REF!&amp;"",IF(AF21=#REF!,""&amp;#REF!&amp;"",IF(AF21=#REF!,""&amp;#REF!&amp;"",IF(AF21=#REF!,""&amp;#REF!&amp;"",IF(AF21=#REF!,""&amp;#REF!&amp;"",))))))))))))))))))))</f>
        <v>#REF!</v>
      </c>
      <c r="AG22" s="131" t="e">
        <f>CONCATENATE(IF(AG21=#REF!,""&amp;#REF!&amp;"",IF(AG21=#REF!,""&amp;#REF!&amp;"",IF(AG21=#REF!,""&amp;#REF!&amp;"",IF(AG21=#REF!,""&amp;#REF!&amp;"",IF(AG21=#REF!,""&amp;#REF!&amp;"",IF(AG21=#REF!,""&amp;#REF!&amp;"",IF(AG21=#REF!,""&amp;#REF!&amp;"",IF(AG21=#REF!,""&amp;#REF!&amp;"",IF(AG21=#REF!,""&amp;#REF!&amp;"",IF(AG21=#REF!,""&amp;#REF!&amp;"",IF(AG21=#REF!,""&amp;#REF!&amp;"",IF(AG21=#REF!,""&amp;#REF!&amp;"",IF(AG21=#REF!,""&amp;#REF!&amp;"",IF(AG21=#REF!,""&amp;#REF!&amp;"",IF(AG21=#REF!,""&amp;#REF!&amp;"",IF(AG21=#REF!,""&amp;#REF!&amp;"",IF(AG21=#REF!,""&amp;#REF!&amp;"",IF(AG21=#REF!,""&amp;#REF!&amp;"",IF(AG21=#REF!,""&amp;#REF!&amp;"",))))))))))))))))))))</f>
        <v>#REF!</v>
      </c>
    </row>
    <row r="23" spans="1:33" ht="15.75">
      <c r="A23" s="37" t="s">
        <v>394</v>
      </c>
      <c r="B23" s="39" t="s">
        <v>395</v>
      </c>
      <c r="C23" s="39" t="s">
        <v>275</v>
      </c>
      <c r="D23" s="39" t="s">
        <v>276</v>
      </c>
      <c r="E23" s="39" t="s">
        <v>283</v>
      </c>
      <c r="F23" s="39" t="s">
        <v>284</v>
      </c>
      <c r="G23" s="39" t="s">
        <v>278</v>
      </c>
      <c r="H23" s="39" t="s">
        <v>271</v>
      </c>
      <c r="I23" s="39" t="s">
        <v>396</v>
      </c>
      <c r="J23" s="39" t="s">
        <v>295</v>
      </c>
      <c r="K23" s="39" t="s">
        <v>313</v>
      </c>
      <c r="L23" s="40" t="s">
        <v>380</v>
      </c>
      <c r="M23" s="125"/>
      <c r="N23" s="125"/>
      <c r="O23" s="125"/>
      <c r="P23" s="129" t="e">
        <f>CONCATENATE(#REF!)</f>
        <v>#REF!</v>
      </c>
      <c r="Q23" s="134" t="s">
        <v>381</v>
      </c>
      <c r="R23" s="134"/>
      <c r="S23" s="129" t="e">
        <f>P23</f>
        <v>#REF!</v>
      </c>
      <c r="T23" s="130" t="e">
        <f>CONCATENATE(#REF!)</f>
        <v>#REF!</v>
      </c>
      <c r="U23" s="130" t="e">
        <f>CONCATENATE(#REF!)</f>
        <v>#REF!</v>
      </c>
      <c r="V23" s="129" t="str">
        <f>CONCATENATE(IF(ISERROR(VLOOKUP(P23,#REF!,15,0)),"",(VLOOKUP(P23,#REF!,15,0))))</f>
        <v/>
      </c>
      <c r="W23" s="129" t="str">
        <f>CONCATENATE(IF(ISERROR(VLOOKUP(P23,#REF!,16,0)),"",(VLOOKUP(P23,#REF!,16,0))))</f>
        <v/>
      </c>
      <c r="X23" s="129" t="str">
        <f>CONCATENATE(IF(ISERROR(VLOOKUP(P23,#REF!,17,0)),"",(VLOOKUP(P23,#REF!,17,0))))</f>
        <v/>
      </c>
      <c r="Y23" s="129" t="str">
        <f>CONCATENATE(IF(ISERROR(VLOOKUP(P23,#REF!,18,0)),"",(VLOOKUP(P23,#REF!,18,0))))</f>
        <v/>
      </c>
      <c r="Z23" s="129" t="str">
        <f>CONCATENATE(IF(ISERROR(VLOOKUP(P23,#REF!,19,0)),"",(VLOOKUP(P23,#REF!,19,0))))</f>
        <v/>
      </c>
      <c r="AA23" s="129" t="str">
        <f>CONCATENATE(IF(ISERROR(VLOOKUP(P23,#REF!,20,0)),"",(VLOOKUP(P23,#REF!,20,0))))</f>
        <v/>
      </c>
      <c r="AB23" s="129" t="str">
        <f>CONCATENATE(IF(ISERROR(VLOOKUP(P23,#REF!,21,0)),"",(VLOOKUP(P23,#REF!,21,0))))</f>
        <v/>
      </c>
      <c r="AC23" s="129" t="str">
        <f>CONCATENATE(IF(ISERROR(VLOOKUP(P23,#REF!,22,0)),"",(VLOOKUP(P23,#REF!,22,0))))</f>
        <v/>
      </c>
      <c r="AD23" s="129" t="str">
        <f>CONCATENATE(IF(ISERROR(VLOOKUP(P23,#REF!,23,0)),"",(VLOOKUP(P23,#REF!,23,0))))</f>
        <v/>
      </c>
      <c r="AE23" s="129" t="str">
        <f>CONCATENATE(IF(ISERROR(VLOOKUP(P23,#REF!,24,0)),"",(VLOOKUP(P23,#REF!,24,0))))</f>
        <v/>
      </c>
      <c r="AF23" s="129" t="str">
        <f>CONCATENATE(IF(ISERROR(VLOOKUP(P23,#REF!,25,0)),"",(VLOOKUP(P23,#REF!,25,0))))</f>
        <v/>
      </c>
      <c r="AG23" s="129" t="str">
        <f>CONCATENATE(IF(ISERROR(VLOOKUP(P23,#REF!,26,0)),"",(VLOOKUP(P23,#REF!,26,0))))</f>
        <v/>
      </c>
    </row>
    <row r="24" spans="1:33" ht="15.75">
      <c r="A24" s="37" t="s">
        <v>397</v>
      </c>
      <c r="B24" s="41" t="s">
        <v>345</v>
      </c>
      <c r="C24" s="41" t="s">
        <v>345</v>
      </c>
      <c r="D24" s="41" t="s">
        <v>349</v>
      </c>
      <c r="E24" s="41" t="s">
        <v>345</v>
      </c>
      <c r="F24" s="41" t="s">
        <v>345</v>
      </c>
      <c r="G24" s="41" t="s">
        <v>348</v>
      </c>
      <c r="H24" s="41" t="s">
        <v>348</v>
      </c>
      <c r="I24" s="41" t="s">
        <v>398</v>
      </c>
      <c r="J24" s="41" t="s">
        <v>348</v>
      </c>
      <c r="K24" s="41" t="s">
        <v>348</v>
      </c>
      <c r="L24" s="41" t="s">
        <v>380</v>
      </c>
      <c r="M24" s="125"/>
      <c r="N24" s="125"/>
      <c r="O24" s="125"/>
      <c r="P24" s="131"/>
      <c r="Q24" s="134" t="s">
        <v>495</v>
      </c>
      <c r="R24" s="131" t="e">
        <f>P23</f>
        <v>#REF!</v>
      </c>
      <c r="S24" s="131"/>
      <c r="T24" s="130"/>
      <c r="U24" s="130"/>
      <c r="V24" s="131" t="e">
        <f>CONCATENATE(IF(V23=#REF!,""&amp;#REF!&amp;"",IF(V23=#REF!,""&amp;#REF!&amp;"",IF(V23=#REF!,""&amp;#REF!&amp;"",IF(V23=#REF!,""&amp;#REF!&amp;"",IF(V23=#REF!,""&amp;#REF!&amp;"",IF(V23=#REF!,""&amp;#REF!&amp;"",IF(V23=#REF!,""&amp;#REF!&amp;"",IF(V23=#REF!,""&amp;#REF!&amp;"",IF(V23=#REF!,""&amp;#REF!&amp;"",IF(V23=#REF!,""&amp;#REF!&amp;"",IF(V23=#REF!,""&amp;#REF!&amp;"",IF(V23=#REF!,""&amp;#REF!&amp;"",IF(V23=#REF!,""&amp;#REF!&amp;"",IF(V23=#REF!,""&amp;#REF!&amp;"",IF(V23=#REF!,""&amp;#REF!&amp;"",IF(V23=#REF!,""&amp;#REF!&amp;"",IF(V23=#REF!,""&amp;#REF!&amp;"",IF(V23=#REF!,""&amp;#REF!&amp;"",IF(V23=#REF!,""&amp;#REF!&amp;"",))))))))))))))))))))</f>
        <v>#REF!</v>
      </c>
      <c r="W24" s="131" t="e">
        <f>CONCATENATE(IF(W23=#REF!,""&amp;#REF!&amp;"",IF(W23=#REF!,""&amp;#REF!&amp;"",IF(W23=#REF!,""&amp;#REF!&amp;"",IF(W23=#REF!,""&amp;#REF!&amp;"",IF(W23=#REF!,""&amp;#REF!&amp;"",IF(W23=#REF!,""&amp;#REF!&amp;"",IF(W23=#REF!,""&amp;#REF!&amp;"",IF(W23=#REF!,""&amp;#REF!&amp;"",IF(W23=#REF!,""&amp;#REF!&amp;"",IF(W23=#REF!,""&amp;#REF!&amp;"",IF(W23=#REF!,""&amp;#REF!&amp;"",IF(W23=#REF!,""&amp;#REF!&amp;"",IF(W23=#REF!,""&amp;#REF!&amp;"",IF(W23=#REF!,""&amp;#REF!&amp;"",IF(W23=#REF!,""&amp;#REF!&amp;"",IF(W23=#REF!,""&amp;#REF!&amp;"",IF(W23=#REF!,""&amp;#REF!&amp;"",IF(W23=#REF!,""&amp;#REF!&amp;"",IF(W23=#REF!,""&amp;#REF!&amp;"",))))))))))))))))))))</f>
        <v>#REF!</v>
      </c>
      <c r="X24" s="131" t="e">
        <f>CONCATENATE(IF(X23=#REF!,""&amp;#REF!&amp;"",IF(X23=#REF!,""&amp;#REF!&amp;"",IF(X23=#REF!,""&amp;#REF!&amp;"",IF(X23=#REF!,""&amp;#REF!&amp;"",IF(X23=#REF!,""&amp;#REF!&amp;"",IF(X23=#REF!,""&amp;#REF!&amp;"",IF(X23=#REF!,""&amp;#REF!&amp;"",IF(X23=#REF!,""&amp;#REF!&amp;"",IF(X23=#REF!,""&amp;#REF!&amp;"",IF(X23=#REF!,""&amp;#REF!&amp;"",IF(X23=#REF!,""&amp;#REF!&amp;"",IF(X23=#REF!,""&amp;#REF!&amp;"",IF(X23=#REF!,""&amp;#REF!&amp;"",IF(X23=#REF!,""&amp;#REF!&amp;"",IF(X23=#REF!,""&amp;#REF!&amp;"",IF(X23=#REF!,""&amp;#REF!&amp;"",IF(X23=#REF!,""&amp;#REF!&amp;"",IF(X23=#REF!,""&amp;#REF!&amp;"",IF(X23=#REF!,""&amp;#REF!&amp;"",))))))))))))))))))))</f>
        <v>#REF!</v>
      </c>
      <c r="Y24" s="131" t="e">
        <f>CONCATENATE(IF(Y23=#REF!,""&amp;#REF!&amp;"",IF(Y23=#REF!,""&amp;#REF!&amp;"",IF(Y23=#REF!,""&amp;#REF!&amp;"",IF(Y23=#REF!,""&amp;#REF!&amp;"",IF(Y23=#REF!,""&amp;#REF!&amp;"",IF(Y23=#REF!,""&amp;#REF!&amp;"",IF(Y23=#REF!,""&amp;#REF!&amp;"",IF(Y23=#REF!,""&amp;#REF!&amp;"",IF(Y23=#REF!,""&amp;#REF!&amp;"",IF(Y23=#REF!,""&amp;#REF!&amp;"",IF(Y23=#REF!,""&amp;#REF!&amp;"",IF(Y23=#REF!,""&amp;#REF!&amp;"",IF(Y23=#REF!,""&amp;#REF!&amp;"",IF(Y23=#REF!,""&amp;#REF!&amp;"",IF(Y23=#REF!,""&amp;#REF!&amp;"",IF(Y23=#REF!,""&amp;#REF!&amp;"",IF(Y23=#REF!,""&amp;#REF!&amp;"",IF(Y23=#REF!,""&amp;#REF!&amp;"",IF(Y23=#REF!,""&amp;#REF!&amp;"",))))))))))))))))))))</f>
        <v>#REF!</v>
      </c>
      <c r="Z24" s="131" t="e">
        <f>CONCATENATE(IF(Z23=#REF!,""&amp;#REF!&amp;"",IF(Z23=#REF!,""&amp;#REF!&amp;"",IF(Z23=#REF!,""&amp;#REF!&amp;"",IF(Z23=#REF!,""&amp;#REF!&amp;"",IF(Z23=#REF!,""&amp;#REF!&amp;"",IF(Z23=#REF!,""&amp;#REF!&amp;"",IF(Z23=#REF!,""&amp;#REF!&amp;"",IF(Z23=#REF!,""&amp;#REF!&amp;"",IF(Z23=#REF!,""&amp;#REF!&amp;"",IF(Z23=#REF!,""&amp;#REF!&amp;"",IF(Z23=#REF!,""&amp;#REF!&amp;"",IF(Z23=#REF!,""&amp;#REF!&amp;"",IF(Z23=#REF!,""&amp;#REF!&amp;"",IF(Z23=#REF!,""&amp;#REF!&amp;"",IF(Z23=#REF!,""&amp;#REF!&amp;"",IF(Z23=#REF!,""&amp;#REF!&amp;"",IF(Z23=#REF!,""&amp;#REF!&amp;"",IF(Z23=#REF!,""&amp;#REF!&amp;"",IF(Z23=#REF!,""&amp;#REF!&amp;"",))))))))))))))))))))</f>
        <v>#REF!</v>
      </c>
      <c r="AA24" s="131" t="e">
        <f>CONCATENATE(IF(AA23=#REF!,""&amp;#REF!&amp;"",IF(AA23=#REF!,""&amp;#REF!&amp;"",IF(AA23=#REF!,""&amp;#REF!&amp;"",IF(AA23=#REF!,""&amp;#REF!&amp;"",IF(AA23=#REF!,""&amp;#REF!&amp;"",IF(AA23=#REF!,""&amp;#REF!&amp;"",IF(AA23=#REF!,""&amp;#REF!&amp;"",IF(AA23=#REF!,""&amp;#REF!&amp;"",IF(AA23=#REF!,""&amp;#REF!&amp;"",IF(AA23=#REF!,""&amp;#REF!&amp;"",IF(AA23=#REF!,""&amp;#REF!&amp;"",IF(AA23=#REF!,""&amp;#REF!&amp;"",IF(AA23=#REF!,""&amp;#REF!&amp;"",IF(AA23=#REF!,""&amp;#REF!&amp;"",IF(AA23=#REF!,""&amp;#REF!&amp;"",IF(AA23=#REF!,""&amp;#REF!&amp;"",IF(AA23=#REF!,""&amp;#REF!&amp;"",IF(AA23=#REF!,""&amp;#REF!&amp;"",IF(AA23=#REF!,""&amp;#REF!&amp;"",))))))))))))))))))))</f>
        <v>#REF!</v>
      </c>
      <c r="AB24" s="131" t="e">
        <f>CONCATENATE(IF(AB23=#REF!,""&amp;#REF!&amp;"",IF(AB23=#REF!,""&amp;#REF!&amp;"",IF(AB23=#REF!,""&amp;#REF!&amp;"",IF(AB23=#REF!,""&amp;#REF!&amp;"",IF(AB23=#REF!,""&amp;#REF!&amp;"",IF(AB23=#REF!,""&amp;#REF!&amp;"",IF(AB23=#REF!,""&amp;#REF!&amp;"",IF(AB23=#REF!,""&amp;#REF!&amp;"",IF(AB23=#REF!,""&amp;#REF!&amp;"",IF(AB23=#REF!,""&amp;#REF!&amp;"",IF(AB23=#REF!,""&amp;#REF!&amp;"",IF(AB23=#REF!,""&amp;#REF!&amp;"",IF(AB23=#REF!,""&amp;#REF!&amp;"",IF(AB23=#REF!,""&amp;#REF!&amp;"",IF(AB23=#REF!,""&amp;#REF!&amp;"",IF(AB23=#REF!,""&amp;#REF!&amp;"",IF(AB23=#REF!,""&amp;#REF!&amp;"",IF(AB23=#REF!,""&amp;#REF!&amp;"",IF(AB23=#REF!,""&amp;#REF!&amp;"",))))))))))))))))))))</f>
        <v>#REF!</v>
      </c>
      <c r="AC24" s="131" t="e">
        <f>CONCATENATE(IF(AC23=#REF!,""&amp;#REF!&amp;"",IF(AC23=#REF!,""&amp;#REF!&amp;"",IF(AC23=#REF!,""&amp;#REF!&amp;"",IF(AC23=#REF!,""&amp;#REF!&amp;"",IF(AC23=#REF!,""&amp;#REF!&amp;"",IF(AC23=#REF!,""&amp;#REF!&amp;"",IF(AC23=#REF!,""&amp;#REF!&amp;"",IF(AC23=#REF!,""&amp;#REF!&amp;"",IF(AC23=#REF!,""&amp;#REF!&amp;"",IF(AC23=#REF!,""&amp;#REF!&amp;"",IF(AC23=#REF!,""&amp;#REF!&amp;"",IF(AC23=#REF!,""&amp;#REF!&amp;"",IF(AC23=#REF!,""&amp;#REF!&amp;"",IF(AC23=#REF!,""&amp;#REF!&amp;"",IF(AC23=#REF!,""&amp;#REF!&amp;"",IF(AC23=#REF!,""&amp;#REF!&amp;"",IF(AC23=#REF!,""&amp;#REF!&amp;"",IF(AC23=#REF!,""&amp;#REF!&amp;"",IF(AC23=#REF!,""&amp;#REF!&amp;"",))))))))))))))))))))</f>
        <v>#REF!</v>
      </c>
      <c r="AD24" s="131" t="e">
        <f>CONCATENATE(IF(AD23=#REF!,""&amp;#REF!&amp;"",IF(AD23=#REF!,""&amp;#REF!&amp;"",IF(AD23=#REF!,""&amp;#REF!&amp;"",IF(AD23=#REF!,""&amp;#REF!&amp;"",IF(AD23=#REF!,""&amp;#REF!&amp;"",IF(AD23=#REF!,""&amp;#REF!&amp;"",IF(AD23=#REF!,""&amp;#REF!&amp;"",IF(AD23=#REF!,""&amp;#REF!&amp;"",IF(AD23=#REF!,""&amp;#REF!&amp;"",IF(AD23=#REF!,""&amp;#REF!&amp;"",IF(AD23=#REF!,""&amp;#REF!&amp;"",IF(AD23=#REF!,""&amp;#REF!&amp;"",IF(AD23=#REF!,""&amp;#REF!&amp;"",IF(AD23=#REF!,""&amp;#REF!&amp;"",IF(AD23=#REF!,""&amp;#REF!&amp;"",IF(AD23=#REF!,""&amp;#REF!&amp;"",IF(AD23=#REF!,""&amp;#REF!&amp;"",IF(AD23=#REF!,""&amp;#REF!&amp;"",IF(AD23=#REF!,""&amp;#REF!&amp;"",))))))))))))))))))))</f>
        <v>#REF!</v>
      </c>
      <c r="AE24" s="131" t="e">
        <f>CONCATENATE(IF(AE23=#REF!,""&amp;#REF!&amp;"",IF(AE23=#REF!,""&amp;#REF!&amp;"",IF(AE23=#REF!,""&amp;#REF!&amp;"",IF(AE23=#REF!,""&amp;#REF!&amp;"",IF(AE23=#REF!,""&amp;#REF!&amp;"",IF(AE23=#REF!,""&amp;#REF!&amp;"",IF(AE23=#REF!,""&amp;#REF!&amp;"",IF(AE23=#REF!,""&amp;#REF!&amp;"",IF(AE23=#REF!,""&amp;#REF!&amp;"",IF(AE23=#REF!,""&amp;#REF!&amp;"",IF(AE23=#REF!,""&amp;#REF!&amp;"",IF(AE23=#REF!,""&amp;#REF!&amp;"",IF(AE23=#REF!,""&amp;#REF!&amp;"",IF(AE23=#REF!,""&amp;#REF!&amp;"",IF(AE23=#REF!,""&amp;#REF!&amp;"",IF(AE23=#REF!,""&amp;#REF!&amp;"",IF(AE23=#REF!,""&amp;#REF!&amp;"",IF(AE23=#REF!,""&amp;#REF!&amp;"",IF(AE23=#REF!,""&amp;#REF!&amp;"",))))))))))))))))))))</f>
        <v>#REF!</v>
      </c>
      <c r="AF24" s="131" t="e">
        <f>CONCATENATE(IF(AF23=#REF!,""&amp;#REF!&amp;"",IF(AF23=#REF!,""&amp;#REF!&amp;"",IF(AF23=#REF!,""&amp;#REF!&amp;"",IF(AF23=#REF!,""&amp;#REF!&amp;"",IF(AF23=#REF!,""&amp;#REF!&amp;"",IF(AF23=#REF!,""&amp;#REF!&amp;"",IF(AF23=#REF!,""&amp;#REF!&amp;"",IF(AF23=#REF!,""&amp;#REF!&amp;"",IF(AF23=#REF!,""&amp;#REF!&amp;"",IF(AF23=#REF!,""&amp;#REF!&amp;"",IF(AF23=#REF!,""&amp;#REF!&amp;"",IF(AF23=#REF!,""&amp;#REF!&amp;"",IF(AF23=#REF!,""&amp;#REF!&amp;"",IF(AF23=#REF!,""&amp;#REF!&amp;"",IF(AF23=#REF!,""&amp;#REF!&amp;"",IF(AF23=#REF!,""&amp;#REF!&amp;"",IF(AF23=#REF!,""&amp;#REF!&amp;"",IF(AF23=#REF!,""&amp;#REF!&amp;"",IF(AF23=#REF!,""&amp;#REF!&amp;"",))))))))))))))))))))</f>
        <v>#REF!</v>
      </c>
      <c r="AG24" s="131" t="e">
        <f>CONCATENATE(IF(AG23=#REF!,""&amp;#REF!&amp;"",IF(AG23=#REF!,""&amp;#REF!&amp;"",IF(AG23=#REF!,""&amp;#REF!&amp;"",IF(AG23=#REF!,""&amp;#REF!&amp;"",IF(AG23=#REF!,""&amp;#REF!&amp;"",IF(AG23=#REF!,""&amp;#REF!&amp;"",IF(AG23=#REF!,""&amp;#REF!&amp;"",IF(AG23=#REF!,""&amp;#REF!&amp;"",IF(AG23=#REF!,""&amp;#REF!&amp;"",IF(AG23=#REF!,""&amp;#REF!&amp;"",IF(AG23=#REF!,""&amp;#REF!&amp;"",IF(AG23=#REF!,""&amp;#REF!&amp;"",IF(AG23=#REF!,""&amp;#REF!&amp;"",IF(AG23=#REF!,""&amp;#REF!&amp;"",IF(AG23=#REF!,""&amp;#REF!&amp;"",IF(AG23=#REF!,""&amp;#REF!&amp;"",IF(AG23=#REF!,""&amp;#REF!&amp;"",IF(AG23=#REF!,""&amp;#REF!&amp;"",IF(AG23=#REF!,""&amp;#REF!&amp;"",))))))))))))))))))))</f>
        <v>#REF!</v>
      </c>
    </row>
    <row r="25" spans="1:33" ht="16.5" thickBot="1">
      <c r="A25" s="42" t="s">
        <v>343</v>
      </c>
      <c r="B25" s="43">
        <v>42623.42291666667</v>
      </c>
      <c r="C25" s="43">
        <v>0.63472222222222219</v>
      </c>
      <c r="D25" s="43">
        <v>42623.42291666667</v>
      </c>
      <c r="E25" s="43">
        <v>42684.465277777781</v>
      </c>
      <c r="F25" s="43">
        <v>0.67708333333333337</v>
      </c>
      <c r="G25" s="43">
        <v>0.67708333333333337</v>
      </c>
      <c r="H25" s="43">
        <v>0.67708333333333337</v>
      </c>
      <c r="I25" s="43">
        <v>42684.465277777781</v>
      </c>
      <c r="J25" s="43">
        <v>42623.42291666667</v>
      </c>
      <c r="K25" s="43">
        <v>42623.42291666667</v>
      </c>
      <c r="L25" s="43"/>
      <c r="M25" s="125"/>
      <c r="N25" s="125"/>
      <c r="O25" s="125"/>
      <c r="P25" s="129" t="e">
        <f>CONCATENATE(#REF!)</f>
        <v>#REF!</v>
      </c>
      <c r="Q25" s="134" t="s">
        <v>381</v>
      </c>
      <c r="R25" s="134"/>
      <c r="S25" s="129" t="e">
        <f>P25</f>
        <v>#REF!</v>
      </c>
      <c r="T25" s="130" t="e">
        <f>CONCATENATE(#REF!)</f>
        <v>#REF!</v>
      </c>
      <c r="U25" s="130" t="e">
        <f>CONCATENATE(#REF!)</f>
        <v>#REF!</v>
      </c>
      <c r="V25" s="129" t="str">
        <f>CONCATENATE(IF(ISERROR(VLOOKUP(P25,#REF!,15,0)),"",(VLOOKUP(P25,#REF!,15,0))))</f>
        <v/>
      </c>
      <c r="W25" s="129" t="str">
        <f>CONCATENATE(IF(ISERROR(VLOOKUP(P25,#REF!,16,0)),"",(VLOOKUP(P25,#REF!,16,0))))</f>
        <v/>
      </c>
      <c r="X25" s="129" t="str">
        <f>CONCATENATE(IF(ISERROR(VLOOKUP(P25,#REF!,17,0)),"",(VLOOKUP(P25,#REF!,17,0))))</f>
        <v/>
      </c>
      <c r="Y25" s="129" t="str">
        <f>CONCATENATE(IF(ISERROR(VLOOKUP(P25,#REF!,18,0)),"",(VLOOKUP(P25,#REF!,18,0))))</f>
        <v/>
      </c>
      <c r="Z25" s="129" t="str">
        <f>CONCATENATE(IF(ISERROR(VLOOKUP(P25,#REF!,19,0)),"",(VLOOKUP(P25,#REF!,19,0))))</f>
        <v/>
      </c>
      <c r="AA25" s="129" t="str">
        <f>CONCATENATE(IF(ISERROR(VLOOKUP(P25,#REF!,20,0)),"",(VLOOKUP(P25,#REF!,20,0))))</f>
        <v/>
      </c>
      <c r="AB25" s="129" t="str">
        <f>CONCATENATE(IF(ISERROR(VLOOKUP(P25,#REF!,21,0)),"",(VLOOKUP(P25,#REF!,21,0))))</f>
        <v/>
      </c>
      <c r="AC25" s="129" t="str">
        <f>CONCATENATE(IF(ISERROR(VLOOKUP(P25,#REF!,22,0)),"",(VLOOKUP(P25,#REF!,22,0))))</f>
        <v/>
      </c>
      <c r="AD25" s="129" t="str">
        <f>CONCATENATE(IF(ISERROR(VLOOKUP(P25,#REF!,23,0)),"",(VLOOKUP(P25,#REF!,23,0))))</f>
        <v/>
      </c>
      <c r="AE25" s="129" t="str">
        <f>CONCATENATE(IF(ISERROR(VLOOKUP(P25,#REF!,24,0)),"",(VLOOKUP(P25,#REF!,24,0))))</f>
        <v/>
      </c>
      <c r="AF25" s="129" t="str">
        <f>CONCATENATE(IF(ISERROR(VLOOKUP(P25,#REF!,25,0)),"",(VLOOKUP(P25,#REF!,25,0))))</f>
        <v/>
      </c>
      <c r="AG25" s="133" t="e">
        <f>CONCATENATE(IF(AG23=#REF!,""&amp;#REF!&amp;"",IF(AG23=#REF!,""&amp;#REF!&amp;"",IF(AG23=#REF!,""&amp;#REF!&amp;"",IF(AG23=#REF!,""&amp;#REF!&amp;"",IF(AG23=#REF!,""&amp;#REF!&amp;"",IF(AG23=#REF!,""&amp;#REF!&amp;"",IF(AG23=#REF!,""&amp;#REF!&amp;"",IF(AG23=#REF!,""&amp;#REF!&amp;"",IF(AG23=#REF!,""&amp;#REF!&amp;"",IF(AG23=#REF!,""&amp;#REF!&amp;"",IF(AG23=#REF!,""&amp;#REF!&amp;"",IF(AG23=#REF!,""&amp;#REF!&amp;"",IF(AG23=#REF!,""&amp;#REF!&amp;"",IF(AG23=#REF!,""&amp;#REF!&amp;"",IF(AG23=#REF!,""&amp;#REF!&amp;"",IF(AG23=#REF!,""&amp;#REF!&amp;"",IF(AG23=#REF!,""&amp;#REF!&amp;"",IF(AG23=#REF!,""&amp;#REF!&amp;"",IF(AG23=#REF!,""&amp;#REF!&amp;"",))))))))))))))))))))</f>
        <v>#REF!</v>
      </c>
    </row>
    <row r="26" spans="1:33" ht="17.25" thickTop="1" thickBo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125"/>
      <c r="N26" s="125"/>
      <c r="O26" s="125"/>
      <c r="P26" s="131"/>
      <c r="Q26" s="134" t="s">
        <v>495</v>
      </c>
      <c r="R26" s="131" t="e">
        <f>P25</f>
        <v>#REF!</v>
      </c>
      <c r="S26" s="131"/>
      <c r="T26" s="132"/>
      <c r="U26" s="132"/>
      <c r="V26" s="131" t="e">
        <f>CONCATENATE(IF(V25=#REF!,""&amp;#REF!&amp;"",IF(V25=#REF!,""&amp;#REF!&amp;"",IF(V25=#REF!,""&amp;#REF!&amp;"",IF(V25=#REF!,""&amp;#REF!&amp;"",IF(V25=#REF!,""&amp;#REF!&amp;"",IF(V25=#REF!,""&amp;#REF!&amp;"",IF(V25=#REF!,""&amp;#REF!&amp;"",IF(V25=#REF!,""&amp;#REF!&amp;"",IF(V25=#REF!,""&amp;#REF!&amp;"",IF(V25=#REF!,""&amp;#REF!&amp;"",IF(V25=#REF!,""&amp;#REF!&amp;"",IF(V25=#REF!,""&amp;#REF!&amp;"",IF(V25=#REF!,""&amp;#REF!&amp;"",IF(V25=#REF!,""&amp;#REF!&amp;"",IF(V25=#REF!,""&amp;#REF!&amp;"",IF(V25=#REF!,""&amp;#REF!&amp;"",IF(V25=#REF!,""&amp;#REF!&amp;"",IF(V25=#REF!,""&amp;#REF!&amp;"",IF(V25=#REF!,""&amp;#REF!&amp;"",))))))))))))))))))))</f>
        <v>#REF!</v>
      </c>
      <c r="W26" s="131" t="e">
        <f>CONCATENATE(IF(W25=#REF!,""&amp;#REF!&amp;"",IF(W25=#REF!,""&amp;#REF!&amp;"",IF(W25=#REF!,""&amp;#REF!&amp;"",IF(W25=#REF!,""&amp;#REF!&amp;"",IF(W25=#REF!,""&amp;#REF!&amp;"",IF(W25=#REF!,""&amp;#REF!&amp;"",IF(W25=#REF!,""&amp;#REF!&amp;"",IF(W25=#REF!,""&amp;#REF!&amp;"",IF(W25=#REF!,""&amp;#REF!&amp;"",IF(W25=#REF!,""&amp;#REF!&amp;"",IF(W25=#REF!,""&amp;#REF!&amp;"",IF(W25=#REF!,""&amp;#REF!&amp;"",IF(W25=#REF!,""&amp;#REF!&amp;"",IF(W25=#REF!,""&amp;#REF!&amp;"",IF(W25=#REF!,""&amp;#REF!&amp;"",IF(W25=#REF!,""&amp;#REF!&amp;"",IF(W25=#REF!,""&amp;#REF!&amp;"",IF(W25=#REF!,""&amp;#REF!&amp;"",IF(W25=#REF!,""&amp;#REF!&amp;"",))))))))))))))))))))</f>
        <v>#REF!</v>
      </c>
      <c r="X26" s="131" t="e">
        <f>CONCATENATE(IF(X25=#REF!,""&amp;#REF!&amp;"",IF(X25=#REF!,""&amp;#REF!&amp;"",IF(X25=#REF!,""&amp;#REF!&amp;"",IF(X25=#REF!,""&amp;#REF!&amp;"",IF(X25=#REF!,""&amp;#REF!&amp;"",IF(X25=#REF!,""&amp;#REF!&amp;"",IF(X25=#REF!,""&amp;#REF!&amp;"",IF(X25=#REF!,""&amp;#REF!&amp;"",IF(X25=#REF!,""&amp;#REF!&amp;"",IF(X25=#REF!,""&amp;#REF!&amp;"",IF(X25=#REF!,""&amp;#REF!&amp;"",IF(X25=#REF!,""&amp;#REF!&amp;"",IF(X25=#REF!,""&amp;#REF!&amp;"",IF(X25=#REF!,""&amp;#REF!&amp;"",IF(X25=#REF!,""&amp;#REF!&amp;"",IF(X25=#REF!,""&amp;#REF!&amp;"",IF(X25=#REF!,""&amp;#REF!&amp;"",IF(X25=#REF!,""&amp;#REF!&amp;"",IF(X25=#REF!,""&amp;#REF!&amp;"",))))))))))))))))))))</f>
        <v>#REF!</v>
      </c>
      <c r="Y26" s="131" t="e">
        <f>CONCATENATE(IF(Y25=#REF!,""&amp;#REF!&amp;"",IF(Y25=#REF!,""&amp;#REF!&amp;"",IF(Y25=#REF!,""&amp;#REF!&amp;"",IF(Y25=#REF!,""&amp;#REF!&amp;"",IF(Y25=#REF!,""&amp;#REF!&amp;"",IF(Y25=#REF!,""&amp;#REF!&amp;"",IF(Y25=#REF!,""&amp;#REF!&amp;"",IF(Y25=#REF!,""&amp;#REF!&amp;"",IF(Y25=#REF!,""&amp;#REF!&amp;"",IF(Y25=#REF!,""&amp;#REF!&amp;"",IF(Y25=#REF!,""&amp;#REF!&amp;"",IF(Y25=#REF!,""&amp;#REF!&amp;"",IF(Y25=#REF!,""&amp;#REF!&amp;"",IF(Y25=#REF!,""&amp;#REF!&amp;"",IF(Y25=#REF!,""&amp;#REF!&amp;"",IF(Y25=#REF!,""&amp;#REF!&amp;"",IF(Y25=#REF!,""&amp;#REF!&amp;"",IF(Y25=#REF!,""&amp;#REF!&amp;"",IF(Y25=#REF!,""&amp;#REF!&amp;"",))))))))))))))))))))</f>
        <v>#REF!</v>
      </c>
      <c r="Z26" s="131" t="e">
        <f>CONCATENATE(IF(Z25=#REF!,""&amp;#REF!&amp;"",IF(Z25=#REF!,""&amp;#REF!&amp;"",IF(Z25=#REF!,""&amp;#REF!&amp;"",IF(Z25=#REF!,""&amp;#REF!&amp;"",IF(Z25=#REF!,""&amp;#REF!&amp;"",IF(Z25=#REF!,""&amp;#REF!&amp;"",IF(Z25=#REF!,""&amp;#REF!&amp;"",IF(Z25=#REF!,""&amp;#REF!&amp;"",IF(Z25=#REF!,""&amp;#REF!&amp;"",IF(Z25=#REF!,""&amp;#REF!&amp;"",IF(Z25=#REF!,""&amp;#REF!&amp;"",IF(Z25=#REF!,""&amp;#REF!&amp;"",IF(Z25=#REF!,""&amp;#REF!&amp;"",IF(Z25=#REF!,""&amp;#REF!&amp;"",IF(Z25=#REF!,""&amp;#REF!&amp;"",IF(Z25=#REF!,""&amp;#REF!&amp;"",IF(Z25=#REF!,""&amp;#REF!&amp;"",IF(Z25=#REF!,""&amp;#REF!&amp;"",IF(Z25=#REF!,""&amp;#REF!&amp;"",))))))))))))))))))))</f>
        <v>#REF!</v>
      </c>
      <c r="AA26" s="131" t="e">
        <f>CONCATENATE(IF(AA25=#REF!,""&amp;#REF!&amp;"",IF(AA25=#REF!,""&amp;#REF!&amp;"",IF(AA25=#REF!,""&amp;#REF!&amp;"",IF(AA25=#REF!,""&amp;#REF!&amp;"",IF(AA25=#REF!,""&amp;#REF!&amp;"",IF(AA25=#REF!,""&amp;#REF!&amp;"",IF(AA25=#REF!,""&amp;#REF!&amp;"",IF(AA25=#REF!,""&amp;#REF!&amp;"",IF(AA25=#REF!,""&amp;#REF!&amp;"",IF(AA25=#REF!,""&amp;#REF!&amp;"",IF(AA25=#REF!,""&amp;#REF!&amp;"",IF(AA25=#REF!,""&amp;#REF!&amp;"",IF(AA25=#REF!,""&amp;#REF!&amp;"",IF(AA25=#REF!,""&amp;#REF!&amp;"",IF(AA25=#REF!,""&amp;#REF!&amp;"",IF(AA25=#REF!,""&amp;#REF!&amp;"",IF(AA25=#REF!,""&amp;#REF!&amp;"",IF(AA25=#REF!,""&amp;#REF!&amp;"",IF(AA25=#REF!,""&amp;#REF!&amp;"",))))))))))))))))))))</f>
        <v>#REF!</v>
      </c>
      <c r="AB26" s="131" t="e">
        <f>CONCATENATE(IF(AB25=#REF!,""&amp;#REF!&amp;"",IF(AB25=#REF!,""&amp;#REF!&amp;"",IF(AB25=#REF!,""&amp;#REF!&amp;"",IF(AB25=#REF!,""&amp;#REF!&amp;"",IF(AB25=#REF!,""&amp;#REF!&amp;"",IF(AB25=#REF!,""&amp;#REF!&amp;"",IF(AB25=#REF!,""&amp;#REF!&amp;"",IF(AB25=#REF!,""&amp;#REF!&amp;"",IF(AB25=#REF!,""&amp;#REF!&amp;"",IF(AB25=#REF!,""&amp;#REF!&amp;"",IF(AB25=#REF!,""&amp;#REF!&amp;"",IF(AB25=#REF!,""&amp;#REF!&amp;"",IF(AB25=#REF!,""&amp;#REF!&amp;"",IF(AB25=#REF!,""&amp;#REF!&amp;"",IF(AB25=#REF!,""&amp;#REF!&amp;"",IF(AB25=#REF!,""&amp;#REF!&amp;"",IF(AB25=#REF!,""&amp;#REF!&amp;"",IF(AB25=#REF!,""&amp;#REF!&amp;"",IF(AB25=#REF!,""&amp;#REF!&amp;"",))))))))))))))))))))</f>
        <v>#REF!</v>
      </c>
      <c r="AC26" s="131" t="e">
        <f>CONCATENATE(IF(AC25=#REF!,""&amp;#REF!&amp;"",IF(AC25=#REF!,""&amp;#REF!&amp;"",IF(AC25=#REF!,""&amp;#REF!&amp;"",IF(AC25=#REF!,""&amp;#REF!&amp;"",IF(AC25=#REF!,""&amp;#REF!&amp;"",IF(AC25=#REF!,""&amp;#REF!&amp;"",IF(AC25=#REF!,""&amp;#REF!&amp;"",IF(AC25=#REF!,""&amp;#REF!&amp;"",IF(AC25=#REF!,""&amp;#REF!&amp;"",IF(AC25=#REF!,""&amp;#REF!&amp;"",IF(AC25=#REF!,""&amp;#REF!&amp;"",IF(AC25=#REF!,""&amp;#REF!&amp;"",IF(AC25=#REF!,""&amp;#REF!&amp;"",IF(AC25=#REF!,""&amp;#REF!&amp;"",IF(AC25=#REF!,""&amp;#REF!&amp;"",IF(AC25=#REF!,""&amp;#REF!&amp;"",IF(AC25=#REF!,""&amp;#REF!&amp;"",IF(AC25=#REF!,""&amp;#REF!&amp;"",IF(AC25=#REF!,""&amp;#REF!&amp;"",))))))))))))))))))))</f>
        <v>#REF!</v>
      </c>
      <c r="AD26" s="131" t="e">
        <f>CONCATENATE(IF(AD25=#REF!,""&amp;#REF!&amp;"",IF(AD25=#REF!,""&amp;#REF!&amp;"",IF(AD25=#REF!,""&amp;#REF!&amp;"",IF(AD25=#REF!,""&amp;#REF!&amp;"",IF(AD25=#REF!,""&amp;#REF!&amp;"",IF(AD25=#REF!,""&amp;#REF!&amp;"",IF(AD25=#REF!,""&amp;#REF!&amp;"",IF(AD25=#REF!,""&amp;#REF!&amp;"",IF(AD25=#REF!,""&amp;#REF!&amp;"",IF(AD25=#REF!,""&amp;#REF!&amp;"",IF(AD25=#REF!,""&amp;#REF!&amp;"",IF(AD25=#REF!,""&amp;#REF!&amp;"",IF(AD25=#REF!,""&amp;#REF!&amp;"",IF(AD25=#REF!,""&amp;#REF!&amp;"",IF(AD25=#REF!,""&amp;#REF!&amp;"",IF(AD25=#REF!,""&amp;#REF!&amp;"",IF(AD25=#REF!,""&amp;#REF!&amp;"",IF(AD25=#REF!,""&amp;#REF!&amp;"",IF(AD25=#REF!,""&amp;#REF!&amp;"",))))))))))))))))))))</f>
        <v>#REF!</v>
      </c>
      <c r="AE26" s="131" t="e">
        <f>CONCATENATE(IF(AE25=#REF!,""&amp;#REF!&amp;"",IF(AE25=#REF!,""&amp;#REF!&amp;"",IF(AE25=#REF!,""&amp;#REF!&amp;"",IF(AE25=#REF!,""&amp;#REF!&amp;"",IF(AE25=#REF!,""&amp;#REF!&amp;"",IF(AE25=#REF!,""&amp;#REF!&amp;"",IF(AE25=#REF!,""&amp;#REF!&amp;"",IF(AE25=#REF!,""&amp;#REF!&amp;"",IF(AE25=#REF!,""&amp;#REF!&amp;"",IF(AE25=#REF!,""&amp;#REF!&amp;"",IF(AE25=#REF!,""&amp;#REF!&amp;"",IF(AE25=#REF!,""&amp;#REF!&amp;"",IF(AE25=#REF!,""&amp;#REF!&amp;"",IF(AE25=#REF!,""&amp;#REF!&amp;"",IF(AE25=#REF!,""&amp;#REF!&amp;"",IF(AE25=#REF!,""&amp;#REF!&amp;"",IF(AE25=#REF!,""&amp;#REF!&amp;"",IF(AE25=#REF!,""&amp;#REF!&amp;"",IF(AE25=#REF!,""&amp;#REF!&amp;"",))))))))))))))))))))</f>
        <v>#REF!</v>
      </c>
      <c r="AF26" s="131" t="e">
        <f>CONCATENATE(IF(AF25=#REF!,""&amp;#REF!&amp;"",IF(AF25=#REF!,""&amp;#REF!&amp;"",IF(AF25=#REF!,""&amp;#REF!&amp;"",IF(AF25=#REF!,""&amp;#REF!&amp;"",IF(AF25=#REF!,""&amp;#REF!&amp;"",IF(AF25=#REF!,""&amp;#REF!&amp;"",IF(AF25=#REF!,""&amp;#REF!&amp;"",IF(AF25=#REF!,""&amp;#REF!&amp;"",IF(AF25=#REF!,""&amp;#REF!&amp;"",IF(AF25=#REF!,""&amp;#REF!&amp;"",IF(AF25=#REF!,""&amp;#REF!&amp;"",IF(AF25=#REF!,""&amp;#REF!&amp;"",IF(AF25=#REF!,""&amp;#REF!&amp;"",IF(AF25=#REF!,""&amp;#REF!&amp;"",IF(AF25=#REF!,""&amp;#REF!&amp;"",IF(AF25=#REF!,""&amp;#REF!&amp;"",IF(AF25=#REF!,""&amp;#REF!&amp;"",IF(AF25=#REF!,""&amp;#REF!&amp;"",IF(AF25=#REF!,""&amp;#REF!&amp;"",))))))))))))))))))))</f>
        <v>#REF!</v>
      </c>
      <c r="AG26" s="131" t="e">
        <f>CONCATENATE(IF(AG25=#REF!,""&amp;#REF!&amp;"",IF(AG25=#REF!,""&amp;#REF!&amp;"",IF(AG25=#REF!,""&amp;#REF!&amp;"",IF(AG25=#REF!,""&amp;#REF!&amp;"",IF(AG25=#REF!,""&amp;#REF!&amp;"",IF(AG25=#REF!,""&amp;#REF!&amp;"",IF(AG25=#REF!,""&amp;#REF!&amp;"",IF(AG25=#REF!,""&amp;#REF!&amp;"",IF(AG25=#REF!,""&amp;#REF!&amp;"",IF(AG25=#REF!,""&amp;#REF!&amp;"",IF(AG25=#REF!,""&amp;#REF!&amp;"",IF(AG25=#REF!,""&amp;#REF!&amp;"",IF(AG25=#REF!,""&amp;#REF!&amp;"",IF(AG25=#REF!,""&amp;#REF!&amp;"",IF(AG25=#REF!,""&amp;#REF!&amp;"",IF(AG25=#REF!,""&amp;#REF!&amp;"",IF(AG25=#REF!,""&amp;#REF!&amp;"",IF(AG25=#REF!,""&amp;#REF!&amp;"",IF(AG25=#REF!,""&amp;#REF!&amp;"",))))))))))))))))))))</f>
        <v>#REF!</v>
      </c>
    </row>
    <row r="27" spans="1:33" ht="19.5" thickTop="1" thickBot="1">
      <c r="A27" s="35" t="s">
        <v>399</v>
      </c>
      <c r="B27" s="1494" t="s">
        <v>380</v>
      </c>
      <c r="C27" s="1495"/>
      <c r="D27" s="1494" t="s">
        <v>380</v>
      </c>
      <c r="E27" s="1496"/>
      <c r="F27" s="32"/>
      <c r="G27" s="32"/>
      <c r="H27" s="32"/>
      <c r="I27" s="32"/>
      <c r="J27" s="32"/>
      <c r="K27" s="31"/>
      <c r="L27" s="31"/>
      <c r="M27" s="124"/>
      <c r="N27" s="124"/>
      <c r="O27" s="124"/>
      <c r="P27" s="129" t="e">
        <f>CONCATENATE(#REF!)</f>
        <v>#REF!</v>
      </c>
      <c r="Q27" s="134" t="s">
        <v>381</v>
      </c>
      <c r="R27" s="134"/>
      <c r="S27" s="129" t="e">
        <f>P27</f>
        <v>#REF!</v>
      </c>
      <c r="T27" s="130" t="e">
        <f>CONCATENATE(#REF!)</f>
        <v>#REF!</v>
      </c>
      <c r="U27" s="130" t="e">
        <f>CONCATENATE(#REF!)</f>
        <v>#REF!</v>
      </c>
      <c r="V27" s="129" t="str">
        <f>CONCATENATE(IF(ISERROR(VLOOKUP(P27,#REF!,15,0)),"",(VLOOKUP(P27,#REF!,15,0))))</f>
        <v/>
      </c>
      <c r="W27" s="129" t="str">
        <f>CONCATENATE(IF(ISERROR(VLOOKUP(P27,#REF!,16,0)),"",(VLOOKUP(P27,#REF!,16,0))))</f>
        <v/>
      </c>
      <c r="X27" s="129" t="str">
        <f>CONCATENATE(IF(ISERROR(VLOOKUP(P27,#REF!,17,0)),"",(VLOOKUP(P27,#REF!,17,0))))</f>
        <v/>
      </c>
      <c r="Y27" s="129" t="str">
        <f>CONCATENATE(IF(ISERROR(VLOOKUP(P27,#REF!,18,0)),"",(VLOOKUP(P27,#REF!,18,0))))</f>
        <v/>
      </c>
      <c r="Z27" s="129" t="str">
        <f>CONCATENATE(IF(ISERROR(VLOOKUP(P27,#REF!,19,0)),"",(VLOOKUP(P27,#REF!,19,0))))</f>
        <v/>
      </c>
      <c r="AA27" s="129" t="str">
        <f>CONCATENATE(IF(ISERROR(VLOOKUP(P27,#REF!,20,0)),"",(VLOOKUP(P27,#REF!,20,0))))</f>
        <v/>
      </c>
      <c r="AB27" s="129" t="str">
        <f>CONCATENATE(IF(ISERROR(VLOOKUP(P27,#REF!,21,0)),"",(VLOOKUP(P27,#REF!,21,0))))</f>
        <v/>
      </c>
      <c r="AC27" s="129" t="str">
        <f>CONCATENATE(IF(ISERROR(VLOOKUP(P27,#REF!,22,0)),"",(VLOOKUP(P27,#REF!,22,0))))</f>
        <v/>
      </c>
      <c r="AD27" s="129" t="str">
        <f>CONCATENATE(IF(ISERROR(VLOOKUP(P27,#REF!,23,0)),"",(VLOOKUP(P27,#REF!,23,0))))</f>
        <v/>
      </c>
      <c r="AE27" s="129" t="str">
        <f>CONCATENATE(IF(ISERROR(VLOOKUP(P27,#REF!,24,0)),"",(VLOOKUP(P27,#REF!,24,0))))</f>
        <v/>
      </c>
      <c r="AF27" s="129" t="str">
        <f>CONCATENATE(IF(ISERROR(VLOOKUP(P27,#REF!,25,0)),"",(VLOOKUP(P27,#REF!,25,0))))</f>
        <v/>
      </c>
      <c r="AG27" s="135"/>
    </row>
    <row r="28" spans="1:33" ht="18.75" thickBot="1">
      <c r="A28" s="37" t="s">
        <v>400</v>
      </c>
      <c r="B28" s="1497" t="s">
        <v>380</v>
      </c>
      <c r="C28" s="1498"/>
      <c r="D28" s="1497" t="s">
        <v>380</v>
      </c>
      <c r="E28" s="1499"/>
      <c r="F28" s="31" t="s">
        <v>401</v>
      </c>
      <c r="G28" s="1500" t="s">
        <v>402</v>
      </c>
      <c r="H28" s="1500"/>
      <c r="I28" s="31" t="s">
        <v>403</v>
      </c>
      <c r="J28" s="1501">
        <f ca="1">TODAY()</f>
        <v>45944</v>
      </c>
      <c r="K28" s="1501"/>
      <c r="L28" s="1501"/>
      <c r="M28" s="124"/>
      <c r="N28" s="124"/>
      <c r="O28" s="124"/>
      <c r="P28" s="131"/>
      <c r="Q28" s="134" t="s">
        <v>495</v>
      </c>
      <c r="R28" s="131" t="e">
        <f>P27</f>
        <v>#REF!</v>
      </c>
      <c r="S28" s="131"/>
      <c r="T28" s="132"/>
      <c r="U28" s="132"/>
      <c r="V28" s="131" t="e">
        <f>CONCATENATE(IF(V27=#REF!,""&amp;#REF!&amp;"",IF(V27=#REF!,""&amp;#REF!&amp;"",IF(V27=#REF!,""&amp;#REF!&amp;"",IF(V27=#REF!,""&amp;#REF!&amp;"",IF(V27=#REF!,""&amp;#REF!&amp;"",IF(V27=#REF!,""&amp;#REF!&amp;"",IF(V27=#REF!,""&amp;#REF!&amp;"",IF(V27=#REF!,""&amp;#REF!&amp;"",IF(V27=#REF!,""&amp;#REF!&amp;"",IF(V27=#REF!,""&amp;#REF!&amp;"",IF(V27=#REF!,""&amp;#REF!&amp;"",IF(V27=#REF!,""&amp;#REF!&amp;"",IF(V27=#REF!,""&amp;#REF!&amp;"",IF(V27=#REF!,""&amp;#REF!&amp;"",IF(V27=#REF!,""&amp;#REF!&amp;"",IF(V27=#REF!,""&amp;#REF!&amp;"",IF(V27=#REF!,""&amp;#REF!&amp;"",IF(V27=#REF!,""&amp;#REF!&amp;"",IF(V27=#REF!,""&amp;#REF!&amp;"",))))))))))))))))))))</f>
        <v>#REF!</v>
      </c>
      <c r="W28" s="131" t="e">
        <f>CONCATENATE(IF(W27=#REF!,""&amp;#REF!&amp;"",IF(W27=#REF!,""&amp;#REF!&amp;"",IF(W27=#REF!,""&amp;#REF!&amp;"",IF(W27=#REF!,""&amp;#REF!&amp;"",IF(W27=#REF!,""&amp;#REF!&amp;"",IF(W27=#REF!,""&amp;#REF!&amp;"",IF(W27=#REF!,""&amp;#REF!&amp;"",IF(W27=#REF!,""&amp;#REF!&amp;"",IF(W27=#REF!,""&amp;#REF!&amp;"",IF(W27=#REF!,""&amp;#REF!&amp;"",IF(W27=#REF!,""&amp;#REF!&amp;"",IF(W27=#REF!,""&amp;#REF!&amp;"",IF(W27=#REF!,""&amp;#REF!&amp;"",IF(W27=#REF!,""&amp;#REF!&amp;"",IF(W27=#REF!,""&amp;#REF!&amp;"",IF(W27=#REF!,""&amp;#REF!&amp;"",IF(W27=#REF!,""&amp;#REF!&amp;"",IF(W27=#REF!,""&amp;#REF!&amp;"",IF(W27=#REF!,""&amp;#REF!&amp;"",))))))))))))))))))))</f>
        <v>#REF!</v>
      </c>
      <c r="X28" s="131" t="e">
        <f>CONCATENATE(IF(X27=#REF!,""&amp;#REF!&amp;"",IF(X27=#REF!,""&amp;#REF!&amp;"",IF(X27=#REF!,""&amp;#REF!&amp;"",IF(X27=#REF!,""&amp;#REF!&amp;"",IF(X27=#REF!,""&amp;#REF!&amp;"",IF(X27=#REF!,""&amp;#REF!&amp;"",IF(X27=#REF!,""&amp;#REF!&amp;"",IF(X27=#REF!,""&amp;#REF!&amp;"",IF(X27=#REF!,""&amp;#REF!&amp;"",IF(X27=#REF!,""&amp;#REF!&amp;"",IF(X27=#REF!,""&amp;#REF!&amp;"",IF(X27=#REF!,""&amp;#REF!&amp;"",IF(X27=#REF!,""&amp;#REF!&amp;"",IF(X27=#REF!,""&amp;#REF!&amp;"",IF(X27=#REF!,""&amp;#REF!&amp;"",IF(X27=#REF!,""&amp;#REF!&amp;"",IF(X27=#REF!,""&amp;#REF!&amp;"",IF(X27=#REF!,""&amp;#REF!&amp;"",IF(X27=#REF!,""&amp;#REF!&amp;"",))))))))))))))))))))</f>
        <v>#REF!</v>
      </c>
      <c r="Y28" s="131" t="e">
        <f>CONCATENATE(IF(Y27=#REF!,""&amp;#REF!&amp;"",IF(Y27=#REF!,""&amp;#REF!&amp;"",IF(Y27=#REF!,""&amp;#REF!&amp;"",IF(Y27=#REF!,""&amp;#REF!&amp;"",IF(Y27=#REF!,""&amp;#REF!&amp;"",IF(Y27=#REF!,""&amp;#REF!&amp;"",IF(Y27=#REF!,""&amp;#REF!&amp;"",IF(Y27=#REF!,""&amp;#REF!&amp;"",IF(Y27=#REF!,""&amp;#REF!&amp;"",IF(Y27=#REF!,""&amp;#REF!&amp;"",IF(Y27=#REF!,""&amp;#REF!&amp;"",IF(Y27=#REF!,""&amp;#REF!&amp;"",IF(Y27=#REF!,""&amp;#REF!&amp;"",IF(Y27=#REF!,""&amp;#REF!&amp;"",IF(Y27=#REF!,""&amp;#REF!&amp;"",IF(Y27=#REF!,""&amp;#REF!&amp;"",IF(Y27=#REF!,""&amp;#REF!&amp;"",IF(Y27=#REF!,""&amp;#REF!&amp;"",IF(Y27=#REF!,""&amp;#REF!&amp;"",))))))))))))))))))))</f>
        <v>#REF!</v>
      </c>
      <c r="Z28" s="131" t="e">
        <f>CONCATENATE(IF(Z27=#REF!,""&amp;#REF!&amp;"",IF(Z27=#REF!,""&amp;#REF!&amp;"",IF(Z27=#REF!,""&amp;#REF!&amp;"",IF(Z27=#REF!,""&amp;#REF!&amp;"",IF(Z27=#REF!,""&amp;#REF!&amp;"",IF(Z27=#REF!,""&amp;#REF!&amp;"",IF(Z27=#REF!,""&amp;#REF!&amp;"",IF(Z27=#REF!,""&amp;#REF!&amp;"",IF(Z27=#REF!,""&amp;#REF!&amp;"",IF(Z27=#REF!,""&amp;#REF!&amp;"",IF(Z27=#REF!,""&amp;#REF!&amp;"",IF(Z27=#REF!,""&amp;#REF!&amp;"",IF(Z27=#REF!,""&amp;#REF!&amp;"",IF(Z27=#REF!,""&amp;#REF!&amp;"",IF(Z27=#REF!,""&amp;#REF!&amp;"",IF(Z27=#REF!,""&amp;#REF!&amp;"",IF(Z27=#REF!,""&amp;#REF!&amp;"",IF(Z27=#REF!,""&amp;#REF!&amp;"",IF(Z27=#REF!,""&amp;#REF!&amp;"",))))))))))))))))))))</f>
        <v>#REF!</v>
      </c>
      <c r="AA28" s="131" t="e">
        <f>CONCATENATE(IF(AA27=#REF!,""&amp;#REF!&amp;"",IF(AA27=#REF!,""&amp;#REF!&amp;"",IF(AA27=#REF!,""&amp;#REF!&amp;"",IF(AA27=#REF!,""&amp;#REF!&amp;"",IF(AA27=#REF!,""&amp;#REF!&amp;"",IF(AA27=#REF!,""&amp;#REF!&amp;"",IF(AA27=#REF!,""&amp;#REF!&amp;"",IF(AA27=#REF!,""&amp;#REF!&amp;"",IF(AA27=#REF!,""&amp;#REF!&amp;"",IF(AA27=#REF!,""&amp;#REF!&amp;"",IF(AA27=#REF!,""&amp;#REF!&amp;"",IF(AA27=#REF!,""&amp;#REF!&amp;"",IF(AA27=#REF!,""&amp;#REF!&amp;"",IF(AA27=#REF!,""&amp;#REF!&amp;"",IF(AA27=#REF!,""&amp;#REF!&amp;"",IF(AA27=#REF!,""&amp;#REF!&amp;"",IF(AA27=#REF!,""&amp;#REF!&amp;"",IF(AA27=#REF!,""&amp;#REF!&amp;"",IF(AA27=#REF!,""&amp;#REF!&amp;"",))))))))))))))))))))</f>
        <v>#REF!</v>
      </c>
      <c r="AB28" s="131" t="e">
        <f>CONCATENATE(IF(AB27=#REF!,""&amp;#REF!&amp;"",IF(AB27=#REF!,""&amp;#REF!&amp;"",IF(AB27=#REF!,""&amp;#REF!&amp;"",IF(AB27=#REF!,""&amp;#REF!&amp;"",IF(AB27=#REF!,""&amp;#REF!&amp;"",IF(AB27=#REF!,""&amp;#REF!&amp;"",IF(AB27=#REF!,""&amp;#REF!&amp;"",IF(AB27=#REF!,""&amp;#REF!&amp;"",IF(AB27=#REF!,""&amp;#REF!&amp;"",IF(AB27=#REF!,""&amp;#REF!&amp;"",IF(AB27=#REF!,""&amp;#REF!&amp;"",IF(AB27=#REF!,""&amp;#REF!&amp;"",IF(AB27=#REF!,""&amp;#REF!&amp;"",IF(AB27=#REF!,""&amp;#REF!&amp;"",IF(AB27=#REF!,""&amp;#REF!&amp;"",IF(AB27=#REF!,""&amp;#REF!&amp;"",IF(AB27=#REF!,""&amp;#REF!&amp;"",IF(AB27=#REF!,""&amp;#REF!&amp;"",IF(AB27=#REF!,""&amp;#REF!&amp;"",))))))))))))))))))))</f>
        <v>#REF!</v>
      </c>
      <c r="AC28" s="131" t="e">
        <f>CONCATENATE(IF(AC27=#REF!,""&amp;#REF!&amp;"",IF(AC27=#REF!,""&amp;#REF!&amp;"",IF(AC27=#REF!,""&amp;#REF!&amp;"",IF(AC27=#REF!,""&amp;#REF!&amp;"",IF(AC27=#REF!,""&amp;#REF!&amp;"",IF(AC27=#REF!,""&amp;#REF!&amp;"",IF(AC27=#REF!,""&amp;#REF!&amp;"",IF(AC27=#REF!,""&amp;#REF!&amp;"",IF(AC27=#REF!,""&amp;#REF!&amp;"",IF(AC27=#REF!,""&amp;#REF!&amp;"",IF(AC27=#REF!,""&amp;#REF!&amp;"",IF(AC27=#REF!,""&amp;#REF!&amp;"",IF(AC27=#REF!,""&amp;#REF!&amp;"",IF(AC27=#REF!,""&amp;#REF!&amp;"",IF(AC27=#REF!,""&amp;#REF!&amp;"",IF(AC27=#REF!,""&amp;#REF!&amp;"",IF(AC27=#REF!,""&amp;#REF!&amp;"",IF(AC27=#REF!,""&amp;#REF!&amp;"",IF(AC27=#REF!,""&amp;#REF!&amp;"",))))))))))))))))))))</f>
        <v>#REF!</v>
      </c>
      <c r="AD28" s="131" t="e">
        <f>CONCATENATE(IF(AD27=#REF!,""&amp;#REF!&amp;"",IF(AD27=#REF!,""&amp;#REF!&amp;"",IF(AD27=#REF!,""&amp;#REF!&amp;"",IF(AD27=#REF!,""&amp;#REF!&amp;"",IF(AD27=#REF!,""&amp;#REF!&amp;"",IF(AD27=#REF!,""&amp;#REF!&amp;"",IF(AD27=#REF!,""&amp;#REF!&amp;"",IF(AD27=#REF!,""&amp;#REF!&amp;"",IF(AD27=#REF!,""&amp;#REF!&amp;"",IF(AD27=#REF!,""&amp;#REF!&amp;"",IF(AD27=#REF!,""&amp;#REF!&amp;"",IF(AD27=#REF!,""&amp;#REF!&amp;"",IF(AD27=#REF!,""&amp;#REF!&amp;"",IF(AD27=#REF!,""&amp;#REF!&amp;"",IF(AD27=#REF!,""&amp;#REF!&amp;"",IF(AD27=#REF!,""&amp;#REF!&amp;"",IF(AD27=#REF!,""&amp;#REF!&amp;"",IF(AD27=#REF!,""&amp;#REF!&amp;"",IF(AD27=#REF!,""&amp;#REF!&amp;"",))))))))))))))))))))</f>
        <v>#REF!</v>
      </c>
      <c r="AE28" s="131" t="e">
        <f>CONCATENATE(IF(AE27=#REF!,""&amp;#REF!&amp;"",IF(AE27=#REF!,""&amp;#REF!&amp;"",IF(AE27=#REF!,""&amp;#REF!&amp;"",IF(AE27=#REF!,""&amp;#REF!&amp;"",IF(AE27=#REF!,""&amp;#REF!&amp;"",IF(AE27=#REF!,""&amp;#REF!&amp;"",IF(AE27=#REF!,""&amp;#REF!&amp;"",IF(AE27=#REF!,""&amp;#REF!&amp;"",IF(AE27=#REF!,""&amp;#REF!&amp;"",IF(AE27=#REF!,""&amp;#REF!&amp;"",IF(AE27=#REF!,""&amp;#REF!&amp;"",IF(AE27=#REF!,""&amp;#REF!&amp;"",IF(AE27=#REF!,""&amp;#REF!&amp;"",IF(AE27=#REF!,""&amp;#REF!&amp;"",IF(AE27=#REF!,""&amp;#REF!&amp;"",IF(AE27=#REF!,""&amp;#REF!&amp;"",IF(AE27=#REF!,""&amp;#REF!&amp;"",IF(AE27=#REF!,""&amp;#REF!&amp;"",IF(AE27=#REF!,""&amp;#REF!&amp;"",))))))))))))))))))))</f>
        <v>#REF!</v>
      </c>
      <c r="AF28" s="131" t="e">
        <f>CONCATENATE(IF(AF27=#REF!,""&amp;#REF!&amp;"",IF(AF27=#REF!,""&amp;#REF!&amp;"",IF(AF27=#REF!,""&amp;#REF!&amp;"",IF(AF27=#REF!,""&amp;#REF!&amp;"",IF(AF27=#REF!,""&amp;#REF!&amp;"",IF(AF27=#REF!,""&amp;#REF!&amp;"",IF(AF27=#REF!,""&amp;#REF!&amp;"",IF(AF27=#REF!,""&amp;#REF!&amp;"",IF(AF27=#REF!,""&amp;#REF!&amp;"",IF(AF27=#REF!,""&amp;#REF!&amp;"",IF(AF27=#REF!,""&amp;#REF!&amp;"",IF(AF27=#REF!,""&amp;#REF!&amp;"",IF(AF27=#REF!,""&amp;#REF!&amp;"",IF(AF27=#REF!,""&amp;#REF!&amp;"",IF(AF27=#REF!,""&amp;#REF!&amp;"",IF(AF27=#REF!,""&amp;#REF!&amp;"",IF(AF27=#REF!,""&amp;#REF!&amp;"",IF(AF27=#REF!,""&amp;#REF!&amp;"",IF(AF27=#REF!,""&amp;#REF!&amp;"",))))))))))))))))))))</f>
        <v>#REF!</v>
      </c>
      <c r="AG28" s="131" t="e">
        <f>CONCATENATE(IF(AG27=#REF!,""&amp;#REF!&amp;"",IF(AG27=#REF!,""&amp;#REF!&amp;"",IF(AG27=#REF!,""&amp;#REF!&amp;"",IF(AG27=#REF!,""&amp;#REF!&amp;"",IF(AG27=#REF!,""&amp;#REF!&amp;"",IF(AG27=#REF!,""&amp;#REF!&amp;"",IF(AG27=#REF!,""&amp;#REF!&amp;"",IF(AG27=#REF!,""&amp;#REF!&amp;"",IF(AG27=#REF!,""&amp;#REF!&amp;"",IF(AG27=#REF!,""&amp;#REF!&amp;"",IF(AG27=#REF!,""&amp;#REF!&amp;"",IF(AG27=#REF!,""&amp;#REF!&amp;"",IF(AG27=#REF!,""&amp;#REF!&amp;"",IF(AG27=#REF!,""&amp;#REF!&amp;"",IF(AG27=#REF!,""&amp;#REF!&amp;"",IF(AG27=#REF!,""&amp;#REF!&amp;"",IF(AG27=#REF!,""&amp;#REF!&amp;"",IF(AG27=#REF!,""&amp;#REF!&amp;"",IF(AG27=#REF!,""&amp;#REF!&amp;"",))))))))))))))))))))</f>
        <v>#REF!</v>
      </c>
    </row>
    <row r="29" spans="1:33" ht="18.75" thickBot="1">
      <c r="A29" s="42" t="s">
        <v>404</v>
      </c>
      <c r="B29" s="1491" t="s">
        <v>380</v>
      </c>
      <c r="C29" s="1492"/>
      <c r="D29" s="1491" t="s">
        <v>380</v>
      </c>
      <c r="E29" s="1493"/>
      <c r="F29" s="32"/>
      <c r="G29" s="31"/>
      <c r="H29" s="31" t="s">
        <v>405</v>
      </c>
      <c r="I29" s="31"/>
      <c r="J29" s="32"/>
      <c r="K29" s="31"/>
      <c r="L29" s="31"/>
      <c r="M29" s="124"/>
      <c r="N29" s="124"/>
      <c r="O29" s="124"/>
      <c r="P29" s="129" t="e">
        <f>CONCATENATE(#REF!)</f>
        <v>#REF!</v>
      </c>
      <c r="Q29" s="134" t="s">
        <v>381</v>
      </c>
      <c r="R29" s="134"/>
      <c r="S29" s="129" t="e">
        <f>P29</f>
        <v>#REF!</v>
      </c>
      <c r="T29" s="130" t="e">
        <f>CONCATENATE(#REF!)</f>
        <v>#REF!</v>
      </c>
      <c r="U29" s="130" t="e">
        <f>CONCATENATE(#REF!)</f>
        <v>#REF!</v>
      </c>
      <c r="V29" s="129" t="str">
        <f>CONCATENATE(IF(ISERROR(VLOOKUP(P29,#REF!,15,0)),"",(VLOOKUP(P29,#REF!,15,0))))</f>
        <v/>
      </c>
      <c r="W29" s="129" t="str">
        <f>CONCATENATE(IF(ISERROR(VLOOKUP(P29,#REF!,16,0)),"",(VLOOKUP(P29,#REF!,16,0))))</f>
        <v/>
      </c>
      <c r="X29" s="129" t="str">
        <f>CONCATENATE(IF(ISERROR(VLOOKUP(P29,#REF!,17,0)),"",(VLOOKUP(P29,#REF!,17,0))))</f>
        <v/>
      </c>
      <c r="Y29" s="129" t="str">
        <f>CONCATENATE(IF(ISERROR(VLOOKUP(P29,#REF!,18,0)),"",(VLOOKUP(P29,#REF!,18,0))))</f>
        <v/>
      </c>
      <c r="Z29" s="129" t="str">
        <f>CONCATENATE(IF(ISERROR(VLOOKUP(P29,#REF!,19,0)),"",(VLOOKUP(P29,#REF!,19,0))))</f>
        <v/>
      </c>
      <c r="AA29" s="129" t="str">
        <f>CONCATENATE(IF(ISERROR(VLOOKUP(P29,#REF!,20,0)),"",(VLOOKUP(P29,#REF!,20,0))))</f>
        <v/>
      </c>
      <c r="AB29" s="129" t="str">
        <f>CONCATENATE(IF(ISERROR(VLOOKUP(P29,#REF!,21,0)),"",(VLOOKUP(P29,#REF!,21,0))))</f>
        <v/>
      </c>
      <c r="AC29" s="129" t="str">
        <f>CONCATENATE(IF(ISERROR(VLOOKUP(P29,#REF!,22,0)),"",(VLOOKUP(P29,#REF!,22,0))))</f>
        <v/>
      </c>
      <c r="AD29" s="129" t="str">
        <f>CONCATENATE(IF(ISERROR(VLOOKUP(P29,#REF!,23,0)),"",(VLOOKUP(P29,#REF!,23,0))))</f>
        <v/>
      </c>
      <c r="AE29" s="129" t="str">
        <f>CONCATENATE(IF(ISERROR(VLOOKUP(P29,#REF!,24,0)),"",(VLOOKUP(P29,#REF!,24,0))))</f>
        <v/>
      </c>
      <c r="AF29" s="129" t="str">
        <f>CONCATENATE(IF(ISERROR(VLOOKUP(P29,#REF!,25,0)),"",(VLOOKUP(P29,#REF!,25,0))))</f>
        <v/>
      </c>
      <c r="AG29" s="131" t="e">
        <f>CONCATENATE(IF(AG28=#REF!,""&amp;#REF!&amp;"",IF(AG28=#REF!,""&amp;#REF!&amp;"",IF(AG28=#REF!,""&amp;#REF!&amp;"",IF(AG28=#REF!,""&amp;#REF!&amp;"",IF(AG28=#REF!,""&amp;#REF!&amp;"",IF(AG28=#REF!,""&amp;#REF!&amp;"",IF(AG28=#REF!,""&amp;#REF!&amp;"",IF(AG28=#REF!,""&amp;#REF!&amp;"",IF(AG28=#REF!,""&amp;#REF!&amp;"",IF(AG28=#REF!,""&amp;#REF!&amp;"",IF(AG28=#REF!,""&amp;#REF!&amp;"",IF(AG28=#REF!,""&amp;#REF!&amp;"",IF(AG28=#REF!,""&amp;#REF!&amp;"",IF(AG28=#REF!,""&amp;#REF!&amp;"",IF(AG28=#REF!,""&amp;#REF!&amp;"",IF(AG28=#REF!,""&amp;#REF!&amp;"",)))))))))))))))))</f>
        <v>#REF!</v>
      </c>
    </row>
    <row r="30" spans="1:33" ht="18.75" thickTop="1">
      <c r="A30" s="32"/>
      <c r="B30" s="32"/>
      <c r="C30" s="32"/>
      <c r="D30" s="32"/>
      <c r="E30" s="32"/>
      <c r="F30" s="31"/>
      <c r="G30" s="31"/>
      <c r="H30" s="44" t="s">
        <v>406</v>
      </c>
      <c r="I30" s="31"/>
      <c r="J30" s="31"/>
      <c r="K30" s="32"/>
      <c r="L30" s="32"/>
      <c r="M30" s="124"/>
      <c r="N30" s="124"/>
      <c r="O30" s="124"/>
      <c r="P30" s="131"/>
      <c r="Q30" s="134" t="s">
        <v>495</v>
      </c>
      <c r="R30" s="131" t="e">
        <f>P29</f>
        <v>#REF!</v>
      </c>
      <c r="S30" s="131"/>
      <c r="T30" s="132"/>
      <c r="U30" s="132"/>
      <c r="V30" s="131" t="e">
        <f>CONCATENATE(IF(V29=#REF!,""&amp;#REF!&amp;"",IF(V29=#REF!,""&amp;#REF!&amp;"",IF(V29=#REF!,""&amp;#REF!&amp;"",IF(V29=#REF!,""&amp;#REF!&amp;"",IF(V29=#REF!,""&amp;#REF!&amp;"",IF(V29=#REF!,""&amp;#REF!&amp;"",IF(V29=#REF!,""&amp;#REF!&amp;"",IF(V29=#REF!,""&amp;#REF!&amp;"",IF(V29=#REF!,""&amp;#REF!&amp;"",IF(V29=#REF!,""&amp;#REF!&amp;"",IF(V29=#REF!,""&amp;#REF!&amp;"",IF(V29=#REF!,""&amp;#REF!&amp;"",IF(V29=#REF!,""&amp;#REF!&amp;"",IF(V29=#REF!,""&amp;#REF!&amp;"",IF(V29=#REF!,""&amp;#REF!&amp;"",IF(V29=#REF!,""&amp;#REF!&amp;"",IF(V29=#REF!,""&amp;#REF!&amp;"",IF(V29=#REF!,""&amp;#REF!&amp;"",IF(V29=#REF!,""&amp;#REF!&amp;"",))))))))))))))))))))</f>
        <v>#REF!</v>
      </c>
      <c r="W30" s="131" t="e">
        <f>CONCATENATE(IF(W29=#REF!,""&amp;#REF!&amp;"",IF(W29=#REF!,""&amp;#REF!&amp;"",IF(W29=#REF!,""&amp;#REF!&amp;"",IF(W29=#REF!,""&amp;#REF!&amp;"",IF(W29=#REF!,""&amp;#REF!&amp;"",IF(W29=#REF!,""&amp;#REF!&amp;"",IF(W29=#REF!,""&amp;#REF!&amp;"",IF(W29=#REF!,""&amp;#REF!&amp;"",IF(W29=#REF!,""&amp;#REF!&amp;"",IF(W29=#REF!,""&amp;#REF!&amp;"",IF(W29=#REF!,""&amp;#REF!&amp;"",IF(W29=#REF!,""&amp;#REF!&amp;"",IF(W29=#REF!,""&amp;#REF!&amp;"",IF(W29=#REF!,""&amp;#REF!&amp;"",IF(W29=#REF!,""&amp;#REF!&amp;"",IF(W29=#REF!,""&amp;#REF!&amp;"",IF(W29=#REF!,""&amp;#REF!&amp;"",IF(W29=#REF!,""&amp;#REF!&amp;"",IF(W29=#REF!,""&amp;#REF!&amp;"",))))))))))))))))))))</f>
        <v>#REF!</v>
      </c>
      <c r="X30" s="131" t="e">
        <f>CONCATENATE(IF(X29=#REF!,""&amp;#REF!&amp;"",IF(X29=#REF!,""&amp;#REF!&amp;"",IF(X29=#REF!,""&amp;#REF!&amp;"",IF(X29=#REF!,""&amp;#REF!&amp;"",IF(X29=#REF!,""&amp;#REF!&amp;"",IF(X29=#REF!,""&amp;#REF!&amp;"",IF(X29=#REF!,""&amp;#REF!&amp;"",IF(X29=#REF!,""&amp;#REF!&amp;"",IF(X29=#REF!,""&amp;#REF!&amp;"",IF(X29=#REF!,""&amp;#REF!&amp;"",IF(X29=#REF!,""&amp;#REF!&amp;"",IF(X29=#REF!,""&amp;#REF!&amp;"",IF(X29=#REF!,""&amp;#REF!&amp;"",IF(X29=#REF!,""&amp;#REF!&amp;"",IF(X29=#REF!,""&amp;#REF!&amp;"",IF(X29=#REF!,""&amp;#REF!&amp;"",IF(X29=#REF!,""&amp;#REF!&amp;"",IF(X29=#REF!,""&amp;#REF!&amp;"",IF(X29=#REF!,""&amp;#REF!&amp;"",))))))))))))))))))))</f>
        <v>#REF!</v>
      </c>
      <c r="Y30" s="131" t="e">
        <f>CONCATENATE(IF(Y29=#REF!,""&amp;#REF!&amp;"",IF(Y29=#REF!,""&amp;#REF!&amp;"",IF(Y29=#REF!,""&amp;#REF!&amp;"",IF(Y29=#REF!,""&amp;#REF!&amp;"",IF(Y29=#REF!,""&amp;#REF!&amp;"",IF(Y29=#REF!,""&amp;#REF!&amp;"",IF(Y29=#REF!,""&amp;#REF!&amp;"",IF(Y29=#REF!,""&amp;#REF!&amp;"",IF(Y29=#REF!,""&amp;#REF!&amp;"",IF(Y29=#REF!,""&amp;#REF!&amp;"",IF(Y29=#REF!,""&amp;#REF!&amp;"",IF(Y29=#REF!,""&amp;#REF!&amp;"",IF(Y29=#REF!,""&amp;#REF!&amp;"",IF(Y29=#REF!,""&amp;#REF!&amp;"",IF(Y29=#REF!,""&amp;#REF!&amp;"",IF(Y29=#REF!,""&amp;#REF!&amp;"",IF(Y29=#REF!,""&amp;#REF!&amp;"",IF(Y29=#REF!,""&amp;#REF!&amp;"",IF(Y29=#REF!,""&amp;#REF!&amp;"",))))))))))))))))))))</f>
        <v>#REF!</v>
      </c>
      <c r="Z30" s="131" t="e">
        <f>CONCATENATE(IF(Z29=#REF!,""&amp;#REF!&amp;"",IF(Z29=#REF!,""&amp;#REF!&amp;"",IF(Z29=#REF!,""&amp;#REF!&amp;"",IF(Z29=#REF!,""&amp;#REF!&amp;"",IF(Z29=#REF!,""&amp;#REF!&amp;"",IF(Z29=#REF!,""&amp;#REF!&amp;"",IF(Z29=#REF!,""&amp;#REF!&amp;"",IF(Z29=#REF!,""&amp;#REF!&amp;"",IF(Z29=#REF!,""&amp;#REF!&amp;"",IF(Z29=#REF!,""&amp;#REF!&amp;"",IF(Z29=#REF!,""&amp;#REF!&amp;"",IF(Z29=#REF!,""&amp;#REF!&amp;"",IF(Z29=#REF!,""&amp;#REF!&amp;"",IF(Z29=#REF!,""&amp;#REF!&amp;"",IF(Z29=#REF!,""&amp;#REF!&amp;"",IF(Z29=#REF!,""&amp;#REF!&amp;"",IF(Z29=#REF!,""&amp;#REF!&amp;"",IF(Z29=#REF!,""&amp;#REF!&amp;"",IF(Z29=#REF!,""&amp;#REF!&amp;"",))))))))))))))))))))</f>
        <v>#REF!</v>
      </c>
      <c r="AA30" s="131" t="e">
        <f>CONCATENATE(IF(AA29=#REF!,""&amp;#REF!&amp;"",IF(AA29=#REF!,""&amp;#REF!&amp;"",IF(AA29=#REF!,""&amp;#REF!&amp;"",IF(AA29=#REF!,""&amp;#REF!&amp;"",IF(AA29=#REF!,""&amp;#REF!&amp;"",IF(AA29=#REF!,""&amp;#REF!&amp;"",IF(AA29=#REF!,""&amp;#REF!&amp;"",IF(AA29=#REF!,""&amp;#REF!&amp;"",IF(AA29=#REF!,""&amp;#REF!&amp;"",IF(AA29=#REF!,""&amp;#REF!&amp;"",IF(AA29=#REF!,""&amp;#REF!&amp;"",IF(AA29=#REF!,""&amp;#REF!&amp;"",IF(AA29=#REF!,""&amp;#REF!&amp;"",IF(AA29=#REF!,""&amp;#REF!&amp;"",IF(AA29=#REF!,""&amp;#REF!&amp;"",IF(AA29=#REF!,""&amp;#REF!&amp;"",IF(AA29=#REF!,""&amp;#REF!&amp;"",IF(AA29=#REF!,""&amp;#REF!&amp;"",IF(AA29=#REF!,""&amp;#REF!&amp;"",))))))))))))))))))))</f>
        <v>#REF!</v>
      </c>
      <c r="AB30" s="131" t="e">
        <f>CONCATENATE(IF(AB29=#REF!,""&amp;#REF!&amp;"",IF(AB29=#REF!,""&amp;#REF!&amp;"",IF(AB29=#REF!,""&amp;#REF!&amp;"",IF(AB29=#REF!,""&amp;#REF!&amp;"",IF(AB29=#REF!,""&amp;#REF!&amp;"",IF(AB29=#REF!,""&amp;#REF!&amp;"",IF(AB29=#REF!,""&amp;#REF!&amp;"",IF(AB29=#REF!,""&amp;#REF!&amp;"",IF(AB29=#REF!,""&amp;#REF!&amp;"",IF(AB29=#REF!,""&amp;#REF!&amp;"",IF(AB29=#REF!,""&amp;#REF!&amp;"",IF(AB29=#REF!,""&amp;#REF!&amp;"",IF(AB29=#REF!,""&amp;#REF!&amp;"",IF(AB29=#REF!,""&amp;#REF!&amp;"",IF(AB29=#REF!,""&amp;#REF!&amp;"",IF(AB29=#REF!,""&amp;#REF!&amp;"",IF(AB29=#REF!,""&amp;#REF!&amp;"",IF(AB29=#REF!,""&amp;#REF!&amp;"",IF(AB29=#REF!,""&amp;#REF!&amp;"",))))))))))))))))))))</f>
        <v>#REF!</v>
      </c>
      <c r="AC30" s="131" t="e">
        <f>CONCATENATE(IF(AC29=#REF!,""&amp;#REF!&amp;"",IF(AC29=#REF!,""&amp;#REF!&amp;"",IF(AC29=#REF!,""&amp;#REF!&amp;"",IF(AC29=#REF!,""&amp;#REF!&amp;"",IF(AC29=#REF!,""&amp;#REF!&amp;"",IF(AC29=#REF!,""&amp;#REF!&amp;"",IF(AC29=#REF!,""&amp;#REF!&amp;"",IF(AC29=#REF!,""&amp;#REF!&amp;"",IF(AC29=#REF!,""&amp;#REF!&amp;"",IF(AC29=#REF!,""&amp;#REF!&amp;"",IF(AC29=#REF!,""&amp;#REF!&amp;"",IF(AC29=#REF!,""&amp;#REF!&amp;"",IF(AC29=#REF!,""&amp;#REF!&amp;"",IF(AC29=#REF!,""&amp;#REF!&amp;"",IF(AC29=#REF!,""&amp;#REF!&amp;"",IF(AC29=#REF!,""&amp;#REF!&amp;"",IF(AC29=#REF!,""&amp;#REF!&amp;"",IF(AC29=#REF!,""&amp;#REF!&amp;"",IF(AC29=#REF!,""&amp;#REF!&amp;"",))))))))))))))))))))</f>
        <v>#REF!</v>
      </c>
      <c r="AD30" s="131" t="e">
        <f>CONCATENATE(IF(AD29=#REF!,""&amp;#REF!&amp;"",IF(AD29=#REF!,""&amp;#REF!&amp;"",IF(AD29=#REF!,""&amp;#REF!&amp;"",IF(AD29=#REF!,""&amp;#REF!&amp;"",IF(AD29=#REF!,""&amp;#REF!&amp;"",IF(AD29=#REF!,""&amp;#REF!&amp;"",IF(AD29=#REF!,""&amp;#REF!&amp;"",IF(AD29=#REF!,""&amp;#REF!&amp;"",IF(AD29=#REF!,""&amp;#REF!&amp;"",IF(AD29=#REF!,""&amp;#REF!&amp;"",IF(AD29=#REF!,""&amp;#REF!&amp;"",IF(AD29=#REF!,""&amp;#REF!&amp;"",IF(AD29=#REF!,""&amp;#REF!&amp;"",IF(AD29=#REF!,""&amp;#REF!&amp;"",IF(AD29=#REF!,""&amp;#REF!&amp;"",IF(AD29=#REF!,""&amp;#REF!&amp;"",IF(AD29=#REF!,""&amp;#REF!&amp;"",IF(AD29=#REF!,""&amp;#REF!&amp;"",IF(AD29=#REF!,""&amp;#REF!&amp;"",))))))))))))))))))))</f>
        <v>#REF!</v>
      </c>
      <c r="AE30" s="131" t="e">
        <f>CONCATENATE(IF(AE29=#REF!,""&amp;#REF!&amp;"",IF(AE29=#REF!,""&amp;#REF!&amp;"",IF(AE29=#REF!,""&amp;#REF!&amp;"",IF(AE29=#REF!,""&amp;#REF!&amp;"",IF(AE29=#REF!,""&amp;#REF!&amp;"",IF(AE29=#REF!,""&amp;#REF!&amp;"",IF(AE29=#REF!,""&amp;#REF!&amp;"",IF(AE29=#REF!,""&amp;#REF!&amp;"",IF(AE29=#REF!,""&amp;#REF!&amp;"",IF(AE29=#REF!,""&amp;#REF!&amp;"",IF(AE29=#REF!,""&amp;#REF!&amp;"",IF(AE29=#REF!,""&amp;#REF!&amp;"",IF(AE29=#REF!,""&amp;#REF!&amp;"",IF(AE29=#REF!,""&amp;#REF!&amp;"",IF(AE29=#REF!,""&amp;#REF!&amp;"",IF(AE29=#REF!,""&amp;#REF!&amp;"",IF(AE29=#REF!,""&amp;#REF!&amp;"",IF(AE29=#REF!,""&amp;#REF!&amp;"",IF(AE29=#REF!,""&amp;#REF!&amp;"",))))))))))))))))))))</f>
        <v>#REF!</v>
      </c>
      <c r="AF30" s="131" t="e">
        <f>CONCATENATE(IF(AF29=#REF!,""&amp;#REF!&amp;"",IF(AF29=#REF!,""&amp;#REF!&amp;"",IF(AF29=#REF!,""&amp;#REF!&amp;"",IF(AF29=#REF!,""&amp;#REF!&amp;"",IF(AF29=#REF!,""&amp;#REF!&amp;"",IF(AF29=#REF!,""&amp;#REF!&amp;"",IF(AF29=#REF!,""&amp;#REF!&amp;"",IF(AF29=#REF!,""&amp;#REF!&amp;"",IF(AF29=#REF!,""&amp;#REF!&amp;"",IF(AF29=#REF!,""&amp;#REF!&amp;"",IF(AF29=#REF!,""&amp;#REF!&amp;"",IF(AF29=#REF!,""&amp;#REF!&amp;"",IF(AF29=#REF!,""&amp;#REF!&amp;"",IF(AF29=#REF!,""&amp;#REF!&amp;"",IF(AF29=#REF!,""&amp;#REF!&amp;"",IF(AF29=#REF!,""&amp;#REF!&amp;"",IF(AF29=#REF!,""&amp;#REF!&amp;"",IF(AF29=#REF!,""&amp;#REF!&amp;"",IF(AF29=#REF!,""&amp;#REF!&amp;"",))))))))))))))))))))</f>
        <v>#REF!</v>
      </c>
      <c r="AG30" s="131" t="e">
        <f>CONCATENATE(IF(AG29=#REF!,""&amp;#REF!&amp;"",IF(AG29=#REF!,""&amp;#REF!&amp;"",IF(AG29=#REF!,""&amp;#REF!&amp;"",IF(AG29=#REF!,""&amp;#REF!&amp;"",IF(AG29=#REF!,""&amp;#REF!&amp;"",IF(AG29=#REF!,""&amp;#REF!&amp;"",IF(AG29=#REF!,""&amp;#REF!&amp;"",IF(AG29=#REF!,""&amp;#REF!&amp;"",IF(AG29=#REF!,""&amp;#REF!&amp;"",IF(AG29=#REF!,""&amp;#REF!&amp;"",IF(AG29=#REF!,""&amp;#REF!&amp;"",IF(AG29=#REF!,""&amp;#REF!&amp;"",IF(AG29=#REF!,""&amp;#REF!&amp;"",IF(AG29=#REF!,""&amp;#REF!&amp;"",IF(AG29=#REF!,""&amp;#REF!&amp;"",IF(AG29=#REF!,""&amp;#REF!&amp;"",IF(AG29=#REF!,""&amp;#REF!&amp;"",IF(AG29=#REF!,""&amp;#REF!&amp;"",IF(AG29=#REF!,""&amp;#REF!&amp;"",))))))))))))))))))))</f>
        <v>#REF!</v>
      </c>
    </row>
    <row r="31" spans="1:33" ht="18">
      <c r="A31" s="32"/>
      <c r="B31" s="32"/>
      <c r="C31" s="32"/>
      <c r="D31" s="32"/>
      <c r="E31" s="32"/>
      <c r="F31" s="31"/>
      <c r="G31" s="31"/>
      <c r="H31" s="32"/>
      <c r="I31" s="31"/>
      <c r="J31" s="32"/>
      <c r="K31" s="32"/>
      <c r="L31" s="32"/>
      <c r="M31" s="124"/>
      <c r="N31" s="124"/>
      <c r="O31" s="124"/>
      <c r="P31" s="129" t="e">
        <f>CONCATENATE(#REF!)</f>
        <v>#REF!</v>
      </c>
      <c r="Q31" s="134" t="s">
        <v>381</v>
      </c>
      <c r="R31" s="134"/>
      <c r="S31" s="129" t="e">
        <f>P31</f>
        <v>#REF!</v>
      </c>
      <c r="T31" s="130" t="e">
        <f>CONCATENATE(#REF!)</f>
        <v>#REF!</v>
      </c>
      <c r="U31" s="130" t="e">
        <f>CONCATENATE(#REF!)</f>
        <v>#REF!</v>
      </c>
      <c r="V31" s="129" t="str">
        <f>CONCATENATE(IF(ISERROR(VLOOKUP(P31,#REF!,15,0)),"",(VLOOKUP(P31,#REF!,15,0))))</f>
        <v/>
      </c>
      <c r="W31" s="129" t="str">
        <f>CONCATENATE(IF(ISERROR(VLOOKUP(P31,#REF!,16,0)),"",(VLOOKUP(P31,#REF!,16,0))))</f>
        <v/>
      </c>
      <c r="X31" s="129" t="str">
        <f>CONCATENATE(IF(ISERROR(VLOOKUP(P31,#REF!,17,0)),"",(VLOOKUP(P31,#REF!,17,0))))</f>
        <v/>
      </c>
      <c r="Y31" s="129" t="str">
        <f>CONCATENATE(IF(ISERROR(VLOOKUP(P31,#REF!,18,0)),"",(VLOOKUP(P31,#REF!,18,0))))</f>
        <v/>
      </c>
      <c r="Z31" s="129" t="str">
        <f>CONCATENATE(IF(ISERROR(VLOOKUP(P31,#REF!,19,0)),"",(VLOOKUP(P31,#REF!,19,0))))</f>
        <v/>
      </c>
      <c r="AA31" s="129" t="str">
        <f>CONCATENATE(IF(ISERROR(VLOOKUP(P31,#REF!,20,0)),"",(VLOOKUP(P31,#REF!,20,0))))</f>
        <v/>
      </c>
      <c r="AB31" s="129" t="str">
        <f>CONCATENATE(IF(ISERROR(VLOOKUP(P31,#REF!,21,0)),"",(VLOOKUP(P31,#REF!,21,0))))</f>
        <v/>
      </c>
      <c r="AC31" s="129" t="str">
        <f>CONCATENATE(IF(ISERROR(VLOOKUP(P31,#REF!,22,0)),"",(VLOOKUP(P31,#REF!,22,0))))</f>
        <v/>
      </c>
      <c r="AD31" s="129" t="str">
        <f>CONCATENATE(IF(ISERROR(VLOOKUP(P31,#REF!,23,0)),"",(VLOOKUP(P31,#REF!,23,0))))</f>
        <v/>
      </c>
      <c r="AE31" s="129" t="str">
        <f>CONCATENATE(IF(ISERROR(VLOOKUP(P31,#REF!,24,0)),"",(VLOOKUP(P31,#REF!,24,0))))</f>
        <v/>
      </c>
      <c r="AF31" s="129" t="str">
        <f>CONCATENATE(IF(ISERROR(VLOOKUP(P31,#REF!,25,0)),"",(VLOOKUP(P31,#REF!,25,0))))</f>
        <v/>
      </c>
      <c r="AG31" s="136"/>
    </row>
    <row r="32" spans="1:33" ht="18">
      <c r="A32" s="1500" t="s">
        <v>78</v>
      </c>
      <c r="B32" s="1500"/>
      <c r="C32" s="1500"/>
      <c r="D32" s="1500"/>
      <c r="E32" s="1500"/>
      <c r="F32" s="1500"/>
      <c r="G32" s="1500"/>
      <c r="H32" s="1500"/>
      <c r="I32" s="1500"/>
      <c r="J32" s="1500"/>
      <c r="K32" s="1500"/>
      <c r="L32" s="1500"/>
      <c r="M32" s="125"/>
      <c r="N32" s="125"/>
      <c r="O32" s="125"/>
      <c r="P32" s="131"/>
      <c r="Q32" s="134" t="s">
        <v>495</v>
      </c>
      <c r="R32" s="131" t="e">
        <f>P31</f>
        <v>#REF!</v>
      </c>
      <c r="S32" s="131"/>
      <c r="T32" s="130"/>
      <c r="U32" s="130"/>
      <c r="V32" s="131" t="e">
        <f>CONCATENATE(IF(V31=#REF!,""&amp;#REF!&amp;"",IF(V31=#REF!,""&amp;#REF!&amp;"",IF(V31=#REF!,""&amp;#REF!&amp;"",IF(V31=#REF!,""&amp;#REF!&amp;"",IF(V31=#REF!,""&amp;#REF!&amp;"",IF(V31=#REF!,""&amp;#REF!&amp;"",IF(V31=#REF!,""&amp;#REF!&amp;"",IF(V31=#REF!,""&amp;#REF!&amp;"",IF(V31=#REF!,""&amp;#REF!&amp;"",IF(V31=#REF!,""&amp;#REF!&amp;"",IF(V31=#REF!,""&amp;#REF!&amp;"",IF(V31=#REF!,""&amp;#REF!&amp;"",IF(V31=#REF!,""&amp;#REF!&amp;"",IF(V31=#REF!,""&amp;#REF!&amp;"",IF(V31=#REF!,""&amp;#REF!&amp;"",IF(V31=#REF!,""&amp;#REF!&amp;"",IF(V31=#REF!,""&amp;#REF!&amp;"",IF(V31=#REF!,""&amp;#REF!&amp;"",IF(V31=#REF!,""&amp;#REF!&amp;"",))))))))))))))))))))</f>
        <v>#REF!</v>
      </c>
      <c r="W32" s="131" t="e">
        <f>CONCATENATE(IF(W31=#REF!,""&amp;#REF!&amp;"",IF(W31=#REF!,""&amp;#REF!&amp;"",IF(W31=#REF!,""&amp;#REF!&amp;"",IF(W31=#REF!,""&amp;#REF!&amp;"",IF(W31=#REF!,""&amp;#REF!&amp;"",IF(W31=#REF!,""&amp;#REF!&amp;"",IF(W31=#REF!,""&amp;#REF!&amp;"",IF(W31=#REF!,""&amp;#REF!&amp;"",IF(W31=#REF!,""&amp;#REF!&amp;"",IF(W31=#REF!,""&amp;#REF!&amp;"",IF(W31=#REF!,""&amp;#REF!&amp;"",IF(W31=#REF!,""&amp;#REF!&amp;"",IF(W31=#REF!,""&amp;#REF!&amp;"",IF(W31=#REF!,""&amp;#REF!&amp;"",IF(W31=#REF!,""&amp;#REF!&amp;"",IF(W31=#REF!,""&amp;#REF!&amp;"",IF(W31=#REF!,""&amp;#REF!&amp;"",IF(W31=#REF!,""&amp;#REF!&amp;"",IF(W31=#REF!,""&amp;#REF!&amp;"",))))))))))))))))))))</f>
        <v>#REF!</v>
      </c>
      <c r="X32" s="131" t="e">
        <f>CONCATENATE(IF(X31=#REF!,""&amp;#REF!&amp;"",IF(X31=#REF!,""&amp;#REF!&amp;"",IF(X31=#REF!,""&amp;#REF!&amp;"",IF(X31=#REF!,""&amp;#REF!&amp;"",IF(X31=#REF!,""&amp;#REF!&amp;"",IF(X31=#REF!,""&amp;#REF!&amp;"",IF(X31=#REF!,""&amp;#REF!&amp;"",IF(X31=#REF!,""&amp;#REF!&amp;"",IF(X31=#REF!,""&amp;#REF!&amp;"",IF(X31=#REF!,""&amp;#REF!&amp;"",IF(X31=#REF!,""&amp;#REF!&amp;"",IF(X31=#REF!,""&amp;#REF!&amp;"",IF(X31=#REF!,""&amp;#REF!&amp;"",IF(X31=#REF!,""&amp;#REF!&amp;"",IF(X31=#REF!,""&amp;#REF!&amp;"",IF(X31=#REF!,""&amp;#REF!&amp;"",IF(X31=#REF!,""&amp;#REF!&amp;"",IF(X31=#REF!,""&amp;#REF!&amp;"",IF(X31=#REF!,""&amp;#REF!&amp;"",))))))))))))))))))))</f>
        <v>#REF!</v>
      </c>
      <c r="Y32" s="131" t="e">
        <f>CONCATENATE(IF(Y31=#REF!,""&amp;#REF!&amp;"",IF(Y31=#REF!,""&amp;#REF!&amp;"",IF(Y31=#REF!,""&amp;#REF!&amp;"",IF(Y31=#REF!,""&amp;#REF!&amp;"",IF(Y31=#REF!,""&amp;#REF!&amp;"",IF(Y31=#REF!,""&amp;#REF!&amp;"",IF(Y31=#REF!,""&amp;#REF!&amp;"",IF(Y31=#REF!,""&amp;#REF!&amp;"",IF(Y31=#REF!,""&amp;#REF!&amp;"",IF(Y31=#REF!,""&amp;#REF!&amp;"",IF(Y31=#REF!,""&amp;#REF!&amp;"",IF(Y31=#REF!,""&amp;#REF!&amp;"",IF(Y31=#REF!,""&amp;#REF!&amp;"",IF(Y31=#REF!,""&amp;#REF!&amp;"",IF(Y31=#REF!,""&amp;#REF!&amp;"",IF(Y31=#REF!,""&amp;#REF!&amp;"",IF(Y31=#REF!,""&amp;#REF!&amp;"",IF(Y31=#REF!,""&amp;#REF!&amp;"",IF(Y31=#REF!,""&amp;#REF!&amp;"",))))))))))))))))))))</f>
        <v>#REF!</v>
      </c>
      <c r="Z32" s="131" t="e">
        <f>CONCATENATE(IF(Z31=#REF!,""&amp;#REF!&amp;"",IF(Z31=#REF!,""&amp;#REF!&amp;"",IF(Z31=#REF!,""&amp;#REF!&amp;"",IF(Z31=#REF!,""&amp;#REF!&amp;"",IF(Z31=#REF!,""&amp;#REF!&amp;"",IF(Z31=#REF!,""&amp;#REF!&amp;"",IF(Z31=#REF!,""&amp;#REF!&amp;"",IF(Z31=#REF!,""&amp;#REF!&amp;"",IF(Z31=#REF!,""&amp;#REF!&amp;"",IF(Z31=#REF!,""&amp;#REF!&amp;"",IF(Z31=#REF!,""&amp;#REF!&amp;"",IF(Z31=#REF!,""&amp;#REF!&amp;"",IF(Z31=#REF!,""&amp;#REF!&amp;"",IF(Z31=#REF!,""&amp;#REF!&amp;"",IF(Z31=#REF!,""&amp;#REF!&amp;"",IF(Z31=#REF!,""&amp;#REF!&amp;"",IF(Z31=#REF!,""&amp;#REF!&amp;"",IF(Z31=#REF!,""&amp;#REF!&amp;"",IF(Z31=#REF!,""&amp;#REF!&amp;"",))))))))))))))))))))</f>
        <v>#REF!</v>
      </c>
      <c r="AA32" s="131" t="e">
        <f>CONCATENATE(IF(AA31=#REF!,""&amp;#REF!&amp;"",IF(AA31=#REF!,""&amp;#REF!&amp;"",IF(AA31=#REF!,""&amp;#REF!&amp;"",IF(AA31=#REF!,""&amp;#REF!&amp;"",IF(AA31=#REF!,""&amp;#REF!&amp;"",IF(AA31=#REF!,""&amp;#REF!&amp;"",IF(AA31=#REF!,""&amp;#REF!&amp;"",IF(AA31=#REF!,""&amp;#REF!&amp;"",IF(AA31=#REF!,""&amp;#REF!&amp;"",IF(AA31=#REF!,""&amp;#REF!&amp;"",IF(AA31=#REF!,""&amp;#REF!&amp;"",IF(AA31=#REF!,""&amp;#REF!&amp;"",IF(AA31=#REF!,""&amp;#REF!&amp;"",IF(AA31=#REF!,""&amp;#REF!&amp;"",IF(AA31=#REF!,""&amp;#REF!&amp;"",IF(AA31=#REF!,""&amp;#REF!&amp;"",IF(AA31=#REF!,""&amp;#REF!&amp;"",IF(AA31=#REF!,""&amp;#REF!&amp;"",IF(AA31=#REF!,""&amp;#REF!&amp;"",))))))))))))))))))))</f>
        <v>#REF!</v>
      </c>
      <c r="AB32" s="131" t="e">
        <f>CONCATENATE(IF(AB31=#REF!,""&amp;#REF!&amp;"",IF(AB31=#REF!,""&amp;#REF!&amp;"",IF(AB31=#REF!,""&amp;#REF!&amp;"",IF(AB31=#REF!,""&amp;#REF!&amp;"",IF(AB31=#REF!,""&amp;#REF!&amp;"",IF(AB31=#REF!,""&amp;#REF!&amp;"",IF(AB31=#REF!,""&amp;#REF!&amp;"",IF(AB31=#REF!,""&amp;#REF!&amp;"",IF(AB31=#REF!,""&amp;#REF!&amp;"",IF(AB31=#REF!,""&amp;#REF!&amp;"",IF(AB31=#REF!,""&amp;#REF!&amp;"",IF(AB31=#REF!,""&amp;#REF!&amp;"",IF(AB31=#REF!,""&amp;#REF!&amp;"",IF(AB31=#REF!,""&amp;#REF!&amp;"",IF(AB31=#REF!,""&amp;#REF!&amp;"",IF(AB31=#REF!,""&amp;#REF!&amp;"",IF(AB31=#REF!,""&amp;#REF!&amp;"",IF(AB31=#REF!,""&amp;#REF!&amp;"",IF(AB31=#REF!,""&amp;#REF!&amp;"",))))))))))))))))))))</f>
        <v>#REF!</v>
      </c>
      <c r="AC32" s="131" t="e">
        <f>CONCATENATE(IF(AC31=#REF!,""&amp;#REF!&amp;"",IF(AC31=#REF!,""&amp;#REF!&amp;"",IF(AC31=#REF!,""&amp;#REF!&amp;"",IF(AC31=#REF!,""&amp;#REF!&amp;"",IF(AC31=#REF!,""&amp;#REF!&amp;"",IF(AC31=#REF!,""&amp;#REF!&amp;"",IF(AC31=#REF!,""&amp;#REF!&amp;"",IF(AC31=#REF!,""&amp;#REF!&amp;"",IF(AC31=#REF!,""&amp;#REF!&amp;"",IF(AC31=#REF!,""&amp;#REF!&amp;"",IF(AC31=#REF!,""&amp;#REF!&amp;"",IF(AC31=#REF!,""&amp;#REF!&amp;"",IF(AC31=#REF!,""&amp;#REF!&amp;"",IF(AC31=#REF!,""&amp;#REF!&amp;"",IF(AC31=#REF!,""&amp;#REF!&amp;"",IF(AC31=#REF!,""&amp;#REF!&amp;"",IF(AC31=#REF!,""&amp;#REF!&amp;"",IF(AC31=#REF!,""&amp;#REF!&amp;"",IF(AC31=#REF!,""&amp;#REF!&amp;"",))))))))))))))))))))</f>
        <v>#REF!</v>
      </c>
      <c r="AD32" s="131" t="e">
        <f>CONCATENATE(IF(AD31=#REF!,""&amp;#REF!&amp;"",IF(AD31=#REF!,""&amp;#REF!&amp;"",IF(AD31=#REF!,""&amp;#REF!&amp;"",IF(AD31=#REF!,""&amp;#REF!&amp;"",IF(AD31=#REF!,""&amp;#REF!&amp;"",IF(AD31=#REF!,""&amp;#REF!&amp;"",IF(AD31=#REF!,""&amp;#REF!&amp;"",IF(AD31=#REF!,""&amp;#REF!&amp;"",IF(AD31=#REF!,""&amp;#REF!&amp;"",IF(AD31=#REF!,""&amp;#REF!&amp;"",IF(AD31=#REF!,""&amp;#REF!&amp;"",IF(AD31=#REF!,""&amp;#REF!&amp;"",IF(AD31=#REF!,""&amp;#REF!&amp;"",IF(AD31=#REF!,""&amp;#REF!&amp;"",IF(AD31=#REF!,""&amp;#REF!&amp;"",IF(AD31=#REF!,""&amp;#REF!&amp;"",IF(AD31=#REF!,""&amp;#REF!&amp;"",IF(AD31=#REF!,""&amp;#REF!&amp;"",IF(AD31=#REF!,""&amp;#REF!&amp;"",))))))))))))))))))))</f>
        <v>#REF!</v>
      </c>
      <c r="AE32" s="131" t="e">
        <f>CONCATENATE(IF(AE31=#REF!,""&amp;#REF!&amp;"",IF(AE31=#REF!,""&amp;#REF!&amp;"",IF(AE31=#REF!,""&amp;#REF!&amp;"",IF(AE31=#REF!,""&amp;#REF!&amp;"",IF(AE31=#REF!,""&amp;#REF!&amp;"",IF(AE31=#REF!,""&amp;#REF!&amp;"",IF(AE31=#REF!,""&amp;#REF!&amp;"",IF(AE31=#REF!,""&amp;#REF!&amp;"",IF(AE31=#REF!,""&amp;#REF!&amp;"",IF(AE31=#REF!,""&amp;#REF!&amp;"",IF(AE31=#REF!,""&amp;#REF!&amp;"",IF(AE31=#REF!,""&amp;#REF!&amp;"",IF(AE31=#REF!,""&amp;#REF!&amp;"",IF(AE31=#REF!,""&amp;#REF!&amp;"",IF(AE31=#REF!,""&amp;#REF!&amp;"",IF(AE31=#REF!,""&amp;#REF!&amp;"",IF(AE31=#REF!,""&amp;#REF!&amp;"",IF(AE31=#REF!,""&amp;#REF!&amp;"",IF(AE31=#REF!,""&amp;#REF!&amp;"",))))))))))))))))))))</f>
        <v>#REF!</v>
      </c>
      <c r="AF32" s="131" t="e">
        <f>CONCATENATE(IF(AF31=#REF!,""&amp;#REF!&amp;"",IF(AF31=#REF!,""&amp;#REF!&amp;"",IF(AF31=#REF!,""&amp;#REF!&amp;"",IF(AF31=#REF!,""&amp;#REF!&amp;"",IF(AF31=#REF!,""&amp;#REF!&amp;"",IF(AF31=#REF!,""&amp;#REF!&amp;"",IF(AF31=#REF!,""&amp;#REF!&amp;"",IF(AF31=#REF!,""&amp;#REF!&amp;"",IF(AF31=#REF!,""&amp;#REF!&amp;"",IF(AF31=#REF!,""&amp;#REF!&amp;"",IF(AF31=#REF!,""&amp;#REF!&amp;"",IF(AF31=#REF!,""&amp;#REF!&amp;"",IF(AF31=#REF!,""&amp;#REF!&amp;"",IF(AF31=#REF!,""&amp;#REF!&amp;"",IF(AF31=#REF!,""&amp;#REF!&amp;"",IF(AF31=#REF!,""&amp;#REF!&amp;"",IF(AF31=#REF!,""&amp;#REF!&amp;"",IF(AF31=#REF!,""&amp;#REF!&amp;"",IF(AF31=#REF!,""&amp;#REF!&amp;"",))))))))))))))))))))</f>
        <v>#REF!</v>
      </c>
      <c r="AG32" s="131" t="e">
        <f>CONCATENATE(IF(AG31=#REF!,""&amp;#REF!&amp;"",IF(AG31=#REF!,""&amp;#REF!&amp;"",IF(AG31=#REF!,""&amp;#REF!&amp;"",IF(AG31=#REF!,""&amp;#REF!&amp;"",IF(AG31=#REF!,""&amp;#REF!&amp;"",IF(AG31=#REF!,""&amp;#REF!&amp;"",IF(AG31=#REF!,""&amp;#REF!&amp;"",IF(AG31=#REF!,""&amp;#REF!&amp;"",IF(AG31=#REF!,""&amp;#REF!&amp;"",IF(AG31=#REF!,""&amp;#REF!&amp;"",IF(AG31=#REF!,""&amp;#REF!&amp;"",IF(AG31=#REF!,""&amp;#REF!&amp;"",IF(AG31=#REF!,""&amp;#REF!&amp;"",IF(AG31=#REF!,""&amp;#REF!&amp;"",IF(AG31=#REF!,""&amp;#REF!&amp;"",IF(AG31=#REF!,""&amp;#REF!&amp;"",IF(AG31=#REF!,""&amp;#REF!&amp;"",IF(AG31=#REF!,""&amp;#REF!&amp;"",IF(AG31=#REF!,""&amp;#REF!&amp;"",))))))))))))))))))))</f>
        <v>#REF!</v>
      </c>
    </row>
    <row r="33" spans="1:33" ht="18">
      <c r="A33" s="1500" t="s">
        <v>79</v>
      </c>
      <c r="B33" s="1500"/>
      <c r="C33" s="1500"/>
      <c r="D33" s="1500"/>
      <c r="E33" s="1500"/>
      <c r="F33" s="1500"/>
      <c r="G33" s="1500"/>
      <c r="H33" s="1500"/>
      <c r="I33" s="1500"/>
      <c r="J33" s="1500"/>
      <c r="K33" s="1500"/>
      <c r="L33" s="1500"/>
      <c r="M33" s="125"/>
      <c r="N33" s="125"/>
      <c r="O33" s="125"/>
      <c r="P33" s="129" t="e">
        <f>CONCATENATE(#REF!)</f>
        <v>#REF!</v>
      </c>
      <c r="Q33" s="134" t="s">
        <v>381</v>
      </c>
      <c r="R33" s="134"/>
      <c r="S33" s="129" t="e">
        <f>P33</f>
        <v>#REF!</v>
      </c>
      <c r="T33" s="130" t="e">
        <f>CONCATENATE(#REF!)</f>
        <v>#REF!</v>
      </c>
      <c r="U33" s="130" t="e">
        <f>CONCATENATE(#REF!)</f>
        <v>#REF!</v>
      </c>
      <c r="V33" s="129" t="str">
        <f>CONCATENATE(IF(ISERROR(VLOOKUP(P33,#REF!,15,0)),"",(VLOOKUP(P33,#REF!,15,0))))</f>
        <v/>
      </c>
      <c r="W33" s="129" t="str">
        <f>CONCATENATE(IF(ISERROR(VLOOKUP(P33,#REF!,16,0)),"",(VLOOKUP(P33,#REF!,16,0))))</f>
        <v/>
      </c>
      <c r="X33" s="129" t="str">
        <f>CONCATENATE(IF(ISERROR(VLOOKUP(P33,#REF!,17,0)),"",(VLOOKUP(P33,#REF!,17,0))))</f>
        <v/>
      </c>
      <c r="Y33" s="129" t="str">
        <f>CONCATENATE(IF(ISERROR(VLOOKUP(P33,#REF!,18,0)),"",(VLOOKUP(P33,#REF!,18,0))))</f>
        <v/>
      </c>
      <c r="Z33" s="129" t="str">
        <f>CONCATENATE(IF(ISERROR(VLOOKUP(P33,#REF!,19,0)),"",(VLOOKUP(P33,#REF!,19,0))))</f>
        <v/>
      </c>
      <c r="AA33" s="129" t="str">
        <f>CONCATENATE(IF(ISERROR(VLOOKUP(P33,#REF!,20,0)),"",(VLOOKUP(P33,#REF!,20,0))))</f>
        <v/>
      </c>
      <c r="AB33" s="129" t="str">
        <f>CONCATENATE(IF(ISERROR(VLOOKUP(P33,#REF!,21,0)),"",(VLOOKUP(P33,#REF!,21,0))))</f>
        <v/>
      </c>
      <c r="AC33" s="129" t="str">
        <f>CONCATENATE(IF(ISERROR(VLOOKUP(P33,#REF!,22,0)),"",(VLOOKUP(P33,#REF!,22,0))))</f>
        <v/>
      </c>
      <c r="AD33" s="129" t="str">
        <f>CONCATENATE(IF(ISERROR(VLOOKUP(P33,#REF!,23,0)),"",(VLOOKUP(P33,#REF!,23,0))))</f>
        <v/>
      </c>
      <c r="AE33" s="129" t="str">
        <f>CONCATENATE(IF(ISERROR(VLOOKUP(P33,#REF!,24,0)),"",(VLOOKUP(P33,#REF!,24,0))))</f>
        <v/>
      </c>
      <c r="AF33" s="129" t="str">
        <f>CONCATENATE(IF(ISERROR(VLOOKUP(P31,#REF!,25,0)),"",(VLOOKUP(P31,#REF!,25,0))))</f>
        <v/>
      </c>
      <c r="AG33" s="129" t="str">
        <f>CONCATENATE(IF(ISERROR(VLOOKUP(P33,#REF!,26,0)),"",(VLOOKUP(P33,#REF!,26,0))))</f>
        <v/>
      </c>
    </row>
    <row r="34" spans="1:33" ht="18">
      <c r="A34" s="30" t="s">
        <v>220</v>
      </c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125"/>
      <c r="N34" s="125"/>
      <c r="O34" s="125"/>
      <c r="P34" s="131"/>
      <c r="Q34" s="134" t="s">
        <v>495</v>
      </c>
      <c r="R34" s="131" t="e">
        <f>P33</f>
        <v>#REF!</v>
      </c>
      <c r="S34" s="131"/>
      <c r="T34" s="132"/>
      <c r="U34" s="132"/>
      <c r="V34" s="131" t="e">
        <f>CONCATENATE(IF(V33=#REF!,""&amp;#REF!&amp;"",IF(V33=#REF!,""&amp;#REF!&amp;"",IF(V33=#REF!,""&amp;#REF!&amp;"",IF(V33=#REF!,""&amp;#REF!&amp;"",IF(V33=#REF!,""&amp;#REF!&amp;"",IF(V33=#REF!,""&amp;#REF!&amp;"",IF(V33=#REF!,""&amp;#REF!&amp;"",IF(V33=#REF!,""&amp;#REF!&amp;"",IF(V33=#REF!,""&amp;#REF!&amp;"",IF(V33=#REF!,""&amp;#REF!&amp;"",IF(V33=#REF!,""&amp;#REF!&amp;"",IF(V33=#REF!,""&amp;#REF!&amp;"",IF(V33=#REF!,""&amp;#REF!&amp;"",IF(V33=#REF!,""&amp;#REF!&amp;"",IF(V33=#REF!,""&amp;#REF!&amp;"",IF(V33=#REF!,""&amp;#REF!&amp;"",IF(V33=#REF!,""&amp;#REF!&amp;"",IF(V33=#REF!,""&amp;#REF!&amp;"",IF(V33=#REF!,""&amp;#REF!&amp;"",))))))))))))))))))))</f>
        <v>#REF!</v>
      </c>
      <c r="W34" s="131" t="e">
        <f>CONCATENATE(IF(W33=#REF!,""&amp;#REF!&amp;"",IF(W33=#REF!,""&amp;#REF!&amp;"",IF(W33=#REF!,""&amp;#REF!&amp;"",IF(W33=#REF!,""&amp;#REF!&amp;"",IF(W33=#REF!,""&amp;#REF!&amp;"",IF(W33=#REF!,""&amp;#REF!&amp;"",IF(W33=#REF!,""&amp;#REF!&amp;"",IF(W33=#REF!,""&amp;#REF!&amp;"",IF(W33=#REF!,""&amp;#REF!&amp;"",IF(W33=#REF!,""&amp;#REF!&amp;"",IF(W33=#REF!,""&amp;#REF!&amp;"",IF(W33=#REF!,""&amp;#REF!&amp;"",IF(W33=#REF!,""&amp;#REF!&amp;"",IF(W33=#REF!,""&amp;#REF!&amp;"",IF(W33=#REF!,""&amp;#REF!&amp;"",IF(W33=#REF!,""&amp;#REF!&amp;"",IF(W33=#REF!,""&amp;#REF!&amp;"",IF(W33=#REF!,""&amp;#REF!&amp;"",IF(W33=#REF!,""&amp;#REF!&amp;"",))))))))))))))))))))</f>
        <v>#REF!</v>
      </c>
      <c r="X34" s="131" t="e">
        <f>CONCATENATE(IF(X33=#REF!,""&amp;#REF!&amp;"",IF(X33=#REF!,""&amp;#REF!&amp;"",IF(X33=#REF!,""&amp;#REF!&amp;"",IF(X33=#REF!,""&amp;#REF!&amp;"",IF(X33=#REF!,""&amp;#REF!&amp;"",IF(X33=#REF!,""&amp;#REF!&amp;"",IF(X33=#REF!,""&amp;#REF!&amp;"",IF(X33=#REF!,""&amp;#REF!&amp;"",IF(X33=#REF!,""&amp;#REF!&amp;"",IF(X33=#REF!,""&amp;#REF!&amp;"",IF(X33=#REF!,""&amp;#REF!&amp;"",IF(X33=#REF!,""&amp;#REF!&amp;"",IF(X33=#REF!,""&amp;#REF!&amp;"",IF(X33=#REF!,""&amp;#REF!&amp;"",IF(X33=#REF!,""&amp;#REF!&amp;"",IF(X33=#REF!,""&amp;#REF!&amp;"",IF(X33=#REF!,""&amp;#REF!&amp;"",IF(X33=#REF!,""&amp;#REF!&amp;"",IF(X33=#REF!,""&amp;#REF!&amp;"",))))))))))))))))))))</f>
        <v>#REF!</v>
      </c>
      <c r="Y34" s="131" t="e">
        <f>CONCATENATE(IF(Y33=#REF!,""&amp;#REF!&amp;"",IF(Y33=#REF!,""&amp;#REF!&amp;"",IF(Y33=#REF!,""&amp;#REF!&amp;"",IF(Y33=#REF!,""&amp;#REF!&amp;"",IF(Y33=#REF!,""&amp;#REF!&amp;"",IF(Y33=#REF!,""&amp;#REF!&amp;"",IF(Y33=#REF!,""&amp;#REF!&amp;"",IF(Y33=#REF!,""&amp;#REF!&amp;"",IF(Y33=#REF!,""&amp;#REF!&amp;"",IF(Y33=#REF!,""&amp;#REF!&amp;"",IF(Y33=#REF!,""&amp;#REF!&amp;"",IF(Y33=#REF!,""&amp;#REF!&amp;"",IF(Y33=#REF!,""&amp;#REF!&amp;"",IF(Y33=#REF!,""&amp;#REF!&amp;"",IF(Y33=#REF!,""&amp;#REF!&amp;"",IF(Y33=#REF!,""&amp;#REF!&amp;"",IF(Y33=#REF!,""&amp;#REF!&amp;"",IF(Y33=#REF!,""&amp;#REF!&amp;"",IF(Y33=#REF!,""&amp;#REF!&amp;"",))))))))))))))))))))</f>
        <v>#REF!</v>
      </c>
      <c r="Z34" s="131" t="e">
        <f>CONCATENATE(IF(Z33=#REF!,""&amp;#REF!&amp;"",IF(Z33=#REF!,""&amp;#REF!&amp;"",IF(Z33=#REF!,""&amp;#REF!&amp;"",IF(Z33=#REF!,""&amp;#REF!&amp;"",IF(Z33=#REF!,""&amp;#REF!&amp;"",IF(Z33=#REF!,""&amp;#REF!&amp;"",IF(Z33=#REF!,""&amp;#REF!&amp;"",IF(Z33=#REF!,""&amp;#REF!&amp;"",IF(Z33=#REF!,""&amp;#REF!&amp;"",IF(Z33=#REF!,""&amp;#REF!&amp;"",IF(Z33=#REF!,""&amp;#REF!&amp;"",IF(Z33=#REF!,""&amp;#REF!&amp;"",IF(Z33=#REF!,""&amp;#REF!&amp;"",IF(Z33=#REF!,""&amp;#REF!&amp;"",IF(Z33=#REF!,""&amp;#REF!&amp;"",IF(Z33=#REF!,""&amp;#REF!&amp;"",IF(Z33=#REF!,""&amp;#REF!&amp;"",IF(Z33=#REF!,""&amp;#REF!&amp;"",IF(Z33=#REF!,""&amp;#REF!&amp;"",))))))))))))))))))))</f>
        <v>#REF!</v>
      </c>
      <c r="AA34" s="131" t="e">
        <f>CONCATENATE(IF(AA33=#REF!,""&amp;#REF!&amp;"",IF(AA33=#REF!,""&amp;#REF!&amp;"",IF(AA33=#REF!,""&amp;#REF!&amp;"",IF(AA33=#REF!,""&amp;#REF!&amp;"",IF(AA33=#REF!,""&amp;#REF!&amp;"",IF(AA33=#REF!,""&amp;#REF!&amp;"",IF(AA33=#REF!,""&amp;#REF!&amp;"",IF(AA33=#REF!,""&amp;#REF!&amp;"",IF(AA33=#REF!,""&amp;#REF!&amp;"",IF(AA33=#REF!,""&amp;#REF!&amp;"",IF(AA33=#REF!,""&amp;#REF!&amp;"",IF(AA33=#REF!,""&amp;#REF!&amp;"",IF(AA33=#REF!,""&amp;#REF!&amp;"",IF(AA33=#REF!,""&amp;#REF!&amp;"",IF(AA33=#REF!,""&amp;#REF!&amp;"",IF(AA33=#REF!,""&amp;#REF!&amp;"",IF(AA33=#REF!,""&amp;#REF!&amp;"",IF(AA33=#REF!,""&amp;#REF!&amp;"",IF(AA33=#REF!,""&amp;#REF!&amp;"",))))))))))))))))))))</f>
        <v>#REF!</v>
      </c>
      <c r="AB34" s="131" t="e">
        <f>CONCATENATE(IF(AB33=#REF!,""&amp;#REF!&amp;"",IF(AB33=#REF!,""&amp;#REF!&amp;"",IF(AB33=#REF!,""&amp;#REF!&amp;"",IF(AB33=#REF!,""&amp;#REF!&amp;"",IF(AB33=#REF!,""&amp;#REF!&amp;"",IF(AB33=#REF!,""&amp;#REF!&amp;"",IF(AB33=#REF!,""&amp;#REF!&amp;"",IF(AB33=#REF!,""&amp;#REF!&amp;"",IF(AB33=#REF!,""&amp;#REF!&amp;"",IF(AB33=#REF!,""&amp;#REF!&amp;"",IF(AB33=#REF!,""&amp;#REF!&amp;"",IF(AB33=#REF!,""&amp;#REF!&amp;"",IF(AB33=#REF!,""&amp;#REF!&amp;"",IF(AB33=#REF!,""&amp;#REF!&amp;"",IF(AB33=#REF!,""&amp;#REF!&amp;"",IF(AB33=#REF!,""&amp;#REF!&amp;"",IF(AB33=#REF!,""&amp;#REF!&amp;"",IF(AB33=#REF!,""&amp;#REF!&amp;"",IF(AB33=#REF!,""&amp;#REF!&amp;"",))))))))))))))))))))</f>
        <v>#REF!</v>
      </c>
      <c r="AC34" s="131" t="e">
        <f>CONCATENATE(IF(AC33=#REF!,""&amp;#REF!&amp;"",IF(AC33=#REF!,""&amp;#REF!&amp;"",IF(AC33=#REF!,""&amp;#REF!&amp;"",IF(AC33=#REF!,""&amp;#REF!&amp;"",IF(AC33=#REF!,""&amp;#REF!&amp;"",IF(AC33=#REF!,""&amp;#REF!&amp;"",IF(AC33=#REF!,""&amp;#REF!&amp;"",IF(AC33=#REF!,""&amp;#REF!&amp;"",IF(AC33=#REF!,""&amp;#REF!&amp;"",IF(AC33=#REF!,""&amp;#REF!&amp;"",IF(AC33=#REF!,""&amp;#REF!&amp;"",IF(AC33=#REF!,""&amp;#REF!&amp;"",IF(AC33=#REF!,""&amp;#REF!&amp;"",IF(AC33=#REF!,""&amp;#REF!&amp;"",IF(AC33=#REF!,""&amp;#REF!&amp;"",IF(AC33=#REF!,""&amp;#REF!&amp;"",IF(AC33=#REF!,""&amp;#REF!&amp;"",IF(AC33=#REF!,""&amp;#REF!&amp;"",IF(AC33=#REF!,""&amp;#REF!&amp;"",))))))))))))))))))))</f>
        <v>#REF!</v>
      </c>
      <c r="AD34" s="131" t="e">
        <f>CONCATENATE(IF(AD33=#REF!,""&amp;#REF!&amp;"",IF(AD33=#REF!,""&amp;#REF!&amp;"",IF(AD33=#REF!,""&amp;#REF!&amp;"",IF(AD33=#REF!,""&amp;#REF!&amp;"",IF(AD33=#REF!,""&amp;#REF!&amp;"",IF(AD33=#REF!,""&amp;#REF!&amp;"",IF(AD33=#REF!,""&amp;#REF!&amp;"",IF(AD33=#REF!,""&amp;#REF!&amp;"",IF(AD33=#REF!,""&amp;#REF!&amp;"",IF(AD33=#REF!,""&amp;#REF!&amp;"",IF(AD33=#REF!,""&amp;#REF!&amp;"",IF(AD33=#REF!,""&amp;#REF!&amp;"",IF(AD33=#REF!,""&amp;#REF!&amp;"",IF(AD33=#REF!,""&amp;#REF!&amp;"",IF(AD33=#REF!,""&amp;#REF!&amp;"",IF(AD33=#REF!,""&amp;#REF!&amp;"",IF(AD33=#REF!,""&amp;#REF!&amp;"",IF(AD33=#REF!,""&amp;#REF!&amp;"",IF(AD33=#REF!,""&amp;#REF!&amp;"",))))))))))))))))))))</f>
        <v>#REF!</v>
      </c>
      <c r="AE34" s="131" t="e">
        <f>CONCATENATE(IF(AE33=#REF!,""&amp;#REF!&amp;"",IF(AE33=#REF!,""&amp;#REF!&amp;"",IF(AE33=#REF!,""&amp;#REF!&amp;"",IF(AE33=#REF!,""&amp;#REF!&amp;"",IF(AE33=#REF!,""&amp;#REF!&amp;"",IF(AE33=#REF!,""&amp;#REF!&amp;"",IF(AE33=#REF!,""&amp;#REF!&amp;"",IF(AE33=#REF!,""&amp;#REF!&amp;"",IF(AE33=#REF!,""&amp;#REF!&amp;"",IF(AE33=#REF!,""&amp;#REF!&amp;"",IF(AE33=#REF!,""&amp;#REF!&amp;"",IF(AE33=#REF!,""&amp;#REF!&amp;"",IF(AE33=#REF!,""&amp;#REF!&amp;"",IF(AE33=#REF!,""&amp;#REF!&amp;"",IF(AE33=#REF!,""&amp;#REF!&amp;"",IF(AE33=#REF!,""&amp;#REF!&amp;"",IF(AE33=#REF!,""&amp;#REF!&amp;"",IF(AE33=#REF!,""&amp;#REF!&amp;"",IF(AE33=#REF!,""&amp;#REF!&amp;"",))))))))))))))))))))</f>
        <v>#REF!</v>
      </c>
      <c r="AF34" s="131" t="e">
        <f>CONCATENATE(IF(AF33=#REF!,""&amp;#REF!&amp;"",IF(AF33=#REF!,""&amp;#REF!&amp;"",IF(AF33=#REF!,""&amp;#REF!&amp;"",IF(AF33=#REF!,""&amp;#REF!&amp;"",IF(AF33=#REF!,""&amp;#REF!&amp;"",IF(AF33=#REF!,""&amp;#REF!&amp;"",IF(AF33=#REF!,""&amp;#REF!&amp;"",IF(AF33=#REF!,""&amp;#REF!&amp;"",IF(AF33=#REF!,""&amp;#REF!&amp;"",IF(AF33=#REF!,""&amp;#REF!&amp;"",IF(AF33=#REF!,""&amp;#REF!&amp;"",IF(AF33=#REF!,""&amp;#REF!&amp;"",IF(AF33=#REF!,""&amp;#REF!&amp;"",IF(AF33=#REF!,""&amp;#REF!&amp;"",IF(AF33=#REF!,""&amp;#REF!&amp;"",IF(AF33=#REF!,""&amp;#REF!&amp;"",IF(AF33=#REF!,""&amp;#REF!&amp;"",IF(AF33=#REF!,""&amp;#REF!&amp;"",IF(AF33=#REF!,""&amp;#REF!&amp;"",))))))))))))))))))))</f>
        <v>#REF!</v>
      </c>
      <c r="AG34" s="131" t="e">
        <f>CONCATENATE(IF(AG33=#REF!,""&amp;#REF!&amp;"",IF(AG33=#REF!,""&amp;#REF!&amp;"",IF(AG33=#REF!,""&amp;#REF!&amp;"",IF(AG33=#REF!,""&amp;#REF!&amp;"",IF(AG33=#REF!,""&amp;#REF!&amp;"",IF(AG33=#REF!,""&amp;#REF!&amp;"",IF(AG33=#REF!,""&amp;#REF!&amp;"",IF(AG33=#REF!,""&amp;#REF!&amp;"",IF(AG33=#REF!,""&amp;#REF!&amp;"",IF(AG33=#REF!,""&amp;#REF!&amp;"",IF(AG33=#REF!,""&amp;#REF!&amp;"",IF(AG33=#REF!,""&amp;#REF!&amp;"",IF(AG33=#REF!,""&amp;#REF!&amp;"",IF(AG33=#REF!,""&amp;#REF!&amp;"",IF(AG33=#REF!,""&amp;#REF!&amp;"",IF(AG33=#REF!,""&amp;#REF!&amp;"",IF(AG33=#REF!,""&amp;#REF!&amp;"",IF(AG33=#REF!,""&amp;#REF!&amp;"",IF(AG33=#REF!,""&amp;#REF!&amp;"",))))))))))))))))))))</f>
        <v>#REF!</v>
      </c>
    </row>
    <row r="35" spans="1:33" ht="18">
      <c r="A35" s="30" t="s">
        <v>361</v>
      </c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125"/>
      <c r="N35" s="125"/>
      <c r="O35" s="125"/>
      <c r="P35" s="129" t="e">
        <f>CONCATENATE(#REF!)</f>
        <v>#REF!</v>
      </c>
      <c r="Q35" s="134" t="s">
        <v>381</v>
      </c>
      <c r="R35" s="134"/>
      <c r="S35" s="129" t="e">
        <f>P35</f>
        <v>#REF!</v>
      </c>
      <c r="T35" s="130" t="e">
        <f>CONCATENATE(#REF!)</f>
        <v>#REF!</v>
      </c>
      <c r="U35" s="130" t="e">
        <f>CONCATENATE(#REF!)</f>
        <v>#REF!</v>
      </c>
      <c r="V35" s="129" t="str">
        <f>CONCATENATE(IF(ISERROR(VLOOKUP(P35,#REF!,15,0)),"",(VLOOKUP(P35,#REF!,15,0))))</f>
        <v/>
      </c>
      <c r="W35" s="129" t="str">
        <f>CONCATENATE(IF(ISERROR(VLOOKUP(P35,#REF!,16,0)),"",(VLOOKUP(P35,#REF!,16,0))))</f>
        <v/>
      </c>
      <c r="X35" s="129" t="str">
        <f>CONCATENATE(IF(ISERROR(VLOOKUP(P35,#REF!,17,0)),"",(VLOOKUP(P35,#REF!,17,0))))</f>
        <v/>
      </c>
      <c r="Y35" s="129" t="str">
        <f>CONCATENATE(IF(ISERROR(VLOOKUP(P35,#REF!,18,0)),"",(VLOOKUP(P35,#REF!,18,0))))</f>
        <v/>
      </c>
      <c r="Z35" s="129" t="str">
        <f>CONCATENATE(IF(ISERROR(VLOOKUP(P35,#REF!,19,0)),"",(VLOOKUP(P35,#REF!,19,0))))</f>
        <v/>
      </c>
      <c r="AA35" s="129" t="str">
        <f>CONCATENATE(IF(ISERROR(VLOOKUP(P35,#REF!,20,0)),"",(VLOOKUP(P35,#REF!,20,0))))</f>
        <v/>
      </c>
      <c r="AB35" s="129" t="str">
        <f>CONCATENATE(IF(ISERROR(VLOOKUP(P35,#REF!,21,0)),"",(VLOOKUP(P35,#REF!,21,0))))</f>
        <v/>
      </c>
      <c r="AC35" s="129" t="str">
        <f>CONCATENATE(IF(ISERROR(VLOOKUP(P35,#REF!,22,0)),"",(VLOOKUP(P35,#REF!,22,0))))</f>
        <v/>
      </c>
      <c r="AD35" s="129" t="str">
        <f>CONCATENATE(IF(ISERROR(VLOOKUP(P35,#REF!,23,0)),"",(VLOOKUP(P35,#REF!,23,0))))</f>
        <v/>
      </c>
      <c r="AE35" s="129" t="str">
        <f>CONCATENATE(IF(ISERROR(VLOOKUP(P35,#REF!,24,0)),"",(VLOOKUP(P35,#REF!,24,0))))</f>
        <v/>
      </c>
      <c r="AF35" s="129" t="str">
        <f>CONCATENATE(IF(ISERROR(VLOOKUP(P35,#REF!,25,0)),"",(VLOOKUP(P35,#REF!,25,0))))</f>
        <v/>
      </c>
      <c r="AG35" s="133" t="e">
        <f>CONCATENATE(IF(AG33=#REF!,""&amp;#REF!&amp;"",IF(AG33=#REF!,""&amp;#REF!&amp;"",IF(AG33=#REF!,""&amp;#REF!&amp;"",IF(AG33=#REF!,""&amp;#REF!&amp;"",IF(AG33=#REF!,""&amp;#REF!&amp;"",IF(AG33=#REF!,""&amp;#REF!&amp;"",IF(AG33=#REF!,""&amp;#REF!&amp;"",IF(AG33=#REF!,""&amp;#REF!&amp;"",IF(AG33=#REF!,""&amp;#REF!&amp;"",IF(AG33=#REF!,""&amp;#REF!&amp;"",IF(AG33=#REF!,""&amp;#REF!&amp;"",IF(AG33=#REF!,""&amp;#REF!&amp;"",IF(AG33=#REF!,""&amp;#REF!&amp;"",IF(AG33=#REF!,""&amp;#REF!&amp;"",IF(AG33=#REF!,""&amp;#REF!&amp;"",IF(AG33=#REF!,""&amp;#REF!&amp;"",IF(AG33=#REF!,""&amp;#REF!&amp;"",IF(AG33=#REF!,""&amp;#REF!&amp;"",IF(AG33=#REF!,""&amp;#REF!&amp;"",))))))))))))))))))))</f>
        <v>#REF!</v>
      </c>
    </row>
    <row r="36" spans="1:33" ht="18.75" thickBot="1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125"/>
      <c r="N36" s="125"/>
      <c r="O36" s="125"/>
      <c r="P36" s="131"/>
      <c r="Q36" s="134" t="s">
        <v>495</v>
      </c>
      <c r="R36" s="131" t="e">
        <f>P35</f>
        <v>#REF!</v>
      </c>
      <c r="S36" s="131"/>
      <c r="T36" s="132"/>
      <c r="U36" s="132"/>
      <c r="V36" s="131" t="e">
        <f>CONCATENATE(IF(V35=#REF!,""&amp;#REF!&amp;"",IF(V35=#REF!,""&amp;#REF!&amp;"",IF(V35=#REF!,""&amp;#REF!&amp;"",IF(V35=#REF!,""&amp;#REF!&amp;"",IF(V35=#REF!,""&amp;#REF!&amp;"",IF(V35=#REF!,""&amp;#REF!&amp;"",IF(V35=#REF!,""&amp;#REF!&amp;"",IF(V35=#REF!,""&amp;#REF!&amp;"",IF(V35=#REF!,""&amp;#REF!&amp;"",IF(V35=#REF!,""&amp;#REF!&amp;"",IF(V35=#REF!,""&amp;#REF!&amp;"",IF(V35=#REF!,""&amp;#REF!&amp;"",IF(V35=#REF!,""&amp;#REF!&amp;"",IF(V35=#REF!,""&amp;#REF!&amp;"",IF(V35=#REF!,""&amp;#REF!&amp;"",IF(V35=#REF!,""&amp;#REF!&amp;"",IF(V35=#REF!,""&amp;#REF!&amp;"",IF(V35=#REF!,""&amp;#REF!&amp;"",IF(V35=#REF!,""&amp;#REF!&amp;"",))))))))))))))))))))</f>
        <v>#REF!</v>
      </c>
      <c r="W36" s="131" t="e">
        <f>CONCATENATE(IF(W35=#REF!,""&amp;#REF!&amp;"",IF(W35=#REF!,""&amp;#REF!&amp;"",IF(W35=#REF!,""&amp;#REF!&amp;"",IF(W35=#REF!,""&amp;#REF!&amp;"",IF(W35=#REF!,""&amp;#REF!&amp;"",IF(W35=#REF!,""&amp;#REF!&amp;"",IF(W35=#REF!,""&amp;#REF!&amp;"",IF(W35=#REF!,""&amp;#REF!&amp;"",IF(W35=#REF!,""&amp;#REF!&amp;"",IF(W35=#REF!,""&amp;#REF!&amp;"",IF(W35=#REF!,""&amp;#REF!&amp;"",IF(W35=#REF!,""&amp;#REF!&amp;"",IF(W35=#REF!,""&amp;#REF!&amp;"",IF(W35=#REF!,""&amp;#REF!&amp;"",IF(W35=#REF!,""&amp;#REF!&amp;"",IF(W35=#REF!,""&amp;#REF!&amp;"",IF(W35=#REF!,""&amp;#REF!&amp;"",IF(W35=#REF!,""&amp;#REF!&amp;"",IF(W35=#REF!,""&amp;#REF!&amp;"",))))))))))))))))))))</f>
        <v>#REF!</v>
      </c>
      <c r="X36" s="131" t="e">
        <f>CONCATENATE(IF(X35=#REF!,""&amp;#REF!&amp;"",IF(X35=#REF!,""&amp;#REF!&amp;"",IF(X35=#REF!,""&amp;#REF!&amp;"",IF(X35=#REF!,""&amp;#REF!&amp;"",IF(X35=#REF!,""&amp;#REF!&amp;"",IF(X35=#REF!,""&amp;#REF!&amp;"",IF(X35=#REF!,""&amp;#REF!&amp;"",IF(X35=#REF!,""&amp;#REF!&amp;"",IF(X35=#REF!,""&amp;#REF!&amp;"",IF(X35=#REF!,""&amp;#REF!&amp;"",IF(X35=#REF!,""&amp;#REF!&amp;"",IF(X35=#REF!,""&amp;#REF!&amp;"",IF(X35=#REF!,""&amp;#REF!&amp;"",IF(X35=#REF!,""&amp;#REF!&amp;"",IF(X35=#REF!,""&amp;#REF!&amp;"",IF(X35=#REF!,""&amp;#REF!&amp;"",IF(X35=#REF!,""&amp;#REF!&amp;"",IF(X35=#REF!,""&amp;#REF!&amp;"",IF(X35=#REF!,""&amp;#REF!&amp;"",))))))))))))))))))))</f>
        <v>#REF!</v>
      </c>
      <c r="Y36" s="131" t="e">
        <f>CONCATENATE(IF(Y35=#REF!,""&amp;#REF!&amp;"",IF(Y35=#REF!,""&amp;#REF!&amp;"",IF(Y35=#REF!,""&amp;#REF!&amp;"",IF(Y35=#REF!,""&amp;#REF!&amp;"",IF(Y35=#REF!,""&amp;#REF!&amp;"",IF(Y35=#REF!,""&amp;#REF!&amp;"",IF(Y35=#REF!,""&amp;#REF!&amp;"",IF(Y35=#REF!,""&amp;#REF!&amp;"",IF(Y35=#REF!,""&amp;#REF!&amp;"",IF(Y35=#REF!,""&amp;#REF!&amp;"",IF(Y35=#REF!,""&amp;#REF!&amp;"",IF(Y35=#REF!,""&amp;#REF!&amp;"",IF(Y35=#REF!,""&amp;#REF!&amp;"",IF(Y35=#REF!,""&amp;#REF!&amp;"",IF(Y35=#REF!,""&amp;#REF!&amp;"",IF(Y35=#REF!,""&amp;#REF!&amp;"",IF(Y35=#REF!,""&amp;#REF!&amp;"",IF(Y35=#REF!,""&amp;#REF!&amp;"",IF(Y35=#REF!,""&amp;#REF!&amp;"",))))))))))))))))))))</f>
        <v>#REF!</v>
      </c>
      <c r="Z36" s="131" t="e">
        <f>CONCATENATE(IF(Z35=#REF!,""&amp;#REF!&amp;"",IF(Z35=#REF!,""&amp;#REF!&amp;"",IF(Z35=#REF!,""&amp;#REF!&amp;"",IF(Z35=#REF!,""&amp;#REF!&amp;"",IF(Z35=#REF!,""&amp;#REF!&amp;"",IF(Z35=#REF!,""&amp;#REF!&amp;"",IF(Z35=#REF!,""&amp;#REF!&amp;"",IF(Z35=#REF!,""&amp;#REF!&amp;"",IF(Z35=#REF!,""&amp;#REF!&amp;"",IF(Z35=#REF!,""&amp;#REF!&amp;"",IF(Z35=#REF!,""&amp;#REF!&amp;"",IF(Z35=#REF!,""&amp;#REF!&amp;"",IF(Z35=#REF!,""&amp;#REF!&amp;"",IF(Z35=#REF!,""&amp;#REF!&amp;"",IF(Z35=#REF!,""&amp;#REF!&amp;"",IF(Z35=#REF!,""&amp;#REF!&amp;"",IF(Z35=#REF!,""&amp;#REF!&amp;"",IF(Z35=#REF!,""&amp;#REF!&amp;"",IF(Z35=#REF!,""&amp;#REF!&amp;"",))))))))))))))))))))</f>
        <v>#REF!</v>
      </c>
      <c r="AA36" s="131" t="e">
        <f>CONCATENATE(IF(AA35=#REF!,""&amp;#REF!&amp;"",IF(AA35=#REF!,""&amp;#REF!&amp;"",IF(AA35=#REF!,""&amp;#REF!&amp;"",IF(AA35=#REF!,""&amp;#REF!&amp;"",IF(AA35=#REF!,""&amp;#REF!&amp;"",IF(AA35=#REF!,""&amp;#REF!&amp;"",IF(AA35=#REF!,""&amp;#REF!&amp;"",IF(AA35=#REF!,""&amp;#REF!&amp;"",IF(AA35=#REF!,""&amp;#REF!&amp;"",IF(AA35=#REF!,""&amp;#REF!&amp;"",IF(AA35=#REF!,""&amp;#REF!&amp;"",IF(AA35=#REF!,""&amp;#REF!&amp;"",IF(AA35=#REF!,""&amp;#REF!&amp;"",IF(AA35=#REF!,""&amp;#REF!&amp;"",IF(AA35=#REF!,""&amp;#REF!&amp;"",IF(AA35=#REF!,""&amp;#REF!&amp;"",IF(AA35=#REF!,""&amp;#REF!&amp;"",IF(AA35=#REF!,""&amp;#REF!&amp;"",IF(AA35=#REF!,""&amp;#REF!&amp;"",))))))))))))))))))))</f>
        <v>#REF!</v>
      </c>
      <c r="AB36" s="131" t="e">
        <f>CONCATENATE(IF(AB35=#REF!,""&amp;#REF!&amp;"",IF(AB35=#REF!,""&amp;#REF!&amp;"",IF(AB35=#REF!,""&amp;#REF!&amp;"",IF(AB35=#REF!,""&amp;#REF!&amp;"",IF(AB35=#REF!,""&amp;#REF!&amp;"",IF(AB35=#REF!,""&amp;#REF!&amp;"",IF(AB35=#REF!,""&amp;#REF!&amp;"",IF(AB35=#REF!,""&amp;#REF!&amp;"",IF(AB35=#REF!,""&amp;#REF!&amp;"",IF(AB35=#REF!,""&amp;#REF!&amp;"",IF(AB35=#REF!,""&amp;#REF!&amp;"",IF(AB35=#REF!,""&amp;#REF!&amp;"",IF(AB35=#REF!,""&amp;#REF!&amp;"",IF(AB35=#REF!,""&amp;#REF!&amp;"",IF(AB35=#REF!,""&amp;#REF!&amp;"",IF(AB35=#REF!,""&amp;#REF!&amp;"",IF(AB35=#REF!,""&amp;#REF!&amp;"",IF(AB35=#REF!,""&amp;#REF!&amp;"",IF(AB35=#REF!,""&amp;#REF!&amp;"",))))))))))))))))))))</f>
        <v>#REF!</v>
      </c>
      <c r="AC36" s="131" t="e">
        <f>CONCATENATE(IF(AC35=#REF!,""&amp;#REF!&amp;"",IF(AC35=#REF!,""&amp;#REF!&amp;"",IF(AC35=#REF!,""&amp;#REF!&amp;"",IF(AC35=#REF!,""&amp;#REF!&amp;"",IF(AC35=#REF!,""&amp;#REF!&amp;"",IF(AC35=#REF!,""&amp;#REF!&amp;"",IF(AC35=#REF!,""&amp;#REF!&amp;"",IF(AC35=#REF!,""&amp;#REF!&amp;"",IF(AC35=#REF!,""&amp;#REF!&amp;"",IF(AC35=#REF!,""&amp;#REF!&amp;"",IF(AC35=#REF!,""&amp;#REF!&amp;"",IF(AC35=#REF!,""&amp;#REF!&amp;"",IF(AC35=#REF!,""&amp;#REF!&amp;"",IF(AC35=#REF!,""&amp;#REF!&amp;"",IF(AC35=#REF!,""&amp;#REF!&amp;"",IF(AC35=#REF!,""&amp;#REF!&amp;"",IF(AC35=#REF!,""&amp;#REF!&amp;"",IF(AC35=#REF!,""&amp;#REF!&amp;"",IF(AC35=#REF!,""&amp;#REF!&amp;"",))))))))))))))))))))</f>
        <v>#REF!</v>
      </c>
      <c r="AD36" s="131" t="e">
        <f>CONCATENATE(IF(AD35=#REF!,""&amp;#REF!&amp;"",IF(AD35=#REF!,""&amp;#REF!&amp;"",IF(AD35=#REF!,""&amp;#REF!&amp;"",IF(AD35=#REF!,""&amp;#REF!&amp;"",IF(AD35=#REF!,""&amp;#REF!&amp;"",IF(AD35=#REF!,""&amp;#REF!&amp;"",IF(AD35=#REF!,""&amp;#REF!&amp;"",IF(AD35=#REF!,""&amp;#REF!&amp;"",IF(AD35=#REF!,""&amp;#REF!&amp;"",IF(AD35=#REF!,""&amp;#REF!&amp;"",IF(AD35=#REF!,""&amp;#REF!&amp;"",IF(AD35=#REF!,""&amp;#REF!&amp;"",IF(AD35=#REF!,""&amp;#REF!&amp;"",IF(AD35=#REF!,""&amp;#REF!&amp;"",IF(AD35=#REF!,""&amp;#REF!&amp;"",IF(AD35=#REF!,""&amp;#REF!&amp;"",IF(AD35=#REF!,""&amp;#REF!&amp;"",IF(AD35=#REF!,""&amp;#REF!&amp;"",IF(AD35=#REF!,""&amp;#REF!&amp;"",))))))))))))))))))))</f>
        <v>#REF!</v>
      </c>
      <c r="AE36" s="131" t="e">
        <f>CONCATENATE(IF(AE35=#REF!,""&amp;#REF!&amp;"",IF(AE35=#REF!,""&amp;#REF!&amp;"",IF(AE35=#REF!,""&amp;#REF!&amp;"",IF(AE35=#REF!,""&amp;#REF!&amp;"",IF(AE35=#REF!,""&amp;#REF!&amp;"",IF(AE35=#REF!,""&amp;#REF!&amp;"",IF(AE35=#REF!,""&amp;#REF!&amp;"",IF(AE35=#REF!,""&amp;#REF!&amp;"",IF(AE35=#REF!,""&amp;#REF!&amp;"",IF(AE35=#REF!,""&amp;#REF!&amp;"",IF(AE35=#REF!,""&amp;#REF!&amp;"",IF(AE35=#REF!,""&amp;#REF!&amp;"",IF(AE35=#REF!,""&amp;#REF!&amp;"",IF(AE35=#REF!,""&amp;#REF!&amp;"",IF(AE35=#REF!,""&amp;#REF!&amp;"",IF(AE35=#REF!,""&amp;#REF!&amp;"",IF(AE35=#REF!,""&amp;#REF!&amp;"",IF(AE35=#REF!,""&amp;#REF!&amp;"",IF(AE35=#REF!,""&amp;#REF!&amp;"",))))))))))))))))))))</f>
        <v>#REF!</v>
      </c>
      <c r="AF36" s="131" t="e">
        <f>CONCATENATE(IF(AF35=#REF!,""&amp;#REF!&amp;"",IF(AF35=#REF!,""&amp;#REF!&amp;"",IF(AF35=#REF!,""&amp;#REF!&amp;"",IF(AF35=#REF!,""&amp;#REF!&amp;"",IF(AF35=#REF!,""&amp;#REF!&amp;"",IF(AF35=#REF!,""&amp;#REF!&amp;"",IF(AF35=#REF!,""&amp;#REF!&amp;"",IF(AF35=#REF!,""&amp;#REF!&amp;"",IF(AF35=#REF!,""&amp;#REF!&amp;"",IF(AF35=#REF!,""&amp;#REF!&amp;"",IF(AF35=#REF!,""&amp;#REF!&amp;"",IF(AF35=#REF!,""&amp;#REF!&amp;"",IF(AF35=#REF!,""&amp;#REF!&amp;"",IF(AF35=#REF!,""&amp;#REF!&amp;"",IF(AF35=#REF!,""&amp;#REF!&amp;"",IF(AF35=#REF!,""&amp;#REF!&amp;"",IF(AF35=#REF!,""&amp;#REF!&amp;"",IF(AF35=#REF!,""&amp;#REF!&amp;"",IF(AF35=#REF!,""&amp;#REF!&amp;"",))))))))))))))))))))</f>
        <v>#REF!</v>
      </c>
      <c r="AG36" s="131" t="e">
        <f>CONCATENATE(IF(AG35=#REF!,""&amp;#REF!&amp;"",IF(AG35=#REF!,""&amp;#REF!&amp;"",IF(AG35=#REF!,""&amp;#REF!&amp;"",IF(AG35=#REF!,""&amp;#REF!&amp;"",IF(AG35=#REF!,""&amp;#REF!&amp;"",IF(AG35=#REF!,""&amp;#REF!&amp;"",IF(AG35=#REF!,""&amp;#REF!&amp;"",IF(AG35=#REF!,""&amp;#REF!&amp;"",IF(AG35=#REF!,""&amp;#REF!&amp;"",IF(AG35=#REF!,""&amp;#REF!&amp;"",IF(AG35=#REF!,""&amp;#REF!&amp;"",IF(AG35=#REF!,""&amp;#REF!&amp;"",IF(AG35=#REF!,""&amp;#REF!&amp;"",IF(AG35=#REF!,""&amp;#REF!&amp;"",IF(AG35=#REF!,""&amp;#REF!&amp;"",IF(AG35=#REF!,""&amp;#REF!&amp;"",IF(AG35=#REF!,""&amp;#REF!&amp;"",IF(AG35=#REF!,""&amp;#REF!&amp;"",IF(AG35=#REF!,""&amp;#REF!&amp;"",))))))))))))))))))))</f>
        <v>#REF!</v>
      </c>
    </row>
    <row r="37" spans="1:33" ht="24" thickBot="1">
      <c r="A37" s="31"/>
      <c r="B37" s="31"/>
      <c r="C37" s="1532" t="s">
        <v>362</v>
      </c>
      <c r="D37" s="1533"/>
      <c r="E37" s="1533"/>
      <c r="F37" s="1533"/>
      <c r="G37" s="1534"/>
      <c r="H37" s="1518" t="s">
        <v>0</v>
      </c>
      <c r="I37" s="1519"/>
      <c r="J37" s="31"/>
      <c r="K37" s="31"/>
      <c r="L37" s="31"/>
      <c r="M37" s="125"/>
      <c r="N37" s="125"/>
      <c r="O37" s="125"/>
      <c r="P37" s="129" t="e">
        <f>CONCATENATE(#REF!)</f>
        <v>#REF!</v>
      </c>
      <c r="Q37" s="134" t="s">
        <v>381</v>
      </c>
      <c r="R37" s="134"/>
      <c r="S37" s="129" t="e">
        <f>P37</f>
        <v>#REF!</v>
      </c>
      <c r="T37" s="130" t="e">
        <f>CONCATENATE(#REF!)</f>
        <v>#REF!</v>
      </c>
      <c r="U37" s="130" t="e">
        <f>CONCATENATE(#REF!)</f>
        <v>#REF!</v>
      </c>
      <c r="V37" s="129" t="str">
        <f>CONCATENATE(IF(ISERROR(VLOOKUP(P37,#REF!,15,0)),"",(VLOOKUP(P37,#REF!,15,0))))</f>
        <v/>
      </c>
      <c r="W37" s="129" t="str">
        <f>CONCATENATE(IF(ISERROR(VLOOKUP(P37,#REF!,16,0)),"",(VLOOKUP(P37,#REF!,16,0))))</f>
        <v/>
      </c>
      <c r="X37" s="129" t="str">
        <f>CONCATENATE(IF(ISERROR(VLOOKUP(P37,#REF!,17,0)),"",(VLOOKUP(P37,#REF!,17,0))))</f>
        <v/>
      </c>
      <c r="Y37" s="129" t="str">
        <f>CONCATENATE(IF(ISERROR(VLOOKUP(P37,#REF!,18,0)),"",(VLOOKUP(P37,#REF!,18,0))))</f>
        <v/>
      </c>
      <c r="Z37" s="129" t="str">
        <f>CONCATENATE(IF(ISERROR(VLOOKUP(P37,#REF!,19,0)),"",(VLOOKUP(P37,#REF!,19,0))))</f>
        <v/>
      </c>
      <c r="AA37" s="129" t="str">
        <f>CONCATENATE(IF(ISERROR(VLOOKUP(P37,#REF!,20,0)),"",(VLOOKUP(P37,#REF!,20,0))))</f>
        <v/>
      </c>
      <c r="AB37" s="129" t="str">
        <f>CONCATENATE(IF(ISERROR(VLOOKUP(P37,#REF!,21,0)),"",(VLOOKUP(P37,#REF!,21,0))))</f>
        <v/>
      </c>
      <c r="AC37" s="129" t="str">
        <f>CONCATENATE(IF(ISERROR(VLOOKUP(P37,#REF!,22,0)),"",(VLOOKUP(P37,#REF!,22,0))))</f>
        <v/>
      </c>
      <c r="AD37" s="129" t="str">
        <f>CONCATENATE(IF(ISERROR(VLOOKUP(P37,#REF!,23,0)),"",(VLOOKUP(P37,#REF!,23,0))))</f>
        <v/>
      </c>
      <c r="AE37" s="129" t="str">
        <f>CONCATENATE(IF(ISERROR(VLOOKUP(P37,#REF!,24,0)),"",(VLOOKUP(P37,#REF!,24,0))))</f>
        <v/>
      </c>
      <c r="AF37" s="129" t="str">
        <f>CONCATENATE(IF(ISERROR(VLOOKUP(P37,#REF!,25,0)),"",(VLOOKUP(P37,#REF!,25,0))))</f>
        <v/>
      </c>
      <c r="AG37" s="135"/>
    </row>
    <row r="38" spans="1:33" ht="18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125"/>
      <c r="N38" s="125"/>
      <c r="O38" s="125"/>
      <c r="P38" s="131"/>
      <c r="Q38" s="134" t="s">
        <v>495</v>
      </c>
      <c r="R38" s="131" t="e">
        <f>P37</f>
        <v>#REF!</v>
      </c>
      <c r="S38" s="131"/>
      <c r="T38" s="130"/>
      <c r="U38" s="130"/>
      <c r="V38" s="131" t="e">
        <f>CONCATENATE(IF(V37=#REF!,""&amp;#REF!&amp;"",IF(V37=#REF!,""&amp;#REF!&amp;"",IF(V37=#REF!,""&amp;#REF!&amp;"",IF(V37=#REF!,""&amp;#REF!&amp;"",IF(V37=#REF!,""&amp;#REF!&amp;"",IF(V37=#REF!,""&amp;#REF!&amp;"",IF(V37=#REF!,""&amp;#REF!&amp;"",IF(V37=#REF!,""&amp;#REF!&amp;"",IF(V37=#REF!,""&amp;#REF!&amp;"",IF(V37=#REF!,""&amp;#REF!&amp;"",IF(V37=#REF!,""&amp;#REF!&amp;"",IF(V37=#REF!,""&amp;#REF!&amp;"",IF(V37=#REF!,""&amp;#REF!&amp;"",IF(V37=#REF!,""&amp;#REF!&amp;"",IF(V37=#REF!,""&amp;#REF!&amp;"",IF(V37=#REF!,""&amp;#REF!&amp;"",IF(V37=#REF!,""&amp;#REF!&amp;"",IF(V37=#REF!,""&amp;#REF!&amp;"",IF(V37=#REF!,""&amp;#REF!&amp;"",))))))))))))))))))))</f>
        <v>#REF!</v>
      </c>
      <c r="W38" s="131" t="e">
        <f>CONCATENATE(IF(W37=#REF!,""&amp;#REF!&amp;"",IF(W37=#REF!,""&amp;#REF!&amp;"",IF(W37=#REF!,""&amp;#REF!&amp;"",IF(W37=#REF!,""&amp;#REF!&amp;"",IF(W37=#REF!,""&amp;#REF!&amp;"",IF(W37=#REF!,""&amp;#REF!&amp;"",IF(W37=#REF!,""&amp;#REF!&amp;"",IF(W37=#REF!,""&amp;#REF!&amp;"",IF(W37=#REF!,""&amp;#REF!&amp;"",IF(W37=#REF!,""&amp;#REF!&amp;"",IF(W37=#REF!,""&amp;#REF!&amp;"",IF(W37=#REF!,""&amp;#REF!&amp;"",IF(W37=#REF!,""&amp;#REF!&amp;"",IF(W37=#REF!,""&amp;#REF!&amp;"",IF(W37=#REF!,""&amp;#REF!&amp;"",IF(W37=#REF!,""&amp;#REF!&amp;"",IF(W37=#REF!,""&amp;#REF!&amp;"",IF(W37=#REF!,""&amp;#REF!&amp;"",IF(W37=#REF!,""&amp;#REF!&amp;"",))))))))))))))))))))</f>
        <v>#REF!</v>
      </c>
      <c r="X38" s="131" t="e">
        <f>CONCATENATE(IF(X37=#REF!,""&amp;#REF!&amp;"",IF(X37=#REF!,""&amp;#REF!&amp;"",IF(X37=#REF!,""&amp;#REF!&amp;"",IF(X37=#REF!,""&amp;#REF!&amp;"",IF(X37=#REF!,""&amp;#REF!&amp;"",IF(X37=#REF!,""&amp;#REF!&amp;"",IF(X37=#REF!,""&amp;#REF!&amp;"",IF(X37=#REF!,""&amp;#REF!&amp;"",IF(X37=#REF!,""&amp;#REF!&amp;"",IF(X37=#REF!,""&amp;#REF!&amp;"",IF(X37=#REF!,""&amp;#REF!&amp;"",IF(X37=#REF!,""&amp;#REF!&amp;"",IF(X37=#REF!,""&amp;#REF!&amp;"",IF(X37=#REF!,""&amp;#REF!&amp;"",IF(X37=#REF!,""&amp;#REF!&amp;"",IF(X37=#REF!,""&amp;#REF!&amp;"",IF(X37=#REF!,""&amp;#REF!&amp;"",IF(X37=#REF!,""&amp;#REF!&amp;"",IF(X37=#REF!,""&amp;#REF!&amp;"",))))))))))))))))))))</f>
        <v>#REF!</v>
      </c>
      <c r="Y38" s="131" t="e">
        <f>CONCATENATE(IF(Y37=#REF!,""&amp;#REF!&amp;"",IF(Y37=#REF!,""&amp;#REF!&amp;"",IF(Y37=#REF!,""&amp;#REF!&amp;"",IF(Y37=#REF!,""&amp;#REF!&amp;"",IF(Y37=#REF!,""&amp;#REF!&amp;"",IF(Y37=#REF!,""&amp;#REF!&amp;"",IF(Y37=#REF!,""&amp;#REF!&amp;"",IF(Y37=#REF!,""&amp;#REF!&amp;"",IF(Y37=#REF!,""&amp;#REF!&amp;"",IF(Y37=#REF!,""&amp;#REF!&amp;"",IF(Y37=#REF!,""&amp;#REF!&amp;"",IF(Y37=#REF!,""&amp;#REF!&amp;"",IF(Y37=#REF!,""&amp;#REF!&amp;"",IF(Y37=#REF!,""&amp;#REF!&amp;"",IF(Y37=#REF!,""&amp;#REF!&amp;"",IF(Y37=#REF!,""&amp;#REF!&amp;"",IF(Y37=#REF!,""&amp;#REF!&amp;"",IF(Y37=#REF!,""&amp;#REF!&amp;"",IF(Y37=#REF!,""&amp;#REF!&amp;"",))))))))))))))))))))</f>
        <v>#REF!</v>
      </c>
      <c r="Z38" s="131" t="e">
        <f>CONCATENATE(IF(Z37=#REF!,""&amp;#REF!&amp;"",IF(Z37=#REF!,""&amp;#REF!&amp;"",IF(Z37=#REF!,""&amp;#REF!&amp;"",IF(Z37=#REF!,""&amp;#REF!&amp;"",IF(Z37=#REF!,""&amp;#REF!&amp;"",IF(Z37=#REF!,""&amp;#REF!&amp;"",IF(Z37=#REF!,""&amp;#REF!&amp;"",IF(Z37=#REF!,""&amp;#REF!&amp;"",IF(Z37=#REF!,""&amp;#REF!&amp;"",IF(Z37=#REF!,""&amp;#REF!&amp;"",IF(Z37=#REF!,""&amp;#REF!&amp;"",IF(Z37=#REF!,""&amp;#REF!&amp;"",IF(Z37=#REF!,""&amp;#REF!&amp;"",IF(Z37=#REF!,""&amp;#REF!&amp;"",IF(Z37=#REF!,""&amp;#REF!&amp;"",IF(Z37=#REF!,""&amp;#REF!&amp;"",IF(Z37=#REF!,""&amp;#REF!&amp;"",IF(Z37=#REF!,""&amp;#REF!&amp;"",IF(Z37=#REF!,""&amp;#REF!&amp;"",))))))))))))))))))))</f>
        <v>#REF!</v>
      </c>
      <c r="AA38" s="131" t="e">
        <f>CONCATENATE(IF(AA37=#REF!,""&amp;#REF!&amp;"",IF(AA37=#REF!,""&amp;#REF!&amp;"",IF(AA37=#REF!,""&amp;#REF!&amp;"",IF(AA37=#REF!,""&amp;#REF!&amp;"",IF(AA37=#REF!,""&amp;#REF!&amp;"",IF(AA37=#REF!,""&amp;#REF!&amp;"",IF(AA37=#REF!,""&amp;#REF!&amp;"",IF(AA37=#REF!,""&amp;#REF!&amp;"",IF(AA37=#REF!,""&amp;#REF!&amp;"",IF(AA37=#REF!,""&amp;#REF!&amp;"",IF(AA37=#REF!,""&amp;#REF!&amp;"",IF(AA37=#REF!,""&amp;#REF!&amp;"",IF(AA37=#REF!,""&amp;#REF!&amp;"",IF(AA37=#REF!,""&amp;#REF!&amp;"",IF(AA37=#REF!,""&amp;#REF!&amp;"",IF(AA37=#REF!,""&amp;#REF!&amp;"",IF(AA37=#REF!,""&amp;#REF!&amp;"",IF(AA37=#REF!,""&amp;#REF!&amp;"",IF(AA37=#REF!,""&amp;#REF!&amp;"",))))))))))))))))))))</f>
        <v>#REF!</v>
      </c>
      <c r="AB38" s="131" t="e">
        <f>CONCATENATE(IF(AB37=#REF!,""&amp;#REF!&amp;"",IF(AB37=#REF!,""&amp;#REF!&amp;"",IF(AB37=#REF!,""&amp;#REF!&amp;"",IF(AB37=#REF!,""&amp;#REF!&amp;"",IF(AB37=#REF!,""&amp;#REF!&amp;"",IF(AB37=#REF!,""&amp;#REF!&amp;"",IF(AB37=#REF!,""&amp;#REF!&amp;"",IF(AB37=#REF!,""&amp;#REF!&amp;"",IF(AB37=#REF!,""&amp;#REF!&amp;"",IF(AB37=#REF!,""&amp;#REF!&amp;"",IF(AB37=#REF!,""&amp;#REF!&amp;"",IF(AB37=#REF!,""&amp;#REF!&amp;"",IF(AB37=#REF!,""&amp;#REF!&amp;"",IF(AB37=#REF!,""&amp;#REF!&amp;"",IF(AB37=#REF!,""&amp;#REF!&amp;"",IF(AB37=#REF!,""&amp;#REF!&amp;"",IF(AB37=#REF!,""&amp;#REF!&amp;"",IF(AB37=#REF!,""&amp;#REF!&amp;"",IF(AB37=#REF!,""&amp;#REF!&amp;"",))))))))))))))))))))</f>
        <v>#REF!</v>
      </c>
      <c r="AC38" s="131" t="e">
        <f>CONCATENATE(IF(AC37=#REF!,""&amp;#REF!&amp;"",IF(AC37=#REF!,""&amp;#REF!&amp;"",IF(AC37=#REF!,""&amp;#REF!&amp;"",IF(AC37=#REF!,""&amp;#REF!&amp;"",IF(AC37=#REF!,""&amp;#REF!&amp;"",IF(AC37=#REF!,""&amp;#REF!&amp;"",IF(AC37=#REF!,""&amp;#REF!&amp;"",IF(AC37=#REF!,""&amp;#REF!&amp;"",IF(AC37=#REF!,""&amp;#REF!&amp;"",IF(AC37=#REF!,""&amp;#REF!&amp;"",IF(AC37=#REF!,""&amp;#REF!&amp;"",IF(AC37=#REF!,""&amp;#REF!&amp;"",IF(AC37=#REF!,""&amp;#REF!&amp;"",IF(AC37=#REF!,""&amp;#REF!&amp;"",IF(AC37=#REF!,""&amp;#REF!&amp;"",IF(AC37=#REF!,""&amp;#REF!&amp;"",IF(AC37=#REF!,""&amp;#REF!&amp;"",IF(AC37=#REF!,""&amp;#REF!&amp;"",IF(AC37=#REF!,""&amp;#REF!&amp;"",))))))))))))))))))))</f>
        <v>#REF!</v>
      </c>
      <c r="AD38" s="131" t="e">
        <f>CONCATENATE(IF(AD37=#REF!,""&amp;#REF!&amp;"",IF(AD37=#REF!,""&amp;#REF!&amp;"",IF(AD37=#REF!,""&amp;#REF!&amp;"",IF(AD37=#REF!,""&amp;#REF!&amp;"",IF(AD37=#REF!,""&amp;#REF!&amp;"",IF(AD37=#REF!,""&amp;#REF!&amp;"",IF(AD37=#REF!,""&amp;#REF!&amp;"",IF(AD37=#REF!,""&amp;#REF!&amp;"",IF(AD37=#REF!,""&amp;#REF!&amp;"",IF(AD37=#REF!,""&amp;#REF!&amp;"",IF(AD37=#REF!,""&amp;#REF!&amp;"",IF(AD37=#REF!,""&amp;#REF!&amp;"",IF(AD37=#REF!,""&amp;#REF!&amp;"",IF(AD37=#REF!,""&amp;#REF!&amp;"",IF(AD37=#REF!,""&amp;#REF!&amp;"",IF(AD37=#REF!,""&amp;#REF!&amp;"",IF(AD37=#REF!,""&amp;#REF!&amp;"",IF(AD37=#REF!,""&amp;#REF!&amp;"",IF(AD37=#REF!,""&amp;#REF!&amp;"",))))))))))))))))))))</f>
        <v>#REF!</v>
      </c>
      <c r="AE38" s="131" t="e">
        <f>CONCATENATE(IF(AE37=#REF!,""&amp;#REF!&amp;"",IF(AE37=#REF!,""&amp;#REF!&amp;"",IF(AE37=#REF!,""&amp;#REF!&amp;"",IF(AE37=#REF!,""&amp;#REF!&amp;"",IF(AE37=#REF!,""&amp;#REF!&amp;"",IF(AE37=#REF!,""&amp;#REF!&amp;"",IF(AE37=#REF!,""&amp;#REF!&amp;"",IF(AE37=#REF!,""&amp;#REF!&amp;"",IF(AE37=#REF!,""&amp;#REF!&amp;"",IF(AE37=#REF!,""&amp;#REF!&amp;"",IF(AE37=#REF!,""&amp;#REF!&amp;"",IF(AE37=#REF!,""&amp;#REF!&amp;"",IF(AE37=#REF!,""&amp;#REF!&amp;"",IF(AE37=#REF!,""&amp;#REF!&amp;"",IF(AE37=#REF!,""&amp;#REF!&amp;"",IF(AE37=#REF!,""&amp;#REF!&amp;"",IF(AE37=#REF!,""&amp;#REF!&amp;"",IF(AE37=#REF!,""&amp;#REF!&amp;"",IF(AE37=#REF!,""&amp;#REF!&amp;"",))))))))))))))))))))</f>
        <v>#REF!</v>
      </c>
      <c r="AF38" s="131" t="e">
        <f>CONCATENATE(IF(AF37=#REF!,""&amp;#REF!&amp;"",IF(AF37=#REF!,""&amp;#REF!&amp;"",IF(AF37=#REF!,""&amp;#REF!&amp;"",IF(AF37=#REF!,""&amp;#REF!&amp;"",IF(AF37=#REF!,""&amp;#REF!&amp;"",IF(AF37=#REF!,""&amp;#REF!&amp;"",IF(AF37=#REF!,""&amp;#REF!&amp;"",IF(AF37=#REF!,""&amp;#REF!&amp;"",IF(AF37=#REF!,""&amp;#REF!&amp;"",IF(AF37=#REF!,""&amp;#REF!&amp;"",IF(AF37=#REF!,""&amp;#REF!&amp;"",IF(AF37=#REF!,""&amp;#REF!&amp;"",IF(AF37=#REF!,""&amp;#REF!&amp;"",IF(AF37=#REF!,""&amp;#REF!&amp;"",IF(AF37=#REF!,""&amp;#REF!&amp;"",IF(AF37=#REF!,""&amp;#REF!&amp;"",IF(AF37=#REF!,""&amp;#REF!&amp;"",IF(AF37=#REF!,""&amp;#REF!&amp;"",IF(AF37=#REF!,""&amp;#REF!&amp;"",))))))))))))))))))))</f>
        <v>#REF!</v>
      </c>
      <c r="AG38" s="131" t="e">
        <f>CONCATENATE(IF(AG37=#REF!,""&amp;#REF!&amp;"",IF(AG37=#REF!,""&amp;#REF!&amp;"",IF(AG37=#REF!,""&amp;#REF!&amp;"",IF(AG37=#REF!,""&amp;#REF!&amp;"",IF(AG37=#REF!,""&amp;#REF!&amp;"",IF(AG37=#REF!,""&amp;#REF!&amp;"",IF(AG37=#REF!,""&amp;#REF!&amp;"",IF(AG37=#REF!,""&amp;#REF!&amp;"",IF(AG37=#REF!,""&amp;#REF!&amp;"",IF(AG37=#REF!,""&amp;#REF!&amp;"",IF(AG37=#REF!,""&amp;#REF!&amp;"",IF(AG37=#REF!,""&amp;#REF!&amp;"",IF(AG37=#REF!,""&amp;#REF!&amp;"",IF(AG37=#REF!,""&amp;#REF!&amp;"",IF(AG37=#REF!,""&amp;#REF!&amp;"",IF(AG37=#REF!,""&amp;#REF!&amp;"",IF(AG37=#REF!,""&amp;#REF!&amp;"",IF(AG37=#REF!,""&amp;#REF!&amp;"",IF(AG37=#REF!,""&amp;#REF!&amp;"",))))))))))))))))))))</f>
        <v>#REF!</v>
      </c>
    </row>
    <row r="39" spans="1:33" ht="18">
      <c r="A39" s="30" t="s">
        <v>363</v>
      </c>
      <c r="B39" s="31"/>
      <c r="C39" s="1500" t="s">
        <v>272</v>
      </c>
      <c r="D39" s="1500"/>
      <c r="E39" s="1500"/>
      <c r="F39" s="31"/>
      <c r="G39" s="31" t="s">
        <v>364</v>
      </c>
      <c r="H39" s="31"/>
      <c r="I39" s="1500"/>
      <c r="J39" s="1500"/>
      <c r="K39" s="1500"/>
      <c r="L39" s="31"/>
      <c r="M39" s="125"/>
      <c r="N39" s="126" t="str">
        <f>H37</f>
        <v>3ع ت1</v>
      </c>
      <c r="O39" s="125"/>
      <c r="P39" s="129" t="e">
        <f>CONCATENATE(#REF!)</f>
        <v>#REF!</v>
      </c>
      <c r="Q39" s="134" t="s">
        <v>381</v>
      </c>
      <c r="R39" s="134"/>
      <c r="S39" s="129" t="e">
        <f>P39</f>
        <v>#REF!</v>
      </c>
      <c r="T39" s="130" t="e">
        <f>CONCATENATE(#REF!)</f>
        <v>#REF!</v>
      </c>
      <c r="U39" s="130" t="e">
        <f>CONCATENATE(#REF!)</f>
        <v>#REF!</v>
      </c>
      <c r="V39" s="129" t="str">
        <f>CONCATENATE(IF(ISERROR(VLOOKUP(P39,#REF!,15,0)),"",(VLOOKUP(P39,#REF!,15,0))))</f>
        <v/>
      </c>
      <c r="W39" s="129" t="str">
        <f>CONCATENATE(IF(ISERROR(VLOOKUP(P39,#REF!,16,0)),"",(VLOOKUP(P39,#REF!,16,0))))</f>
        <v/>
      </c>
      <c r="X39" s="129" t="str">
        <f>CONCATENATE(IF(ISERROR(VLOOKUP(P39,#REF!,17,0)),"",(VLOOKUP(P39,#REF!,17,0))))</f>
        <v/>
      </c>
      <c r="Y39" s="129" t="str">
        <f>CONCATENATE(IF(ISERROR(VLOOKUP(P39,#REF!,18,0)),"",(VLOOKUP(P39,#REF!,18,0))))</f>
        <v/>
      </c>
      <c r="Z39" s="129" t="str">
        <f>CONCATENATE(IF(ISERROR(VLOOKUP(P39,#REF!,19,0)),"",(VLOOKUP(P39,#REF!,19,0))))</f>
        <v/>
      </c>
      <c r="AA39" s="129" t="str">
        <f>CONCATENATE(IF(ISERROR(VLOOKUP(P39,#REF!,20,0)),"",(VLOOKUP(P39,#REF!,20,0))))</f>
        <v/>
      </c>
      <c r="AB39" s="129" t="str">
        <f>CONCATENATE(IF(ISERROR(VLOOKUP(P39,#REF!,21,0)),"",(VLOOKUP(P39,#REF!,21,0))))</f>
        <v/>
      </c>
      <c r="AC39" s="129" t="str">
        <f>CONCATENATE(IF(ISERROR(VLOOKUP(P39,#REF!,22,0)),"",(VLOOKUP(P39,#REF!,22,0))))</f>
        <v/>
      </c>
      <c r="AD39" s="129" t="str">
        <f>CONCATENATE(IF(ISERROR(VLOOKUP(P39,#REF!,23,0)),"",(VLOOKUP(P39,#REF!,23,0))))</f>
        <v/>
      </c>
      <c r="AE39" s="129" t="str">
        <f>CONCATENATE(IF(ISERROR(VLOOKUP(P39,#REF!,24,0)),"",(VLOOKUP(P39,#REF!,24,0))))</f>
        <v/>
      </c>
      <c r="AF39" s="129" t="str">
        <f>CONCATENATE(IF(ISERROR(VLOOKUP(P39,#REF!,25,0)),"",(VLOOKUP(P39,#REF!,25,0))))</f>
        <v/>
      </c>
      <c r="AG39" s="131" t="e">
        <f>CONCATENATE(IF(AG38=#REF!,""&amp;#REF!&amp;"",IF(AG38=#REF!,""&amp;#REF!&amp;"",IF(AG38=#REF!,""&amp;#REF!&amp;"",IF(AG38=#REF!,""&amp;#REF!&amp;"",IF(AG38=#REF!,""&amp;#REF!&amp;"",IF(AG38=#REF!,""&amp;#REF!&amp;"",IF(AG38=#REF!,""&amp;#REF!&amp;"",IF(AG38=#REF!,""&amp;#REF!&amp;"",IF(AG38=#REF!,""&amp;#REF!&amp;"",IF(AG38=#REF!,""&amp;#REF!&amp;"",IF(AG38=#REF!,""&amp;#REF!&amp;"",IF(AG38=#REF!,""&amp;#REF!&amp;"",IF(AG38=#REF!,""&amp;#REF!&amp;"",IF(AG38=#REF!,""&amp;#REF!&amp;"",IF(AG38=#REF!,""&amp;#REF!&amp;"",IF(AG38=#REF!,""&amp;#REF!&amp;"",)))))))))))))))))</f>
        <v>#REF!</v>
      </c>
    </row>
    <row r="40" spans="1:33" ht="18.75" thickBot="1">
      <c r="A40" s="30" t="s">
        <v>365</v>
      </c>
      <c r="B40" s="31"/>
      <c r="C40" s="31">
        <v>12</v>
      </c>
      <c r="D40" s="31"/>
      <c r="E40" s="31"/>
      <c r="F40" s="31"/>
      <c r="G40" s="31" t="s">
        <v>366</v>
      </c>
      <c r="H40" s="31"/>
      <c r="I40" s="31">
        <v>38</v>
      </c>
      <c r="J40" s="31"/>
      <c r="K40" s="31"/>
      <c r="L40" s="31"/>
      <c r="M40" s="125"/>
      <c r="N40" s="125"/>
      <c r="O40" s="125"/>
      <c r="P40" s="131"/>
      <c r="Q40" s="134" t="s">
        <v>495</v>
      </c>
      <c r="R40" s="131" t="e">
        <f>P39</f>
        <v>#REF!</v>
      </c>
      <c r="S40" s="131"/>
      <c r="T40" s="132"/>
      <c r="U40" s="132"/>
      <c r="V40" s="131" t="e">
        <f>CONCATENATE(IF(V39=#REF!,""&amp;#REF!&amp;"",IF(V39=#REF!,""&amp;#REF!&amp;"",IF(V39=#REF!,""&amp;#REF!&amp;"",IF(V39=#REF!,""&amp;#REF!&amp;"",IF(V39=#REF!,""&amp;#REF!&amp;"",IF(V39=#REF!,""&amp;#REF!&amp;"",IF(V39=#REF!,""&amp;#REF!&amp;"",IF(V39=#REF!,""&amp;#REF!&amp;"",IF(V39=#REF!,""&amp;#REF!&amp;"",IF(V39=#REF!,""&amp;#REF!&amp;"",IF(V39=#REF!,""&amp;#REF!&amp;"",IF(V39=#REF!,""&amp;#REF!&amp;"",IF(V39=#REF!,""&amp;#REF!&amp;"",IF(V39=#REF!,""&amp;#REF!&amp;"",IF(V39=#REF!,""&amp;#REF!&amp;"",IF(V39=#REF!,""&amp;#REF!&amp;"",IF(V39=#REF!,""&amp;#REF!&amp;"",IF(V39=#REF!,""&amp;#REF!&amp;"",IF(V39=#REF!,""&amp;#REF!&amp;"",))))))))))))))))))))</f>
        <v>#REF!</v>
      </c>
      <c r="W40" s="131" t="e">
        <f>CONCATENATE(IF(W39=#REF!,""&amp;#REF!&amp;"",IF(W39=#REF!,""&amp;#REF!&amp;"",IF(W39=#REF!,""&amp;#REF!&amp;"",IF(W39=#REF!,""&amp;#REF!&amp;"",IF(W39=#REF!,""&amp;#REF!&amp;"",IF(W39=#REF!,""&amp;#REF!&amp;"",IF(W39=#REF!,""&amp;#REF!&amp;"",IF(W39=#REF!,""&amp;#REF!&amp;"",IF(W39=#REF!,""&amp;#REF!&amp;"",IF(W39=#REF!,""&amp;#REF!&amp;"",IF(W39=#REF!,""&amp;#REF!&amp;"",IF(W39=#REF!,""&amp;#REF!&amp;"",IF(W39=#REF!,""&amp;#REF!&amp;"",IF(W39=#REF!,""&amp;#REF!&amp;"",IF(W39=#REF!,""&amp;#REF!&amp;"",IF(W39=#REF!,""&amp;#REF!&amp;"",IF(W39=#REF!,""&amp;#REF!&amp;"",IF(W39=#REF!,""&amp;#REF!&amp;"",IF(W39=#REF!,""&amp;#REF!&amp;"",))))))))))))))))))))</f>
        <v>#REF!</v>
      </c>
      <c r="X40" s="131" t="e">
        <f>CONCATENATE(IF(X39=#REF!,""&amp;#REF!&amp;"",IF(X39=#REF!,""&amp;#REF!&amp;"",IF(X39=#REF!,""&amp;#REF!&amp;"",IF(X39=#REF!,""&amp;#REF!&amp;"",IF(X39=#REF!,""&amp;#REF!&amp;"",IF(X39=#REF!,""&amp;#REF!&amp;"",IF(X39=#REF!,""&amp;#REF!&amp;"",IF(X39=#REF!,""&amp;#REF!&amp;"",IF(X39=#REF!,""&amp;#REF!&amp;"",IF(X39=#REF!,""&amp;#REF!&amp;"",IF(X39=#REF!,""&amp;#REF!&amp;"",IF(X39=#REF!,""&amp;#REF!&amp;"",IF(X39=#REF!,""&amp;#REF!&amp;"",IF(X39=#REF!,""&amp;#REF!&amp;"",IF(X39=#REF!,""&amp;#REF!&amp;"",IF(X39=#REF!,""&amp;#REF!&amp;"",IF(X39=#REF!,""&amp;#REF!&amp;"",IF(X39=#REF!,""&amp;#REF!&amp;"",IF(X39=#REF!,""&amp;#REF!&amp;"",))))))))))))))))))))</f>
        <v>#REF!</v>
      </c>
      <c r="Y40" s="131" t="e">
        <f>CONCATENATE(IF(Y39=#REF!,""&amp;#REF!&amp;"",IF(Y39=#REF!,""&amp;#REF!&amp;"",IF(Y39=#REF!,""&amp;#REF!&amp;"",IF(Y39=#REF!,""&amp;#REF!&amp;"",IF(Y39=#REF!,""&amp;#REF!&amp;"",IF(Y39=#REF!,""&amp;#REF!&amp;"",IF(Y39=#REF!,""&amp;#REF!&amp;"",IF(Y39=#REF!,""&amp;#REF!&amp;"",IF(Y39=#REF!,""&amp;#REF!&amp;"",IF(Y39=#REF!,""&amp;#REF!&amp;"",IF(Y39=#REF!,""&amp;#REF!&amp;"",IF(Y39=#REF!,""&amp;#REF!&amp;"",IF(Y39=#REF!,""&amp;#REF!&amp;"",IF(Y39=#REF!,""&amp;#REF!&amp;"",IF(Y39=#REF!,""&amp;#REF!&amp;"",IF(Y39=#REF!,""&amp;#REF!&amp;"",IF(Y39=#REF!,""&amp;#REF!&amp;"",IF(Y39=#REF!,""&amp;#REF!&amp;"",IF(Y39=#REF!,""&amp;#REF!&amp;"",))))))))))))))))))))</f>
        <v>#REF!</v>
      </c>
      <c r="Z40" s="131" t="e">
        <f>CONCATENATE(IF(Z39=#REF!,""&amp;#REF!&amp;"",IF(Z39=#REF!,""&amp;#REF!&amp;"",IF(Z39=#REF!,""&amp;#REF!&amp;"",IF(Z39=#REF!,""&amp;#REF!&amp;"",IF(Z39=#REF!,""&amp;#REF!&amp;"",IF(Z39=#REF!,""&amp;#REF!&amp;"",IF(Z39=#REF!,""&amp;#REF!&amp;"",IF(Z39=#REF!,""&amp;#REF!&amp;"",IF(Z39=#REF!,""&amp;#REF!&amp;"",IF(Z39=#REF!,""&amp;#REF!&amp;"",IF(Z39=#REF!,""&amp;#REF!&amp;"",IF(Z39=#REF!,""&amp;#REF!&amp;"",IF(Z39=#REF!,""&amp;#REF!&amp;"",IF(Z39=#REF!,""&amp;#REF!&amp;"",IF(Z39=#REF!,""&amp;#REF!&amp;"",IF(Z39=#REF!,""&amp;#REF!&amp;"",IF(Z39=#REF!,""&amp;#REF!&amp;"",IF(Z39=#REF!,""&amp;#REF!&amp;"",IF(Z39=#REF!,""&amp;#REF!&amp;"",))))))))))))))))))))</f>
        <v>#REF!</v>
      </c>
      <c r="AA40" s="131" t="e">
        <f>CONCATENATE(IF(AA39=#REF!,""&amp;#REF!&amp;"",IF(AA39=#REF!,""&amp;#REF!&amp;"",IF(AA39=#REF!,""&amp;#REF!&amp;"",IF(AA39=#REF!,""&amp;#REF!&amp;"",IF(AA39=#REF!,""&amp;#REF!&amp;"",IF(AA39=#REF!,""&amp;#REF!&amp;"",IF(AA39=#REF!,""&amp;#REF!&amp;"",IF(AA39=#REF!,""&amp;#REF!&amp;"",IF(AA39=#REF!,""&amp;#REF!&amp;"",IF(AA39=#REF!,""&amp;#REF!&amp;"",IF(AA39=#REF!,""&amp;#REF!&amp;"",IF(AA39=#REF!,""&amp;#REF!&amp;"",IF(AA39=#REF!,""&amp;#REF!&amp;"",IF(AA39=#REF!,""&amp;#REF!&amp;"",IF(AA39=#REF!,""&amp;#REF!&amp;"",IF(AA39=#REF!,""&amp;#REF!&amp;"",IF(AA39=#REF!,""&amp;#REF!&amp;"",IF(AA39=#REF!,""&amp;#REF!&amp;"",IF(AA39=#REF!,""&amp;#REF!&amp;"",))))))))))))))))))))</f>
        <v>#REF!</v>
      </c>
      <c r="AB40" s="131" t="e">
        <f>CONCATENATE(IF(AB39=#REF!,""&amp;#REF!&amp;"",IF(AB39=#REF!,""&amp;#REF!&amp;"",IF(AB39=#REF!,""&amp;#REF!&amp;"",IF(AB39=#REF!,""&amp;#REF!&amp;"",IF(AB39=#REF!,""&amp;#REF!&amp;"",IF(AB39=#REF!,""&amp;#REF!&amp;"",IF(AB39=#REF!,""&amp;#REF!&amp;"",IF(AB39=#REF!,""&amp;#REF!&amp;"",IF(AB39=#REF!,""&amp;#REF!&amp;"",IF(AB39=#REF!,""&amp;#REF!&amp;"",IF(AB39=#REF!,""&amp;#REF!&amp;"",IF(AB39=#REF!,""&amp;#REF!&amp;"",IF(AB39=#REF!,""&amp;#REF!&amp;"",IF(AB39=#REF!,""&amp;#REF!&amp;"",IF(AB39=#REF!,""&amp;#REF!&amp;"",IF(AB39=#REF!,""&amp;#REF!&amp;"",IF(AB39=#REF!,""&amp;#REF!&amp;"",IF(AB39=#REF!,""&amp;#REF!&amp;"",IF(AB39=#REF!,""&amp;#REF!&amp;"",))))))))))))))))))))</f>
        <v>#REF!</v>
      </c>
      <c r="AC40" s="131" t="e">
        <f>CONCATENATE(IF(AC39=#REF!,""&amp;#REF!&amp;"",IF(AC39=#REF!,""&amp;#REF!&amp;"",IF(AC39=#REF!,""&amp;#REF!&amp;"",IF(AC39=#REF!,""&amp;#REF!&amp;"",IF(AC39=#REF!,""&amp;#REF!&amp;"",IF(AC39=#REF!,""&amp;#REF!&amp;"",IF(AC39=#REF!,""&amp;#REF!&amp;"",IF(AC39=#REF!,""&amp;#REF!&amp;"",IF(AC39=#REF!,""&amp;#REF!&amp;"",IF(AC39=#REF!,""&amp;#REF!&amp;"",IF(AC39=#REF!,""&amp;#REF!&amp;"",IF(AC39=#REF!,""&amp;#REF!&amp;"",IF(AC39=#REF!,""&amp;#REF!&amp;"",IF(AC39=#REF!,""&amp;#REF!&amp;"",IF(AC39=#REF!,""&amp;#REF!&amp;"",IF(AC39=#REF!,""&amp;#REF!&amp;"",IF(AC39=#REF!,""&amp;#REF!&amp;"",IF(AC39=#REF!,""&amp;#REF!&amp;"",IF(AC39=#REF!,""&amp;#REF!&amp;"",))))))))))))))))))))</f>
        <v>#REF!</v>
      </c>
      <c r="AD40" s="131" t="e">
        <f>CONCATENATE(IF(AD39=#REF!,""&amp;#REF!&amp;"",IF(AD39=#REF!,""&amp;#REF!&amp;"",IF(AD39=#REF!,""&amp;#REF!&amp;"",IF(AD39=#REF!,""&amp;#REF!&amp;"",IF(AD39=#REF!,""&amp;#REF!&amp;"",IF(AD39=#REF!,""&amp;#REF!&amp;"",IF(AD39=#REF!,""&amp;#REF!&amp;"",IF(AD39=#REF!,""&amp;#REF!&amp;"",IF(AD39=#REF!,""&amp;#REF!&amp;"",IF(AD39=#REF!,""&amp;#REF!&amp;"",IF(AD39=#REF!,""&amp;#REF!&amp;"",IF(AD39=#REF!,""&amp;#REF!&amp;"",IF(AD39=#REF!,""&amp;#REF!&amp;"",IF(AD39=#REF!,""&amp;#REF!&amp;"",IF(AD39=#REF!,""&amp;#REF!&amp;"",IF(AD39=#REF!,""&amp;#REF!&amp;"",IF(AD39=#REF!,""&amp;#REF!&amp;"",IF(AD39=#REF!,""&amp;#REF!&amp;"",IF(AD39=#REF!,""&amp;#REF!&amp;"",))))))))))))))))))))</f>
        <v>#REF!</v>
      </c>
      <c r="AE40" s="131" t="e">
        <f>CONCATENATE(IF(AE39=#REF!,""&amp;#REF!&amp;"",IF(AE39=#REF!,""&amp;#REF!&amp;"",IF(AE39=#REF!,""&amp;#REF!&amp;"",IF(AE39=#REF!,""&amp;#REF!&amp;"",IF(AE39=#REF!,""&amp;#REF!&amp;"",IF(AE39=#REF!,""&amp;#REF!&amp;"",IF(AE39=#REF!,""&amp;#REF!&amp;"",IF(AE39=#REF!,""&amp;#REF!&amp;"",IF(AE39=#REF!,""&amp;#REF!&amp;"",IF(AE39=#REF!,""&amp;#REF!&amp;"",IF(AE39=#REF!,""&amp;#REF!&amp;"",IF(AE39=#REF!,""&amp;#REF!&amp;"",IF(AE39=#REF!,""&amp;#REF!&amp;"",IF(AE39=#REF!,""&amp;#REF!&amp;"",IF(AE39=#REF!,""&amp;#REF!&amp;"",IF(AE39=#REF!,""&amp;#REF!&amp;"",IF(AE39=#REF!,""&amp;#REF!&amp;"",IF(AE39=#REF!,""&amp;#REF!&amp;"",IF(AE39=#REF!,""&amp;#REF!&amp;"",))))))))))))))))))))</f>
        <v>#REF!</v>
      </c>
      <c r="AF40" s="131" t="e">
        <f>CONCATENATE(IF(AF39=#REF!,""&amp;#REF!&amp;"",IF(AF39=#REF!,""&amp;#REF!&amp;"",IF(AF39=#REF!,""&amp;#REF!&amp;"",IF(AF39=#REF!,""&amp;#REF!&amp;"",IF(AF39=#REF!,""&amp;#REF!&amp;"",IF(AF39=#REF!,""&amp;#REF!&amp;"",IF(AF39=#REF!,""&amp;#REF!&amp;"",IF(AF39=#REF!,""&amp;#REF!&amp;"",IF(AF39=#REF!,""&amp;#REF!&amp;"",IF(AF39=#REF!,""&amp;#REF!&amp;"",IF(AF39=#REF!,""&amp;#REF!&amp;"",IF(AF39=#REF!,""&amp;#REF!&amp;"",IF(AF39=#REF!,""&amp;#REF!&amp;"",IF(AF39=#REF!,""&amp;#REF!&amp;"",IF(AF39=#REF!,""&amp;#REF!&amp;"",IF(AF39=#REF!,""&amp;#REF!&amp;"",IF(AF39=#REF!,""&amp;#REF!&amp;"",IF(AF39=#REF!,""&amp;#REF!&amp;"",IF(AF39=#REF!,""&amp;#REF!&amp;"",))))))))))))))))))))</f>
        <v>#REF!</v>
      </c>
      <c r="AG40" s="131" t="e">
        <f>CONCATENATE(IF(AG39=#REF!,""&amp;#REF!&amp;"",IF(AG39=#REF!,""&amp;#REF!&amp;"",IF(AG39=#REF!,""&amp;#REF!&amp;"",IF(AG39=#REF!,""&amp;#REF!&amp;"",IF(AG39=#REF!,""&amp;#REF!&amp;"",IF(AG39=#REF!,""&amp;#REF!&amp;"",IF(AG39=#REF!,""&amp;#REF!&amp;"",IF(AG39=#REF!,""&amp;#REF!&amp;"",IF(AG39=#REF!,""&amp;#REF!&amp;"",IF(AG39=#REF!,""&amp;#REF!&amp;"",IF(AG39=#REF!,""&amp;#REF!&amp;"",IF(AG39=#REF!,""&amp;#REF!&amp;"",IF(AG39=#REF!,""&amp;#REF!&amp;"",IF(AG39=#REF!,""&amp;#REF!&amp;"",IF(AG39=#REF!,""&amp;#REF!&amp;"",IF(AG39=#REF!,""&amp;#REF!&amp;"",IF(AG39=#REF!,""&amp;#REF!&amp;"",IF(AG39=#REF!,""&amp;#REF!&amp;"",IF(AG39=#REF!,""&amp;#REF!&amp;"",))))))))))))))))))))</f>
        <v>#REF!</v>
      </c>
    </row>
    <row r="41" spans="1:33" ht="17.25" thickTop="1" thickBot="1">
      <c r="A41" s="1510" t="s">
        <v>367</v>
      </c>
      <c r="B41" s="1511"/>
      <c r="C41" s="1551" t="s">
        <v>360</v>
      </c>
      <c r="D41" s="1511"/>
      <c r="E41" s="1551" t="s">
        <v>368</v>
      </c>
      <c r="F41" s="1511"/>
      <c r="G41" s="1551" t="s">
        <v>369</v>
      </c>
      <c r="H41" s="1511"/>
      <c r="I41" s="1551" t="s">
        <v>370</v>
      </c>
      <c r="J41" s="1511"/>
      <c r="K41" s="1551" t="s">
        <v>371</v>
      </c>
      <c r="L41" s="1552"/>
      <c r="M41" s="125"/>
      <c r="N41" s="125"/>
      <c r="O41" s="125"/>
      <c r="P41" s="129" t="e">
        <f>CONCATENATE(#REF!)</f>
        <v>#REF!</v>
      </c>
      <c r="Q41" s="134" t="s">
        <v>381</v>
      </c>
      <c r="R41" s="134"/>
      <c r="S41" s="129" t="e">
        <f>P41</f>
        <v>#REF!</v>
      </c>
      <c r="T41" s="130" t="e">
        <f>CONCATENATE(#REF!)</f>
        <v>#REF!</v>
      </c>
      <c r="U41" s="130" t="e">
        <f>CONCATENATE(#REF!)</f>
        <v>#REF!</v>
      </c>
      <c r="V41" s="129" t="str">
        <f>CONCATENATE(IF(ISERROR(VLOOKUP(P41,#REF!,15,0)),"",(VLOOKUP(P41,#REF!,15,0))))</f>
        <v/>
      </c>
      <c r="W41" s="129" t="str">
        <f>CONCATENATE(IF(ISERROR(VLOOKUP(P41,#REF!,16,0)),"",(VLOOKUP(P41,#REF!,16,0))))</f>
        <v/>
      </c>
      <c r="X41" s="129" t="str">
        <f>CONCATENATE(IF(ISERROR(VLOOKUP(P41,#REF!,17,0)),"",(VLOOKUP(P41,#REF!,17,0))))</f>
        <v/>
      </c>
      <c r="Y41" s="129" t="str">
        <f>CONCATENATE(IF(ISERROR(VLOOKUP(P41,#REF!,18,0)),"",(VLOOKUP(P41,#REF!,18,0))))</f>
        <v/>
      </c>
      <c r="Z41" s="129" t="str">
        <f>CONCATENATE(IF(ISERROR(VLOOKUP(P41,#REF!,19,0)),"",(VLOOKUP(P41,#REF!,19,0))))</f>
        <v/>
      </c>
      <c r="AA41" s="129" t="str">
        <f>CONCATENATE(IF(ISERROR(VLOOKUP(P41,#REF!,20,0)),"",(VLOOKUP(P41,#REF!,20,0))))</f>
        <v/>
      </c>
      <c r="AB41" s="129" t="str">
        <f>CONCATENATE(IF(ISERROR(VLOOKUP(P41,#REF!,21,0)),"",(VLOOKUP(P41,#REF!,21,0))))</f>
        <v/>
      </c>
      <c r="AC41" s="129" t="str">
        <f>CONCATENATE(IF(ISERROR(VLOOKUP(P41,#REF!,22,0)),"",(VLOOKUP(P41,#REF!,22,0))))</f>
        <v/>
      </c>
      <c r="AD41" s="129" t="str">
        <f>CONCATENATE(IF(ISERROR(VLOOKUP(P41,#REF!,23,0)),"",(VLOOKUP(P41,#REF!,23,0))))</f>
        <v/>
      </c>
      <c r="AE41" s="129" t="str">
        <f>CONCATENATE(IF(ISERROR(VLOOKUP(P41,#REF!,24,0)),"",(VLOOKUP(P41,#REF!,24,0))))</f>
        <v/>
      </c>
      <c r="AF41" s="129" t="str">
        <f>CONCATENATE(IF(ISERROR(VLOOKUP(P41,#REF!,25,0)),"",(VLOOKUP(P41,#REF!,25,0))))</f>
        <v/>
      </c>
      <c r="AG41" s="136"/>
    </row>
    <row r="42" spans="1:33" ht="17.25" thickTop="1" thickBot="1">
      <c r="A42" s="1528" t="s">
        <v>372</v>
      </c>
      <c r="B42" s="1550"/>
      <c r="C42" s="1504" t="s">
        <v>290</v>
      </c>
      <c r="D42" s="1505"/>
      <c r="E42" s="1504" t="s">
        <v>407</v>
      </c>
      <c r="F42" s="1505"/>
      <c r="G42" s="1504" t="s">
        <v>408</v>
      </c>
      <c r="H42" s="1505"/>
      <c r="I42" s="1504" t="s">
        <v>262</v>
      </c>
      <c r="J42" s="1505"/>
      <c r="K42" s="1504" t="s">
        <v>270</v>
      </c>
      <c r="L42" s="1505"/>
      <c r="M42" s="125"/>
      <c r="N42" s="125"/>
      <c r="O42" s="125"/>
      <c r="P42" s="131"/>
      <c r="Q42" s="134" t="s">
        <v>495</v>
      </c>
      <c r="R42" s="131" t="e">
        <f>P41</f>
        <v>#REF!</v>
      </c>
      <c r="S42" s="131"/>
      <c r="T42" s="132"/>
      <c r="U42" s="132"/>
      <c r="V42" s="131" t="e">
        <f>CONCATENATE(IF(V41=#REF!,""&amp;#REF!&amp;"",IF(V41=#REF!,""&amp;#REF!&amp;"",IF(V41=#REF!,""&amp;#REF!&amp;"",IF(V41=#REF!,""&amp;#REF!&amp;"",IF(V41=#REF!,""&amp;#REF!&amp;"",IF(V41=#REF!,""&amp;#REF!&amp;"",IF(V41=#REF!,""&amp;#REF!&amp;"",IF(V41=#REF!,""&amp;#REF!&amp;"",IF(V41=#REF!,""&amp;#REF!&amp;"",IF(V41=#REF!,""&amp;#REF!&amp;"",IF(V41=#REF!,""&amp;#REF!&amp;"",IF(V41=#REF!,""&amp;#REF!&amp;"",IF(V41=#REF!,""&amp;#REF!&amp;"",IF(V41=#REF!,""&amp;#REF!&amp;"",IF(V41=#REF!,""&amp;#REF!&amp;"",IF(V41=#REF!,""&amp;#REF!&amp;"",IF(V41=#REF!,""&amp;#REF!&amp;"",IF(V41=#REF!,""&amp;#REF!&amp;"",IF(V41=#REF!,""&amp;#REF!&amp;"",))))))))))))))))))))</f>
        <v>#REF!</v>
      </c>
      <c r="W42" s="131" t="e">
        <f>CONCATENATE(IF(W41=#REF!,""&amp;#REF!&amp;"",IF(W41=#REF!,""&amp;#REF!&amp;"",IF(W41=#REF!,""&amp;#REF!&amp;"",IF(W41=#REF!,""&amp;#REF!&amp;"",IF(W41=#REF!,""&amp;#REF!&amp;"",IF(W41=#REF!,""&amp;#REF!&amp;"",IF(W41=#REF!,""&amp;#REF!&amp;"",IF(W41=#REF!,""&amp;#REF!&amp;"",IF(W41=#REF!,""&amp;#REF!&amp;"",IF(W41=#REF!,""&amp;#REF!&amp;"",IF(W41=#REF!,""&amp;#REF!&amp;"",IF(W41=#REF!,""&amp;#REF!&amp;"",IF(W41=#REF!,""&amp;#REF!&amp;"",IF(W41=#REF!,""&amp;#REF!&amp;"",IF(W41=#REF!,""&amp;#REF!&amp;"",IF(W41=#REF!,""&amp;#REF!&amp;"",IF(W41=#REF!,""&amp;#REF!&amp;"",IF(W41=#REF!,""&amp;#REF!&amp;"",IF(W41=#REF!,""&amp;#REF!&amp;"",))))))))))))))))))))</f>
        <v>#REF!</v>
      </c>
      <c r="X42" s="131" t="e">
        <f>CONCATENATE(IF(X41=#REF!,""&amp;#REF!&amp;"",IF(X41=#REF!,""&amp;#REF!&amp;"",IF(X41=#REF!,""&amp;#REF!&amp;"",IF(X41=#REF!,""&amp;#REF!&amp;"",IF(X41=#REF!,""&amp;#REF!&amp;"",IF(X41=#REF!,""&amp;#REF!&amp;"",IF(X41=#REF!,""&amp;#REF!&amp;"",IF(X41=#REF!,""&amp;#REF!&amp;"",IF(X41=#REF!,""&amp;#REF!&amp;"",IF(X41=#REF!,""&amp;#REF!&amp;"",IF(X41=#REF!,""&amp;#REF!&amp;"",IF(X41=#REF!,""&amp;#REF!&amp;"",IF(X41=#REF!,""&amp;#REF!&amp;"",IF(X41=#REF!,""&amp;#REF!&amp;"",IF(X41=#REF!,""&amp;#REF!&amp;"",IF(X41=#REF!,""&amp;#REF!&amp;"",IF(X41=#REF!,""&amp;#REF!&amp;"",IF(X41=#REF!,""&amp;#REF!&amp;"",IF(X41=#REF!,""&amp;#REF!&amp;"",))))))))))))))))))))</f>
        <v>#REF!</v>
      </c>
      <c r="Y42" s="131" t="e">
        <f>CONCATENATE(IF(Y41=#REF!,""&amp;#REF!&amp;"",IF(Y41=#REF!,""&amp;#REF!&amp;"",IF(Y41=#REF!,""&amp;#REF!&amp;"",IF(Y41=#REF!,""&amp;#REF!&amp;"",IF(Y41=#REF!,""&amp;#REF!&amp;"",IF(Y41=#REF!,""&amp;#REF!&amp;"",IF(Y41=#REF!,""&amp;#REF!&amp;"",IF(Y41=#REF!,""&amp;#REF!&amp;"",IF(Y41=#REF!,""&amp;#REF!&amp;"",IF(Y41=#REF!,""&amp;#REF!&amp;"",IF(Y41=#REF!,""&amp;#REF!&amp;"",IF(Y41=#REF!,""&amp;#REF!&amp;"",IF(Y41=#REF!,""&amp;#REF!&amp;"",IF(Y41=#REF!,""&amp;#REF!&amp;"",IF(Y41=#REF!,""&amp;#REF!&amp;"",IF(Y41=#REF!,""&amp;#REF!&amp;"",IF(Y41=#REF!,""&amp;#REF!&amp;"",IF(Y41=#REF!,""&amp;#REF!&amp;"",IF(Y41=#REF!,""&amp;#REF!&amp;"",))))))))))))))))))))</f>
        <v>#REF!</v>
      </c>
      <c r="Z42" s="131" t="e">
        <f>CONCATENATE(IF(Z41=#REF!,""&amp;#REF!&amp;"",IF(Z41=#REF!,""&amp;#REF!&amp;"",IF(Z41=#REF!,""&amp;#REF!&amp;"",IF(Z41=#REF!,""&amp;#REF!&amp;"",IF(Z41=#REF!,""&amp;#REF!&amp;"",IF(Z41=#REF!,""&amp;#REF!&amp;"",IF(Z41=#REF!,""&amp;#REF!&amp;"",IF(Z41=#REF!,""&amp;#REF!&amp;"",IF(Z41=#REF!,""&amp;#REF!&amp;"",IF(Z41=#REF!,""&amp;#REF!&amp;"",IF(Z41=#REF!,""&amp;#REF!&amp;"",IF(Z41=#REF!,""&amp;#REF!&amp;"",IF(Z41=#REF!,""&amp;#REF!&amp;"",IF(Z41=#REF!,""&amp;#REF!&amp;"",IF(Z41=#REF!,""&amp;#REF!&amp;"",IF(Z41=#REF!,""&amp;#REF!&amp;"",IF(Z41=#REF!,""&amp;#REF!&amp;"",IF(Z41=#REF!,""&amp;#REF!&amp;"",IF(Z41=#REF!,""&amp;#REF!&amp;"",))))))))))))))))))))</f>
        <v>#REF!</v>
      </c>
      <c r="AA42" s="131" t="e">
        <f>CONCATENATE(IF(AA41=#REF!,""&amp;#REF!&amp;"",IF(AA41=#REF!,""&amp;#REF!&amp;"",IF(AA41=#REF!,""&amp;#REF!&amp;"",IF(AA41=#REF!,""&amp;#REF!&amp;"",IF(AA41=#REF!,""&amp;#REF!&amp;"",IF(AA41=#REF!,""&amp;#REF!&amp;"",IF(AA41=#REF!,""&amp;#REF!&amp;"",IF(AA41=#REF!,""&amp;#REF!&amp;"",IF(AA41=#REF!,""&amp;#REF!&amp;"",IF(AA41=#REF!,""&amp;#REF!&amp;"",IF(AA41=#REF!,""&amp;#REF!&amp;"",IF(AA41=#REF!,""&amp;#REF!&amp;"",IF(AA41=#REF!,""&amp;#REF!&amp;"",IF(AA41=#REF!,""&amp;#REF!&amp;"",IF(AA41=#REF!,""&amp;#REF!&amp;"",IF(AA41=#REF!,""&amp;#REF!&amp;"",IF(AA41=#REF!,""&amp;#REF!&amp;"",IF(AA41=#REF!,""&amp;#REF!&amp;"",IF(AA41=#REF!,""&amp;#REF!&amp;"",))))))))))))))))))))</f>
        <v>#REF!</v>
      </c>
      <c r="AB42" s="131" t="e">
        <f>CONCATENATE(IF(AB41=#REF!,""&amp;#REF!&amp;"",IF(AB41=#REF!,""&amp;#REF!&amp;"",IF(AB41=#REF!,""&amp;#REF!&amp;"",IF(AB41=#REF!,""&amp;#REF!&amp;"",IF(AB41=#REF!,""&amp;#REF!&amp;"",IF(AB41=#REF!,""&amp;#REF!&amp;"",IF(AB41=#REF!,""&amp;#REF!&amp;"",IF(AB41=#REF!,""&amp;#REF!&amp;"",IF(AB41=#REF!,""&amp;#REF!&amp;"",IF(AB41=#REF!,""&amp;#REF!&amp;"",IF(AB41=#REF!,""&amp;#REF!&amp;"",IF(AB41=#REF!,""&amp;#REF!&amp;"",IF(AB41=#REF!,""&amp;#REF!&amp;"",IF(AB41=#REF!,""&amp;#REF!&amp;"",IF(AB41=#REF!,""&amp;#REF!&amp;"",IF(AB41=#REF!,""&amp;#REF!&amp;"",IF(AB41=#REF!,""&amp;#REF!&amp;"",IF(AB41=#REF!,""&amp;#REF!&amp;"",IF(AB41=#REF!,""&amp;#REF!&amp;"",))))))))))))))))))))</f>
        <v>#REF!</v>
      </c>
      <c r="AC42" s="131" t="e">
        <f>CONCATENATE(IF(AC41=#REF!,""&amp;#REF!&amp;"",IF(AC41=#REF!,""&amp;#REF!&amp;"",IF(AC41=#REF!,""&amp;#REF!&amp;"",IF(AC41=#REF!,""&amp;#REF!&amp;"",IF(AC41=#REF!,""&amp;#REF!&amp;"",IF(AC41=#REF!,""&amp;#REF!&amp;"",IF(AC41=#REF!,""&amp;#REF!&amp;"",IF(AC41=#REF!,""&amp;#REF!&amp;"",IF(AC41=#REF!,""&amp;#REF!&amp;"",IF(AC41=#REF!,""&amp;#REF!&amp;"",IF(AC41=#REF!,""&amp;#REF!&amp;"",IF(AC41=#REF!,""&amp;#REF!&amp;"",IF(AC41=#REF!,""&amp;#REF!&amp;"",IF(AC41=#REF!,""&amp;#REF!&amp;"",IF(AC41=#REF!,""&amp;#REF!&amp;"",IF(AC41=#REF!,""&amp;#REF!&amp;"",IF(AC41=#REF!,""&amp;#REF!&amp;"",IF(AC41=#REF!,""&amp;#REF!&amp;"",IF(AC41=#REF!,""&amp;#REF!&amp;"",))))))))))))))))))))</f>
        <v>#REF!</v>
      </c>
      <c r="AD42" s="131" t="e">
        <f>CONCATENATE(IF(AD41=#REF!,""&amp;#REF!&amp;"",IF(AD41=#REF!,""&amp;#REF!&amp;"",IF(AD41=#REF!,""&amp;#REF!&amp;"",IF(AD41=#REF!,""&amp;#REF!&amp;"",IF(AD41=#REF!,""&amp;#REF!&amp;"",IF(AD41=#REF!,""&amp;#REF!&amp;"",IF(AD41=#REF!,""&amp;#REF!&amp;"",IF(AD41=#REF!,""&amp;#REF!&amp;"",IF(AD41=#REF!,""&amp;#REF!&amp;"",IF(AD41=#REF!,""&amp;#REF!&amp;"",IF(AD41=#REF!,""&amp;#REF!&amp;"",IF(AD41=#REF!,""&amp;#REF!&amp;"",IF(AD41=#REF!,""&amp;#REF!&amp;"",IF(AD41=#REF!,""&amp;#REF!&amp;"",IF(AD41=#REF!,""&amp;#REF!&amp;"",IF(AD41=#REF!,""&amp;#REF!&amp;"",IF(AD41=#REF!,""&amp;#REF!&amp;"",IF(AD41=#REF!,""&amp;#REF!&amp;"",IF(AD41=#REF!,""&amp;#REF!&amp;"",))))))))))))))))))))</f>
        <v>#REF!</v>
      </c>
      <c r="AE42" s="131" t="e">
        <f>CONCATENATE(IF(AE41=#REF!,""&amp;#REF!&amp;"",IF(AE41=#REF!,""&amp;#REF!&amp;"",IF(AE41=#REF!,""&amp;#REF!&amp;"",IF(AE41=#REF!,""&amp;#REF!&amp;"",IF(AE41=#REF!,""&amp;#REF!&amp;"",IF(AE41=#REF!,""&amp;#REF!&amp;"",IF(AE41=#REF!,""&amp;#REF!&amp;"",IF(AE41=#REF!,""&amp;#REF!&amp;"",IF(AE41=#REF!,""&amp;#REF!&amp;"",IF(AE41=#REF!,""&amp;#REF!&amp;"",IF(AE41=#REF!,""&amp;#REF!&amp;"",IF(AE41=#REF!,""&amp;#REF!&amp;"",IF(AE41=#REF!,""&amp;#REF!&amp;"",IF(AE41=#REF!,""&amp;#REF!&amp;"",IF(AE41=#REF!,""&amp;#REF!&amp;"",IF(AE41=#REF!,""&amp;#REF!&amp;"",IF(AE41=#REF!,""&amp;#REF!&amp;"",IF(AE41=#REF!,""&amp;#REF!&amp;"",IF(AE41=#REF!,""&amp;#REF!&amp;"",))))))))))))))))))))</f>
        <v>#REF!</v>
      </c>
      <c r="AF42" s="131" t="e">
        <f>CONCATENATE(IF(AF41=#REF!,""&amp;#REF!&amp;"",IF(AF41=#REF!,""&amp;#REF!&amp;"",IF(AF41=#REF!,""&amp;#REF!&amp;"",IF(AF41=#REF!,""&amp;#REF!&amp;"",IF(AF41=#REF!,""&amp;#REF!&amp;"",IF(AF41=#REF!,""&amp;#REF!&amp;"",IF(AF41=#REF!,""&amp;#REF!&amp;"",IF(AF41=#REF!,""&amp;#REF!&amp;"",IF(AF41=#REF!,""&amp;#REF!&amp;"",IF(AF41=#REF!,""&amp;#REF!&amp;"",IF(AF41=#REF!,""&amp;#REF!&amp;"",IF(AF41=#REF!,""&amp;#REF!&amp;"",IF(AF41=#REF!,""&amp;#REF!&amp;"",IF(AF41=#REF!,""&amp;#REF!&amp;"",IF(AF41=#REF!,""&amp;#REF!&amp;"",IF(AF41=#REF!,""&amp;#REF!&amp;"",IF(AF41=#REF!,""&amp;#REF!&amp;"",IF(AF41=#REF!,""&amp;#REF!&amp;"",IF(AF41=#REF!,""&amp;#REF!&amp;"",))))))))))))))))))))</f>
        <v>#REF!</v>
      </c>
      <c r="AG42" s="131" t="e">
        <f>CONCATENATE(IF(AG41=#REF!,""&amp;#REF!&amp;"",IF(AG41=#REF!,""&amp;#REF!&amp;"",IF(AG41=#REF!,""&amp;#REF!&amp;"",IF(AG41=#REF!,""&amp;#REF!&amp;"",IF(AG41=#REF!,""&amp;#REF!&amp;"",IF(AG41=#REF!,""&amp;#REF!&amp;"",IF(AG41=#REF!,""&amp;#REF!&amp;"",IF(AG41=#REF!,""&amp;#REF!&amp;"",IF(AG41=#REF!,""&amp;#REF!&amp;"",IF(AG41=#REF!,""&amp;#REF!&amp;"",IF(AG41=#REF!,""&amp;#REF!&amp;"",IF(AG41=#REF!,""&amp;#REF!&amp;"",IF(AG41=#REF!,""&amp;#REF!&amp;"",IF(AG41=#REF!,""&amp;#REF!&amp;"",IF(AG41=#REF!,""&amp;#REF!&amp;"",IF(AG41=#REF!,""&amp;#REF!&amp;"",IF(AG41=#REF!,""&amp;#REF!&amp;"",IF(AG41=#REF!,""&amp;#REF!&amp;"",IF(AG41=#REF!,""&amp;#REF!&amp;"",))))))))))))))))))))</f>
        <v>#REF!</v>
      </c>
    </row>
    <row r="43" spans="1:33" ht="17.25" thickTop="1" thickBot="1">
      <c r="A43" s="1528" t="s">
        <v>373</v>
      </c>
      <c r="B43" s="1550"/>
      <c r="C43" s="1504" t="s">
        <v>262</v>
      </c>
      <c r="D43" s="1505"/>
      <c r="E43" s="1504" t="s">
        <v>409</v>
      </c>
      <c r="F43" s="1505"/>
      <c r="G43" s="1504" t="s">
        <v>270</v>
      </c>
      <c r="H43" s="1505"/>
      <c r="I43" s="1504" t="s">
        <v>386</v>
      </c>
      <c r="J43" s="1505"/>
      <c r="K43" s="1504" t="s">
        <v>290</v>
      </c>
      <c r="L43" s="1505"/>
      <c r="M43" s="125"/>
      <c r="N43" s="125"/>
      <c r="O43" s="125"/>
      <c r="P43" s="129" t="e">
        <f>CONCATENATE(#REF!)</f>
        <v>#REF!</v>
      </c>
      <c r="Q43" s="134" t="s">
        <v>381</v>
      </c>
      <c r="R43" s="134"/>
      <c r="S43" s="129" t="e">
        <f>P43</f>
        <v>#REF!</v>
      </c>
      <c r="T43" s="130" t="e">
        <f>CONCATENATE(#REF!)</f>
        <v>#REF!</v>
      </c>
      <c r="U43" s="130" t="e">
        <f>CONCATENATE(#REF!)</f>
        <v>#REF!</v>
      </c>
      <c r="V43" s="129" t="str">
        <f>CONCATENATE(IF(ISERROR(VLOOKUP(P43,#REF!,15,0)),"",(VLOOKUP(P43,#REF!,15,0))))</f>
        <v/>
      </c>
      <c r="W43" s="129" t="str">
        <f>CONCATENATE(IF(ISERROR(VLOOKUP(P43,#REF!,16,0)),"",(VLOOKUP(P43,#REF!,16,0))))</f>
        <v/>
      </c>
      <c r="X43" s="129" t="str">
        <f>CONCATENATE(IF(ISERROR(VLOOKUP(P43,#REF!,17,0)),"",(VLOOKUP(P43,#REF!,17,0))))</f>
        <v/>
      </c>
      <c r="Y43" s="129" t="str">
        <f>CONCATENATE(IF(ISERROR(VLOOKUP(P43,#REF!,18,0)),"",(VLOOKUP(P43,#REF!,18,0))))</f>
        <v/>
      </c>
      <c r="Z43" s="129" t="str">
        <f>CONCATENATE(IF(ISERROR(VLOOKUP(P43,#REF!,19,0)),"",(VLOOKUP(P43,#REF!,19,0))))</f>
        <v/>
      </c>
      <c r="AA43" s="129" t="str">
        <f>CONCATENATE(IF(ISERROR(VLOOKUP(P43,#REF!,20,0)),"",(VLOOKUP(P43,#REF!,20,0))))</f>
        <v/>
      </c>
      <c r="AB43" s="129" t="str">
        <f>CONCATENATE(IF(ISERROR(VLOOKUP(P43,#REF!,21,0)),"",(VLOOKUP(P43,#REF!,21,0))))</f>
        <v/>
      </c>
      <c r="AC43" s="129" t="str">
        <f>CONCATENATE(IF(ISERROR(VLOOKUP(P43,#REF!,22,0)),"",(VLOOKUP(P43,#REF!,22,0))))</f>
        <v/>
      </c>
      <c r="AD43" s="129" t="str">
        <f>CONCATENATE(IF(ISERROR(VLOOKUP(P43,#REF!,23,0)),"",(VLOOKUP(P43,#REF!,23,0))))</f>
        <v/>
      </c>
      <c r="AE43" s="129" t="str">
        <f>CONCATENATE(IF(ISERROR(VLOOKUP(P43,#REF!,24,0)),"",(VLOOKUP(P43,#REF!,24,0))))</f>
        <v/>
      </c>
      <c r="AF43" s="129" t="str">
        <f>CONCATENATE(IF(ISERROR(VLOOKUP(P43,#REF!,25,0)),"",(VLOOKUP(P43,#REF!,25,0))))</f>
        <v/>
      </c>
      <c r="AG43" s="129" t="str">
        <f>CONCATENATE(IF(ISERROR(VLOOKUP(P43,#REF!,26,0)),"",(VLOOKUP(P43,#REF!,26,0))))</f>
        <v/>
      </c>
    </row>
    <row r="44" spans="1:33" ht="17.25" thickTop="1" thickBot="1">
      <c r="A44" s="1528" t="s">
        <v>374</v>
      </c>
      <c r="B44" s="1550"/>
      <c r="C44" s="1504" t="s">
        <v>408</v>
      </c>
      <c r="D44" s="1505"/>
      <c r="E44" s="1504" t="s">
        <v>407</v>
      </c>
      <c r="F44" s="1505"/>
      <c r="G44" s="1504" t="s">
        <v>262</v>
      </c>
      <c r="H44" s="1505"/>
      <c r="I44" s="1504" t="s">
        <v>290</v>
      </c>
      <c r="J44" s="1505"/>
      <c r="K44" s="1530" t="s">
        <v>386</v>
      </c>
      <c r="L44" s="1531"/>
      <c r="M44" s="125"/>
      <c r="N44" s="125"/>
      <c r="O44" s="125"/>
      <c r="P44" s="131"/>
      <c r="Q44" s="134" t="s">
        <v>495</v>
      </c>
      <c r="R44" s="131" t="e">
        <f>P43</f>
        <v>#REF!</v>
      </c>
      <c r="S44" s="131"/>
      <c r="T44" s="130"/>
      <c r="U44" s="130"/>
      <c r="V44" s="131" t="e">
        <f>CONCATENATE(IF(V43=#REF!,""&amp;#REF!&amp;"",IF(V43=#REF!,""&amp;#REF!&amp;"",IF(V43=#REF!,""&amp;#REF!&amp;"",IF(V43=#REF!,""&amp;#REF!&amp;"",IF(V43=#REF!,""&amp;#REF!&amp;"",IF(V43=#REF!,""&amp;#REF!&amp;"",IF(V43=#REF!,""&amp;#REF!&amp;"",IF(V43=#REF!,""&amp;#REF!&amp;"",IF(V43=#REF!,""&amp;#REF!&amp;"",IF(V43=#REF!,""&amp;#REF!&amp;"",IF(V43=#REF!,""&amp;#REF!&amp;"",IF(V43=#REF!,""&amp;#REF!&amp;"",IF(V43=#REF!,""&amp;#REF!&amp;"",IF(V43=#REF!,""&amp;#REF!&amp;"",IF(V43=#REF!,""&amp;#REF!&amp;"",IF(V43=#REF!,""&amp;#REF!&amp;"",IF(V43=#REF!,""&amp;#REF!&amp;"",IF(V43=#REF!,""&amp;#REF!&amp;"",IF(V43=#REF!,""&amp;#REF!&amp;"",))))))))))))))))))))</f>
        <v>#REF!</v>
      </c>
      <c r="W44" s="131" t="e">
        <f>CONCATENATE(IF(W43=#REF!,""&amp;#REF!&amp;"",IF(W43=#REF!,""&amp;#REF!&amp;"",IF(W43=#REF!,""&amp;#REF!&amp;"",IF(W43=#REF!,""&amp;#REF!&amp;"",IF(W43=#REF!,""&amp;#REF!&amp;"",IF(W43=#REF!,""&amp;#REF!&amp;"",IF(W43=#REF!,""&amp;#REF!&amp;"",IF(W43=#REF!,""&amp;#REF!&amp;"",IF(W43=#REF!,""&amp;#REF!&amp;"",IF(W43=#REF!,""&amp;#REF!&amp;"",IF(W43=#REF!,""&amp;#REF!&amp;"",IF(W43=#REF!,""&amp;#REF!&amp;"",IF(W43=#REF!,""&amp;#REF!&amp;"",IF(W43=#REF!,""&amp;#REF!&amp;"",IF(W43=#REF!,""&amp;#REF!&amp;"",IF(W43=#REF!,""&amp;#REF!&amp;"",IF(W43=#REF!,""&amp;#REF!&amp;"",IF(W43=#REF!,""&amp;#REF!&amp;"",IF(W43=#REF!,""&amp;#REF!&amp;"",))))))))))))))))))))</f>
        <v>#REF!</v>
      </c>
      <c r="X44" s="131" t="e">
        <f>CONCATENATE(IF(X43=#REF!,""&amp;#REF!&amp;"",IF(X43=#REF!,""&amp;#REF!&amp;"",IF(X43=#REF!,""&amp;#REF!&amp;"",IF(X43=#REF!,""&amp;#REF!&amp;"",IF(X43=#REF!,""&amp;#REF!&amp;"",IF(X43=#REF!,""&amp;#REF!&amp;"",IF(X43=#REF!,""&amp;#REF!&amp;"",IF(X43=#REF!,""&amp;#REF!&amp;"",IF(X43=#REF!,""&amp;#REF!&amp;"",IF(X43=#REF!,""&amp;#REF!&amp;"",IF(X43=#REF!,""&amp;#REF!&amp;"",IF(X43=#REF!,""&amp;#REF!&amp;"",IF(X43=#REF!,""&amp;#REF!&amp;"",IF(X43=#REF!,""&amp;#REF!&amp;"",IF(X43=#REF!,""&amp;#REF!&amp;"",IF(X43=#REF!,""&amp;#REF!&amp;"",IF(X43=#REF!,""&amp;#REF!&amp;"",IF(X43=#REF!,""&amp;#REF!&amp;"",IF(X43=#REF!,""&amp;#REF!&amp;"",))))))))))))))))))))</f>
        <v>#REF!</v>
      </c>
      <c r="Y44" s="131" t="e">
        <f>CONCATENATE(IF(Y43=#REF!,""&amp;#REF!&amp;"",IF(Y43=#REF!,""&amp;#REF!&amp;"",IF(Y43=#REF!,""&amp;#REF!&amp;"",IF(Y43=#REF!,""&amp;#REF!&amp;"",IF(Y43=#REF!,""&amp;#REF!&amp;"",IF(Y43=#REF!,""&amp;#REF!&amp;"",IF(Y43=#REF!,""&amp;#REF!&amp;"",IF(Y43=#REF!,""&amp;#REF!&amp;"",IF(Y43=#REF!,""&amp;#REF!&amp;"",IF(Y43=#REF!,""&amp;#REF!&amp;"",IF(Y43=#REF!,""&amp;#REF!&amp;"",IF(Y43=#REF!,""&amp;#REF!&amp;"",IF(Y43=#REF!,""&amp;#REF!&amp;"",IF(Y43=#REF!,""&amp;#REF!&amp;"",IF(Y43=#REF!,""&amp;#REF!&amp;"",IF(Y43=#REF!,""&amp;#REF!&amp;"",IF(Y43=#REF!,""&amp;#REF!&amp;"",IF(Y43=#REF!,""&amp;#REF!&amp;"",IF(Y43=#REF!,""&amp;#REF!&amp;"",))))))))))))))))))))</f>
        <v>#REF!</v>
      </c>
      <c r="Z44" s="131" t="e">
        <f>CONCATENATE(IF(Z43=#REF!,""&amp;#REF!&amp;"",IF(Z43=#REF!,""&amp;#REF!&amp;"",IF(Z43=#REF!,""&amp;#REF!&amp;"",IF(Z43=#REF!,""&amp;#REF!&amp;"",IF(Z43=#REF!,""&amp;#REF!&amp;"",IF(Z43=#REF!,""&amp;#REF!&amp;"",IF(Z43=#REF!,""&amp;#REF!&amp;"",IF(Z43=#REF!,""&amp;#REF!&amp;"",IF(Z43=#REF!,""&amp;#REF!&amp;"",IF(Z43=#REF!,""&amp;#REF!&amp;"",IF(Z43=#REF!,""&amp;#REF!&amp;"",IF(Z43=#REF!,""&amp;#REF!&amp;"",IF(Z43=#REF!,""&amp;#REF!&amp;"",IF(Z43=#REF!,""&amp;#REF!&amp;"",IF(Z43=#REF!,""&amp;#REF!&amp;"",IF(Z43=#REF!,""&amp;#REF!&amp;"",IF(Z43=#REF!,""&amp;#REF!&amp;"",IF(Z43=#REF!,""&amp;#REF!&amp;"",IF(Z43=#REF!,""&amp;#REF!&amp;"",))))))))))))))))))))</f>
        <v>#REF!</v>
      </c>
      <c r="AA44" s="131" t="e">
        <f>CONCATENATE(IF(AA43=#REF!,""&amp;#REF!&amp;"",IF(AA43=#REF!,""&amp;#REF!&amp;"",IF(AA43=#REF!,""&amp;#REF!&amp;"",IF(AA43=#REF!,""&amp;#REF!&amp;"",IF(AA43=#REF!,""&amp;#REF!&amp;"",IF(AA43=#REF!,""&amp;#REF!&amp;"",IF(AA43=#REF!,""&amp;#REF!&amp;"",IF(AA43=#REF!,""&amp;#REF!&amp;"",IF(AA43=#REF!,""&amp;#REF!&amp;"",IF(AA43=#REF!,""&amp;#REF!&amp;"",IF(AA43=#REF!,""&amp;#REF!&amp;"",IF(AA43=#REF!,""&amp;#REF!&amp;"",IF(AA43=#REF!,""&amp;#REF!&amp;"",IF(AA43=#REF!,""&amp;#REF!&amp;"",IF(AA43=#REF!,""&amp;#REF!&amp;"",IF(AA43=#REF!,""&amp;#REF!&amp;"",IF(AA43=#REF!,""&amp;#REF!&amp;"",IF(AA43=#REF!,""&amp;#REF!&amp;"",IF(AA43=#REF!,""&amp;#REF!&amp;"",))))))))))))))))))))</f>
        <v>#REF!</v>
      </c>
      <c r="AB44" s="131" t="e">
        <f>CONCATENATE(IF(AB43=#REF!,""&amp;#REF!&amp;"",IF(AB43=#REF!,""&amp;#REF!&amp;"",IF(AB43=#REF!,""&amp;#REF!&amp;"",IF(AB43=#REF!,""&amp;#REF!&amp;"",IF(AB43=#REF!,""&amp;#REF!&amp;"",IF(AB43=#REF!,""&amp;#REF!&amp;"",IF(AB43=#REF!,""&amp;#REF!&amp;"",IF(AB43=#REF!,""&amp;#REF!&amp;"",IF(AB43=#REF!,""&amp;#REF!&amp;"",IF(AB43=#REF!,""&amp;#REF!&amp;"",IF(AB43=#REF!,""&amp;#REF!&amp;"",IF(AB43=#REF!,""&amp;#REF!&amp;"",IF(AB43=#REF!,""&amp;#REF!&amp;"",IF(AB43=#REF!,""&amp;#REF!&amp;"",IF(AB43=#REF!,""&amp;#REF!&amp;"",IF(AB43=#REF!,""&amp;#REF!&amp;"",IF(AB43=#REF!,""&amp;#REF!&amp;"",IF(AB43=#REF!,""&amp;#REF!&amp;"",IF(AB43=#REF!,""&amp;#REF!&amp;"",))))))))))))))))))))</f>
        <v>#REF!</v>
      </c>
      <c r="AC44" s="131" t="e">
        <f>CONCATENATE(IF(AC43=#REF!,""&amp;#REF!&amp;"",IF(AC43=#REF!,""&amp;#REF!&amp;"",IF(AC43=#REF!,""&amp;#REF!&amp;"",IF(AC43=#REF!,""&amp;#REF!&amp;"",IF(AC43=#REF!,""&amp;#REF!&amp;"",IF(AC43=#REF!,""&amp;#REF!&amp;"",IF(AC43=#REF!,""&amp;#REF!&amp;"",IF(AC43=#REF!,""&amp;#REF!&amp;"",IF(AC43=#REF!,""&amp;#REF!&amp;"",IF(AC43=#REF!,""&amp;#REF!&amp;"",IF(AC43=#REF!,""&amp;#REF!&amp;"",IF(AC43=#REF!,""&amp;#REF!&amp;"",IF(AC43=#REF!,""&amp;#REF!&amp;"",IF(AC43=#REF!,""&amp;#REF!&amp;"",IF(AC43=#REF!,""&amp;#REF!&amp;"",IF(AC43=#REF!,""&amp;#REF!&amp;"",IF(AC43=#REF!,""&amp;#REF!&amp;"",IF(AC43=#REF!,""&amp;#REF!&amp;"",IF(AC43=#REF!,""&amp;#REF!&amp;"",))))))))))))))))))))</f>
        <v>#REF!</v>
      </c>
      <c r="AD44" s="131" t="e">
        <f>CONCATENATE(IF(AD43=#REF!,""&amp;#REF!&amp;"",IF(AD43=#REF!,""&amp;#REF!&amp;"",IF(AD43=#REF!,""&amp;#REF!&amp;"",IF(AD43=#REF!,""&amp;#REF!&amp;"",IF(AD43=#REF!,""&amp;#REF!&amp;"",IF(AD43=#REF!,""&amp;#REF!&amp;"",IF(AD43=#REF!,""&amp;#REF!&amp;"",IF(AD43=#REF!,""&amp;#REF!&amp;"",IF(AD43=#REF!,""&amp;#REF!&amp;"",IF(AD43=#REF!,""&amp;#REF!&amp;"",IF(AD43=#REF!,""&amp;#REF!&amp;"",IF(AD43=#REF!,""&amp;#REF!&amp;"",IF(AD43=#REF!,""&amp;#REF!&amp;"",IF(AD43=#REF!,""&amp;#REF!&amp;"",IF(AD43=#REF!,""&amp;#REF!&amp;"",IF(AD43=#REF!,""&amp;#REF!&amp;"",IF(AD43=#REF!,""&amp;#REF!&amp;"",IF(AD43=#REF!,""&amp;#REF!&amp;"",IF(AD43=#REF!,""&amp;#REF!&amp;"",))))))))))))))))))))</f>
        <v>#REF!</v>
      </c>
      <c r="AE44" s="131" t="e">
        <f>CONCATENATE(IF(AE43=#REF!,""&amp;#REF!&amp;"",IF(AE43=#REF!,""&amp;#REF!&amp;"",IF(AE43=#REF!,""&amp;#REF!&amp;"",IF(AE43=#REF!,""&amp;#REF!&amp;"",IF(AE43=#REF!,""&amp;#REF!&amp;"",IF(AE43=#REF!,""&amp;#REF!&amp;"",IF(AE43=#REF!,""&amp;#REF!&amp;"",IF(AE43=#REF!,""&amp;#REF!&amp;"",IF(AE43=#REF!,""&amp;#REF!&amp;"",IF(AE43=#REF!,""&amp;#REF!&amp;"",IF(AE43=#REF!,""&amp;#REF!&amp;"",IF(AE43=#REF!,""&amp;#REF!&amp;"",IF(AE43=#REF!,""&amp;#REF!&amp;"",IF(AE43=#REF!,""&amp;#REF!&amp;"",IF(AE43=#REF!,""&amp;#REF!&amp;"",IF(AE43=#REF!,""&amp;#REF!&amp;"",IF(AE43=#REF!,""&amp;#REF!&amp;"",IF(AE43=#REF!,""&amp;#REF!&amp;"",IF(AE43=#REF!,""&amp;#REF!&amp;"",))))))))))))))))))))</f>
        <v>#REF!</v>
      </c>
      <c r="AF44" s="131" t="e">
        <f>CONCATENATE(IF(AF43=#REF!,""&amp;#REF!&amp;"",IF(AF43=#REF!,""&amp;#REF!&amp;"",IF(AF43=#REF!,""&amp;#REF!&amp;"",IF(AF43=#REF!,""&amp;#REF!&amp;"",IF(AF43=#REF!,""&amp;#REF!&amp;"",IF(AF43=#REF!,""&amp;#REF!&amp;"",IF(AF43=#REF!,""&amp;#REF!&amp;"",IF(AF43=#REF!,""&amp;#REF!&amp;"",IF(AF43=#REF!,""&amp;#REF!&amp;"",IF(AF43=#REF!,""&amp;#REF!&amp;"",IF(AF43=#REF!,""&amp;#REF!&amp;"",IF(AF43=#REF!,""&amp;#REF!&amp;"",IF(AF43=#REF!,""&amp;#REF!&amp;"",IF(AF43=#REF!,""&amp;#REF!&amp;"",IF(AF43=#REF!,""&amp;#REF!&amp;"",IF(AF43=#REF!,""&amp;#REF!&amp;"",IF(AF43=#REF!,""&amp;#REF!&amp;"",IF(AF43=#REF!,""&amp;#REF!&amp;"",IF(AF43=#REF!,""&amp;#REF!&amp;"",))))))))))))))))))))</f>
        <v>#REF!</v>
      </c>
      <c r="AG44" s="131" t="e">
        <f>CONCATENATE(IF(AG43=#REF!,""&amp;#REF!&amp;"",IF(AG43=#REF!,""&amp;#REF!&amp;"",IF(AG43=#REF!,""&amp;#REF!&amp;"",IF(AG43=#REF!,""&amp;#REF!&amp;"",IF(AG43=#REF!,""&amp;#REF!&amp;"",IF(AG43=#REF!,""&amp;#REF!&amp;"",IF(AG43=#REF!,""&amp;#REF!&amp;"",IF(AG43=#REF!,""&amp;#REF!&amp;"",IF(AG43=#REF!,""&amp;#REF!&amp;"",IF(AG43=#REF!,""&amp;#REF!&amp;"",IF(AG43=#REF!,""&amp;#REF!&amp;"",IF(AG43=#REF!,""&amp;#REF!&amp;"",IF(AG43=#REF!,""&amp;#REF!&amp;"",IF(AG43=#REF!,""&amp;#REF!&amp;"",IF(AG43=#REF!,""&amp;#REF!&amp;"",IF(AG43=#REF!,""&amp;#REF!&amp;"",IF(AG43=#REF!,""&amp;#REF!&amp;"",IF(AG43=#REF!,""&amp;#REF!&amp;"",IF(AG43=#REF!,""&amp;#REF!&amp;"",))))))))))))))))))))</f>
        <v>#REF!</v>
      </c>
    </row>
    <row r="45" spans="1:33" ht="17.25" thickTop="1" thickBot="1">
      <c r="A45" s="1526" t="s">
        <v>375</v>
      </c>
      <c r="B45" s="1549"/>
      <c r="C45" s="1504" t="s">
        <v>408</v>
      </c>
      <c r="D45" s="1505"/>
      <c r="E45" s="1504" t="s">
        <v>409</v>
      </c>
      <c r="F45" s="1505"/>
      <c r="G45" s="1504" t="s">
        <v>262</v>
      </c>
      <c r="H45" s="1505"/>
      <c r="I45" s="1504" t="s">
        <v>384</v>
      </c>
      <c r="J45" s="1505"/>
      <c r="K45" s="1504" t="s">
        <v>279</v>
      </c>
      <c r="L45" s="1505"/>
      <c r="M45" s="125"/>
      <c r="N45" s="125"/>
      <c r="O45" s="125"/>
      <c r="P45" s="129" t="e">
        <f>CONCATENATE(#REF!)</f>
        <v>#REF!</v>
      </c>
      <c r="Q45" s="134" t="s">
        <v>381</v>
      </c>
      <c r="R45" s="134"/>
      <c r="S45" s="129" t="e">
        <f>P45</f>
        <v>#REF!</v>
      </c>
      <c r="T45" s="130" t="e">
        <f>CONCATENATE(#REF!)</f>
        <v>#REF!</v>
      </c>
      <c r="U45" s="130" t="e">
        <f>CONCATENATE(#REF!)</f>
        <v>#REF!</v>
      </c>
      <c r="V45" s="129" t="str">
        <f>CONCATENATE(IF(ISERROR(VLOOKUP(P45,#REF!,15,0)),"",(VLOOKUP(P45,#REF!,15,0))))</f>
        <v/>
      </c>
      <c r="W45" s="129" t="str">
        <f>CONCATENATE(IF(ISERROR(VLOOKUP(P45,#REF!,16,0)),"",(VLOOKUP(P45,#REF!,16,0))))</f>
        <v/>
      </c>
      <c r="X45" s="129" t="str">
        <f>CONCATENATE(IF(ISERROR(VLOOKUP(P45,#REF!,17,0)),"",(VLOOKUP(P45,#REF!,17,0))))</f>
        <v/>
      </c>
      <c r="Y45" s="129" t="str">
        <f>CONCATENATE(IF(ISERROR(VLOOKUP(P45,#REF!,18,0)),"",(VLOOKUP(P45,#REF!,18,0))))</f>
        <v/>
      </c>
      <c r="Z45" s="129" t="str">
        <f>CONCATENATE(IF(ISERROR(VLOOKUP(P45,#REF!,19,0)),"",(VLOOKUP(P45,#REF!,19,0))))</f>
        <v/>
      </c>
      <c r="AA45" s="129" t="str">
        <f>CONCATENATE(IF(ISERROR(VLOOKUP(P45,#REF!,20,0)),"",(VLOOKUP(P45,#REF!,20,0))))</f>
        <v/>
      </c>
      <c r="AB45" s="129" t="str">
        <f>CONCATENATE(IF(ISERROR(VLOOKUP(P45,#REF!,21,0)),"",(VLOOKUP(P45,#REF!,21,0))))</f>
        <v/>
      </c>
      <c r="AC45" s="129" t="str">
        <f>CONCATENATE(IF(ISERROR(VLOOKUP(P45,#REF!,22,0)),"",(VLOOKUP(P45,#REF!,22,0))))</f>
        <v/>
      </c>
      <c r="AD45" s="129" t="str">
        <f>CONCATENATE(IF(ISERROR(VLOOKUP(P45,#REF!,23,0)),"",(VLOOKUP(P45,#REF!,23,0))))</f>
        <v/>
      </c>
      <c r="AE45" s="129" t="str">
        <f>CONCATENATE(IF(ISERROR(VLOOKUP(P45,#REF!,24,0)),"",(VLOOKUP(P45,#REF!,24,0))))</f>
        <v/>
      </c>
      <c r="AF45" s="129" t="str">
        <f>CONCATENATE(IF(ISERROR(VLOOKUP(P45,#REF!,25,0)),"",(VLOOKUP(P45,#REF!,25,0))))</f>
        <v/>
      </c>
      <c r="AG45" s="133" t="e">
        <f>CONCATENATE(IF(AG43=#REF!,""&amp;#REF!&amp;"",IF(AG43=#REF!,""&amp;#REF!&amp;"",IF(AG43=#REF!,""&amp;#REF!&amp;"",IF(AG43=#REF!,""&amp;#REF!&amp;"",IF(AG43=#REF!,""&amp;#REF!&amp;"",IF(AG43=#REF!,""&amp;#REF!&amp;"",IF(AG43=#REF!,""&amp;#REF!&amp;"",IF(AG43=#REF!,""&amp;#REF!&amp;"",IF(AG43=#REF!,""&amp;#REF!&amp;"",IF(AG43=#REF!,""&amp;#REF!&amp;"",IF(AG43=#REF!,""&amp;#REF!&amp;"",IF(AG43=#REF!,""&amp;#REF!&amp;"",IF(AG43=#REF!,""&amp;#REF!&amp;"",IF(AG43=#REF!,""&amp;#REF!&amp;"",IF(AG43=#REF!,""&amp;#REF!&amp;"",IF(AG43=#REF!,""&amp;#REF!&amp;"",IF(AG43=#REF!,""&amp;#REF!&amp;"",IF(AG43=#REF!,""&amp;#REF!&amp;"",IF(AG43=#REF!,""&amp;#REF!&amp;"",))))))))))))))))))))</f>
        <v>#REF!</v>
      </c>
    </row>
    <row r="46" spans="1:33" ht="17.25" thickTop="1" thickBot="1">
      <c r="A46" s="32"/>
      <c r="B46" s="32"/>
      <c r="C46" s="32"/>
      <c r="D46" s="32"/>
      <c r="E46" s="32"/>
      <c r="F46" s="32"/>
      <c r="G46" s="32"/>
      <c r="H46" s="32"/>
      <c r="I46" s="45"/>
      <c r="J46" s="45"/>
      <c r="K46" s="32"/>
      <c r="L46" s="32"/>
      <c r="M46" s="125"/>
      <c r="N46" s="125"/>
      <c r="O46" s="125"/>
      <c r="P46" s="131"/>
      <c r="Q46" s="134" t="s">
        <v>495</v>
      </c>
      <c r="R46" s="131" t="e">
        <f>P45</f>
        <v>#REF!</v>
      </c>
      <c r="S46" s="131"/>
      <c r="T46" s="132"/>
      <c r="U46" s="132"/>
      <c r="V46" s="131" t="e">
        <f>CONCATENATE(IF(V45=#REF!,""&amp;#REF!&amp;"",IF(V45=#REF!,""&amp;#REF!&amp;"",IF(V45=#REF!,""&amp;#REF!&amp;"",IF(V45=#REF!,""&amp;#REF!&amp;"",IF(V45=#REF!,""&amp;#REF!&amp;"",IF(V45=#REF!,""&amp;#REF!&amp;"",IF(V45=#REF!,""&amp;#REF!&amp;"",IF(V45=#REF!,""&amp;#REF!&amp;"",IF(V45=#REF!,""&amp;#REF!&amp;"",IF(V45=#REF!,""&amp;#REF!&amp;"",IF(V45=#REF!,""&amp;#REF!&amp;"",IF(V45=#REF!,""&amp;#REF!&amp;"",IF(V45=#REF!,""&amp;#REF!&amp;"",IF(V45=#REF!,""&amp;#REF!&amp;"",IF(V45=#REF!,""&amp;#REF!&amp;"",IF(V45=#REF!,""&amp;#REF!&amp;"",IF(V45=#REF!,""&amp;#REF!&amp;"",IF(V45=#REF!,""&amp;#REF!&amp;"",IF(V45=#REF!,""&amp;#REF!&amp;"",))))))))))))))))))))</f>
        <v>#REF!</v>
      </c>
      <c r="W46" s="131" t="e">
        <f>CONCATENATE(IF(W45=#REF!,""&amp;#REF!&amp;"",IF(W45=#REF!,""&amp;#REF!&amp;"",IF(W45=#REF!,""&amp;#REF!&amp;"",IF(W45=#REF!,""&amp;#REF!&amp;"",IF(W45=#REF!,""&amp;#REF!&amp;"",IF(W45=#REF!,""&amp;#REF!&amp;"",IF(W45=#REF!,""&amp;#REF!&amp;"",IF(W45=#REF!,""&amp;#REF!&amp;"",IF(W45=#REF!,""&amp;#REF!&amp;"",IF(W45=#REF!,""&amp;#REF!&amp;"",IF(W45=#REF!,""&amp;#REF!&amp;"",IF(W45=#REF!,""&amp;#REF!&amp;"",IF(W45=#REF!,""&amp;#REF!&amp;"",IF(W45=#REF!,""&amp;#REF!&amp;"",IF(W45=#REF!,""&amp;#REF!&amp;"",IF(W45=#REF!,""&amp;#REF!&amp;"",IF(W45=#REF!,""&amp;#REF!&amp;"",IF(W45=#REF!,""&amp;#REF!&amp;"",IF(W45=#REF!,""&amp;#REF!&amp;"",))))))))))))))))))))</f>
        <v>#REF!</v>
      </c>
      <c r="X46" s="131" t="e">
        <f>CONCATENATE(IF(X45=#REF!,""&amp;#REF!&amp;"",IF(X45=#REF!,""&amp;#REF!&amp;"",IF(X45=#REF!,""&amp;#REF!&amp;"",IF(X45=#REF!,""&amp;#REF!&amp;"",IF(X45=#REF!,""&amp;#REF!&amp;"",IF(X45=#REF!,""&amp;#REF!&amp;"",IF(X45=#REF!,""&amp;#REF!&amp;"",IF(X45=#REF!,""&amp;#REF!&amp;"",IF(X45=#REF!,""&amp;#REF!&amp;"",IF(X45=#REF!,""&amp;#REF!&amp;"",IF(X45=#REF!,""&amp;#REF!&amp;"",IF(X45=#REF!,""&amp;#REF!&amp;"",IF(X45=#REF!,""&amp;#REF!&amp;"",IF(X45=#REF!,""&amp;#REF!&amp;"",IF(X45=#REF!,""&amp;#REF!&amp;"",IF(X45=#REF!,""&amp;#REF!&amp;"",IF(X45=#REF!,""&amp;#REF!&amp;"",IF(X45=#REF!,""&amp;#REF!&amp;"",IF(X45=#REF!,""&amp;#REF!&amp;"",))))))))))))))))))))</f>
        <v>#REF!</v>
      </c>
      <c r="Y46" s="131" t="e">
        <f>CONCATENATE(IF(Y45=#REF!,""&amp;#REF!&amp;"",IF(Y45=#REF!,""&amp;#REF!&amp;"",IF(Y45=#REF!,""&amp;#REF!&amp;"",IF(Y45=#REF!,""&amp;#REF!&amp;"",IF(Y45=#REF!,""&amp;#REF!&amp;"",IF(Y45=#REF!,""&amp;#REF!&amp;"",IF(Y45=#REF!,""&amp;#REF!&amp;"",IF(Y45=#REF!,""&amp;#REF!&amp;"",IF(Y45=#REF!,""&amp;#REF!&amp;"",IF(Y45=#REF!,""&amp;#REF!&amp;"",IF(Y45=#REF!,""&amp;#REF!&amp;"",IF(Y45=#REF!,""&amp;#REF!&amp;"",IF(Y45=#REF!,""&amp;#REF!&amp;"",IF(Y45=#REF!,""&amp;#REF!&amp;"",IF(Y45=#REF!,""&amp;#REF!&amp;"",IF(Y45=#REF!,""&amp;#REF!&amp;"",IF(Y45=#REF!,""&amp;#REF!&amp;"",IF(Y45=#REF!,""&amp;#REF!&amp;"",IF(Y45=#REF!,""&amp;#REF!&amp;"",))))))))))))))))))))</f>
        <v>#REF!</v>
      </c>
      <c r="Z46" s="131" t="e">
        <f>CONCATENATE(IF(Z45=#REF!,""&amp;#REF!&amp;"",IF(Z45=#REF!,""&amp;#REF!&amp;"",IF(Z45=#REF!,""&amp;#REF!&amp;"",IF(Z45=#REF!,""&amp;#REF!&amp;"",IF(Z45=#REF!,""&amp;#REF!&amp;"",IF(Z45=#REF!,""&amp;#REF!&amp;"",IF(Z45=#REF!,""&amp;#REF!&amp;"",IF(Z45=#REF!,""&amp;#REF!&amp;"",IF(Z45=#REF!,""&amp;#REF!&amp;"",IF(Z45=#REF!,""&amp;#REF!&amp;"",IF(Z45=#REF!,""&amp;#REF!&amp;"",IF(Z45=#REF!,""&amp;#REF!&amp;"",IF(Z45=#REF!,""&amp;#REF!&amp;"",IF(Z45=#REF!,""&amp;#REF!&amp;"",IF(Z45=#REF!,""&amp;#REF!&amp;"",IF(Z45=#REF!,""&amp;#REF!&amp;"",IF(Z45=#REF!,""&amp;#REF!&amp;"",IF(Z45=#REF!,""&amp;#REF!&amp;"",IF(Z45=#REF!,""&amp;#REF!&amp;"",))))))))))))))))))))</f>
        <v>#REF!</v>
      </c>
      <c r="AA46" s="131" t="e">
        <f>CONCATENATE(IF(AA45=#REF!,""&amp;#REF!&amp;"",IF(AA45=#REF!,""&amp;#REF!&amp;"",IF(AA45=#REF!,""&amp;#REF!&amp;"",IF(AA45=#REF!,""&amp;#REF!&amp;"",IF(AA45=#REF!,""&amp;#REF!&amp;"",IF(AA45=#REF!,""&amp;#REF!&amp;"",IF(AA45=#REF!,""&amp;#REF!&amp;"",IF(AA45=#REF!,""&amp;#REF!&amp;"",IF(AA45=#REF!,""&amp;#REF!&amp;"",IF(AA45=#REF!,""&amp;#REF!&amp;"",IF(AA45=#REF!,""&amp;#REF!&amp;"",IF(AA45=#REF!,""&amp;#REF!&amp;"",IF(AA45=#REF!,""&amp;#REF!&amp;"",IF(AA45=#REF!,""&amp;#REF!&amp;"",IF(AA45=#REF!,""&amp;#REF!&amp;"",IF(AA45=#REF!,""&amp;#REF!&amp;"",IF(AA45=#REF!,""&amp;#REF!&amp;"",IF(AA45=#REF!,""&amp;#REF!&amp;"",IF(AA45=#REF!,""&amp;#REF!&amp;"",))))))))))))))))))))</f>
        <v>#REF!</v>
      </c>
      <c r="AB46" s="131" t="e">
        <f>CONCATENATE(IF(AB45=#REF!,""&amp;#REF!&amp;"",IF(AB45=#REF!,""&amp;#REF!&amp;"",IF(AB45=#REF!,""&amp;#REF!&amp;"",IF(AB45=#REF!,""&amp;#REF!&amp;"",IF(AB45=#REF!,""&amp;#REF!&amp;"",IF(AB45=#REF!,""&amp;#REF!&amp;"",IF(AB45=#REF!,""&amp;#REF!&amp;"",IF(AB45=#REF!,""&amp;#REF!&amp;"",IF(AB45=#REF!,""&amp;#REF!&amp;"",IF(AB45=#REF!,""&amp;#REF!&amp;"",IF(AB45=#REF!,""&amp;#REF!&amp;"",IF(AB45=#REF!,""&amp;#REF!&amp;"",IF(AB45=#REF!,""&amp;#REF!&amp;"",IF(AB45=#REF!,""&amp;#REF!&amp;"",IF(AB45=#REF!,""&amp;#REF!&amp;"",IF(AB45=#REF!,""&amp;#REF!&amp;"",IF(AB45=#REF!,""&amp;#REF!&amp;"",IF(AB45=#REF!,""&amp;#REF!&amp;"",IF(AB45=#REF!,""&amp;#REF!&amp;"",))))))))))))))))))))</f>
        <v>#REF!</v>
      </c>
      <c r="AC46" s="131" t="e">
        <f>CONCATENATE(IF(AC45=#REF!,""&amp;#REF!&amp;"",IF(AC45=#REF!,""&amp;#REF!&amp;"",IF(AC45=#REF!,""&amp;#REF!&amp;"",IF(AC45=#REF!,""&amp;#REF!&amp;"",IF(AC45=#REF!,""&amp;#REF!&amp;"",IF(AC45=#REF!,""&amp;#REF!&amp;"",IF(AC45=#REF!,""&amp;#REF!&amp;"",IF(AC45=#REF!,""&amp;#REF!&amp;"",IF(AC45=#REF!,""&amp;#REF!&amp;"",IF(AC45=#REF!,""&amp;#REF!&amp;"",IF(AC45=#REF!,""&amp;#REF!&amp;"",IF(AC45=#REF!,""&amp;#REF!&amp;"",IF(AC45=#REF!,""&amp;#REF!&amp;"",IF(AC45=#REF!,""&amp;#REF!&amp;"",IF(AC45=#REF!,""&amp;#REF!&amp;"",IF(AC45=#REF!,""&amp;#REF!&amp;"",IF(AC45=#REF!,""&amp;#REF!&amp;"",IF(AC45=#REF!,""&amp;#REF!&amp;"",IF(AC45=#REF!,""&amp;#REF!&amp;"",))))))))))))))))))))</f>
        <v>#REF!</v>
      </c>
      <c r="AD46" s="131" t="e">
        <f>CONCATENATE(IF(AD45=#REF!,""&amp;#REF!&amp;"",IF(AD45=#REF!,""&amp;#REF!&amp;"",IF(AD45=#REF!,""&amp;#REF!&amp;"",IF(AD45=#REF!,""&amp;#REF!&amp;"",IF(AD45=#REF!,""&amp;#REF!&amp;"",IF(AD45=#REF!,""&amp;#REF!&amp;"",IF(AD45=#REF!,""&amp;#REF!&amp;"",IF(AD45=#REF!,""&amp;#REF!&amp;"",IF(AD45=#REF!,""&amp;#REF!&amp;"",IF(AD45=#REF!,""&amp;#REF!&amp;"",IF(AD45=#REF!,""&amp;#REF!&amp;"",IF(AD45=#REF!,""&amp;#REF!&amp;"",IF(AD45=#REF!,""&amp;#REF!&amp;"",IF(AD45=#REF!,""&amp;#REF!&amp;"",IF(AD45=#REF!,""&amp;#REF!&amp;"",IF(AD45=#REF!,""&amp;#REF!&amp;"",IF(AD45=#REF!,""&amp;#REF!&amp;"",IF(AD45=#REF!,""&amp;#REF!&amp;"",IF(AD45=#REF!,""&amp;#REF!&amp;"",))))))))))))))))))))</f>
        <v>#REF!</v>
      </c>
      <c r="AE46" s="131" t="e">
        <f>CONCATENATE(IF(AE45=#REF!,""&amp;#REF!&amp;"",IF(AE45=#REF!,""&amp;#REF!&amp;"",IF(AE45=#REF!,""&amp;#REF!&amp;"",IF(AE45=#REF!,""&amp;#REF!&amp;"",IF(AE45=#REF!,""&amp;#REF!&amp;"",IF(AE45=#REF!,""&amp;#REF!&amp;"",IF(AE45=#REF!,""&amp;#REF!&amp;"",IF(AE45=#REF!,""&amp;#REF!&amp;"",IF(AE45=#REF!,""&amp;#REF!&amp;"",IF(AE45=#REF!,""&amp;#REF!&amp;"",IF(AE45=#REF!,""&amp;#REF!&amp;"",IF(AE45=#REF!,""&amp;#REF!&amp;"",IF(AE45=#REF!,""&amp;#REF!&amp;"",IF(AE45=#REF!,""&amp;#REF!&amp;"",IF(AE45=#REF!,""&amp;#REF!&amp;"",IF(AE45=#REF!,""&amp;#REF!&amp;"",IF(AE45=#REF!,""&amp;#REF!&amp;"",IF(AE45=#REF!,""&amp;#REF!&amp;"",IF(AE45=#REF!,""&amp;#REF!&amp;"",))))))))))))))))))))</f>
        <v>#REF!</v>
      </c>
      <c r="AF46" s="131" t="e">
        <f>CONCATENATE(IF(AF45=#REF!,""&amp;#REF!&amp;"",IF(AF45=#REF!,""&amp;#REF!&amp;"",IF(AF45=#REF!,""&amp;#REF!&amp;"",IF(AF45=#REF!,""&amp;#REF!&amp;"",IF(AF45=#REF!,""&amp;#REF!&amp;"",IF(AF45=#REF!,""&amp;#REF!&amp;"",IF(AF45=#REF!,""&amp;#REF!&amp;"",IF(AF45=#REF!,""&amp;#REF!&amp;"",IF(AF45=#REF!,""&amp;#REF!&amp;"",IF(AF45=#REF!,""&amp;#REF!&amp;"",IF(AF45=#REF!,""&amp;#REF!&amp;"",IF(AF45=#REF!,""&amp;#REF!&amp;"",IF(AF45=#REF!,""&amp;#REF!&amp;"",IF(AF45=#REF!,""&amp;#REF!&amp;"",IF(AF45=#REF!,""&amp;#REF!&amp;"",IF(AF45=#REF!,""&amp;#REF!&amp;"",IF(AF45=#REF!,""&amp;#REF!&amp;"",IF(AF45=#REF!,""&amp;#REF!&amp;"",IF(AF45=#REF!,""&amp;#REF!&amp;"",))))))))))))))))))))</f>
        <v>#REF!</v>
      </c>
      <c r="AG46" s="131" t="e">
        <f>CONCATENATE(IF(AG45=#REF!,""&amp;#REF!&amp;"",IF(AG45=#REF!,""&amp;#REF!&amp;"",IF(AG45=#REF!,""&amp;#REF!&amp;"",IF(AG45=#REF!,""&amp;#REF!&amp;"",IF(AG45=#REF!,""&amp;#REF!&amp;"",IF(AG45=#REF!,""&amp;#REF!&amp;"",IF(AG45=#REF!,""&amp;#REF!&amp;"",IF(AG45=#REF!,""&amp;#REF!&amp;"",IF(AG45=#REF!,""&amp;#REF!&amp;"",IF(AG45=#REF!,""&amp;#REF!&amp;"",IF(AG45=#REF!,""&amp;#REF!&amp;"",IF(AG45=#REF!,""&amp;#REF!&amp;"",IF(AG45=#REF!,""&amp;#REF!&amp;"",IF(AG45=#REF!,""&amp;#REF!&amp;"",IF(AG45=#REF!,""&amp;#REF!&amp;"",IF(AG45=#REF!,""&amp;#REF!&amp;"",IF(AG45=#REF!,""&amp;#REF!&amp;"",IF(AG45=#REF!,""&amp;#REF!&amp;"",IF(AG45=#REF!,""&amp;#REF!&amp;"",))))))))))))))))))))</f>
        <v>#REF!</v>
      </c>
    </row>
    <row r="47" spans="1:33" ht="17.25" thickTop="1" thickBot="1">
      <c r="A47" s="1508" t="s">
        <v>376</v>
      </c>
      <c r="B47" s="1539"/>
      <c r="C47" s="1504" t="s">
        <v>279</v>
      </c>
      <c r="D47" s="1505"/>
      <c r="E47" s="1504" t="s">
        <v>262</v>
      </c>
      <c r="F47" s="1505"/>
      <c r="G47" s="1504" t="s">
        <v>385</v>
      </c>
      <c r="H47" s="1505"/>
      <c r="I47" s="1504" t="s">
        <v>383</v>
      </c>
      <c r="J47" s="1505"/>
      <c r="K47" s="1504" t="s">
        <v>384</v>
      </c>
      <c r="L47" s="1505"/>
      <c r="M47" s="125"/>
      <c r="N47" s="125"/>
      <c r="O47" s="125"/>
      <c r="P47" s="129" t="e">
        <f>CONCATENATE(#REF!)</f>
        <v>#REF!</v>
      </c>
      <c r="Q47" s="134" t="s">
        <v>381</v>
      </c>
      <c r="R47" s="134"/>
      <c r="S47" s="129" t="e">
        <f>P47</f>
        <v>#REF!</v>
      </c>
      <c r="T47" s="130" t="e">
        <f>CONCATENATE(#REF!)</f>
        <v>#REF!</v>
      </c>
      <c r="U47" s="130" t="e">
        <f>CONCATENATE(#REF!)</f>
        <v>#REF!</v>
      </c>
      <c r="V47" s="129" t="str">
        <f>CONCATENATE(IF(ISERROR(VLOOKUP(P47,#REF!,15,0)),"",(VLOOKUP(P47,#REF!,15,0))))</f>
        <v/>
      </c>
      <c r="W47" s="129" t="str">
        <f>CONCATENATE(IF(ISERROR(VLOOKUP(P47,#REF!,16,0)),"",(VLOOKUP(P47,#REF!,16,0))))</f>
        <v/>
      </c>
      <c r="X47" s="129" t="str">
        <f>CONCATENATE(IF(ISERROR(VLOOKUP(P47,#REF!,17,0)),"",(VLOOKUP(P47,#REF!,17,0))))</f>
        <v/>
      </c>
      <c r="Y47" s="129" t="str">
        <f>CONCATENATE(IF(ISERROR(VLOOKUP(P47,#REF!,18,0)),"",(VLOOKUP(P47,#REF!,18,0))))</f>
        <v/>
      </c>
      <c r="Z47" s="129" t="str">
        <f>CONCATENATE(IF(ISERROR(VLOOKUP(P47,#REF!,19,0)),"",(VLOOKUP(P47,#REF!,19,0))))</f>
        <v/>
      </c>
      <c r="AA47" s="129" t="str">
        <f>CONCATENATE(IF(ISERROR(VLOOKUP(P47,#REF!,20,0)),"",(VLOOKUP(P47,#REF!,20,0))))</f>
        <v/>
      </c>
      <c r="AB47" s="129" t="str">
        <f>CONCATENATE(IF(ISERROR(VLOOKUP(P47,#REF!,21,0)),"",(VLOOKUP(P47,#REF!,21,0))))</f>
        <v/>
      </c>
      <c r="AC47" s="129" t="str">
        <f>CONCATENATE(IF(ISERROR(VLOOKUP(P47,#REF!,22,0)),"",(VLOOKUP(P47,#REF!,22,0))))</f>
        <v/>
      </c>
      <c r="AD47" s="129" t="str">
        <f>CONCATENATE(IF(ISERROR(VLOOKUP(P47,#REF!,23,0)),"",(VLOOKUP(P47,#REF!,23,0))))</f>
        <v/>
      </c>
      <c r="AE47" s="129" t="str">
        <f>CONCATENATE(IF(ISERROR(VLOOKUP(P47,#REF!,24,0)),"",(VLOOKUP(P47,#REF!,24,0))))</f>
        <v/>
      </c>
      <c r="AF47" s="129" t="str">
        <f>CONCATENATE(IF(ISERROR(VLOOKUP(P47,#REF!,25,0)),"",(VLOOKUP(P47,#REF!,25,0))))</f>
        <v/>
      </c>
      <c r="AG47" s="135"/>
    </row>
    <row r="48" spans="1:33" ht="17.25" thickTop="1" thickBot="1">
      <c r="A48" s="1506" t="s">
        <v>377</v>
      </c>
      <c r="B48" s="1538"/>
      <c r="C48" s="1504" t="s">
        <v>384</v>
      </c>
      <c r="D48" s="1505"/>
      <c r="E48" s="1504" t="s">
        <v>387</v>
      </c>
      <c r="F48" s="1505"/>
      <c r="G48" s="1504" t="s">
        <v>383</v>
      </c>
      <c r="H48" s="1505"/>
      <c r="I48" s="1504" t="s">
        <v>279</v>
      </c>
      <c r="J48" s="1505"/>
      <c r="K48" s="1504" t="s">
        <v>385</v>
      </c>
      <c r="L48" s="1505"/>
      <c r="M48" s="125"/>
      <c r="N48" s="125"/>
      <c r="O48" s="125"/>
      <c r="P48" s="131"/>
      <c r="Q48" s="134" t="s">
        <v>495</v>
      </c>
      <c r="R48" s="131" t="e">
        <f>P47</f>
        <v>#REF!</v>
      </c>
      <c r="S48" s="131"/>
      <c r="T48" s="132"/>
      <c r="U48" s="132"/>
      <c r="V48" s="131" t="e">
        <f>CONCATENATE(IF(V47=#REF!,""&amp;#REF!&amp;"",IF(V47=#REF!,""&amp;#REF!&amp;"",IF(V47=#REF!,""&amp;#REF!&amp;"",IF(V47=#REF!,""&amp;#REF!&amp;"",IF(V47=#REF!,""&amp;#REF!&amp;"",IF(V47=#REF!,""&amp;#REF!&amp;"",IF(V47=#REF!,""&amp;#REF!&amp;"",IF(V47=#REF!,""&amp;#REF!&amp;"",IF(V47=#REF!,""&amp;#REF!&amp;"",IF(V47=#REF!,""&amp;#REF!&amp;"",IF(V47=#REF!,""&amp;#REF!&amp;"",IF(V47=#REF!,""&amp;#REF!&amp;"",IF(V47=#REF!,""&amp;#REF!&amp;"",IF(V47=#REF!,""&amp;#REF!&amp;"",IF(V47=#REF!,""&amp;#REF!&amp;"",IF(V47=#REF!,""&amp;#REF!&amp;"",IF(V47=#REF!,""&amp;#REF!&amp;"",IF(V47=#REF!,""&amp;#REF!&amp;"",IF(V47=#REF!,""&amp;#REF!&amp;"",))))))))))))))))))))</f>
        <v>#REF!</v>
      </c>
      <c r="W48" s="131" t="e">
        <f>CONCATENATE(IF(W47=#REF!,""&amp;#REF!&amp;"",IF(W47=#REF!,""&amp;#REF!&amp;"",IF(W47=#REF!,""&amp;#REF!&amp;"",IF(W47=#REF!,""&amp;#REF!&amp;"",IF(W47=#REF!,""&amp;#REF!&amp;"",IF(W47=#REF!,""&amp;#REF!&amp;"",IF(W47=#REF!,""&amp;#REF!&amp;"",IF(W47=#REF!,""&amp;#REF!&amp;"",IF(W47=#REF!,""&amp;#REF!&amp;"",IF(W47=#REF!,""&amp;#REF!&amp;"",IF(W47=#REF!,""&amp;#REF!&amp;"",IF(W47=#REF!,""&amp;#REF!&amp;"",IF(W47=#REF!,""&amp;#REF!&amp;"",IF(W47=#REF!,""&amp;#REF!&amp;"",IF(W47=#REF!,""&amp;#REF!&amp;"",IF(W47=#REF!,""&amp;#REF!&amp;"",IF(W47=#REF!,""&amp;#REF!&amp;"",IF(W47=#REF!,""&amp;#REF!&amp;"",IF(W47=#REF!,""&amp;#REF!&amp;"",))))))))))))))))))))</f>
        <v>#REF!</v>
      </c>
      <c r="X48" s="131" t="e">
        <f>CONCATENATE(IF(X47=#REF!,""&amp;#REF!&amp;"",IF(X47=#REF!,""&amp;#REF!&amp;"",IF(X47=#REF!,""&amp;#REF!&amp;"",IF(X47=#REF!,""&amp;#REF!&amp;"",IF(X47=#REF!,""&amp;#REF!&amp;"",IF(X47=#REF!,""&amp;#REF!&amp;"",IF(X47=#REF!,""&amp;#REF!&amp;"",IF(X47=#REF!,""&amp;#REF!&amp;"",IF(X47=#REF!,""&amp;#REF!&amp;"",IF(X47=#REF!,""&amp;#REF!&amp;"",IF(X47=#REF!,""&amp;#REF!&amp;"",IF(X47=#REF!,""&amp;#REF!&amp;"",IF(X47=#REF!,""&amp;#REF!&amp;"",IF(X47=#REF!,""&amp;#REF!&amp;"",IF(X47=#REF!,""&amp;#REF!&amp;"",IF(X47=#REF!,""&amp;#REF!&amp;"",IF(X47=#REF!,""&amp;#REF!&amp;"",IF(X47=#REF!,""&amp;#REF!&amp;"",IF(X47=#REF!,""&amp;#REF!&amp;"",))))))))))))))))))))</f>
        <v>#REF!</v>
      </c>
      <c r="Y48" s="131" t="e">
        <f>CONCATENATE(IF(Y47=#REF!,""&amp;#REF!&amp;"",IF(Y47=#REF!,""&amp;#REF!&amp;"",IF(Y47=#REF!,""&amp;#REF!&amp;"",IF(Y47=#REF!,""&amp;#REF!&amp;"",IF(Y47=#REF!,""&amp;#REF!&amp;"",IF(Y47=#REF!,""&amp;#REF!&amp;"",IF(Y47=#REF!,""&amp;#REF!&amp;"",IF(Y47=#REF!,""&amp;#REF!&amp;"",IF(Y47=#REF!,""&amp;#REF!&amp;"",IF(Y47=#REF!,""&amp;#REF!&amp;"",IF(Y47=#REF!,""&amp;#REF!&amp;"",IF(Y47=#REF!,""&amp;#REF!&amp;"",IF(Y47=#REF!,""&amp;#REF!&amp;"",IF(Y47=#REF!,""&amp;#REF!&amp;"",IF(Y47=#REF!,""&amp;#REF!&amp;"",IF(Y47=#REF!,""&amp;#REF!&amp;"",IF(Y47=#REF!,""&amp;#REF!&amp;"",IF(Y47=#REF!,""&amp;#REF!&amp;"",IF(Y47=#REF!,""&amp;#REF!&amp;"",))))))))))))))))))))</f>
        <v>#REF!</v>
      </c>
      <c r="Z48" s="131" t="e">
        <f>CONCATENATE(IF(Z47=#REF!,""&amp;#REF!&amp;"",IF(Z47=#REF!,""&amp;#REF!&amp;"",IF(Z47=#REF!,""&amp;#REF!&amp;"",IF(Z47=#REF!,""&amp;#REF!&amp;"",IF(Z47=#REF!,""&amp;#REF!&amp;"",IF(Z47=#REF!,""&amp;#REF!&amp;"",IF(Z47=#REF!,""&amp;#REF!&amp;"",IF(Z47=#REF!,""&amp;#REF!&amp;"",IF(Z47=#REF!,""&amp;#REF!&amp;"",IF(Z47=#REF!,""&amp;#REF!&amp;"",IF(Z47=#REF!,""&amp;#REF!&amp;"",IF(Z47=#REF!,""&amp;#REF!&amp;"",IF(Z47=#REF!,""&amp;#REF!&amp;"",IF(Z47=#REF!,""&amp;#REF!&amp;"",IF(Z47=#REF!,""&amp;#REF!&amp;"",IF(Z47=#REF!,""&amp;#REF!&amp;"",IF(Z47=#REF!,""&amp;#REF!&amp;"",IF(Z47=#REF!,""&amp;#REF!&amp;"",IF(Z47=#REF!,""&amp;#REF!&amp;"",))))))))))))))))))))</f>
        <v>#REF!</v>
      </c>
      <c r="AA48" s="131" t="e">
        <f>CONCATENATE(IF(AA47=#REF!,""&amp;#REF!&amp;"",IF(AA47=#REF!,""&amp;#REF!&amp;"",IF(AA47=#REF!,""&amp;#REF!&amp;"",IF(AA47=#REF!,""&amp;#REF!&amp;"",IF(AA47=#REF!,""&amp;#REF!&amp;"",IF(AA47=#REF!,""&amp;#REF!&amp;"",IF(AA47=#REF!,""&amp;#REF!&amp;"",IF(AA47=#REF!,""&amp;#REF!&amp;"",IF(AA47=#REF!,""&amp;#REF!&amp;"",IF(AA47=#REF!,""&amp;#REF!&amp;"",IF(AA47=#REF!,""&amp;#REF!&amp;"",IF(AA47=#REF!,""&amp;#REF!&amp;"",IF(AA47=#REF!,""&amp;#REF!&amp;"",IF(AA47=#REF!,""&amp;#REF!&amp;"",IF(AA47=#REF!,""&amp;#REF!&amp;"",IF(AA47=#REF!,""&amp;#REF!&amp;"",IF(AA47=#REF!,""&amp;#REF!&amp;"",IF(AA47=#REF!,""&amp;#REF!&amp;"",IF(AA47=#REF!,""&amp;#REF!&amp;"",))))))))))))))))))))</f>
        <v>#REF!</v>
      </c>
      <c r="AB48" s="131" t="e">
        <f>CONCATENATE(IF(AB47=#REF!,""&amp;#REF!&amp;"",IF(AB47=#REF!,""&amp;#REF!&amp;"",IF(AB47=#REF!,""&amp;#REF!&amp;"",IF(AB47=#REF!,""&amp;#REF!&amp;"",IF(AB47=#REF!,""&amp;#REF!&amp;"",IF(AB47=#REF!,""&amp;#REF!&amp;"",IF(AB47=#REF!,""&amp;#REF!&amp;"",IF(AB47=#REF!,""&amp;#REF!&amp;"",IF(AB47=#REF!,""&amp;#REF!&amp;"",IF(AB47=#REF!,""&amp;#REF!&amp;"",IF(AB47=#REF!,""&amp;#REF!&amp;"",IF(AB47=#REF!,""&amp;#REF!&amp;"",IF(AB47=#REF!,""&amp;#REF!&amp;"",IF(AB47=#REF!,""&amp;#REF!&amp;"",IF(AB47=#REF!,""&amp;#REF!&amp;"",IF(AB47=#REF!,""&amp;#REF!&amp;"",IF(AB47=#REF!,""&amp;#REF!&amp;"",IF(AB47=#REF!,""&amp;#REF!&amp;"",IF(AB47=#REF!,""&amp;#REF!&amp;"",))))))))))))))))))))</f>
        <v>#REF!</v>
      </c>
      <c r="AC48" s="131" t="e">
        <f>CONCATENATE(IF(AC47=#REF!,""&amp;#REF!&amp;"",IF(AC47=#REF!,""&amp;#REF!&amp;"",IF(AC47=#REF!,""&amp;#REF!&amp;"",IF(AC47=#REF!,""&amp;#REF!&amp;"",IF(AC47=#REF!,""&amp;#REF!&amp;"",IF(AC47=#REF!,""&amp;#REF!&amp;"",IF(AC47=#REF!,""&amp;#REF!&amp;"",IF(AC47=#REF!,""&amp;#REF!&amp;"",IF(AC47=#REF!,""&amp;#REF!&amp;"",IF(AC47=#REF!,""&amp;#REF!&amp;"",IF(AC47=#REF!,""&amp;#REF!&amp;"",IF(AC47=#REF!,""&amp;#REF!&amp;"",IF(AC47=#REF!,""&amp;#REF!&amp;"",IF(AC47=#REF!,""&amp;#REF!&amp;"",IF(AC47=#REF!,""&amp;#REF!&amp;"",IF(AC47=#REF!,""&amp;#REF!&amp;"",IF(AC47=#REF!,""&amp;#REF!&amp;"",IF(AC47=#REF!,""&amp;#REF!&amp;"",IF(AC47=#REF!,""&amp;#REF!&amp;"",))))))))))))))))))))</f>
        <v>#REF!</v>
      </c>
      <c r="AD48" s="131" t="e">
        <f>CONCATENATE(IF(AD47=#REF!,""&amp;#REF!&amp;"",IF(AD47=#REF!,""&amp;#REF!&amp;"",IF(AD47=#REF!,""&amp;#REF!&amp;"",IF(AD47=#REF!,""&amp;#REF!&amp;"",IF(AD47=#REF!,""&amp;#REF!&amp;"",IF(AD47=#REF!,""&amp;#REF!&amp;"",IF(AD47=#REF!,""&amp;#REF!&amp;"",IF(AD47=#REF!,""&amp;#REF!&amp;"",IF(AD47=#REF!,""&amp;#REF!&amp;"",IF(AD47=#REF!,""&amp;#REF!&amp;"",IF(AD47=#REF!,""&amp;#REF!&amp;"",IF(AD47=#REF!,""&amp;#REF!&amp;"",IF(AD47=#REF!,""&amp;#REF!&amp;"",IF(AD47=#REF!,""&amp;#REF!&amp;"",IF(AD47=#REF!,""&amp;#REF!&amp;"",IF(AD47=#REF!,""&amp;#REF!&amp;"",IF(AD47=#REF!,""&amp;#REF!&amp;"",IF(AD47=#REF!,""&amp;#REF!&amp;"",IF(AD47=#REF!,""&amp;#REF!&amp;"",))))))))))))))))))))</f>
        <v>#REF!</v>
      </c>
      <c r="AE48" s="131" t="e">
        <f>CONCATENATE(IF(AE47=#REF!,""&amp;#REF!&amp;"",IF(AE47=#REF!,""&amp;#REF!&amp;"",IF(AE47=#REF!,""&amp;#REF!&amp;"",IF(AE47=#REF!,""&amp;#REF!&amp;"",IF(AE47=#REF!,""&amp;#REF!&amp;"",IF(AE47=#REF!,""&amp;#REF!&amp;"",IF(AE47=#REF!,""&amp;#REF!&amp;"",IF(AE47=#REF!,""&amp;#REF!&amp;"",IF(AE47=#REF!,""&amp;#REF!&amp;"",IF(AE47=#REF!,""&amp;#REF!&amp;"",IF(AE47=#REF!,""&amp;#REF!&amp;"",IF(AE47=#REF!,""&amp;#REF!&amp;"",IF(AE47=#REF!,""&amp;#REF!&amp;"",IF(AE47=#REF!,""&amp;#REF!&amp;"",IF(AE47=#REF!,""&amp;#REF!&amp;"",IF(AE47=#REF!,""&amp;#REF!&amp;"",IF(AE47=#REF!,""&amp;#REF!&amp;"",IF(AE47=#REF!,""&amp;#REF!&amp;"",IF(AE47=#REF!,""&amp;#REF!&amp;"",))))))))))))))))))))</f>
        <v>#REF!</v>
      </c>
      <c r="AF48" s="131" t="e">
        <f>CONCATENATE(IF(AF47=#REF!,""&amp;#REF!&amp;"",IF(AF47=#REF!,""&amp;#REF!&amp;"",IF(AF47=#REF!,""&amp;#REF!&amp;"",IF(AF47=#REF!,""&amp;#REF!&amp;"",IF(AF47=#REF!,""&amp;#REF!&amp;"",IF(AF47=#REF!,""&amp;#REF!&amp;"",IF(AF47=#REF!,""&amp;#REF!&amp;"",IF(AF47=#REF!,""&amp;#REF!&amp;"",IF(AF47=#REF!,""&amp;#REF!&amp;"",IF(AF47=#REF!,""&amp;#REF!&amp;"",IF(AF47=#REF!,""&amp;#REF!&amp;"",IF(AF47=#REF!,""&amp;#REF!&amp;"",IF(AF47=#REF!,""&amp;#REF!&amp;"",IF(AF47=#REF!,""&amp;#REF!&amp;"",IF(AF47=#REF!,""&amp;#REF!&amp;"",IF(AF47=#REF!,""&amp;#REF!&amp;"",IF(AF47=#REF!,""&amp;#REF!&amp;"",IF(AF47=#REF!,""&amp;#REF!&amp;"",IF(AF47=#REF!,""&amp;#REF!&amp;"",))))))))))))))))))))</f>
        <v>#REF!</v>
      </c>
      <c r="AG48" s="131" t="e">
        <f>CONCATENATE(IF(AG47=#REF!,""&amp;#REF!&amp;"",IF(AG47=#REF!,""&amp;#REF!&amp;"",IF(AG47=#REF!,""&amp;#REF!&amp;"",IF(AG47=#REF!,""&amp;#REF!&amp;"",IF(AG47=#REF!,""&amp;#REF!&amp;"",IF(AG47=#REF!,""&amp;#REF!&amp;"",IF(AG47=#REF!,""&amp;#REF!&amp;"",IF(AG47=#REF!,""&amp;#REF!&amp;"",IF(AG47=#REF!,""&amp;#REF!&amp;"",IF(AG47=#REF!,""&amp;#REF!&amp;"",IF(AG47=#REF!,""&amp;#REF!&amp;"",IF(AG47=#REF!,""&amp;#REF!&amp;"",IF(AG47=#REF!,""&amp;#REF!&amp;"",IF(AG47=#REF!,""&amp;#REF!&amp;"",IF(AG47=#REF!,""&amp;#REF!&amp;"",IF(AG47=#REF!,""&amp;#REF!&amp;"",IF(AG47=#REF!,""&amp;#REF!&amp;"",IF(AG47=#REF!,""&amp;#REF!&amp;"",IF(AG47=#REF!,""&amp;#REF!&amp;"",))))))))))))))))))))</f>
        <v>#REF!</v>
      </c>
    </row>
    <row r="49" spans="1:33" ht="17.25" thickTop="1" thickBot="1">
      <c r="A49" s="1506" t="s">
        <v>378</v>
      </c>
      <c r="B49" s="1538"/>
      <c r="C49" s="1504"/>
      <c r="D49" s="1505"/>
      <c r="E49" s="1504" t="s">
        <v>387</v>
      </c>
      <c r="F49" s="1505"/>
      <c r="G49" s="1504" t="s">
        <v>386</v>
      </c>
      <c r="H49" s="1505"/>
      <c r="I49" s="1504"/>
      <c r="J49" s="1505"/>
      <c r="K49" s="1504"/>
      <c r="L49" s="1505"/>
      <c r="M49" s="125"/>
      <c r="N49" s="125"/>
      <c r="O49" s="125"/>
      <c r="P49" s="129" t="e">
        <f>CONCATENATE(#REF!)</f>
        <v>#REF!</v>
      </c>
      <c r="Q49" s="134" t="s">
        <v>381</v>
      </c>
      <c r="R49" s="134"/>
      <c r="S49" s="129" t="e">
        <f>P49</f>
        <v>#REF!</v>
      </c>
      <c r="T49" s="130" t="e">
        <f>CONCATENATE(#REF!)</f>
        <v>#REF!</v>
      </c>
      <c r="U49" s="130" t="e">
        <f>CONCATENATE(#REF!)</f>
        <v>#REF!</v>
      </c>
      <c r="V49" s="129" t="str">
        <f>CONCATENATE(IF(ISERROR(VLOOKUP(P49,#REF!,15,0)),"",(VLOOKUP(P49,#REF!,15,0))))</f>
        <v/>
      </c>
      <c r="W49" s="129" t="str">
        <f>CONCATENATE(IF(ISERROR(VLOOKUP(P49,#REF!,16,0)),"",(VLOOKUP(P49,#REF!,16,0))))</f>
        <v/>
      </c>
      <c r="X49" s="129" t="str">
        <f>CONCATENATE(IF(ISERROR(VLOOKUP(P49,#REF!,17,0)),"",(VLOOKUP(P49,#REF!,17,0))))</f>
        <v/>
      </c>
      <c r="Y49" s="129" t="str">
        <f>CONCATENATE(IF(ISERROR(VLOOKUP(P49,#REF!,18,0)),"",(VLOOKUP(P49,#REF!,18,0))))</f>
        <v/>
      </c>
      <c r="Z49" s="129" t="str">
        <f>CONCATENATE(IF(ISERROR(VLOOKUP(P49,#REF!,19,0)),"",(VLOOKUP(P49,#REF!,19,0))))</f>
        <v/>
      </c>
      <c r="AA49" s="129" t="str">
        <f>CONCATENATE(IF(ISERROR(VLOOKUP(P49,#REF!,20,0)),"",(VLOOKUP(P49,#REF!,20,0))))</f>
        <v/>
      </c>
      <c r="AB49" s="129" t="str">
        <f>CONCATENATE(IF(ISERROR(VLOOKUP(P49,#REF!,21,0)),"",(VLOOKUP(P49,#REF!,21,0))))</f>
        <v/>
      </c>
      <c r="AC49" s="129" t="str">
        <f>CONCATENATE(IF(ISERROR(VLOOKUP(P49,#REF!,22,0)),"",(VLOOKUP(P49,#REF!,22,0))))</f>
        <v/>
      </c>
      <c r="AD49" s="129" t="str">
        <f>CONCATENATE(IF(ISERROR(VLOOKUP(P49,#REF!,23,0)),"",(VLOOKUP(P49,#REF!,23,0))))</f>
        <v/>
      </c>
      <c r="AE49" s="129" t="str">
        <f>CONCATENATE(IF(ISERROR(VLOOKUP(P49,#REF!,24,0)),"",(VLOOKUP(P49,#REF!,24,0))))</f>
        <v/>
      </c>
      <c r="AF49" s="129" t="str">
        <f>CONCATENATE(IF(ISERROR(VLOOKUP(P49,#REF!,25,0)),"",(VLOOKUP(P49,#REF!,25,0))))</f>
        <v/>
      </c>
      <c r="AG49" s="131" t="e">
        <f>CONCATENATE(IF(AG48=#REF!,""&amp;#REF!&amp;"",IF(AG48=#REF!,""&amp;#REF!&amp;"",IF(AG48=#REF!,""&amp;#REF!&amp;"",IF(AG48=#REF!,""&amp;#REF!&amp;"",IF(AG48=#REF!,""&amp;#REF!&amp;"",IF(AG48=#REF!,""&amp;#REF!&amp;"",IF(AG48=#REF!,""&amp;#REF!&amp;"",IF(AG48=#REF!,""&amp;#REF!&amp;"",IF(AG48=#REF!,""&amp;#REF!&amp;"",IF(AG48=#REF!,""&amp;#REF!&amp;"",IF(AG48=#REF!,""&amp;#REF!&amp;"",IF(AG48=#REF!,""&amp;#REF!&amp;"",IF(AG48=#REF!,""&amp;#REF!&amp;"",IF(AG48=#REF!,""&amp;#REF!&amp;"",IF(AG48=#REF!,""&amp;#REF!&amp;"",IF(AG48=#REF!,""&amp;#REF!&amp;"",)))))))))))))))))</f>
        <v>#REF!</v>
      </c>
    </row>
    <row r="50" spans="1:33" ht="17.25" thickTop="1" thickBot="1">
      <c r="A50" s="1536" t="s">
        <v>379</v>
      </c>
      <c r="B50" s="1537"/>
      <c r="C50" s="1504">
        <v>0</v>
      </c>
      <c r="D50" s="1505"/>
      <c r="E50" s="1504">
        <v>0</v>
      </c>
      <c r="F50" s="1505"/>
      <c r="G50" s="1504">
        <v>0</v>
      </c>
      <c r="H50" s="1505"/>
      <c r="I50" s="1504">
        <v>0</v>
      </c>
      <c r="J50" s="1505"/>
      <c r="K50" s="1504" t="s">
        <v>380</v>
      </c>
      <c r="L50" s="1505"/>
      <c r="M50" s="125"/>
      <c r="N50" s="125"/>
      <c r="O50" s="125"/>
      <c r="P50" s="131"/>
      <c r="Q50" s="134" t="s">
        <v>495</v>
      </c>
      <c r="R50" s="131" t="e">
        <f>P49</f>
        <v>#REF!</v>
      </c>
      <c r="S50" s="131"/>
      <c r="T50" s="130"/>
      <c r="U50" s="130"/>
      <c r="V50" s="131" t="e">
        <f>CONCATENATE(IF(V49=#REF!,""&amp;#REF!&amp;"",IF(V49=#REF!,""&amp;#REF!&amp;"",IF(V49=#REF!,""&amp;#REF!&amp;"",IF(V49=#REF!,""&amp;#REF!&amp;"",IF(V49=#REF!,""&amp;#REF!&amp;"",IF(V49=#REF!,""&amp;#REF!&amp;"",IF(V49=#REF!,""&amp;#REF!&amp;"",IF(V49=#REF!,""&amp;#REF!&amp;"",IF(V49=#REF!,""&amp;#REF!&amp;"",IF(V49=#REF!,""&amp;#REF!&amp;"",IF(V49=#REF!,""&amp;#REF!&amp;"",IF(V49=#REF!,""&amp;#REF!&amp;"",IF(V49=#REF!,""&amp;#REF!&amp;"",IF(V49=#REF!,""&amp;#REF!&amp;"",IF(V49=#REF!,""&amp;#REF!&amp;"",IF(V49=#REF!,""&amp;#REF!&amp;"",IF(V49=#REF!,""&amp;#REF!&amp;"",IF(V49=#REF!,""&amp;#REF!&amp;"",IF(V49=#REF!,""&amp;#REF!&amp;"",))))))))))))))))))))</f>
        <v>#REF!</v>
      </c>
      <c r="W50" s="131" t="e">
        <f>CONCATENATE(IF(W49=#REF!,""&amp;#REF!&amp;"",IF(W49=#REF!,""&amp;#REF!&amp;"",IF(W49=#REF!,""&amp;#REF!&amp;"",IF(W49=#REF!,""&amp;#REF!&amp;"",IF(W49=#REF!,""&amp;#REF!&amp;"",IF(W49=#REF!,""&amp;#REF!&amp;"",IF(W49=#REF!,""&amp;#REF!&amp;"",IF(W49=#REF!,""&amp;#REF!&amp;"",IF(W49=#REF!,""&amp;#REF!&amp;"",IF(W49=#REF!,""&amp;#REF!&amp;"",IF(W49=#REF!,""&amp;#REF!&amp;"",IF(W49=#REF!,""&amp;#REF!&amp;"",IF(W49=#REF!,""&amp;#REF!&amp;"",IF(W49=#REF!,""&amp;#REF!&amp;"",IF(W49=#REF!,""&amp;#REF!&amp;"",IF(W49=#REF!,""&amp;#REF!&amp;"",IF(W49=#REF!,""&amp;#REF!&amp;"",IF(W49=#REF!,""&amp;#REF!&amp;"",IF(W49=#REF!,""&amp;#REF!&amp;"",))))))))))))))))))))</f>
        <v>#REF!</v>
      </c>
      <c r="X50" s="131" t="e">
        <f>CONCATENATE(IF(X49=#REF!,""&amp;#REF!&amp;"",IF(X49=#REF!,""&amp;#REF!&amp;"",IF(X49=#REF!,""&amp;#REF!&amp;"",IF(X49=#REF!,""&amp;#REF!&amp;"",IF(X49=#REF!,""&amp;#REF!&amp;"",IF(X49=#REF!,""&amp;#REF!&amp;"",IF(X49=#REF!,""&amp;#REF!&amp;"",IF(X49=#REF!,""&amp;#REF!&amp;"",IF(X49=#REF!,""&amp;#REF!&amp;"",IF(X49=#REF!,""&amp;#REF!&amp;"",IF(X49=#REF!,""&amp;#REF!&amp;"",IF(X49=#REF!,""&amp;#REF!&amp;"",IF(X49=#REF!,""&amp;#REF!&amp;"",IF(X49=#REF!,""&amp;#REF!&amp;"",IF(X49=#REF!,""&amp;#REF!&amp;"",IF(X49=#REF!,""&amp;#REF!&amp;"",IF(X49=#REF!,""&amp;#REF!&amp;"",IF(X49=#REF!,""&amp;#REF!&amp;"",IF(X49=#REF!,""&amp;#REF!&amp;"",))))))))))))))))))))</f>
        <v>#REF!</v>
      </c>
      <c r="Y50" s="131" t="e">
        <f>CONCATENATE(IF(Y49=#REF!,""&amp;#REF!&amp;"",IF(Y49=#REF!,""&amp;#REF!&amp;"",IF(Y49=#REF!,""&amp;#REF!&amp;"",IF(Y49=#REF!,""&amp;#REF!&amp;"",IF(Y49=#REF!,""&amp;#REF!&amp;"",IF(Y49=#REF!,""&amp;#REF!&amp;"",IF(Y49=#REF!,""&amp;#REF!&amp;"",IF(Y49=#REF!,""&amp;#REF!&amp;"",IF(Y49=#REF!,""&amp;#REF!&amp;"",IF(Y49=#REF!,""&amp;#REF!&amp;"",IF(Y49=#REF!,""&amp;#REF!&amp;"",IF(Y49=#REF!,""&amp;#REF!&amp;"",IF(Y49=#REF!,""&amp;#REF!&amp;"",IF(Y49=#REF!,""&amp;#REF!&amp;"",IF(Y49=#REF!,""&amp;#REF!&amp;"",IF(Y49=#REF!,""&amp;#REF!&amp;"",IF(Y49=#REF!,""&amp;#REF!&amp;"",IF(Y49=#REF!,""&amp;#REF!&amp;"",IF(Y49=#REF!,""&amp;#REF!&amp;"",))))))))))))))))))))</f>
        <v>#REF!</v>
      </c>
      <c r="Z50" s="131" t="e">
        <f>CONCATENATE(IF(Z49=#REF!,""&amp;#REF!&amp;"",IF(Z49=#REF!,""&amp;#REF!&amp;"",IF(Z49=#REF!,""&amp;#REF!&amp;"",IF(Z49=#REF!,""&amp;#REF!&amp;"",IF(Z49=#REF!,""&amp;#REF!&amp;"",IF(Z49=#REF!,""&amp;#REF!&amp;"",IF(Z49=#REF!,""&amp;#REF!&amp;"",IF(Z49=#REF!,""&amp;#REF!&amp;"",IF(Z49=#REF!,""&amp;#REF!&amp;"",IF(Z49=#REF!,""&amp;#REF!&amp;"",IF(Z49=#REF!,""&amp;#REF!&amp;"",IF(Z49=#REF!,""&amp;#REF!&amp;"",IF(Z49=#REF!,""&amp;#REF!&amp;"",IF(Z49=#REF!,""&amp;#REF!&amp;"",IF(Z49=#REF!,""&amp;#REF!&amp;"",IF(Z49=#REF!,""&amp;#REF!&amp;"",IF(Z49=#REF!,""&amp;#REF!&amp;"",IF(Z49=#REF!,""&amp;#REF!&amp;"",IF(Z49=#REF!,""&amp;#REF!&amp;"",))))))))))))))))))))</f>
        <v>#REF!</v>
      </c>
      <c r="AA50" s="131" t="e">
        <f>CONCATENATE(IF(AA49=#REF!,""&amp;#REF!&amp;"",IF(AA49=#REF!,""&amp;#REF!&amp;"",IF(AA49=#REF!,""&amp;#REF!&amp;"",IF(AA49=#REF!,""&amp;#REF!&amp;"",IF(AA49=#REF!,""&amp;#REF!&amp;"",IF(AA49=#REF!,""&amp;#REF!&amp;"",IF(AA49=#REF!,""&amp;#REF!&amp;"",IF(AA49=#REF!,""&amp;#REF!&amp;"",IF(AA49=#REF!,""&amp;#REF!&amp;"",IF(AA49=#REF!,""&amp;#REF!&amp;"",IF(AA49=#REF!,""&amp;#REF!&amp;"",IF(AA49=#REF!,""&amp;#REF!&amp;"",IF(AA49=#REF!,""&amp;#REF!&amp;"",IF(AA49=#REF!,""&amp;#REF!&amp;"",IF(AA49=#REF!,""&amp;#REF!&amp;"",IF(AA49=#REF!,""&amp;#REF!&amp;"",IF(AA49=#REF!,""&amp;#REF!&amp;"",IF(AA49=#REF!,""&amp;#REF!&amp;"",IF(AA49=#REF!,""&amp;#REF!&amp;"",))))))))))))))))))))</f>
        <v>#REF!</v>
      </c>
      <c r="AB50" s="131" t="e">
        <f>CONCATENATE(IF(AB49=#REF!,""&amp;#REF!&amp;"",IF(AB49=#REF!,""&amp;#REF!&amp;"",IF(AB49=#REF!,""&amp;#REF!&amp;"",IF(AB49=#REF!,""&amp;#REF!&amp;"",IF(AB49=#REF!,""&amp;#REF!&amp;"",IF(AB49=#REF!,""&amp;#REF!&amp;"",IF(AB49=#REF!,""&amp;#REF!&amp;"",IF(AB49=#REF!,""&amp;#REF!&amp;"",IF(AB49=#REF!,""&amp;#REF!&amp;"",IF(AB49=#REF!,""&amp;#REF!&amp;"",IF(AB49=#REF!,""&amp;#REF!&amp;"",IF(AB49=#REF!,""&amp;#REF!&amp;"",IF(AB49=#REF!,""&amp;#REF!&amp;"",IF(AB49=#REF!,""&amp;#REF!&amp;"",IF(AB49=#REF!,""&amp;#REF!&amp;"",IF(AB49=#REF!,""&amp;#REF!&amp;"",IF(AB49=#REF!,""&amp;#REF!&amp;"",IF(AB49=#REF!,""&amp;#REF!&amp;"",IF(AB49=#REF!,""&amp;#REF!&amp;"",))))))))))))))))))))</f>
        <v>#REF!</v>
      </c>
      <c r="AC50" s="131" t="e">
        <f>CONCATENATE(IF(AC49=#REF!,""&amp;#REF!&amp;"",IF(AC49=#REF!,""&amp;#REF!&amp;"",IF(AC49=#REF!,""&amp;#REF!&amp;"",IF(AC49=#REF!,""&amp;#REF!&amp;"",IF(AC49=#REF!,""&amp;#REF!&amp;"",IF(AC49=#REF!,""&amp;#REF!&amp;"",IF(AC49=#REF!,""&amp;#REF!&amp;"",IF(AC49=#REF!,""&amp;#REF!&amp;"",IF(AC49=#REF!,""&amp;#REF!&amp;"",IF(AC49=#REF!,""&amp;#REF!&amp;"",IF(AC49=#REF!,""&amp;#REF!&amp;"",IF(AC49=#REF!,""&amp;#REF!&amp;"",IF(AC49=#REF!,""&amp;#REF!&amp;"",IF(AC49=#REF!,""&amp;#REF!&amp;"",IF(AC49=#REF!,""&amp;#REF!&amp;"",IF(AC49=#REF!,""&amp;#REF!&amp;"",IF(AC49=#REF!,""&amp;#REF!&amp;"",IF(AC49=#REF!,""&amp;#REF!&amp;"",IF(AC49=#REF!,""&amp;#REF!&amp;"",))))))))))))))))))))</f>
        <v>#REF!</v>
      </c>
      <c r="AD50" s="131" t="e">
        <f>CONCATENATE(IF(AD49=#REF!,""&amp;#REF!&amp;"",IF(AD49=#REF!,""&amp;#REF!&amp;"",IF(AD49=#REF!,""&amp;#REF!&amp;"",IF(AD49=#REF!,""&amp;#REF!&amp;"",IF(AD49=#REF!,""&amp;#REF!&amp;"",IF(AD49=#REF!,""&amp;#REF!&amp;"",IF(AD49=#REF!,""&amp;#REF!&amp;"",IF(AD49=#REF!,""&amp;#REF!&amp;"",IF(AD49=#REF!,""&amp;#REF!&amp;"",IF(AD49=#REF!,""&amp;#REF!&amp;"",IF(AD49=#REF!,""&amp;#REF!&amp;"",IF(AD49=#REF!,""&amp;#REF!&amp;"",IF(AD49=#REF!,""&amp;#REF!&amp;"",IF(AD49=#REF!,""&amp;#REF!&amp;"",IF(AD49=#REF!,""&amp;#REF!&amp;"",IF(AD49=#REF!,""&amp;#REF!&amp;"",IF(AD49=#REF!,""&amp;#REF!&amp;"",IF(AD49=#REF!,""&amp;#REF!&amp;"",IF(AD49=#REF!,""&amp;#REF!&amp;"",))))))))))))))))))))</f>
        <v>#REF!</v>
      </c>
      <c r="AE50" s="131" t="e">
        <f>CONCATENATE(IF(AE49=#REF!,""&amp;#REF!&amp;"",IF(AE49=#REF!,""&amp;#REF!&amp;"",IF(AE49=#REF!,""&amp;#REF!&amp;"",IF(AE49=#REF!,""&amp;#REF!&amp;"",IF(AE49=#REF!,""&amp;#REF!&amp;"",IF(AE49=#REF!,""&amp;#REF!&amp;"",IF(AE49=#REF!,""&amp;#REF!&amp;"",IF(AE49=#REF!,""&amp;#REF!&amp;"",IF(AE49=#REF!,""&amp;#REF!&amp;"",IF(AE49=#REF!,""&amp;#REF!&amp;"",IF(AE49=#REF!,""&amp;#REF!&amp;"",IF(AE49=#REF!,""&amp;#REF!&amp;"",IF(AE49=#REF!,""&amp;#REF!&amp;"",IF(AE49=#REF!,""&amp;#REF!&amp;"",IF(AE49=#REF!,""&amp;#REF!&amp;"",IF(AE49=#REF!,""&amp;#REF!&amp;"",IF(AE49=#REF!,""&amp;#REF!&amp;"",IF(AE49=#REF!,""&amp;#REF!&amp;"",IF(AE49=#REF!,""&amp;#REF!&amp;"",))))))))))))))))))))</f>
        <v>#REF!</v>
      </c>
      <c r="AF50" s="131" t="e">
        <f>CONCATENATE(IF(AF49=#REF!,""&amp;#REF!&amp;"",IF(AF49=#REF!,""&amp;#REF!&amp;"",IF(AF49=#REF!,""&amp;#REF!&amp;"",IF(AF49=#REF!,""&amp;#REF!&amp;"",IF(AF49=#REF!,""&amp;#REF!&amp;"",IF(AF49=#REF!,""&amp;#REF!&amp;"",IF(AF49=#REF!,""&amp;#REF!&amp;"",IF(AF49=#REF!,""&amp;#REF!&amp;"",IF(AF49=#REF!,""&amp;#REF!&amp;"",IF(AF49=#REF!,""&amp;#REF!&amp;"",IF(AF49=#REF!,""&amp;#REF!&amp;"",IF(AF49=#REF!,""&amp;#REF!&amp;"",IF(AF49=#REF!,""&amp;#REF!&amp;"",IF(AF49=#REF!,""&amp;#REF!&amp;"",IF(AF49=#REF!,""&amp;#REF!&amp;"",IF(AF49=#REF!,""&amp;#REF!&amp;"",IF(AF49=#REF!,""&amp;#REF!&amp;"",IF(AF49=#REF!,""&amp;#REF!&amp;"",IF(AF49=#REF!,""&amp;#REF!&amp;"",))))))))))))))))))))</f>
        <v>#REF!</v>
      </c>
      <c r="AG50" s="131" t="e">
        <f>CONCATENATE(IF(AG49=#REF!,""&amp;#REF!&amp;"",IF(AG49=#REF!,""&amp;#REF!&amp;"",IF(AG49=#REF!,""&amp;#REF!&amp;"",IF(AG49=#REF!,""&amp;#REF!&amp;"",IF(AG49=#REF!,""&amp;#REF!&amp;"",IF(AG49=#REF!,""&amp;#REF!&amp;"",IF(AG49=#REF!,""&amp;#REF!&amp;"",IF(AG49=#REF!,""&amp;#REF!&amp;"",IF(AG49=#REF!,""&amp;#REF!&amp;"",IF(AG49=#REF!,""&amp;#REF!&amp;"",IF(AG49=#REF!,""&amp;#REF!&amp;"",IF(AG49=#REF!,""&amp;#REF!&amp;"",IF(AG49=#REF!,""&amp;#REF!&amp;"",IF(AG49=#REF!,""&amp;#REF!&amp;"",IF(AG49=#REF!,""&amp;#REF!&amp;"",IF(AG49=#REF!,""&amp;#REF!&amp;"",IF(AG49=#REF!,""&amp;#REF!&amp;"",IF(AG49=#REF!,""&amp;#REF!&amp;"",IF(AG49=#REF!,""&amp;#REF!&amp;"",))))))))))))))))))))</f>
        <v>#REF!</v>
      </c>
    </row>
    <row r="51" spans="1:33" ht="17.25" thickTop="1" thickBot="1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125"/>
      <c r="N51" s="125"/>
      <c r="O51" s="125"/>
      <c r="P51" s="129" t="e">
        <f>CONCATENATE(#REF!)</f>
        <v>#REF!</v>
      </c>
      <c r="Q51" s="134" t="s">
        <v>381</v>
      </c>
      <c r="R51" s="134"/>
      <c r="S51" s="129" t="e">
        <f>P51</f>
        <v>#REF!</v>
      </c>
      <c r="T51" s="130" t="e">
        <f>CONCATENATE(#REF!)</f>
        <v>#REF!</v>
      </c>
      <c r="U51" s="130" t="e">
        <f>CONCATENATE(#REF!)</f>
        <v>#REF!</v>
      </c>
      <c r="V51" s="129" t="str">
        <f>CONCATENATE(IF(ISERROR(VLOOKUP(P51,#REF!,15,0)),"",(VLOOKUP(P51,#REF!,15,0))))</f>
        <v/>
      </c>
      <c r="W51" s="129" t="str">
        <f>CONCATENATE(IF(ISERROR(VLOOKUP(P51,#REF!,16,0)),"",(VLOOKUP(P51,#REF!,16,0))))</f>
        <v/>
      </c>
      <c r="X51" s="129" t="str">
        <f>CONCATENATE(IF(ISERROR(VLOOKUP(P51,#REF!,17,0)),"",(VLOOKUP(P51,#REF!,17,0))))</f>
        <v/>
      </c>
      <c r="Y51" s="129" t="str">
        <f>CONCATENATE(IF(ISERROR(VLOOKUP(P51,#REF!,18,0)),"",(VLOOKUP(P51,#REF!,18,0))))</f>
        <v/>
      </c>
      <c r="Z51" s="129" t="str">
        <f>CONCATENATE(IF(ISERROR(VLOOKUP(P51,#REF!,19,0)),"",(VLOOKUP(P51,#REF!,19,0))))</f>
        <v/>
      </c>
      <c r="AA51" s="129" t="str">
        <f>CONCATENATE(IF(ISERROR(VLOOKUP(P51,#REF!,20,0)),"",(VLOOKUP(P51,#REF!,20,0))))</f>
        <v/>
      </c>
      <c r="AB51" s="129" t="str">
        <f>CONCATENATE(IF(ISERROR(VLOOKUP(P51,#REF!,21,0)),"",(VLOOKUP(P51,#REF!,21,0))))</f>
        <v/>
      </c>
      <c r="AC51" s="129" t="str">
        <f>CONCATENATE(IF(ISERROR(VLOOKUP(P51,#REF!,22,0)),"",(VLOOKUP(P51,#REF!,22,0))))</f>
        <v/>
      </c>
      <c r="AD51" s="129" t="str">
        <f>CONCATENATE(IF(ISERROR(VLOOKUP(P51,#REF!,23,0)),"",(VLOOKUP(P51,#REF!,23,0))))</f>
        <v/>
      </c>
      <c r="AE51" s="129" t="str">
        <f>CONCATENATE(IF(ISERROR(VLOOKUP(P51,#REF!,24,0)),"",(VLOOKUP(P51,#REF!,24,0))))</f>
        <v/>
      </c>
      <c r="AF51" s="129" t="str">
        <f>CONCATENATE(IF(ISERROR(VLOOKUP(P51,#REF!,25,0)),"",(VLOOKUP(P51,#REF!,25,0))))</f>
        <v/>
      </c>
      <c r="AG51" s="136"/>
    </row>
    <row r="52" spans="1:33" ht="16.5" thickTop="1">
      <c r="A52" s="35" t="s">
        <v>381</v>
      </c>
      <c r="B52" s="36" t="s">
        <v>262</v>
      </c>
      <c r="C52" s="36" t="s">
        <v>270</v>
      </c>
      <c r="D52" s="36" t="s">
        <v>408</v>
      </c>
      <c r="E52" s="36" t="s">
        <v>383</v>
      </c>
      <c r="F52" s="36" t="s">
        <v>279</v>
      </c>
      <c r="G52" s="36" t="s">
        <v>384</v>
      </c>
      <c r="H52" s="36" t="s">
        <v>385</v>
      </c>
      <c r="I52" s="36" t="s">
        <v>290</v>
      </c>
      <c r="J52" s="36" t="s">
        <v>386</v>
      </c>
      <c r="K52" s="36" t="s">
        <v>387</v>
      </c>
      <c r="L52" s="36" t="s">
        <v>380</v>
      </c>
      <c r="M52" s="125"/>
      <c r="N52" s="125"/>
      <c r="O52" s="125"/>
      <c r="P52" s="131"/>
      <c r="Q52" s="134" t="s">
        <v>495</v>
      </c>
      <c r="R52" s="131" t="e">
        <f>P51</f>
        <v>#REF!</v>
      </c>
      <c r="S52" s="131"/>
      <c r="T52" s="132"/>
      <c r="U52" s="132"/>
      <c r="V52" s="131" t="e">
        <f>CONCATENATE(IF(V51=#REF!,""&amp;#REF!&amp;"",IF(V51=#REF!,""&amp;#REF!&amp;"",IF(V51=#REF!,""&amp;#REF!&amp;"",IF(V51=#REF!,""&amp;#REF!&amp;"",IF(V51=#REF!,""&amp;#REF!&amp;"",IF(V51=#REF!,""&amp;#REF!&amp;"",IF(V51=#REF!,""&amp;#REF!&amp;"",IF(V51=#REF!,""&amp;#REF!&amp;"",IF(V51=#REF!,""&amp;#REF!&amp;"",IF(V51=#REF!,""&amp;#REF!&amp;"",IF(V51=#REF!,""&amp;#REF!&amp;"",IF(V51=#REF!,""&amp;#REF!&amp;"",IF(V51=#REF!,""&amp;#REF!&amp;"",IF(V51=#REF!,""&amp;#REF!&amp;"",IF(V51=#REF!,""&amp;#REF!&amp;"",IF(V51=#REF!,""&amp;#REF!&amp;"",IF(V51=#REF!,""&amp;#REF!&amp;"",IF(V51=#REF!,""&amp;#REF!&amp;"",IF(V51=#REF!,""&amp;#REF!&amp;"",))))))))))))))))))))</f>
        <v>#REF!</v>
      </c>
      <c r="W52" s="131" t="e">
        <f>CONCATENATE(IF(W51=#REF!,""&amp;#REF!&amp;"",IF(W51=#REF!,""&amp;#REF!&amp;"",IF(W51=#REF!,""&amp;#REF!&amp;"",IF(W51=#REF!,""&amp;#REF!&amp;"",IF(W51=#REF!,""&amp;#REF!&amp;"",IF(W51=#REF!,""&amp;#REF!&amp;"",IF(W51=#REF!,""&amp;#REF!&amp;"",IF(W51=#REF!,""&amp;#REF!&amp;"",IF(W51=#REF!,""&amp;#REF!&amp;"",IF(W51=#REF!,""&amp;#REF!&amp;"",IF(W51=#REF!,""&amp;#REF!&amp;"",IF(W51=#REF!,""&amp;#REF!&amp;"",IF(W51=#REF!,""&amp;#REF!&amp;"",IF(W51=#REF!,""&amp;#REF!&amp;"",IF(W51=#REF!,""&amp;#REF!&amp;"",IF(W51=#REF!,""&amp;#REF!&amp;"",IF(W51=#REF!,""&amp;#REF!&amp;"",IF(W51=#REF!,""&amp;#REF!&amp;"",IF(W51=#REF!,""&amp;#REF!&amp;"",))))))))))))))))))))</f>
        <v>#REF!</v>
      </c>
      <c r="X52" s="131" t="e">
        <f>CONCATENATE(IF(X51=#REF!,""&amp;#REF!&amp;"",IF(X51=#REF!,""&amp;#REF!&amp;"",IF(X51=#REF!,""&amp;#REF!&amp;"",IF(X51=#REF!,""&amp;#REF!&amp;"",IF(X51=#REF!,""&amp;#REF!&amp;"",IF(X51=#REF!,""&amp;#REF!&amp;"",IF(X51=#REF!,""&amp;#REF!&amp;"",IF(X51=#REF!,""&amp;#REF!&amp;"",IF(X51=#REF!,""&amp;#REF!&amp;"",IF(X51=#REF!,""&amp;#REF!&amp;"",IF(X51=#REF!,""&amp;#REF!&amp;"",IF(X51=#REF!,""&amp;#REF!&amp;"",IF(X51=#REF!,""&amp;#REF!&amp;"",IF(X51=#REF!,""&amp;#REF!&amp;"",IF(X51=#REF!,""&amp;#REF!&amp;"",IF(X51=#REF!,""&amp;#REF!&amp;"",IF(X51=#REF!,""&amp;#REF!&amp;"",IF(X51=#REF!,""&amp;#REF!&amp;"",IF(X51=#REF!,""&amp;#REF!&amp;"",))))))))))))))))))))</f>
        <v>#REF!</v>
      </c>
      <c r="Y52" s="131" t="e">
        <f>CONCATENATE(IF(Y51=#REF!,""&amp;#REF!&amp;"",IF(Y51=#REF!,""&amp;#REF!&amp;"",IF(Y51=#REF!,""&amp;#REF!&amp;"",IF(Y51=#REF!,""&amp;#REF!&amp;"",IF(Y51=#REF!,""&amp;#REF!&amp;"",IF(Y51=#REF!,""&amp;#REF!&amp;"",IF(Y51=#REF!,""&amp;#REF!&amp;"",IF(Y51=#REF!,""&amp;#REF!&amp;"",IF(Y51=#REF!,""&amp;#REF!&amp;"",IF(Y51=#REF!,""&amp;#REF!&amp;"",IF(Y51=#REF!,""&amp;#REF!&amp;"",IF(Y51=#REF!,""&amp;#REF!&amp;"",IF(Y51=#REF!,""&amp;#REF!&amp;"",IF(Y51=#REF!,""&amp;#REF!&amp;"",IF(Y51=#REF!,""&amp;#REF!&amp;"",IF(Y51=#REF!,""&amp;#REF!&amp;"",IF(Y51=#REF!,""&amp;#REF!&amp;"",IF(Y51=#REF!,""&amp;#REF!&amp;"",IF(Y51=#REF!,""&amp;#REF!&amp;"",))))))))))))))))))))</f>
        <v>#REF!</v>
      </c>
      <c r="Z52" s="131" t="e">
        <f>CONCATENATE(IF(Z51=#REF!,""&amp;#REF!&amp;"",IF(Z51=#REF!,""&amp;#REF!&amp;"",IF(Z51=#REF!,""&amp;#REF!&amp;"",IF(Z51=#REF!,""&amp;#REF!&amp;"",IF(Z51=#REF!,""&amp;#REF!&amp;"",IF(Z51=#REF!,""&amp;#REF!&amp;"",IF(Z51=#REF!,""&amp;#REF!&amp;"",IF(Z51=#REF!,""&amp;#REF!&amp;"",IF(Z51=#REF!,""&amp;#REF!&amp;"",IF(Z51=#REF!,""&amp;#REF!&amp;"",IF(Z51=#REF!,""&amp;#REF!&amp;"",IF(Z51=#REF!,""&amp;#REF!&amp;"",IF(Z51=#REF!,""&amp;#REF!&amp;"",IF(Z51=#REF!,""&amp;#REF!&amp;"",IF(Z51=#REF!,""&amp;#REF!&amp;"",IF(Z51=#REF!,""&amp;#REF!&amp;"",IF(Z51=#REF!,""&amp;#REF!&amp;"",IF(Z51=#REF!,""&amp;#REF!&amp;"",IF(Z51=#REF!,""&amp;#REF!&amp;"",))))))))))))))))))))</f>
        <v>#REF!</v>
      </c>
      <c r="AA52" s="131" t="e">
        <f>CONCATENATE(IF(AA51=#REF!,""&amp;#REF!&amp;"",IF(AA51=#REF!,""&amp;#REF!&amp;"",IF(AA51=#REF!,""&amp;#REF!&amp;"",IF(AA51=#REF!,""&amp;#REF!&amp;"",IF(AA51=#REF!,""&amp;#REF!&amp;"",IF(AA51=#REF!,""&amp;#REF!&amp;"",IF(AA51=#REF!,""&amp;#REF!&amp;"",IF(AA51=#REF!,""&amp;#REF!&amp;"",IF(AA51=#REF!,""&amp;#REF!&amp;"",IF(AA51=#REF!,""&amp;#REF!&amp;"",IF(AA51=#REF!,""&amp;#REF!&amp;"",IF(AA51=#REF!,""&amp;#REF!&amp;"",IF(AA51=#REF!,""&amp;#REF!&amp;"",IF(AA51=#REF!,""&amp;#REF!&amp;"",IF(AA51=#REF!,""&amp;#REF!&amp;"",IF(AA51=#REF!,""&amp;#REF!&amp;"",IF(AA51=#REF!,""&amp;#REF!&amp;"",IF(AA51=#REF!,""&amp;#REF!&amp;"",IF(AA51=#REF!,""&amp;#REF!&amp;"",))))))))))))))))))))</f>
        <v>#REF!</v>
      </c>
      <c r="AB52" s="131" t="e">
        <f>CONCATENATE(IF(AB51=#REF!,""&amp;#REF!&amp;"",IF(AB51=#REF!,""&amp;#REF!&amp;"",IF(AB51=#REF!,""&amp;#REF!&amp;"",IF(AB51=#REF!,""&amp;#REF!&amp;"",IF(AB51=#REF!,""&amp;#REF!&amp;"",IF(AB51=#REF!,""&amp;#REF!&amp;"",IF(AB51=#REF!,""&amp;#REF!&amp;"",IF(AB51=#REF!,""&amp;#REF!&amp;"",IF(AB51=#REF!,""&amp;#REF!&amp;"",IF(AB51=#REF!,""&amp;#REF!&amp;"",IF(AB51=#REF!,""&amp;#REF!&amp;"",IF(AB51=#REF!,""&amp;#REF!&amp;"",IF(AB51=#REF!,""&amp;#REF!&amp;"",IF(AB51=#REF!,""&amp;#REF!&amp;"",IF(AB51=#REF!,""&amp;#REF!&amp;"",IF(AB51=#REF!,""&amp;#REF!&amp;"",IF(AB51=#REF!,""&amp;#REF!&amp;"",IF(AB51=#REF!,""&amp;#REF!&amp;"",IF(AB51=#REF!,""&amp;#REF!&amp;"",))))))))))))))))))))</f>
        <v>#REF!</v>
      </c>
      <c r="AC52" s="131" t="e">
        <f>CONCATENATE(IF(AC51=#REF!,""&amp;#REF!&amp;"",IF(AC51=#REF!,""&amp;#REF!&amp;"",IF(AC51=#REF!,""&amp;#REF!&amp;"",IF(AC51=#REF!,""&amp;#REF!&amp;"",IF(AC51=#REF!,""&amp;#REF!&amp;"",IF(AC51=#REF!,""&amp;#REF!&amp;"",IF(AC51=#REF!,""&amp;#REF!&amp;"",IF(AC51=#REF!,""&amp;#REF!&amp;"",IF(AC51=#REF!,""&amp;#REF!&amp;"",IF(AC51=#REF!,""&amp;#REF!&amp;"",IF(AC51=#REF!,""&amp;#REF!&amp;"",IF(AC51=#REF!,""&amp;#REF!&amp;"",IF(AC51=#REF!,""&amp;#REF!&amp;"",IF(AC51=#REF!,""&amp;#REF!&amp;"",IF(AC51=#REF!,""&amp;#REF!&amp;"",IF(AC51=#REF!,""&amp;#REF!&amp;"",IF(AC51=#REF!,""&amp;#REF!&amp;"",IF(AC51=#REF!,""&amp;#REF!&amp;"",IF(AC51=#REF!,""&amp;#REF!&amp;"",))))))))))))))))))))</f>
        <v>#REF!</v>
      </c>
      <c r="AD52" s="131" t="e">
        <f>CONCATENATE(IF(AD51=#REF!,""&amp;#REF!&amp;"",IF(AD51=#REF!,""&amp;#REF!&amp;"",IF(AD51=#REF!,""&amp;#REF!&amp;"",IF(AD51=#REF!,""&amp;#REF!&amp;"",IF(AD51=#REF!,""&amp;#REF!&amp;"",IF(AD51=#REF!,""&amp;#REF!&amp;"",IF(AD51=#REF!,""&amp;#REF!&amp;"",IF(AD51=#REF!,""&amp;#REF!&amp;"",IF(AD51=#REF!,""&amp;#REF!&amp;"",IF(AD51=#REF!,""&amp;#REF!&amp;"",IF(AD51=#REF!,""&amp;#REF!&amp;"",IF(AD51=#REF!,""&amp;#REF!&amp;"",IF(AD51=#REF!,""&amp;#REF!&amp;"",IF(AD51=#REF!,""&amp;#REF!&amp;"",IF(AD51=#REF!,""&amp;#REF!&amp;"",IF(AD51=#REF!,""&amp;#REF!&amp;"",IF(AD51=#REF!,""&amp;#REF!&amp;"",IF(AD51=#REF!,""&amp;#REF!&amp;"",IF(AD51=#REF!,""&amp;#REF!&amp;"",))))))))))))))))))))</f>
        <v>#REF!</v>
      </c>
      <c r="AE52" s="131" t="e">
        <f>CONCATENATE(IF(AE51=#REF!,""&amp;#REF!&amp;"",IF(AE51=#REF!,""&amp;#REF!&amp;"",IF(AE51=#REF!,""&amp;#REF!&amp;"",IF(AE51=#REF!,""&amp;#REF!&amp;"",IF(AE51=#REF!,""&amp;#REF!&amp;"",IF(AE51=#REF!,""&amp;#REF!&amp;"",IF(AE51=#REF!,""&amp;#REF!&amp;"",IF(AE51=#REF!,""&amp;#REF!&amp;"",IF(AE51=#REF!,""&amp;#REF!&amp;"",IF(AE51=#REF!,""&amp;#REF!&amp;"",IF(AE51=#REF!,""&amp;#REF!&amp;"",IF(AE51=#REF!,""&amp;#REF!&amp;"",IF(AE51=#REF!,""&amp;#REF!&amp;"",IF(AE51=#REF!,""&amp;#REF!&amp;"",IF(AE51=#REF!,""&amp;#REF!&amp;"",IF(AE51=#REF!,""&amp;#REF!&amp;"",IF(AE51=#REF!,""&amp;#REF!&amp;"",IF(AE51=#REF!,""&amp;#REF!&amp;"",IF(AE51=#REF!,""&amp;#REF!&amp;"",))))))))))))))))))))</f>
        <v>#REF!</v>
      </c>
      <c r="AF52" s="131" t="e">
        <f>CONCATENATE(IF(AF51=#REF!,""&amp;#REF!&amp;"",IF(AF51=#REF!,""&amp;#REF!&amp;"",IF(AF51=#REF!,""&amp;#REF!&amp;"",IF(AF51=#REF!,""&amp;#REF!&amp;"",IF(AF51=#REF!,""&amp;#REF!&amp;"",IF(AF51=#REF!,""&amp;#REF!&amp;"",IF(AF51=#REF!,""&amp;#REF!&amp;"",IF(AF51=#REF!,""&amp;#REF!&amp;"",IF(AF51=#REF!,""&amp;#REF!&amp;"",IF(AF51=#REF!,""&amp;#REF!&amp;"",IF(AF51=#REF!,""&amp;#REF!&amp;"",IF(AF51=#REF!,""&amp;#REF!&amp;"",IF(AF51=#REF!,""&amp;#REF!&amp;"",IF(AF51=#REF!,""&amp;#REF!&amp;"",IF(AF51=#REF!,""&amp;#REF!&amp;"",IF(AF51=#REF!,""&amp;#REF!&amp;"",IF(AF51=#REF!,""&amp;#REF!&amp;"",IF(AF51=#REF!,""&amp;#REF!&amp;"",IF(AF51=#REF!,""&amp;#REF!&amp;"",))))))))))))))))))))</f>
        <v>#REF!</v>
      </c>
      <c r="AG52" s="131" t="e">
        <f>CONCATENATE(IF(AG51=#REF!,""&amp;#REF!&amp;"",IF(AG51=#REF!,""&amp;#REF!&amp;"",IF(AG51=#REF!,""&amp;#REF!&amp;"",IF(AG51=#REF!,""&amp;#REF!&amp;"",IF(AG51=#REF!,""&amp;#REF!&amp;"",IF(AG51=#REF!,""&amp;#REF!&amp;"",IF(AG51=#REF!,""&amp;#REF!&amp;"",IF(AG51=#REF!,""&amp;#REF!&amp;"",IF(AG51=#REF!,""&amp;#REF!&amp;"",IF(AG51=#REF!,""&amp;#REF!&amp;"",IF(AG51=#REF!,""&amp;#REF!&amp;"",IF(AG51=#REF!,""&amp;#REF!&amp;"",IF(AG51=#REF!,""&amp;#REF!&amp;"",IF(AG51=#REF!,""&amp;#REF!&amp;"",IF(AG51=#REF!,""&amp;#REF!&amp;"",IF(AG51=#REF!,""&amp;#REF!&amp;"",IF(AG51=#REF!,""&amp;#REF!&amp;"",IF(AG51=#REF!,""&amp;#REF!&amp;"",IF(AG51=#REF!,""&amp;#REF!&amp;"",))))))))))))))))))))</f>
        <v>#REF!</v>
      </c>
    </row>
    <row r="53" spans="1:33" ht="15.75">
      <c r="A53" s="37" t="s">
        <v>388</v>
      </c>
      <c r="B53" s="38" t="s">
        <v>392</v>
      </c>
      <c r="C53" s="38" t="s">
        <v>410</v>
      </c>
      <c r="D53" s="38" t="s">
        <v>390</v>
      </c>
      <c r="E53" s="38" t="s">
        <v>359</v>
      </c>
      <c r="F53" s="38" t="s">
        <v>393</v>
      </c>
      <c r="G53" s="38" t="s">
        <v>393</v>
      </c>
      <c r="H53" s="38" t="s">
        <v>359</v>
      </c>
      <c r="I53" s="38" t="s">
        <v>393</v>
      </c>
      <c r="J53" s="38" t="s">
        <v>393</v>
      </c>
      <c r="K53" s="38" t="s">
        <v>359</v>
      </c>
      <c r="L53" s="38" t="s">
        <v>380</v>
      </c>
      <c r="M53" s="125"/>
      <c r="N53" s="125"/>
      <c r="O53" s="125"/>
      <c r="P53" s="137"/>
      <c r="Q53" s="138"/>
      <c r="R53" s="138"/>
      <c r="S53" s="138"/>
      <c r="T53" s="138"/>
      <c r="U53" s="138"/>
      <c r="V53" s="137"/>
      <c r="W53" s="138"/>
      <c r="X53" s="138"/>
      <c r="Y53" s="138"/>
      <c r="Z53" s="138"/>
      <c r="AA53" s="138"/>
      <c r="AB53" s="138"/>
      <c r="AC53" s="138"/>
      <c r="AD53" s="138"/>
      <c r="AE53" s="138"/>
      <c r="AF53" s="138"/>
      <c r="AG53" s="139"/>
    </row>
    <row r="54" spans="1:33" ht="15.75">
      <c r="A54" s="37" t="s">
        <v>394</v>
      </c>
      <c r="B54" s="46" t="s">
        <v>266</v>
      </c>
      <c r="C54" s="46" t="s">
        <v>411</v>
      </c>
      <c r="D54" s="46" t="s">
        <v>280</v>
      </c>
      <c r="E54" s="46" t="s">
        <v>283</v>
      </c>
      <c r="F54" s="46" t="s">
        <v>282</v>
      </c>
      <c r="G54" s="46" t="s">
        <v>286</v>
      </c>
      <c r="H54" s="46" t="s">
        <v>288</v>
      </c>
      <c r="I54" s="46" t="s">
        <v>396</v>
      </c>
      <c r="J54" s="46" t="s">
        <v>297</v>
      </c>
      <c r="K54" s="46" t="s">
        <v>313</v>
      </c>
      <c r="L54" s="40" t="s">
        <v>380</v>
      </c>
      <c r="M54" s="125"/>
      <c r="N54" s="125"/>
      <c r="O54" s="125"/>
      <c r="P54" s="125"/>
    </row>
    <row r="55" spans="1:33" ht="15.75">
      <c r="A55" s="37" t="s">
        <v>397</v>
      </c>
      <c r="B55" s="41" t="s">
        <v>344</v>
      </c>
      <c r="C55" s="41" t="s">
        <v>349</v>
      </c>
      <c r="D55" s="41" t="s">
        <v>346</v>
      </c>
      <c r="E55" s="41" t="s">
        <v>345</v>
      </c>
      <c r="F55" s="41" t="s">
        <v>345</v>
      </c>
      <c r="G55" s="41" t="s">
        <v>346</v>
      </c>
      <c r="H55" s="41" t="s">
        <v>344</v>
      </c>
      <c r="I55" s="41" t="s">
        <v>398</v>
      </c>
      <c r="J55" s="41" t="s">
        <v>348</v>
      </c>
      <c r="K55" s="41" t="s">
        <v>348</v>
      </c>
      <c r="L55" s="41" t="s">
        <v>380</v>
      </c>
      <c r="M55" s="125"/>
      <c r="N55" s="125"/>
      <c r="O55" s="125"/>
      <c r="P55" s="125"/>
    </row>
    <row r="56" spans="1:33" ht="16.5" thickBot="1">
      <c r="A56" s="42" t="s">
        <v>343</v>
      </c>
      <c r="B56" s="43">
        <v>42684.677083333336</v>
      </c>
      <c r="C56" s="43">
        <v>42684.465277777781</v>
      </c>
      <c r="D56" s="43">
        <v>42684.465277777781</v>
      </c>
      <c r="E56" s="43">
        <v>42684.465277777781</v>
      </c>
      <c r="F56" s="43">
        <v>42684.677083333336</v>
      </c>
      <c r="G56" s="43">
        <v>42684.507638888892</v>
      </c>
      <c r="H56" s="43">
        <v>42623.42291666667</v>
      </c>
      <c r="I56" s="43">
        <v>42684.465277777781</v>
      </c>
      <c r="J56" s="43">
        <v>42623.42291666667</v>
      </c>
      <c r="K56" s="43">
        <v>42623.42291666667</v>
      </c>
      <c r="L56" s="41" t="s">
        <v>380</v>
      </c>
      <c r="M56" s="125"/>
      <c r="N56" s="125"/>
      <c r="O56" s="125"/>
      <c r="P56" s="125"/>
    </row>
    <row r="57" spans="1:33" ht="17.25" thickTop="1" thickBot="1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125"/>
      <c r="N57" s="125"/>
      <c r="O57" s="125"/>
      <c r="P57" s="125"/>
    </row>
    <row r="58" spans="1:33" ht="19.5" thickTop="1" thickBot="1">
      <c r="A58" s="35" t="s">
        <v>399</v>
      </c>
      <c r="B58" s="1494" t="s">
        <v>380</v>
      </c>
      <c r="C58" s="1495"/>
      <c r="D58" s="1494" t="s">
        <v>380</v>
      </c>
      <c r="E58" s="1496"/>
      <c r="F58" s="32"/>
      <c r="G58" s="32"/>
      <c r="H58" s="32"/>
      <c r="I58" s="32"/>
      <c r="J58" s="32"/>
      <c r="K58" s="31"/>
      <c r="L58" s="31"/>
      <c r="M58" s="125"/>
      <c r="N58" s="125"/>
      <c r="O58" s="125"/>
      <c r="P58" s="125"/>
    </row>
    <row r="59" spans="1:33" ht="18.75" thickBot="1">
      <c r="A59" s="37" t="s">
        <v>400</v>
      </c>
      <c r="B59" s="1497" t="s">
        <v>380</v>
      </c>
      <c r="C59" s="1498"/>
      <c r="D59" s="1497" t="s">
        <v>380</v>
      </c>
      <c r="E59" s="1499"/>
      <c r="F59" s="31" t="s">
        <v>401</v>
      </c>
      <c r="G59" s="1500" t="s">
        <v>402</v>
      </c>
      <c r="H59" s="1500"/>
      <c r="I59" s="31" t="s">
        <v>403</v>
      </c>
      <c r="J59" s="1501">
        <f ca="1">TODAY()</f>
        <v>45944</v>
      </c>
      <c r="K59" s="1501"/>
      <c r="L59" s="1501"/>
      <c r="M59" s="125"/>
      <c r="N59" s="125"/>
      <c r="O59" s="125"/>
      <c r="P59" s="125"/>
    </row>
    <row r="60" spans="1:33" ht="18.75" thickBot="1">
      <c r="A60" s="42" t="s">
        <v>404</v>
      </c>
      <c r="B60" s="1491" t="s">
        <v>380</v>
      </c>
      <c r="C60" s="1492"/>
      <c r="D60" s="1491" t="s">
        <v>380</v>
      </c>
      <c r="E60" s="1493"/>
      <c r="F60" s="32"/>
      <c r="G60" s="31"/>
      <c r="H60" s="31" t="s">
        <v>405</v>
      </c>
      <c r="I60" s="31"/>
      <c r="J60" s="32"/>
      <c r="K60" s="31"/>
      <c r="L60" s="31"/>
      <c r="M60" s="125"/>
      <c r="N60" s="125"/>
      <c r="O60" s="125"/>
      <c r="P60" s="125"/>
    </row>
    <row r="61" spans="1:33" ht="18.75" thickTop="1">
      <c r="A61" s="32"/>
      <c r="B61" s="32"/>
      <c r="C61" s="32"/>
      <c r="D61" s="32"/>
      <c r="E61" s="32"/>
      <c r="F61" s="31"/>
      <c r="G61" s="31"/>
      <c r="H61" s="44" t="s">
        <v>406</v>
      </c>
      <c r="I61" s="31"/>
      <c r="J61" s="31"/>
      <c r="K61" s="32"/>
      <c r="L61" s="32"/>
      <c r="M61" s="125"/>
      <c r="N61" s="125"/>
      <c r="O61" s="125"/>
      <c r="P61" s="125"/>
    </row>
    <row r="62" spans="1:33" ht="18">
      <c r="A62" s="32"/>
      <c r="B62" s="32"/>
      <c r="C62" s="32"/>
      <c r="D62" s="32"/>
      <c r="E62" s="32"/>
      <c r="F62" s="31"/>
      <c r="G62" s="31"/>
      <c r="H62" s="32"/>
      <c r="I62" s="31"/>
      <c r="J62" s="32"/>
      <c r="K62" s="32"/>
      <c r="L62" s="32"/>
      <c r="M62" s="125"/>
      <c r="N62" s="125"/>
      <c r="O62" s="125"/>
      <c r="P62" s="125"/>
    </row>
    <row r="63" spans="1:33" ht="18">
      <c r="A63" s="1500" t="s">
        <v>78</v>
      </c>
      <c r="B63" s="1500"/>
      <c r="C63" s="1500"/>
      <c r="D63" s="1500"/>
      <c r="E63" s="1500"/>
      <c r="F63" s="1500"/>
      <c r="G63" s="1500"/>
      <c r="H63" s="1500"/>
      <c r="I63" s="1500"/>
      <c r="J63" s="1500"/>
      <c r="K63" s="1500"/>
      <c r="L63" s="1500"/>
      <c r="M63" s="125"/>
      <c r="N63" s="125"/>
      <c r="O63" s="125"/>
      <c r="P63" s="125"/>
    </row>
    <row r="64" spans="1:33" ht="18">
      <c r="A64" s="1500" t="s">
        <v>79</v>
      </c>
      <c r="B64" s="1500"/>
      <c r="C64" s="1500"/>
      <c r="D64" s="1500"/>
      <c r="E64" s="1500"/>
      <c r="F64" s="1500"/>
      <c r="G64" s="1500"/>
      <c r="H64" s="1500"/>
      <c r="I64" s="1500"/>
      <c r="J64" s="1500"/>
      <c r="K64" s="1500"/>
      <c r="L64" s="1500"/>
      <c r="M64" s="125"/>
      <c r="N64" s="125"/>
      <c r="O64" s="125"/>
      <c r="P64" s="125"/>
    </row>
    <row r="65" spans="1:16" ht="18">
      <c r="A65" s="30" t="s">
        <v>220</v>
      </c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125"/>
      <c r="N65" s="125"/>
      <c r="O65" s="125"/>
      <c r="P65" s="125"/>
    </row>
    <row r="66" spans="1:16" ht="18">
      <c r="A66" s="30" t="s">
        <v>361</v>
      </c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125"/>
      <c r="N66" s="125"/>
      <c r="O66" s="125"/>
      <c r="P66" s="125"/>
    </row>
    <row r="67" spans="1:16" ht="18.75" thickBo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125"/>
      <c r="N67" s="125"/>
      <c r="O67" s="125"/>
      <c r="P67" s="125"/>
    </row>
    <row r="68" spans="1:16" ht="24" thickBot="1">
      <c r="A68" s="31"/>
      <c r="B68" s="31"/>
      <c r="C68" s="1532" t="s">
        <v>362</v>
      </c>
      <c r="D68" s="1533"/>
      <c r="E68" s="1533"/>
      <c r="F68" s="1533"/>
      <c r="G68" s="1534"/>
      <c r="H68" s="1545" t="s">
        <v>1</v>
      </c>
      <c r="I68" s="1519"/>
      <c r="J68" s="31"/>
      <c r="K68" s="31"/>
      <c r="L68" s="31"/>
      <c r="M68" s="125"/>
      <c r="N68" s="126" t="str">
        <f>H68</f>
        <v>3ع ت2</v>
      </c>
      <c r="O68" s="125"/>
      <c r="P68" s="125"/>
    </row>
    <row r="69" spans="1:16" ht="18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125"/>
      <c r="N69" s="125"/>
      <c r="O69" s="125"/>
      <c r="P69" s="125"/>
    </row>
    <row r="70" spans="1:16" ht="18">
      <c r="A70" s="30" t="s">
        <v>363</v>
      </c>
      <c r="B70" s="31"/>
      <c r="C70" s="1500" t="s">
        <v>280</v>
      </c>
      <c r="D70" s="1500"/>
      <c r="E70" s="1500"/>
      <c r="F70" s="31"/>
      <c r="G70" s="31" t="s">
        <v>364</v>
      </c>
      <c r="H70" s="31"/>
      <c r="I70" s="1500"/>
      <c r="J70" s="1500"/>
      <c r="K70" s="1500"/>
      <c r="L70" s="31"/>
      <c r="M70" s="125"/>
      <c r="N70" s="125"/>
      <c r="O70" s="125"/>
      <c r="P70" s="125"/>
    </row>
    <row r="71" spans="1:16" ht="18.75" thickBot="1">
      <c r="A71" s="30" t="s">
        <v>365</v>
      </c>
      <c r="B71" s="31"/>
      <c r="C71" s="31">
        <v>13</v>
      </c>
      <c r="D71" s="31"/>
      <c r="E71" s="31"/>
      <c r="F71" s="31"/>
      <c r="G71" s="31" t="s">
        <v>366</v>
      </c>
      <c r="H71" s="31"/>
      <c r="I71" s="31">
        <v>35</v>
      </c>
      <c r="J71" s="31"/>
      <c r="K71" s="31"/>
      <c r="L71" s="31"/>
      <c r="M71" s="125"/>
      <c r="N71" s="125"/>
      <c r="O71" s="125"/>
      <c r="P71" s="125"/>
    </row>
    <row r="72" spans="1:16" ht="17.25" thickTop="1" thickBot="1">
      <c r="A72" s="1542" t="s">
        <v>367</v>
      </c>
      <c r="B72" s="1543"/>
      <c r="C72" s="1543" t="s">
        <v>360</v>
      </c>
      <c r="D72" s="1543"/>
      <c r="E72" s="1543" t="s">
        <v>368</v>
      </c>
      <c r="F72" s="1543"/>
      <c r="G72" s="1543" t="s">
        <v>369</v>
      </c>
      <c r="H72" s="1543"/>
      <c r="I72" s="1543" t="s">
        <v>370</v>
      </c>
      <c r="J72" s="1543"/>
      <c r="K72" s="1543" t="s">
        <v>371</v>
      </c>
      <c r="L72" s="1544"/>
      <c r="M72" s="125"/>
      <c r="N72" s="125"/>
      <c r="O72" s="125"/>
      <c r="P72" s="125"/>
    </row>
    <row r="73" spans="1:16" ht="17.25" thickTop="1" thickBot="1">
      <c r="A73" s="1555" t="s">
        <v>372</v>
      </c>
      <c r="B73" s="1556"/>
      <c r="C73" s="1504" t="s">
        <v>262</v>
      </c>
      <c r="D73" s="1505"/>
      <c r="E73" s="1504" t="s">
        <v>279</v>
      </c>
      <c r="F73" s="1505"/>
      <c r="G73" s="1504" t="s">
        <v>407</v>
      </c>
      <c r="H73" s="1505"/>
      <c r="I73" s="1504" t="s">
        <v>290</v>
      </c>
      <c r="J73" s="1505"/>
      <c r="K73" s="1504" t="s">
        <v>290</v>
      </c>
      <c r="L73" s="1505"/>
      <c r="M73" s="125"/>
      <c r="N73" s="125"/>
      <c r="O73" s="125"/>
      <c r="P73" s="125"/>
    </row>
    <row r="74" spans="1:16" ht="17.25" thickTop="1" thickBot="1">
      <c r="A74" s="1555" t="s">
        <v>373</v>
      </c>
      <c r="B74" s="1556"/>
      <c r="C74" s="1504" t="s">
        <v>270</v>
      </c>
      <c r="D74" s="1505"/>
      <c r="E74" s="1504" t="s">
        <v>262</v>
      </c>
      <c r="F74" s="1505"/>
      <c r="G74" s="1504" t="s">
        <v>409</v>
      </c>
      <c r="H74" s="1505"/>
      <c r="I74" s="1504" t="s">
        <v>386</v>
      </c>
      <c r="J74" s="1505"/>
      <c r="K74" s="1504" t="s">
        <v>384</v>
      </c>
      <c r="L74" s="1505"/>
      <c r="M74" s="125"/>
      <c r="N74" s="125"/>
      <c r="O74" s="125"/>
      <c r="P74" s="125"/>
    </row>
    <row r="75" spans="1:16" ht="17.25" thickTop="1" thickBot="1">
      <c r="A75" s="1555" t="s">
        <v>374</v>
      </c>
      <c r="B75" s="1556"/>
      <c r="C75" s="1504" t="s">
        <v>408</v>
      </c>
      <c r="D75" s="1505"/>
      <c r="E75" s="1504" t="s">
        <v>262</v>
      </c>
      <c r="F75" s="1505"/>
      <c r="G75" s="1504" t="s">
        <v>407</v>
      </c>
      <c r="H75" s="1505"/>
      <c r="I75" s="1504" t="s">
        <v>262</v>
      </c>
      <c r="J75" s="1505"/>
      <c r="K75" s="1530" t="s">
        <v>408</v>
      </c>
      <c r="L75" s="1531"/>
      <c r="M75" s="125"/>
      <c r="N75" s="125"/>
      <c r="O75" s="125"/>
      <c r="P75" s="125"/>
    </row>
    <row r="76" spans="1:16" ht="17.25" thickTop="1" thickBot="1">
      <c r="A76" s="1553" t="s">
        <v>375</v>
      </c>
      <c r="B76" s="1554"/>
      <c r="C76" s="1504" t="s">
        <v>408</v>
      </c>
      <c r="D76" s="1505"/>
      <c r="E76" s="1504"/>
      <c r="F76" s="1505"/>
      <c r="G76" s="1504" t="s">
        <v>409</v>
      </c>
      <c r="H76" s="1505"/>
      <c r="I76" s="1504" t="s">
        <v>262</v>
      </c>
      <c r="J76" s="1505"/>
      <c r="K76" s="1504" t="s">
        <v>270</v>
      </c>
      <c r="L76" s="1505"/>
      <c r="M76" s="125"/>
      <c r="N76" s="125"/>
      <c r="O76" s="125"/>
      <c r="P76" s="125"/>
    </row>
    <row r="77" spans="1:16" ht="17.25" thickTop="1" thickBot="1">
      <c r="A77" s="32"/>
      <c r="B77" s="32"/>
      <c r="C77" s="32"/>
      <c r="D77" s="32"/>
      <c r="E77" s="32"/>
      <c r="F77" s="32"/>
      <c r="G77" s="32"/>
      <c r="H77" s="32"/>
      <c r="I77" s="45"/>
      <c r="J77" s="45"/>
      <c r="K77" s="32"/>
      <c r="L77" s="32"/>
      <c r="M77" s="125"/>
      <c r="N77" s="125"/>
      <c r="O77" s="125"/>
      <c r="P77" s="125"/>
    </row>
    <row r="78" spans="1:16" ht="17.25" thickTop="1" thickBot="1">
      <c r="A78" s="1508" t="s">
        <v>376</v>
      </c>
      <c r="B78" s="1539"/>
      <c r="C78" s="1504" t="s">
        <v>386</v>
      </c>
      <c r="D78" s="1505"/>
      <c r="E78" s="1504" t="s">
        <v>290</v>
      </c>
      <c r="F78" s="1505"/>
      <c r="G78" s="1504" t="s">
        <v>387</v>
      </c>
      <c r="H78" s="1505"/>
      <c r="I78" s="1504" t="s">
        <v>384</v>
      </c>
      <c r="J78" s="1505"/>
      <c r="K78" s="1504" t="s">
        <v>385</v>
      </c>
      <c r="L78" s="1505"/>
      <c r="M78" s="125"/>
      <c r="N78" s="125"/>
      <c r="O78" s="125"/>
      <c r="P78" s="125"/>
    </row>
    <row r="79" spans="1:16" ht="17.25" thickTop="1" thickBot="1">
      <c r="A79" s="1506" t="s">
        <v>377</v>
      </c>
      <c r="B79" s="1538"/>
      <c r="C79" s="1504" t="s">
        <v>383</v>
      </c>
      <c r="D79" s="1505"/>
      <c r="E79" s="1504" t="s">
        <v>385</v>
      </c>
      <c r="F79" s="1505"/>
      <c r="G79" s="1504" t="s">
        <v>387</v>
      </c>
      <c r="H79" s="1505"/>
      <c r="I79" s="1504" t="s">
        <v>279</v>
      </c>
      <c r="J79" s="1505"/>
      <c r="K79" s="1504" t="s">
        <v>279</v>
      </c>
      <c r="L79" s="1505"/>
      <c r="M79" s="125"/>
      <c r="N79" s="125"/>
      <c r="O79" s="125"/>
      <c r="P79" s="125"/>
    </row>
    <row r="80" spans="1:16" ht="17.25" thickTop="1" thickBot="1">
      <c r="A80" s="1506" t="s">
        <v>378</v>
      </c>
      <c r="B80" s="1538"/>
      <c r="C80" s="1504" t="s">
        <v>384</v>
      </c>
      <c r="D80" s="1505"/>
      <c r="E80" s="1504" t="s">
        <v>386</v>
      </c>
      <c r="F80" s="1505"/>
      <c r="G80" s="1504"/>
      <c r="H80" s="1505"/>
      <c r="I80" s="1504" t="s">
        <v>383</v>
      </c>
      <c r="J80" s="1505"/>
      <c r="K80" s="1504"/>
      <c r="L80" s="1505"/>
      <c r="M80" s="125"/>
      <c r="N80" s="125"/>
      <c r="O80" s="125"/>
      <c r="P80" s="125"/>
    </row>
    <row r="81" spans="1:16" ht="17.25" thickTop="1" thickBot="1">
      <c r="A81" s="1536" t="s">
        <v>379</v>
      </c>
      <c r="B81" s="1537"/>
      <c r="C81" s="1504">
        <v>0</v>
      </c>
      <c r="D81" s="1505"/>
      <c r="E81" s="1504">
        <v>0</v>
      </c>
      <c r="F81" s="1505"/>
      <c r="G81" s="1504">
        <v>0</v>
      </c>
      <c r="H81" s="1505"/>
      <c r="I81" s="1504">
        <v>0</v>
      </c>
      <c r="J81" s="1505"/>
      <c r="K81" s="1504"/>
      <c r="L81" s="1505"/>
      <c r="M81" s="125"/>
      <c r="N81" s="125"/>
      <c r="O81" s="125"/>
      <c r="P81" s="125"/>
    </row>
    <row r="82" spans="1:16" ht="17.25" thickTop="1" thickBot="1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125"/>
      <c r="N82" s="125"/>
      <c r="O82" s="125"/>
      <c r="P82" s="125"/>
    </row>
    <row r="83" spans="1:16" ht="16.5" thickTop="1">
      <c r="A83" s="35" t="s">
        <v>381</v>
      </c>
      <c r="B83" s="36" t="s">
        <v>262</v>
      </c>
      <c r="C83" s="36" t="s">
        <v>270</v>
      </c>
      <c r="D83" s="36" t="s">
        <v>408</v>
      </c>
      <c r="E83" s="36" t="s">
        <v>383</v>
      </c>
      <c r="F83" s="36" t="s">
        <v>279</v>
      </c>
      <c r="G83" s="36" t="s">
        <v>384</v>
      </c>
      <c r="H83" s="36" t="s">
        <v>385</v>
      </c>
      <c r="I83" s="36" t="s">
        <v>290</v>
      </c>
      <c r="J83" s="36" t="s">
        <v>386</v>
      </c>
      <c r="K83" s="36" t="s">
        <v>387</v>
      </c>
      <c r="L83" s="36" t="s">
        <v>380</v>
      </c>
      <c r="M83" s="125"/>
      <c r="N83" s="125"/>
      <c r="O83" s="125"/>
      <c r="P83" s="125"/>
    </row>
    <row r="84" spans="1:16" ht="15.75">
      <c r="A84" s="37" t="s">
        <v>388</v>
      </c>
      <c r="B84" s="38" t="s">
        <v>392</v>
      </c>
      <c r="C84" s="38" t="s">
        <v>410</v>
      </c>
      <c r="D84" s="38" t="s">
        <v>390</v>
      </c>
      <c r="E84" s="38" t="s">
        <v>359</v>
      </c>
      <c r="F84" s="38" t="s">
        <v>393</v>
      </c>
      <c r="G84" s="38" t="s">
        <v>393</v>
      </c>
      <c r="H84" s="38" t="s">
        <v>359</v>
      </c>
      <c r="I84" s="38" t="s">
        <v>393</v>
      </c>
      <c r="J84" s="38" t="s">
        <v>393</v>
      </c>
      <c r="K84" s="38" t="s">
        <v>359</v>
      </c>
      <c r="L84" s="38" t="s">
        <v>380</v>
      </c>
      <c r="M84" s="125"/>
      <c r="N84" s="125"/>
      <c r="O84" s="125"/>
      <c r="P84" s="125"/>
    </row>
    <row r="85" spans="1:16" ht="15.75">
      <c r="A85" s="37" t="s">
        <v>394</v>
      </c>
      <c r="B85" s="39" t="s">
        <v>266</v>
      </c>
      <c r="C85" s="39" t="s">
        <v>269</v>
      </c>
      <c r="D85" s="39" t="s">
        <v>276</v>
      </c>
      <c r="E85" s="39" t="s">
        <v>283</v>
      </c>
      <c r="F85" s="39" t="s">
        <v>412</v>
      </c>
      <c r="G85" s="39" t="s">
        <v>284</v>
      </c>
      <c r="H85" s="39" t="s">
        <v>271</v>
      </c>
      <c r="I85" s="39" t="s">
        <v>396</v>
      </c>
      <c r="J85" s="39" t="s">
        <v>296</v>
      </c>
      <c r="K85" s="39" t="s">
        <v>314</v>
      </c>
      <c r="L85" s="40" t="s">
        <v>380</v>
      </c>
      <c r="M85" s="125"/>
      <c r="N85" s="125"/>
      <c r="O85" s="125"/>
      <c r="P85" s="125"/>
    </row>
    <row r="86" spans="1:16" ht="15.75">
      <c r="A86" s="37" t="s">
        <v>397</v>
      </c>
      <c r="B86" s="41" t="s">
        <v>344</v>
      </c>
      <c r="C86" s="41" t="s">
        <v>349</v>
      </c>
      <c r="D86" s="41" t="s">
        <v>349</v>
      </c>
      <c r="E86" s="41" t="s">
        <v>345</v>
      </c>
      <c r="F86" s="41" t="s">
        <v>348</v>
      </c>
      <c r="G86" s="41" t="s">
        <v>345</v>
      </c>
      <c r="H86" s="41" t="s">
        <v>348</v>
      </c>
      <c r="I86" s="41" t="s">
        <v>398</v>
      </c>
      <c r="J86" s="41" t="s">
        <v>344</v>
      </c>
      <c r="K86" s="41" t="s">
        <v>348</v>
      </c>
      <c r="L86" s="41" t="s">
        <v>380</v>
      </c>
      <c r="M86" s="125"/>
      <c r="N86" s="125"/>
      <c r="O86" s="125"/>
      <c r="P86" s="125"/>
    </row>
    <row r="87" spans="1:16" ht="16.5" thickBot="1">
      <c r="A87" s="42" t="s">
        <v>343</v>
      </c>
      <c r="B87" s="43">
        <v>42684.677083333336</v>
      </c>
      <c r="C87" s="43">
        <v>42684.465277777781</v>
      </c>
      <c r="D87" s="43">
        <v>42623.42291666667</v>
      </c>
      <c r="E87" s="43">
        <v>42684.465277777781</v>
      </c>
      <c r="F87" s="43">
        <v>0.67708333333333337</v>
      </c>
      <c r="G87" s="43">
        <v>0.67708333333333337</v>
      </c>
      <c r="H87" s="43">
        <v>0.67708333333333337</v>
      </c>
      <c r="I87" s="43">
        <v>42684.465277777781</v>
      </c>
      <c r="J87" s="43">
        <v>0.67708333333333337</v>
      </c>
      <c r="K87" s="43">
        <v>42623.42291666667</v>
      </c>
      <c r="L87" s="41" t="s">
        <v>380</v>
      </c>
      <c r="M87" s="125"/>
      <c r="N87" s="125"/>
      <c r="O87" s="125"/>
      <c r="P87" s="125"/>
    </row>
    <row r="88" spans="1:16" ht="17.25" thickTop="1" thickBot="1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125"/>
      <c r="N88" s="125"/>
      <c r="O88" s="125"/>
      <c r="P88" s="125"/>
    </row>
    <row r="89" spans="1:16" ht="19.5" thickTop="1" thickBot="1">
      <c r="A89" s="35" t="s">
        <v>399</v>
      </c>
      <c r="B89" s="1494" t="s">
        <v>380</v>
      </c>
      <c r="C89" s="1495"/>
      <c r="D89" s="1494" t="s">
        <v>380</v>
      </c>
      <c r="E89" s="1496"/>
      <c r="F89" s="32"/>
      <c r="G89" s="32"/>
      <c r="H89" s="32"/>
      <c r="I89" s="32"/>
      <c r="J89" s="32"/>
      <c r="K89" s="31"/>
      <c r="L89" s="31"/>
      <c r="M89" s="125"/>
      <c r="N89" s="125"/>
      <c r="O89" s="125"/>
      <c r="P89" s="125"/>
    </row>
    <row r="90" spans="1:16" ht="18.75" thickBot="1">
      <c r="A90" s="37" t="s">
        <v>400</v>
      </c>
      <c r="B90" s="1497" t="s">
        <v>380</v>
      </c>
      <c r="C90" s="1498"/>
      <c r="D90" s="1497" t="s">
        <v>380</v>
      </c>
      <c r="E90" s="1499"/>
      <c r="F90" s="31" t="s">
        <v>401</v>
      </c>
      <c r="G90" s="1500" t="s">
        <v>402</v>
      </c>
      <c r="H90" s="1500"/>
      <c r="I90" s="31" t="s">
        <v>403</v>
      </c>
      <c r="J90" s="1501">
        <f ca="1">TODAY()</f>
        <v>45944</v>
      </c>
      <c r="K90" s="1501"/>
      <c r="L90" s="1501"/>
      <c r="M90" s="125"/>
      <c r="N90" s="125"/>
      <c r="O90" s="125"/>
      <c r="P90" s="125"/>
    </row>
    <row r="91" spans="1:16" ht="18.75" thickBot="1">
      <c r="A91" s="42" t="s">
        <v>404</v>
      </c>
      <c r="B91" s="1491" t="s">
        <v>380</v>
      </c>
      <c r="C91" s="1492"/>
      <c r="D91" s="1491" t="s">
        <v>380</v>
      </c>
      <c r="E91" s="1493"/>
      <c r="F91" s="32"/>
      <c r="G91" s="31"/>
      <c r="H91" s="31" t="s">
        <v>405</v>
      </c>
      <c r="I91" s="31"/>
      <c r="J91" s="32"/>
      <c r="K91" s="31"/>
      <c r="L91" s="31"/>
      <c r="M91" s="125"/>
      <c r="N91" s="125"/>
      <c r="O91" s="125"/>
      <c r="P91" s="125"/>
    </row>
    <row r="92" spans="1:16" ht="18.75" thickTop="1">
      <c r="A92" s="32"/>
      <c r="B92" s="32"/>
      <c r="C92" s="32"/>
      <c r="D92" s="32"/>
      <c r="E92" s="32"/>
      <c r="F92" s="31"/>
      <c r="G92" s="31"/>
      <c r="H92" s="44" t="s">
        <v>406</v>
      </c>
      <c r="I92" s="31"/>
      <c r="J92" s="31"/>
      <c r="K92" s="32"/>
      <c r="L92" s="32"/>
      <c r="M92" s="125"/>
      <c r="N92" s="125"/>
      <c r="O92" s="125"/>
      <c r="P92" s="125"/>
    </row>
    <row r="93" spans="1:16" ht="18">
      <c r="A93" s="32"/>
      <c r="B93" s="32"/>
      <c r="C93" s="32"/>
      <c r="D93" s="32"/>
      <c r="E93" s="32"/>
      <c r="F93" s="31"/>
      <c r="G93" s="31"/>
      <c r="H93" s="32"/>
      <c r="I93" s="31"/>
      <c r="J93" s="32"/>
      <c r="K93" s="32"/>
      <c r="L93" s="32"/>
      <c r="M93" s="125"/>
      <c r="N93" s="125"/>
      <c r="O93" s="125"/>
      <c r="P93" s="125"/>
    </row>
    <row r="94" spans="1:16" ht="18">
      <c r="A94" s="1500" t="s">
        <v>78</v>
      </c>
      <c r="B94" s="1500"/>
      <c r="C94" s="1500"/>
      <c r="D94" s="1500"/>
      <c r="E94" s="1500"/>
      <c r="F94" s="1500"/>
      <c r="G94" s="1500"/>
      <c r="H94" s="1500"/>
      <c r="I94" s="1500"/>
      <c r="J94" s="1500"/>
      <c r="K94" s="1500"/>
      <c r="L94" s="1500"/>
      <c r="M94" s="125"/>
      <c r="N94" s="125"/>
      <c r="O94" s="125"/>
      <c r="P94" s="125"/>
    </row>
    <row r="95" spans="1:16" ht="18">
      <c r="A95" s="1500" t="s">
        <v>79</v>
      </c>
      <c r="B95" s="1500"/>
      <c r="C95" s="1500"/>
      <c r="D95" s="1500"/>
      <c r="E95" s="1500"/>
      <c r="F95" s="1500"/>
      <c r="G95" s="1500"/>
      <c r="H95" s="1500"/>
      <c r="I95" s="1500"/>
      <c r="J95" s="1500"/>
      <c r="K95" s="1500"/>
      <c r="L95" s="1500"/>
      <c r="M95" s="125"/>
      <c r="N95" s="125"/>
      <c r="O95" s="125"/>
      <c r="P95" s="125"/>
    </row>
    <row r="96" spans="1:16" ht="18">
      <c r="A96" s="30" t="s">
        <v>220</v>
      </c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125"/>
      <c r="N96" s="125"/>
      <c r="O96" s="125"/>
      <c r="P96" s="125"/>
    </row>
    <row r="97" spans="1:16" ht="18">
      <c r="A97" s="30" t="s">
        <v>361</v>
      </c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125"/>
      <c r="N97" s="125"/>
      <c r="O97" s="125"/>
      <c r="P97" s="125"/>
    </row>
    <row r="98" spans="1:16" ht="18.75" thickBo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125"/>
      <c r="N98" s="125"/>
      <c r="O98" s="125"/>
      <c r="P98" s="125"/>
    </row>
    <row r="99" spans="1:16" ht="24" thickBot="1">
      <c r="A99" s="31"/>
      <c r="B99" s="31"/>
      <c r="C99" s="1532" t="s">
        <v>362</v>
      </c>
      <c r="D99" s="1533"/>
      <c r="E99" s="1533"/>
      <c r="F99" s="1533"/>
      <c r="G99" s="1534"/>
      <c r="H99" s="1545" t="s">
        <v>19</v>
      </c>
      <c r="I99" s="1519"/>
      <c r="J99" s="31"/>
      <c r="K99" s="31"/>
      <c r="L99" s="31"/>
      <c r="M99" s="125"/>
      <c r="N99" s="126" t="str">
        <f>H99</f>
        <v>3ت واق</v>
      </c>
      <c r="O99" s="125"/>
      <c r="P99" s="125"/>
    </row>
    <row r="100" spans="1:16" ht="18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125"/>
      <c r="N100" s="125"/>
      <c r="O100" s="125"/>
      <c r="P100" s="125"/>
    </row>
    <row r="101" spans="1:16" ht="18">
      <c r="A101" s="30" t="s">
        <v>363</v>
      </c>
      <c r="B101" s="31"/>
      <c r="C101" s="1500" t="s">
        <v>297</v>
      </c>
      <c r="D101" s="1500"/>
      <c r="E101" s="1500"/>
      <c r="F101" s="31"/>
      <c r="G101" s="31" t="s">
        <v>364</v>
      </c>
      <c r="H101" s="31"/>
      <c r="I101" s="1500"/>
      <c r="J101" s="1500"/>
      <c r="K101" s="1500"/>
      <c r="L101" s="31"/>
      <c r="M101" s="125"/>
      <c r="N101" s="125"/>
      <c r="O101" s="125"/>
      <c r="P101" s="125"/>
    </row>
    <row r="102" spans="1:16" ht="18.75" thickBot="1">
      <c r="A102" s="30" t="s">
        <v>365</v>
      </c>
      <c r="B102" s="31"/>
      <c r="C102" s="31">
        <v>8</v>
      </c>
      <c r="D102" s="31"/>
      <c r="E102" s="31"/>
      <c r="F102" s="31"/>
      <c r="G102" s="31" t="s">
        <v>366</v>
      </c>
      <c r="H102" s="31"/>
      <c r="I102" s="31">
        <v>33</v>
      </c>
      <c r="J102" s="1535"/>
      <c r="K102" s="1535"/>
      <c r="L102" s="31"/>
      <c r="M102" s="125"/>
      <c r="N102" s="125"/>
      <c r="O102" s="125"/>
      <c r="P102" s="125"/>
    </row>
    <row r="103" spans="1:16" ht="17.25" thickTop="1" thickBot="1">
      <c r="A103" s="1542" t="s">
        <v>367</v>
      </c>
      <c r="B103" s="1543"/>
      <c r="C103" s="1543" t="s">
        <v>360</v>
      </c>
      <c r="D103" s="1543"/>
      <c r="E103" s="1543" t="s">
        <v>368</v>
      </c>
      <c r="F103" s="1543"/>
      <c r="G103" s="1543" t="s">
        <v>369</v>
      </c>
      <c r="H103" s="1543"/>
      <c r="I103" s="1543" t="s">
        <v>370</v>
      </c>
      <c r="J103" s="1543"/>
      <c r="K103" s="1543" t="s">
        <v>371</v>
      </c>
      <c r="L103" s="1544"/>
      <c r="M103" s="125"/>
      <c r="N103" s="125"/>
      <c r="O103" s="125"/>
      <c r="P103" s="125"/>
    </row>
    <row r="104" spans="1:16" ht="17.25" thickTop="1" thickBot="1">
      <c r="A104" s="1555" t="s">
        <v>372</v>
      </c>
      <c r="B104" s="1556"/>
      <c r="C104" s="1504" t="s">
        <v>262</v>
      </c>
      <c r="D104" s="1505"/>
      <c r="E104" s="1504" t="s">
        <v>385</v>
      </c>
      <c r="F104" s="1505"/>
      <c r="G104" s="1504" t="s">
        <v>262</v>
      </c>
      <c r="H104" s="1505"/>
      <c r="I104" s="1504" t="s">
        <v>384</v>
      </c>
      <c r="J104" s="1505"/>
      <c r="K104" s="1504" t="s">
        <v>384</v>
      </c>
      <c r="L104" s="1505"/>
      <c r="M104" s="125"/>
      <c r="N104" s="125"/>
      <c r="O104" s="125"/>
      <c r="P104" s="125"/>
    </row>
    <row r="105" spans="1:16" ht="17.25" thickTop="1" thickBot="1">
      <c r="A105" s="1555" t="s">
        <v>373</v>
      </c>
      <c r="B105" s="1556"/>
      <c r="C105" s="1504" t="s">
        <v>290</v>
      </c>
      <c r="D105" s="1505"/>
      <c r="E105" s="1504" t="s">
        <v>385</v>
      </c>
      <c r="F105" s="1505"/>
      <c r="G105" s="1504" t="s">
        <v>413</v>
      </c>
      <c r="H105" s="1505"/>
      <c r="I105" s="1504" t="s">
        <v>290</v>
      </c>
      <c r="J105" s="1505"/>
      <c r="K105" s="1504" t="s">
        <v>385</v>
      </c>
      <c r="L105" s="1505"/>
      <c r="M105" s="125"/>
      <c r="N105" s="125"/>
      <c r="O105" s="125"/>
      <c r="P105" s="125"/>
    </row>
    <row r="106" spans="1:16" ht="17.25" thickTop="1" thickBot="1">
      <c r="A106" s="1555" t="s">
        <v>374</v>
      </c>
      <c r="B106" s="1556"/>
      <c r="C106" s="1504" t="s">
        <v>414</v>
      </c>
      <c r="D106" s="1505"/>
      <c r="E106" s="1504" t="s">
        <v>414</v>
      </c>
      <c r="F106" s="1505"/>
      <c r="G106" s="1504" t="s">
        <v>414</v>
      </c>
      <c r="H106" s="1505"/>
      <c r="I106" s="1504" t="s">
        <v>385</v>
      </c>
      <c r="J106" s="1505"/>
      <c r="K106" s="1504" t="s">
        <v>290</v>
      </c>
      <c r="L106" s="1505"/>
      <c r="M106" s="125"/>
      <c r="N106" s="125"/>
      <c r="O106" s="125"/>
      <c r="P106" s="125"/>
    </row>
    <row r="107" spans="1:16" ht="17.25" thickTop="1" thickBot="1">
      <c r="A107" s="1553" t="s">
        <v>375</v>
      </c>
      <c r="B107" s="1554"/>
      <c r="C107" s="1504" t="s">
        <v>414</v>
      </c>
      <c r="D107" s="1505"/>
      <c r="E107" s="1504" t="s">
        <v>415</v>
      </c>
      <c r="F107" s="1505"/>
      <c r="G107" s="1504" t="s">
        <v>414</v>
      </c>
      <c r="H107" s="1505"/>
      <c r="I107" s="1504" t="s">
        <v>386</v>
      </c>
      <c r="J107" s="1505"/>
      <c r="K107" s="1504" t="s">
        <v>383</v>
      </c>
      <c r="L107" s="1505"/>
      <c r="M107" s="125"/>
      <c r="N107" s="125"/>
      <c r="O107" s="125"/>
      <c r="P107" s="125"/>
    </row>
    <row r="108" spans="1:16" ht="17.25" thickTop="1" thickBot="1">
      <c r="A108" s="32"/>
      <c r="B108" s="32"/>
      <c r="C108" s="32"/>
      <c r="D108" s="32"/>
      <c r="E108" s="32"/>
      <c r="F108" s="32"/>
      <c r="G108" s="32"/>
      <c r="H108" s="32"/>
      <c r="I108" s="45"/>
      <c r="J108" s="45"/>
      <c r="K108" s="32"/>
      <c r="L108" s="32"/>
      <c r="M108" s="125"/>
      <c r="N108" s="125"/>
      <c r="O108" s="125"/>
      <c r="P108" s="125"/>
    </row>
    <row r="109" spans="1:16" ht="17.25" thickTop="1" thickBot="1">
      <c r="A109" s="1508" t="s">
        <v>376</v>
      </c>
      <c r="B109" s="1539"/>
      <c r="C109" s="1504" t="s">
        <v>415</v>
      </c>
      <c r="D109" s="1505"/>
      <c r="E109" s="1504" t="s">
        <v>416</v>
      </c>
      <c r="F109" s="1505"/>
      <c r="G109" s="1504" t="s">
        <v>384</v>
      </c>
      <c r="H109" s="1505"/>
      <c r="I109" s="1504" t="s">
        <v>262</v>
      </c>
      <c r="J109" s="1505"/>
      <c r="K109" s="1504" t="s">
        <v>386</v>
      </c>
      <c r="L109" s="1505"/>
      <c r="M109" s="125"/>
      <c r="N109" s="125"/>
      <c r="O109" s="125"/>
      <c r="P109" s="125"/>
    </row>
    <row r="110" spans="1:16" ht="17.25" thickTop="1" thickBot="1">
      <c r="A110" s="1506" t="s">
        <v>377</v>
      </c>
      <c r="B110" s="1538"/>
      <c r="C110" s="1504" t="s">
        <v>386</v>
      </c>
      <c r="D110" s="1505"/>
      <c r="E110" s="1504" t="s">
        <v>262</v>
      </c>
      <c r="F110" s="1505"/>
      <c r="G110" s="1504" t="s">
        <v>415</v>
      </c>
      <c r="H110" s="1505"/>
      <c r="I110" s="1504" t="s">
        <v>387</v>
      </c>
      <c r="J110" s="1505"/>
      <c r="K110" s="1504" t="s">
        <v>279</v>
      </c>
      <c r="L110" s="1505"/>
      <c r="M110" s="125"/>
      <c r="N110" s="125"/>
      <c r="O110" s="125"/>
      <c r="P110" s="125"/>
    </row>
    <row r="111" spans="1:16" ht="17.25" thickTop="1" thickBot="1">
      <c r="A111" s="1506" t="s">
        <v>378</v>
      </c>
      <c r="B111" s="1538"/>
      <c r="C111" s="1504" t="s">
        <v>279</v>
      </c>
      <c r="D111" s="1505"/>
      <c r="E111" s="1504" t="s">
        <v>415</v>
      </c>
      <c r="F111" s="1505"/>
      <c r="G111" s="1504" t="s">
        <v>416</v>
      </c>
      <c r="H111" s="1505"/>
      <c r="I111" s="1504" t="s">
        <v>387</v>
      </c>
      <c r="J111" s="1505"/>
      <c r="K111" s="1504"/>
      <c r="L111" s="1505"/>
      <c r="M111" s="125"/>
      <c r="N111" s="125"/>
      <c r="O111" s="125"/>
      <c r="P111" s="125"/>
    </row>
    <row r="112" spans="1:16" ht="17.25" thickTop="1" thickBot="1">
      <c r="A112" s="1536" t="s">
        <v>379</v>
      </c>
      <c r="B112" s="1537"/>
      <c r="C112" s="1504">
        <v>0</v>
      </c>
      <c r="D112" s="1505"/>
      <c r="E112" s="1504">
        <v>0</v>
      </c>
      <c r="F112" s="1505"/>
      <c r="G112" s="1504">
        <v>0</v>
      </c>
      <c r="H112" s="1505"/>
      <c r="I112" s="1504">
        <v>0</v>
      </c>
      <c r="J112" s="1505"/>
      <c r="K112" s="1504" t="s">
        <v>380</v>
      </c>
      <c r="L112" s="1505"/>
      <c r="M112" s="125"/>
      <c r="N112" s="125"/>
      <c r="O112" s="125"/>
      <c r="P112" s="125"/>
    </row>
    <row r="113" spans="1:16" ht="17.25" thickTop="1" thickBot="1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125"/>
      <c r="N113" s="125"/>
      <c r="O113" s="125"/>
      <c r="P113" s="125"/>
    </row>
    <row r="114" spans="1:16" ht="16.5" thickTop="1">
      <c r="A114" s="35" t="s">
        <v>381</v>
      </c>
      <c r="B114" s="36" t="s">
        <v>262</v>
      </c>
      <c r="C114" s="36" t="s">
        <v>417</v>
      </c>
      <c r="D114" s="36" t="s">
        <v>418</v>
      </c>
      <c r="E114" s="36" t="s">
        <v>416</v>
      </c>
      <c r="F114" s="36" t="s">
        <v>383</v>
      </c>
      <c r="G114" s="36" t="s">
        <v>279</v>
      </c>
      <c r="H114" s="36" t="s">
        <v>384</v>
      </c>
      <c r="I114" s="36" t="s">
        <v>385</v>
      </c>
      <c r="J114" s="36" t="s">
        <v>290</v>
      </c>
      <c r="K114" s="36" t="s">
        <v>386</v>
      </c>
      <c r="L114" s="36" t="s">
        <v>387</v>
      </c>
      <c r="M114" s="125"/>
      <c r="N114" s="125"/>
      <c r="O114" s="125"/>
      <c r="P114" s="125"/>
    </row>
    <row r="115" spans="1:16" ht="15.75">
      <c r="A115" s="37" t="s">
        <v>388</v>
      </c>
      <c r="B115" s="38" t="s">
        <v>419</v>
      </c>
      <c r="C115" s="38" t="s">
        <v>420</v>
      </c>
      <c r="D115" s="38" t="s">
        <v>393</v>
      </c>
      <c r="E115" s="38" t="s">
        <v>359</v>
      </c>
      <c r="F115" s="38" t="s">
        <v>359</v>
      </c>
      <c r="G115" s="38" t="s">
        <v>359</v>
      </c>
      <c r="H115" s="38" t="s">
        <v>393</v>
      </c>
      <c r="I115" s="38" t="s">
        <v>419</v>
      </c>
      <c r="J115" s="38" t="s">
        <v>393</v>
      </c>
      <c r="K115" s="38" t="s">
        <v>393</v>
      </c>
      <c r="L115" s="38" t="s">
        <v>359</v>
      </c>
      <c r="M115" s="125"/>
      <c r="N115" s="125"/>
      <c r="O115" s="125"/>
      <c r="P115" s="125"/>
    </row>
    <row r="116" spans="1:16" ht="15.75">
      <c r="A116" s="37" t="s">
        <v>394</v>
      </c>
      <c r="B116" s="39" t="s">
        <v>395</v>
      </c>
      <c r="C116" s="39" t="s">
        <v>306</v>
      </c>
      <c r="D116" s="39" t="s">
        <v>306</v>
      </c>
      <c r="E116" s="39" t="s">
        <v>306</v>
      </c>
      <c r="F116" s="39" t="s">
        <v>283</v>
      </c>
      <c r="G116" s="39" t="s">
        <v>282</v>
      </c>
      <c r="H116" s="39" t="s">
        <v>285</v>
      </c>
      <c r="I116" s="39" t="s">
        <v>271</v>
      </c>
      <c r="J116" s="39" t="s">
        <v>396</v>
      </c>
      <c r="K116" s="39" t="s">
        <v>297</v>
      </c>
      <c r="L116" s="39" t="s">
        <v>313</v>
      </c>
      <c r="M116" s="125"/>
      <c r="N116" s="125"/>
      <c r="O116" s="125"/>
      <c r="P116" s="125"/>
    </row>
    <row r="117" spans="1:16" ht="15.75">
      <c r="A117" s="37" t="s">
        <v>397</v>
      </c>
      <c r="B117" s="41" t="s">
        <v>345</v>
      </c>
      <c r="C117" s="41" t="s">
        <v>345</v>
      </c>
      <c r="D117" s="41" t="s">
        <v>345</v>
      </c>
      <c r="E117" s="41" t="s">
        <v>345</v>
      </c>
      <c r="F117" s="41" t="s">
        <v>345</v>
      </c>
      <c r="G117" s="41" t="s">
        <v>345</v>
      </c>
      <c r="H117" s="41" t="s">
        <v>348</v>
      </c>
      <c r="I117" s="41" t="s">
        <v>348</v>
      </c>
      <c r="J117" s="41" t="s">
        <v>398</v>
      </c>
      <c r="K117" s="41" t="s">
        <v>348</v>
      </c>
      <c r="L117" s="41" t="s">
        <v>348</v>
      </c>
      <c r="M117" s="125"/>
      <c r="N117" s="125"/>
      <c r="O117" s="125"/>
      <c r="P117" s="125"/>
    </row>
    <row r="118" spans="1:16" ht="16.5" thickBot="1">
      <c r="A118" s="42" t="s">
        <v>343</v>
      </c>
      <c r="B118" s="43">
        <v>42623.42291666667</v>
      </c>
      <c r="C118" s="43">
        <v>42623.42291666667</v>
      </c>
      <c r="D118" s="43">
        <v>42623.42291666667</v>
      </c>
      <c r="E118" s="43">
        <v>42623.42291666667</v>
      </c>
      <c r="F118" s="43">
        <v>42684.465277777781</v>
      </c>
      <c r="G118" s="43">
        <v>42684.677083333336</v>
      </c>
      <c r="H118" s="43">
        <v>0.67708333333333337</v>
      </c>
      <c r="I118" s="43">
        <v>0.67708333333333337</v>
      </c>
      <c r="J118" s="43">
        <v>42684.465277777781</v>
      </c>
      <c r="K118" s="43">
        <v>42623.42291666667</v>
      </c>
      <c r="L118" s="43">
        <v>42623.42291666667</v>
      </c>
      <c r="M118" s="125"/>
      <c r="N118" s="125"/>
      <c r="O118" s="125"/>
      <c r="P118" s="125"/>
    </row>
    <row r="119" spans="1:16" ht="17.25" thickTop="1" thickBot="1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125"/>
      <c r="N119" s="125"/>
      <c r="O119" s="125"/>
      <c r="P119" s="125"/>
    </row>
    <row r="120" spans="1:16" ht="19.5" thickTop="1" thickBot="1">
      <c r="A120" s="35" t="s">
        <v>399</v>
      </c>
      <c r="B120" s="1494" t="s">
        <v>380</v>
      </c>
      <c r="C120" s="1495"/>
      <c r="D120" s="1494" t="s">
        <v>380</v>
      </c>
      <c r="E120" s="1496"/>
      <c r="F120" s="32"/>
      <c r="G120" s="32"/>
      <c r="H120" s="32"/>
      <c r="I120" s="32"/>
      <c r="J120" s="32"/>
      <c r="K120" s="31"/>
      <c r="L120" s="31"/>
      <c r="M120" s="125"/>
      <c r="N120" s="125"/>
      <c r="O120" s="125"/>
      <c r="P120" s="125"/>
    </row>
    <row r="121" spans="1:16" ht="18.75" thickBot="1">
      <c r="A121" s="37" t="s">
        <v>400</v>
      </c>
      <c r="B121" s="1497" t="s">
        <v>380</v>
      </c>
      <c r="C121" s="1498"/>
      <c r="D121" s="1497" t="s">
        <v>380</v>
      </c>
      <c r="E121" s="1499"/>
      <c r="F121" s="31" t="s">
        <v>401</v>
      </c>
      <c r="G121" s="1500" t="s">
        <v>402</v>
      </c>
      <c r="H121" s="1500"/>
      <c r="I121" s="31" t="s">
        <v>403</v>
      </c>
      <c r="J121" s="1501">
        <f ca="1">TODAY()</f>
        <v>45944</v>
      </c>
      <c r="K121" s="1501"/>
      <c r="L121" s="1501"/>
      <c r="M121" s="125"/>
      <c r="N121" s="125"/>
      <c r="O121" s="125"/>
      <c r="P121" s="125"/>
    </row>
    <row r="122" spans="1:16" ht="18.75" thickBot="1">
      <c r="A122" s="42" t="s">
        <v>404</v>
      </c>
      <c r="B122" s="1491" t="s">
        <v>380</v>
      </c>
      <c r="C122" s="1492"/>
      <c r="D122" s="1491" t="s">
        <v>380</v>
      </c>
      <c r="E122" s="1493"/>
      <c r="F122" s="32"/>
      <c r="G122" s="31"/>
      <c r="H122" s="31" t="s">
        <v>405</v>
      </c>
      <c r="I122" s="31"/>
      <c r="J122" s="32"/>
      <c r="K122" s="31"/>
      <c r="L122" s="31"/>
      <c r="M122" s="125"/>
      <c r="N122" s="125"/>
      <c r="O122" s="125"/>
      <c r="P122" s="125"/>
    </row>
    <row r="123" spans="1:16" ht="18.75" thickTop="1">
      <c r="A123" s="32"/>
      <c r="B123" s="32"/>
      <c r="C123" s="32"/>
      <c r="D123" s="32"/>
      <c r="E123" s="32"/>
      <c r="F123" s="31"/>
      <c r="G123" s="31"/>
      <c r="H123" s="44" t="s">
        <v>406</v>
      </c>
      <c r="I123" s="31"/>
      <c r="J123" s="31"/>
      <c r="K123" s="32"/>
      <c r="L123" s="32"/>
      <c r="M123" s="125"/>
      <c r="N123" s="125"/>
      <c r="O123" s="125"/>
      <c r="P123" s="125"/>
    </row>
    <row r="124" spans="1:16" ht="18">
      <c r="A124" s="32"/>
      <c r="B124" s="32"/>
      <c r="C124" s="32"/>
      <c r="D124" s="32"/>
      <c r="E124" s="32"/>
      <c r="F124" s="31"/>
      <c r="G124" s="31"/>
      <c r="H124" s="32"/>
      <c r="I124" s="31"/>
      <c r="J124" s="32"/>
      <c r="K124" s="32"/>
      <c r="L124" s="32"/>
      <c r="M124" s="125"/>
      <c r="N124" s="125"/>
      <c r="O124" s="125"/>
      <c r="P124" s="125"/>
    </row>
    <row r="125" spans="1:16" ht="18">
      <c r="A125" s="1500" t="s">
        <v>78</v>
      </c>
      <c r="B125" s="1500"/>
      <c r="C125" s="1500"/>
      <c r="D125" s="1500"/>
      <c r="E125" s="1500"/>
      <c r="F125" s="1500"/>
      <c r="G125" s="1500"/>
      <c r="H125" s="1500"/>
      <c r="I125" s="1500"/>
      <c r="J125" s="1500"/>
      <c r="K125" s="1500"/>
      <c r="L125" s="1500"/>
      <c r="M125" s="125"/>
      <c r="N125" s="125"/>
      <c r="O125" s="125"/>
      <c r="P125" s="125"/>
    </row>
    <row r="126" spans="1:16" ht="18">
      <c r="A126" s="1500" t="s">
        <v>79</v>
      </c>
      <c r="B126" s="1500"/>
      <c r="C126" s="1500"/>
      <c r="D126" s="1500"/>
      <c r="E126" s="1500"/>
      <c r="F126" s="1500"/>
      <c r="G126" s="1500"/>
      <c r="H126" s="1500"/>
      <c r="I126" s="1500"/>
      <c r="J126" s="1500"/>
      <c r="K126" s="1500"/>
      <c r="L126" s="1500"/>
      <c r="M126" s="125"/>
      <c r="N126" s="125"/>
      <c r="O126" s="125"/>
      <c r="P126" s="125"/>
    </row>
    <row r="127" spans="1:16" ht="18">
      <c r="A127" s="30" t="s">
        <v>220</v>
      </c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125"/>
      <c r="N127" s="125"/>
      <c r="O127" s="125"/>
      <c r="P127" s="125"/>
    </row>
    <row r="128" spans="1:16" ht="18">
      <c r="A128" s="30" t="s">
        <v>361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125"/>
      <c r="N128" s="125"/>
      <c r="O128" s="125"/>
      <c r="P128" s="125"/>
    </row>
    <row r="129" spans="1:16" ht="18.75" thickBo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125"/>
      <c r="N129" s="125"/>
      <c r="O129" s="125"/>
      <c r="P129" s="125"/>
    </row>
    <row r="130" spans="1:16" ht="24" thickBot="1">
      <c r="A130" s="31"/>
      <c r="B130" s="31"/>
      <c r="C130" s="1532" t="s">
        <v>362</v>
      </c>
      <c r="D130" s="1533"/>
      <c r="E130" s="1533"/>
      <c r="F130" s="1533"/>
      <c r="G130" s="1534"/>
      <c r="H130" s="1518" t="s">
        <v>22</v>
      </c>
      <c r="I130" s="1519"/>
      <c r="J130" s="31"/>
      <c r="K130" s="31"/>
      <c r="L130" s="31"/>
      <c r="M130" s="125"/>
      <c r="N130" s="126" t="str">
        <f>H130</f>
        <v>3آ ف</v>
      </c>
      <c r="O130" s="125"/>
      <c r="P130" s="125"/>
    </row>
    <row r="131" spans="1:16" ht="18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125"/>
      <c r="N131" s="125"/>
      <c r="O131" s="125"/>
      <c r="P131" s="125"/>
    </row>
    <row r="132" spans="1:16" ht="18">
      <c r="A132" s="30" t="s">
        <v>363</v>
      </c>
      <c r="B132" s="31"/>
      <c r="C132" s="1500" t="s">
        <v>421</v>
      </c>
      <c r="D132" s="1500"/>
      <c r="E132" s="1500"/>
      <c r="F132" s="31"/>
      <c r="G132" s="31" t="s">
        <v>364</v>
      </c>
      <c r="H132" s="31"/>
      <c r="I132" s="1500"/>
      <c r="J132" s="1500"/>
      <c r="K132" s="1500"/>
      <c r="L132" s="31"/>
      <c r="M132" s="125"/>
      <c r="N132" s="125"/>
      <c r="O132" s="125"/>
      <c r="P132" s="125"/>
    </row>
    <row r="133" spans="1:16" ht="18.75" thickBot="1">
      <c r="A133" s="30" t="s">
        <v>365</v>
      </c>
      <c r="B133" s="31"/>
      <c r="C133" s="31">
        <v>9</v>
      </c>
      <c r="D133" s="31"/>
      <c r="E133" s="31"/>
      <c r="F133" s="31"/>
      <c r="G133" s="31" t="s">
        <v>366</v>
      </c>
      <c r="H133" s="31"/>
      <c r="I133" s="31">
        <v>42</v>
      </c>
      <c r="J133" s="31"/>
      <c r="K133" s="31"/>
      <c r="L133" s="31"/>
      <c r="M133" s="125"/>
      <c r="N133" s="125"/>
      <c r="O133" s="125"/>
      <c r="P133" s="125"/>
    </row>
    <row r="134" spans="1:16" ht="17.25" thickTop="1" thickBot="1">
      <c r="A134" s="1542" t="s">
        <v>367</v>
      </c>
      <c r="B134" s="1543"/>
      <c r="C134" s="1543" t="s">
        <v>360</v>
      </c>
      <c r="D134" s="1543"/>
      <c r="E134" s="1543" t="s">
        <v>368</v>
      </c>
      <c r="F134" s="1543"/>
      <c r="G134" s="1543" t="s">
        <v>369</v>
      </c>
      <c r="H134" s="1543"/>
      <c r="I134" s="1543" t="s">
        <v>370</v>
      </c>
      <c r="J134" s="1543"/>
      <c r="K134" s="1543" t="s">
        <v>371</v>
      </c>
      <c r="L134" s="1544"/>
      <c r="M134" s="125"/>
      <c r="N134" s="125"/>
      <c r="O134" s="125"/>
      <c r="P134" s="125"/>
    </row>
    <row r="135" spans="1:16" ht="17.25" thickTop="1" thickBot="1">
      <c r="A135" s="1555" t="s">
        <v>372</v>
      </c>
      <c r="B135" s="1556"/>
      <c r="C135" s="1504" t="s">
        <v>279</v>
      </c>
      <c r="D135" s="1505"/>
      <c r="E135" s="1504" t="s">
        <v>386</v>
      </c>
      <c r="F135" s="1505"/>
      <c r="G135" s="1504" t="s">
        <v>385</v>
      </c>
      <c r="H135" s="1505"/>
      <c r="I135" s="1504" t="s">
        <v>290</v>
      </c>
      <c r="J135" s="1505"/>
      <c r="K135" s="1504" t="s">
        <v>384</v>
      </c>
      <c r="L135" s="1505"/>
      <c r="M135" s="125"/>
      <c r="N135" s="125"/>
      <c r="O135" s="125"/>
      <c r="P135" s="125"/>
    </row>
    <row r="136" spans="1:16" ht="17.25" thickTop="1" thickBot="1">
      <c r="A136" s="1555" t="s">
        <v>373</v>
      </c>
      <c r="B136" s="1556"/>
      <c r="C136" s="1504" t="s">
        <v>279</v>
      </c>
      <c r="D136" s="1505"/>
      <c r="E136" s="1504" t="s">
        <v>386</v>
      </c>
      <c r="F136" s="1505"/>
      <c r="G136" s="1504" t="s">
        <v>385</v>
      </c>
      <c r="H136" s="1505"/>
      <c r="I136" s="1504" t="s">
        <v>290</v>
      </c>
      <c r="J136" s="1505"/>
      <c r="K136" s="1504" t="s">
        <v>386</v>
      </c>
      <c r="L136" s="1505"/>
      <c r="M136" s="125"/>
      <c r="N136" s="125"/>
      <c r="O136" s="125"/>
      <c r="P136" s="125"/>
    </row>
    <row r="137" spans="1:16" ht="17.25" thickTop="1" thickBot="1">
      <c r="A137" s="1555" t="s">
        <v>374</v>
      </c>
      <c r="B137" s="1556"/>
      <c r="C137" s="1504" t="s">
        <v>384</v>
      </c>
      <c r="D137" s="1505"/>
      <c r="E137" s="1504" t="s">
        <v>279</v>
      </c>
      <c r="F137" s="1505"/>
      <c r="G137" s="1504" t="s">
        <v>384</v>
      </c>
      <c r="H137" s="1505"/>
      <c r="I137" s="1504" t="s">
        <v>384</v>
      </c>
      <c r="J137" s="1505"/>
      <c r="K137" s="1504" t="s">
        <v>279</v>
      </c>
      <c r="L137" s="1505"/>
      <c r="M137" s="125"/>
      <c r="N137" s="125"/>
      <c r="O137" s="125"/>
      <c r="P137" s="125"/>
    </row>
    <row r="138" spans="1:16" ht="17.25" thickTop="1" thickBot="1">
      <c r="A138" s="1553" t="s">
        <v>375</v>
      </c>
      <c r="B138" s="1554"/>
      <c r="C138" s="1504" t="s">
        <v>384</v>
      </c>
      <c r="D138" s="1505"/>
      <c r="E138" s="1504" t="s">
        <v>279</v>
      </c>
      <c r="F138" s="1505"/>
      <c r="G138" s="1504" t="s">
        <v>384</v>
      </c>
      <c r="H138" s="1505"/>
      <c r="I138" s="1504" t="s">
        <v>384</v>
      </c>
      <c r="J138" s="1505"/>
      <c r="K138" s="1530" t="s">
        <v>279</v>
      </c>
      <c r="L138" s="1531"/>
      <c r="M138" s="125"/>
      <c r="N138" s="125"/>
      <c r="O138" s="125"/>
      <c r="P138" s="125"/>
    </row>
    <row r="139" spans="1:16" ht="17.25" thickTop="1" thickBot="1">
      <c r="A139" s="32"/>
      <c r="B139" s="32"/>
      <c r="C139" s="32"/>
      <c r="D139" s="32"/>
      <c r="E139" s="32"/>
      <c r="F139" s="32"/>
      <c r="G139" s="32"/>
      <c r="H139" s="32"/>
      <c r="I139" s="45"/>
      <c r="J139" s="45"/>
      <c r="K139" s="32"/>
      <c r="L139" s="32"/>
      <c r="M139" s="125"/>
      <c r="N139" s="125"/>
      <c r="O139" s="125"/>
      <c r="P139" s="125"/>
    </row>
    <row r="140" spans="1:16" ht="17.25" thickTop="1" thickBot="1">
      <c r="A140" s="1508" t="s">
        <v>376</v>
      </c>
      <c r="B140" s="1539"/>
      <c r="C140" s="1504" t="s">
        <v>383</v>
      </c>
      <c r="D140" s="1505"/>
      <c r="E140" s="1504" t="s">
        <v>262</v>
      </c>
      <c r="F140" s="1505"/>
      <c r="G140" s="1504" t="s">
        <v>262</v>
      </c>
      <c r="H140" s="1505"/>
      <c r="I140" s="1504" t="s">
        <v>279</v>
      </c>
      <c r="J140" s="1505"/>
      <c r="K140" s="1504" t="s">
        <v>385</v>
      </c>
      <c r="L140" s="1505"/>
      <c r="M140" s="125"/>
      <c r="N140" s="125"/>
      <c r="O140" s="125"/>
      <c r="P140" s="125"/>
    </row>
    <row r="141" spans="1:16" ht="17.25" thickTop="1" thickBot="1">
      <c r="A141" s="1506" t="s">
        <v>377</v>
      </c>
      <c r="B141" s="1538"/>
      <c r="C141" s="1504" t="s">
        <v>386</v>
      </c>
      <c r="D141" s="1505"/>
      <c r="E141" s="1504" t="s">
        <v>290</v>
      </c>
      <c r="F141" s="1505"/>
      <c r="G141" s="1504" t="s">
        <v>387</v>
      </c>
      <c r="H141" s="1505"/>
      <c r="I141" s="1504" t="s">
        <v>385</v>
      </c>
      <c r="J141" s="1505"/>
      <c r="K141" s="1504" t="s">
        <v>383</v>
      </c>
      <c r="L141" s="1505"/>
      <c r="M141" s="125"/>
      <c r="N141" s="125"/>
      <c r="O141" s="125"/>
      <c r="P141" s="125"/>
    </row>
    <row r="142" spans="1:16" ht="17.25" thickTop="1" thickBot="1">
      <c r="A142" s="1506" t="s">
        <v>378</v>
      </c>
      <c r="B142" s="1538"/>
      <c r="C142" s="1504" t="s">
        <v>290</v>
      </c>
      <c r="D142" s="1505"/>
      <c r="E142" s="1504"/>
      <c r="F142" s="1505"/>
      <c r="G142" s="1504" t="s">
        <v>387</v>
      </c>
      <c r="H142" s="1505"/>
      <c r="I142" s="1504"/>
      <c r="J142" s="1505"/>
      <c r="K142" s="1504"/>
      <c r="L142" s="1505"/>
      <c r="M142" s="125"/>
      <c r="N142" s="125"/>
      <c r="O142" s="125"/>
      <c r="P142" s="125"/>
    </row>
    <row r="143" spans="1:16" ht="17.25" thickTop="1" thickBot="1">
      <c r="A143" s="1536" t="s">
        <v>379</v>
      </c>
      <c r="B143" s="1537"/>
      <c r="C143" s="1504">
        <v>0</v>
      </c>
      <c r="D143" s="1505"/>
      <c r="E143" s="1504">
        <v>0</v>
      </c>
      <c r="F143" s="1505"/>
      <c r="G143" s="1504">
        <v>0</v>
      </c>
      <c r="H143" s="1505"/>
      <c r="I143" s="1504">
        <v>0</v>
      </c>
      <c r="J143" s="1505"/>
      <c r="K143" s="1504" t="s">
        <v>380</v>
      </c>
      <c r="L143" s="1505"/>
      <c r="M143" s="125"/>
      <c r="N143" s="125"/>
      <c r="O143" s="125"/>
      <c r="P143" s="125"/>
    </row>
    <row r="144" spans="1:16" ht="17.25" thickTop="1" thickBot="1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125"/>
      <c r="N144" s="125"/>
      <c r="O144" s="125"/>
      <c r="P144" s="125"/>
    </row>
    <row r="145" spans="1:16" ht="16.5" thickTop="1">
      <c r="A145" s="35" t="s">
        <v>381</v>
      </c>
      <c r="B145" s="36" t="s">
        <v>262</v>
      </c>
      <c r="C145" s="36" t="s">
        <v>383</v>
      </c>
      <c r="D145" s="36" t="s">
        <v>279</v>
      </c>
      <c r="E145" s="36" t="s">
        <v>384</v>
      </c>
      <c r="F145" s="36" t="s">
        <v>385</v>
      </c>
      <c r="G145" s="36" t="s">
        <v>290</v>
      </c>
      <c r="H145" s="36" t="s">
        <v>386</v>
      </c>
      <c r="I145" s="36" t="s">
        <v>387</v>
      </c>
      <c r="J145" s="36" t="s">
        <v>380</v>
      </c>
      <c r="K145" s="36" t="s">
        <v>380</v>
      </c>
      <c r="L145" s="36" t="s">
        <v>380</v>
      </c>
      <c r="M145" s="125"/>
      <c r="N145" s="125"/>
      <c r="O145" s="125"/>
      <c r="P145" s="125"/>
    </row>
    <row r="146" spans="1:16" ht="15.75">
      <c r="A146" s="37" t="s">
        <v>388</v>
      </c>
      <c r="B146" s="38" t="s">
        <v>359</v>
      </c>
      <c r="C146" s="38" t="s">
        <v>359</v>
      </c>
      <c r="D146" s="38" t="s">
        <v>389</v>
      </c>
      <c r="E146" s="38" t="s">
        <v>389</v>
      </c>
      <c r="F146" s="38" t="s">
        <v>419</v>
      </c>
      <c r="G146" s="38" t="s">
        <v>419</v>
      </c>
      <c r="H146" s="38" t="s">
        <v>419</v>
      </c>
      <c r="I146" s="38" t="s">
        <v>359</v>
      </c>
      <c r="J146" s="38" t="s">
        <v>380</v>
      </c>
      <c r="K146" s="38" t="s">
        <v>380</v>
      </c>
      <c r="L146" s="38" t="s">
        <v>380</v>
      </c>
      <c r="M146" s="125"/>
      <c r="N146" s="125"/>
      <c r="O146" s="125"/>
      <c r="P146" s="125"/>
    </row>
    <row r="147" spans="1:16" ht="15.75">
      <c r="A147" s="37" t="s">
        <v>394</v>
      </c>
      <c r="B147" s="39" t="s">
        <v>272</v>
      </c>
      <c r="C147" s="39" t="s">
        <v>283</v>
      </c>
      <c r="D147" s="39" t="s">
        <v>412</v>
      </c>
      <c r="E147" s="39" t="s">
        <v>421</v>
      </c>
      <c r="F147" s="39" t="s">
        <v>288</v>
      </c>
      <c r="G147" s="39" t="s">
        <v>292</v>
      </c>
      <c r="H147" s="39" t="s">
        <v>296</v>
      </c>
      <c r="I147" s="39" t="s">
        <v>313</v>
      </c>
      <c r="J147" s="40" t="s">
        <v>380</v>
      </c>
      <c r="K147" s="40" t="s">
        <v>380</v>
      </c>
      <c r="L147" s="40" t="s">
        <v>380</v>
      </c>
      <c r="M147" s="125"/>
      <c r="N147" s="125"/>
      <c r="O147" s="125"/>
      <c r="P147" s="125"/>
    </row>
    <row r="148" spans="1:16" ht="15.75">
      <c r="A148" s="37" t="s">
        <v>397</v>
      </c>
      <c r="B148" s="41" t="s">
        <v>344</v>
      </c>
      <c r="C148" s="41" t="s">
        <v>345</v>
      </c>
      <c r="D148" s="41" t="s">
        <v>348</v>
      </c>
      <c r="E148" s="41" t="s">
        <v>349</v>
      </c>
      <c r="F148" s="41" t="s">
        <v>344</v>
      </c>
      <c r="G148" s="41" t="s">
        <v>345</v>
      </c>
      <c r="H148" s="41" t="s">
        <v>344</v>
      </c>
      <c r="I148" s="41" t="s">
        <v>348</v>
      </c>
      <c r="J148" s="41" t="s">
        <v>380</v>
      </c>
      <c r="K148" s="41" t="s">
        <v>380</v>
      </c>
      <c r="L148" s="41" t="s">
        <v>380</v>
      </c>
      <c r="M148" s="125"/>
      <c r="N148" s="125"/>
      <c r="O148" s="125"/>
      <c r="P148" s="125"/>
    </row>
    <row r="149" spans="1:16" ht="16.5" thickBot="1">
      <c r="A149" s="42" t="s">
        <v>343</v>
      </c>
      <c r="B149" s="43">
        <v>0.67708333333333337</v>
      </c>
      <c r="C149" s="43">
        <v>42684.465277777781</v>
      </c>
      <c r="D149" s="43">
        <v>0.67708333333333337</v>
      </c>
      <c r="E149" s="43">
        <v>42684.465277777781</v>
      </c>
      <c r="F149" s="43">
        <v>42623.42291666667</v>
      </c>
      <c r="G149" s="43">
        <v>0.67708333333333337</v>
      </c>
      <c r="H149" s="43">
        <v>0.67708333333333337</v>
      </c>
      <c r="I149" s="43">
        <v>42623.42291666667</v>
      </c>
      <c r="J149" s="41" t="s">
        <v>380</v>
      </c>
      <c r="K149" s="41" t="s">
        <v>380</v>
      </c>
      <c r="L149" s="41" t="s">
        <v>380</v>
      </c>
      <c r="M149" s="125"/>
      <c r="N149" s="125"/>
      <c r="O149" s="125"/>
      <c r="P149" s="125"/>
    </row>
    <row r="150" spans="1:16" ht="17.25" thickTop="1" thickBot="1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125"/>
      <c r="N150" s="125"/>
      <c r="O150" s="125"/>
      <c r="P150" s="125"/>
    </row>
    <row r="151" spans="1:16" ht="19.5" thickTop="1" thickBot="1">
      <c r="A151" s="35" t="s">
        <v>399</v>
      </c>
      <c r="B151" s="1494" t="s">
        <v>380</v>
      </c>
      <c r="C151" s="1495"/>
      <c r="D151" s="1494" t="s">
        <v>380</v>
      </c>
      <c r="E151" s="1496"/>
      <c r="F151" s="32"/>
      <c r="G151" s="32"/>
      <c r="H151" s="32"/>
      <c r="I151" s="32"/>
      <c r="J151" s="32"/>
      <c r="K151" s="31"/>
      <c r="L151" s="31"/>
      <c r="M151" s="125"/>
      <c r="N151" s="125"/>
      <c r="O151" s="125"/>
      <c r="P151" s="125"/>
    </row>
    <row r="152" spans="1:16" ht="18.75" thickBot="1">
      <c r="A152" s="37" t="s">
        <v>400</v>
      </c>
      <c r="B152" s="1497" t="s">
        <v>380</v>
      </c>
      <c r="C152" s="1498"/>
      <c r="D152" s="1497" t="s">
        <v>380</v>
      </c>
      <c r="E152" s="1499"/>
      <c r="F152" s="31" t="s">
        <v>401</v>
      </c>
      <c r="G152" s="1500" t="s">
        <v>402</v>
      </c>
      <c r="H152" s="1500"/>
      <c r="I152" s="31" t="s">
        <v>403</v>
      </c>
      <c r="J152" s="1501">
        <f ca="1">TODAY()</f>
        <v>45944</v>
      </c>
      <c r="K152" s="1501"/>
      <c r="L152" s="1501"/>
      <c r="M152" s="125"/>
      <c r="N152" s="125"/>
      <c r="O152" s="125"/>
      <c r="P152" s="125"/>
    </row>
    <row r="153" spans="1:16" ht="18.75" thickBot="1">
      <c r="A153" s="42" t="s">
        <v>404</v>
      </c>
      <c r="B153" s="1491" t="s">
        <v>380</v>
      </c>
      <c r="C153" s="1492"/>
      <c r="D153" s="1491" t="s">
        <v>380</v>
      </c>
      <c r="E153" s="1493"/>
      <c r="F153" s="32"/>
      <c r="G153" s="31"/>
      <c r="H153" s="31" t="s">
        <v>405</v>
      </c>
      <c r="I153" s="31"/>
      <c r="J153" s="32"/>
      <c r="K153" s="31"/>
      <c r="L153" s="31"/>
      <c r="M153" s="125"/>
      <c r="N153" s="125"/>
      <c r="O153" s="125"/>
      <c r="P153" s="125"/>
    </row>
    <row r="154" spans="1:16" ht="18.75" thickTop="1">
      <c r="A154" s="32"/>
      <c r="B154" s="32"/>
      <c r="C154" s="32"/>
      <c r="D154" s="32"/>
      <c r="E154" s="32"/>
      <c r="F154" s="31"/>
      <c r="G154" s="31"/>
      <c r="H154" s="44" t="s">
        <v>406</v>
      </c>
      <c r="I154" s="31"/>
      <c r="J154" s="31"/>
      <c r="K154" s="32"/>
      <c r="L154" s="32"/>
      <c r="M154" s="125"/>
      <c r="N154" s="125"/>
      <c r="O154" s="125"/>
      <c r="P154" s="125"/>
    </row>
    <row r="155" spans="1:16" ht="18">
      <c r="A155" s="32"/>
      <c r="B155" s="32"/>
      <c r="C155" s="32"/>
      <c r="D155" s="32"/>
      <c r="E155" s="32"/>
      <c r="F155" s="31"/>
      <c r="G155" s="31"/>
      <c r="H155" s="32"/>
      <c r="I155" s="31"/>
      <c r="J155" s="32"/>
      <c r="K155" s="32"/>
      <c r="L155" s="32"/>
      <c r="M155" s="125"/>
      <c r="N155" s="125"/>
      <c r="O155" s="125"/>
      <c r="P155" s="125"/>
    </row>
    <row r="156" spans="1:16" ht="18">
      <c r="A156" s="1500" t="s">
        <v>78</v>
      </c>
      <c r="B156" s="1500"/>
      <c r="C156" s="1500"/>
      <c r="D156" s="1500"/>
      <c r="E156" s="1500"/>
      <c r="F156" s="1500"/>
      <c r="G156" s="1500"/>
      <c r="H156" s="1500"/>
      <c r="I156" s="1500"/>
      <c r="J156" s="1500"/>
      <c r="K156" s="1500"/>
      <c r="L156" s="1500"/>
      <c r="M156" s="125"/>
      <c r="N156" s="125"/>
      <c r="O156" s="125"/>
      <c r="P156" s="125"/>
    </row>
    <row r="157" spans="1:16" ht="18">
      <c r="A157" s="1500" t="s">
        <v>79</v>
      </c>
      <c r="B157" s="1500"/>
      <c r="C157" s="1500"/>
      <c r="D157" s="1500"/>
      <c r="E157" s="1500"/>
      <c r="F157" s="1500"/>
      <c r="G157" s="1500"/>
      <c r="H157" s="1500"/>
      <c r="I157" s="1500"/>
      <c r="J157" s="1500"/>
      <c r="K157" s="1500"/>
      <c r="L157" s="1500"/>
      <c r="M157" s="125"/>
      <c r="N157" s="125"/>
      <c r="O157" s="125"/>
      <c r="P157" s="125"/>
    </row>
    <row r="158" spans="1:16" ht="18">
      <c r="A158" s="30" t="s">
        <v>220</v>
      </c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125"/>
      <c r="N158" s="125"/>
      <c r="O158" s="125"/>
      <c r="P158" s="125"/>
    </row>
    <row r="159" spans="1:16" ht="18">
      <c r="A159" s="30" t="s">
        <v>361</v>
      </c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125"/>
      <c r="N159" s="125"/>
      <c r="O159" s="125"/>
      <c r="P159" s="125"/>
    </row>
    <row r="160" spans="1:16" ht="18.75" thickBo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125"/>
      <c r="N160" s="125"/>
      <c r="O160" s="125"/>
      <c r="P160" s="125"/>
    </row>
    <row r="161" spans="1:16" ht="24" thickBot="1">
      <c r="A161" s="31"/>
      <c r="B161" s="31"/>
      <c r="C161" s="1515" t="s">
        <v>362</v>
      </c>
      <c r="D161" s="1516"/>
      <c r="E161" s="1516"/>
      <c r="F161" s="1516"/>
      <c r="G161" s="1517"/>
      <c r="H161" s="1545" t="s">
        <v>268</v>
      </c>
      <c r="I161" s="1519"/>
      <c r="J161" s="31"/>
      <c r="K161" s="31"/>
      <c r="L161" s="31"/>
      <c r="M161" s="125"/>
      <c r="N161" s="126" t="str">
        <f>H161</f>
        <v>3ل ا</v>
      </c>
      <c r="O161" s="125"/>
      <c r="P161" s="125"/>
    </row>
    <row r="162" spans="1:16" ht="18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125"/>
      <c r="N162" s="125"/>
      <c r="O162" s="125"/>
      <c r="P162" s="125"/>
    </row>
    <row r="163" spans="1:16" ht="18">
      <c r="A163" s="30" t="s">
        <v>363</v>
      </c>
      <c r="B163" s="31"/>
      <c r="C163" s="1500" t="s">
        <v>305</v>
      </c>
      <c r="D163" s="1500"/>
      <c r="E163" s="1500"/>
      <c r="F163" s="31"/>
      <c r="G163" s="31" t="s">
        <v>364</v>
      </c>
      <c r="H163" s="31"/>
      <c r="I163" s="1500"/>
      <c r="J163" s="1500"/>
      <c r="K163" s="1500"/>
      <c r="L163" s="31"/>
      <c r="M163" s="125"/>
      <c r="N163" s="125"/>
      <c r="O163" s="125"/>
      <c r="P163" s="125"/>
    </row>
    <row r="164" spans="1:16" ht="18.75" thickBot="1">
      <c r="A164" s="30" t="s">
        <v>365</v>
      </c>
      <c r="B164" s="31"/>
      <c r="C164" s="31">
        <v>10</v>
      </c>
      <c r="D164" s="31"/>
      <c r="E164" s="31"/>
      <c r="F164" s="31"/>
      <c r="G164" s="31" t="s">
        <v>366</v>
      </c>
      <c r="H164" s="31"/>
      <c r="I164" s="31">
        <v>14</v>
      </c>
      <c r="J164" s="31"/>
      <c r="K164" s="31"/>
      <c r="L164" s="31"/>
      <c r="M164" s="125"/>
      <c r="N164" s="125"/>
      <c r="O164" s="125"/>
      <c r="P164" s="125"/>
    </row>
    <row r="165" spans="1:16" ht="17.25" thickTop="1" thickBot="1">
      <c r="A165" s="1542" t="s">
        <v>367</v>
      </c>
      <c r="B165" s="1543"/>
      <c r="C165" s="1543" t="s">
        <v>360</v>
      </c>
      <c r="D165" s="1543"/>
      <c r="E165" s="1543" t="s">
        <v>368</v>
      </c>
      <c r="F165" s="1543"/>
      <c r="G165" s="1543" t="s">
        <v>369</v>
      </c>
      <c r="H165" s="1543"/>
      <c r="I165" s="1543" t="s">
        <v>370</v>
      </c>
      <c r="J165" s="1543"/>
      <c r="K165" s="1543" t="s">
        <v>371</v>
      </c>
      <c r="L165" s="1544"/>
      <c r="M165" s="125"/>
      <c r="N165" s="125"/>
      <c r="O165" s="125"/>
      <c r="P165" s="125"/>
    </row>
    <row r="166" spans="1:16" ht="17.25" thickTop="1" thickBot="1">
      <c r="A166" s="1555" t="s">
        <v>372</v>
      </c>
      <c r="B166" s="1556"/>
      <c r="C166" s="1504" t="s">
        <v>386</v>
      </c>
      <c r="D166" s="1505"/>
      <c r="E166" s="1504" t="s">
        <v>385</v>
      </c>
      <c r="F166" s="1505"/>
      <c r="G166" s="1504" t="s">
        <v>262</v>
      </c>
      <c r="H166" s="1505"/>
      <c r="I166" s="1504" t="s">
        <v>422</v>
      </c>
      <c r="J166" s="1505"/>
      <c r="K166" s="1504" t="s">
        <v>290</v>
      </c>
      <c r="L166" s="1505"/>
      <c r="M166" s="125"/>
      <c r="N166" s="125"/>
      <c r="O166" s="125"/>
      <c r="P166" s="125"/>
    </row>
    <row r="167" spans="1:16" ht="17.25" thickTop="1" thickBot="1">
      <c r="A167" s="1555" t="s">
        <v>373</v>
      </c>
      <c r="B167" s="1556"/>
      <c r="C167" s="1504" t="s">
        <v>422</v>
      </c>
      <c r="D167" s="1505"/>
      <c r="E167" s="1504" t="s">
        <v>386</v>
      </c>
      <c r="F167" s="1505"/>
      <c r="G167" s="1504" t="s">
        <v>384</v>
      </c>
      <c r="H167" s="1505"/>
      <c r="I167" s="1504" t="s">
        <v>386</v>
      </c>
      <c r="J167" s="1505"/>
      <c r="K167" s="1504" t="s">
        <v>384</v>
      </c>
      <c r="L167" s="1505"/>
      <c r="M167" s="125"/>
      <c r="N167" s="125"/>
      <c r="O167" s="125"/>
      <c r="P167" s="125"/>
    </row>
    <row r="168" spans="1:16" ht="17.25" thickTop="1" thickBot="1">
      <c r="A168" s="1555" t="s">
        <v>374</v>
      </c>
      <c r="B168" s="1556"/>
      <c r="C168" s="1504" t="s">
        <v>422</v>
      </c>
      <c r="D168" s="1505"/>
      <c r="E168" s="1504" t="s">
        <v>290</v>
      </c>
      <c r="F168" s="1505"/>
      <c r="G168" s="1504" t="s">
        <v>384</v>
      </c>
      <c r="H168" s="1505"/>
      <c r="I168" s="1504" t="s">
        <v>384</v>
      </c>
      <c r="J168" s="1505"/>
      <c r="K168" s="1504" t="s">
        <v>279</v>
      </c>
      <c r="L168" s="1505"/>
      <c r="M168" s="125"/>
      <c r="N168" s="125"/>
      <c r="O168" s="125"/>
      <c r="P168" s="125"/>
    </row>
    <row r="169" spans="1:16" ht="17.25" thickTop="1" thickBot="1">
      <c r="A169" s="1553" t="s">
        <v>375</v>
      </c>
      <c r="B169" s="1554"/>
      <c r="C169" s="1504"/>
      <c r="D169" s="1505"/>
      <c r="E169" s="1504" t="s">
        <v>290</v>
      </c>
      <c r="F169" s="1505"/>
      <c r="G169" s="1504" t="s">
        <v>383</v>
      </c>
      <c r="H169" s="1505"/>
      <c r="I169" s="1504" t="s">
        <v>384</v>
      </c>
      <c r="J169" s="1505"/>
      <c r="K169" s="1504" t="s">
        <v>422</v>
      </c>
      <c r="L169" s="1505"/>
      <c r="M169" s="125"/>
      <c r="N169" s="125"/>
      <c r="O169" s="125"/>
      <c r="P169" s="125"/>
    </row>
    <row r="170" spans="1:16" ht="17.25" thickTop="1" thickBot="1">
      <c r="A170" s="32"/>
      <c r="B170" s="32"/>
      <c r="C170" s="32"/>
      <c r="D170" s="32"/>
      <c r="E170" s="32"/>
      <c r="F170" s="32"/>
      <c r="G170" s="32"/>
      <c r="H170" s="32"/>
      <c r="I170" s="45"/>
      <c r="J170" s="45"/>
      <c r="K170" s="32"/>
      <c r="L170" s="32"/>
      <c r="M170" s="125"/>
      <c r="N170" s="125"/>
      <c r="O170" s="125"/>
      <c r="P170" s="125"/>
    </row>
    <row r="171" spans="1:16" ht="17.25" thickTop="1" thickBot="1">
      <c r="A171" s="1508" t="s">
        <v>376</v>
      </c>
      <c r="B171" s="1539"/>
      <c r="C171" s="1504" t="s">
        <v>290</v>
      </c>
      <c r="D171" s="1505"/>
      <c r="E171" s="1504" t="s">
        <v>423</v>
      </c>
      <c r="F171" s="1505"/>
      <c r="G171" s="1504" t="s">
        <v>279</v>
      </c>
      <c r="H171" s="1505"/>
      <c r="I171" s="1504" t="s">
        <v>385</v>
      </c>
      <c r="J171" s="1505"/>
      <c r="K171" s="1504" t="s">
        <v>383</v>
      </c>
      <c r="L171" s="1505"/>
      <c r="M171" s="125"/>
      <c r="N171" s="125"/>
      <c r="O171" s="125"/>
      <c r="P171" s="125"/>
    </row>
    <row r="172" spans="1:16" ht="17.25" thickTop="1" thickBot="1">
      <c r="A172" s="1506" t="s">
        <v>377</v>
      </c>
      <c r="B172" s="1538"/>
      <c r="C172" s="1504" t="s">
        <v>387</v>
      </c>
      <c r="D172" s="1505"/>
      <c r="E172" s="1504" t="s">
        <v>262</v>
      </c>
      <c r="F172" s="1505"/>
      <c r="G172" s="1504" t="s">
        <v>385</v>
      </c>
      <c r="H172" s="1505"/>
      <c r="I172" s="1504" t="s">
        <v>424</v>
      </c>
      <c r="J172" s="1505"/>
      <c r="K172" s="1504" t="s">
        <v>386</v>
      </c>
      <c r="L172" s="1505"/>
      <c r="M172" s="125"/>
      <c r="N172" s="125"/>
      <c r="O172" s="125"/>
      <c r="P172" s="125"/>
    </row>
    <row r="173" spans="1:16" ht="17.25" thickTop="1" thickBot="1">
      <c r="A173" s="1506" t="s">
        <v>378</v>
      </c>
      <c r="B173" s="1538"/>
      <c r="C173" s="1504" t="s">
        <v>387</v>
      </c>
      <c r="D173" s="1505"/>
      <c r="E173" s="1504"/>
      <c r="F173" s="1505"/>
      <c r="G173" s="1504"/>
      <c r="H173" s="1505"/>
      <c r="I173" s="1504" t="s">
        <v>279</v>
      </c>
      <c r="J173" s="1505"/>
      <c r="K173" s="1504"/>
      <c r="L173" s="1505"/>
      <c r="M173" s="125"/>
      <c r="N173" s="125"/>
      <c r="O173" s="125"/>
      <c r="P173" s="125"/>
    </row>
    <row r="174" spans="1:16" ht="17.25" thickTop="1" thickBot="1">
      <c r="A174" s="1536" t="s">
        <v>379</v>
      </c>
      <c r="B174" s="1537"/>
      <c r="C174" s="1504">
        <v>0</v>
      </c>
      <c r="D174" s="1505"/>
      <c r="E174" s="1504">
        <v>0</v>
      </c>
      <c r="F174" s="1505"/>
      <c r="G174" s="1504">
        <v>0</v>
      </c>
      <c r="H174" s="1505"/>
      <c r="I174" s="1504">
        <v>0</v>
      </c>
      <c r="J174" s="1505"/>
      <c r="K174" s="1504" t="s">
        <v>380</v>
      </c>
      <c r="L174" s="1505"/>
      <c r="M174" s="125"/>
      <c r="N174" s="125"/>
      <c r="O174" s="125"/>
      <c r="P174" s="125"/>
    </row>
    <row r="175" spans="1:16" ht="17.25" thickTop="1" thickBot="1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125"/>
      <c r="N175" s="125"/>
      <c r="O175" s="125"/>
      <c r="P175" s="125"/>
    </row>
    <row r="176" spans="1:16" ht="16.5" thickTop="1">
      <c r="A176" s="35" t="s">
        <v>381</v>
      </c>
      <c r="B176" s="36" t="s">
        <v>262</v>
      </c>
      <c r="C176" s="36" t="s">
        <v>383</v>
      </c>
      <c r="D176" s="36" t="s">
        <v>279</v>
      </c>
      <c r="E176" s="36" t="s">
        <v>384</v>
      </c>
      <c r="F176" s="36" t="s">
        <v>385</v>
      </c>
      <c r="G176" s="36" t="s">
        <v>290</v>
      </c>
      <c r="H176" s="36" t="s">
        <v>386</v>
      </c>
      <c r="I176" s="36" t="s">
        <v>422</v>
      </c>
      <c r="J176" s="36" t="s">
        <v>387</v>
      </c>
      <c r="K176" s="36" t="s">
        <v>380</v>
      </c>
      <c r="L176" s="36" t="s">
        <v>380</v>
      </c>
      <c r="M176" s="125"/>
      <c r="N176" s="125"/>
      <c r="O176" s="125"/>
      <c r="P176" s="125"/>
    </row>
    <row r="177" spans="1:16" ht="15.75">
      <c r="A177" s="37" t="s">
        <v>388</v>
      </c>
      <c r="B177" s="38" t="s">
        <v>359</v>
      </c>
      <c r="C177" s="38" t="s">
        <v>359</v>
      </c>
      <c r="D177" s="38" t="s">
        <v>393</v>
      </c>
      <c r="E177" s="38" t="s">
        <v>392</v>
      </c>
      <c r="F177" s="38" t="s">
        <v>393</v>
      </c>
      <c r="G177" s="38" t="s">
        <v>419</v>
      </c>
      <c r="H177" s="38" t="s">
        <v>419</v>
      </c>
      <c r="I177" s="38" t="s">
        <v>392</v>
      </c>
      <c r="J177" s="38" t="s">
        <v>359</v>
      </c>
      <c r="K177" s="38" t="s">
        <v>380</v>
      </c>
      <c r="L177" s="38" t="s">
        <v>380</v>
      </c>
      <c r="M177" s="125"/>
      <c r="N177" s="125"/>
      <c r="O177" s="125"/>
      <c r="P177" s="125"/>
    </row>
    <row r="178" spans="1:16" ht="15.75">
      <c r="A178" s="37" t="s">
        <v>394</v>
      </c>
      <c r="B178" s="39" t="s">
        <v>272</v>
      </c>
      <c r="C178" s="39" t="s">
        <v>283</v>
      </c>
      <c r="D178" s="39" t="s">
        <v>282</v>
      </c>
      <c r="E178" s="39" t="s">
        <v>285</v>
      </c>
      <c r="F178" s="39" t="s">
        <v>288</v>
      </c>
      <c r="G178" s="39" t="s">
        <v>292</v>
      </c>
      <c r="H178" s="39" t="s">
        <v>295</v>
      </c>
      <c r="I178" s="39" t="s">
        <v>305</v>
      </c>
      <c r="J178" s="39" t="s">
        <v>313</v>
      </c>
      <c r="K178" s="40" t="s">
        <v>380</v>
      </c>
      <c r="L178" s="40" t="s">
        <v>380</v>
      </c>
      <c r="M178" s="125"/>
      <c r="N178" s="125"/>
      <c r="O178" s="125"/>
      <c r="P178" s="125"/>
    </row>
    <row r="179" spans="1:16" ht="15.75">
      <c r="A179" s="37" t="s">
        <v>397</v>
      </c>
      <c r="B179" s="41" t="s">
        <v>344</v>
      </c>
      <c r="C179" s="41" t="s">
        <v>345</v>
      </c>
      <c r="D179" s="41" t="s">
        <v>345</v>
      </c>
      <c r="E179" s="41" t="s">
        <v>348</v>
      </c>
      <c r="F179" s="41" t="s">
        <v>344</v>
      </c>
      <c r="G179" s="41" t="s">
        <v>345</v>
      </c>
      <c r="H179" s="41" t="s">
        <v>348</v>
      </c>
      <c r="I179" s="41" t="s">
        <v>349</v>
      </c>
      <c r="J179" s="41" t="s">
        <v>348</v>
      </c>
      <c r="K179" s="41" t="s">
        <v>380</v>
      </c>
      <c r="L179" s="41" t="s">
        <v>380</v>
      </c>
      <c r="M179" s="125"/>
      <c r="N179" s="125"/>
      <c r="O179" s="125"/>
      <c r="P179" s="125"/>
    </row>
    <row r="180" spans="1:16" ht="16.5" thickBot="1">
      <c r="A180" s="42" t="s">
        <v>343</v>
      </c>
      <c r="B180" s="43">
        <v>0.67708333333333337</v>
      </c>
      <c r="C180" s="43">
        <v>42684.465277777781</v>
      </c>
      <c r="D180" s="43">
        <v>42684.677083333336</v>
      </c>
      <c r="E180" s="43">
        <v>0.67708333333333337</v>
      </c>
      <c r="F180" s="43">
        <v>42623.42291666667</v>
      </c>
      <c r="G180" s="43">
        <v>0.67708333333333337</v>
      </c>
      <c r="H180" s="43">
        <v>42623.42291666667</v>
      </c>
      <c r="I180" s="43">
        <v>42684.465277777781</v>
      </c>
      <c r="J180" s="43">
        <v>42623.42291666667</v>
      </c>
      <c r="K180" s="41" t="s">
        <v>380</v>
      </c>
      <c r="L180" s="41" t="s">
        <v>380</v>
      </c>
      <c r="M180" s="125"/>
      <c r="N180" s="125"/>
      <c r="O180" s="125"/>
      <c r="P180" s="125"/>
    </row>
    <row r="181" spans="1:16" ht="17.25" thickTop="1" thickBot="1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125"/>
      <c r="N181" s="125"/>
      <c r="O181" s="125"/>
      <c r="P181" s="125"/>
    </row>
    <row r="182" spans="1:16" ht="19.5" thickTop="1" thickBot="1">
      <c r="A182" s="35" t="s">
        <v>399</v>
      </c>
      <c r="B182" s="1494" t="s">
        <v>380</v>
      </c>
      <c r="C182" s="1495"/>
      <c r="D182" s="1494" t="s">
        <v>380</v>
      </c>
      <c r="E182" s="1496"/>
      <c r="F182" s="32"/>
      <c r="G182" s="32"/>
      <c r="H182" s="32"/>
      <c r="I182" s="32"/>
      <c r="J182" s="32"/>
      <c r="K182" s="31"/>
      <c r="L182" s="31"/>
      <c r="M182" s="125"/>
      <c r="N182" s="125"/>
      <c r="O182" s="125"/>
      <c r="P182" s="125"/>
    </row>
    <row r="183" spans="1:16" ht="18.75" thickBot="1">
      <c r="A183" s="37" t="s">
        <v>400</v>
      </c>
      <c r="B183" s="1497" t="s">
        <v>380</v>
      </c>
      <c r="C183" s="1498"/>
      <c r="D183" s="1497" t="s">
        <v>380</v>
      </c>
      <c r="E183" s="1499"/>
      <c r="F183" s="31" t="s">
        <v>401</v>
      </c>
      <c r="G183" s="1500" t="s">
        <v>402</v>
      </c>
      <c r="H183" s="1500"/>
      <c r="I183" s="31" t="s">
        <v>403</v>
      </c>
      <c r="J183" s="1501">
        <f ca="1">TODAY()</f>
        <v>45944</v>
      </c>
      <c r="K183" s="1501"/>
      <c r="L183" s="1501"/>
      <c r="M183" s="125"/>
      <c r="N183" s="125"/>
      <c r="O183" s="125"/>
      <c r="P183" s="125"/>
    </row>
    <row r="184" spans="1:16" ht="18.75" thickBot="1">
      <c r="A184" s="42" t="s">
        <v>404</v>
      </c>
      <c r="B184" s="1491" t="s">
        <v>380</v>
      </c>
      <c r="C184" s="1492"/>
      <c r="D184" s="1491" t="s">
        <v>380</v>
      </c>
      <c r="E184" s="1493"/>
      <c r="F184" s="32"/>
      <c r="G184" s="31"/>
      <c r="H184" s="31" t="s">
        <v>405</v>
      </c>
      <c r="I184" s="31"/>
      <c r="J184" s="32"/>
      <c r="K184" s="31"/>
      <c r="L184" s="31"/>
      <c r="M184" s="125"/>
      <c r="N184" s="125"/>
      <c r="O184" s="125"/>
      <c r="P184" s="125"/>
    </row>
    <row r="185" spans="1:16" ht="18.75" thickTop="1">
      <c r="A185" s="32"/>
      <c r="B185" s="32"/>
      <c r="C185" s="32"/>
      <c r="D185" s="32"/>
      <c r="E185" s="32"/>
      <c r="F185" s="31"/>
      <c r="G185" s="31"/>
      <c r="H185" s="44" t="s">
        <v>406</v>
      </c>
      <c r="I185" s="31"/>
      <c r="J185" s="31"/>
      <c r="K185" s="32"/>
      <c r="L185" s="32"/>
      <c r="M185" s="125"/>
      <c r="N185" s="125"/>
      <c r="O185" s="125"/>
      <c r="P185" s="125"/>
    </row>
    <row r="186" spans="1:16" ht="18">
      <c r="A186" s="32"/>
      <c r="B186" s="32"/>
      <c r="C186" s="32"/>
      <c r="D186" s="32"/>
      <c r="E186" s="32"/>
      <c r="F186" s="31"/>
      <c r="G186" s="31"/>
      <c r="H186" s="32"/>
      <c r="I186" s="31"/>
      <c r="J186" s="32"/>
      <c r="K186" s="32"/>
      <c r="L186" s="32"/>
      <c r="M186" s="125"/>
      <c r="N186" s="125"/>
      <c r="O186" s="125"/>
      <c r="P186" s="125"/>
    </row>
    <row r="187" spans="1:16" ht="18">
      <c r="A187" s="1500" t="s">
        <v>78</v>
      </c>
      <c r="B187" s="1500"/>
      <c r="C187" s="1500"/>
      <c r="D187" s="1500"/>
      <c r="E187" s="1500"/>
      <c r="F187" s="1500"/>
      <c r="G187" s="1500"/>
      <c r="H187" s="1500"/>
      <c r="I187" s="1500"/>
      <c r="J187" s="1500"/>
      <c r="K187" s="1500"/>
      <c r="L187" s="1500"/>
      <c r="M187" s="125"/>
      <c r="N187" s="125"/>
      <c r="O187" s="125"/>
      <c r="P187" s="125"/>
    </row>
    <row r="188" spans="1:16" ht="18">
      <c r="A188" s="1500" t="s">
        <v>79</v>
      </c>
      <c r="B188" s="1500"/>
      <c r="C188" s="1500"/>
      <c r="D188" s="1500"/>
      <c r="E188" s="1500"/>
      <c r="F188" s="1500"/>
      <c r="G188" s="1500"/>
      <c r="H188" s="1500"/>
      <c r="I188" s="1500"/>
      <c r="J188" s="1500"/>
      <c r="K188" s="1500"/>
      <c r="L188" s="1500"/>
      <c r="M188" s="125"/>
      <c r="N188" s="125"/>
      <c r="O188" s="125"/>
      <c r="P188" s="125"/>
    </row>
    <row r="189" spans="1:16" ht="18">
      <c r="A189" s="30" t="s">
        <v>220</v>
      </c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125"/>
      <c r="N189" s="125"/>
      <c r="O189" s="125"/>
      <c r="P189" s="125"/>
    </row>
    <row r="190" spans="1:16" ht="18">
      <c r="A190" s="30" t="s">
        <v>361</v>
      </c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125"/>
      <c r="N190" s="125"/>
      <c r="O190" s="125"/>
      <c r="P190" s="125"/>
    </row>
    <row r="191" spans="1:16" ht="18.75" thickBo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125"/>
      <c r="N191" s="125"/>
      <c r="O191" s="125"/>
      <c r="P191" s="125"/>
    </row>
    <row r="192" spans="1:16" ht="24" thickBot="1">
      <c r="A192" s="31"/>
      <c r="B192" s="31"/>
      <c r="C192" s="1515" t="s">
        <v>362</v>
      </c>
      <c r="D192" s="1516"/>
      <c r="E192" s="1516"/>
      <c r="F192" s="1516"/>
      <c r="G192" s="1517"/>
      <c r="H192" s="1545" t="s">
        <v>6</v>
      </c>
      <c r="I192" s="1519"/>
      <c r="J192" s="31"/>
      <c r="K192" s="31"/>
      <c r="L192" s="31"/>
      <c r="M192" s="125"/>
      <c r="N192" s="126" t="str">
        <f>H192</f>
        <v>2ت ر</v>
      </c>
      <c r="O192" s="125"/>
      <c r="P192" s="125"/>
    </row>
    <row r="193" spans="1:16" ht="18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125"/>
      <c r="N193" s="125"/>
      <c r="O193" s="125"/>
      <c r="P193" s="125"/>
    </row>
    <row r="194" spans="1:16" ht="18">
      <c r="A194" s="30" t="s">
        <v>363</v>
      </c>
      <c r="B194" s="31"/>
      <c r="C194" s="1500" t="s">
        <v>309</v>
      </c>
      <c r="D194" s="1500"/>
      <c r="E194" s="1500"/>
      <c r="F194" s="31"/>
      <c r="G194" s="31" t="s">
        <v>364</v>
      </c>
      <c r="H194" s="31"/>
      <c r="I194" s="1500"/>
      <c r="J194" s="1500"/>
      <c r="K194" s="1500"/>
      <c r="L194" s="31"/>
      <c r="M194" s="125"/>
      <c r="N194" s="125"/>
      <c r="O194" s="125"/>
      <c r="P194" s="125"/>
    </row>
    <row r="195" spans="1:16" ht="18.75" thickBot="1">
      <c r="A195" s="30" t="s">
        <v>365</v>
      </c>
      <c r="B195" s="31"/>
      <c r="C195" s="31">
        <v>4</v>
      </c>
      <c r="D195" s="31"/>
      <c r="E195" s="31"/>
      <c r="F195" s="31"/>
      <c r="G195" s="31" t="s">
        <v>366</v>
      </c>
      <c r="H195" s="31"/>
      <c r="I195" s="31">
        <v>9</v>
      </c>
      <c r="J195" s="31"/>
      <c r="K195" s="31"/>
      <c r="L195" s="31"/>
      <c r="M195" s="125"/>
      <c r="N195" s="125"/>
      <c r="O195" s="125"/>
      <c r="P195" s="125"/>
    </row>
    <row r="196" spans="1:16" ht="17.25" thickTop="1" thickBot="1">
      <c r="A196" s="1542" t="s">
        <v>367</v>
      </c>
      <c r="B196" s="1543"/>
      <c r="C196" s="1543" t="s">
        <v>360</v>
      </c>
      <c r="D196" s="1543"/>
      <c r="E196" s="1543" t="s">
        <v>368</v>
      </c>
      <c r="F196" s="1543"/>
      <c r="G196" s="1543" t="s">
        <v>369</v>
      </c>
      <c r="H196" s="1543"/>
      <c r="I196" s="1543" t="s">
        <v>370</v>
      </c>
      <c r="J196" s="1543"/>
      <c r="K196" s="1543" t="s">
        <v>371</v>
      </c>
      <c r="L196" s="1544"/>
      <c r="M196" s="125"/>
      <c r="N196" s="125"/>
      <c r="O196" s="125"/>
      <c r="P196" s="125"/>
    </row>
    <row r="197" spans="1:16" ht="17.25" thickTop="1" thickBot="1">
      <c r="A197" s="1555" t="s">
        <v>372</v>
      </c>
      <c r="B197" s="1556"/>
      <c r="C197" s="1504" t="s">
        <v>308</v>
      </c>
      <c r="D197" s="1505"/>
      <c r="E197" s="1504" t="s">
        <v>409</v>
      </c>
      <c r="F197" s="1505"/>
      <c r="G197" s="1504" t="s">
        <v>270</v>
      </c>
      <c r="H197" s="1505"/>
      <c r="I197" s="1504" t="s">
        <v>262</v>
      </c>
      <c r="J197" s="1505"/>
      <c r="K197" s="1504" t="s">
        <v>308</v>
      </c>
      <c r="L197" s="1505"/>
      <c r="M197" s="125"/>
      <c r="N197" s="125"/>
      <c r="O197" s="125"/>
      <c r="P197" s="125"/>
    </row>
    <row r="198" spans="1:16" ht="17.25" thickTop="1" thickBot="1">
      <c r="A198" s="1555" t="s">
        <v>373</v>
      </c>
      <c r="B198" s="1556"/>
      <c r="C198" s="1504" t="s">
        <v>308</v>
      </c>
      <c r="D198" s="1505"/>
      <c r="E198" s="1504" t="s">
        <v>409</v>
      </c>
      <c r="F198" s="1505"/>
      <c r="G198" s="1504" t="s">
        <v>270</v>
      </c>
      <c r="H198" s="1505"/>
      <c r="I198" s="1504" t="s">
        <v>308</v>
      </c>
      <c r="J198" s="1505"/>
      <c r="K198" s="1504" t="s">
        <v>308</v>
      </c>
      <c r="L198" s="1505"/>
      <c r="M198" s="125"/>
      <c r="N198" s="125"/>
      <c r="O198" s="125"/>
      <c r="P198" s="125"/>
    </row>
    <row r="199" spans="1:16" ht="17.25" thickTop="1" thickBot="1">
      <c r="A199" s="1555" t="s">
        <v>374</v>
      </c>
      <c r="B199" s="1556"/>
      <c r="C199" s="1504" t="s">
        <v>262</v>
      </c>
      <c r="D199" s="1505"/>
      <c r="E199" s="1504" t="s">
        <v>387</v>
      </c>
      <c r="F199" s="1505"/>
      <c r="G199" s="1504" t="s">
        <v>262</v>
      </c>
      <c r="H199" s="1505"/>
      <c r="I199" s="1504" t="s">
        <v>308</v>
      </c>
      <c r="J199" s="1505"/>
      <c r="K199" s="1504" t="s">
        <v>383</v>
      </c>
      <c r="L199" s="1505"/>
      <c r="M199" s="125"/>
      <c r="N199" s="125"/>
      <c r="O199" s="125"/>
      <c r="P199" s="125"/>
    </row>
    <row r="200" spans="1:16" ht="17.25" thickTop="1" thickBot="1">
      <c r="A200" s="1553" t="s">
        <v>375</v>
      </c>
      <c r="B200" s="1554"/>
      <c r="C200" s="1504" t="s">
        <v>262</v>
      </c>
      <c r="D200" s="1505"/>
      <c r="E200" s="1504" t="s">
        <v>387</v>
      </c>
      <c r="F200" s="1505"/>
      <c r="G200" s="1504" t="s">
        <v>262</v>
      </c>
      <c r="H200" s="1505"/>
      <c r="I200" s="1504" t="s">
        <v>385</v>
      </c>
      <c r="J200" s="1505"/>
      <c r="K200" s="1504" t="s">
        <v>270</v>
      </c>
      <c r="L200" s="1505"/>
      <c r="M200" s="125"/>
      <c r="N200" s="125"/>
      <c r="O200" s="125"/>
      <c r="P200" s="125"/>
    </row>
    <row r="201" spans="1:16" ht="17.25" thickTop="1" thickBot="1">
      <c r="A201" s="32"/>
      <c r="B201" s="32"/>
      <c r="C201" s="32"/>
      <c r="D201" s="32"/>
      <c r="E201" s="32"/>
      <c r="F201" s="32"/>
      <c r="G201" s="32"/>
      <c r="H201" s="32"/>
      <c r="I201" s="45"/>
      <c r="J201" s="45"/>
      <c r="K201" s="32"/>
      <c r="L201" s="32"/>
      <c r="M201" s="125"/>
      <c r="N201" s="125"/>
      <c r="O201" s="125"/>
      <c r="P201" s="125"/>
    </row>
    <row r="202" spans="1:16" ht="17.25" thickTop="1" thickBot="1">
      <c r="A202" s="1508" t="s">
        <v>376</v>
      </c>
      <c r="B202" s="1539"/>
      <c r="C202" s="1504" t="s">
        <v>384</v>
      </c>
      <c r="D202" s="1505"/>
      <c r="E202" s="1504" t="s">
        <v>385</v>
      </c>
      <c r="F202" s="1505"/>
      <c r="G202" s="1504" t="s">
        <v>386</v>
      </c>
      <c r="H202" s="1505"/>
      <c r="I202" s="1504" t="s">
        <v>384</v>
      </c>
      <c r="J202" s="1505"/>
      <c r="K202" s="1504" t="s">
        <v>385</v>
      </c>
      <c r="L202" s="1505"/>
      <c r="M202" s="125"/>
      <c r="N202" s="125"/>
      <c r="O202" s="125"/>
      <c r="P202" s="125"/>
    </row>
    <row r="203" spans="1:16" ht="17.25" thickTop="1" thickBot="1">
      <c r="A203" s="1506" t="s">
        <v>377</v>
      </c>
      <c r="B203" s="1538"/>
      <c r="C203" s="1504" t="s">
        <v>290</v>
      </c>
      <c r="D203" s="1505"/>
      <c r="E203" s="1504" t="s">
        <v>290</v>
      </c>
      <c r="F203" s="1505"/>
      <c r="G203" s="1504" t="s">
        <v>384</v>
      </c>
      <c r="H203" s="1505"/>
      <c r="I203" s="1504" t="s">
        <v>290</v>
      </c>
      <c r="J203" s="1505"/>
      <c r="K203" s="1504" t="s">
        <v>386</v>
      </c>
      <c r="L203" s="1505"/>
      <c r="M203" s="125"/>
      <c r="N203" s="125"/>
      <c r="O203" s="125"/>
      <c r="P203" s="125"/>
    </row>
    <row r="204" spans="1:16" ht="17.25" thickTop="1" thickBot="1">
      <c r="A204" s="1506" t="s">
        <v>378</v>
      </c>
      <c r="B204" s="1538"/>
      <c r="C204" s="1504" t="s">
        <v>386</v>
      </c>
      <c r="D204" s="1505"/>
      <c r="E204" s="1504" t="s">
        <v>262</v>
      </c>
      <c r="F204" s="1505"/>
      <c r="G204" s="1504" t="s">
        <v>383</v>
      </c>
      <c r="H204" s="1505"/>
      <c r="I204" s="1504"/>
      <c r="J204" s="1505"/>
      <c r="K204" s="1504"/>
      <c r="L204" s="1505"/>
      <c r="M204" s="125"/>
      <c r="N204" s="125"/>
      <c r="O204" s="125"/>
      <c r="P204" s="125"/>
    </row>
    <row r="205" spans="1:16" ht="17.25" thickTop="1" thickBot="1">
      <c r="A205" s="1536" t="s">
        <v>379</v>
      </c>
      <c r="B205" s="1537"/>
      <c r="C205" s="1504">
        <v>0</v>
      </c>
      <c r="D205" s="1505"/>
      <c r="E205" s="1504">
        <v>0</v>
      </c>
      <c r="F205" s="1505"/>
      <c r="G205" s="1504">
        <v>0</v>
      </c>
      <c r="H205" s="1505"/>
      <c r="I205" s="1504">
        <v>0</v>
      </c>
      <c r="J205" s="1505"/>
      <c r="K205" s="1504" t="s">
        <v>380</v>
      </c>
      <c r="L205" s="1505"/>
      <c r="M205" s="125"/>
      <c r="N205" s="125"/>
      <c r="O205" s="125"/>
      <c r="P205" s="125"/>
    </row>
    <row r="206" spans="1:16" ht="17.25" thickTop="1" thickBot="1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125"/>
      <c r="N206" s="125"/>
      <c r="O206" s="125"/>
      <c r="P206" s="125"/>
    </row>
    <row r="207" spans="1:16" ht="16.5" thickTop="1">
      <c r="A207" s="35" t="s">
        <v>381</v>
      </c>
      <c r="B207" s="36" t="s">
        <v>262</v>
      </c>
      <c r="C207" s="36" t="s">
        <v>270</v>
      </c>
      <c r="D207" s="36" t="s">
        <v>425</v>
      </c>
      <c r="E207" s="36" t="s">
        <v>383</v>
      </c>
      <c r="F207" s="36" t="s">
        <v>384</v>
      </c>
      <c r="G207" s="36" t="s">
        <v>385</v>
      </c>
      <c r="H207" s="36" t="s">
        <v>290</v>
      </c>
      <c r="I207" s="36" t="s">
        <v>386</v>
      </c>
      <c r="J207" s="36" t="s">
        <v>387</v>
      </c>
      <c r="K207" s="36" t="s">
        <v>380</v>
      </c>
      <c r="L207" s="36" t="s">
        <v>380</v>
      </c>
      <c r="M207" s="125"/>
      <c r="N207" s="125"/>
      <c r="O207" s="125"/>
      <c r="P207" s="125"/>
    </row>
    <row r="208" spans="1:16" ht="15.75">
      <c r="A208" s="37" t="s">
        <v>388</v>
      </c>
      <c r="B208" s="38" t="s">
        <v>420</v>
      </c>
      <c r="C208" s="38" t="s">
        <v>390</v>
      </c>
      <c r="D208" s="38" t="s">
        <v>420</v>
      </c>
      <c r="E208" s="38" t="s">
        <v>359</v>
      </c>
      <c r="F208" s="38" t="s">
        <v>393</v>
      </c>
      <c r="G208" s="38" t="s">
        <v>393</v>
      </c>
      <c r="H208" s="38" t="s">
        <v>393</v>
      </c>
      <c r="I208" s="38" t="s">
        <v>393</v>
      </c>
      <c r="J208" s="38" t="s">
        <v>359</v>
      </c>
      <c r="K208" s="38" t="s">
        <v>380</v>
      </c>
      <c r="L208" s="38" t="s">
        <v>380</v>
      </c>
      <c r="M208" s="125"/>
      <c r="N208" s="125"/>
      <c r="O208" s="125"/>
      <c r="P208" s="125"/>
    </row>
    <row r="209" spans="1:16" ht="15.75">
      <c r="A209" s="37" t="s">
        <v>394</v>
      </c>
      <c r="B209" s="39" t="s">
        <v>272</v>
      </c>
      <c r="C209" s="39" t="s">
        <v>275</v>
      </c>
      <c r="D209" s="39" t="s">
        <v>309</v>
      </c>
      <c r="E209" s="39" t="s">
        <v>283</v>
      </c>
      <c r="F209" s="39" t="s">
        <v>285</v>
      </c>
      <c r="G209" s="39" t="s">
        <v>289</v>
      </c>
      <c r="H209" s="39" t="s">
        <v>396</v>
      </c>
      <c r="I209" s="39" t="s">
        <v>297</v>
      </c>
      <c r="J209" s="39" t="s">
        <v>314</v>
      </c>
      <c r="K209" s="40" t="s">
        <v>380</v>
      </c>
      <c r="L209" s="40" t="s">
        <v>380</v>
      </c>
      <c r="M209" s="125"/>
      <c r="N209" s="125"/>
      <c r="O209" s="125"/>
      <c r="P209" s="125"/>
    </row>
    <row r="210" spans="1:16" ht="15.75">
      <c r="A210" s="37" t="s">
        <v>397</v>
      </c>
      <c r="B210" s="41" t="s">
        <v>344</v>
      </c>
      <c r="C210" s="41" t="s">
        <v>345</v>
      </c>
      <c r="D210" s="41" t="s">
        <v>345</v>
      </c>
      <c r="E210" s="41" t="s">
        <v>345</v>
      </c>
      <c r="F210" s="41" t="s">
        <v>348</v>
      </c>
      <c r="G210" s="41" t="s">
        <v>346</v>
      </c>
      <c r="H210" s="41" t="s">
        <v>398</v>
      </c>
      <c r="I210" s="41" t="s">
        <v>348</v>
      </c>
      <c r="J210" s="41" t="s">
        <v>348</v>
      </c>
      <c r="K210" s="41" t="s">
        <v>380</v>
      </c>
      <c r="L210" s="41" t="s">
        <v>380</v>
      </c>
      <c r="M210" s="125"/>
      <c r="N210" s="125"/>
      <c r="O210" s="125"/>
      <c r="P210" s="125"/>
    </row>
    <row r="211" spans="1:16" ht="16.5" thickBot="1">
      <c r="A211" s="42" t="s">
        <v>343</v>
      </c>
      <c r="B211" s="43">
        <v>0.67708333333333337</v>
      </c>
      <c r="C211" s="43">
        <v>0.63472222222222219</v>
      </c>
      <c r="D211" s="43">
        <v>42684.465277777781</v>
      </c>
      <c r="E211" s="43">
        <v>42684.465277777781</v>
      </c>
      <c r="F211" s="43">
        <v>0.67708333333333337</v>
      </c>
      <c r="G211" s="43">
        <v>0.67708333333333337</v>
      </c>
      <c r="H211" s="43">
        <v>42684.465277777781</v>
      </c>
      <c r="I211" s="43">
        <v>42623.42291666667</v>
      </c>
      <c r="J211" s="43">
        <v>42623.42291666667</v>
      </c>
      <c r="K211" s="41" t="s">
        <v>380</v>
      </c>
      <c r="L211" s="41" t="s">
        <v>380</v>
      </c>
      <c r="M211" s="125"/>
      <c r="N211" s="125"/>
      <c r="O211" s="125"/>
      <c r="P211" s="125"/>
    </row>
    <row r="212" spans="1:16" ht="17.25" thickTop="1" thickBot="1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125"/>
      <c r="N212" s="125"/>
      <c r="O212" s="125"/>
      <c r="P212" s="125"/>
    </row>
    <row r="213" spans="1:16" ht="19.5" thickTop="1" thickBot="1">
      <c r="A213" s="35" t="s">
        <v>399</v>
      </c>
      <c r="B213" s="1494" t="s">
        <v>380</v>
      </c>
      <c r="C213" s="1495"/>
      <c r="D213" s="1494" t="s">
        <v>380</v>
      </c>
      <c r="E213" s="1496"/>
      <c r="F213" s="32"/>
      <c r="G213" s="32"/>
      <c r="H213" s="32"/>
      <c r="I213" s="32"/>
      <c r="J213" s="32"/>
      <c r="K213" s="31"/>
      <c r="L213" s="31"/>
      <c r="M213" s="125"/>
      <c r="N213" s="125"/>
      <c r="O213" s="125"/>
      <c r="P213" s="125"/>
    </row>
    <row r="214" spans="1:16" ht="18.75" thickBot="1">
      <c r="A214" s="37" t="s">
        <v>400</v>
      </c>
      <c r="B214" s="1497" t="s">
        <v>380</v>
      </c>
      <c r="C214" s="1498"/>
      <c r="D214" s="1497" t="s">
        <v>380</v>
      </c>
      <c r="E214" s="1499"/>
      <c r="F214" s="31" t="s">
        <v>401</v>
      </c>
      <c r="G214" s="1500" t="s">
        <v>402</v>
      </c>
      <c r="H214" s="1500"/>
      <c r="I214" s="31" t="s">
        <v>403</v>
      </c>
      <c r="J214" s="1501">
        <f ca="1">TODAY()</f>
        <v>45944</v>
      </c>
      <c r="K214" s="1501"/>
      <c r="L214" s="1501"/>
      <c r="M214" s="125"/>
      <c r="N214" s="125"/>
      <c r="O214" s="125"/>
      <c r="P214" s="125"/>
    </row>
    <row r="215" spans="1:16" ht="18.75" thickBot="1">
      <c r="A215" s="42" t="s">
        <v>404</v>
      </c>
      <c r="B215" s="1491" t="s">
        <v>380</v>
      </c>
      <c r="C215" s="1492"/>
      <c r="D215" s="1491" t="s">
        <v>380</v>
      </c>
      <c r="E215" s="1493"/>
      <c r="F215" s="32"/>
      <c r="G215" s="31"/>
      <c r="H215" s="31" t="s">
        <v>405</v>
      </c>
      <c r="I215" s="31"/>
      <c r="J215" s="32"/>
      <c r="K215" s="31"/>
      <c r="L215" s="31"/>
      <c r="M215" s="125"/>
      <c r="N215" s="125"/>
      <c r="O215" s="125"/>
      <c r="P215" s="125"/>
    </row>
    <row r="216" spans="1:16" ht="18.75" thickTop="1">
      <c r="A216" s="32"/>
      <c r="B216" s="32"/>
      <c r="C216" s="32"/>
      <c r="D216" s="32"/>
      <c r="E216" s="32"/>
      <c r="F216" s="31"/>
      <c r="G216" s="31"/>
      <c r="H216" s="44" t="s">
        <v>406</v>
      </c>
      <c r="I216" s="31"/>
      <c r="J216" s="31"/>
      <c r="K216" s="32"/>
      <c r="L216" s="32"/>
      <c r="M216" s="125"/>
      <c r="N216" s="125"/>
      <c r="O216" s="125"/>
      <c r="P216" s="125"/>
    </row>
    <row r="217" spans="1:16" ht="18">
      <c r="A217" s="32"/>
      <c r="B217" s="32"/>
      <c r="C217" s="32"/>
      <c r="D217" s="32"/>
      <c r="E217" s="32"/>
      <c r="F217" s="31"/>
      <c r="G217" s="31"/>
      <c r="H217" s="32"/>
      <c r="I217" s="31"/>
      <c r="J217" s="32"/>
      <c r="K217" s="32"/>
      <c r="L217" s="32"/>
      <c r="M217" s="125"/>
      <c r="N217" s="125"/>
      <c r="O217" s="125"/>
      <c r="P217" s="125"/>
    </row>
    <row r="218" spans="1:16" ht="18">
      <c r="A218" s="1500" t="s">
        <v>78</v>
      </c>
      <c r="B218" s="1500"/>
      <c r="C218" s="1500"/>
      <c r="D218" s="1500"/>
      <c r="E218" s="1500"/>
      <c r="F218" s="1500"/>
      <c r="G218" s="1500"/>
      <c r="H218" s="1500"/>
      <c r="I218" s="1500"/>
      <c r="J218" s="1500"/>
      <c r="K218" s="1500"/>
      <c r="L218" s="1500"/>
      <c r="M218" s="125"/>
      <c r="N218" s="125"/>
      <c r="O218" s="125"/>
      <c r="P218" s="125"/>
    </row>
    <row r="219" spans="1:16" ht="18">
      <c r="A219" s="1500" t="s">
        <v>79</v>
      </c>
      <c r="B219" s="1500"/>
      <c r="C219" s="1500"/>
      <c r="D219" s="1500"/>
      <c r="E219" s="1500"/>
      <c r="F219" s="1500"/>
      <c r="G219" s="1500"/>
      <c r="H219" s="1500"/>
      <c r="I219" s="1500"/>
      <c r="J219" s="1500"/>
      <c r="K219" s="1500"/>
      <c r="L219" s="1500"/>
      <c r="M219" s="125"/>
      <c r="N219" s="125"/>
      <c r="O219" s="125"/>
      <c r="P219" s="125"/>
    </row>
    <row r="220" spans="1:16" ht="18">
      <c r="A220" s="30" t="s">
        <v>220</v>
      </c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125"/>
      <c r="N220" s="125"/>
      <c r="O220" s="125"/>
      <c r="P220" s="125"/>
    </row>
    <row r="221" spans="1:16" ht="18">
      <c r="A221" s="30" t="s">
        <v>361</v>
      </c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125"/>
      <c r="N221" s="125"/>
      <c r="O221" s="125"/>
      <c r="P221" s="125"/>
    </row>
    <row r="222" spans="1:16" ht="18.75" thickBo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125"/>
      <c r="N222" s="125"/>
      <c r="O222" s="125"/>
      <c r="P222" s="125"/>
    </row>
    <row r="223" spans="1:16" ht="24" thickBot="1">
      <c r="A223" s="31"/>
      <c r="B223" s="31"/>
      <c r="C223" s="1515" t="s">
        <v>362</v>
      </c>
      <c r="D223" s="1516"/>
      <c r="E223" s="1516"/>
      <c r="F223" s="1516"/>
      <c r="G223" s="1517"/>
      <c r="H223" s="1545" t="s">
        <v>2</v>
      </c>
      <c r="I223" s="1519"/>
      <c r="J223" s="31"/>
      <c r="K223" s="31"/>
      <c r="L223" s="31"/>
      <c r="M223" s="125"/>
      <c r="N223" s="126" t="str">
        <f>H223</f>
        <v>2ع ت1</v>
      </c>
      <c r="O223" s="125"/>
      <c r="P223" s="125"/>
    </row>
    <row r="224" spans="1:16" ht="18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125"/>
      <c r="N224" s="125"/>
      <c r="O224" s="125"/>
      <c r="P224" s="125"/>
    </row>
    <row r="225" spans="1:16" ht="18">
      <c r="A225" s="30" t="s">
        <v>363</v>
      </c>
      <c r="B225" s="31"/>
      <c r="C225" s="1500" t="s">
        <v>293</v>
      </c>
      <c r="D225" s="1500"/>
      <c r="E225" s="1500"/>
      <c r="F225" s="31"/>
      <c r="G225" s="31" t="s">
        <v>364</v>
      </c>
      <c r="H225" s="31"/>
      <c r="I225" s="1500"/>
      <c r="J225" s="1500"/>
      <c r="K225" s="1500"/>
      <c r="L225" s="31"/>
      <c r="M225" s="125"/>
      <c r="N225" s="125"/>
      <c r="O225" s="125"/>
      <c r="P225" s="125"/>
    </row>
    <row r="226" spans="1:16" ht="18.75" thickBot="1">
      <c r="A226" s="30" t="s">
        <v>365</v>
      </c>
      <c r="B226" s="31"/>
      <c r="C226" s="31">
        <v>19</v>
      </c>
      <c r="D226" s="31"/>
      <c r="E226" s="31"/>
      <c r="F226" s="31"/>
      <c r="G226" s="31" t="s">
        <v>366</v>
      </c>
      <c r="H226" s="31"/>
      <c r="I226" s="31">
        <v>24</v>
      </c>
      <c r="J226" s="31"/>
      <c r="K226" s="31"/>
      <c r="L226" s="31"/>
      <c r="M226" s="125"/>
      <c r="N226" s="125"/>
      <c r="O226" s="125"/>
      <c r="P226" s="125"/>
    </row>
    <row r="227" spans="1:16" ht="17.25" thickTop="1" thickBot="1">
      <c r="A227" s="1542" t="s">
        <v>367</v>
      </c>
      <c r="B227" s="1543"/>
      <c r="C227" s="1543" t="s">
        <v>360</v>
      </c>
      <c r="D227" s="1543"/>
      <c r="E227" s="1543" t="s">
        <v>368</v>
      </c>
      <c r="F227" s="1543"/>
      <c r="G227" s="1543" t="s">
        <v>369</v>
      </c>
      <c r="H227" s="1543"/>
      <c r="I227" s="1543" t="s">
        <v>370</v>
      </c>
      <c r="J227" s="1543"/>
      <c r="K227" s="1543" t="s">
        <v>371</v>
      </c>
      <c r="L227" s="1544"/>
      <c r="M227" s="125"/>
      <c r="N227" s="125"/>
      <c r="O227" s="125"/>
      <c r="P227" s="125"/>
    </row>
    <row r="228" spans="1:16" ht="17.25" thickTop="1" thickBot="1">
      <c r="A228" s="1555" t="s">
        <v>372</v>
      </c>
      <c r="B228" s="1556"/>
      <c r="C228" s="1504" t="s">
        <v>407</v>
      </c>
      <c r="D228" s="1505"/>
      <c r="E228" s="1504" t="s">
        <v>408</v>
      </c>
      <c r="F228" s="1505"/>
      <c r="G228" s="1504" t="s">
        <v>385</v>
      </c>
      <c r="H228" s="1505"/>
      <c r="I228" s="1504" t="s">
        <v>262</v>
      </c>
      <c r="J228" s="1505"/>
      <c r="K228" s="1504" t="s">
        <v>270</v>
      </c>
      <c r="L228" s="1505"/>
      <c r="M228" s="125"/>
      <c r="N228" s="125"/>
      <c r="O228" s="125"/>
      <c r="P228" s="125"/>
    </row>
    <row r="229" spans="1:16" ht="17.25" thickTop="1" thickBot="1">
      <c r="A229" s="1555" t="s">
        <v>373</v>
      </c>
      <c r="B229" s="1556"/>
      <c r="C229" s="1504" t="s">
        <v>409</v>
      </c>
      <c r="D229" s="1505"/>
      <c r="E229" s="1504" t="s">
        <v>262</v>
      </c>
      <c r="F229" s="1505"/>
      <c r="G229" s="1504" t="s">
        <v>262</v>
      </c>
      <c r="H229" s="1505"/>
      <c r="I229" s="1504" t="s">
        <v>262</v>
      </c>
      <c r="J229" s="1505"/>
      <c r="K229" s="1504" t="s">
        <v>386</v>
      </c>
      <c r="L229" s="1505"/>
      <c r="M229" s="125"/>
      <c r="N229" s="125"/>
      <c r="O229" s="125"/>
      <c r="P229" s="125"/>
    </row>
    <row r="230" spans="1:16" ht="17.25" thickTop="1" thickBot="1">
      <c r="A230" s="1555" t="s">
        <v>374</v>
      </c>
      <c r="B230" s="1556"/>
      <c r="C230" s="1504" t="s">
        <v>407</v>
      </c>
      <c r="D230" s="1505"/>
      <c r="E230" s="1504" t="s">
        <v>385</v>
      </c>
      <c r="F230" s="1505"/>
      <c r="G230" s="1504" t="s">
        <v>383</v>
      </c>
      <c r="H230" s="1505"/>
      <c r="I230" s="1504" t="s">
        <v>386</v>
      </c>
      <c r="J230" s="1505"/>
      <c r="K230" s="1504" t="s">
        <v>408</v>
      </c>
      <c r="L230" s="1505"/>
      <c r="M230" s="125"/>
      <c r="N230" s="125"/>
      <c r="O230" s="125"/>
      <c r="P230" s="125"/>
    </row>
    <row r="231" spans="1:16" ht="17.25" thickTop="1" thickBot="1">
      <c r="A231" s="1553" t="s">
        <v>375</v>
      </c>
      <c r="B231" s="1554"/>
      <c r="C231" s="1504" t="s">
        <v>409</v>
      </c>
      <c r="D231" s="1505"/>
      <c r="E231" s="1504"/>
      <c r="F231" s="1505"/>
      <c r="G231" s="1504"/>
      <c r="H231" s="1505"/>
      <c r="I231" s="1504" t="s">
        <v>290</v>
      </c>
      <c r="J231" s="1505"/>
      <c r="K231" s="1504" t="s">
        <v>408</v>
      </c>
      <c r="L231" s="1505"/>
      <c r="M231" s="125"/>
      <c r="N231" s="125"/>
      <c r="O231" s="125"/>
      <c r="P231" s="125"/>
    </row>
    <row r="232" spans="1:16" ht="17.25" thickTop="1" thickBot="1">
      <c r="A232" s="32"/>
      <c r="B232" s="32"/>
      <c r="C232" s="32"/>
      <c r="D232" s="32"/>
      <c r="E232" s="32"/>
      <c r="F232" s="32"/>
      <c r="G232" s="32"/>
      <c r="H232" s="32"/>
      <c r="I232" s="45"/>
      <c r="J232" s="45"/>
      <c r="K232" s="32"/>
      <c r="L232" s="32"/>
      <c r="M232" s="125"/>
      <c r="N232" s="125"/>
      <c r="O232" s="125"/>
      <c r="P232" s="125"/>
    </row>
    <row r="233" spans="1:16" ht="17.25" thickTop="1" thickBot="1">
      <c r="A233" s="1508" t="s">
        <v>376</v>
      </c>
      <c r="B233" s="1539"/>
      <c r="C233" s="1504" t="s">
        <v>384</v>
      </c>
      <c r="D233" s="1505"/>
      <c r="E233" s="1504" t="s">
        <v>290</v>
      </c>
      <c r="F233" s="1505"/>
      <c r="G233" s="1504" t="s">
        <v>270</v>
      </c>
      <c r="H233" s="1505"/>
      <c r="I233" s="1504" t="s">
        <v>385</v>
      </c>
      <c r="J233" s="1505"/>
      <c r="K233" s="1504" t="s">
        <v>383</v>
      </c>
      <c r="L233" s="1505"/>
      <c r="M233" s="125"/>
      <c r="N233" s="125"/>
      <c r="O233" s="125"/>
      <c r="P233" s="125"/>
    </row>
    <row r="234" spans="1:16" ht="17.25" thickTop="1" thickBot="1">
      <c r="A234" s="1506" t="s">
        <v>377</v>
      </c>
      <c r="B234" s="1538"/>
      <c r="C234" s="1504" t="s">
        <v>290</v>
      </c>
      <c r="D234" s="1505"/>
      <c r="E234" s="1504" t="s">
        <v>387</v>
      </c>
      <c r="F234" s="1505"/>
      <c r="G234" s="1504" t="s">
        <v>386</v>
      </c>
      <c r="H234" s="1505"/>
      <c r="I234" s="1504" t="s">
        <v>384</v>
      </c>
      <c r="J234" s="1505"/>
      <c r="K234" s="1504" t="s">
        <v>384</v>
      </c>
      <c r="L234" s="1505"/>
      <c r="M234" s="125"/>
      <c r="N234" s="125"/>
      <c r="O234" s="125"/>
      <c r="P234" s="125"/>
    </row>
    <row r="235" spans="1:16" ht="17.25" thickTop="1" thickBot="1">
      <c r="A235" s="1506" t="s">
        <v>378</v>
      </c>
      <c r="B235" s="1538"/>
      <c r="C235" s="1504" t="s">
        <v>262</v>
      </c>
      <c r="D235" s="1505"/>
      <c r="E235" s="1504" t="s">
        <v>387</v>
      </c>
      <c r="F235" s="1505"/>
      <c r="G235" s="1504"/>
      <c r="H235" s="1505"/>
      <c r="I235" s="1504"/>
      <c r="J235" s="1505"/>
      <c r="K235" s="1504"/>
      <c r="L235" s="1505"/>
      <c r="M235" s="125"/>
      <c r="N235" s="125"/>
      <c r="O235" s="125"/>
      <c r="P235" s="125"/>
    </row>
    <row r="236" spans="1:16" ht="17.25" thickTop="1" thickBot="1">
      <c r="A236" s="1536" t="s">
        <v>379</v>
      </c>
      <c r="B236" s="1537"/>
      <c r="C236" s="1504">
        <v>0</v>
      </c>
      <c r="D236" s="1505"/>
      <c r="E236" s="1504">
        <v>0</v>
      </c>
      <c r="F236" s="1505"/>
      <c r="G236" s="1504">
        <v>0</v>
      </c>
      <c r="H236" s="1505"/>
      <c r="I236" s="1504">
        <v>0</v>
      </c>
      <c r="J236" s="1505"/>
      <c r="K236" s="1504" t="s">
        <v>380</v>
      </c>
      <c r="L236" s="1505"/>
      <c r="M236" s="125"/>
      <c r="N236" s="125"/>
      <c r="O236" s="125"/>
      <c r="P236" s="125"/>
    </row>
    <row r="237" spans="1:16" ht="17.25" thickTop="1" thickBot="1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125"/>
      <c r="N237" s="125"/>
      <c r="O237" s="125"/>
      <c r="P237" s="125"/>
    </row>
    <row r="238" spans="1:16" ht="16.5" thickTop="1">
      <c r="A238" s="35" t="s">
        <v>381</v>
      </c>
      <c r="B238" s="36" t="s">
        <v>262</v>
      </c>
      <c r="C238" s="36" t="s">
        <v>270</v>
      </c>
      <c r="D238" s="36" t="s">
        <v>408</v>
      </c>
      <c r="E238" s="36" t="s">
        <v>383</v>
      </c>
      <c r="F238" s="36" t="s">
        <v>384</v>
      </c>
      <c r="G238" s="36" t="s">
        <v>385</v>
      </c>
      <c r="H238" s="36" t="s">
        <v>290</v>
      </c>
      <c r="I238" s="36" t="s">
        <v>386</v>
      </c>
      <c r="J238" s="36" t="s">
        <v>387</v>
      </c>
      <c r="K238" s="36" t="s">
        <v>380</v>
      </c>
      <c r="L238" s="36" t="s">
        <v>380</v>
      </c>
      <c r="M238" s="125"/>
      <c r="N238" s="125"/>
      <c r="O238" s="125"/>
      <c r="P238" s="125"/>
    </row>
    <row r="239" spans="1:16" ht="15.75">
      <c r="A239" s="37" t="s">
        <v>388</v>
      </c>
      <c r="B239" s="38" t="s">
        <v>392</v>
      </c>
      <c r="C239" s="38" t="s">
        <v>410</v>
      </c>
      <c r="D239" s="38" t="s">
        <v>390</v>
      </c>
      <c r="E239" s="38" t="s">
        <v>359</v>
      </c>
      <c r="F239" s="38" t="s">
        <v>393</v>
      </c>
      <c r="G239" s="38" t="s">
        <v>393</v>
      </c>
      <c r="H239" s="38" t="s">
        <v>393</v>
      </c>
      <c r="I239" s="38" t="s">
        <v>393</v>
      </c>
      <c r="J239" s="38" t="s">
        <v>359</v>
      </c>
      <c r="K239" s="38" t="s">
        <v>380</v>
      </c>
      <c r="L239" s="38" t="s">
        <v>380</v>
      </c>
      <c r="M239" s="125"/>
      <c r="N239" s="125"/>
      <c r="O239" s="125"/>
      <c r="P239" s="125"/>
    </row>
    <row r="240" spans="1:16" ht="15.75">
      <c r="A240" s="37" t="s">
        <v>394</v>
      </c>
      <c r="B240" s="39" t="s">
        <v>274</v>
      </c>
      <c r="C240" s="39" t="s">
        <v>275</v>
      </c>
      <c r="D240" s="39" t="s">
        <v>277</v>
      </c>
      <c r="E240" s="39" t="s">
        <v>281</v>
      </c>
      <c r="F240" s="39" t="s">
        <v>287</v>
      </c>
      <c r="G240" s="39" t="s">
        <v>426</v>
      </c>
      <c r="H240" s="39" t="s">
        <v>293</v>
      </c>
      <c r="I240" s="39" t="s">
        <v>297</v>
      </c>
      <c r="J240" s="39" t="s">
        <v>314</v>
      </c>
      <c r="K240" s="40" t="s">
        <v>380</v>
      </c>
      <c r="L240" s="40" t="s">
        <v>380</v>
      </c>
      <c r="M240" s="125"/>
      <c r="N240" s="125"/>
      <c r="O240" s="125"/>
      <c r="P240" s="125"/>
    </row>
    <row r="241" spans="1:16" ht="15.75">
      <c r="A241" s="37" t="s">
        <v>397</v>
      </c>
      <c r="B241" s="41" t="s">
        <v>345</v>
      </c>
      <c r="C241" s="41" t="s">
        <v>345</v>
      </c>
      <c r="D241" s="41" t="s">
        <v>349</v>
      </c>
      <c r="E241" s="41" t="s">
        <v>346</v>
      </c>
      <c r="F241" s="41" t="s">
        <v>345</v>
      </c>
      <c r="G241" s="41" t="s">
        <v>346</v>
      </c>
      <c r="H241" s="41" t="s">
        <v>348</v>
      </c>
      <c r="I241" s="41" t="s">
        <v>348</v>
      </c>
      <c r="J241" s="41" t="s">
        <v>348</v>
      </c>
      <c r="K241" s="41" t="s">
        <v>380</v>
      </c>
      <c r="L241" s="41" t="s">
        <v>380</v>
      </c>
      <c r="M241" s="125"/>
      <c r="N241" s="125"/>
      <c r="O241" s="125"/>
      <c r="P241" s="125"/>
    </row>
    <row r="242" spans="1:16" ht="16.5" thickBot="1">
      <c r="A242" s="42" t="s">
        <v>343</v>
      </c>
      <c r="B242" s="43">
        <v>0.67708333333333337</v>
      </c>
      <c r="C242" s="43">
        <v>0.63472222222222219</v>
      </c>
      <c r="D242" s="43">
        <v>42623.42291666667</v>
      </c>
      <c r="E242" s="43">
        <v>42623.42291666667</v>
      </c>
      <c r="F242" s="43">
        <v>0.67708333333333337</v>
      </c>
      <c r="G242" s="43">
        <v>0.67708333333333337</v>
      </c>
      <c r="H242" s="43">
        <v>0.67708333333333337</v>
      </c>
      <c r="I242" s="43">
        <v>42623.42291666667</v>
      </c>
      <c r="J242" s="43">
        <v>42623.42291666667</v>
      </c>
      <c r="K242" s="41" t="s">
        <v>380</v>
      </c>
      <c r="L242" s="41" t="s">
        <v>380</v>
      </c>
      <c r="M242" s="127"/>
      <c r="N242" s="127"/>
      <c r="O242" s="127"/>
      <c r="P242" s="127"/>
    </row>
    <row r="243" spans="1:16" ht="17.25" thickTop="1" thickBot="1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125"/>
      <c r="N243" s="125"/>
      <c r="O243" s="125"/>
      <c r="P243" s="125"/>
    </row>
    <row r="244" spans="1:16" ht="19.5" thickTop="1" thickBot="1">
      <c r="A244" s="35" t="s">
        <v>399</v>
      </c>
      <c r="B244" s="1494" t="s">
        <v>380</v>
      </c>
      <c r="C244" s="1495"/>
      <c r="D244" s="1494" t="s">
        <v>380</v>
      </c>
      <c r="E244" s="1496"/>
      <c r="F244" s="32"/>
      <c r="G244" s="32"/>
      <c r="H244" s="32"/>
      <c r="I244" s="32"/>
      <c r="J244" s="32"/>
      <c r="K244" s="31"/>
      <c r="L244" s="31"/>
      <c r="M244" s="125"/>
      <c r="N244" s="125"/>
      <c r="O244" s="125"/>
      <c r="P244" s="125"/>
    </row>
    <row r="245" spans="1:16" ht="18.75" thickBot="1">
      <c r="A245" s="37" t="s">
        <v>400</v>
      </c>
      <c r="B245" s="1497" t="s">
        <v>380</v>
      </c>
      <c r="C245" s="1498"/>
      <c r="D245" s="1497" t="s">
        <v>380</v>
      </c>
      <c r="E245" s="1499"/>
      <c r="F245" s="31" t="s">
        <v>401</v>
      </c>
      <c r="G245" s="1500" t="s">
        <v>402</v>
      </c>
      <c r="H245" s="1500"/>
      <c r="I245" s="31" t="s">
        <v>403</v>
      </c>
      <c r="J245" s="1501">
        <f ca="1">TODAY()</f>
        <v>45944</v>
      </c>
      <c r="K245" s="1501"/>
      <c r="L245" s="1501"/>
      <c r="M245" s="125"/>
      <c r="N245" s="125"/>
      <c r="O245" s="125"/>
      <c r="P245" s="125"/>
    </row>
    <row r="246" spans="1:16" ht="18.75" thickBot="1">
      <c r="A246" s="42" t="s">
        <v>404</v>
      </c>
      <c r="B246" s="1491" t="s">
        <v>380</v>
      </c>
      <c r="C246" s="1492"/>
      <c r="D246" s="1491" t="s">
        <v>380</v>
      </c>
      <c r="E246" s="1493"/>
      <c r="F246" s="32"/>
      <c r="G246" s="31"/>
      <c r="H246" s="31" t="s">
        <v>405</v>
      </c>
      <c r="I246" s="31"/>
      <c r="J246" s="32"/>
      <c r="K246" s="31"/>
      <c r="L246" s="31"/>
      <c r="M246" s="125"/>
      <c r="N246" s="125"/>
      <c r="O246" s="125"/>
      <c r="P246" s="125"/>
    </row>
    <row r="247" spans="1:16" ht="18.75" thickTop="1">
      <c r="A247" s="32"/>
      <c r="B247" s="32"/>
      <c r="C247" s="32"/>
      <c r="D247" s="32"/>
      <c r="E247" s="32"/>
      <c r="F247" s="31"/>
      <c r="G247" s="31"/>
      <c r="H247" s="44" t="s">
        <v>406</v>
      </c>
      <c r="I247" s="31"/>
      <c r="J247" s="31"/>
      <c r="K247" s="32"/>
      <c r="L247" s="32"/>
      <c r="M247" s="125"/>
      <c r="N247" s="125"/>
      <c r="O247" s="125"/>
      <c r="P247" s="125"/>
    </row>
    <row r="248" spans="1:16" ht="18">
      <c r="A248" s="32"/>
      <c r="B248" s="32"/>
      <c r="C248" s="32"/>
      <c r="D248" s="32"/>
      <c r="E248" s="32"/>
      <c r="F248" s="31"/>
      <c r="G248" s="31"/>
      <c r="H248" s="32"/>
      <c r="I248" s="31"/>
      <c r="J248" s="32"/>
      <c r="K248" s="32"/>
      <c r="L248" s="32"/>
      <c r="M248" s="125"/>
      <c r="N248" s="125"/>
      <c r="O248" s="125"/>
      <c r="P248" s="125"/>
    </row>
    <row r="249" spans="1:16" ht="18">
      <c r="A249" s="1500" t="s">
        <v>78</v>
      </c>
      <c r="B249" s="1500"/>
      <c r="C249" s="1500"/>
      <c r="D249" s="1500"/>
      <c r="E249" s="1500"/>
      <c r="F249" s="1500"/>
      <c r="G249" s="1500"/>
      <c r="H249" s="1500"/>
      <c r="I249" s="1500"/>
      <c r="J249" s="1500"/>
      <c r="K249" s="1500"/>
      <c r="L249" s="1500"/>
      <c r="M249" s="125"/>
      <c r="N249" s="125"/>
      <c r="O249" s="125"/>
      <c r="P249" s="125"/>
    </row>
    <row r="250" spans="1:16" ht="18">
      <c r="A250" s="1500" t="s">
        <v>79</v>
      </c>
      <c r="B250" s="1500"/>
      <c r="C250" s="1500"/>
      <c r="D250" s="1500"/>
      <c r="E250" s="1500"/>
      <c r="F250" s="1500"/>
      <c r="G250" s="1500"/>
      <c r="H250" s="1500"/>
      <c r="I250" s="1500"/>
      <c r="J250" s="1500"/>
      <c r="K250" s="1500"/>
      <c r="L250" s="1500"/>
      <c r="M250" s="125"/>
      <c r="N250" s="125"/>
      <c r="O250" s="125"/>
      <c r="P250" s="125"/>
    </row>
    <row r="251" spans="1:16" ht="18">
      <c r="A251" s="30" t="s">
        <v>220</v>
      </c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125"/>
      <c r="N251" s="125"/>
      <c r="O251" s="125"/>
      <c r="P251" s="125"/>
    </row>
    <row r="252" spans="1:16" ht="18">
      <c r="A252" s="30" t="s">
        <v>361</v>
      </c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125"/>
      <c r="N252" s="125"/>
      <c r="O252" s="125"/>
      <c r="P252" s="125"/>
    </row>
    <row r="253" spans="1:16" ht="18.75" thickBo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125"/>
      <c r="N253" s="125"/>
      <c r="O253" s="125"/>
      <c r="P253" s="125"/>
    </row>
    <row r="254" spans="1:16" ht="24" thickBot="1">
      <c r="A254" s="31"/>
      <c r="B254" s="31"/>
      <c r="C254" s="1515" t="s">
        <v>362</v>
      </c>
      <c r="D254" s="1516"/>
      <c r="E254" s="1516"/>
      <c r="F254" s="1516"/>
      <c r="G254" s="1517"/>
      <c r="H254" s="1545" t="s">
        <v>3</v>
      </c>
      <c r="I254" s="1519"/>
      <c r="J254" s="31"/>
      <c r="K254" s="31"/>
      <c r="L254" s="31"/>
      <c r="M254" s="125"/>
      <c r="N254" s="126" t="str">
        <f>H254</f>
        <v>2ع ت2</v>
      </c>
      <c r="O254" s="125"/>
      <c r="P254" s="125"/>
    </row>
    <row r="255" spans="1:16" ht="18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125"/>
      <c r="N255" s="124"/>
      <c r="O255" s="125"/>
      <c r="P255" s="125"/>
    </row>
    <row r="256" spans="1:16" ht="18">
      <c r="A256" s="30" t="s">
        <v>363</v>
      </c>
      <c r="B256" s="31"/>
      <c r="C256" s="1500" t="s">
        <v>276</v>
      </c>
      <c r="D256" s="1500"/>
      <c r="E256" s="1500"/>
      <c r="F256" s="31"/>
      <c r="G256" s="31" t="s">
        <v>364</v>
      </c>
      <c r="H256" s="31"/>
      <c r="I256" s="1500"/>
      <c r="J256" s="1500"/>
      <c r="K256" s="1500"/>
      <c r="L256" s="31"/>
      <c r="M256" s="125"/>
      <c r="N256" s="124"/>
      <c r="O256" s="125"/>
      <c r="P256" s="125"/>
    </row>
    <row r="257" spans="1:16" ht="18.75" thickBot="1">
      <c r="A257" s="30" t="s">
        <v>365</v>
      </c>
      <c r="B257" s="31"/>
      <c r="C257" s="31">
        <v>20</v>
      </c>
      <c r="D257" s="31"/>
      <c r="E257" s="31"/>
      <c r="F257" s="31"/>
      <c r="G257" s="31" t="s">
        <v>366</v>
      </c>
      <c r="H257" s="31"/>
      <c r="I257" s="31">
        <v>24</v>
      </c>
      <c r="J257" s="31"/>
      <c r="K257" s="31"/>
      <c r="L257" s="31"/>
      <c r="M257" s="125"/>
      <c r="N257" s="124"/>
      <c r="O257" s="125"/>
      <c r="P257" s="125"/>
    </row>
    <row r="258" spans="1:16" ht="17.25" thickTop="1" thickBot="1">
      <c r="A258" s="1510" t="s">
        <v>367</v>
      </c>
      <c r="B258" s="1511"/>
      <c r="C258" s="1551" t="s">
        <v>360</v>
      </c>
      <c r="D258" s="1511"/>
      <c r="E258" s="1551" t="s">
        <v>368</v>
      </c>
      <c r="F258" s="1511"/>
      <c r="G258" s="1551" t="s">
        <v>369</v>
      </c>
      <c r="H258" s="1511"/>
      <c r="I258" s="1551" t="s">
        <v>370</v>
      </c>
      <c r="J258" s="1511"/>
      <c r="K258" s="1551" t="s">
        <v>371</v>
      </c>
      <c r="L258" s="1552"/>
      <c r="M258" s="125"/>
      <c r="N258" s="125"/>
      <c r="O258" s="125"/>
      <c r="P258" s="125"/>
    </row>
    <row r="259" spans="1:16" ht="17.25" thickTop="1" thickBot="1">
      <c r="A259" s="1528" t="s">
        <v>372</v>
      </c>
      <c r="B259" s="1550"/>
      <c r="C259" s="1504" t="s">
        <v>262</v>
      </c>
      <c r="D259" s="1505"/>
      <c r="E259" s="1504" t="s">
        <v>270</v>
      </c>
      <c r="F259" s="1505"/>
      <c r="G259" s="1504" t="s">
        <v>407</v>
      </c>
      <c r="H259" s="1505"/>
      <c r="I259" s="1504" t="s">
        <v>386</v>
      </c>
      <c r="J259" s="1505"/>
      <c r="K259" s="1504" t="s">
        <v>386</v>
      </c>
      <c r="L259" s="1505"/>
      <c r="M259" s="125"/>
      <c r="N259" s="125"/>
      <c r="O259" s="125"/>
      <c r="P259" s="125"/>
    </row>
    <row r="260" spans="1:16" ht="17.25" thickTop="1" thickBot="1">
      <c r="A260" s="1528" t="s">
        <v>373</v>
      </c>
      <c r="B260" s="1550"/>
      <c r="C260" s="1504" t="s">
        <v>262</v>
      </c>
      <c r="D260" s="1505"/>
      <c r="E260" s="1504" t="s">
        <v>408</v>
      </c>
      <c r="F260" s="1505"/>
      <c r="G260" s="1504" t="s">
        <v>409</v>
      </c>
      <c r="H260" s="1505"/>
      <c r="I260" s="1504" t="s">
        <v>262</v>
      </c>
      <c r="J260" s="1505"/>
      <c r="K260" s="1504" t="s">
        <v>408</v>
      </c>
      <c r="L260" s="1505"/>
      <c r="M260" s="125"/>
      <c r="N260" s="125"/>
      <c r="O260" s="125"/>
      <c r="P260" s="125"/>
    </row>
    <row r="261" spans="1:16" ht="17.25" thickTop="1" thickBot="1">
      <c r="A261" s="1528" t="s">
        <v>374</v>
      </c>
      <c r="B261" s="1550"/>
      <c r="C261" s="1504" t="s">
        <v>383</v>
      </c>
      <c r="D261" s="1505"/>
      <c r="E261" s="1504" t="s">
        <v>387</v>
      </c>
      <c r="F261" s="1505"/>
      <c r="G261" s="1504" t="s">
        <v>407</v>
      </c>
      <c r="H261" s="1505"/>
      <c r="I261" s="1504" t="s">
        <v>262</v>
      </c>
      <c r="J261" s="1505"/>
      <c r="K261" s="1504" t="s">
        <v>408</v>
      </c>
      <c r="L261" s="1505"/>
      <c r="M261" s="125"/>
      <c r="N261" s="125"/>
      <c r="O261" s="125"/>
      <c r="P261" s="125"/>
    </row>
    <row r="262" spans="1:16" ht="17.25" thickTop="1" thickBot="1">
      <c r="A262" s="1526" t="s">
        <v>375</v>
      </c>
      <c r="B262" s="1549"/>
      <c r="C262" s="1504" t="s">
        <v>270</v>
      </c>
      <c r="D262" s="1505"/>
      <c r="E262" s="1504" t="s">
        <v>387</v>
      </c>
      <c r="F262" s="1505"/>
      <c r="G262" s="1504" t="s">
        <v>409</v>
      </c>
      <c r="H262" s="1505"/>
      <c r="I262" s="1504"/>
      <c r="J262" s="1505"/>
      <c r="K262" s="1504" t="s">
        <v>384</v>
      </c>
      <c r="L262" s="1505"/>
      <c r="M262" s="125"/>
      <c r="N262" s="125"/>
      <c r="O262" s="125"/>
      <c r="P262" s="125"/>
    </row>
    <row r="263" spans="1:16" ht="17.25" thickTop="1" thickBot="1">
      <c r="A263" s="32"/>
      <c r="B263" s="32"/>
      <c r="C263" s="32"/>
      <c r="D263" s="32"/>
      <c r="E263" s="32"/>
      <c r="F263" s="32"/>
      <c r="G263" s="32"/>
      <c r="H263" s="32"/>
      <c r="I263" s="45"/>
      <c r="J263" s="45"/>
      <c r="K263" s="32"/>
      <c r="L263" s="32"/>
      <c r="M263" s="125"/>
      <c r="N263" s="125"/>
      <c r="O263" s="125"/>
      <c r="P263" s="125"/>
    </row>
    <row r="264" spans="1:16" ht="17.25" thickTop="1" thickBot="1">
      <c r="A264" s="1508" t="s">
        <v>376</v>
      </c>
      <c r="B264" s="1539"/>
      <c r="C264" s="1504" t="s">
        <v>386</v>
      </c>
      <c r="D264" s="1505"/>
      <c r="E264" s="1504" t="s">
        <v>385</v>
      </c>
      <c r="F264" s="1505"/>
      <c r="G264" s="1504" t="s">
        <v>385</v>
      </c>
      <c r="H264" s="1505"/>
      <c r="I264" s="1504" t="s">
        <v>290</v>
      </c>
      <c r="J264" s="1505"/>
      <c r="K264" s="1504" t="s">
        <v>385</v>
      </c>
      <c r="L264" s="1505"/>
      <c r="M264" s="125"/>
      <c r="N264" s="125"/>
      <c r="O264" s="125"/>
      <c r="P264" s="125"/>
    </row>
    <row r="265" spans="1:16" ht="17.25" thickTop="1" thickBot="1">
      <c r="A265" s="1506" t="s">
        <v>377</v>
      </c>
      <c r="B265" s="1538"/>
      <c r="C265" s="1504" t="s">
        <v>384</v>
      </c>
      <c r="D265" s="1505"/>
      <c r="E265" s="1504" t="s">
        <v>290</v>
      </c>
      <c r="F265" s="1505"/>
      <c r="G265" s="1504" t="s">
        <v>262</v>
      </c>
      <c r="H265" s="1505"/>
      <c r="I265" s="1504" t="s">
        <v>384</v>
      </c>
      <c r="J265" s="1505"/>
      <c r="K265" s="1504" t="s">
        <v>383</v>
      </c>
      <c r="L265" s="1505"/>
      <c r="M265" s="125"/>
      <c r="N265" s="125"/>
      <c r="O265" s="125"/>
      <c r="P265" s="125"/>
    </row>
    <row r="266" spans="1:16" ht="17.25" thickTop="1" thickBot="1">
      <c r="A266" s="1506" t="s">
        <v>378</v>
      </c>
      <c r="B266" s="1538"/>
      <c r="C266" s="1504" t="s">
        <v>290</v>
      </c>
      <c r="D266" s="1505"/>
      <c r="E266" s="1504"/>
      <c r="F266" s="1505"/>
      <c r="G266" s="1504"/>
      <c r="H266" s="1505"/>
      <c r="I266" s="1504"/>
      <c r="J266" s="1505"/>
      <c r="K266" s="1504"/>
      <c r="L266" s="1505"/>
      <c r="M266" s="125"/>
      <c r="N266" s="125"/>
      <c r="O266" s="125"/>
      <c r="P266" s="125"/>
    </row>
    <row r="267" spans="1:16" ht="17.25" thickTop="1" thickBot="1">
      <c r="A267" s="1536" t="s">
        <v>379</v>
      </c>
      <c r="B267" s="1537"/>
      <c r="C267" s="1504">
        <v>0</v>
      </c>
      <c r="D267" s="1505"/>
      <c r="E267" s="1504">
        <v>0</v>
      </c>
      <c r="F267" s="1505"/>
      <c r="G267" s="1504">
        <v>0</v>
      </c>
      <c r="H267" s="1505"/>
      <c r="I267" s="1504">
        <v>0</v>
      </c>
      <c r="J267" s="1505"/>
      <c r="K267" s="1504" t="s">
        <v>380</v>
      </c>
      <c r="L267" s="1505"/>
      <c r="M267" s="125"/>
      <c r="N267" s="125"/>
      <c r="O267" s="125"/>
      <c r="P267" s="125"/>
    </row>
    <row r="268" spans="1:16" ht="17.25" thickTop="1" thickBot="1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125"/>
      <c r="N268" s="125"/>
      <c r="O268" s="125"/>
      <c r="P268" s="125"/>
    </row>
    <row r="269" spans="1:16" ht="16.5" thickTop="1">
      <c r="A269" s="35" t="s">
        <v>381</v>
      </c>
      <c r="B269" s="36" t="s">
        <v>262</v>
      </c>
      <c r="C269" s="36" t="s">
        <v>270</v>
      </c>
      <c r="D269" s="36" t="s">
        <v>408</v>
      </c>
      <c r="E269" s="36" t="s">
        <v>383</v>
      </c>
      <c r="F269" s="36" t="s">
        <v>384</v>
      </c>
      <c r="G269" s="36" t="s">
        <v>385</v>
      </c>
      <c r="H269" s="36" t="s">
        <v>290</v>
      </c>
      <c r="I269" s="36" t="s">
        <v>386</v>
      </c>
      <c r="J269" s="36" t="s">
        <v>387</v>
      </c>
      <c r="K269" s="36" t="s">
        <v>380</v>
      </c>
      <c r="L269" s="36" t="s">
        <v>380</v>
      </c>
      <c r="M269" s="125"/>
      <c r="N269" s="125"/>
      <c r="O269" s="125"/>
      <c r="P269" s="125"/>
    </row>
    <row r="270" spans="1:16" ht="15.75">
      <c r="A270" s="37" t="s">
        <v>388</v>
      </c>
      <c r="B270" s="38" t="s">
        <v>392</v>
      </c>
      <c r="C270" s="38" t="s">
        <v>410</v>
      </c>
      <c r="D270" s="38" t="s">
        <v>390</v>
      </c>
      <c r="E270" s="38" t="s">
        <v>359</v>
      </c>
      <c r="F270" s="38" t="s">
        <v>393</v>
      </c>
      <c r="G270" s="38" t="s">
        <v>393</v>
      </c>
      <c r="H270" s="38" t="s">
        <v>393</v>
      </c>
      <c r="I270" s="38" t="s">
        <v>393</v>
      </c>
      <c r="J270" s="38" t="s">
        <v>359</v>
      </c>
      <c r="K270" s="38" t="s">
        <v>380</v>
      </c>
      <c r="L270" s="38" t="s">
        <v>380</v>
      </c>
      <c r="M270" s="125"/>
      <c r="N270" s="125"/>
      <c r="O270" s="125"/>
      <c r="P270" s="125"/>
    </row>
    <row r="271" spans="1:16" ht="15.75">
      <c r="A271" s="37" t="s">
        <v>394</v>
      </c>
      <c r="B271" s="39" t="s">
        <v>427</v>
      </c>
      <c r="C271" s="39" t="s">
        <v>273</v>
      </c>
      <c r="D271" s="39" t="s">
        <v>428</v>
      </c>
      <c r="E271" s="39" t="s">
        <v>281</v>
      </c>
      <c r="F271" s="39" t="s">
        <v>421</v>
      </c>
      <c r="G271" s="39" t="s">
        <v>426</v>
      </c>
      <c r="H271" s="39" t="s">
        <v>293</v>
      </c>
      <c r="I271" s="39" t="s">
        <v>297</v>
      </c>
      <c r="J271" s="39" t="s">
        <v>313</v>
      </c>
      <c r="K271" s="40" t="s">
        <v>380</v>
      </c>
      <c r="L271" s="40" t="s">
        <v>380</v>
      </c>
      <c r="M271" s="128"/>
      <c r="N271" s="125"/>
      <c r="O271" s="125"/>
      <c r="P271" s="125"/>
    </row>
    <row r="272" spans="1:16" ht="15.75">
      <c r="A272" s="37" t="s">
        <v>397</v>
      </c>
      <c r="B272" s="41" t="s">
        <v>344</v>
      </c>
      <c r="C272" s="41" t="s">
        <v>345</v>
      </c>
      <c r="D272" s="41" t="s">
        <v>344</v>
      </c>
      <c r="E272" s="41" t="s">
        <v>346</v>
      </c>
      <c r="F272" s="41" t="s">
        <v>349</v>
      </c>
      <c r="G272" s="41" t="s">
        <v>346</v>
      </c>
      <c r="H272" s="41" t="s">
        <v>348</v>
      </c>
      <c r="I272" s="41" t="s">
        <v>348</v>
      </c>
      <c r="J272" s="41" t="s">
        <v>348</v>
      </c>
      <c r="K272" s="41" t="s">
        <v>380</v>
      </c>
      <c r="L272" s="41" t="s">
        <v>380</v>
      </c>
      <c r="M272" s="125"/>
      <c r="N272" s="125"/>
      <c r="O272" s="125"/>
      <c r="P272" s="125"/>
    </row>
    <row r="273" spans="1:16" ht="16.5" thickBot="1">
      <c r="A273" s="42" t="s">
        <v>343</v>
      </c>
      <c r="B273" s="43">
        <v>42623.42291666667</v>
      </c>
      <c r="C273" s="43">
        <v>42684.465277777781</v>
      </c>
      <c r="D273" s="43">
        <v>42684.465277777781</v>
      </c>
      <c r="E273" s="43">
        <v>42623.42291666667</v>
      </c>
      <c r="F273" s="43">
        <v>42684.465277777781</v>
      </c>
      <c r="G273" s="43">
        <v>0.67708333333333337</v>
      </c>
      <c r="H273" s="43">
        <v>0.67708333333333337</v>
      </c>
      <c r="I273" s="43">
        <v>42623.42291666667</v>
      </c>
      <c r="J273" s="43">
        <v>42623.42291666667</v>
      </c>
      <c r="K273" s="41" t="s">
        <v>380</v>
      </c>
      <c r="L273" s="41" t="s">
        <v>380</v>
      </c>
      <c r="M273" s="125"/>
      <c r="N273" s="125"/>
      <c r="O273" s="125"/>
      <c r="P273" s="125"/>
    </row>
    <row r="274" spans="1:16" ht="17.25" thickTop="1" thickBot="1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125"/>
      <c r="N274" s="125"/>
      <c r="O274" s="125"/>
      <c r="P274" s="125"/>
    </row>
    <row r="275" spans="1:16" ht="19.5" thickTop="1" thickBot="1">
      <c r="A275" s="35" t="s">
        <v>399</v>
      </c>
      <c r="B275" s="1494" t="s">
        <v>380</v>
      </c>
      <c r="C275" s="1495"/>
      <c r="D275" s="1494" t="s">
        <v>380</v>
      </c>
      <c r="E275" s="1496"/>
      <c r="F275" s="32"/>
      <c r="G275" s="32"/>
      <c r="H275" s="32"/>
      <c r="I275" s="32"/>
      <c r="J275" s="32"/>
      <c r="K275" s="31"/>
      <c r="L275" s="31"/>
      <c r="M275" s="125"/>
      <c r="N275" s="124"/>
      <c r="O275" s="125"/>
      <c r="P275" s="125"/>
    </row>
    <row r="276" spans="1:16" ht="18.75" thickBot="1">
      <c r="A276" s="37" t="s">
        <v>400</v>
      </c>
      <c r="B276" s="1497" t="s">
        <v>380</v>
      </c>
      <c r="C276" s="1498"/>
      <c r="D276" s="1497" t="s">
        <v>380</v>
      </c>
      <c r="E276" s="1499"/>
      <c r="F276" s="31" t="s">
        <v>401</v>
      </c>
      <c r="G276" s="1500" t="s">
        <v>402</v>
      </c>
      <c r="H276" s="1500"/>
      <c r="I276" s="31" t="s">
        <v>403</v>
      </c>
      <c r="J276" s="1501">
        <f ca="1">TODAY()</f>
        <v>45944</v>
      </c>
      <c r="K276" s="1501"/>
      <c r="L276" s="1501"/>
      <c r="M276" s="125"/>
      <c r="N276" s="124"/>
      <c r="O276" s="125"/>
      <c r="P276" s="125"/>
    </row>
    <row r="277" spans="1:16" ht="18.75" thickBot="1">
      <c r="A277" s="42" t="s">
        <v>404</v>
      </c>
      <c r="B277" s="1491" t="s">
        <v>380</v>
      </c>
      <c r="C277" s="1492"/>
      <c r="D277" s="1491" t="s">
        <v>380</v>
      </c>
      <c r="E277" s="1493"/>
      <c r="F277" s="32"/>
      <c r="G277" s="31"/>
      <c r="H277" s="31" t="s">
        <v>405</v>
      </c>
      <c r="I277" s="31"/>
      <c r="J277" s="32"/>
      <c r="K277" s="31"/>
      <c r="L277" s="31"/>
      <c r="M277" s="125"/>
      <c r="N277" s="124"/>
      <c r="O277" s="125"/>
      <c r="P277" s="125"/>
    </row>
    <row r="278" spans="1:16" ht="18.75" thickTop="1">
      <c r="A278" s="32"/>
      <c r="B278" s="32"/>
      <c r="C278" s="32"/>
      <c r="D278" s="32"/>
      <c r="E278" s="32"/>
      <c r="F278" s="31"/>
      <c r="G278" s="31"/>
      <c r="H278" s="44" t="s">
        <v>406</v>
      </c>
      <c r="I278" s="31"/>
      <c r="J278" s="31"/>
      <c r="K278" s="32"/>
      <c r="L278" s="32"/>
      <c r="M278" s="125"/>
      <c r="N278" s="124"/>
      <c r="O278" s="125"/>
      <c r="P278" s="125"/>
    </row>
    <row r="279" spans="1:16" ht="18">
      <c r="A279" s="32"/>
      <c r="B279" s="32"/>
      <c r="C279" s="32"/>
      <c r="D279" s="32"/>
      <c r="E279" s="32"/>
      <c r="F279" s="31"/>
      <c r="G279" s="31"/>
      <c r="H279" s="32"/>
      <c r="I279" s="31"/>
      <c r="J279" s="32"/>
      <c r="K279" s="32"/>
      <c r="L279" s="32"/>
      <c r="M279" s="125"/>
      <c r="N279" s="124"/>
      <c r="O279" s="125"/>
      <c r="P279" s="125"/>
    </row>
    <row r="280" spans="1:16" ht="18">
      <c r="A280" s="1500" t="s">
        <v>78</v>
      </c>
      <c r="B280" s="1500"/>
      <c r="C280" s="1500"/>
      <c r="D280" s="1500"/>
      <c r="E280" s="1500"/>
      <c r="F280" s="1500"/>
      <c r="G280" s="1500"/>
      <c r="H280" s="1500"/>
      <c r="I280" s="1500"/>
      <c r="J280" s="1500"/>
      <c r="K280" s="1500"/>
      <c r="L280" s="1500"/>
      <c r="M280" s="125"/>
      <c r="N280" s="125"/>
      <c r="O280" s="125"/>
      <c r="P280" s="125"/>
    </row>
    <row r="281" spans="1:16" ht="18">
      <c r="A281" s="1500" t="s">
        <v>79</v>
      </c>
      <c r="B281" s="1500"/>
      <c r="C281" s="1500"/>
      <c r="D281" s="1500"/>
      <c r="E281" s="1500"/>
      <c r="F281" s="1500"/>
      <c r="G281" s="1500"/>
      <c r="H281" s="1500"/>
      <c r="I281" s="1500"/>
      <c r="J281" s="1500"/>
      <c r="K281" s="1500"/>
      <c r="L281" s="1500"/>
      <c r="M281" s="125"/>
      <c r="N281" s="125"/>
      <c r="O281" s="125"/>
      <c r="P281" s="125"/>
    </row>
    <row r="282" spans="1:16" ht="18">
      <c r="A282" s="30" t="s">
        <v>220</v>
      </c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125"/>
      <c r="N282" s="125"/>
      <c r="O282" s="125"/>
      <c r="P282" s="125"/>
    </row>
    <row r="283" spans="1:16" ht="18">
      <c r="A283" s="30" t="s">
        <v>361</v>
      </c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125"/>
      <c r="N283" s="125"/>
      <c r="O283" s="125"/>
      <c r="P283" s="125"/>
    </row>
    <row r="284" spans="1:16" ht="18.75" thickBo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125"/>
      <c r="N284" s="125"/>
      <c r="O284" s="125"/>
      <c r="P284" s="125"/>
    </row>
    <row r="285" spans="1:16" ht="24" thickBot="1">
      <c r="A285" s="31"/>
      <c r="B285" s="31"/>
      <c r="C285" s="1515" t="s">
        <v>362</v>
      </c>
      <c r="D285" s="1516"/>
      <c r="E285" s="1516"/>
      <c r="F285" s="1516"/>
      <c r="G285" s="1517"/>
      <c r="H285" s="1545" t="s">
        <v>50</v>
      </c>
      <c r="I285" s="1519"/>
      <c r="J285" s="31"/>
      <c r="K285" s="31"/>
      <c r="L285" s="31"/>
      <c r="M285" s="125"/>
      <c r="N285" s="126" t="str">
        <f>H285</f>
        <v>2ت واق</v>
      </c>
      <c r="O285" s="125"/>
      <c r="P285" s="125"/>
    </row>
    <row r="286" spans="1:16" ht="18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125"/>
      <c r="N286" s="125"/>
      <c r="O286" s="125"/>
      <c r="P286" s="125"/>
    </row>
    <row r="287" spans="1:16" ht="18">
      <c r="A287" s="30" t="s">
        <v>363</v>
      </c>
      <c r="B287" s="31"/>
      <c r="C287" s="1500" t="s">
        <v>296</v>
      </c>
      <c r="D287" s="1500"/>
      <c r="E287" s="1500"/>
      <c r="F287" s="31"/>
      <c r="G287" s="31" t="s">
        <v>364</v>
      </c>
      <c r="H287" s="31"/>
      <c r="I287" s="1500"/>
      <c r="J287" s="1500"/>
      <c r="K287" s="1500"/>
      <c r="L287" s="31"/>
      <c r="M287" s="125"/>
      <c r="N287" s="125"/>
      <c r="O287" s="125"/>
      <c r="P287" s="125"/>
    </row>
    <row r="288" spans="1:16" ht="18.75" thickBot="1">
      <c r="A288" s="30" t="s">
        <v>365</v>
      </c>
      <c r="B288" s="31"/>
      <c r="C288" s="31">
        <v>17</v>
      </c>
      <c r="D288" s="31"/>
      <c r="E288" s="31"/>
      <c r="F288" s="31"/>
      <c r="G288" s="31" t="s">
        <v>366</v>
      </c>
      <c r="H288" s="31"/>
      <c r="I288" s="31">
        <v>35</v>
      </c>
      <c r="J288" s="31"/>
      <c r="K288" s="31"/>
      <c r="L288" s="31"/>
      <c r="M288" s="125"/>
      <c r="N288" s="125"/>
      <c r="O288" s="125"/>
      <c r="P288" s="125"/>
    </row>
    <row r="289" spans="1:16" ht="17.25" thickTop="1" thickBot="1">
      <c r="A289" s="1542" t="s">
        <v>367</v>
      </c>
      <c r="B289" s="1543"/>
      <c r="C289" s="1543" t="s">
        <v>360</v>
      </c>
      <c r="D289" s="1543"/>
      <c r="E289" s="1543" t="s">
        <v>368</v>
      </c>
      <c r="F289" s="1543"/>
      <c r="G289" s="1543" t="s">
        <v>369</v>
      </c>
      <c r="H289" s="1543"/>
      <c r="I289" s="1543" t="s">
        <v>370</v>
      </c>
      <c r="J289" s="1543"/>
      <c r="K289" s="1543" t="s">
        <v>371</v>
      </c>
      <c r="L289" s="1544"/>
      <c r="M289" s="125"/>
      <c r="N289" s="125"/>
      <c r="O289" s="125"/>
      <c r="P289" s="125"/>
    </row>
    <row r="290" spans="1:16" ht="17.25" thickTop="1" thickBot="1">
      <c r="A290" s="1540" t="s">
        <v>372</v>
      </c>
      <c r="B290" s="1541"/>
      <c r="C290" s="1504" t="s">
        <v>262</v>
      </c>
      <c r="D290" s="1505"/>
      <c r="E290" s="1504" t="s">
        <v>414</v>
      </c>
      <c r="F290" s="1505"/>
      <c r="G290" s="1504" t="s">
        <v>383</v>
      </c>
      <c r="H290" s="1505"/>
      <c r="I290" s="1504" t="s">
        <v>290</v>
      </c>
      <c r="J290" s="1505"/>
      <c r="K290" s="1504" t="s">
        <v>386</v>
      </c>
      <c r="L290" s="1505"/>
      <c r="M290" s="125"/>
      <c r="N290" s="125"/>
      <c r="O290" s="125"/>
      <c r="P290" s="125"/>
    </row>
    <row r="291" spans="1:16" ht="17.25" thickTop="1" thickBot="1">
      <c r="A291" s="1540" t="s">
        <v>373</v>
      </c>
      <c r="B291" s="1541"/>
      <c r="C291" s="1504" t="s">
        <v>386</v>
      </c>
      <c r="D291" s="1505"/>
      <c r="E291" s="1504" t="s">
        <v>385</v>
      </c>
      <c r="F291" s="1505"/>
      <c r="G291" s="1504" t="s">
        <v>415</v>
      </c>
      <c r="H291" s="1505"/>
      <c r="I291" s="1504" t="s">
        <v>262</v>
      </c>
      <c r="J291" s="1505"/>
      <c r="K291" s="1504" t="s">
        <v>384</v>
      </c>
      <c r="L291" s="1505"/>
      <c r="M291" s="125"/>
      <c r="N291" s="125"/>
      <c r="O291" s="125"/>
      <c r="P291" s="125"/>
    </row>
    <row r="292" spans="1:16" ht="17.25" thickTop="1" thickBot="1">
      <c r="A292" s="1540" t="s">
        <v>374</v>
      </c>
      <c r="B292" s="1541"/>
      <c r="C292" s="1547" t="s">
        <v>290</v>
      </c>
      <c r="D292" s="1548"/>
      <c r="E292" s="1546" t="s">
        <v>290</v>
      </c>
      <c r="F292" s="1505"/>
      <c r="G292" s="1504" t="s">
        <v>415</v>
      </c>
      <c r="H292" s="1505"/>
      <c r="I292" s="1504" t="s">
        <v>414</v>
      </c>
      <c r="J292" s="1505"/>
      <c r="K292" s="1504" t="s">
        <v>385</v>
      </c>
      <c r="L292" s="1505"/>
      <c r="M292" s="125"/>
      <c r="N292" s="125"/>
      <c r="O292" s="125"/>
      <c r="P292" s="125"/>
    </row>
    <row r="293" spans="1:16" ht="17.25" thickTop="1" thickBot="1">
      <c r="A293" s="1536" t="s">
        <v>375</v>
      </c>
      <c r="B293" s="1537"/>
      <c r="C293" s="1521"/>
      <c r="D293" s="1522"/>
      <c r="E293" s="1546"/>
      <c r="F293" s="1505"/>
      <c r="G293" s="1504" t="s">
        <v>385</v>
      </c>
      <c r="H293" s="1505"/>
      <c r="I293" s="1504" t="s">
        <v>414</v>
      </c>
      <c r="J293" s="1505"/>
      <c r="K293" s="1504" t="s">
        <v>385</v>
      </c>
      <c r="L293" s="1505"/>
      <c r="M293" s="125"/>
      <c r="N293" s="125"/>
      <c r="O293" s="125"/>
      <c r="P293" s="125"/>
    </row>
    <row r="294" spans="1:16" ht="17.25" thickTop="1" thickBot="1">
      <c r="A294" s="32"/>
      <c r="B294" s="32"/>
      <c r="C294" s="32"/>
      <c r="D294" s="32"/>
      <c r="E294" s="32"/>
      <c r="F294" s="32"/>
      <c r="G294" s="32"/>
      <c r="H294" s="32"/>
      <c r="I294" s="45"/>
      <c r="J294" s="45"/>
      <c r="K294" s="32"/>
      <c r="L294" s="32"/>
      <c r="M294" s="125"/>
      <c r="N294" s="125"/>
      <c r="O294" s="125"/>
      <c r="P294" s="125"/>
    </row>
    <row r="295" spans="1:16" ht="17.25" thickTop="1" thickBot="1">
      <c r="A295" s="1508" t="s">
        <v>376</v>
      </c>
      <c r="B295" s="1539"/>
      <c r="C295" s="1504" t="s">
        <v>384</v>
      </c>
      <c r="D295" s="1505"/>
      <c r="E295" s="1504" t="s">
        <v>386</v>
      </c>
      <c r="F295" s="1505"/>
      <c r="G295" s="1504" t="s">
        <v>429</v>
      </c>
      <c r="H295" s="1505"/>
      <c r="I295" s="1504" t="s">
        <v>384</v>
      </c>
      <c r="J295" s="1505"/>
      <c r="K295" s="1504" t="s">
        <v>415</v>
      </c>
      <c r="L295" s="1505"/>
      <c r="M295" s="125"/>
      <c r="N295" s="125"/>
      <c r="O295" s="125"/>
      <c r="P295" s="125"/>
    </row>
    <row r="296" spans="1:16" ht="17.25" thickTop="1" thickBot="1">
      <c r="A296" s="1506" t="s">
        <v>377</v>
      </c>
      <c r="B296" s="1538"/>
      <c r="C296" s="1504" t="s">
        <v>414</v>
      </c>
      <c r="D296" s="1505"/>
      <c r="E296" s="1504" t="s">
        <v>430</v>
      </c>
      <c r="F296" s="1505"/>
      <c r="G296" s="1504" t="s">
        <v>262</v>
      </c>
      <c r="H296" s="1505"/>
      <c r="I296" s="1504" t="s">
        <v>387</v>
      </c>
      <c r="J296" s="1505"/>
      <c r="K296" s="1504" t="s">
        <v>416</v>
      </c>
      <c r="L296" s="1505"/>
      <c r="M296" s="125"/>
      <c r="N296" s="125"/>
      <c r="O296" s="125"/>
      <c r="P296" s="125"/>
    </row>
    <row r="297" spans="1:16" ht="17.25" thickTop="1" thickBot="1">
      <c r="A297" s="1506" t="s">
        <v>378</v>
      </c>
      <c r="B297" s="1538"/>
      <c r="C297" s="1504" t="s">
        <v>383</v>
      </c>
      <c r="D297" s="1505"/>
      <c r="E297" s="1504"/>
      <c r="F297" s="1505"/>
      <c r="G297" s="1504"/>
      <c r="H297" s="1505"/>
      <c r="I297" s="1504" t="s">
        <v>387</v>
      </c>
      <c r="J297" s="1505"/>
      <c r="K297" s="1504"/>
      <c r="L297" s="1505"/>
      <c r="M297" s="125"/>
      <c r="N297" s="125"/>
      <c r="O297" s="125"/>
      <c r="P297" s="125"/>
    </row>
    <row r="298" spans="1:16" ht="17.25" thickTop="1" thickBot="1">
      <c r="A298" s="1536" t="s">
        <v>379</v>
      </c>
      <c r="B298" s="1537"/>
      <c r="C298" s="1504">
        <v>0</v>
      </c>
      <c r="D298" s="1505"/>
      <c r="E298" s="1504">
        <v>0</v>
      </c>
      <c r="F298" s="1505"/>
      <c r="G298" s="1504">
        <v>0</v>
      </c>
      <c r="H298" s="1505"/>
      <c r="I298" s="1504">
        <v>0</v>
      </c>
      <c r="J298" s="1505"/>
      <c r="K298" s="1504" t="s">
        <v>380</v>
      </c>
      <c r="L298" s="1505"/>
      <c r="M298" s="125"/>
      <c r="N298" s="125"/>
      <c r="O298" s="125"/>
      <c r="P298" s="125"/>
    </row>
    <row r="299" spans="1:16" ht="17.25" thickTop="1" thickBot="1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125"/>
      <c r="N299" s="125"/>
      <c r="O299" s="125"/>
      <c r="P299" s="125"/>
    </row>
    <row r="300" spans="1:16" ht="16.5" thickTop="1">
      <c r="A300" s="35" t="s">
        <v>381</v>
      </c>
      <c r="B300" s="36" t="s">
        <v>262</v>
      </c>
      <c r="C300" s="36" t="s">
        <v>417</v>
      </c>
      <c r="D300" s="36" t="s">
        <v>418</v>
      </c>
      <c r="E300" s="36" t="s">
        <v>416</v>
      </c>
      <c r="F300" s="36" t="s">
        <v>383</v>
      </c>
      <c r="G300" s="36" t="s">
        <v>384</v>
      </c>
      <c r="H300" s="36" t="s">
        <v>385</v>
      </c>
      <c r="I300" s="36" t="s">
        <v>290</v>
      </c>
      <c r="J300" s="36" t="s">
        <v>386</v>
      </c>
      <c r="K300" s="36" t="s">
        <v>387</v>
      </c>
      <c r="L300" s="36" t="s">
        <v>380</v>
      </c>
      <c r="M300" s="125"/>
      <c r="N300" s="125"/>
      <c r="O300" s="125"/>
      <c r="P300" s="125"/>
    </row>
    <row r="301" spans="1:16" ht="15.75">
      <c r="A301" s="37" t="s">
        <v>388</v>
      </c>
      <c r="B301" s="38" t="s">
        <v>393</v>
      </c>
      <c r="C301" s="38" t="s">
        <v>392</v>
      </c>
      <c r="D301" s="38" t="s">
        <v>393</v>
      </c>
      <c r="E301" s="38" t="s">
        <v>359</v>
      </c>
      <c r="F301" s="38" t="s">
        <v>359</v>
      </c>
      <c r="G301" s="38" t="s">
        <v>393</v>
      </c>
      <c r="H301" s="38" t="s">
        <v>419</v>
      </c>
      <c r="I301" s="38" t="s">
        <v>393</v>
      </c>
      <c r="J301" s="38" t="s">
        <v>393</v>
      </c>
      <c r="K301" s="38" t="s">
        <v>359</v>
      </c>
      <c r="L301" s="38" t="s">
        <v>380</v>
      </c>
      <c r="M301" s="125"/>
      <c r="N301" s="125"/>
      <c r="O301" s="125"/>
      <c r="P301" s="125"/>
    </row>
    <row r="302" spans="1:16" ht="15.75">
      <c r="A302" s="37" t="s">
        <v>394</v>
      </c>
      <c r="B302" s="39" t="s">
        <v>272</v>
      </c>
      <c r="C302" s="39" t="s">
        <v>306</v>
      </c>
      <c r="D302" s="39" t="s">
        <v>431</v>
      </c>
      <c r="E302" s="39" t="s">
        <v>431</v>
      </c>
      <c r="F302" s="39" t="s">
        <v>283</v>
      </c>
      <c r="G302" s="39" t="s">
        <v>421</v>
      </c>
      <c r="H302" s="39" t="s">
        <v>289</v>
      </c>
      <c r="I302" s="39" t="s">
        <v>291</v>
      </c>
      <c r="J302" s="39" t="s">
        <v>296</v>
      </c>
      <c r="K302" s="39" t="s">
        <v>314</v>
      </c>
      <c r="L302" s="40" t="s">
        <v>380</v>
      </c>
      <c r="M302" s="125"/>
      <c r="N302" s="125"/>
      <c r="O302" s="125"/>
      <c r="P302" s="125"/>
    </row>
    <row r="303" spans="1:16" ht="15.75">
      <c r="A303" s="37" t="s">
        <v>397</v>
      </c>
      <c r="B303" s="41" t="s">
        <v>344</v>
      </c>
      <c r="C303" s="41" t="s">
        <v>345</v>
      </c>
      <c r="D303" s="41" t="s">
        <v>345</v>
      </c>
      <c r="E303" s="41" t="s">
        <v>345</v>
      </c>
      <c r="F303" s="41" t="s">
        <v>345</v>
      </c>
      <c r="G303" s="41" t="s">
        <v>349</v>
      </c>
      <c r="H303" s="41" t="s">
        <v>346</v>
      </c>
      <c r="I303" s="41" t="s">
        <v>344</v>
      </c>
      <c r="J303" s="41" t="s">
        <v>344</v>
      </c>
      <c r="K303" s="41" t="s">
        <v>348</v>
      </c>
      <c r="L303" s="41" t="s">
        <v>380</v>
      </c>
      <c r="M303" s="125"/>
      <c r="N303" s="125"/>
      <c r="O303" s="125"/>
      <c r="P303" s="125"/>
    </row>
    <row r="304" spans="1:16" ht="16.5" thickBot="1">
      <c r="A304" s="42" t="s">
        <v>343</v>
      </c>
      <c r="B304" s="43">
        <v>0.67708333333333337</v>
      </c>
      <c r="C304" s="43">
        <v>42623.42291666667</v>
      </c>
      <c r="D304" s="43">
        <v>42623.42291666667</v>
      </c>
      <c r="E304" s="43">
        <v>42623.42291666667</v>
      </c>
      <c r="F304" s="43">
        <v>42684.465277777781</v>
      </c>
      <c r="G304" s="43">
        <v>42684.465277777781</v>
      </c>
      <c r="H304" s="43">
        <v>0.67708333333333337</v>
      </c>
      <c r="I304" s="43">
        <v>0.67708333333333337</v>
      </c>
      <c r="J304" s="43">
        <v>0.67708333333333337</v>
      </c>
      <c r="K304" s="43">
        <v>42623.42291666667</v>
      </c>
      <c r="L304" s="41" t="s">
        <v>380</v>
      </c>
      <c r="M304" s="125"/>
      <c r="N304" s="125"/>
      <c r="O304" s="125"/>
      <c r="P304" s="125"/>
    </row>
    <row r="305" spans="1:16" ht="17.25" thickTop="1" thickBot="1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125"/>
      <c r="N305" s="125"/>
      <c r="O305" s="125"/>
      <c r="P305" s="125"/>
    </row>
    <row r="306" spans="1:16" ht="19.5" thickTop="1" thickBot="1">
      <c r="A306" s="35" t="s">
        <v>399</v>
      </c>
      <c r="B306" s="1494" t="s">
        <v>380</v>
      </c>
      <c r="C306" s="1495"/>
      <c r="D306" s="1494" t="s">
        <v>380</v>
      </c>
      <c r="E306" s="1496"/>
      <c r="F306" s="32"/>
      <c r="G306" s="32"/>
      <c r="H306" s="32"/>
      <c r="I306" s="32"/>
      <c r="J306" s="32"/>
      <c r="K306" s="31"/>
      <c r="L306" s="31"/>
      <c r="M306" s="125"/>
      <c r="N306" s="125"/>
      <c r="O306" s="125"/>
      <c r="P306" s="125"/>
    </row>
    <row r="307" spans="1:16" ht="18.75" thickBot="1">
      <c r="A307" s="37" t="s">
        <v>400</v>
      </c>
      <c r="B307" s="1497" t="s">
        <v>380</v>
      </c>
      <c r="C307" s="1498"/>
      <c r="D307" s="1497" t="s">
        <v>380</v>
      </c>
      <c r="E307" s="1499"/>
      <c r="F307" s="31" t="s">
        <v>401</v>
      </c>
      <c r="G307" s="1500" t="s">
        <v>402</v>
      </c>
      <c r="H307" s="1500"/>
      <c r="I307" s="31" t="s">
        <v>403</v>
      </c>
      <c r="J307" s="1501">
        <f ca="1">TODAY()</f>
        <v>45944</v>
      </c>
      <c r="K307" s="1501"/>
      <c r="L307" s="1501"/>
      <c r="M307" s="125"/>
      <c r="N307" s="125"/>
      <c r="O307" s="125"/>
      <c r="P307" s="125"/>
    </row>
    <row r="308" spans="1:16" ht="18.75" thickBot="1">
      <c r="A308" s="42" t="s">
        <v>404</v>
      </c>
      <c r="B308" s="1491" t="s">
        <v>380</v>
      </c>
      <c r="C308" s="1492"/>
      <c r="D308" s="1491" t="s">
        <v>380</v>
      </c>
      <c r="E308" s="1493"/>
      <c r="F308" s="32"/>
      <c r="G308" s="31"/>
      <c r="H308" s="31" t="s">
        <v>405</v>
      </c>
      <c r="I308" s="31"/>
      <c r="J308" s="32"/>
      <c r="K308" s="31"/>
      <c r="L308" s="31"/>
      <c r="M308" s="125"/>
      <c r="N308" s="125"/>
      <c r="O308" s="125"/>
      <c r="P308" s="125"/>
    </row>
    <row r="309" spans="1:16" ht="18.75" thickTop="1">
      <c r="A309" s="32"/>
      <c r="B309" s="32"/>
      <c r="C309" s="32"/>
      <c r="D309" s="32"/>
      <c r="E309" s="32"/>
      <c r="F309" s="31"/>
      <c r="G309" s="31"/>
      <c r="H309" s="44" t="s">
        <v>406</v>
      </c>
      <c r="I309" s="31"/>
      <c r="J309" s="31"/>
      <c r="K309" s="32"/>
      <c r="L309" s="32"/>
      <c r="M309" s="125"/>
      <c r="N309" s="125"/>
      <c r="O309" s="125"/>
      <c r="P309" s="125"/>
    </row>
    <row r="310" spans="1:16" ht="18">
      <c r="A310" s="32"/>
      <c r="B310" s="32"/>
      <c r="C310" s="32"/>
      <c r="D310" s="32"/>
      <c r="E310" s="32"/>
      <c r="F310" s="31"/>
      <c r="G310" s="31"/>
      <c r="H310" s="32"/>
      <c r="I310" s="31"/>
      <c r="J310" s="32"/>
      <c r="K310" s="32"/>
      <c r="L310" s="32"/>
      <c r="M310" s="125"/>
      <c r="N310" s="125"/>
      <c r="O310" s="125"/>
      <c r="P310" s="125"/>
    </row>
    <row r="311" spans="1:16" ht="18">
      <c r="A311" s="1500" t="s">
        <v>78</v>
      </c>
      <c r="B311" s="1500"/>
      <c r="C311" s="1500"/>
      <c r="D311" s="1500"/>
      <c r="E311" s="1500"/>
      <c r="F311" s="1500"/>
      <c r="G311" s="1500"/>
      <c r="H311" s="1500"/>
      <c r="I311" s="1500"/>
      <c r="J311" s="1500"/>
      <c r="K311" s="1500"/>
      <c r="L311" s="1500"/>
      <c r="M311" s="125"/>
      <c r="N311" s="125"/>
      <c r="O311" s="125"/>
      <c r="P311" s="125"/>
    </row>
    <row r="312" spans="1:16" ht="18">
      <c r="A312" s="1500" t="s">
        <v>79</v>
      </c>
      <c r="B312" s="1500"/>
      <c r="C312" s="1500"/>
      <c r="D312" s="1500"/>
      <c r="E312" s="1500"/>
      <c r="F312" s="1500"/>
      <c r="G312" s="1500"/>
      <c r="H312" s="1500"/>
      <c r="I312" s="1500"/>
      <c r="J312" s="1500"/>
      <c r="K312" s="1500"/>
      <c r="L312" s="1500"/>
      <c r="M312" s="125"/>
      <c r="N312" s="125"/>
      <c r="O312" s="125"/>
      <c r="P312" s="125"/>
    </row>
    <row r="313" spans="1:16" ht="18">
      <c r="A313" s="30" t="s">
        <v>220</v>
      </c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125"/>
      <c r="N313" s="125"/>
      <c r="O313" s="125"/>
      <c r="P313" s="125"/>
    </row>
    <row r="314" spans="1:16" ht="18">
      <c r="A314" s="30" t="s">
        <v>361</v>
      </c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125"/>
      <c r="N314" s="125"/>
      <c r="O314" s="125"/>
      <c r="P314" s="125"/>
    </row>
    <row r="315" spans="1:16" ht="18.75" thickBo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125"/>
      <c r="N315" s="125"/>
      <c r="O315" s="125"/>
      <c r="P315" s="125"/>
    </row>
    <row r="316" spans="1:16" ht="24" thickBot="1">
      <c r="A316" s="31"/>
      <c r="B316" s="31"/>
      <c r="C316" s="1515" t="s">
        <v>362</v>
      </c>
      <c r="D316" s="1516"/>
      <c r="E316" s="1516"/>
      <c r="F316" s="1516"/>
      <c r="G316" s="1517"/>
      <c r="H316" s="1545" t="s">
        <v>13</v>
      </c>
      <c r="I316" s="1519"/>
      <c r="J316" s="31"/>
      <c r="K316" s="31"/>
      <c r="L316" s="31"/>
      <c r="M316" s="125"/>
      <c r="N316" s="126" t="str">
        <f>H316</f>
        <v>2آ ف</v>
      </c>
      <c r="O316" s="125"/>
      <c r="P316" s="125"/>
    </row>
    <row r="317" spans="1:16" ht="18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125"/>
      <c r="N317" s="125"/>
      <c r="O317" s="125"/>
      <c r="P317" s="125"/>
    </row>
    <row r="318" spans="1:16" ht="18">
      <c r="A318" s="30" t="s">
        <v>363</v>
      </c>
      <c r="B318" s="31"/>
      <c r="C318" s="1500" t="s">
        <v>285</v>
      </c>
      <c r="D318" s="1500"/>
      <c r="E318" s="1500"/>
      <c r="F318" s="31"/>
      <c r="G318" s="31" t="s">
        <v>364</v>
      </c>
      <c r="H318" s="31"/>
      <c r="I318" s="1500"/>
      <c r="J318" s="1500"/>
      <c r="K318" s="1500"/>
      <c r="L318" s="31"/>
      <c r="M318" s="125"/>
      <c r="N318" s="125"/>
      <c r="O318" s="125"/>
      <c r="P318" s="125"/>
    </row>
    <row r="319" spans="1:16" ht="18.75" thickBot="1">
      <c r="A319" s="30" t="s">
        <v>365</v>
      </c>
      <c r="B319" s="31"/>
      <c r="C319" s="31">
        <v>18</v>
      </c>
      <c r="D319" s="31"/>
      <c r="E319" s="31"/>
      <c r="F319" s="31"/>
      <c r="G319" s="31" t="s">
        <v>366</v>
      </c>
      <c r="H319" s="31"/>
      <c r="I319" s="31">
        <v>29</v>
      </c>
      <c r="J319" s="31"/>
      <c r="K319" s="31"/>
      <c r="L319" s="31"/>
      <c r="M319" s="125"/>
      <c r="N319" s="125"/>
      <c r="O319" s="125"/>
      <c r="P319" s="125"/>
    </row>
    <row r="320" spans="1:16" ht="17.25" thickTop="1" thickBot="1">
      <c r="A320" s="1542" t="s">
        <v>367</v>
      </c>
      <c r="B320" s="1543"/>
      <c r="C320" s="1543" t="s">
        <v>360</v>
      </c>
      <c r="D320" s="1543"/>
      <c r="E320" s="1543" t="s">
        <v>368</v>
      </c>
      <c r="F320" s="1543"/>
      <c r="G320" s="1543" t="s">
        <v>369</v>
      </c>
      <c r="H320" s="1543"/>
      <c r="I320" s="1543" t="s">
        <v>370</v>
      </c>
      <c r="J320" s="1543"/>
      <c r="K320" s="1543" t="s">
        <v>371</v>
      </c>
      <c r="L320" s="1544"/>
      <c r="M320" s="125"/>
      <c r="N320" s="125"/>
      <c r="O320" s="125"/>
      <c r="P320" s="125"/>
    </row>
    <row r="321" spans="1:16" ht="17.25" thickTop="1" thickBot="1">
      <c r="A321" s="1540" t="s">
        <v>372</v>
      </c>
      <c r="B321" s="1541"/>
      <c r="C321" s="1504" t="s">
        <v>386</v>
      </c>
      <c r="D321" s="1505"/>
      <c r="E321" s="1504" t="s">
        <v>279</v>
      </c>
      <c r="F321" s="1505"/>
      <c r="G321" s="1504" t="s">
        <v>384</v>
      </c>
      <c r="H321" s="1505"/>
      <c r="I321" s="1504" t="s">
        <v>386</v>
      </c>
      <c r="J321" s="1505"/>
      <c r="K321" s="1504" t="s">
        <v>408</v>
      </c>
      <c r="L321" s="1505"/>
      <c r="M321" s="125"/>
      <c r="N321" s="125"/>
      <c r="O321" s="125"/>
      <c r="P321" s="125"/>
    </row>
    <row r="322" spans="1:16" ht="17.25" thickTop="1" thickBot="1">
      <c r="A322" s="1540" t="s">
        <v>373</v>
      </c>
      <c r="B322" s="1541"/>
      <c r="C322" s="1504" t="s">
        <v>270</v>
      </c>
      <c r="D322" s="1505"/>
      <c r="E322" s="1504" t="s">
        <v>279</v>
      </c>
      <c r="F322" s="1505"/>
      <c r="G322" s="1504" t="s">
        <v>385</v>
      </c>
      <c r="H322" s="1505"/>
      <c r="I322" s="1504" t="s">
        <v>384</v>
      </c>
      <c r="J322" s="1505"/>
      <c r="K322" s="1504" t="s">
        <v>290</v>
      </c>
      <c r="L322" s="1505"/>
      <c r="M322" s="125"/>
      <c r="N322" s="125"/>
      <c r="O322" s="125"/>
      <c r="P322" s="125"/>
    </row>
    <row r="323" spans="1:16" ht="17.25" thickTop="1" thickBot="1">
      <c r="A323" s="1540" t="s">
        <v>374</v>
      </c>
      <c r="B323" s="1541"/>
      <c r="C323" s="1504" t="s">
        <v>290</v>
      </c>
      <c r="D323" s="1505"/>
      <c r="E323" s="1504" t="s">
        <v>386</v>
      </c>
      <c r="F323" s="1505"/>
      <c r="G323" s="1504" t="s">
        <v>387</v>
      </c>
      <c r="H323" s="1505"/>
      <c r="I323" s="1504" t="s">
        <v>290</v>
      </c>
      <c r="J323" s="1505"/>
      <c r="K323" s="1504" t="s">
        <v>386</v>
      </c>
      <c r="L323" s="1505"/>
      <c r="M323" s="125"/>
      <c r="N323" s="125"/>
      <c r="O323" s="125"/>
      <c r="P323" s="125"/>
    </row>
    <row r="324" spans="1:16" ht="17.25" thickTop="1" thickBot="1">
      <c r="A324" s="1536" t="s">
        <v>375</v>
      </c>
      <c r="B324" s="1537"/>
      <c r="C324" s="1504" t="s">
        <v>290</v>
      </c>
      <c r="D324" s="1505"/>
      <c r="E324" s="1504" t="s">
        <v>385</v>
      </c>
      <c r="F324" s="1505"/>
      <c r="G324" s="1504" t="s">
        <v>387</v>
      </c>
      <c r="H324" s="1505"/>
      <c r="I324" s="1504" t="s">
        <v>383</v>
      </c>
      <c r="J324" s="1505"/>
      <c r="K324" s="1504" t="s">
        <v>384</v>
      </c>
      <c r="L324" s="1505"/>
      <c r="M324" s="125"/>
      <c r="N324" s="125"/>
      <c r="O324" s="125"/>
      <c r="P324" s="125"/>
    </row>
    <row r="325" spans="1:16" ht="17.25" thickTop="1" thickBot="1">
      <c r="A325" s="32"/>
      <c r="B325" s="32"/>
      <c r="C325" s="32"/>
      <c r="D325" s="32"/>
      <c r="E325" s="32"/>
      <c r="F325" s="32"/>
      <c r="G325" s="32"/>
      <c r="H325" s="32"/>
      <c r="I325" s="45"/>
      <c r="J325" s="45"/>
      <c r="K325" s="32"/>
      <c r="L325" s="32"/>
      <c r="M325" s="125"/>
      <c r="N325" s="125"/>
      <c r="O325" s="125"/>
      <c r="P325" s="125"/>
    </row>
    <row r="326" spans="1:16" ht="17.25" thickTop="1" thickBot="1">
      <c r="A326" s="1508" t="s">
        <v>376</v>
      </c>
      <c r="B326" s="1539"/>
      <c r="C326" s="1504" t="s">
        <v>383</v>
      </c>
      <c r="D326" s="1505"/>
      <c r="E326" s="1504" t="s">
        <v>407</v>
      </c>
      <c r="F326" s="1505"/>
      <c r="G326" s="1504" t="s">
        <v>262</v>
      </c>
      <c r="H326" s="1505"/>
      <c r="I326" s="1504" t="s">
        <v>262</v>
      </c>
      <c r="J326" s="1505"/>
      <c r="K326" s="1504" t="s">
        <v>279</v>
      </c>
      <c r="L326" s="1505"/>
      <c r="M326" s="125"/>
      <c r="N326" s="125"/>
      <c r="O326" s="125"/>
      <c r="P326" s="125"/>
    </row>
    <row r="327" spans="1:16" ht="17.25" thickTop="1" thickBot="1">
      <c r="A327" s="1506" t="s">
        <v>377</v>
      </c>
      <c r="B327" s="1538"/>
      <c r="C327" s="1504" t="s">
        <v>384</v>
      </c>
      <c r="D327" s="1505"/>
      <c r="E327" s="1504" t="s">
        <v>409</v>
      </c>
      <c r="F327" s="1505"/>
      <c r="G327" s="1504" t="s">
        <v>279</v>
      </c>
      <c r="H327" s="1505"/>
      <c r="I327" s="1504" t="s">
        <v>385</v>
      </c>
      <c r="J327" s="1505"/>
      <c r="K327" s="1504" t="s">
        <v>385</v>
      </c>
      <c r="L327" s="1505"/>
      <c r="M327" s="125"/>
      <c r="N327" s="125"/>
      <c r="O327" s="125"/>
      <c r="P327" s="125"/>
    </row>
    <row r="328" spans="1:16" ht="17.25" thickTop="1" thickBot="1">
      <c r="A328" s="1506" t="s">
        <v>378</v>
      </c>
      <c r="B328" s="1538"/>
      <c r="C328" s="1504"/>
      <c r="D328" s="1505"/>
      <c r="E328" s="1504"/>
      <c r="F328" s="1505"/>
      <c r="G328" s="1504"/>
      <c r="H328" s="1505"/>
      <c r="I328" s="1504"/>
      <c r="J328" s="1505"/>
      <c r="K328" s="1504"/>
      <c r="L328" s="1505"/>
      <c r="M328" s="125"/>
      <c r="N328" s="125"/>
      <c r="O328" s="125"/>
      <c r="P328" s="125"/>
    </row>
    <row r="329" spans="1:16" ht="17.25" thickTop="1" thickBot="1">
      <c r="A329" s="1536" t="s">
        <v>379</v>
      </c>
      <c r="B329" s="1537"/>
      <c r="C329" s="1504">
        <v>0</v>
      </c>
      <c r="D329" s="1505"/>
      <c r="E329" s="1504">
        <v>0</v>
      </c>
      <c r="F329" s="1505"/>
      <c r="G329" s="1504">
        <v>0</v>
      </c>
      <c r="H329" s="1505"/>
      <c r="I329" s="1504">
        <v>0</v>
      </c>
      <c r="J329" s="1505"/>
      <c r="K329" s="1504" t="s">
        <v>380</v>
      </c>
      <c r="L329" s="1505"/>
      <c r="M329" s="125"/>
      <c r="N329" s="125"/>
      <c r="O329" s="125"/>
      <c r="P329" s="125"/>
    </row>
    <row r="330" spans="1:16" ht="17.25" thickTop="1" thickBot="1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125"/>
      <c r="N330" s="125"/>
      <c r="O330" s="125"/>
      <c r="P330" s="125"/>
    </row>
    <row r="331" spans="1:16" ht="16.5" thickTop="1">
      <c r="A331" s="35" t="s">
        <v>381</v>
      </c>
      <c r="B331" s="36" t="s">
        <v>262</v>
      </c>
      <c r="C331" s="36" t="s">
        <v>270</v>
      </c>
      <c r="D331" s="36" t="s">
        <v>408</v>
      </c>
      <c r="E331" s="36" t="s">
        <v>383</v>
      </c>
      <c r="F331" s="36" t="s">
        <v>279</v>
      </c>
      <c r="G331" s="36" t="s">
        <v>384</v>
      </c>
      <c r="H331" s="36" t="s">
        <v>385</v>
      </c>
      <c r="I331" s="36" t="s">
        <v>290</v>
      </c>
      <c r="J331" s="36" t="s">
        <v>386</v>
      </c>
      <c r="K331" s="36" t="s">
        <v>387</v>
      </c>
      <c r="L331" s="36" t="s">
        <v>380</v>
      </c>
      <c r="M331" s="125"/>
      <c r="N331" s="125"/>
      <c r="O331" s="125"/>
      <c r="P331" s="125"/>
    </row>
    <row r="332" spans="1:16" ht="15.75">
      <c r="A332" s="37" t="s">
        <v>388</v>
      </c>
      <c r="B332" s="38" t="s">
        <v>359</v>
      </c>
      <c r="C332" s="38" t="s">
        <v>391</v>
      </c>
      <c r="D332" s="38" t="s">
        <v>391</v>
      </c>
      <c r="E332" s="38" t="s">
        <v>359</v>
      </c>
      <c r="F332" s="38" t="s">
        <v>419</v>
      </c>
      <c r="G332" s="38" t="s">
        <v>419</v>
      </c>
      <c r="H332" s="38" t="s">
        <v>419</v>
      </c>
      <c r="I332" s="38" t="s">
        <v>419</v>
      </c>
      <c r="J332" s="38" t="s">
        <v>419</v>
      </c>
      <c r="K332" s="38" t="s">
        <v>359</v>
      </c>
      <c r="L332" s="38" t="s">
        <v>380</v>
      </c>
      <c r="M332" s="125"/>
      <c r="N332" s="125"/>
      <c r="O332" s="125"/>
      <c r="P332" s="125"/>
    </row>
    <row r="333" spans="1:16" ht="15.75">
      <c r="A333" s="37" t="s">
        <v>394</v>
      </c>
      <c r="B333" s="39" t="s">
        <v>427</v>
      </c>
      <c r="C333" s="39" t="s">
        <v>273</v>
      </c>
      <c r="D333" s="39" t="s">
        <v>277</v>
      </c>
      <c r="E333" s="39" t="s">
        <v>281</v>
      </c>
      <c r="F333" s="39" t="s">
        <v>282</v>
      </c>
      <c r="G333" s="39" t="s">
        <v>285</v>
      </c>
      <c r="H333" s="39" t="s">
        <v>426</v>
      </c>
      <c r="I333" s="39" t="s">
        <v>293</v>
      </c>
      <c r="J333" s="39" t="s">
        <v>296</v>
      </c>
      <c r="K333" s="39" t="s">
        <v>314</v>
      </c>
      <c r="L333" s="40" t="s">
        <v>380</v>
      </c>
      <c r="M333" s="125"/>
      <c r="N333" s="125"/>
      <c r="O333" s="125"/>
      <c r="P333" s="125"/>
    </row>
    <row r="334" spans="1:16" ht="15.75">
      <c r="A334" s="37" t="s">
        <v>397</v>
      </c>
      <c r="B334" s="41" t="s">
        <v>344</v>
      </c>
      <c r="C334" s="41" t="s">
        <v>345</v>
      </c>
      <c r="D334" s="41" t="s">
        <v>349</v>
      </c>
      <c r="E334" s="41" t="s">
        <v>346</v>
      </c>
      <c r="F334" s="41" t="s">
        <v>345</v>
      </c>
      <c r="G334" s="41" t="s">
        <v>348</v>
      </c>
      <c r="H334" s="41" t="s">
        <v>346</v>
      </c>
      <c r="I334" s="41" t="s">
        <v>348</v>
      </c>
      <c r="J334" s="41" t="s">
        <v>344</v>
      </c>
      <c r="K334" s="41" t="s">
        <v>348</v>
      </c>
      <c r="L334" s="41" t="s">
        <v>380</v>
      </c>
      <c r="M334" s="125"/>
      <c r="N334" s="125"/>
      <c r="O334" s="125"/>
      <c r="P334" s="125"/>
    </row>
    <row r="335" spans="1:16" ht="16.5" thickBot="1">
      <c r="A335" s="42" t="s">
        <v>343</v>
      </c>
      <c r="B335" s="43">
        <v>42623.42291666667</v>
      </c>
      <c r="C335" s="43">
        <v>42684.465277777781</v>
      </c>
      <c r="D335" s="43">
        <v>42623.42291666667</v>
      </c>
      <c r="E335" s="43">
        <v>42623.42291666667</v>
      </c>
      <c r="F335" s="43">
        <v>42684.677083333336</v>
      </c>
      <c r="G335" s="43">
        <v>0.67708333333333337</v>
      </c>
      <c r="H335" s="43">
        <v>0.67708333333333337</v>
      </c>
      <c r="I335" s="43">
        <v>0.67708333333333337</v>
      </c>
      <c r="J335" s="43">
        <v>0.67708333333333337</v>
      </c>
      <c r="K335" s="43">
        <v>42623.42291666667</v>
      </c>
      <c r="L335" s="41" t="s">
        <v>380</v>
      </c>
      <c r="M335" s="125"/>
      <c r="N335" s="125"/>
      <c r="O335" s="125"/>
      <c r="P335" s="125"/>
    </row>
    <row r="336" spans="1:16" ht="17.25" thickTop="1" thickBot="1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125"/>
      <c r="N336" s="125"/>
      <c r="O336" s="125"/>
      <c r="P336" s="125"/>
    </row>
    <row r="337" spans="1:16" ht="19.5" thickTop="1" thickBot="1">
      <c r="A337" s="35" t="s">
        <v>399</v>
      </c>
      <c r="B337" s="1494" t="s">
        <v>380</v>
      </c>
      <c r="C337" s="1495"/>
      <c r="D337" s="1494" t="s">
        <v>380</v>
      </c>
      <c r="E337" s="1496"/>
      <c r="F337" s="32"/>
      <c r="G337" s="32"/>
      <c r="H337" s="32"/>
      <c r="I337" s="32"/>
      <c r="J337" s="32"/>
      <c r="K337" s="31"/>
      <c r="L337" s="31"/>
      <c r="M337" s="125"/>
      <c r="N337" s="125"/>
      <c r="O337" s="125"/>
      <c r="P337" s="125"/>
    </row>
    <row r="338" spans="1:16" ht="18.75" thickBot="1">
      <c r="A338" s="37" t="s">
        <v>400</v>
      </c>
      <c r="B338" s="1497" t="s">
        <v>380</v>
      </c>
      <c r="C338" s="1498"/>
      <c r="D338" s="1497" t="s">
        <v>380</v>
      </c>
      <c r="E338" s="1499"/>
      <c r="F338" s="31" t="s">
        <v>401</v>
      </c>
      <c r="G338" s="1500" t="s">
        <v>402</v>
      </c>
      <c r="H338" s="1500"/>
      <c r="I338" s="31" t="s">
        <v>403</v>
      </c>
      <c r="J338" s="1501">
        <f ca="1">TODAY()</f>
        <v>45944</v>
      </c>
      <c r="K338" s="1501"/>
      <c r="L338" s="1501"/>
      <c r="M338" s="125"/>
      <c r="N338" s="125"/>
      <c r="O338" s="125"/>
      <c r="P338" s="125"/>
    </row>
    <row r="339" spans="1:16" ht="18.75" thickBot="1">
      <c r="A339" s="42" t="s">
        <v>404</v>
      </c>
      <c r="B339" s="1491" t="s">
        <v>380</v>
      </c>
      <c r="C339" s="1492"/>
      <c r="D339" s="1491" t="s">
        <v>380</v>
      </c>
      <c r="E339" s="1493"/>
      <c r="F339" s="32"/>
      <c r="G339" s="31"/>
      <c r="H339" s="31" t="s">
        <v>405</v>
      </c>
      <c r="I339" s="31"/>
      <c r="J339" s="32"/>
      <c r="K339" s="31"/>
      <c r="L339" s="31"/>
      <c r="M339" s="125"/>
      <c r="N339" s="125"/>
      <c r="O339" s="125"/>
      <c r="P339" s="125"/>
    </row>
    <row r="340" spans="1:16" ht="18.75" thickTop="1">
      <c r="A340" s="32"/>
      <c r="B340" s="32"/>
      <c r="C340" s="32"/>
      <c r="D340" s="32"/>
      <c r="E340" s="32"/>
      <c r="F340" s="31"/>
      <c r="G340" s="31"/>
      <c r="H340" s="44" t="s">
        <v>406</v>
      </c>
      <c r="I340" s="31"/>
      <c r="J340" s="31"/>
      <c r="K340" s="32"/>
      <c r="L340" s="32"/>
      <c r="M340" s="125"/>
      <c r="N340" s="125"/>
      <c r="O340" s="125"/>
      <c r="P340" s="125"/>
    </row>
    <row r="341" spans="1:16" ht="18">
      <c r="A341" s="32"/>
      <c r="B341" s="32"/>
      <c r="C341" s="32"/>
      <c r="D341" s="32"/>
      <c r="E341" s="32"/>
      <c r="F341" s="31"/>
      <c r="G341" s="31"/>
      <c r="H341" s="32"/>
      <c r="I341" s="31"/>
      <c r="J341" s="32"/>
      <c r="K341" s="32"/>
      <c r="L341" s="32"/>
      <c r="M341" s="125"/>
      <c r="N341" s="125"/>
      <c r="O341" s="125"/>
      <c r="P341" s="125"/>
    </row>
    <row r="342" spans="1:16" ht="18">
      <c r="A342" s="1500" t="s">
        <v>78</v>
      </c>
      <c r="B342" s="1500"/>
      <c r="C342" s="1500"/>
      <c r="D342" s="1500"/>
      <c r="E342" s="1500"/>
      <c r="F342" s="1500"/>
      <c r="G342" s="1500"/>
      <c r="H342" s="1500"/>
      <c r="I342" s="1500"/>
      <c r="J342" s="1500"/>
      <c r="K342" s="1500"/>
      <c r="L342" s="1500"/>
      <c r="M342" s="125"/>
      <c r="N342" s="125"/>
      <c r="O342" s="125"/>
      <c r="P342" s="125"/>
    </row>
    <row r="343" spans="1:16" ht="18">
      <c r="A343" s="1500" t="s">
        <v>79</v>
      </c>
      <c r="B343" s="1500"/>
      <c r="C343" s="1500"/>
      <c r="D343" s="1500"/>
      <c r="E343" s="1500"/>
      <c r="F343" s="1500"/>
      <c r="G343" s="1500"/>
      <c r="H343" s="1500"/>
      <c r="I343" s="1500"/>
      <c r="J343" s="1500"/>
      <c r="K343" s="1500"/>
      <c r="L343" s="1500"/>
      <c r="M343" s="125"/>
      <c r="N343" s="125"/>
      <c r="O343" s="125"/>
      <c r="P343" s="125"/>
    </row>
    <row r="344" spans="1:16" ht="18">
      <c r="A344" s="30" t="s">
        <v>220</v>
      </c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125"/>
      <c r="N344" s="125"/>
      <c r="O344" s="125"/>
      <c r="P344" s="125"/>
    </row>
    <row r="345" spans="1:16" ht="18">
      <c r="A345" s="30" t="s">
        <v>361</v>
      </c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125"/>
      <c r="N345" s="125"/>
      <c r="O345" s="125"/>
      <c r="P345" s="125"/>
    </row>
    <row r="346" spans="1:16" ht="18.75" thickBo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125"/>
      <c r="N346" s="125"/>
      <c r="O346" s="125"/>
      <c r="P346" s="125"/>
    </row>
    <row r="347" spans="1:16" ht="24" thickBot="1">
      <c r="A347" s="31"/>
      <c r="B347" s="31"/>
      <c r="C347" s="1515" t="s">
        <v>362</v>
      </c>
      <c r="D347" s="1516"/>
      <c r="E347" s="1516"/>
      <c r="F347" s="1516"/>
      <c r="G347" s="1517"/>
      <c r="H347" s="1545" t="s">
        <v>4</v>
      </c>
      <c r="I347" s="1519"/>
      <c r="J347" s="31"/>
      <c r="K347" s="31"/>
      <c r="L347" s="31"/>
      <c r="M347" s="125"/>
      <c r="N347" s="126" t="str">
        <f>H347</f>
        <v>2ل أ</v>
      </c>
      <c r="O347" s="125"/>
      <c r="P347" s="125"/>
    </row>
    <row r="348" spans="1:16" ht="18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125"/>
      <c r="N348" s="125"/>
      <c r="O348" s="125"/>
      <c r="P348" s="125"/>
    </row>
    <row r="349" spans="1:16" ht="18">
      <c r="A349" s="30" t="s">
        <v>363</v>
      </c>
      <c r="B349" s="31"/>
      <c r="C349" s="1500" t="s">
        <v>305</v>
      </c>
      <c r="D349" s="1500"/>
      <c r="E349" s="1500"/>
      <c r="F349" s="31"/>
      <c r="G349" s="31" t="s">
        <v>364</v>
      </c>
      <c r="H349" s="31"/>
      <c r="I349" s="1500"/>
      <c r="J349" s="1500"/>
      <c r="K349" s="1500"/>
      <c r="L349" s="31"/>
      <c r="M349" s="125"/>
      <c r="N349" s="125"/>
      <c r="O349" s="125"/>
      <c r="P349" s="125"/>
    </row>
    <row r="350" spans="1:16" ht="18.75" thickBot="1">
      <c r="A350" s="30" t="s">
        <v>365</v>
      </c>
      <c r="B350" s="31"/>
      <c r="C350" s="31">
        <v>3</v>
      </c>
      <c r="D350" s="31"/>
      <c r="E350" s="31"/>
      <c r="F350" s="31"/>
      <c r="G350" s="31" t="s">
        <v>366</v>
      </c>
      <c r="H350" s="31"/>
      <c r="I350" s="31">
        <v>13</v>
      </c>
      <c r="J350" s="31"/>
      <c r="K350" s="31"/>
      <c r="L350" s="31"/>
      <c r="M350" s="125"/>
      <c r="N350" s="125"/>
      <c r="O350" s="125"/>
      <c r="P350" s="125"/>
    </row>
    <row r="351" spans="1:16" ht="17.25" thickTop="1" thickBot="1">
      <c r="A351" s="1542" t="s">
        <v>367</v>
      </c>
      <c r="B351" s="1543"/>
      <c r="C351" s="1543" t="s">
        <v>360</v>
      </c>
      <c r="D351" s="1543"/>
      <c r="E351" s="1543" t="s">
        <v>368</v>
      </c>
      <c r="F351" s="1543"/>
      <c r="G351" s="1543" t="s">
        <v>369</v>
      </c>
      <c r="H351" s="1543"/>
      <c r="I351" s="1543" t="s">
        <v>370</v>
      </c>
      <c r="J351" s="1543"/>
      <c r="K351" s="1543" t="s">
        <v>371</v>
      </c>
      <c r="L351" s="1544"/>
      <c r="M351" s="125"/>
      <c r="N351" s="125"/>
      <c r="O351" s="125"/>
      <c r="P351" s="125"/>
    </row>
    <row r="352" spans="1:16" ht="17.25" thickTop="1" thickBot="1">
      <c r="A352" s="1540" t="s">
        <v>372</v>
      </c>
      <c r="B352" s="1541"/>
      <c r="C352" s="1504" t="s">
        <v>422</v>
      </c>
      <c r="D352" s="1505"/>
      <c r="E352" s="1504" t="s">
        <v>290</v>
      </c>
      <c r="F352" s="1505"/>
      <c r="G352" s="1504" t="s">
        <v>384</v>
      </c>
      <c r="H352" s="1505"/>
      <c r="I352" s="1504" t="s">
        <v>385</v>
      </c>
      <c r="J352" s="1505"/>
      <c r="K352" s="1504" t="s">
        <v>385</v>
      </c>
      <c r="L352" s="1505"/>
      <c r="M352" s="125"/>
      <c r="N352" s="125"/>
      <c r="O352" s="125"/>
      <c r="P352" s="125"/>
    </row>
    <row r="353" spans="1:16" ht="17.25" thickTop="1" thickBot="1">
      <c r="A353" s="1540" t="s">
        <v>373</v>
      </c>
      <c r="B353" s="1541"/>
      <c r="C353" s="1504" t="s">
        <v>386</v>
      </c>
      <c r="D353" s="1505"/>
      <c r="E353" s="1504" t="s">
        <v>290</v>
      </c>
      <c r="F353" s="1505"/>
      <c r="G353" s="1504" t="s">
        <v>384</v>
      </c>
      <c r="H353" s="1505"/>
      <c r="I353" s="1504" t="s">
        <v>422</v>
      </c>
      <c r="J353" s="1505"/>
      <c r="K353" s="1504" t="s">
        <v>422</v>
      </c>
      <c r="L353" s="1505"/>
      <c r="M353" s="125"/>
      <c r="N353" s="125"/>
      <c r="O353" s="125"/>
      <c r="P353" s="125"/>
    </row>
    <row r="354" spans="1:16" ht="17.25" thickTop="1" thickBot="1">
      <c r="A354" s="1540" t="s">
        <v>374</v>
      </c>
      <c r="B354" s="1541"/>
      <c r="C354" s="1504" t="s">
        <v>386</v>
      </c>
      <c r="D354" s="1505"/>
      <c r="E354" s="1504" t="s">
        <v>387</v>
      </c>
      <c r="F354" s="1505"/>
      <c r="G354" s="1504" t="s">
        <v>385</v>
      </c>
      <c r="H354" s="1505"/>
      <c r="I354" s="1504" t="s">
        <v>422</v>
      </c>
      <c r="J354" s="1505"/>
      <c r="K354" s="1504" t="s">
        <v>386</v>
      </c>
      <c r="L354" s="1505"/>
      <c r="M354" s="125"/>
      <c r="N354" s="125"/>
      <c r="O354" s="125"/>
      <c r="P354" s="125"/>
    </row>
    <row r="355" spans="1:16" ht="17.25" thickTop="1" thickBot="1">
      <c r="A355" s="1536" t="s">
        <v>375</v>
      </c>
      <c r="B355" s="1537"/>
      <c r="C355" s="1504"/>
      <c r="D355" s="1505"/>
      <c r="E355" s="1504" t="s">
        <v>387</v>
      </c>
      <c r="F355" s="1505"/>
      <c r="G355" s="1504" t="s">
        <v>383</v>
      </c>
      <c r="H355" s="1505"/>
      <c r="I355" s="1504" t="s">
        <v>290</v>
      </c>
      <c r="J355" s="1505"/>
      <c r="K355" s="1504" t="s">
        <v>386</v>
      </c>
      <c r="L355" s="1505"/>
      <c r="M355" s="125"/>
      <c r="N355" s="125"/>
      <c r="O355" s="125"/>
      <c r="P355" s="125"/>
    </row>
    <row r="356" spans="1:16" ht="17.25" thickTop="1" thickBot="1">
      <c r="A356" s="32"/>
      <c r="B356" s="32"/>
      <c r="C356" s="32"/>
      <c r="D356" s="32"/>
      <c r="E356" s="32"/>
      <c r="F356" s="32"/>
      <c r="G356" s="32"/>
      <c r="H356" s="32"/>
      <c r="I356" s="45"/>
      <c r="J356" s="45"/>
      <c r="K356" s="32"/>
      <c r="L356" s="32"/>
      <c r="M356" s="125"/>
      <c r="N356" s="125"/>
      <c r="O356" s="125"/>
      <c r="P356" s="125"/>
    </row>
    <row r="357" spans="1:16" ht="17.25" thickTop="1" thickBot="1">
      <c r="A357" s="1508" t="s">
        <v>376</v>
      </c>
      <c r="B357" s="1539"/>
      <c r="C357" s="1504" t="s">
        <v>262</v>
      </c>
      <c r="D357" s="1505"/>
      <c r="E357" s="1504" t="s">
        <v>385</v>
      </c>
      <c r="F357" s="1505"/>
      <c r="G357" s="1504" t="s">
        <v>290</v>
      </c>
      <c r="H357" s="1505"/>
      <c r="I357" s="1504" t="s">
        <v>424</v>
      </c>
      <c r="J357" s="1505"/>
      <c r="K357" s="1504" t="s">
        <v>384</v>
      </c>
      <c r="L357" s="1505"/>
      <c r="M357" s="125"/>
      <c r="N357" s="125"/>
      <c r="O357" s="125"/>
      <c r="P357" s="125"/>
    </row>
    <row r="358" spans="1:16" ht="17.25" thickTop="1" thickBot="1">
      <c r="A358" s="1506" t="s">
        <v>377</v>
      </c>
      <c r="B358" s="1538"/>
      <c r="C358" s="1504" t="s">
        <v>383</v>
      </c>
      <c r="D358" s="1505"/>
      <c r="E358" s="1504" t="s">
        <v>422</v>
      </c>
      <c r="F358" s="1505"/>
      <c r="G358" s="1504" t="s">
        <v>386</v>
      </c>
      <c r="H358" s="1505"/>
      <c r="I358" s="1504" t="s">
        <v>262</v>
      </c>
      <c r="J358" s="1505"/>
      <c r="K358" s="1504" t="s">
        <v>290</v>
      </c>
      <c r="L358" s="1505"/>
      <c r="M358" s="125"/>
      <c r="N358" s="125"/>
      <c r="O358" s="125"/>
      <c r="P358" s="125"/>
    </row>
    <row r="359" spans="1:16" ht="17.25" thickTop="1" thickBot="1">
      <c r="A359" s="1506" t="s">
        <v>378</v>
      </c>
      <c r="B359" s="1538"/>
      <c r="C359" s="1504" t="s">
        <v>384</v>
      </c>
      <c r="D359" s="1505"/>
      <c r="E359" s="1504"/>
      <c r="F359" s="1505"/>
      <c r="G359" s="1504"/>
      <c r="H359" s="1505"/>
      <c r="I359" s="1504" t="s">
        <v>384</v>
      </c>
      <c r="J359" s="1505"/>
      <c r="K359" s="1504"/>
      <c r="L359" s="1505"/>
      <c r="M359" s="125"/>
      <c r="N359" s="125"/>
      <c r="O359" s="125"/>
      <c r="P359" s="125"/>
    </row>
    <row r="360" spans="1:16" ht="17.25" thickTop="1" thickBot="1">
      <c r="A360" s="1536" t="s">
        <v>379</v>
      </c>
      <c r="B360" s="1537"/>
      <c r="C360" s="1504">
        <v>0</v>
      </c>
      <c r="D360" s="1505"/>
      <c r="E360" s="1504">
        <v>0</v>
      </c>
      <c r="F360" s="1505"/>
      <c r="G360" s="1504">
        <v>0</v>
      </c>
      <c r="H360" s="1505"/>
      <c r="I360" s="1504">
        <v>0</v>
      </c>
      <c r="J360" s="1505"/>
      <c r="K360" s="1504" t="s">
        <v>380</v>
      </c>
      <c r="L360" s="1505"/>
      <c r="M360" s="125"/>
      <c r="N360" s="125"/>
      <c r="O360" s="125"/>
      <c r="P360" s="125"/>
    </row>
    <row r="361" spans="1:16" ht="17.25" thickTop="1" thickBot="1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125"/>
      <c r="N361" s="125"/>
      <c r="O361" s="125"/>
      <c r="P361" s="125"/>
    </row>
    <row r="362" spans="1:16" ht="16.5" thickTop="1">
      <c r="A362" s="35" t="s">
        <v>381</v>
      </c>
      <c r="B362" s="36" t="s">
        <v>262</v>
      </c>
      <c r="C362" s="36" t="s">
        <v>383</v>
      </c>
      <c r="D362" s="36" t="s">
        <v>384</v>
      </c>
      <c r="E362" s="36" t="s">
        <v>385</v>
      </c>
      <c r="F362" s="36" t="s">
        <v>290</v>
      </c>
      <c r="G362" s="36" t="s">
        <v>386</v>
      </c>
      <c r="H362" s="36" t="s">
        <v>422</v>
      </c>
      <c r="I362" s="36" t="s">
        <v>387</v>
      </c>
      <c r="J362" s="36" t="s">
        <v>380</v>
      </c>
      <c r="K362" s="36" t="s">
        <v>380</v>
      </c>
      <c r="L362" s="36" t="s">
        <v>380</v>
      </c>
      <c r="M362" s="125"/>
      <c r="N362" s="125"/>
      <c r="O362" s="125"/>
      <c r="P362" s="125"/>
    </row>
    <row r="363" spans="1:16" ht="15.75">
      <c r="A363" s="37" t="s">
        <v>388</v>
      </c>
      <c r="B363" s="38" t="s">
        <v>359</v>
      </c>
      <c r="C363" s="38" t="s">
        <v>359</v>
      </c>
      <c r="D363" s="38" t="s">
        <v>392</v>
      </c>
      <c r="E363" s="38" t="s">
        <v>419</v>
      </c>
      <c r="F363" s="38" t="s">
        <v>392</v>
      </c>
      <c r="G363" s="38" t="s">
        <v>392</v>
      </c>
      <c r="H363" s="38" t="s">
        <v>392</v>
      </c>
      <c r="I363" s="38" t="s">
        <v>359</v>
      </c>
      <c r="J363" s="38" t="s">
        <v>380</v>
      </c>
      <c r="K363" s="38" t="s">
        <v>380</v>
      </c>
      <c r="L363" s="38" t="s">
        <v>380</v>
      </c>
      <c r="M363" s="125"/>
      <c r="N363" s="125"/>
      <c r="O363" s="125"/>
      <c r="P363" s="125"/>
    </row>
    <row r="364" spans="1:16" ht="15.75">
      <c r="A364" s="37" t="s">
        <v>394</v>
      </c>
      <c r="B364" s="39" t="s">
        <v>427</v>
      </c>
      <c r="C364" s="39" t="s">
        <v>281</v>
      </c>
      <c r="D364" s="39" t="s">
        <v>287</v>
      </c>
      <c r="E364" s="39" t="s">
        <v>271</v>
      </c>
      <c r="F364" s="39" t="s">
        <v>291</v>
      </c>
      <c r="G364" s="39" t="s">
        <v>267</v>
      </c>
      <c r="H364" s="39" t="s">
        <v>305</v>
      </c>
      <c r="I364" s="39" t="s">
        <v>314</v>
      </c>
      <c r="J364" s="40" t="s">
        <v>380</v>
      </c>
      <c r="K364" s="40" t="s">
        <v>380</v>
      </c>
      <c r="L364" s="40" t="s">
        <v>380</v>
      </c>
      <c r="M364" s="125"/>
      <c r="N364" s="125"/>
      <c r="O364" s="125"/>
      <c r="P364" s="125"/>
    </row>
    <row r="365" spans="1:16" ht="15.75">
      <c r="A365" s="37" t="s">
        <v>397</v>
      </c>
      <c r="B365" s="41" t="s">
        <v>344</v>
      </c>
      <c r="C365" s="41" t="s">
        <v>346</v>
      </c>
      <c r="D365" s="41" t="s">
        <v>345</v>
      </c>
      <c r="E365" s="41" t="s">
        <v>348</v>
      </c>
      <c r="F365" s="41" t="s">
        <v>344</v>
      </c>
      <c r="G365" s="41" t="s">
        <v>348</v>
      </c>
      <c r="H365" s="41" t="s">
        <v>349</v>
      </c>
      <c r="I365" s="41" t="s">
        <v>348</v>
      </c>
      <c r="J365" s="41" t="s">
        <v>380</v>
      </c>
      <c r="K365" s="41" t="s">
        <v>380</v>
      </c>
      <c r="L365" s="41" t="s">
        <v>380</v>
      </c>
      <c r="M365" s="125"/>
      <c r="N365" s="125"/>
      <c r="O365" s="125"/>
      <c r="P365" s="125"/>
    </row>
    <row r="366" spans="1:16" ht="16.5" thickBot="1">
      <c r="A366" s="42" t="s">
        <v>343</v>
      </c>
      <c r="B366" s="43">
        <v>42623.42291666667</v>
      </c>
      <c r="C366" s="43">
        <v>42623.42291666667</v>
      </c>
      <c r="D366" s="43">
        <v>0.67708333333333337</v>
      </c>
      <c r="E366" s="43">
        <v>0.67708333333333337</v>
      </c>
      <c r="F366" s="43">
        <v>0.67708333333333337</v>
      </c>
      <c r="G366" s="43">
        <v>0.67708333333333337</v>
      </c>
      <c r="H366" s="43">
        <v>42684.465277777781</v>
      </c>
      <c r="I366" s="43">
        <v>42623.42291666667</v>
      </c>
      <c r="J366" s="41" t="s">
        <v>380</v>
      </c>
      <c r="K366" s="41" t="s">
        <v>380</v>
      </c>
      <c r="L366" s="41" t="s">
        <v>380</v>
      </c>
      <c r="M366" s="125"/>
      <c r="N366" s="125"/>
      <c r="O366" s="125"/>
      <c r="P366" s="125"/>
    </row>
    <row r="367" spans="1:16" ht="17.25" thickTop="1" thickBot="1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125"/>
      <c r="N367" s="125"/>
      <c r="O367" s="125"/>
      <c r="P367" s="125"/>
    </row>
    <row r="368" spans="1:16" ht="19.5" thickTop="1" thickBot="1">
      <c r="A368" s="35" t="s">
        <v>399</v>
      </c>
      <c r="B368" s="1494" t="s">
        <v>380</v>
      </c>
      <c r="C368" s="1495"/>
      <c r="D368" s="1494" t="s">
        <v>380</v>
      </c>
      <c r="E368" s="1496"/>
      <c r="F368" s="32"/>
      <c r="G368" s="32"/>
      <c r="H368" s="32"/>
      <c r="I368" s="32"/>
      <c r="J368" s="32"/>
      <c r="K368" s="31"/>
      <c r="L368" s="31"/>
      <c r="M368" s="125"/>
      <c r="N368" s="125"/>
      <c r="O368" s="125"/>
      <c r="P368" s="125"/>
    </row>
    <row r="369" spans="1:16" ht="18.75" thickBot="1">
      <c r="A369" s="37" t="s">
        <v>400</v>
      </c>
      <c r="B369" s="1497" t="s">
        <v>380</v>
      </c>
      <c r="C369" s="1498"/>
      <c r="D369" s="1497" t="s">
        <v>380</v>
      </c>
      <c r="E369" s="1499"/>
      <c r="F369" s="31" t="s">
        <v>401</v>
      </c>
      <c r="G369" s="1500" t="s">
        <v>402</v>
      </c>
      <c r="H369" s="1500"/>
      <c r="I369" s="31" t="s">
        <v>403</v>
      </c>
      <c r="J369" s="1501">
        <f ca="1">TODAY()</f>
        <v>45944</v>
      </c>
      <c r="K369" s="1501"/>
      <c r="L369" s="1501"/>
      <c r="M369" s="125"/>
      <c r="N369" s="125"/>
      <c r="O369" s="125"/>
      <c r="P369" s="125"/>
    </row>
    <row r="370" spans="1:16" ht="18.75" thickBot="1">
      <c r="A370" s="42" t="s">
        <v>404</v>
      </c>
      <c r="B370" s="1491" t="s">
        <v>380</v>
      </c>
      <c r="C370" s="1492"/>
      <c r="D370" s="1491" t="s">
        <v>380</v>
      </c>
      <c r="E370" s="1493"/>
      <c r="F370" s="32"/>
      <c r="G370" s="31"/>
      <c r="H370" s="31" t="s">
        <v>405</v>
      </c>
      <c r="I370" s="31"/>
      <c r="J370" s="32"/>
      <c r="K370" s="31"/>
      <c r="L370" s="31"/>
      <c r="M370" s="125"/>
      <c r="N370" s="125"/>
      <c r="O370" s="125"/>
      <c r="P370" s="125"/>
    </row>
    <row r="371" spans="1:16" ht="18.75" thickTop="1">
      <c r="A371" s="32"/>
      <c r="B371" s="32"/>
      <c r="C371" s="32"/>
      <c r="D371" s="32"/>
      <c r="E371" s="32"/>
      <c r="F371" s="31"/>
      <c r="G371" s="31"/>
      <c r="H371" s="44" t="s">
        <v>406</v>
      </c>
      <c r="I371" s="31"/>
      <c r="J371" s="31"/>
      <c r="K371" s="32"/>
      <c r="L371" s="32"/>
      <c r="M371" s="125"/>
      <c r="N371" s="125"/>
      <c r="O371" s="125"/>
      <c r="P371" s="125"/>
    </row>
    <row r="372" spans="1:16" ht="18">
      <c r="A372" s="32"/>
      <c r="B372" s="32"/>
      <c r="C372" s="32"/>
      <c r="D372" s="32"/>
      <c r="E372" s="32"/>
      <c r="F372" s="31"/>
      <c r="G372" s="31"/>
      <c r="H372" s="32"/>
      <c r="I372" s="31"/>
      <c r="J372" s="32"/>
      <c r="K372" s="32"/>
      <c r="L372" s="32"/>
      <c r="M372" s="125"/>
      <c r="N372" s="125"/>
      <c r="O372" s="125"/>
      <c r="P372" s="125"/>
    </row>
    <row r="373" spans="1:16" ht="18">
      <c r="A373" s="1500" t="s">
        <v>78</v>
      </c>
      <c r="B373" s="1500"/>
      <c r="C373" s="1500"/>
      <c r="D373" s="1500"/>
      <c r="E373" s="1500"/>
      <c r="F373" s="1500"/>
      <c r="G373" s="1500"/>
      <c r="H373" s="1500"/>
      <c r="I373" s="1500"/>
      <c r="J373" s="1500"/>
      <c r="K373" s="1500"/>
      <c r="L373" s="1500"/>
      <c r="M373" s="125"/>
      <c r="N373" s="125"/>
      <c r="O373" s="125"/>
      <c r="P373" s="125"/>
    </row>
    <row r="374" spans="1:16" ht="18">
      <c r="A374" s="1500" t="s">
        <v>79</v>
      </c>
      <c r="B374" s="1500"/>
      <c r="C374" s="1500"/>
      <c r="D374" s="1500"/>
      <c r="E374" s="1500"/>
      <c r="F374" s="1500"/>
      <c r="G374" s="1500"/>
      <c r="H374" s="1500"/>
      <c r="I374" s="1500"/>
      <c r="J374" s="1500"/>
      <c r="K374" s="1500"/>
      <c r="L374" s="1500"/>
      <c r="M374" s="125"/>
      <c r="N374" s="125"/>
      <c r="O374" s="125"/>
      <c r="P374" s="125"/>
    </row>
    <row r="375" spans="1:16" ht="18">
      <c r="A375" s="30" t="s">
        <v>220</v>
      </c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125"/>
      <c r="N375" s="125"/>
      <c r="O375" s="125"/>
      <c r="P375" s="125"/>
    </row>
    <row r="376" spans="1:16" ht="18">
      <c r="A376" s="30" t="s">
        <v>361</v>
      </c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125"/>
      <c r="N376" s="125"/>
      <c r="O376" s="125"/>
      <c r="P376" s="125"/>
    </row>
    <row r="377" spans="1:16" ht="18.75" thickBo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125"/>
      <c r="N377" s="125"/>
      <c r="O377" s="125"/>
      <c r="P377" s="125"/>
    </row>
    <row r="378" spans="1:16" ht="24" thickBot="1">
      <c r="A378" s="31"/>
      <c r="B378" s="31"/>
      <c r="C378" s="1515" t="s">
        <v>362</v>
      </c>
      <c r="D378" s="1516"/>
      <c r="E378" s="1516"/>
      <c r="F378" s="1516"/>
      <c r="G378" s="1517"/>
      <c r="H378" s="1545" t="s">
        <v>10</v>
      </c>
      <c r="I378" s="1519"/>
      <c r="J378" s="31"/>
      <c r="K378" s="31"/>
      <c r="L378" s="31"/>
      <c r="M378" s="125"/>
      <c r="N378" s="126" t="str">
        <f>H378</f>
        <v>1ج م ع1</v>
      </c>
      <c r="O378" s="125"/>
      <c r="P378" s="125"/>
    </row>
    <row r="379" spans="1:16" ht="18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125"/>
      <c r="N379" s="125"/>
      <c r="O379" s="125"/>
      <c r="P379" s="125"/>
    </row>
    <row r="380" spans="1:16" ht="18">
      <c r="A380" s="30" t="s">
        <v>363</v>
      </c>
      <c r="B380" s="31"/>
      <c r="C380" s="1500" t="s">
        <v>432</v>
      </c>
      <c r="D380" s="1500"/>
      <c r="E380" s="1500"/>
      <c r="F380" s="31"/>
      <c r="G380" s="31" t="s">
        <v>364</v>
      </c>
      <c r="H380" s="31"/>
      <c r="I380" s="1500"/>
      <c r="J380" s="1500"/>
      <c r="K380" s="1500"/>
      <c r="L380" s="31"/>
      <c r="M380" s="125"/>
      <c r="N380" s="125"/>
      <c r="O380" s="125"/>
      <c r="P380" s="125"/>
    </row>
    <row r="381" spans="1:16" ht="18.75" thickBot="1">
      <c r="A381" s="30" t="s">
        <v>365</v>
      </c>
      <c r="B381" s="31"/>
      <c r="C381" s="31">
        <v>5</v>
      </c>
      <c r="D381" s="31"/>
      <c r="E381" s="31"/>
      <c r="F381" s="31"/>
      <c r="G381" s="31" t="s">
        <v>366</v>
      </c>
      <c r="H381" s="31"/>
      <c r="I381" s="31">
        <v>34</v>
      </c>
      <c r="J381" s="31"/>
      <c r="K381" s="31"/>
      <c r="L381" s="31"/>
      <c r="M381" s="125"/>
      <c r="N381" s="125"/>
      <c r="O381" s="125"/>
      <c r="P381" s="125"/>
    </row>
    <row r="382" spans="1:16" ht="17.25" thickTop="1" thickBot="1">
      <c r="A382" s="1542" t="s">
        <v>367</v>
      </c>
      <c r="B382" s="1543"/>
      <c r="C382" s="1543" t="s">
        <v>360</v>
      </c>
      <c r="D382" s="1543"/>
      <c r="E382" s="1543" t="s">
        <v>368</v>
      </c>
      <c r="F382" s="1543"/>
      <c r="G382" s="1543" t="s">
        <v>369</v>
      </c>
      <c r="H382" s="1543"/>
      <c r="I382" s="1543" t="s">
        <v>370</v>
      </c>
      <c r="J382" s="1543"/>
      <c r="K382" s="1543" t="s">
        <v>371</v>
      </c>
      <c r="L382" s="1544"/>
      <c r="M382" s="125"/>
      <c r="N382" s="125"/>
      <c r="O382" s="125"/>
      <c r="P382" s="125"/>
    </row>
    <row r="383" spans="1:16" ht="17.25" thickTop="1" thickBot="1">
      <c r="A383" s="1540" t="s">
        <v>372</v>
      </c>
      <c r="B383" s="1541"/>
      <c r="C383" s="1504" t="s">
        <v>270</v>
      </c>
      <c r="D383" s="1505"/>
      <c r="E383" s="1504" t="s">
        <v>385</v>
      </c>
      <c r="F383" s="1505"/>
      <c r="G383" s="1504" t="s">
        <v>386</v>
      </c>
      <c r="H383" s="1505"/>
      <c r="I383" s="1504" t="s">
        <v>384</v>
      </c>
      <c r="J383" s="1505"/>
      <c r="K383" s="1504" t="s">
        <v>407</v>
      </c>
      <c r="L383" s="1505"/>
      <c r="M383" s="125"/>
      <c r="N383" s="125"/>
      <c r="O383" s="125"/>
      <c r="P383" s="125"/>
    </row>
    <row r="384" spans="1:16" ht="17.25" thickTop="1" thickBot="1">
      <c r="A384" s="1540" t="s">
        <v>373</v>
      </c>
      <c r="B384" s="1541"/>
      <c r="C384" s="1504" t="s">
        <v>408</v>
      </c>
      <c r="D384" s="1505"/>
      <c r="E384" s="1504" t="s">
        <v>270</v>
      </c>
      <c r="F384" s="1505"/>
      <c r="G384" s="1504" t="s">
        <v>408</v>
      </c>
      <c r="H384" s="1505"/>
      <c r="I384" s="1504" t="s">
        <v>290</v>
      </c>
      <c r="J384" s="1505"/>
      <c r="K384" s="1504" t="s">
        <v>409</v>
      </c>
      <c r="L384" s="1505"/>
      <c r="M384" s="125"/>
      <c r="N384" s="125"/>
      <c r="O384" s="125"/>
      <c r="P384" s="125"/>
    </row>
    <row r="385" spans="1:16" ht="17.25" thickTop="1" thickBot="1">
      <c r="A385" s="1540" t="s">
        <v>374</v>
      </c>
      <c r="B385" s="1541"/>
      <c r="C385" s="1504" t="s">
        <v>262</v>
      </c>
      <c r="D385" s="1505"/>
      <c r="E385" s="1504" t="s">
        <v>386</v>
      </c>
      <c r="F385" s="1505"/>
      <c r="G385" s="1504" t="s">
        <v>262</v>
      </c>
      <c r="H385" s="1505"/>
      <c r="I385" s="1504" t="s">
        <v>385</v>
      </c>
      <c r="J385" s="1505"/>
      <c r="K385" s="1504" t="s">
        <v>407</v>
      </c>
      <c r="L385" s="1505"/>
      <c r="M385" s="125"/>
      <c r="N385" s="125"/>
      <c r="O385" s="125"/>
      <c r="P385" s="125"/>
    </row>
    <row r="386" spans="1:16" ht="17.25" thickTop="1" thickBot="1">
      <c r="A386" s="1536" t="s">
        <v>375</v>
      </c>
      <c r="B386" s="1537"/>
      <c r="C386" s="1504" t="s">
        <v>262</v>
      </c>
      <c r="D386" s="1505"/>
      <c r="E386" s="1504" t="s">
        <v>262</v>
      </c>
      <c r="F386" s="1505"/>
      <c r="G386" s="1504" t="s">
        <v>262</v>
      </c>
      <c r="H386" s="1505"/>
      <c r="I386" s="1504" t="s">
        <v>308</v>
      </c>
      <c r="J386" s="1505"/>
      <c r="K386" s="1504" t="s">
        <v>409</v>
      </c>
      <c r="L386" s="1505"/>
      <c r="M386" s="125"/>
      <c r="N386" s="125"/>
      <c r="O386" s="125"/>
      <c r="P386" s="125"/>
    </row>
    <row r="387" spans="1:16" ht="17.25" thickTop="1" thickBot="1">
      <c r="A387" s="32"/>
      <c r="B387" s="32"/>
      <c r="C387" s="32"/>
      <c r="D387" s="32"/>
      <c r="E387" s="32"/>
      <c r="F387" s="32"/>
      <c r="G387" s="32"/>
      <c r="H387" s="32"/>
      <c r="I387" s="45"/>
      <c r="J387" s="45"/>
      <c r="K387" s="32"/>
      <c r="L387" s="32"/>
      <c r="M387" s="125"/>
      <c r="N387" s="125"/>
      <c r="O387" s="125"/>
      <c r="P387" s="125"/>
    </row>
    <row r="388" spans="1:16" ht="17.25" thickTop="1" thickBot="1">
      <c r="A388" s="1508" t="s">
        <v>376</v>
      </c>
      <c r="B388" s="1539"/>
      <c r="C388" s="1504" t="s">
        <v>384</v>
      </c>
      <c r="D388" s="1505"/>
      <c r="E388" s="1504" t="s">
        <v>384</v>
      </c>
      <c r="F388" s="1505"/>
      <c r="G388" s="1504" t="s">
        <v>384</v>
      </c>
      <c r="H388" s="1505"/>
      <c r="I388" s="1504" t="s">
        <v>262</v>
      </c>
      <c r="J388" s="1505"/>
      <c r="K388" s="1504" t="s">
        <v>387</v>
      </c>
      <c r="L388" s="1505"/>
      <c r="M388" s="125"/>
      <c r="N388" s="125"/>
      <c r="O388" s="125"/>
      <c r="P388" s="125"/>
    </row>
    <row r="389" spans="1:16" ht="17.25" thickTop="1" thickBot="1">
      <c r="A389" s="1506" t="s">
        <v>377</v>
      </c>
      <c r="B389" s="1538"/>
      <c r="C389" s="1504" t="s">
        <v>433</v>
      </c>
      <c r="D389" s="1505"/>
      <c r="E389" s="1504" t="s">
        <v>290</v>
      </c>
      <c r="F389" s="1505"/>
      <c r="G389" s="1504" t="s">
        <v>290</v>
      </c>
      <c r="H389" s="1505"/>
      <c r="I389" s="1504" t="s">
        <v>383</v>
      </c>
      <c r="J389" s="1505"/>
      <c r="K389" s="1504" t="s">
        <v>387</v>
      </c>
      <c r="L389" s="1505"/>
      <c r="M389" s="125"/>
      <c r="N389" s="125"/>
      <c r="O389" s="125"/>
      <c r="P389" s="125"/>
    </row>
    <row r="390" spans="1:16" ht="17.25" thickTop="1" thickBot="1">
      <c r="A390" s="1506" t="s">
        <v>378</v>
      </c>
      <c r="B390" s="1538"/>
      <c r="C390" s="1504" t="s">
        <v>434</v>
      </c>
      <c r="D390" s="1505"/>
      <c r="E390" s="1504"/>
      <c r="F390" s="1505"/>
      <c r="G390" s="1504" t="s">
        <v>352</v>
      </c>
      <c r="H390" s="1505"/>
      <c r="I390" s="1504" t="s">
        <v>386</v>
      </c>
      <c r="J390" s="1505"/>
      <c r="K390" s="1504"/>
      <c r="L390" s="1505"/>
      <c r="M390" s="125"/>
      <c r="N390" s="125"/>
      <c r="O390" s="125"/>
      <c r="P390" s="125"/>
    </row>
    <row r="391" spans="1:16" ht="17.25" thickTop="1" thickBot="1">
      <c r="A391" s="1536" t="s">
        <v>379</v>
      </c>
      <c r="B391" s="1537"/>
      <c r="C391" s="1504">
        <v>0</v>
      </c>
      <c r="D391" s="1505"/>
      <c r="E391" s="1504">
        <v>0</v>
      </c>
      <c r="F391" s="1505"/>
      <c r="G391" s="1504">
        <v>0</v>
      </c>
      <c r="H391" s="1505"/>
      <c r="I391" s="1504">
        <v>0</v>
      </c>
      <c r="J391" s="1505"/>
      <c r="K391" s="1504" t="s">
        <v>380</v>
      </c>
      <c r="L391" s="1505"/>
      <c r="M391" s="125"/>
      <c r="N391" s="125"/>
      <c r="O391" s="125"/>
      <c r="P391" s="125"/>
    </row>
    <row r="392" spans="1:16" ht="17.25" thickTop="1" thickBot="1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125"/>
      <c r="N392" s="125"/>
      <c r="O392" s="125"/>
      <c r="P392" s="125"/>
    </row>
    <row r="393" spans="1:16" ht="16.5" thickTop="1">
      <c r="A393" s="35" t="s">
        <v>381</v>
      </c>
      <c r="B393" s="36" t="s">
        <v>262</v>
      </c>
      <c r="C393" s="36" t="s">
        <v>270</v>
      </c>
      <c r="D393" s="36" t="s">
        <v>408</v>
      </c>
      <c r="E393" s="36" t="s">
        <v>383</v>
      </c>
      <c r="F393" s="36" t="s">
        <v>384</v>
      </c>
      <c r="G393" s="36" t="s">
        <v>385</v>
      </c>
      <c r="H393" s="36" t="s">
        <v>290</v>
      </c>
      <c r="I393" s="36" t="s">
        <v>386</v>
      </c>
      <c r="J393" s="36" t="s">
        <v>435</v>
      </c>
      <c r="K393" s="36" t="s">
        <v>308</v>
      </c>
      <c r="L393" s="36" t="s">
        <v>387</v>
      </c>
      <c r="M393" s="125"/>
      <c r="N393" s="125"/>
      <c r="O393" s="125"/>
      <c r="P393" s="125"/>
    </row>
    <row r="394" spans="1:16" ht="15.75">
      <c r="A394" s="37" t="s">
        <v>388</v>
      </c>
      <c r="B394" s="38" t="s">
        <v>420</v>
      </c>
      <c r="C394" s="38" t="s">
        <v>436</v>
      </c>
      <c r="D394" s="38" t="s">
        <v>436</v>
      </c>
      <c r="E394" s="38" t="s">
        <v>357</v>
      </c>
      <c r="F394" s="38" t="s">
        <v>419</v>
      </c>
      <c r="G394" s="38" t="s">
        <v>359</v>
      </c>
      <c r="H394" s="38" t="s">
        <v>393</v>
      </c>
      <c r="I394" s="38" t="s">
        <v>393</v>
      </c>
      <c r="J394" s="38" t="s">
        <v>391</v>
      </c>
      <c r="K394" s="38" t="s">
        <v>391</v>
      </c>
      <c r="L394" s="38" t="s">
        <v>359</v>
      </c>
      <c r="M394" s="125"/>
      <c r="N394" s="125"/>
      <c r="O394" s="125"/>
      <c r="P394" s="125"/>
    </row>
    <row r="395" spans="1:16" ht="15.75">
      <c r="A395" s="37" t="s">
        <v>394</v>
      </c>
      <c r="B395" s="39" t="s">
        <v>274</v>
      </c>
      <c r="C395" s="39" t="s">
        <v>273</v>
      </c>
      <c r="D395" s="39" t="s">
        <v>280</v>
      </c>
      <c r="E395" s="39" t="s">
        <v>281</v>
      </c>
      <c r="F395" s="39" t="s">
        <v>286</v>
      </c>
      <c r="G395" s="39" t="s">
        <v>289</v>
      </c>
      <c r="H395" s="39" t="s">
        <v>291</v>
      </c>
      <c r="I395" s="39" t="s">
        <v>267</v>
      </c>
      <c r="J395" s="39" t="s">
        <v>432</v>
      </c>
      <c r="K395" s="39" t="s">
        <v>309</v>
      </c>
      <c r="L395" s="39" t="s">
        <v>314</v>
      </c>
      <c r="M395" s="125"/>
      <c r="N395" s="125"/>
      <c r="O395" s="125"/>
      <c r="P395" s="125"/>
    </row>
    <row r="396" spans="1:16" ht="15.75">
      <c r="A396" s="37" t="s">
        <v>397</v>
      </c>
      <c r="B396" s="41" t="s">
        <v>345</v>
      </c>
      <c r="C396" s="41" t="s">
        <v>345</v>
      </c>
      <c r="D396" s="41" t="s">
        <v>346</v>
      </c>
      <c r="E396" s="41" t="s">
        <v>346</v>
      </c>
      <c r="F396" s="41" t="s">
        <v>346</v>
      </c>
      <c r="G396" s="41" t="s">
        <v>346</v>
      </c>
      <c r="H396" s="41" t="s">
        <v>344</v>
      </c>
      <c r="I396" s="41" t="s">
        <v>348</v>
      </c>
      <c r="J396" s="41" t="s">
        <v>348</v>
      </c>
      <c r="K396" s="41" t="s">
        <v>345</v>
      </c>
      <c r="L396" s="41" t="s">
        <v>348</v>
      </c>
      <c r="M396" s="125"/>
      <c r="N396" s="125"/>
      <c r="O396" s="125"/>
      <c r="P396" s="125"/>
    </row>
    <row r="397" spans="1:16" ht="16.5" thickBot="1">
      <c r="A397" s="42" t="s">
        <v>343</v>
      </c>
      <c r="B397" s="43">
        <v>0.67708333333333337</v>
      </c>
      <c r="C397" s="43">
        <v>42684.465277777781</v>
      </c>
      <c r="D397" s="43">
        <v>42684.465277777781</v>
      </c>
      <c r="E397" s="43">
        <v>42623.42291666667</v>
      </c>
      <c r="F397" s="43">
        <v>42684.507638888892</v>
      </c>
      <c r="G397" s="43">
        <v>0.67708333333333337</v>
      </c>
      <c r="H397" s="43">
        <v>0.67708333333333337</v>
      </c>
      <c r="I397" s="43">
        <v>0.67708333333333337</v>
      </c>
      <c r="J397" s="43">
        <v>42623.42291666667</v>
      </c>
      <c r="K397" s="43">
        <v>42684.465277777781</v>
      </c>
      <c r="L397" s="43">
        <v>42623.42291666667</v>
      </c>
      <c r="M397" s="125"/>
      <c r="N397" s="125"/>
      <c r="O397" s="125"/>
      <c r="P397" s="125"/>
    </row>
    <row r="398" spans="1:16" ht="17.25" thickTop="1" thickBot="1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125"/>
      <c r="N398" s="125"/>
      <c r="O398" s="125"/>
      <c r="P398" s="125"/>
    </row>
    <row r="399" spans="1:16" ht="19.5" thickTop="1" thickBot="1">
      <c r="A399" s="35" t="s">
        <v>399</v>
      </c>
      <c r="B399" s="1494" t="s">
        <v>380</v>
      </c>
      <c r="C399" s="1495"/>
      <c r="D399" s="1494" t="s">
        <v>380</v>
      </c>
      <c r="E399" s="1496"/>
      <c r="F399" s="32"/>
      <c r="G399" s="32"/>
      <c r="H399" s="32"/>
      <c r="I399" s="32"/>
      <c r="J399" s="32"/>
      <c r="K399" s="31"/>
      <c r="L399" s="31"/>
      <c r="M399" s="125"/>
      <c r="N399" s="125"/>
      <c r="O399" s="125"/>
      <c r="P399" s="125"/>
    </row>
    <row r="400" spans="1:16" ht="18.75" thickBot="1">
      <c r="A400" s="37" t="s">
        <v>400</v>
      </c>
      <c r="B400" s="1497" t="s">
        <v>309</v>
      </c>
      <c r="C400" s="1498"/>
      <c r="D400" s="1497" t="s">
        <v>425</v>
      </c>
      <c r="E400" s="1499"/>
      <c r="F400" s="31" t="s">
        <v>401</v>
      </c>
      <c r="G400" s="1500" t="s">
        <v>402</v>
      </c>
      <c r="H400" s="1500"/>
      <c r="I400" s="31" t="s">
        <v>403</v>
      </c>
      <c r="J400" s="1501">
        <f ca="1">TODAY()</f>
        <v>45944</v>
      </c>
      <c r="K400" s="1501"/>
      <c r="L400" s="1501"/>
      <c r="M400" s="125"/>
      <c r="N400" s="125"/>
      <c r="O400" s="125"/>
      <c r="P400" s="125"/>
    </row>
    <row r="401" spans="1:16" ht="18.75" thickBot="1">
      <c r="A401" s="42" t="s">
        <v>404</v>
      </c>
      <c r="B401" s="1491" t="s">
        <v>380</v>
      </c>
      <c r="C401" s="1492"/>
      <c r="D401" s="1491" t="s">
        <v>380</v>
      </c>
      <c r="E401" s="1493"/>
      <c r="F401" s="32"/>
      <c r="G401" s="31"/>
      <c r="H401" s="31" t="s">
        <v>405</v>
      </c>
      <c r="I401" s="31"/>
      <c r="J401" s="32"/>
      <c r="K401" s="31"/>
      <c r="L401" s="31"/>
      <c r="M401" s="125"/>
      <c r="N401" s="125"/>
      <c r="O401" s="125"/>
      <c r="P401" s="125"/>
    </row>
    <row r="402" spans="1:16" ht="18.75" thickTop="1">
      <c r="A402" s="32"/>
      <c r="B402" s="32"/>
      <c r="C402" s="32"/>
      <c r="D402" s="32"/>
      <c r="E402" s="32"/>
      <c r="F402" s="31"/>
      <c r="G402" s="31"/>
      <c r="H402" s="44" t="s">
        <v>406</v>
      </c>
      <c r="I402" s="31"/>
      <c r="J402" s="31"/>
      <c r="K402" s="32"/>
      <c r="L402" s="32"/>
      <c r="M402" s="125"/>
      <c r="N402" s="125"/>
      <c r="O402" s="125"/>
      <c r="P402" s="125"/>
    </row>
    <row r="403" spans="1:16" ht="18">
      <c r="A403" s="32"/>
      <c r="B403" s="32"/>
      <c r="C403" s="32"/>
      <c r="D403" s="32"/>
      <c r="E403" s="32"/>
      <c r="F403" s="31"/>
      <c r="G403" s="31"/>
      <c r="H403" s="32"/>
      <c r="I403" s="31"/>
      <c r="J403" s="32"/>
      <c r="K403" s="32"/>
      <c r="L403" s="32"/>
      <c r="M403" s="125"/>
      <c r="N403" s="125"/>
      <c r="O403" s="125"/>
      <c r="P403" s="125"/>
    </row>
    <row r="404" spans="1:16" ht="18">
      <c r="A404" s="1500" t="s">
        <v>78</v>
      </c>
      <c r="B404" s="1500"/>
      <c r="C404" s="1500"/>
      <c r="D404" s="1500"/>
      <c r="E404" s="1500"/>
      <c r="F404" s="1500"/>
      <c r="G404" s="1500"/>
      <c r="H404" s="1500"/>
      <c r="I404" s="1500"/>
      <c r="J404" s="1500"/>
      <c r="K404" s="1500"/>
      <c r="L404" s="1500"/>
      <c r="M404" s="125"/>
      <c r="N404" s="125"/>
      <c r="O404" s="125"/>
      <c r="P404" s="125"/>
    </row>
    <row r="405" spans="1:16" ht="18">
      <c r="A405" s="1500" t="s">
        <v>79</v>
      </c>
      <c r="B405" s="1500"/>
      <c r="C405" s="1500"/>
      <c r="D405" s="1500"/>
      <c r="E405" s="1500"/>
      <c r="F405" s="1500"/>
      <c r="G405" s="1500"/>
      <c r="H405" s="1500"/>
      <c r="I405" s="1500"/>
      <c r="J405" s="1500"/>
      <c r="K405" s="1500"/>
      <c r="L405" s="1500"/>
      <c r="M405" s="125"/>
      <c r="N405" s="125"/>
      <c r="O405" s="125"/>
      <c r="P405" s="125"/>
    </row>
    <row r="406" spans="1:16" ht="18">
      <c r="A406" s="30" t="s">
        <v>220</v>
      </c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125"/>
      <c r="N406" s="125"/>
      <c r="O406" s="125"/>
      <c r="P406" s="125"/>
    </row>
    <row r="407" spans="1:16" ht="18">
      <c r="A407" s="30" t="s">
        <v>361</v>
      </c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125"/>
      <c r="N407" s="125"/>
      <c r="O407" s="125"/>
      <c r="P407" s="125"/>
    </row>
    <row r="408" spans="1:16" ht="18.75" thickBo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125"/>
      <c r="N408" s="125"/>
      <c r="O408" s="125"/>
      <c r="P408" s="125"/>
    </row>
    <row r="409" spans="1:16" ht="24" thickBot="1">
      <c r="A409" s="31"/>
      <c r="B409" s="31"/>
      <c r="C409" s="1515" t="s">
        <v>362</v>
      </c>
      <c r="D409" s="1516"/>
      <c r="E409" s="1516"/>
      <c r="F409" s="1516"/>
      <c r="G409" s="1517"/>
      <c r="H409" s="1545" t="s">
        <v>11</v>
      </c>
      <c r="I409" s="1519"/>
      <c r="J409" s="31"/>
      <c r="K409" s="31"/>
      <c r="L409" s="31"/>
      <c r="M409" s="125"/>
      <c r="N409" s="126" t="str">
        <f>H409</f>
        <v>1ج م ع2</v>
      </c>
      <c r="O409" s="125"/>
      <c r="P409" s="125"/>
    </row>
    <row r="410" spans="1:16" ht="18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125"/>
      <c r="N410" s="125"/>
      <c r="O410" s="125"/>
      <c r="P410" s="125"/>
    </row>
    <row r="411" spans="1:16" ht="18">
      <c r="A411" s="30" t="s">
        <v>363</v>
      </c>
      <c r="B411" s="31"/>
      <c r="C411" s="1500" t="s">
        <v>292</v>
      </c>
      <c r="D411" s="1500"/>
      <c r="E411" s="1500"/>
      <c r="F411" s="31"/>
      <c r="G411" s="31" t="s">
        <v>364</v>
      </c>
      <c r="H411" s="31"/>
      <c r="I411" s="1500"/>
      <c r="J411" s="1500"/>
      <c r="K411" s="1500"/>
      <c r="L411" s="31"/>
      <c r="M411" s="125"/>
      <c r="N411" s="125"/>
      <c r="O411" s="125"/>
      <c r="P411" s="125"/>
    </row>
    <row r="412" spans="1:16" ht="18.75" thickBot="1">
      <c r="A412" s="30" t="s">
        <v>365</v>
      </c>
      <c r="B412" s="31"/>
      <c r="C412" s="31">
        <v>6</v>
      </c>
      <c r="D412" s="31"/>
      <c r="E412" s="31"/>
      <c r="F412" s="31"/>
      <c r="G412" s="31" t="s">
        <v>366</v>
      </c>
      <c r="H412" s="31"/>
      <c r="I412" s="31">
        <v>35</v>
      </c>
      <c r="J412" s="31"/>
      <c r="K412" s="31"/>
      <c r="L412" s="31"/>
      <c r="M412" s="125"/>
      <c r="N412" s="125"/>
      <c r="O412" s="125"/>
      <c r="P412" s="125"/>
    </row>
    <row r="413" spans="1:16" ht="17.25" thickTop="1" thickBot="1">
      <c r="A413" s="1542" t="s">
        <v>367</v>
      </c>
      <c r="B413" s="1543"/>
      <c r="C413" s="1543" t="s">
        <v>360</v>
      </c>
      <c r="D413" s="1543"/>
      <c r="E413" s="1543" t="s">
        <v>368</v>
      </c>
      <c r="F413" s="1543"/>
      <c r="G413" s="1543" t="s">
        <v>369</v>
      </c>
      <c r="H413" s="1543"/>
      <c r="I413" s="1543" t="s">
        <v>370</v>
      </c>
      <c r="J413" s="1543"/>
      <c r="K413" s="1543" t="s">
        <v>371</v>
      </c>
      <c r="L413" s="1544"/>
      <c r="M413" s="125"/>
      <c r="N413" s="125"/>
      <c r="O413" s="125"/>
      <c r="P413" s="125"/>
    </row>
    <row r="414" spans="1:16" ht="17.25" thickTop="1" thickBot="1">
      <c r="A414" s="1540" t="s">
        <v>372</v>
      </c>
      <c r="B414" s="1541"/>
      <c r="C414" s="1504" t="s">
        <v>407</v>
      </c>
      <c r="D414" s="1505"/>
      <c r="E414" s="1504" t="s">
        <v>408</v>
      </c>
      <c r="F414" s="1505"/>
      <c r="G414" s="1504" t="s">
        <v>270</v>
      </c>
      <c r="H414" s="1505"/>
      <c r="I414" s="1504" t="s">
        <v>262</v>
      </c>
      <c r="J414" s="1505"/>
      <c r="K414" s="1504" t="s">
        <v>408</v>
      </c>
      <c r="L414" s="1505"/>
      <c r="M414" s="125"/>
      <c r="N414" s="125"/>
      <c r="O414" s="125"/>
      <c r="P414" s="125"/>
    </row>
    <row r="415" spans="1:16" ht="17.25" thickTop="1" thickBot="1">
      <c r="A415" s="1540" t="s">
        <v>373</v>
      </c>
      <c r="B415" s="1541"/>
      <c r="C415" s="1504" t="s">
        <v>409</v>
      </c>
      <c r="D415" s="1505"/>
      <c r="E415" s="1504" t="s">
        <v>385</v>
      </c>
      <c r="F415" s="1505"/>
      <c r="G415" s="1504" t="s">
        <v>384</v>
      </c>
      <c r="H415" s="1505"/>
      <c r="I415" s="1504" t="s">
        <v>384</v>
      </c>
      <c r="J415" s="1505"/>
      <c r="K415" s="1504" t="s">
        <v>290</v>
      </c>
      <c r="L415" s="1505"/>
      <c r="M415" s="125"/>
      <c r="N415" s="125"/>
      <c r="O415" s="125"/>
      <c r="P415" s="125"/>
    </row>
    <row r="416" spans="1:16" ht="17.25" thickTop="1" thickBot="1">
      <c r="A416" s="1540" t="s">
        <v>374</v>
      </c>
      <c r="B416" s="1541"/>
      <c r="C416" s="1504" t="s">
        <v>407</v>
      </c>
      <c r="D416" s="1505"/>
      <c r="E416" s="1504" t="s">
        <v>262</v>
      </c>
      <c r="F416" s="1505"/>
      <c r="G416" s="1504" t="s">
        <v>262</v>
      </c>
      <c r="H416" s="1505"/>
      <c r="I416" s="1504" t="s">
        <v>383</v>
      </c>
      <c r="J416" s="1505"/>
      <c r="K416" s="1504" t="s">
        <v>384</v>
      </c>
      <c r="L416" s="1505"/>
      <c r="M416" s="125"/>
      <c r="N416" s="125"/>
      <c r="O416" s="125"/>
      <c r="P416" s="125"/>
    </row>
    <row r="417" spans="1:16" ht="17.25" thickTop="1" thickBot="1">
      <c r="A417" s="1502" t="s">
        <v>375</v>
      </c>
      <c r="B417" s="1520"/>
      <c r="C417" s="1504" t="s">
        <v>409</v>
      </c>
      <c r="D417" s="1505"/>
      <c r="E417" s="1504" t="s">
        <v>262</v>
      </c>
      <c r="F417" s="1505"/>
      <c r="G417" s="1504" t="s">
        <v>262</v>
      </c>
      <c r="H417" s="1505"/>
      <c r="I417" s="1504" t="s">
        <v>308</v>
      </c>
      <c r="J417" s="1505"/>
      <c r="K417" s="1504" t="s">
        <v>270</v>
      </c>
      <c r="L417" s="1505"/>
      <c r="M417" s="125"/>
      <c r="N417" s="125"/>
      <c r="O417" s="125"/>
      <c r="P417" s="125"/>
    </row>
    <row r="418" spans="1:16" ht="17.25" thickTop="1" thickBot="1">
      <c r="A418" s="32"/>
      <c r="B418" s="32"/>
      <c r="C418" s="32"/>
      <c r="D418" s="32"/>
      <c r="E418" s="32"/>
      <c r="F418" s="32"/>
      <c r="G418" s="32"/>
      <c r="H418" s="32"/>
      <c r="I418" s="45"/>
      <c r="J418" s="45"/>
      <c r="K418" s="32"/>
      <c r="L418" s="32"/>
      <c r="M418" s="125"/>
      <c r="N418" s="125"/>
      <c r="O418" s="125"/>
      <c r="P418" s="125"/>
    </row>
    <row r="419" spans="1:16" ht="17.25" thickTop="1" thickBot="1">
      <c r="A419" s="1508" t="s">
        <v>376</v>
      </c>
      <c r="B419" s="1539"/>
      <c r="C419" s="1504" t="s">
        <v>352</v>
      </c>
      <c r="D419" s="1505"/>
      <c r="E419" s="1504" t="s">
        <v>384</v>
      </c>
      <c r="F419" s="1505"/>
      <c r="G419" s="1504" t="s">
        <v>386</v>
      </c>
      <c r="H419" s="1505"/>
      <c r="I419" s="1504" t="s">
        <v>386</v>
      </c>
      <c r="J419" s="1505"/>
      <c r="K419" s="1504" t="s">
        <v>387</v>
      </c>
      <c r="L419" s="1505"/>
      <c r="M419" s="125"/>
      <c r="N419" s="125"/>
      <c r="O419" s="125"/>
      <c r="P419" s="125"/>
    </row>
    <row r="420" spans="1:16" ht="17.25" thickTop="1" thickBot="1">
      <c r="A420" s="1506" t="s">
        <v>377</v>
      </c>
      <c r="B420" s="1538"/>
      <c r="C420" s="1504" t="s">
        <v>386</v>
      </c>
      <c r="D420" s="1505"/>
      <c r="E420" s="1504" t="s">
        <v>433</v>
      </c>
      <c r="F420" s="1505"/>
      <c r="G420" s="1504" t="s">
        <v>290</v>
      </c>
      <c r="H420" s="1505"/>
      <c r="I420" s="1504" t="s">
        <v>290</v>
      </c>
      <c r="J420" s="1505"/>
      <c r="K420" s="1504" t="s">
        <v>387</v>
      </c>
      <c r="L420" s="1505"/>
      <c r="M420" s="125"/>
      <c r="N420" s="125"/>
      <c r="O420" s="125"/>
      <c r="P420" s="125"/>
    </row>
    <row r="421" spans="1:16" ht="17.25" thickTop="1" thickBot="1">
      <c r="A421" s="1506" t="s">
        <v>378</v>
      </c>
      <c r="B421" s="1538"/>
      <c r="C421" s="1504" t="s">
        <v>262</v>
      </c>
      <c r="D421" s="1505"/>
      <c r="E421" s="1504" t="s">
        <v>434</v>
      </c>
      <c r="F421" s="1505"/>
      <c r="G421" s="1504" t="s">
        <v>385</v>
      </c>
      <c r="H421" s="1505"/>
      <c r="I421" s="1504"/>
      <c r="J421" s="1505"/>
      <c r="K421" s="1504"/>
      <c r="L421" s="1505"/>
      <c r="M421" s="125"/>
      <c r="N421" s="125"/>
      <c r="O421" s="125"/>
      <c r="P421" s="125"/>
    </row>
    <row r="422" spans="1:16" ht="17.25" thickTop="1" thickBot="1">
      <c r="A422" s="1536" t="s">
        <v>379</v>
      </c>
      <c r="B422" s="1537"/>
      <c r="C422" s="1504">
        <v>0</v>
      </c>
      <c r="D422" s="1505"/>
      <c r="E422" s="1504">
        <v>0</v>
      </c>
      <c r="F422" s="1505"/>
      <c r="G422" s="1504">
        <v>0</v>
      </c>
      <c r="H422" s="1505"/>
      <c r="I422" s="1504">
        <v>0</v>
      </c>
      <c r="J422" s="1505"/>
      <c r="K422" s="1504" t="s">
        <v>380</v>
      </c>
      <c r="L422" s="1505"/>
      <c r="M422" s="125"/>
      <c r="N422" s="125"/>
      <c r="O422" s="125"/>
      <c r="P422" s="125"/>
    </row>
    <row r="423" spans="1:16" ht="17.25" thickTop="1" thickBot="1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125"/>
      <c r="N423" s="125"/>
      <c r="O423" s="125"/>
      <c r="P423" s="125"/>
    </row>
    <row r="424" spans="1:16" ht="16.5" thickTop="1">
      <c r="A424" s="35" t="s">
        <v>381</v>
      </c>
      <c r="B424" s="36" t="s">
        <v>262</v>
      </c>
      <c r="C424" s="36" t="s">
        <v>270</v>
      </c>
      <c r="D424" s="36" t="s">
        <v>408</v>
      </c>
      <c r="E424" s="36" t="s">
        <v>383</v>
      </c>
      <c r="F424" s="36" t="s">
        <v>384</v>
      </c>
      <c r="G424" s="36" t="s">
        <v>385</v>
      </c>
      <c r="H424" s="36" t="s">
        <v>290</v>
      </c>
      <c r="I424" s="36" t="s">
        <v>386</v>
      </c>
      <c r="J424" s="36" t="s">
        <v>435</v>
      </c>
      <c r="K424" s="36" t="s">
        <v>308</v>
      </c>
      <c r="L424" s="36" t="s">
        <v>387</v>
      </c>
      <c r="M424" s="125"/>
      <c r="N424" s="125"/>
      <c r="O424" s="125"/>
      <c r="P424" s="125"/>
    </row>
    <row r="425" spans="1:16" ht="15.75">
      <c r="A425" s="37" t="s">
        <v>388</v>
      </c>
      <c r="B425" s="38" t="s">
        <v>420</v>
      </c>
      <c r="C425" s="38" t="s">
        <v>436</v>
      </c>
      <c r="D425" s="38" t="s">
        <v>436</v>
      </c>
      <c r="E425" s="38" t="s">
        <v>357</v>
      </c>
      <c r="F425" s="38" t="s">
        <v>419</v>
      </c>
      <c r="G425" s="38" t="s">
        <v>359</v>
      </c>
      <c r="H425" s="38" t="s">
        <v>393</v>
      </c>
      <c r="I425" s="38" t="s">
        <v>393</v>
      </c>
      <c r="J425" s="38" t="s">
        <v>391</v>
      </c>
      <c r="K425" s="38" t="s">
        <v>391</v>
      </c>
      <c r="L425" s="38" t="s">
        <v>359</v>
      </c>
      <c r="M425" s="125"/>
      <c r="N425" s="125"/>
      <c r="O425" s="125"/>
      <c r="P425" s="125"/>
    </row>
    <row r="426" spans="1:16" ht="15.75">
      <c r="A426" s="37" t="s">
        <v>394</v>
      </c>
      <c r="B426" s="39" t="s">
        <v>427</v>
      </c>
      <c r="C426" s="39" t="s">
        <v>411</v>
      </c>
      <c r="D426" s="39" t="s">
        <v>428</v>
      </c>
      <c r="E426" s="39" t="s">
        <v>281</v>
      </c>
      <c r="F426" s="39" t="s">
        <v>284</v>
      </c>
      <c r="G426" s="39" t="s">
        <v>426</v>
      </c>
      <c r="H426" s="39" t="s">
        <v>292</v>
      </c>
      <c r="I426" s="39" t="s">
        <v>267</v>
      </c>
      <c r="J426" s="39" t="s">
        <v>432</v>
      </c>
      <c r="K426" s="39" t="s">
        <v>437</v>
      </c>
      <c r="L426" s="39" t="s">
        <v>313</v>
      </c>
      <c r="M426" s="125"/>
      <c r="N426" s="125"/>
      <c r="O426" s="125"/>
      <c r="P426" s="125"/>
    </row>
    <row r="427" spans="1:16" ht="15.75">
      <c r="A427" s="37" t="s">
        <v>397</v>
      </c>
      <c r="B427" s="41" t="s">
        <v>344</v>
      </c>
      <c r="C427" s="41" t="s">
        <v>349</v>
      </c>
      <c r="D427" s="41" t="s">
        <v>344</v>
      </c>
      <c r="E427" s="41" t="s">
        <v>346</v>
      </c>
      <c r="F427" s="41" t="s">
        <v>345</v>
      </c>
      <c r="G427" s="41" t="s">
        <v>346</v>
      </c>
      <c r="H427" s="41" t="s">
        <v>345</v>
      </c>
      <c r="I427" s="41" t="s">
        <v>348</v>
      </c>
      <c r="J427" s="41" t="s">
        <v>348</v>
      </c>
      <c r="K427" s="41" t="s">
        <v>345</v>
      </c>
      <c r="L427" s="41" t="s">
        <v>348</v>
      </c>
      <c r="M427" s="125"/>
      <c r="N427" s="125"/>
      <c r="O427" s="125"/>
      <c r="P427" s="125"/>
    </row>
    <row r="428" spans="1:16" ht="16.5" thickBot="1">
      <c r="A428" s="42" t="s">
        <v>343</v>
      </c>
      <c r="B428" s="43">
        <v>42623.42291666667</v>
      </c>
      <c r="C428" s="43">
        <v>42684.465277777781</v>
      </c>
      <c r="D428" s="43">
        <v>42684.465277777781</v>
      </c>
      <c r="E428" s="43">
        <v>42623.42291666667</v>
      </c>
      <c r="F428" s="43">
        <v>0.67708333333333337</v>
      </c>
      <c r="G428" s="43">
        <v>0.67708333333333337</v>
      </c>
      <c r="H428" s="43">
        <v>0.67708333333333337</v>
      </c>
      <c r="I428" s="43">
        <v>0.67708333333333337</v>
      </c>
      <c r="J428" s="43">
        <v>42623.42291666667</v>
      </c>
      <c r="K428" s="43">
        <v>42684.465277777781</v>
      </c>
      <c r="L428" s="43">
        <v>42623.42291666667</v>
      </c>
      <c r="M428" s="125"/>
      <c r="N428" s="125"/>
      <c r="O428" s="125"/>
      <c r="P428" s="125"/>
    </row>
    <row r="429" spans="1:16" ht="17.25" thickTop="1" thickBot="1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125"/>
      <c r="N429" s="125"/>
      <c r="O429" s="125"/>
      <c r="P429" s="125"/>
    </row>
    <row r="430" spans="1:16" ht="19.5" thickTop="1" thickBot="1">
      <c r="A430" s="35" t="s">
        <v>399</v>
      </c>
      <c r="B430" s="1494" t="s">
        <v>309</v>
      </c>
      <c r="C430" s="1495"/>
      <c r="D430" s="1494" t="s">
        <v>425</v>
      </c>
      <c r="E430" s="1496"/>
      <c r="F430" s="32"/>
      <c r="G430" s="32"/>
      <c r="H430" s="32"/>
      <c r="I430" s="32"/>
      <c r="J430" s="32"/>
      <c r="K430" s="31"/>
      <c r="L430" s="31"/>
      <c r="M430" s="125"/>
      <c r="N430" s="125"/>
      <c r="O430" s="125"/>
      <c r="P430" s="125"/>
    </row>
    <row r="431" spans="1:16" ht="18.75" thickBot="1">
      <c r="A431" s="37" t="s">
        <v>400</v>
      </c>
      <c r="B431" s="1497" t="s">
        <v>380</v>
      </c>
      <c r="C431" s="1498"/>
      <c r="D431" s="1497" t="s">
        <v>380</v>
      </c>
      <c r="E431" s="1499"/>
      <c r="F431" s="31" t="s">
        <v>401</v>
      </c>
      <c r="G431" s="1500" t="s">
        <v>402</v>
      </c>
      <c r="H431" s="1500"/>
      <c r="I431" s="31" t="s">
        <v>403</v>
      </c>
      <c r="J431" s="1501">
        <f ca="1">TODAY()</f>
        <v>45944</v>
      </c>
      <c r="K431" s="1501"/>
      <c r="L431" s="1501"/>
      <c r="M431" s="125"/>
      <c r="N431" s="125"/>
      <c r="O431" s="125"/>
      <c r="P431" s="125"/>
    </row>
    <row r="432" spans="1:16" ht="18.75" thickBot="1">
      <c r="A432" s="42" t="s">
        <v>404</v>
      </c>
      <c r="B432" s="1491" t="s">
        <v>380</v>
      </c>
      <c r="C432" s="1492"/>
      <c r="D432" s="1491" t="s">
        <v>380</v>
      </c>
      <c r="E432" s="1493"/>
      <c r="F432" s="32"/>
      <c r="G432" s="31"/>
      <c r="H432" s="31" t="s">
        <v>405</v>
      </c>
      <c r="I432" s="31"/>
      <c r="J432" s="32"/>
      <c r="K432" s="31"/>
      <c r="L432" s="31"/>
      <c r="M432" s="125"/>
      <c r="N432" s="125"/>
      <c r="O432" s="125"/>
      <c r="P432" s="125"/>
    </row>
    <row r="433" spans="1:16" ht="18.75" thickTop="1">
      <c r="A433" s="32"/>
      <c r="B433" s="32"/>
      <c r="C433" s="32"/>
      <c r="D433" s="32"/>
      <c r="E433" s="32"/>
      <c r="F433" s="31"/>
      <c r="G433" s="31"/>
      <c r="H433" s="44" t="s">
        <v>406</v>
      </c>
      <c r="I433" s="31"/>
      <c r="J433" s="31"/>
      <c r="K433" s="32"/>
      <c r="L433" s="32"/>
      <c r="M433" s="125"/>
      <c r="N433" s="125"/>
      <c r="O433" s="125"/>
      <c r="P433" s="125"/>
    </row>
    <row r="434" spans="1:16" ht="18">
      <c r="A434" s="32"/>
      <c r="B434" s="32"/>
      <c r="C434" s="32"/>
      <c r="D434" s="32"/>
      <c r="E434" s="32"/>
      <c r="F434" s="31"/>
      <c r="G434" s="31"/>
      <c r="H434" s="32"/>
      <c r="I434" s="31"/>
      <c r="J434" s="32"/>
      <c r="K434" s="32"/>
      <c r="L434" s="32"/>
      <c r="M434" s="125"/>
      <c r="N434" s="125"/>
      <c r="O434" s="125"/>
      <c r="P434" s="125"/>
    </row>
    <row r="435" spans="1:16" ht="18">
      <c r="A435" s="1500" t="s">
        <v>78</v>
      </c>
      <c r="B435" s="1500"/>
      <c r="C435" s="1500"/>
      <c r="D435" s="1500"/>
      <c r="E435" s="1500"/>
      <c r="F435" s="1500"/>
      <c r="G435" s="1500"/>
      <c r="H435" s="1500"/>
      <c r="I435" s="1500"/>
      <c r="J435" s="1500"/>
      <c r="K435" s="1500"/>
      <c r="L435" s="1500"/>
      <c r="M435" s="125"/>
      <c r="N435" s="125"/>
      <c r="O435" s="125"/>
      <c r="P435" s="125"/>
    </row>
    <row r="436" spans="1:16" ht="18">
      <c r="A436" s="1500" t="s">
        <v>79</v>
      </c>
      <c r="B436" s="1500"/>
      <c r="C436" s="1500"/>
      <c r="D436" s="1500"/>
      <c r="E436" s="1500"/>
      <c r="F436" s="1500"/>
      <c r="G436" s="1500"/>
      <c r="H436" s="1500"/>
      <c r="I436" s="1500"/>
      <c r="J436" s="1500"/>
      <c r="K436" s="1500"/>
      <c r="L436" s="1500"/>
      <c r="M436" s="125"/>
      <c r="N436" s="125"/>
      <c r="O436" s="125"/>
      <c r="P436" s="125"/>
    </row>
    <row r="437" spans="1:16" ht="18">
      <c r="A437" s="30" t="s">
        <v>220</v>
      </c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125"/>
      <c r="N437" s="125"/>
      <c r="O437" s="125"/>
      <c r="P437" s="125"/>
    </row>
    <row r="438" spans="1:16" ht="18">
      <c r="A438" s="30" t="s">
        <v>361</v>
      </c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125"/>
      <c r="N438" s="125"/>
      <c r="O438" s="125"/>
      <c r="P438" s="125"/>
    </row>
    <row r="439" spans="1:16" ht="18.75" thickBo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125"/>
      <c r="N439" s="125"/>
      <c r="O439" s="125"/>
      <c r="P439" s="125"/>
    </row>
    <row r="440" spans="1:16" ht="24" thickBot="1">
      <c r="A440" s="31"/>
      <c r="B440" s="31"/>
      <c r="C440" s="1515" t="s">
        <v>362</v>
      </c>
      <c r="D440" s="1516"/>
      <c r="E440" s="1516"/>
      <c r="F440" s="1516"/>
      <c r="G440" s="1517"/>
      <c r="H440" s="1545" t="s">
        <v>8</v>
      </c>
      <c r="I440" s="1519"/>
      <c r="J440" s="31"/>
      <c r="K440" s="31"/>
      <c r="L440" s="31"/>
      <c r="M440" s="125"/>
      <c r="N440" s="126" t="str">
        <f>H440</f>
        <v>1ج م ع3</v>
      </c>
      <c r="O440" s="125"/>
      <c r="P440" s="125"/>
    </row>
    <row r="441" spans="1:16" ht="18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125"/>
      <c r="N441" s="125"/>
      <c r="O441" s="125"/>
      <c r="P441" s="125"/>
    </row>
    <row r="442" spans="1:16" ht="18">
      <c r="A442" s="30" t="s">
        <v>363</v>
      </c>
      <c r="B442" s="31"/>
      <c r="C442" s="1500" t="s">
        <v>281</v>
      </c>
      <c r="D442" s="1500"/>
      <c r="E442" s="1500"/>
      <c r="F442" s="31"/>
      <c r="G442" s="31" t="s">
        <v>364</v>
      </c>
      <c r="H442" s="31"/>
      <c r="I442" s="1500"/>
      <c r="J442" s="1500"/>
      <c r="K442" s="1500"/>
      <c r="L442" s="31"/>
      <c r="M442" s="125"/>
      <c r="N442" s="125"/>
      <c r="O442" s="125"/>
      <c r="P442" s="125"/>
    </row>
    <row r="443" spans="1:16" ht="18.75" thickBot="1">
      <c r="A443" s="30" t="s">
        <v>365</v>
      </c>
      <c r="B443" s="31"/>
      <c r="C443" s="31">
        <v>7</v>
      </c>
      <c r="D443" s="31"/>
      <c r="E443" s="31"/>
      <c r="F443" s="31"/>
      <c r="G443" s="31" t="s">
        <v>366</v>
      </c>
      <c r="H443" s="31"/>
      <c r="I443" s="31">
        <v>35</v>
      </c>
      <c r="J443" s="31"/>
      <c r="K443" s="31"/>
      <c r="L443" s="31"/>
      <c r="M443" s="125"/>
      <c r="N443" s="125"/>
      <c r="O443" s="125"/>
      <c r="P443" s="125"/>
    </row>
    <row r="444" spans="1:16" ht="17.25" thickTop="1" thickBot="1">
      <c r="A444" s="1542" t="s">
        <v>367</v>
      </c>
      <c r="B444" s="1543"/>
      <c r="C444" s="1543" t="s">
        <v>360</v>
      </c>
      <c r="D444" s="1543"/>
      <c r="E444" s="1543" t="s">
        <v>368</v>
      </c>
      <c r="F444" s="1543"/>
      <c r="G444" s="1543" t="s">
        <v>369</v>
      </c>
      <c r="H444" s="1543"/>
      <c r="I444" s="1543" t="s">
        <v>370</v>
      </c>
      <c r="J444" s="1543"/>
      <c r="K444" s="1543" t="s">
        <v>371</v>
      </c>
      <c r="L444" s="1544"/>
      <c r="M444" s="125"/>
      <c r="N444" s="125"/>
      <c r="O444" s="125"/>
      <c r="P444" s="125"/>
    </row>
    <row r="445" spans="1:16" ht="17.25" thickTop="1" thickBot="1">
      <c r="A445" s="1540" t="s">
        <v>372</v>
      </c>
      <c r="B445" s="1541"/>
      <c r="C445" s="1504" t="s">
        <v>270</v>
      </c>
      <c r="D445" s="1505"/>
      <c r="E445" s="1504" t="s">
        <v>407</v>
      </c>
      <c r="F445" s="1505"/>
      <c r="G445" s="1504" t="s">
        <v>262</v>
      </c>
      <c r="H445" s="1505"/>
      <c r="I445" s="1504" t="s">
        <v>383</v>
      </c>
      <c r="J445" s="1505"/>
      <c r="K445" s="1504" t="s">
        <v>384</v>
      </c>
      <c r="L445" s="1505"/>
      <c r="M445" s="125"/>
      <c r="N445" s="125"/>
      <c r="O445" s="125"/>
      <c r="P445" s="125"/>
    </row>
    <row r="446" spans="1:16" ht="17.25" thickTop="1" thickBot="1">
      <c r="A446" s="1540" t="s">
        <v>373</v>
      </c>
      <c r="B446" s="1541"/>
      <c r="C446" s="1504" t="s">
        <v>408</v>
      </c>
      <c r="D446" s="1505"/>
      <c r="E446" s="1504" t="s">
        <v>409</v>
      </c>
      <c r="F446" s="1505"/>
      <c r="G446" s="1504" t="s">
        <v>262</v>
      </c>
      <c r="H446" s="1505"/>
      <c r="I446" s="1504" t="s">
        <v>262</v>
      </c>
      <c r="J446" s="1505"/>
      <c r="K446" s="1504" t="s">
        <v>270</v>
      </c>
      <c r="L446" s="1505"/>
      <c r="M446" s="125"/>
      <c r="N446" s="125"/>
      <c r="O446" s="125"/>
      <c r="P446" s="125"/>
    </row>
    <row r="447" spans="1:16" ht="17.25" thickTop="1" thickBot="1">
      <c r="A447" s="1540" t="s">
        <v>374</v>
      </c>
      <c r="B447" s="1541"/>
      <c r="C447" s="1504" t="s">
        <v>262</v>
      </c>
      <c r="D447" s="1505"/>
      <c r="E447" s="1504" t="s">
        <v>407</v>
      </c>
      <c r="F447" s="1505"/>
      <c r="G447" s="1504" t="s">
        <v>384</v>
      </c>
      <c r="H447" s="1505"/>
      <c r="I447" s="1504" t="s">
        <v>386</v>
      </c>
      <c r="J447" s="1505"/>
      <c r="K447" s="1504" t="s">
        <v>386</v>
      </c>
      <c r="L447" s="1505"/>
      <c r="M447" s="125"/>
      <c r="N447" s="125"/>
      <c r="O447" s="125"/>
      <c r="P447" s="125"/>
    </row>
    <row r="448" spans="1:16" ht="17.25" thickTop="1" thickBot="1">
      <c r="A448" s="1536" t="s">
        <v>375</v>
      </c>
      <c r="B448" s="1537"/>
      <c r="C448" s="1504" t="s">
        <v>262</v>
      </c>
      <c r="D448" s="1505"/>
      <c r="E448" s="1504" t="s">
        <v>409</v>
      </c>
      <c r="F448" s="1505"/>
      <c r="G448" s="1504" t="s">
        <v>385</v>
      </c>
      <c r="H448" s="1505"/>
      <c r="I448" s="1504" t="s">
        <v>308</v>
      </c>
      <c r="J448" s="1505"/>
      <c r="K448" s="1504" t="s">
        <v>408</v>
      </c>
      <c r="L448" s="1505"/>
      <c r="M448" s="125"/>
      <c r="N448" s="125"/>
      <c r="O448" s="125"/>
      <c r="P448" s="125"/>
    </row>
    <row r="449" spans="1:16" ht="17.25" thickTop="1" thickBot="1">
      <c r="A449" s="32"/>
      <c r="B449" s="32"/>
      <c r="C449" s="32"/>
      <c r="D449" s="32"/>
      <c r="E449" s="32"/>
      <c r="F449" s="32"/>
      <c r="G449" s="32"/>
      <c r="H449" s="32"/>
      <c r="I449" s="45"/>
      <c r="J449" s="45"/>
      <c r="K449" s="32"/>
      <c r="L449" s="32"/>
      <c r="M449" s="125"/>
      <c r="N449" s="125"/>
      <c r="O449" s="125"/>
      <c r="P449" s="125"/>
    </row>
    <row r="450" spans="1:16" ht="17.25" thickTop="1" thickBot="1">
      <c r="A450" s="1508" t="s">
        <v>376</v>
      </c>
      <c r="B450" s="1539"/>
      <c r="C450" s="1504" t="s">
        <v>384</v>
      </c>
      <c r="D450" s="1505"/>
      <c r="E450" s="1504" t="s">
        <v>290</v>
      </c>
      <c r="F450" s="1505"/>
      <c r="G450" s="1504" t="s">
        <v>290</v>
      </c>
      <c r="H450" s="1505"/>
      <c r="I450" s="1504" t="s">
        <v>290</v>
      </c>
      <c r="J450" s="1505"/>
      <c r="K450" s="1504" t="s">
        <v>433</v>
      </c>
      <c r="L450" s="1505"/>
      <c r="M450" s="125"/>
      <c r="N450" s="125"/>
      <c r="O450" s="125"/>
      <c r="P450" s="125"/>
    </row>
    <row r="451" spans="1:16" ht="17.25" thickTop="1" thickBot="1">
      <c r="A451" s="1506" t="s">
        <v>377</v>
      </c>
      <c r="B451" s="1538"/>
      <c r="C451" s="1504" t="s">
        <v>387</v>
      </c>
      <c r="D451" s="1505"/>
      <c r="E451" s="1504" t="s">
        <v>385</v>
      </c>
      <c r="F451" s="1505"/>
      <c r="G451" s="1504" t="s">
        <v>352</v>
      </c>
      <c r="H451" s="1505"/>
      <c r="I451" s="1504" t="s">
        <v>384</v>
      </c>
      <c r="J451" s="1505"/>
      <c r="K451" s="1504" t="s">
        <v>434</v>
      </c>
      <c r="L451" s="1505"/>
      <c r="M451" s="125"/>
      <c r="N451" s="125"/>
      <c r="O451" s="125"/>
      <c r="P451" s="125"/>
    </row>
    <row r="452" spans="1:16" ht="17.25" thickTop="1" thickBot="1">
      <c r="A452" s="1506" t="s">
        <v>378</v>
      </c>
      <c r="B452" s="1538"/>
      <c r="C452" s="1504" t="s">
        <v>387</v>
      </c>
      <c r="D452" s="1505"/>
      <c r="E452" s="1504" t="s">
        <v>262</v>
      </c>
      <c r="F452" s="1505"/>
      <c r="G452" s="1504" t="s">
        <v>386</v>
      </c>
      <c r="H452" s="1505"/>
      <c r="I452" s="1504"/>
      <c r="J452" s="1505"/>
      <c r="K452" s="1504"/>
      <c r="L452" s="1505"/>
      <c r="M452" s="125"/>
      <c r="N452" s="125"/>
      <c r="O452" s="125"/>
      <c r="P452" s="125"/>
    </row>
    <row r="453" spans="1:16" ht="17.25" thickTop="1" thickBot="1">
      <c r="A453" s="1536" t="s">
        <v>379</v>
      </c>
      <c r="B453" s="1537"/>
      <c r="C453" s="1504">
        <v>0</v>
      </c>
      <c r="D453" s="1505"/>
      <c r="E453" s="1504">
        <v>0</v>
      </c>
      <c r="F453" s="1505"/>
      <c r="G453" s="1504">
        <v>0</v>
      </c>
      <c r="H453" s="1505"/>
      <c r="I453" s="1504">
        <v>0</v>
      </c>
      <c r="J453" s="1505"/>
      <c r="K453" s="1504" t="s">
        <v>380</v>
      </c>
      <c r="L453" s="1505"/>
      <c r="M453" s="125"/>
      <c r="N453" s="125"/>
      <c r="O453" s="125"/>
      <c r="P453" s="125"/>
    </row>
    <row r="454" spans="1:16" ht="17.25" thickTop="1" thickBot="1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125"/>
      <c r="N454" s="125"/>
      <c r="O454" s="125"/>
      <c r="P454" s="125"/>
    </row>
    <row r="455" spans="1:16" ht="16.5" thickTop="1">
      <c r="A455" s="35" t="s">
        <v>381</v>
      </c>
      <c r="B455" s="36" t="s">
        <v>262</v>
      </c>
      <c r="C455" s="36" t="s">
        <v>270</v>
      </c>
      <c r="D455" s="36" t="s">
        <v>408</v>
      </c>
      <c r="E455" s="36" t="s">
        <v>383</v>
      </c>
      <c r="F455" s="36" t="s">
        <v>384</v>
      </c>
      <c r="G455" s="36" t="s">
        <v>385</v>
      </c>
      <c r="H455" s="36" t="s">
        <v>290</v>
      </c>
      <c r="I455" s="36" t="s">
        <v>386</v>
      </c>
      <c r="J455" s="36" t="s">
        <v>435</v>
      </c>
      <c r="K455" s="36" t="s">
        <v>308</v>
      </c>
      <c r="L455" s="36" t="s">
        <v>387</v>
      </c>
      <c r="M455" s="125"/>
      <c r="N455" s="125"/>
      <c r="O455" s="125"/>
      <c r="P455" s="125"/>
    </row>
    <row r="456" spans="1:16" ht="15.75">
      <c r="A456" s="37" t="s">
        <v>388</v>
      </c>
      <c r="B456" s="38" t="s">
        <v>420</v>
      </c>
      <c r="C456" s="38" t="s">
        <v>436</v>
      </c>
      <c r="D456" s="38" t="s">
        <v>436</v>
      </c>
      <c r="E456" s="38" t="s">
        <v>357</v>
      </c>
      <c r="F456" s="38" t="s">
        <v>419</v>
      </c>
      <c r="G456" s="38" t="s">
        <v>359</v>
      </c>
      <c r="H456" s="38" t="s">
        <v>393</v>
      </c>
      <c r="I456" s="38" t="s">
        <v>393</v>
      </c>
      <c r="J456" s="38" t="s">
        <v>391</v>
      </c>
      <c r="K456" s="38" t="s">
        <v>391</v>
      </c>
      <c r="L456" s="38" t="s">
        <v>359</v>
      </c>
      <c r="M456" s="125"/>
      <c r="N456" s="125"/>
      <c r="O456" s="125"/>
      <c r="P456" s="125"/>
    </row>
    <row r="457" spans="1:16" ht="15.75">
      <c r="A457" s="37" t="s">
        <v>394</v>
      </c>
      <c r="B457" s="39" t="s">
        <v>266</v>
      </c>
      <c r="C457" s="39" t="s">
        <v>269</v>
      </c>
      <c r="D457" s="39" t="s">
        <v>276</v>
      </c>
      <c r="E457" s="39" t="s">
        <v>281</v>
      </c>
      <c r="F457" s="39" t="s">
        <v>284</v>
      </c>
      <c r="G457" s="39" t="s">
        <v>426</v>
      </c>
      <c r="H457" s="39" t="s">
        <v>292</v>
      </c>
      <c r="I457" s="39" t="s">
        <v>295</v>
      </c>
      <c r="J457" s="39" t="s">
        <v>432</v>
      </c>
      <c r="K457" s="39" t="s">
        <v>309</v>
      </c>
      <c r="L457" s="39" t="s">
        <v>314</v>
      </c>
      <c r="M457" s="125"/>
      <c r="N457" s="125"/>
      <c r="O457" s="125"/>
      <c r="P457" s="125"/>
    </row>
    <row r="458" spans="1:16" ht="15.75">
      <c r="A458" s="37" t="s">
        <v>397</v>
      </c>
      <c r="B458" s="41" t="s">
        <v>344</v>
      </c>
      <c r="C458" s="41" t="s">
        <v>349</v>
      </c>
      <c r="D458" s="41" t="s">
        <v>349</v>
      </c>
      <c r="E458" s="41" t="s">
        <v>346</v>
      </c>
      <c r="F458" s="41" t="s">
        <v>345</v>
      </c>
      <c r="G458" s="41" t="s">
        <v>346</v>
      </c>
      <c r="H458" s="41" t="s">
        <v>345</v>
      </c>
      <c r="I458" s="41" t="s">
        <v>348</v>
      </c>
      <c r="J458" s="41" t="s">
        <v>348</v>
      </c>
      <c r="K458" s="41" t="s">
        <v>345</v>
      </c>
      <c r="L458" s="41" t="s">
        <v>348</v>
      </c>
      <c r="M458" s="125"/>
      <c r="N458" s="125"/>
      <c r="O458" s="125"/>
      <c r="P458" s="125"/>
    </row>
    <row r="459" spans="1:16" ht="16.5" thickBot="1">
      <c r="A459" s="42" t="s">
        <v>343</v>
      </c>
      <c r="B459" s="43">
        <v>42684.677083333336</v>
      </c>
      <c r="C459" s="43">
        <v>42684.465277777781</v>
      </c>
      <c r="D459" s="43">
        <v>42623.42291666667</v>
      </c>
      <c r="E459" s="43">
        <v>42623.42291666667</v>
      </c>
      <c r="F459" s="43">
        <v>0.67708333333333337</v>
      </c>
      <c r="G459" s="43">
        <v>0.67708333333333337</v>
      </c>
      <c r="H459" s="43">
        <v>0.67708333333333337</v>
      </c>
      <c r="I459" s="43">
        <v>42623.42291666667</v>
      </c>
      <c r="J459" s="43">
        <v>42623.42291666667</v>
      </c>
      <c r="K459" s="43">
        <v>42684.465277777781</v>
      </c>
      <c r="L459" s="43">
        <v>42623.42291666667</v>
      </c>
      <c r="M459" s="125"/>
      <c r="N459" s="125"/>
      <c r="O459" s="125"/>
      <c r="P459" s="125"/>
    </row>
    <row r="460" spans="1:16" ht="17.25" thickTop="1" thickBot="1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125"/>
      <c r="N460" s="125"/>
      <c r="O460" s="125"/>
      <c r="P460" s="125"/>
    </row>
    <row r="461" spans="1:16" ht="19.5" thickTop="1" thickBot="1">
      <c r="A461" s="35" t="s">
        <v>399</v>
      </c>
      <c r="B461" s="1494" t="s">
        <v>380</v>
      </c>
      <c r="C461" s="1495"/>
      <c r="D461" s="1494" t="s">
        <v>380</v>
      </c>
      <c r="E461" s="1496"/>
      <c r="F461" s="32"/>
      <c r="G461" s="32"/>
      <c r="H461" s="32"/>
      <c r="I461" s="32"/>
      <c r="J461" s="32"/>
      <c r="K461" s="31"/>
      <c r="L461" s="31"/>
      <c r="M461" s="125"/>
      <c r="N461" s="125"/>
      <c r="O461" s="125"/>
      <c r="P461" s="125"/>
    </row>
    <row r="462" spans="1:16" ht="18.75" thickBot="1">
      <c r="A462" s="37" t="s">
        <v>400</v>
      </c>
      <c r="B462" s="1497" t="s">
        <v>380</v>
      </c>
      <c r="C462" s="1498"/>
      <c r="D462" s="1497" t="s">
        <v>380</v>
      </c>
      <c r="E462" s="1499"/>
      <c r="F462" s="31" t="s">
        <v>401</v>
      </c>
      <c r="G462" s="1500" t="s">
        <v>402</v>
      </c>
      <c r="H462" s="1500"/>
      <c r="I462" s="31" t="s">
        <v>403</v>
      </c>
      <c r="J462" s="1501">
        <f ca="1">TODAY()</f>
        <v>45944</v>
      </c>
      <c r="K462" s="1501"/>
      <c r="L462" s="1501"/>
      <c r="M462" s="125"/>
      <c r="N462" s="125"/>
      <c r="O462" s="125"/>
      <c r="P462" s="125"/>
    </row>
    <row r="463" spans="1:16" ht="18.75" thickBot="1">
      <c r="A463" s="42" t="s">
        <v>404</v>
      </c>
      <c r="B463" s="1491" t="s">
        <v>309</v>
      </c>
      <c r="C463" s="1492"/>
      <c r="D463" s="1491" t="s">
        <v>425</v>
      </c>
      <c r="E463" s="1493"/>
      <c r="F463" s="32"/>
      <c r="G463" s="31"/>
      <c r="H463" s="31" t="s">
        <v>405</v>
      </c>
      <c r="I463" s="31"/>
      <c r="J463" s="32"/>
      <c r="K463" s="31"/>
      <c r="L463" s="31"/>
      <c r="M463" s="125"/>
      <c r="N463" s="125"/>
      <c r="O463" s="125"/>
      <c r="P463" s="125"/>
    </row>
    <row r="464" spans="1:16" ht="18.75" thickTop="1">
      <c r="A464" s="32"/>
      <c r="B464" s="32"/>
      <c r="C464" s="32"/>
      <c r="D464" s="32"/>
      <c r="E464" s="32"/>
      <c r="F464" s="31"/>
      <c r="G464" s="31"/>
      <c r="H464" s="44" t="s">
        <v>406</v>
      </c>
      <c r="I464" s="31"/>
      <c r="J464" s="31"/>
      <c r="K464" s="32"/>
      <c r="L464" s="32"/>
      <c r="M464" s="125"/>
      <c r="N464" s="125"/>
      <c r="O464" s="125"/>
      <c r="P464" s="125"/>
    </row>
    <row r="465" spans="1:16" ht="18">
      <c r="A465" s="32"/>
      <c r="B465" s="32"/>
      <c r="C465" s="32"/>
      <c r="D465" s="32"/>
      <c r="E465" s="32"/>
      <c r="F465" s="31"/>
      <c r="G465" s="31"/>
      <c r="H465" s="32"/>
      <c r="I465" s="31"/>
      <c r="J465" s="32"/>
      <c r="K465" s="32"/>
      <c r="L465" s="32"/>
      <c r="M465" s="125"/>
      <c r="N465" s="125"/>
      <c r="O465" s="125"/>
      <c r="P465" s="125"/>
    </row>
    <row r="466" spans="1:16" ht="18">
      <c r="A466" s="1500" t="s">
        <v>78</v>
      </c>
      <c r="B466" s="1500"/>
      <c r="C466" s="1500"/>
      <c r="D466" s="1500"/>
      <c r="E466" s="1500"/>
      <c r="F466" s="1500"/>
      <c r="G466" s="1500"/>
      <c r="H466" s="1500"/>
      <c r="I466" s="1500"/>
      <c r="J466" s="1500"/>
      <c r="K466" s="1500"/>
      <c r="L466" s="1500"/>
      <c r="M466" s="125"/>
      <c r="N466" s="125"/>
      <c r="O466" s="125"/>
      <c r="P466" s="125"/>
    </row>
    <row r="467" spans="1:16" ht="18">
      <c r="A467" s="1500" t="s">
        <v>79</v>
      </c>
      <c r="B467" s="1500"/>
      <c r="C467" s="1500"/>
      <c r="D467" s="1500"/>
      <c r="E467" s="1500"/>
      <c r="F467" s="1500"/>
      <c r="G467" s="1500"/>
      <c r="H467" s="1500"/>
      <c r="I467" s="1500"/>
      <c r="J467" s="1500"/>
      <c r="K467" s="1500"/>
      <c r="L467" s="1500"/>
      <c r="M467" s="125"/>
      <c r="N467" s="125"/>
      <c r="O467" s="125"/>
      <c r="P467" s="125"/>
    </row>
    <row r="468" spans="1:16" ht="18">
      <c r="A468" s="30" t="s">
        <v>220</v>
      </c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125"/>
      <c r="N468" s="125"/>
      <c r="O468" s="125"/>
      <c r="P468" s="125"/>
    </row>
    <row r="469" spans="1:16" ht="18">
      <c r="A469" s="30" t="s">
        <v>361</v>
      </c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125"/>
      <c r="N469" s="125"/>
      <c r="O469" s="125"/>
      <c r="P469" s="125"/>
    </row>
    <row r="470" spans="1:16" ht="18.75" thickBo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125"/>
      <c r="N470" s="125"/>
      <c r="O470" s="125"/>
      <c r="P470" s="125"/>
    </row>
    <row r="471" spans="1:16" ht="24" thickBot="1">
      <c r="A471" s="31"/>
      <c r="B471" s="31"/>
      <c r="C471" s="1515" t="s">
        <v>362</v>
      </c>
      <c r="D471" s="1516"/>
      <c r="E471" s="1516"/>
      <c r="F471" s="1516"/>
      <c r="G471" s="1517"/>
      <c r="H471" s="1545" t="s">
        <v>35</v>
      </c>
      <c r="I471" s="1519"/>
      <c r="J471" s="31"/>
      <c r="K471" s="31"/>
      <c r="L471" s="31"/>
      <c r="M471" s="125"/>
      <c r="N471" s="126" t="str">
        <f>H471</f>
        <v>1ج م آ1</v>
      </c>
      <c r="O471" s="125"/>
      <c r="P471" s="125"/>
    </row>
    <row r="472" spans="1:16" ht="18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125"/>
      <c r="N472" s="125"/>
      <c r="O472" s="125"/>
      <c r="P472" s="125"/>
    </row>
    <row r="473" spans="1:16" ht="18">
      <c r="A473" s="30" t="s">
        <v>363</v>
      </c>
      <c r="B473" s="31"/>
      <c r="C473" s="1500" t="s">
        <v>274</v>
      </c>
      <c r="D473" s="1500"/>
      <c r="E473" s="1500"/>
      <c r="F473" s="31"/>
      <c r="G473" s="31" t="s">
        <v>364</v>
      </c>
      <c r="H473" s="31"/>
      <c r="I473" s="1500"/>
      <c r="J473" s="1500"/>
      <c r="K473" s="1500"/>
      <c r="L473" s="31"/>
      <c r="M473" s="125"/>
      <c r="N473" s="125"/>
      <c r="O473" s="125"/>
      <c r="P473" s="125"/>
    </row>
    <row r="474" spans="1:16" ht="18.75" thickBot="1">
      <c r="A474" s="30" t="s">
        <v>365</v>
      </c>
      <c r="B474" s="31"/>
      <c r="C474" s="31">
        <v>1</v>
      </c>
      <c r="D474" s="31"/>
      <c r="E474" s="31"/>
      <c r="F474" s="31"/>
      <c r="G474" s="31" t="s">
        <v>366</v>
      </c>
      <c r="H474" s="31"/>
      <c r="I474" s="31">
        <v>37</v>
      </c>
      <c r="J474" s="31"/>
      <c r="K474" s="31"/>
      <c r="L474" s="31"/>
      <c r="M474" s="125"/>
      <c r="N474" s="125"/>
      <c r="O474" s="125"/>
      <c r="P474" s="125"/>
    </row>
    <row r="475" spans="1:16" ht="17.25" thickTop="1" thickBot="1">
      <c r="A475" s="1542" t="s">
        <v>367</v>
      </c>
      <c r="B475" s="1543"/>
      <c r="C475" s="1543" t="s">
        <v>360</v>
      </c>
      <c r="D475" s="1543"/>
      <c r="E475" s="1543" t="s">
        <v>368</v>
      </c>
      <c r="F475" s="1543"/>
      <c r="G475" s="1543" t="s">
        <v>369</v>
      </c>
      <c r="H475" s="1543"/>
      <c r="I475" s="1543" t="s">
        <v>370</v>
      </c>
      <c r="J475" s="1543"/>
      <c r="K475" s="1543" t="s">
        <v>371</v>
      </c>
      <c r="L475" s="1544"/>
      <c r="M475" s="125"/>
      <c r="N475" s="125"/>
      <c r="O475" s="125"/>
      <c r="P475" s="125"/>
    </row>
    <row r="476" spans="1:16" ht="17.25" thickTop="1" thickBot="1">
      <c r="A476" s="1540" t="s">
        <v>372</v>
      </c>
      <c r="B476" s="1541"/>
      <c r="C476" s="1504" t="s">
        <v>383</v>
      </c>
      <c r="D476" s="1505"/>
      <c r="E476" s="1504" t="s">
        <v>262</v>
      </c>
      <c r="F476" s="1505"/>
      <c r="G476" s="1504" t="s">
        <v>385</v>
      </c>
      <c r="H476" s="1505"/>
      <c r="I476" s="1504" t="s">
        <v>386</v>
      </c>
      <c r="J476" s="1505"/>
      <c r="K476" s="1504" t="s">
        <v>290</v>
      </c>
      <c r="L476" s="1505"/>
      <c r="M476" s="125"/>
      <c r="N476" s="125"/>
      <c r="O476" s="125"/>
      <c r="P476" s="125"/>
    </row>
    <row r="477" spans="1:16" ht="17.25" thickTop="1" thickBot="1">
      <c r="A477" s="1540" t="s">
        <v>373</v>
      </c>
      <c r="B477" s="1541"/>
      <c r="C477" s="1504" t="s">
        <v>386</v>
      </c>
      <c r="D477" s="1505"/>
      <c r="E477" s="1504" t="s">
        <v>408</v>
      </c>
      <c r="F477" s="1505"/>
      <c r="G477" s="1504" t="s">
        <v>385</v>
      </c>
      <c r="H477" s="1505"/>
      <c r="I477" s="1504" t="s">
        <v>383</v>
      </c>
      <c r="J477" s="1505"/>
      <c r="K477" s="1504" t="s">
        <v>270</v>
      </c>
      <c r="L477" s="1505"/>
      <c r="M477" s="125"/>
      <c r="N477" s="125"/>
      <c r="O477" s="125"/>
      <c r="P477" s="125"/>
    </row>
    <row r="478" spans="1:16" ht="17.25" thickTop="1" thickBot="1">
      <c r="A478" s="1540" t="s">
        <v>374</v>
      </c>
      <c r="B478" s="1541"/>
      <c r="C478" s="1504" t="s">
        <v>438</v>
      </c>
      <c r="D478" s="1505"/>
      <c r="E478" s="1504" t="s">
        <v>290</v>
      </c>
      <c r="F478" s="1505"/>
      <c r="G478" s="1504" t="s">
        <v>384</v>
      </c>
      <c r="H478" s="1505"/>
      <c r="I478" s="1504" t="s">
        <v>387</v>
      </c>
      <c r="J478" s="1505"/>
      <c r="K478" s="1504" t="s">
        <v>384</v>
      </c>
      <c r="L478" s="1505"/>
      <c r="M478" s="125"/>
      <c r="N478" s="125"/>
      <c r="O478" s="125"/>
      <c r="P478" s="125"/>
    </row>
    <row r="479" spans="1:16" ht="17.25" thickTop="1" thickBot="1">
      <c r="A479" s="1536" t="s">
        <v>375</v>
      </c>
      <c r="B479" s="1537"/>
      <c r="C479" s="1504" t="s">
        <v>434</v>
      </c>
      <c r="D479" s="1505"/>
      <c r="E479" s="1504" t="s">
        <v>290</v>
      </c>
      <c r="F479" s="1505"/>
      <c r="G479" s="1504" t="s">
        <v>384</v>
      </c>
      <c r="H479" s="1505"/>
      <c r="I479" s="1504" t="s">
        <v>387</v>
      </c>
      <c r="J479" s="1505"/>
      <c r="K479" s="1504" t="s">
        <v>384</v>
      </c>
      <c r="L479" s="1505"/>
      <c r="M479" s="125"/>
      <c r="N479" s="125"/>
      <c r="O479" s="125"/>
      <c r="P479" s="125"/>
    </row>
    <row r="480" spans="1:16" ht="17.25" thickTop="1" thickBot="1">
      <c r="A480" s="32"/>
      <c r="B480" s="32"/>
      <c r="C480" s="32"/>
      <c r="D480" s="32"/>
      <c r="E480" s="32"/>
      <c r="F480" s="32"/>
      <c r="G480" s="32"/>
      <c r="H480" s="32"/>
      <c r="I480" s="45"/>
      <c r="J480" s="45"/>
      <c r="K480" s="32"/>
      <c r="L480" s="32"/>
      <c r="M480" s="125"/>
      <c r="N480" s="125"/>
      <c r="O480" s="125"/>
      <c r="P480" s="125"/>
    </row>
    <row r="481" spans="1:16" ht="17.25" thickTop="1" thickBot="1">
      <c r="A481" s="1508" t="s">
        <v>376</v>
      </c>
      <c r="B481" s="1539"/>
      <c r="C481" s="1504" t="s">
        <v>290</v>
      </c>
      <c r="D481" s="1505"/>
      <c r="E481" s="1504" t="s">
        <v>352</v>
      </c>
      <c r="F481" s="1505"/>
      <c r="G481" s="1504" t="s">
        <v>386</v>
      </c>
      <c r="H481" s="1505"/>
      <c r="I481" s="1504" t="s">
        <v>384</v>
      </c>
      <c r="J481" s="1505"/>
      <c r="K481" s="1504" t="s">
        <v>386</v>
      </c>
      <c r="L481" s="1505"/>
      <c r="M481" s="125"/>
      <c r="N481" s="125"/>
      <c r="O481" s="125"/>
      <c r="P481" s="125"/>
    </row>
    <row r="482" spans="1:16" ht="17.25" thickTop="1" thickBot="1">
      <c r="A482" s="1506" t="s">
        <v>377</v>
      </c>
      <c r="B482" s="1538"/>
      <c r="C482" s="1504" t="s">
        <v>262</v>
      </c>
      <c r="D482" s="1505"/>
      <c r="E482" s="1504" t="s">
        <v>385</v>
      </c>
      <c r="F482" s="1505"/>
      <c r="G482" s="1504" t="s">
        <v>407</v>
      </c>
      <c r="H482" s="1505"/>
      <c r="I482" s="1504" t="s">
        <v>262</v>
      </c>
      <c r="J482" s="1505"/>
      <c r="K482" s="1504" t="s">
        <v>385</v>
      </c>
      <c r="L482" s="1505"/>
      <c r="M482" s="125"/>
      <c r="N482" s="125"/>
      <c r="O482" s="125"/>
      <c r="P482" s="125"/>
    </row>
    <row r="483" spans="1:16" ht="17.25" thickTop="1" thickBot="1">
      <c r="A483" s="1506" t="s">
        <v>378</v>
      </c>
      <c r="B483" s="1538"/>
      <c r="C483" s="1504"/>
      <c r="D483" s="1505"/>
      <c r="E483" s="1504"/>
      <c r="F483" s="1505"/>
      <c r="G483" s="1504" t="s">
        <v>409</v>
      </c>
      <c r="H483" s="1505"/>
      <c r="I483" s="1504" t="s">
        <v>290</v>
      </c>
      <c r="J483" s="1505"/>
      <c r="K483" s="1504"/>
      <c r="L483" s="1505"/>
      <c r="M483" s="125"/>
      <c r="N483" s="125"/>
      <c r="O483" s="125"/>
      <c r="P483" s="125"/>
    </row>
    <row r="484" spans="1:16" ht="17.25" thickTop="1" thickBot="1">
      <c r="A484" s="1536" t="s">
        <v>379</v>
      </c>
      <c r="B484" s="1537"/>
      <c r="C484" s="1504">
        <v>0</v>
      </c>
      <c r="D484" s="1505"/>
      <c r="E484" s="1504">
        <v>0</v>
      </c>
      <c r="F484" s="1505"/>
      <c r="G484" s="1504">
        <v>0</v>
      </c>
      <c r="H484" s="1505"/>
      <c r="I484" s="1504">
        <v>0</v>
      </c>
      <c r="J484" s="1505"/>
      <c r="K484" s="1504" t="s">
        <v>380</v>
      </c>
      <c r="L484" s="1505"/>
      <c r="M484" s="125"/>
      <c r="N484" s="125"/>
      <c r="O484" s="125"/>
      <c r="P484" s="125"/>
    </row>
    <row r="485" spans="1:16" ht="17.25" thickTop="1" thickBot="1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125"/>
      <c r="N485" s="125"/>
      <c r="O485" s="125"/>
      <c r="P485" s="125"/>
    </row>
    <row r="486" spans="1:16" ht="16.5" thickTop="1">
      <c r="A486" s="35" t="s">
        <v>381</v>
      </c>
      <c r="B486" s="36" t="s">
        <v>262</v>
      </c>
      <c r="C486" s="36" t="s">
        <v>270</v>
      </c>
      <c r="D486" s="36" t="s">
        <v>408</v>
      </c>
      <c r="E486" s="36" t="s">
        <v>383</v>
      </c>
      <c r="F486" s="36" t="s">
        <v>384</v>
      </c>
      <c r="G486" s="36" t="s">
        <v>385</v>
      </c>
      <c r="H486" s="36" t="s">
        <v>290</v>
      </c>
      <c r="I486" s="36" t="s">
        <v>386</v>
      </c>
      <c r="J486" s="36" t="s">
        <v>435</v>
      </c>
      <c r="K486" s="36" t="s">
        <v>387</v>
      </c>
      <c r="L486" s="36" t="s">
        <v>380</v>
      </c>
      <c r="M486" s="125"/>
      <c r="N486" s="125"/>
      <c r="O486" s="125"/>
      <c r="P486" s="125"/>
    </row>
    <row r="487" spans="1:16" ht="15.75">
      <c r="A487" s="37" t="s">
        <v>388</v>
      </c>
      <c r="B487" s="38" t="s">
        <v>393</v>
      </c>
      <c r="C487" s="38" t="s">
        <v>391</v>
      </c>
      <c r="D487" s="38" t="s">
        <v>391</v>
      </c>
      <c r="E487" s="38" t="s">
        <v>359</v>
      </c>
      <c r="F487" s="38" t="s">
        <v>439</v>
      </c>
      <c r="G487" s="38" t="s">
        <v>419</v>
      </c>
      <c r="H487" s="38" t="s">
        <v>392</v>
      </c>
      <c r="I487" s="38" t="s">
        <v>419</v>
      </c>
      <c r="J487" s="38" t="s">
        <v>391</v>
      </c>
      <c r="K487" s="38" t="s">
        <v>359</v>
      </c>
      <c r="L487" s="38"/>
      <c r="M487" s="125"/>
      <c r="N487" s="125"/>
      <c r="O487" s="125"/>
      <c r="P487" s="125"/>
    </row>
    <row r="488" spans="1:16" ht="15.75">
      <c r="A488" s="37" t="s">
        <v>394</v>
      </c>
      <c r="B488" s="47" t="s">
        <v>274</v>
      </c>
      <c r="C488" s="47" t="s">
        <v>411</v>
      </c>
      <c r="D488" s="47" t="s">
        <v>277</v>
      </c>
      <c r="E488" s="47" t="s">
        <v>281</v>
      </c>
      <c r="F488" s="47" t="s">
        <v>287</v>
      </c>
      <c r="G488" s="47" t="s">
        <v>289</v>
      </c>
      <c r="H488" s="47" t="s">
        <v>293</v>
      </c>
      <c r="I488" s="47" t="s">
        <v>295</v>
      </c>
      <c r="J488" s="47" t="s">
        <v>432</v>
      </c>
      <c r="K488" s="47" t="s">
        <v>313</v>
      </c>
      <c r="L488" s="40" t="s">
        <v>380</v>
      </c>
      <c r="M488" s="125"/>
      <c r="N488" s="125"/>
      <c r="O488" s="125"/>
      <c r="P488" s="125"/>
    </row>
    <row r="489" spans="1:16" ht="15.75">
      <c r="A489" s="37" t="s">
        <v>397</v>
      </c>
      <c r="B489" s="41" t="s">
        <v>345</v>
      </c>
      <c r="C489" s="41" t="s">
        <v>349</v>
      </c>
      <c r="D489" s="41" t="s">
        <v>349</v>
      </c>
      <c r="E489" s="41" t="s">
        <v>346</v>
      </c>
      <c r="F489" s="41" t="s">
        <v>345</v>
      </c>
      <c r="G489" s="41" t="s">
        <v>346</v>
      </c>
      <c r="H489" s="41" t="s">
        <v>348</v>
      </c>
      <c r="I489" s="41" t="s">
        <v>348</v>
      </c>
      <c r="J489" s="41" t="s">
        <v>348</v>
      </c>
      <c r="K489" s="41" t="s">
        <v>348</v>
      </c>
      <c r="L489" s="41" t="s">
        <v>380</v>
      </c>
      <c r="M489" s="125"/>
      <c r="N489" s="125"/>
      <c r="O489" s="125"/>
      <c r="P489" s="125"/>
    </row>
    <row r="490" spans="1:16" ht="16.5" thickBot="1">
      <c r="A490" s="42" t="s">
        <v>343</v>
      </c>
      <c r="B490" s="43">
        <v>0.67708333333333337</v>
      </c>
      <c r="C490" s="43">
        <v>42684.465277777781</v>
      </c>
      <c r="D490" s="43">
        <v>42623.42291666667</v>
      </c>
      <c r="E490" s="43">
        <v>42623.42291666667</v>
      </c>
      <c r="F490" s="43">
        <v>0.67708333333333337</v>
      </c>
      <c r="G490" s="43">
        <v>0.67708333333333337</v>
      </c>
      <c r="H490" s="43">
        <v>0.67708333333333337</v>
      </c>
      <c r="I490" s="43">
        <v>42623.42291666667</v>
      </c>
      <c r="J490" s="43">
        <v>42623.42291666667</v>
      </c>
      <c r="K490" s="43">
        <v>42623.42291666667</v>
      </c>
      <c r="L490" s="41" t="s">
        <v>380</v>
      </c>
      <c r="M490" s="125"/>
      <c r="N490" s="125"/>
      <c r="O490" s="125"/>
      <c r="P490" s="125"/>
    </row>
    <row r="491" spans="1:16" ht="17.25" thickTop="1" thickBot="1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125"/>
      <c r="N491" s="125"/>
      <c r="O491" s="125"/>
      <c r="P491" s="125"/>
    </row>
    <row r="492" spans="1:16" ht="19.5" thickTop="1" thickBot="1">
      <c r="A492" s="35" t="s">
        <v>399</v>
      </c>
      <c r="B492" s="1494" t="s">
        <v>380</v>
      </c>
      <c r="C492" s="1495"/>
      <c r="D492" s="1494" t="s">
        <v>380</v>
      </c>
      <c r="E492" s="1496"/>
      <c r="F492" s="32"/>
      <c r="G492" s="32"/>
      <c r="H492" s="32"/>
      <c r="I492" s="32"/>
      <c r="J492" s="32"/>
      <c r="K492" s="31"/>
      <c r="L492" s="31"/>
      <c r="M492" s="125"/>
      <c r="N492" s="125"/>
      <c r="O492" s="125"/>
      <c r="P492" s="125"/>
    </row>
    <row r="493" spans="1:16" ht="18.75" thickBot="1">
      <c r="A493" s="37" t="s">
        <v>400</v>
      </c>
      <c r="B493" s="1497" t="s">
        <v>380</v>
      </c>
      <c r="C493" s="1498"/>
      <c r="D493" s="1497" t="s">
        <v>380</v>
      </c>
      <c r="E493" s="1499"/>
      <c r="F493" s="31" t="s">
        <v>401</v>
      </c>
      <c r="G493" s="1500" t="s">
        <v>402</v>
      </c>
      <c r="H493" s="1500"/>
      <c r="I493" s="31" t="s">
        <v>403</v>
      </c>
      <c r="J493" s="1501">
        <f ca="1">TODAY()</f>
        <v>45944</v>
      </c>
      <c r="K493" s="1501"/>
      <c r="L493" s="1501"/>
      <c r="M493" s="125"/>
      <c r="N493" s="125"/>
      <c r="O493" s="125"/>
      <c r="P493" s="125"/>
    </row>
    <row r="494" spans="1:16" ht="18.75" thickBot="1">
      <c r="A494" s="42" t="s">
        <v>404</v>
      </c>
      <c r="B494" s="1491" t="s">
        <v>380</v>
      </c>
      <c r="C494" s="1492"/>
      <c r="D494" s="1491" t="s">
        <v>380</v>
      </c>
      <c r="E494" s="1493"/>
      <c r="F494" s="32"/>
      <c r="G494" s="31"/>
      <c r="H494" s="31" t="s">
        <v>405</v>
      </c>
      <c r="I494" s="31"/>
      <c r="J494" s="32"/>
      <c r="K494" s="31"/>
      <c r="L494" s="31"/>
      <c r="M494" s="125"/>
      <c r="N494" s="125"/>
      <c r="O494" s="125"/>
      <c r="P494" s="125"/>
    </row>
    <row r="495" spans="1:16" ht="18.75" thickTop="1">
      <c r="A495" s="32"/>
      <c r="B495" s="32"/>
      <c r="C495" s="32"/>
      <c r="D495" s="32"/>
      <c r="E495" s="32"/>
      <c r="F495" s="31"/>
      <c r="G495" s="31"/>
      <c r="H495" s="44" t="s">
        <v>406</v>
      </c>
      <c r="I495" s="31"/>
      <c r="J495" s="31"/>
      <c r="K495" s="32"/>
      <c r="L495" s="32"/>
      <c r="M495" s="125"/>
      <c r="N495" s="125"/>
      <c r="O495" s="125"/>
      <c r="P495" s="125"/>
    </row>
    <row r="496" spans="1:16" ht="18">
      <c r="A496" s="32"/>
      <c r="B496" s="32"/>
      <c r="C496" s="32"/>
      <c r="D496" s="32"/>
      <c r="E496" s="32"/>
      <c r="F496" s="31"/>
      <c r="G496" s="31"/>
      <c r="H496" s="32"/>
      <c r="I496" s="31"/>
      <c r="J496" s="32"/>
      <c r="K496" s="32"/>
      <c r="L496" s="32"/>
      <c r="M496" s="125"/>
      <c r="N496" s="125"/>
      <c r="O496" s="125"/>
      <c r="P496" s="125"/>
    </row>
    <row r="497" spans="1:16" ht="18">
      <c r="A497" s="1500" t="s">
        <v>78</v>
      </c>
      <c r="B497" s="1500"/>
      <c r="C497" s="1500"/>
      <c r="D497" s="1500"/>
      <c r="E497" s="1500"/>
      <c r="F497" s="1500"/>
      <c r="G497" s="1500"/>
      <c r="H497" s="1500"/>
      <c r="I497" s="1500"/>
      <c r="J497" s="1500"/>
      <c r="K497" s="1500"/>
      <c r="L497" s="1500"/>
      <c r="M497" s="125"/>
      <c r="N497" s="125"/>
      <c r="O497" s="125"/>
      <c r="P497" s="125"/>
    </row>
    <row r="498" spans="1:16" ht="18">
      <c r="A498" s="1500" t="s">
        <v>79</v>
      </c>
      <c r="B498" s="1500"/>
      <c r="C498" s="1500"/>
      <c r="D498" s="1500"/>
      <c r="E498" s="1500"/>
      <c r="F498" s="1500"/>
      <c r="G498" s="1500"/>
      <c r="H498" s="1500"/>
      <c r="I498" s="1500"/>
      <c r="J498" s="1500"/>
      <c r="K498" s="1500"/>
      <c r="L498" s="1500"/>
      <c r="M498" s="125"/>
      <c r="N498" s="125"/>
      <c r="O498" s="125"/>
      <c r="P498" s="125"/>
    </row>
    <row r="499" spans="1:16" ht="18">
      <c r="A499" s="30" t="s">
        <v>220</v>
      </c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125"/>
      <c r="N499" s="125"/>
      <c r="O499" s="125"/>
      <c r="P499" s="125"/>
    </row>
    <row r="500" spans="1:16" ht="18">
      <c r="A500" s="30" t="s">
        <v>361</v>
      </c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125"/>
      <c r="N500" s="125"/>
      <c r="O500" s="125"/>
      <c r="P500" s="125"/>
    </row>
    <row r="501" spans="1:16" ht="18.75" thickBo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125"/>
      <c r="N501" s="125"/>
      <c r="O501" s="125"/>
      <c r="P501" s="125"/>
    </row>
    <row r="502" spans="1:16" ht="24" thickBot="1">
      <c r="A502" s="31"/>
      <c r="B502" s="31"/>
      <c r="C502" s="1515" t="s">
        <v>362</v>
      </c>
      <c r="D502" s="1516"/>
      <c r="E502" s="1516"/>
      <c r="F502" s="1516"/>
      <c r="G502" s="1517"/>
      <c r="H502" s="1545" t="s">
        <v>39</v>
      </c>
      <c r="I502" s="1519"/>
      <c r="J502" s="31"/>
      <c r="K502" s="31"/>
      <c r="L502" s="31"/>
      <c r="M502" s="125"/>
      <c r="N502" s="126" t="str">
        <f>H502</f>
        <v>1ج م آ2</v>
      </c>
      <c r="O502" s="125"/>
      <c r="P502" s="125"/>
    </row>
    <row r="503" spans="1:16" ht="18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125"/>
      <c r="N503" s="124"/>
      <c r="O503" s="125"/>
      <c r="P503" s="125"/>
    </row>
    <row r="504" spans="1:16" ht="18">
      <c r="A504" s="30" t="s">
        <v>363</v>
      </c>
      <c r="B504" s="31"/>
      <c r="C504" s="1500" t="s">
        <v>269</v>
      </c>
      <c r="D504" s="1500"/>
      <c r="E504" s="1500"/>
      <c r="F504" s="31"/>
      <c r="G504" s="31" t="s">
        <v>364</v>
      </c>
      <c r="H504" s="31"/>
      <c r="I504" s="1500"/>
      <c r="J504" s="1500"/>
      <c r="K504" s="1500"/>
      <c r="L504" s="31"/>
      <c r="M504" s="125"/>
      <c r="N504" s="124"/>
      <c r="O504" s="125"/>
      <c r="P504" s="125"/>
    </row>
    <row r="505" spans="1:16" ht="18.75" thickBot="1">
      <c r="A505" s="30" t="s">
        <v>365</v>
      </c>
      <c r="B505" s="31"/>
      <c r="C505" s="31">
        <v>2</v>
      </c>
      <c r="D505" s="31"/>
      <c r="E505" s="31"/>
      <c r="F505" s="31"/>
      <c r="G505" s="31" t="s">
        <v>366</v>
      </c>
      <c r="H505" s="31"/>
      <c r="I505" s="31">
        <v>36</v>
      </c>
      <c r="J505" s="31"/>
      <c r="K505" s="31"/>
      <c r="L505" s="31"/>
      <c r="M505" s="125"/>
      <c r="N505" s="124"/>
      <c r="O505" s="125"/>
      <c r="P505" s="125"/>
    </row>
    <row r="506" spans="1:16" ht="17.25" thickTop="1" thickBot="1">
      <c r="A506" s="1542" t="s">
        <v>367</v>
      </c>
      <c r="B506" s="1543"/>
      <c r="C506" s="1543" t="s">
        <v>360</v>
      </c>
      <c r="D506" s="1543"/>
      <c r="E506" s="1543" t="s">
        <v>368</v>
      </c>
      <c r="F506" s="1543"/>
      <c r="G506" s="1543" t="s">
        <v>369</v>
      </c>
      <c r="H506" s="1543"/>
      <c r="I506" s="1543" t="s">
        <v>370</v>
      </c>
      <c r="J506" s="1543"/>
      <c r="K506" s="1543" t="s">
        <v>371</v>
      </c>
      <c r="L506" s="1544"/>
      <c r="M506" s="125"/>
      <c r="N506" s="125"/>
      <c r="O506" s="125"/>
      <c r="P506" s="125"/>
    </row>
    <row r="507" spans="1:16" ht="17.25" thickTop="1" thickBot="1">
      <c r="A507" s="1540" t="s">
        <v>372</v>
      </c>
      <c r="B507" s="1541"/>
      <c r="C507" s="1504" t="s">
        <v>290</v>
      </c>
      <c r="D507" s="1505"/>
      <c r="E507" s="1504" t="s">
        <v>386</v>
      </c>
      <c r="F507" s="1505"/>
      <c r="G507" s="1504" t="s">
        <v>383</v>
      </c>
      <c r="H507" s="1505"/>
      <c r="I507" s="1504" t="s">
        <v>352</v>
      </c>
      <c r="J507" s="1505"/>
      <c r="K507" s="1504" t="s">
        <v>270</v>
      </c>
      <c r="L507" s="1505"/>
      <c r="M507" s="125"/>
      <c r="N507" s="125"/>
      <c r="O507" s="125"/>
      <c r="P507" s="125"/>
    </row>
    <row r="508" spans="1:16" ht="17.25" thickTop="1" thickBot="1">
      <c r="A508" s="1540" t="s">
        <v>373</v>
      </c>
      <c r="B508" s="1541"/>
      <c r="C508" s="1504" t="s">
        <v>290</v>
      </c>
      <c r="D508" s="1505"/>
      <c r="E508" s="1504" t="s">
        <v>386</v>
      </c>
      <c r="F508" s="1505"/>
      <c r="G508" s="1504" t="s">
        <v>386</v>
      </c>
      <c r="H508" s="1505"/>
      <c r="I508" s="1504" t="s">
        <v>384</v>
      </c>
      <c r="J508" s="1505"/>
      <c r="K508" s="1504" t="s">
        <v>387</v>
      </c>
      <c r="L508" s="1505"/>
      <c r="M508" s="125"/>
      <c r="N508" s="125"/>
      <c r="O508" s="125"/>
      <c r="P508" s="125"/>
    </row>
    <row r="509" spans="1:16" ht="17.25" thickTop="1" thickBot="1">
      <c r="A509" s="1540" t="s">
        <v>374</v>
      </c>
      <c r="B509" s="1541"/>
      <c r="C509" s="1504" t="s">
        <v>384</v>
      </c>
      <c r="D509" s="1505"/>
      <c r="E509" s="1504" t="s">
        <v>385</v>
      </c>
      <c r="F509" s="1505"/>
      <c r="G509" s="1504" t="s">
        <v>385</v>
      </c>
      <c r="H509" s="1505"/>
      <c r="I509" s="1504" t="s">
        <v>290</v>
      </c>
      <c r="J509" s="1505"/>
      <c r="K509" s="1504" t="s">
        <v>387</v>
      </c>
      <c r="L509" s="1505"/>
      <c r="M509" s="125"/>
      <c r="N509" s="125"/>
      <c r="O509" s="125"/>
      <c r="P509" s="125"/>
    </row>
    <row r="510" spans="1:16" ht="17.25" thickTop="1" thickBot="1">
      <c r="A510" s="1536" t="s">
        <v>375</v>
      </c>
      <c r="B510" s="1537"/>
      <c r="C510" s="1504" t="s">
        <v>384</v>
      </c>
      <c r="D510" s="1505"/>
      <c r="E510" s="1504" t="s">
        <v>385</v>
      </c>
      <c r="F510" s="1505"/>
      <c r="G510" s="1504" t="s">
        <v>262</v>
      </c>
      <c r="H510" s="1505"/>
      <c r="I510" s="1504"/>
      <c r="J510" s="1505"/>
      <c r="K510" s="1504"/>
      <c r="L510" s="1505"/>
      <c r="M510" s="125"/>
      <c r="N510" s="125"/>
      <c r="O510" s="125"/>
      <c r="P510" s="125"/>
    </row>
    <row r="511" spans="1:16" ht="17.25" thickTop="1" thickBot="1">
      <c r="A511" s="32"/>
      <c r="B511" s="32"/>
      <c r="C511" s="32"/>
      <c r="D511" s="32"/>
      <c r="E511" s="32"/>
      <c r="F511" s="32"/>
      <c r="G511" s="32"/>
      <c r="H511" s="32"/>
      <c r="I511" s="45"/>
      <c r="J511" s="45"/>
      <c r="K511" s="32"/>
      <c r="L511" s="32"/>
      <c r="M511" s="125"/>
      <c r="N511" s="125"/>
      <c r="O511" s="125"/>
      <c r="P511" s="125"/>
    </row>
    <row r="512" spans="1:16" ht="17.25" thickTop="1" thickBot="1">
      <c r="A512" s="1508" t="s">
        <v>376</v>
      </c>
      <c r="B512" s="1539"/>
      <c r="C512" s="1504" t="s">
        <v>386</v>
      </c>
      <c r="D512" s="1505"/>
      <c r="E512" s="1504" t="s">
        <v>290</v>
      </c>
      <c r="F512" s="1505"/>
      <c r="G512" s="1504" t="s">
        <v>408</v>
      </c>
      <c r="H512" s="1505"/>
      <c r="I512" s="1504" t="s">
        <v>383</v>
      </c>
      <c r="J512" s="1505"/>
      <c r="K512" s="1504" t="s">
        <v>290</v>
      </c>
      <c r="L512" s="1505"/>
      <c r="M512" s="125"/>
      <c r="N512" s="125"/>
      <c r="O512" s="125"/>
      <c r="P512" s="125"/>
    </row>
    <row r="513" spans="1:16" ht="17.25" thickTop="1" thickBot="1">
      <c r="A513" s="1506" t="s">
        <v>377</v>
      </c>
      <c r="B513" s="1538"/>
      <c r="C513" s="1504" t="s">
        <v>407</v>
      </c>
      <c r="D513" s="1505"/>
      <c r="E513" s="1504" t="s">
        <v>384</v>
      </c>
      <c r="F513" s="1505"/>
      <c r="G513" s="1504" t="s">
        <v>438</v>
      </c>
      <c r="H513" s="1505"/>
      <c r="I513" s="1504" t="s">
        <v>262</v>
      </c>
      <c r="J513" s="1505"/>
      <c r="K513" s="1504" t="s">
        <v>384</v>
      </c>
      <c r="L513" s="1505"/>
      <c r="M513" s="125"/>
      <c r="N513" s="125"/>
      <c r="O513" s="125"/>
      <c r="P513" s="125"/>
    </row>
    <row r="514" spans="1:16" ht="17.25" thickTop="1" thickBot="1">
      <c r="A514" s="1506" t="s">
        <v>378</v>
      </c>
      <c r="B514" s="1538"/>
      <c r="C514" s="1504" t="s">
        <v>409</v>
      </c>
      <c r="D514" s="1505"/>
      <c r="E514" s="1504" t="s">
        <v>262</v>
      </c>
      <c r="F514" s="1505"/>
      <c r="G514" s="1504" t="s">
        <v>434</v>
      </c>
      <c r="H514" s="1505"/>
      <c r="I514" s="1504" t="s">
        <v>385</v>
      </c>
      <c r="J514" s="1505"/>
      <c r="K514" s="1504"/>
      <c r="L514" s="1505"/>
      <c r="M514" s="125"/>
      <c r="N514" s="125"/>
      <c r="O514" s="125"/>
      <c r="P514" s="125"/>
    </row>
    <row r="515" spans="1:16" ht="17.25" thickTop="1" thickBot="1">
      <c r="A515" s="1536" t="s">
        <v>379</v>
      </c>
      <c r="B515" s="1537"/>
      <c r="C515" s="1504">
        <v>0</v>
      </c>
      <c r="D515" s="1505"/>
      <c r="E515" s="1504">
        <v>0</v>
      </c>
      <c r="F515" s="1505"/>
      <c r="G515" s="1504">
        <v>0</v>
      </c>
      <c r="H515" s="1505"/>
      <c r="I515" s="1504">
        <v>0</v>
      </c>
      <c r="J515" s="1505"/>
      <c r="K515" s="1504" t="s">
        <v>380</v>
      </c>
      <c r="L515" s="1505"/>
      <c r="M515" s="125"/>
      <c r="N515" s="125"/>
      <c r="O515" s="125"/>
      <c r="P515" s="125"/>
    </row>
    <row r="516" spans="1:16" ht="17.25" thickTop="1" thickBot="1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125"/>
      <c r="N516" s="125"/>
      <c r="O516" s="125"/>
      <c r="P516" s="125"/>
    </row>
    <row r="517" spans="1:16" ht="16.5" thickTop="1">
      <c r="A517" s="35" t="s">
        <v>381</v>
      </c>
      <c r="B517" s="36" t="s">
        <v>262</v>
      </c>
      <c r="C517" s="36" t="s">
        <v>270</v>
      </c>
      <c r="D517" s="36" t="s">
        <v>408</v>
      </c>
      <c r="E517" s="36" t="s">
        <v>383</v>
      </c>
      <c r="F517" s="36" t="s">
        <v>384</v>
      </c>
      <c r="G517" s="36" t="s">
        <v>385</v>
      </c>
      <c r="H517" s="36" t="s">
        <v>290</v>
      </c>
      <c r="I517" s="36" t="s">
        <v>386</v>
      </c>
      <c r="J517" s="36" t="s">
        <v>435</v>
      </c>
      <c r="K517" s="36" t="s">
        <v>387</v>
      </c>
      <c r="L517" s="36" t="s">
        <v>380</v>
      </c>
      <c r="M517" s="125"/>
      <c r="N517" s="125"/>
      <c r="O517" s="125"/>
      <c r="P517" s="125"/>
    </row>
    <row r="518" spans="1:16" ht="15.75">
      <c r="A518" s="37" t="s">
        <v>388</v>
      </c>
      <c r="B518" s="38" t="s">
        <v>393</v>
      </c>
      <c r="C518" s="38" t="s">
        <v>391</v>
      </c>
      <c r="D518" s="38" t="s">
        <v>391</v>
      </c>
      <c r="E518" s="38" t="s">
        <v>359</v>
      </c>
      <c r="F518" s="38" t="s">
        <v>439</v>
      </c>
      <c r="G518" s="38" t="s">
        <v>419</v>
      </c>
      <c r="H518" s="38" t="s">
        <v>392</v>
      </c>
      <c r="I518" s="38" t="s">
        <v>419</v>
      </c>
      <c r="J518" s="38" t="s">
        <v>391</v>
      </c>
      <c r="K518" s="38" t="s">
        <v>359</v>
      </c>
      <c r="L518" s="38" t="s">
        <v>380</v>
      </c>
      <c r="M518" s="125"/>
      <c r="N518" s="125"/>
      <c r="O518" s="125"/>
      <c r="P518" s="125"/>
    </row>
    <row r="519" spans="1:16" ht="15.75">
      <c r="A519" s="37" t="s">
        <v>394</v>
      </c>
      <c r="B519" s="39" t="s">
        <v>395</v>
      </c>
      <c r="C519" s="39" t="s">
        <v>269</v>
      </c>
      <c r="D519" s="39" t="s">
        <v>277</v>
      </c>
      <c r="E519" s="39" t="s">
        <v>281</v>
      </c>
      <c r="F519" s="39" t="s">
        <v>286</v>
      </c>
      <c r="G519" s="39" t="s">
        <v>288</v>
      </c>
      <c r="H519" s="39" t="s">
        <v>291</v>
      </c>
      <c r="I519" s="39" t="s">
        <v>267</v>
      </c>
      <c r="J519" s="39" t="s">
        <v>309</v>
      </c>
      <c r="K519" s="39" t="s">
        <v>313</v>
      </c>
      <c r="L519" s="40" t="s">
        <v>380</v>
      </c>
      <c r="M519" s="125"/>
      <c r="N519" s="125"/>
      <c r="O519" s="125"/>
      <c r="P519" s="125"/>
    </row>
    <row r="520" spans="1:16" ht="15.75">
      <c r="A520" s="37" t="s">
        <v>397</v>
      </c>
      <c r="B520" s="41" t="s">
        <v>345</v>
      </c>
      <c r="C520" s="41" t="s">
        <v>349</v>
      </c>
      <c r="D520" s="41" t="s">
        <v>349</v>
      </c>
      <c r="E520" s="41" t="s">
        <v>346</v>
      </c>
      <c r="F520" s="41" t="s">
        <v>346</v>
      </c>
      <c r="G520" s="41" t="s">
        <v>344</v>
      </c>
      <c r="H520" s="41" t="s">
        <v>344</v>
      </c>
      <c r="I520" s="41" t="s">
        <v>348</v>
      </c>
      <c r="J520" s="41" t="s">
        <v>345</v>
      </c>
      <c r="K520" s="41" t="s">
        <v>348</v>
      </c>
      <c r="L520" s="41" t="s">
        <v>380</v>
      </c>
      <c r="M520" s="125"/>
      <c r="N520" s="125"/>
      <c r="O520" s="125"/>
      <c r="P520" s="125"/>
    </row>
    <row r="521" spans="1:16" ht="16.5" thickBot="1">
      <c r="A521" s="42" t="s">
        <v>343</v>
      </c>
      <c r="B521" s="43">
        <v>42623.42291666667</v>
      </c>
      <c r="C521" s="43">
        <v>42684.465277777781</v>
      </c>
      <c r="D521" s="43">
        <v>42623.42291666667</v>
      </c>
      <c r="E521" s="43">
        <v>42623.42291666667</v>
      </c>
      <c r="F521" s="43">
        <v>42684.507638888892</v>
      </c>
      <c r="G521" s="43">
        <v>42623.42291666667</v>
      </c>
      <c r="H521" s="43">
        <v>0.67708333333333337</v>
      </c>
      <c r="I521" s="43">
        <v>0.67708333333333337</v>
      </c>
      <c r="J521" s="43">
        <v>42684.465277777781</v>
      </c>
      <c r="K521" s="43">
        <v>42623.42291666667</v>
      </c>
      <c r="L521" s="41" t="s">
        <v>380</v>
      </c>
      <c r="M521" s="125"/>
      <c r="N521" s="125"/>
      <c r="O521" s="125"/>
      <c r="P521" s="125"/>
    </row>
    <row r="522" spans="1:16" ht="17.25" thickTop="1" thickBot="1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125"/>
      <c r="N522" s="125"/>
      <c r="O522" s="125"/>
      <c r="P522" s="125"/>
    </row>
    <row r="523" spans="1:16" ht="19.5" thickTop="1" thickBot="1">
      <c r="A523" s="35" t="s">
        <v>399</v>
      </c>
      <c r="B523" s="1494" t="s">
        <v>380</v>
      </c>
      <c r="C523" s="1495"/>
      <c r="D523" s="1494" t="s">
        <v>380</v>
      </c>
      <c r="E523" s="1496"/>
      <c r="F523" s="32"/>
      <c r="G523" s="32"/>
      <c r="H523" s="32"/>
      <c r="I523" s="32"/>
      <c r="J523" s="32"/>
      <c r="K523" s="31"/>
      <c r="L523" s="31"/>
      <c r="M523" s="125"/>
      <c r="N523" s="124"/>
      <c r="O523" s="125"/>
      <c r="P523" s="125"/>
    </row>
    <row r="524" spans="1:16" ht="18.75" thickBot="1">
      <c r="A524" s="37" t="s">
        <v>400</v>
      </c>
      <c r="B524" s="1497" t="s">
        <v>380</v>
      </c>
      <c r="C524" s="1498"/>
      <c r="D524" s="1497" t="s">
        <v>380</v>
      </c>
      <c r="E524" s="1499"/>
      <c r="F524" s="31" t="s">
        <v>401</v>
      </c>
      <c r="G524" s="1500" t="s">
        <v>402</v>
      </c>
      <c r="H524" s="1500"/>
      <c r="I524" s="31" t="s">
        <v>403</v>
      </c>
      <c r="J524" s="1501">
        <f ca="1">TODAY()</f>
        <v>45944</v>
      </c>
      <c r="K524" s="1501"/>
      <c r="L524" s="1501"/>
      <c r="M524" s="125"/>
      <c r="N524" s="124"/>
      <c r="O524" s="125"/>
      <c r="P524" s="125"/>
    </row>
    <row r="525" spans="1:16" ht="18.75" thickBot="1">
      <c r="A525" s="42" t="s">
        <v>404</v>
      </c>
      <c r="B525" s="1491" t="s">
        <v>380</v>
      </c>
      <c r="C525" s="1492"/>
      <c r="D525" s="1491" t="s">
        <v>380</v>
      </c>
      <c r="E525" s="1493"/>
      <c r="F525" s="32"/>
      <c r="G525" s="31"/>
      <c r="H525" s="31" t="s">
        <v>405</v>
      </c>
      <c r="I525" s="31"/>
      <c r="J525" s="32"/>
      <c r="K525" s="31"/>
      <c r="L525" s="31"/>
      <c r="M525" s="125"/>
      <c r="N525" s="124"/>
      <c r="O525" s="125"/>
      <c r="P525" s="125"/>
    </row>
    <row r="526" spans="1:16" ht="18.75" thickTop="1">
      <c r="A526" s="32"/>
      <c r="B526" s="32"/>
      <c r="C526" s="32"/>
      <c r="D526" s="32"/>
      <c r="E526" s="32"/>
      <c r="F526" s="31"/>
      <c r="G526" s="31"/>
      <c r="H526" s="44" t="s">
        <v>406</v>
      </c>
      <c r="I526" s="31"/>
      <c r="J526" s="31"/>
      <c r="K526" s="32"/>
      <c r="L526" s="32"/>
      <c r="M526" s="125"/>
      <c r="N526" s="124"/>
      <c r="O526" s="125"/>
      <c r="P526" s="125"/>
    </row>
    <row r="527" spans="1:16" ht="18">
      <c r="A527" s="32"/>
      <c r="B527" s="32"/>
      <c r="C527" s="32"/>
      <c r="D527" s="32"/>
      <c r="E527" s="32"/>
      <c r="F527" s="31"/>
      <c r="G527" s="31"/>
      <c r="H527" s="32"/>
      <c r="I527" s="31"/>
      <c r="J527" s="32"/>
      <c r="K527" s="32"/>
      <c r="L527" s="32"/>
      <c r="M527" s="125"/>
      <c r="N527" s="124"/>
      <c r="O527" s="125"/>
      <c r="P527" s="125"/>
    </row>
    <row r="528" spans="1:16" ht="18">
      <c r="A528" s="1500" t="s">
        <v>78</v>
      </c>
      <c r="B528" s="1500"/>
      <c r="C528" s="1500"/>
      <c r="D528" s="1500"/>
      <c r="E528" s="1500"/>
      <c r="F528" s="1500"/>
      <c r="G528" s="1500"/>
      <c r="H528" s="1500"/>
      <c r="I528" s="1500"/>
      <c r="J528" s="1500"/>
      <c r="K528" s="1500"/>
      <c r="L528" s="1500"/>
      <c r="M528" s="125"/>
      <c r="N528" s="125"/>
      <c r="O528" s="125"/>
      <c r="P528" s="125"/>
    </row>
    <row r="529" spans="1:16" ht="18">
      <c r="A529" s="1500" t="s">
        <v>79</v>
      </c>
      <c r="B529" s="1500"/>
      <c r="C529" s="1500"/>
      <c r="D529" s="1500"/>
      <c r="E529" s="1500"/>
      <c r="F529" s="1500"/>
      <c r="G529" s="1500"/>
      <c r="H529" s="1500"/>
      <c r="I529" s="1500"/>
      <c r="J529" s="1500"/>
      <c r="K529" s="1500"/>
      <c r="L529" s="1500"/>
      <c r="M529" s="125"/>
      <c r="N529" s="125"/>
      <c r="O529" s="125"/>
      <c r="P529" s="125"/>
    </row>
    <row r="530" spans="1:16" ht="18">
      <c r="A530" s="30" t="s">
        <v>220</v>
      </c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125"/>
      <c r="N530" s="125"/>
      <c r="O530" s="125"/>
      <c r="P530" s="125"/>
    </row>
    <row r="531" spans="1:16" ht="18">
      <c r="A531" s="30" t="s">
        <v>361</v>
      </c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125"/>
      <c r="N531" s="125"/>
      <c r="O531" s="125"/>
      <c r="P531" s="125"/>
    </row>
    <row r="532" spans="1:16" ht="18.75" thickBo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125"/>
      <c r="N532" s="125"/>
      <c r="O532" s="125"/>
      <c r="P532" s="125"/>
    </row>
    <row r="533" spans="1:16" ht="24" thickBot="1">
      <c r="A533" s="31"/>
      <c r="B533" s="31"/>
      <c r="C533" s="1515" t="s">
        <v>362</v>
      </c>
      <c r="D533" s="1516"/>
      <c r="E533" s="1516"/>
      <c r="F533" s="1516"/>
      <c r="G533" s="1517"/>
      <c r="H533" s="1545" t="s">
        <v>440</v>
      </c>
      <c r="I533" s="1519"/>
      <c r="J533" s="31"/>
      <c r="K533" s="31"/>
      <c r="L533" s="31"/>
      <c r="M533" s="125"/>
      <c r="N533" s="126" t="str">
        <f>H533</f>
        <v>فارغ</v>
      </c>
      <c r="O533" s="125"/>
      <c r="P533" s="125"/>
    </row>
    <row r="534" spans="1:16" ht="18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125"/>
      <c r="N534" s="125"/>
      <c r="O534" s="125"/>
      <c r="P534" s="125"/>
    </row>
    <row r="535" spans="1:16" ht="18">
      <c r="A535" s="30" t="s">
        <v>363</v>
      </c>
      <c r="B535" s="31"/>
      <c r="C535" s="1500" t="s">
        <v>380</v>
      </c>
      <c r="D535" s="1500"/>
      <c r="E535" s="1500"/>
      <c r="F535" s="31"/>
      <c r="G535" s="31" t="s">
        <v>364</v>
      </c>
      <c r="H535" s="31"/>
      <c r="I535" s="1500" t="s">
        <v>380</v>
      </c>
      <c r="J535" s="1500"/>
      <c r="K535" s="1500"/>
      <c r="L535" s="31"/>
      <c r="M535" s="125"/>
      <c r="N535" s="125"/>
      <c r="O535" s="125"/>
      <c r="P535" s="125"/>
    </row>
    <row r="536" spans="1:16" ht="18.75" thickBot="1">
      <c r="A536" s="30" t="s">
        <v>365</v>
      </c>
      <c r="B536" s="31"/>
      <c r="C536" s="31" t="s">
        <v>380</v>
      </c>
      <c r="D536" s="31"/>
      <c r="E536" s="31"/>
      <c r="F536" s="31"/>
      <c r="G536" s="31" t="s">
        <v>366</v>
      </c>
      <c r="H536" s="31"/>
      <c r="I536" s="31"/>
      <c r="J536" s="31"/>
      <c r="K536" s="31"/>
      <c r="L536" s="31"/>
      <c r="M536" s="125"/>
      <c r="N536" s="125"/>
      <c r="O536" s="125"/>
      <c r="P536" s="125"/>
    </row>
    <row r="537" spans="1:16" ht="17.25" thickTop="1" thickBot="1">
      <c r="A537" s="1542" t="s">
        <v>367</v>
      </c>
      <c r="B537" s="1543"/>
      <c r="C537" s="1543" t="s">
        <v>360</v>
      </c>
      <c r="D537" s="1543"/>
      <c r="E537" s="1543" t="s">
        <v>368</v>
      </c>
      <c r="F537" s="1543"/>
      <c r="G537" s="1543" t="s">
        <v>369</v>
      </c>
      <c r="H537" s="1543"/>
      <c r="I537" s="1543" t="s">
        <v>370</v>
      </c>
      <c r="J537" s="1543"/>
      <c r="K537" s="1543" t="s">
        <v>371</v>
      </c>
      <c r="L537" s="1544"/>
      <c r="M537" s="125"/>
      <c r="N537" s="125"/>
      <c r="O537" s="125"/>
      <c r="P537" s="125"/>
    </row>
    <row r="538" spans="1:16" ht="17.25" thickTop="1" thickBot="1">
      <c r="A538" s="1540" t="s">
        <v>372</v>
      </c>
      <c r="B538" s="1541"/>
      <c r="C538" s="1504">
        <v>0</v>
      </c>
      <c r="D538" s="1505"/>
      <c r="E538" s="1504">
        <v>0</v>
      </c>
      <c r="F538" s="1505"/>
      <c r="G538" s="1504">
        <v>0</v>
      </c>
      <c r="H538" s="1505"/>
      <c r="I538" s="1504">
        <v>0</v>
      </c>
      <c r="J538" s="1505"/>
      <c r="K538" s="1504">
        <v>0</v>
      </c>
      <c r="L538" s="1505"/>
      <c r="M538" s="125"/>
      <c r="N538" s="125"/>
      <c r="O538" s="125"/>
      <c r="P538" s="125"/>
    </row>
    <row r="539" spans="1:16" ht="17.25" thickTop="1" thickBot="1">
      <c r="A539" s="1540" t="s">
        <v>373</v>
      </c>
      <c r="B539" s="1541"/>
      <c r="C539" s="1504">
        <v>0</v>
      </c>
      <c r="D539" s="1505"/>
      <c r="E539" s="1504">
        <v>0</v>
      </c>
      <c r="F539" s="1505"/>
      <c r="G539" s="1504">
        <v>0</v>
      </c>
      <c r="H539" s="1505"/>
      <c r="I539" s="1504">
        <v>0</v>
      </c>
      <c r="J539" s="1505"/>
      <c r="K539" s="1504">
        <v>0</v>
      </c>
      <c r="L539" s="1505"/>
      <c r="M539" s="125"/>
      <c r="N539" s="125"/>
      <c r="O539" s="125"/>
      <c r="P539" s="125"/>
    </row>
    <row r="540" spans="1:16" ht="17.25" thickTop="1" thickBot="1">
      <c r="A540" s="1540" t="s">
        <v>374</v>
      </c>
      <c r="B540" s="1541"/>
      <c r="C540" s="1504">
        <v>0</v>
      </c>
      <c r="D540" s="1505"/>
      <c r="E540" s="1504">
        <v>0</v>
      </c>
      <c r="F540" s="1505"/>
      <c r="G540" s="1504">
        <v>0</v>
      </c>
      <c r="H540" s="1505"/>
      <c r="I540" s="1504">
        <v>0</v>
      </c>
      <c r="J540" s="1505"/>
      <c r="K540" s="1504">
        <v>0</v>
      </c>
      <c r="L540" s="1505"/>
      <c r="M540" s="125"/>
      <c r="N540" s="125"/>
      <c r="O540" s="125"/>
      <c r="P540" s="125"/>
    </row>
    <row r="541" spans="1:16" ht="17.25" thickTop="1" thickBot="1">
      <c r="A541" s="1536" t="s">
        <v>375</v>
      </c>
      <c r="B541" s="1537"/>
      <c r="C541" s="1504">
        <v>0</v>
      </c>
      <c r="D541" s="1505"/>
      <c r="E541" s="1504">
        <v>0</v>
      </c>
      <c r="F541" s="1505"/>
      <c r="G541" s="1504">
        <v>0</v>
      </c>
      <c r="H541" s="1505"/>
      <c r="I541" s="1504">
        <v>0</v>
      </c>
      <c r="J541" s="1505"/>
      <c r="K541" s="1504">
        <v>0</v>
      </c>
      <c r="L541" s="1505"/>
      <c r="M541" s="125"/>
      <c r="N541" s="125"/>
      <c r="O541" s="125"/>
      <c r="P541" s="125"/>
    </row>
    <row r="542" spans="1:16" ht="17.25" thickTop="1" thickBot="1">
      <c r="A542" s="32"/>
      <c r="B542" s="32"/>
      <c r="C542" s="32"/>
      <c r="D542" s="32"/>
      <c r="E542" s="32"/>
      <c r="F542" s="32"/>
      <c r="G542" s="32"/>
      <c r="H542" s="32"/>
      <c r="I542" s="45"/>
      <c r="J542" s="45"/>
      <c r="K542" s="32"/>
      <c r="L542" s="32"/>
      <c r="M542" s="125"/>
      <c r="N542" s="125"/>
      <c r="O542" s="125"/>
      <c r="P542" s="125"/>
    </row>
    <row r="543" spans="1:16" ht="17.25" thickTop="1" thickBot="1">
      <c r="A543" s="1508" t="s">
        <v>376</v>
      </c>
      <c r="B543" s="1539"/>
      <c r="C543" s="1504">
        <v>0</v>
      </c>
      <c r="D543" s="1505"/>
      <c r="E543" s="1504">
        <v>0</v>
      </c>
      <c r="F543" s="1505"/>
      <c r="G543" s="1504">
        <v>0</v>
      </c>
      <c r="H543" s="1505"/>
      <c r="I543" s="1504">
        <v>0</v>
      </c>
      <c r="J543" s="1505"/>
      <c r="K543" s="1504">
        <v>0</v>
      </c>
      <c r="L543" s="1505"/>
      <c r="M543" s="125"/>
      <c r="N543" s="125"/>
      <c r="O543" s="125"/>
      <c r="P543" s="125"/>
    </row>
    <row r="544" spans="1:16" ht="17.25" thickTop="1" thickBot="1">
      <c r="A544" s="1506" t="s">
        <v>377</v>
      </c>
      <c r="B544" s="1538"/>
      <c r="C544" s="1504">
        <v>0</v>
      </c>
      <c r="D544" s="1505"/>
      <c r="E544" s="1504">
        <v>0</v>
      </c>
      <c r="F544" s="1505"/>
      <c r="G544" s="1504">
        <v>0</v>
      </c>
      <c r="H544" s="1505"/>
      <c r="I544" s="1504">
        <v>0</v>
      </c>
      <c r="J544" s="1505"/>
      <c r="K544" s="1504">
        <v>0</v>
      </c>
      <c r="L544" s="1505"/>
      <c r="M544" s="125"/>
      <c r="N544" s="125"/>
      <c r="O544" s="125"/>
      <c r="P544" s="125"/>
    </row>
    <row r="545" spans="1:16" ht="17.25" thickTop="1" thickBot="1">
      <c r="A545" s="1506" t="s">
        <v>378</v>
      </c>
      <c r="B545" s="1538"/>
      <c r="C545" s="1504">
        <v>0</v>
      </c>
      <c r="D545" s="1505"/>
      <c r="E545" s="1504">
        <v>0</v>
      </c>
      <c r="F545" s="1505"/>
      <c r="G545" s="1504">
        <v>0</v>
      </c>
      <c r="H545" s="1505"/>
      <c r="I545" s="1504">
        <v>0</v>
      </c>
      <c r="J545" s="1505"/>
      <c r="K545" s="1504">
        <v>0</v>
      </c>
      <c r="L545" s="1505"/>
      <c r="M545" s="125"/>
      <c r="N545" s="125"/>
      <c r="O545" s="125"/>
      <c r="P545" s="125"/>
    </row>
    <row r="546" spans="1:16" ht="17.25" thickTop="1" thickBot="1">
      <c r="A546" s="1536" t="s">
        <v>379</v>
      </c>
      <c r="B546" s="1537"/>
      <c r="C546" s="1504">
        <v>0</v>
      </c>
      <c r="D546" s="1505"/>
      <c r="E546" s="1504">
        <v>0</v>
      </c>
      <c r="F546" s="1505"/>
      <c r="G546" s="1504">
        <v>0</v>
      </c>
      <c r="H546" s="1505"/>
      <c r="I546" s="1504">
        <v>0</v>
      </c>
      <c r="J546" s="1505"/>
      <c r="K546" s="1504" t="s">
        <v>380</v>
      </c>
      <c r="L546" s="1505"/>
      <c r="M546" s="125"/>
      <c r="N546" s="125"/>
      <c r="O546" s="125"/>
      <c r="P546" s="125"/>
    </row>
    <row r="547" spans="1:16" ht="17.25" thickTop="1" thickBot="1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125"/>
      <c r="N547" s="125"/>
      <c r="O547" s="125"/>
      <c r="P547" s="125"/>
    </row>
    <row r="548" spans="1:16" ht="16.5" thickTop="1">
      <c r="A548" s="35" t="s">
        <v>381</v>
      </c>
      <c r="B548" s="36" t="s">
        <v>380</v>
      </c>
      <c r="C548" s="36" t="s">
        <v>380</v>
      </c>
      <c r="D548" s="36" t="s">
        <v>380</v>
      </c>
      <c r="E548" s="36" t="s">
        <v>380</v>
      </c>
      <c r="F548" s="36" t="s">
        <v>380</v>
      </c>
      <c r="G548" s="36" t="s">
        <v>380</v>
      </c>
      <c r="H548" s="36" t="s">
        <v>380</v>
      </c>
      <c r="I548" s="36" t="s">
        <v>380</v>
      </c>
      <c r="J548" s="36" t="s">
        <v>380</v>
      </c>
      <c r="K548" s="36" t="s">
        <v>380</v>
      </c>
      <c r="L548" s="36" t="s">
        <v>380</v>
      </c>
      <c r="M548" s="125"/>
      <c r="N548" s="125"/>
      <c r="O548" s="125"/>
      <c r="P548" s="125"/>
    </row>
    <row r="549" spans="1:16" ht="15.75">
      <c r="A549" s="37" t="s">
        <v>388</v>
      </c>
      <c r="B549" s="38" t="s">
        <v>380</v>
      </c>
      <c r="C549" s="38" t="s">
        <v>380</v>
      </c>
      <c r="D549" s="38" t="s">
        <v>380</v>
      </c>
      <c r="E549" s="38" t="s">
        <v>380</v>
      </c>
      <c r="F549" s="38" t="s">
        <v>380</v>
      </c>
      <c r="G549" s="38" t="s">
        <v>380</v>
      </c>
      <c r="H549" s="38" t="s">
        <v>380</v>
      </c>
      <c r="I549" s="38" t="s">
        <v>380</v>
      </c>
      <c r="J549" s="38" t="s">
        <v>380</v>
      </c>
      <c r="K549" s="38" t="s">
        <v>380</v>
      </c>
      <c r="L549" s="38" t="s">
        <v>380</v>
      </c>
      <c r="M549" s="125"/>
      <c r="N549" s="125"/>
      <c r="O549" s="125"/>
      <c r="P549" s="125"/>
    </row>
    <row r="550" spans="1:16" ht="15.75">
      <c r="A550" s="37" t="s">
        <v>394</v>
      </c>
      <c r="B550" s="40" t="s">
        <v>380</v>
      </c>
      <c r="C550" s="40" t="s">
        <v>380</v>
      </c>
      <c r="D550" s="40" t="s">
        <v>380</v>
      </c>
      <c r="E550" s="40" t="s">
        <v>380</v>
      </c>
      <c r="F550" s="40" t="s">
        <v>380</v>
      </c>
      <c r="G550" s="40" t="s">
        <v>380</v>
      </c>
      <c r="H550" s="40" t="s">
        <v>380</v>
      </c>
      <c r="I550" s="40" t="s">
        <v>380</v>
      </c>
      <c r="J550" s="40" t="s">
        <v>380</v>
      </c>
      <c r="K550" s="40" t="s">
        <v>380</v>
      </c>
      <c r="L550" s="40" t="s">
        <v>380</v>
      </c>
      <c r="M550" s="125"/>
      <c r="N550" s="125"/>
      <c r="O550" s="125"/>
      <c r="P550" s="125"/>
    </row>
    <row r="551" spans="1:16" ht="15.75">
      <c r="A551" s="37" t="s">
        <v>397</v>
      </c>
      <c r="B551" s="41" t="s">
        <v>380</v>
      </c>
      <c r="C551" s="41" t="s">
        <v>380</v>
      </c>
      <c r="D551" s="41" t="s">
        <v>380</v>
      </c>
      <c r="E551" s="41" t="s">
        <v>380</v>
      </c>
      <c r="F551" s="41" t="s">
        <v>380</v>
      </c>
      <c r="G551" s="41" t="s">
        <v>380</v>
      </c>
      <c r="H551" s="41" t="s">
        <v>380</v>
      </c>
      <c r="I551" s="41" t="s">
        <v>380</v>
      </c>
      <c r="J551" s="41" t="s">
        <v>380</v>
      </c>
      <c r="K551" s="41" t="s">
        <v>380</v>
      </c>
      <c r="L551" s="41" t="s">
        <v>380</v>
      </c>
      <c r="M551" s="125"/>
      <c r="N551" s="125"/>
      <c r="O551" s="125"/>
      <c r="P551" s="125"/>
    </row>
    <row r="552" spans="1:16" ht="16.5" thickBot="1">
      <c r="A552" s="42" t="s">
        <v>343</v>
      </c>
      <c r="B552" s="41" t="s">
        <v>380</v>
      </c>
      <c r="C552" s="41" t="s">
        <v>380</v>
      </c>
      <c r="D552" s="41" t="s">
        <v>380</v>
      </c>
      <c r="E552" s="41" t="s">
        <v>380</v>
      </c>
      <c r="F552" s="41" t="s">
        <v>380</v>
      </c>
      <c r="G552" s="41" t="s">
        <v>380</v>
      </c>
      <c r="H552" s="41" t="s">
        <v>380</v>
      </c>
      <c r="I552" s="41" t="s">
        <v>380</v>
      </c>
      <c r="J552" s="41" t="s">
        <v>380</v>
      </c>
      <c r="K552" s="41" t="s">
        <v>380</v>
      </c>
      <c r="L552" s="41" t="s">
        <v>380</v>
      </c>
      <c r="M552" s="125"/>
      <c r="N552" s="125"/>
      <c r="O552" s="125"/>
      <c r="P552" s="125"/>
    </row>
    <row r="553" spans="1:16" ht="17.25" thickTop="1" thickBot="1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125"/>
      <c r="N553" s="125"/>
      <c r="O553" s="125"/>
      <c r="P553" s="125"/>
    </row>
    <row r="554" spans="1:16" ht="19.5" thickTop="1" thickBot="1">
      <c r="A554" s="35" t="s">
        <v>399</v>
      </c>
      <c r="B554" s="1494" t="s">
        <v>380</v>
      </c>
      <c r="C554" s="1495"/>
      <c r="D554" s="1494" t="s">
        <v>380</v>
      </c>
      <c r="E554" s="1496"/>
      <c r="F554" s="32"/>
      <c r="G554" s="32"/>
      <c r="H554" s="32"/>
      <c r="I554" s="32"/>
      <c r="J554" s="32"/>
      <c r="K554" s="31"/>
      <c r="L554" s="31"/>
      <c r="M554" s="125"/>
      <c r="N554" s="125"/>
      <c r="O554" s="125"/>
      <c r="P554" s="125"/>
    </row>
    <row r="555" spans="1:16" ht="18.75" thickBot="1">
      <c r="A555" s="37" t="s">
        <v>400</v>
      </c>
      <c r="B555" s="1497" t="s">
        <v>380</v>
      </c>
      <c r="C555" s="1498"/>
      <c r="D555" s="1497" t="s">
        <v>380</v>
      </c>
      <c r="E555" s="1499"/>
      <c r="F555" s="31" t="s">
        <v>401</v>
      </c>
      <c r="G555" s="1500" t="s">
        <v>402</v>
      </c>
      <c r="H555" s="1500"/>
      <c r="I555" s="31" t="s">
        <v>403</v>
      </c>
      <c r="J555" s="1501">
        <v>42610.364183217593</v>
      </c>
      <c r="K555" s="1501"/>
      <c r="L555" s="1501"/>
      <c r="M555" s="125"/>
      <c r="N555" s="125"/>
      <c r="O555" s="125"/>
      <c r="P555" s="125"/>
    </row>
    <row r="556" spans="1:16" ht="18.75" thickBot="1">
      <c r="A556" s="42" t="s">
        <v>404</v>
      </c>
      <c r="B556" s="1491" t="s">
        <v>380</v>
      </c>
      <c r="C556" s="1492"/>
      <c r="D556" s="1491" t="s">
        <v>380</v>
      </c>
      <c r="E556" s="1493"/>
      <c r="F556" s="32"/>
      <c r="G556" s="31"/>
      <c r="H556" s="31" t="s">
        <v>405</v>
      </c>
      <c r="I556" s="31"/>
      <c r="J556" s="32"/>
      <c r="K556" s="31"/>
      <c r="L556" s="31"/>
      <c r="M556" s="125"/>
      <c r="N556" s="125"/>
      <c r="O556" s="125"/>
      <c r="P556" s="125"/>
    </row>
    <row r="557" spans="1:16" ht="18.75" thickTop="1">
      <c r="A557" s="32"/>
      <c r="B557" s="32"/>
      <c r="C557" s="32"/>
      <c r="D557" s="32"/>
      <c r="E557" s="32"/>
      <c r="F557" s="31"/>
      <c r="G557" s="31"/>
      <c r="H557" s="44" t="s">
        <v>406</v>
      </c>
      <c r="I557" s="31"/>
      <c r="J557" s="31"/>
      <c r="K557" s="32"/>
      <c r="L557" s="32"/>
      <c r="M557" s="125"/>
      <c r="N557" s="125"/>
      <c r="O557" s="125"/>
      <c r="P557" s="125"/>
    </row>
    <row r="558" spans="1:16" ht="18">
      <c r="A558" s="32"/>
      <c r="B558" s="32"/>
      <c r="C558" s="32"/>
      <c r="D558" s="32"/>
      <c r="E558" s="32"/>
      <c r="F558" s="31"/>
      <c r="G558" s="31"/>
      <c r="H558" s="32"/>
      <c r="I558" s="31"/>
      <c r="J558" s="32"/>
      <c r="K558" s="32"/>
      <c r="L558" s="32"/>
      <c r="M558" s="125"/>
      <c r="N558" s="125"/>
      <c r="O558" s="125"/>
      <c r="P558" s="125"/>
    </row>
    <row r="559" spans="1:16" ht="18">
      <c r="A559" s="1500" t="s">
        <v>78</v>
      </c>
      <c r="B559" s="1500"/>
      <c r="C559" s="1500"/>
      <c r="D559" s="1500"/>
      <c r="E559" s="1500"/>
      <c r="F559" s="1500"/>
      <c r="G559" s="1500"/>
      <c r="H559" s="1500"/>
      <c r="I559" s="1500"/>
      <c r="J559" s="1500"/>
      <c r="K559" s="1500"/>
      <c r="L559" s="1500"/>
      <c r="M559" s="125"/>
      <c r="N559" s="125"/>
      <c r="O559" s="125"/>
      <c r="P559" s="125"/>
    </row>
    <row r="560" spans="1:16" ht="18">
      <c r="A560" s="1500" t="s">
        <v>79</v>
      </c>
      <c r="B560" s="1500"/>
      <c r="C560" s="1500"/>
      <c r="D560" s="1500"/>
      <c r="E560" s="1500"/>
      <c r="F560" s="1500"/>
      <c r="G560" s="1500"/>
      <c r="H560" s="1500"/>
      <c r="I560" s="1500"/>
      <c r="J560" s="1500"/>
      <c r="K560" s="1500"/>
      <c r="L560" s="1500"/>
      <c r="M560" s="125"/>
      <c r="N560" s="125"/>
      <c r="O560" s="125"/>
      <c r="P560" s="125"/>
    </row>
    <row r="561" spans="1:16" ht="18">
      <c r="A561" s="30" t="s">
        <v>220</v>
      </c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125"/>
      <c r="N561" s="125"/>
      <c r="O561" s="125"/>
      <c r="P561" s="125"/>
    </row>
    <row r="562" spans="1:16" ht="18">
      <c r="A562" s="30" t="s">
        <v>361</v>
      </c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125"/>
      <c r="N562" s="125"/>
      <c r="O562" s="125"/>
      <c r="P562" s="125"/>
    </row>
    <row r="563" spans="1:16" ht="18.75" thickBo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125"/>
      <c r="N563" s="125"/>
      <c r="O563" s="125"/>
      <c r="P563" s="125"/>
    </row>
    <row r="564" spans="1:16" ht="24" thickBot="1">
      <c r="A564" s="31"/>
      <c r="B564" s="31"/>
      <c r="C564" s="1515" t="s">
        <v>362</v>
      </c>
      <c r="D564" s="1516"/>
      <c r="E564" s="1516"/>
      <c r="F564" s="1516"/>
      <c r="G564" s="1517"/>
      <c r="H564" s="1545" t="s">
        <v>440</v>
      </c>
      <c r="I564" s="1519"/>
      <c r="J564" s="31"/>
      <c r="K564" s="31"/>
      <c r="L564" s="31"/>
      <c r="M564" s="125"/>
      <c r="N564" s="126" t="str">
        <f>H564</f>
        <v>فارغ</v>
      </c>
      <c r="O564" s="125"/>
      <c r="P564" s="125"/>
    </row>
    <row r="565" spans="1:16" ht="18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125"/>
      <c r="N565" s="125"/>
      <c r="O565" s="125"/>
      <c r="P565" s="125"/>
    </row>
    <row r="566" spans="1:16" ht="18">
      <c r="A566" s="30" t="s">
        <v>363</v>
      </c>
      <c r="B566" s="31"/>
      <c r="C566" s="1500" t="s">
        <v>380</v>
      </c>
      <c r="D566" s="1500"/>
      <c r="E566" s="1500"/>
      <c r="F566" s="31"/>
      <c r="G566" s="31" t="s">
        <v>364</v>
      </c>
      <c r="H566" s="31"/>
      <c r="I566" s="1500" t="s">
        <v>380</v>
      </c>
      <c r="J566" s="1500"/>
      <c r="K566" s="1500"/>
      <c r="L566" s="31"/>
      <c r="M566" s="125"/>
      <c r="N566" s="125"/>
      <c r="O566" s="125"/>
      <c r="P566" s="125"/>
    </row>
    <row r="567" spans="1:16" ht="18.75" thickBot="1">
      <c r="A567" s="30" t="s">
        <v>365</v>
      </c>
      <c r="B567" s="31"/>
      <c r="C567" s="31" t="s">
        <v>380</v>
      </c>
      <c r="D567" s="31"/>
      <c r="E567" s="31"/>
      <c r="F567" s="31"/>
      <c r="G567" s="31" t="s">
        <v>366</v>
      </c>
      <c r="H567" s="31"/>
      <c r="I567" s="31"/>
      <c r="J567" s="31"/>
      <c r="K567" s="31"/>
      <c r="L567" s="31"/>
      <c r="M567" s="125"/>
      <c r="N567" s="125"/>
      <c r="O567" s="125"/>
      <c r="P567" s="125"/>
    </row>
    <row r="568" spans="1:16" ht="17.25" thickTop="1" thickBot="1">
      <c r="A568" s="1542" t="s">
        <v>367</v>
      </c>
      <c r="B568" s="1543"/>
      <c r="C568" s="1543" t="s">
        <v>360</v>
      </c>
      <c r="D568" s="1543"/>
      <c r="E568" s="1543" t="s">
        <v>368</v>
      </c>
      <c r="F568" s="1543"/>
      <c r="G568" s="1543" t="s">
        <v>369</v>
      </c>
      <c r="H568" s="1543"/>
      <c r="I568" s="1543" t="s">
        <v>370</v>
      </c>
      <c r="J568" s="1543"/>
      <c r="K568" s="1543" t="s">
        <v>371</v>
      </c>
      <c r="L568" s="1544"/>
      <c r="M568" s="125"/>
      <c r="N568" s="125"/>
      <c r="O568" s="125"/>
      <c r="P568" s="125"/>
    </row>
    <row r="569" spans="1:16" ht="17.25" thickTop="1" thickBot="1">
      <c r="A569" s="1540" t="s">
        <v>372</v>
      </c>
      <c r="B569" s="1541"/>
      <c r="C569" s="1504">
        <v>0</v>
      </c>
      <c r="D569" s="1505"/>
      <c r="E569" s="1504">
        <v>0</v>
      </c>
      <c r="F569" s="1505"/>
      <c r="G569" s="1504">
        <v>0</v>
      </c>
      <c r="H569" s="1505"/>
      <c r="I569" s="1504">
        <v>0</v>
      </c>
      <c r="J569" s="1505"/>
      <c r="K569" s="1504">
        <v>0</v>
      </c>
      <c r="L569" s="1505"/>
      <c r="M569" s="125"/>
      <c r="N569" s="125"/>
      <c r="O569" s="125"/>
      <c r="P569" s="125"/>
    </row>
    <row r="570" spans="1:16" ht="17.25" thickTop="1" thickBot="1">
      <c r="A570" s="1540" t="s">
        <v>373</v>
      </c>
      <c r="B570" s="1541"/>
      <c r="C570" s="1504">
        <v>0</v>
      </c>
      <c r="D570" s="1505"/>
      <c r="E570" s="1504">
        <v>0</v>
      </c>
      <c r="F570" s="1505"/>
      <c r="G570" s="1504">
        <v>0</v>
      </c>
      <c r="H570" s="1505"/>
      <c r="I570" s="1504">
        <v>0</v>
      </c>
      <c r="J570" s="1505"/>
      <c r="K570" s="1504">
        <v>0</v>
      </c>
      <c r="L570" s="1505"/>
      <c r="M570" s="125"/>
      <c r="N570" s="125"/>
      <c r="O570" s="125"/>
      <c r="P570" s="125"/>
    </row>
    <row r="571" spans="1:16" ht="17.25" thickTop="1" thickBot="1">
      <c r="A571" s="1540" t="s">
        <v>374</v>
      </c>
      <c r="B571" s="1541"/>
      <c r="C571" s="1504">
        <v>0</v>
      </c>
      <c r="D571" s="1505"/>
      <c r="E571" s="1504">
        <v>0</v>
      </c>
      <c r="F571" s="1505"/>
      <c r="G571" s="1504">
        <v>0</v>
      </c>
      <c r="H571" s="1505"/>
      <c r="I571" s="1504">
        <v>0</v>
      </c>
      <c r="J571" s="1505"/>
      <c r="K571" s="1504">
        <v>0</v>
      </c>
      <c r="L571" s="1505"/>
      <c r="M571" s="125"/>
      <c r="N571" s="125"/>
      <c r="O571" s="125"/>
      <c r="P571" s="125"/>
    </row>
    <row r="572" spans="1:16" ht="17.25" thickTop="1" thickBot="1">
      <c r="A572" s="1536" t="s">
        <v>375</v>
      </c>
      <c r="B572" s="1537"/>
      <c r="C572" s="1504">
        <v>0</v>
      </c>
      <c r="D572" s="1505"/>
      <c r="E572" s="1504">
        <v>0</v>
      </c>
      <c r="F572" s="1505"/>
      <c r="G572" s="1504">
        <v>0</v>
      </c>
      <c r="H572" s="1505"/>
      <c r="I572" s="1504">
        <v>0</v>
      </c>
      <c r="J572" s="1505"/>
      <c r="K572" s="1504">
        <v>0</v>
      </c>
      <c r="L572" s="1505"/>
      <c r="M572" s="125"/>
      <c r="N572" s="125"/>
      <c r="O572" s="125"/>
      <c r="P572" s="125"/>
    </row>
    <row r="573" spans="1:16" ht="17.25" thickTop="1" thickBot="1">
      <c r="A573" s="32"/>
      <c r="B573" s="32"/>
      <c r="C573" s="32"/>
      <c r="D573" s="32"/>
      <c r="E573" s="32"/>
      <c r="F573" s="32"/>
      <c r="G573" s="32"/>
      <c r="H573" s="32"/>
      <c r="I573" s="45"/>
      <c r="J573" s="45"/>
      <c r="K573" s="32"/>
      <c r="L573" s="32"/>
      <c r="M573" s="125"/>
      <c r="N573" s="125"/>
      <c r="O573" s="125"/>
      <c r="P573" s="125"/>
    </row>
    <row r="574" spans="1:16" ht="17.25" thickTop="1" thickBot="1">
      <c r="A574" s="1508" t="s">
        <v>376</v>
      </c>
      <c r="B574" s="1539"/>
      <c r="C574" s="1504">
        <v>0</v>
      </c>
      <c r="D574" s="1505"/>
      <c r="E574" s="1504">
        <v>0</v>
      </c>
      <c r="F574" s="1505"/>
      <c r="G574" s="1504">
        <v>0</v>
      </c>
      <c r="H574" s="1505"/>
      <c r="I574" s="1504">
        <v>0</v>
      </c>
      <c r="J574" s="1505"/>
      <c r="K574" s="1504">
        <v>0</v>
      </c>
      <c r="L574" s="1505"/>
      <c r="M574" s="125"/>
      <c r="N574" s="125"/>
      <c r="O574" s="125"/>
      <c r="P574" s="125"/>
    </row>
    <row r="575" spans="1:16" ht="17.25" thickTop="1" thickBot="1">
      <c r="A575" s="1506" t="s">
        <v>377</v>
      </c>
      <c r="B575" s="1538"/>
      <c r="C575" s="1504">
        <v>0</v>
      </c>
      <c r="D575" s="1505"/>
      <c r="E575" s="1504">
        <v>0</v>
      </c>
      <c r="F575" s="1505"/>
      <c r="G575" s="1504">
        <v>0</v>
      </c>
      <c r="H575" s="1505"/>
      <c r="I575" s="1504">
        <v>0</v>
      </c>
      <c r="J575" s="1505"/>
      <c r="K575" s="1504">
        <v>0</v>
      </c>
      <c r="L575" s="1505"/>
      <c r="M575" s="125"/>
      <c r="N575" s="125"/>
      <c r="O575" s="125"/>
      <c r="P575" s="125"/>
    </row>
    <row r="576" spans="1:16" ht="17.25" thickTop="1" thickBot="1">
      <c r="A576" s="1506" t="s">
        <v>378</v>
      </c>
      <c r="B576" s="1538"/>
      <c r="C576" s="1504">
        <v>0</v>
      </c>
      <c r="D576" s="1505"/>
      <c r="E576" s="1504">
        <v>0</v>
      </c>
      <c r="F576" s="1505"/>
      <c r="G576" s="1504">
        <v>0</v>
      </c>
      <c r="H576" s="1505"/>
      <c r="I576" s="1504">
        <v>0</v>
      </c>
      <c r="J576" s="1505"/>
      <c r="K576" s="1504">
        <v>0</v>
      </c>
      <c r="L576" s="1505"/>
      <c r="M576" s="125"/>
      <c r="N576" s="125"/>
      <c r="O576" s="125"/>
      <c r="P576" s="125"/>
    </row>
    <row r="577" spans="1:16" ht="17.25" thickTop="1" thickBot="1">
      <c r="A577" s="1536" t="s">
        <v>379</v>
      </c>
      <c r="B577" s="1537"/>
      <c r="C577" s="1504">
        <v>0</v>
      </c>
      <c r="D577" s="1505"/>
      <c r="E577" s="1504">
        <v>0</v>
      </c>
      <c r="F577" s="1505"/>
      <c r="G577" s="1504">
        <v>0</v>
      </c>
      <c r="H577" s="1505"/>
      <c r="I577" s="1504">
        <v>0</v>
      </c>
      <c r="J577" s="1505"/>
      <c r="K577" s="1504" t="s">
        <v>380</v>
      </c>
      <c r="L577" s="1505"/>
      <c r="M577" s="125"/>
      <c r="N577" s="125"/>
      <c r="O577" s="125"/>
      <c r="P577" s="125"/>
    </row>
    <row r="578" spans="1:16" ht="17.25" thickTop="1" thickBot="1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125"/>
      <c r="N578" s="125"/>
      <c r="O578" s="125"/>
      <c r="P578" s="125"/>
    </row>
    <row r="579" spans="1:16" ht="16.5" thickTop="1">
      <c r="A579" s="35" t="s">
        <v>381</v>
      </c>
      <c r="B579" s="36" t="s">
        <v>380</v>
      </c>
      <c r="C579" s="36" t="s">
        <v>380</v>
      </c>
      <c r="D579" s="36" t="s">
        <v>380</v>
      </c>
      <c r="E579" s="36" t="s">
        <v>380</v>
      </c>
      <c r="F579" s="36" t="s">
        <v>380</v>
      </c>
      <c r="G579" s="36" t="s">
        <v>380</v>
      </c>
      <c r="H579" s="36" t="s">
        <v>380</v>
      </c>
      <c r="I579" s="36" t="s">
        <v>380</v>
      </c>
      <c r="J579" s="36" t="s">
        <v>380</v>
      </c>
      <c r="K579" s="36" t="s">
        <v>380</v>
      </c>
      <c r="L579" s="36" t="s">
        <v>380</v>
      </c>
      <c r="M579" s="125"/>
      <c r="N579" s="125"/>
      <c r="O579" s="125"/>
      <c r="P579" s="125"/>
    </row>
    <row r="580" spans="1:16" ht="15.75">
      <c r="A580" s="37" t="s">
        <v>388</v>
      </c>
      <c r="B580" s="38" t="s">
        <v>380</v>
      </c>
      <c r="C580" s="38" t="s">
        <v>380</v>
      </c>
      <c r="D580" s="38" t="s">
        <v>380</v>
      </c>
      <c r="E580" s="38" t="s">
        <v>380</v>
      </c>
      <c r="F580" s="38" t="s">
        <v>380</v>
      </c>
      <c r="G580" s="38" t="s">
        <v>380</v>
      </c>
      <c r="H580" s="38" t="s">
        <v>380</v>
      </c>
      <c r="I580" s="38" t="s">
        <v>380</v>
      </c>
      <c r="J580" s="38" t="s">
        <v>380</v>
      </c>
      <c r="K580" s="38" t="s">
        <v>380</v>
      </c>
      <c r="L580" s="38" t="s">
        <v>380</v>
      </c>
      <c r="M580" s="125"/>
      <c r="N580" s="125"/>
      <c r="O580" s="125"/>
      <c r="P580" s="125"/>
    </row>
    <row r="581" spans="1:16" ht="15.75">
      <c r="A581" s="37" t="s">
        <v>394</v>
      </c>
      <c r="B581" s="40" t="s">
        <v>380</v>
      </c>
      <c r="C581" s="40" t="s">
        <v>380</v>
      </c>
      <c r="D581" s="40" t="s">
        <v>380</v>
      </c>
      <c r="E581" s="40" t="s">
        <v>380</v>
      </c>
      <c r="F581" s="40" t="s">
        <v>380</v>
      </c>
      <c r="G581" s="40" t="s">
        <v>380</v>
      </c>
      <c r="H581" s="40" t="s">
        <v>380</v>
      </c>
      <c r="I581" s="40" t="s">
        <v>380</v>
      </c>
      <c r="J581" s="40" t="s">
        <v>380</v>
      </c>
      <c r="K581" s="40" t="s">
        <v>380</v>
      </c>
      <c r="L581" s="40" t="s">
        <v>380</v>
      </c>
      <c r="M581" s="125"/>
      <c r="N581" s="125"/>
      <c r="O581" s="125"/>
      <c r="P581" s="125"/>
    </row>
    <row r="582" spans="1:16" ht="15.75">
      <c r="A582" s="37" t="s">
        <v>397</v>
      </c>
      <c r="B582" s="41" t="s">
        <v>380</v>
      </c>
      <c r="C582" s="41" t="s">
        <v>380</v>
      </c>
      <c r="D582" s="41" t="s">
        <v>380</v>
      </c>
      <c r="E582" s="41" t="s">
        <v>380</v>
      </c>
      <c r="F582" s="41" t="s">
        <v>380</v>
      </c>
      <c r="G582" s="41" t="s">
        <v>380</v>
      </c>
      <c r="H582" s="41" t="s">
        <v>380</v>
      </c>
      <c r="I582" s="41" t="s">
        <v>380</v>
      </c>
      <c r="J582" s="41" t="s">
        <v>380</v>
      </c>
      <c r="K582" s="41" t="s">
        <v>380</v>
      </c>
      <c r="L582" s="41" t="s">
        <v>380</v>
      </c>
      <c r="M582" s="125"/>
      <c r="N582" s="125"/>
      <c r="O582" s="125"/>
      <c r="P582" s="125"/>
    </row>
    <row r="583" spans="1:16" ht="16.5" thickBot="1">
      <c r="A583" s="42" t="s">
        <v>343</v>
      </c>
      <c r="B583" s="41" t="s">
        <v>380</v>
      </c>
      <c r="C583" s="41" t="s">
        <v>380</v>
      </c>
      <c r="D583" s="41" t="s">
        <v>380</v>
      </c>
      <c r="E583" s="41" t="s">
        <v>380</v>
      </c>
      <c r="F583" s="41" t="s">
        <v>380</v>
      </c>
      <c r="G583" s="41" t="s">
        <v>380</v>
      </c>
      <c r="H583" s="41" t="s">
        <v>380</v>
      </c>
      <c r="I583" s="41" t="s">
        <v>380</v>
      </c>
      <c r="J583" s="41" t="s">
        <v>380</v>
      </c>
      <c r="K583" s="41" t="s">
        <v>380</v>
      </c>
      <c r="L583" s="41" t="s">
        <v>380</v>
      </c>
      <c r="M583" s="125"/>
      <c r="N583" s="125"/>
      <c r="O583" s="125"/>
      <c r="P583" s="125"/>
    </row>
    <row r="584" spans="1:16" ht="17.25" thickTop="1" thickBot="1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125"/>
      <c r="N584" s="125"/>
      <c r="O584" s="125"/>
      <c r="P584" s="125"/>
    </row>
    <row r="585" spans="1:16" ht="19.5" thickTop="1" thickBot="1">
      <c r="A585" s="35" t="s">
        <v>399</v>
      </c>
      <c r="B585" s="1494" t="s">
        <v>380</v>
      </c>
      <c r="C585" s="1495"/>
      <c r="D585" s="1494" t="s">
        <v>380</v>
      </c>
      <c r="E585" s="1496"/>
      <c r="F585" s="32"/>
      <c r="G585" s="32"/>
      <c r="H585" s="32"/>
      <c r="I585" s="32"/>
      <c r="J585" s="32"/>
      <c r="K585" s="31"/>
      <c r="L585" s="31"/>
      <c r="M585" s="125"/>
      <c r="N585" s="125"/>
      <c r="O585" s="125"/>
      <c r="P585" s="125"/>
    </row>
    <row r="586" spans="1:16" ht="18.75" thickBot="1">
      <c r="A586" s="37" t="s">
        <v>400</v>
      </c>
      <c r="B586" s="1497" t="s">
        <v>380</v>
      </c>
      <c r="C586" s="1498"/>
      <c r="D586" s="1497" t="s">
        <v>380</v>
      </c>
      <c r="E586" s="1499"/>
      <c r="F586" s="31" t="s">
        <v>401</v>
      </c>
      <c r="G586" s="1500" t="s">
        <v>402</v>
      </c>
      <c r="H586" s="1500"/>
      <c r="I586" s="31" t="s">
        <v>403</v>
      </c>
      <c r="J586" s="1501">
        <v>42610.364183217593</v>
      </c>
      <c r="K586" s="1501"/>
      <c r="L586" s="1501"/>
      <c r="M586" s="125"/>
      <c r="N586" s="125"/>
      <c r="O586" s="125"/>
      <c r="P586" s="125"/>
    </row>
    <row r="587" spans="1:16" ht="18.75" thickBot="1">
      <c r="A587" s="42" t="s">
        <v>404</v>
      </c>
      <c r="B587" s="1491" t="s">
        <v>380</v>
      </c>
      <c r="C587" s="1492"/>
      <c r="D587" s="1491" t="s">
        <v>380</v>
      </c>
      <c r="E587" s="1493"/>
      <c r="F587" s="32"/>
      <c r="G587" s="31"/>
      <c r="H587" s="31" t="s">
        <v>405</v>
      </c>
      <c r="I587" s="31"/>
      <c r="J587" s="32"/>
      <c r="K587" s="31"/>
      <c r="L587" s="31"/>
      <c r="M587" s="125"/>
      <c r="N587" s="125"/>
      <c r="O587" s="125"/>
      <c r="P587" s="125"/>
    </row>
    <row r="588" spans="1:16" ht="18.75" thickTop="1">
      <c r="A588" s="32"/>
      <c r="B588" s="32"/>
      <c r="C588" s="32"/>
      <c r="D588" s="32"/>
      <c r="E588" s="32"/>
      <c r="F588" s="31"/>
      <c r="G588" s="31"/>
      <c r="H588" s="44" t="s">
        <v>406</v>
      </c>
      <c r="I588" s="31"/>
      <c r="J588" s="31"/>
      <c r="K588" s="32"/>
      <c r="L588" s="32"/>
      <c r="M588" s="125"/>
      <c r="N588" s="125"/>
      <c r="O588" s="125"/>
      <c r="P588" s="125"/>
    </row>
    <row r="589" spans="1:16" ht="18">
      <c r="A589" s="32"/>
      <c r="B589" s="32"/>
      <c r="C589" s="32"/>
      <c r="D589" s="32"/>
      <c r="E589" s="32"/>
      <c r="F589" s="31"/>
      <c r="G589" s="31"/>
      <c r="H589" s="32"/>
      <c r="I589" s="31"/>
      <c r="J589" s="32"/>
      <c r="K589" s="32"/>
      <c r="L589" s="32"/>
      <c r="M589" s="125"/>
      <c r="N589" s="125"/>
      <c r="O589" s="125"/>
      <c r="P589" s="125"/>
    </row>
    <row r="590" spans="1:16" ht="18">
      <c r="A590" s="1500" t="s">
        <v>78</v>
      </c>
      <c r="B590" s="1500"/>
      <c r="C590" s="1500"/>
      <c r="D590" s="1500"/>
      <c r="E590" s="1500"/>
      <c r="F590" s="1500"/>
      <c r="G590" s="1500"/>
      <c r="H590" s="1500"/>
      <c r="I590" s="1500"/>
      <c r="J590" s="1500"/>
      <c r="K590" s="1500"/>
      <c r="L590" s="1500"/>
      <c r="M590" s="125"/>
      <c r="N590" s="125"/>
      <c r="O590" s="125"/>
      <c r="P590" s="125"/>
    </row>
    <row r="591" spans="1:16" ht="18">
      <c r="A591" s="1500" t="s">
        <v>79</v>
      </c>
      <c r="B591" s="1500"/>
      <c r="C591" s="1500"/>
      <c r="D591" s="1500"/>
      <c r="E591" s="1500"/>
      <c r="F591" s="1500"/>
      <c r="G591" s="1500"/>
      <c r="H591" s="1500"/>
      <c r="I591" s="1500"/>
      <c r="J591" s="1500"/>
      <c r="K591" s="1500"/>
      <c r="L591" s="1500"/>
      <c r="M591" s="125"/>
      <c r="N591" s="125"/>
      <c r="O591" s="125"/>
      <c r="P591" s="125"/>
    </row>
    <row r="592" spans="1:16" ht="18">
      <c r="A592" s="30" t="s">
        <v>220</v>
      </c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125"/>
      <c r="N592" s="125"/>
      <c r="O592" s="125"/>
      <c r="P592" s="125"/>
    </row>
    <row r="593" spans="1:16" ht="18">
      <c r="A593" s="30" t="s">
        <v>361</v>
      </c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125"/>
      <c r="N593" s="125"/>
      <c r="O593" s="125"/>
      <c r="P593" s="125"/>
    </row>
    <row r="594" spans="1:16" ht="18.75" thickBo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125"/>
      <c r="N594" s="125"/>
      <c r="O594" s="125"/>
      <c r="P594" s="125"/>
    </row>
    <row r="595" spans="1:16" ht="24" thickBot="1">
      <c r="A595" s="31"/>
      <c r="B595" s="31"/>
      <c r="C595" s="1515" t="s">
        <v>362</v>
      </c>
      <c r="D595" s="1516"/>
      <c r="E595" s="1516"/>
      <c r="F595" s="1516"/>
      <c r="G595" s="1517"/>
      <c r="H595" s="1545" t="s">
        <v>440</v>
      </c>
      <c r="I595" s="1519"/>
      <c r="J595" s="31"/>
      <c r="K595" s="31"/>
      <c r="L595" s="31"/>
      <c r="M595" s="125"/>
      <c r="N595" s="126" t="str">
        <f>H595</f>
        <v>فارغ</v>
      </c>
      <c r="O595" s="125"/>
      <c r="P595" s="125"/>
    </row>
    <row r="596" spans="1:16" ht="18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125"/>
      <c r="N596" s="125"/>
      <c r="O596" s="125"/>
      <c r="P596" s="125"/>
    </row>
    <row r="597" spans="1:16" ht="18">
      <c r="A597" s="30" t="s">
        <v>363</v>
      </c>
      <c r="B597" s="31"/>
      <c r="C597" s="1500" t="s">
        <v>380</v>
      </c>
      <c r="D597" s="1500"/>
      <c r="E597" s="1500"/>
      <c r="F597" s="31"/>
      <c r="G597" s="31" t="s">
        <v>364</v>
      </c>
      <c r="H597" s="31"/>
      <c r="I597" s="1500" t="s">
        <v>380</v>
      </c>
      <c r="J597" s="1500"/>
      <c r="K597" s="1500"/>
      <c r="L597" s="31"/>
      <c r="M597" s="125"/>
      <c r="N597" s="125"/>
      <c r="O597" s="125"/>
      <c r="P597" s="125"/>
    </row>
    <row r="598" spans="1:16" ht="18.75" thickBot="1">
      <c r="A598" s="30" t="s">
        <v>365</v>
      </c>
      <c r="B598" s="31"/>
      <c r="C598" s="31" t="s">
        <v>380</v>
      </c>
      <c r="D598" s="31"/>
      <c r="E598" s="31"/>
      <c r="F598" s="31"/>
      <c r="G598" s="31" t="s">
        <v>366</v>
      </c>
      <c r="H598" s="31"/>
      <c r="I598" s="31"/>
      <c r="J598" s="31"/>
      <c r="K598" s="31"/>
      <c r="L598" s="31"/>
      <c r="M598" s="125"/>
      <c r="N598" s="125"/>
      <c r="O598" s="125"/>
      <c r="P598" s="125"/>
    </row>
    <row r="599" spans="1:16" ht="17.25" thickTop="1" thickBot="1">
      <c r="A599" s="1542" t="s">
        <v>367</v>
      </c>
      <c r="B599" s="1543"/>
      <c r="C599" s="1543" t="s">
        <v>360</v>
      </c>
      <c r="D599" s="1543"/>
      <c r="E599" s="1543" t="s">
        <v>368</v>
      </c>
      <c r="F599" s="1543"/>
      <c r="G599" s="1543" t="s">
        <v>369</v>
      </c>
      <c r="H599" s="1543"/>
      <c r="I599" s="1543" t="s">
        <v>370</v>
      </c>
      <c r="J599" s="1543"/>
      <c r="K599" s="1543" t="s">
        <v>371</v>
      </c>
      <c r="L599" s="1544"/>
      <c r="M599" s="125"/>
      <c r="N599" s="125"/>
      <c r="O599" s="125"/>
      <c r="P599" s="125"/>
    </row>
    <row r="600" spans="1:16" ht="17.25" thickTop="1" thickBot="1">
      <c r="A600" s="1540" t="s">
        <v>372</v>
      </c>
      <c r="B600" s="1541"/>
      <c r="C600" s="1504">
        <v>0</v>
      </c>
      <c r="D600" s="1505"/>
      <c r="E600" s="1504">
        <v>0</v>
      </c>
      <c r="F600" s="1505"/>
      <c r="G600" s="1504">
        <v>0</v>
      </c>
      <c r="H600" s="1505"/>
      <c r="I600" s="1504">
        <v>0</v>
      </c>
      <c r="J600" s="1505"/>
      <c r="K600" s="1504">
        <v>0</v>
      </c>
      <c r="L600" s="1505"/>
      <c r="M600" s="125"/>
      <c r="N600" s="125"/>
      <c r="O600" s="125"/>
      <c r="P600" s="125"/>
    </row>
    <row r="601" spans="1:16" ht="17.25" thickTop="1" thickBot="1">
      <c r="A601" s="1540" t="s">
        <v>373</v>
      </c>
      <c r="B601" s="1541"/>
      <c r="C601" s="1504">
        <v>0</v>
      </c>
      <c r="D601" s="1505"/>
      <c r="E601" s="1504">
        <v>0</v>
      </c>
      <c r="F601" s="1505"/>
      <c r="G601" s="1504">
        <v>0</v>
      </c>
      <c r="H601" s="1505"/>
      <c r="I601" s="1504">
        <v>0</v>
      </c>
      <c r="J601" s="1505"/>
      <c r="K601" s="1504">
        <v>0</v>
      </c>
      <c r="L601" s="1505"/>
      <c r="M601" s="125"/>
      <c r="N601" s="125"/>
      <c r="O601" s="125"/>
      <c r="P601" s="125"/>
    </row>
    <row r="602" spans="1:16" ht="17.25" thickTop="1" thickBot="1">
      <c r="A602" s="1540" t="s">
        <v>374</v>
      </c>
      <c r="B602" s="1541"/>
      <c r="C602" s="1504">
        <v>0</v>
      </c>
      <c r="D602" s="1505"/>
      <c r="E602" s="1504">
        <v>0</v>
      </c>
      <c r="F602" s="1505"/>
      <c r="G602" s="1504">
        <v>0</v>
      </c>
      <c r="H602" s="1505"/>
      <c r="I602" s="1504">
        <v>0</v>
      </c>
      <c r="J602" s="1505"/>
      <c r="K602" s="1504">
        <v>0</v>
      </c>
      <c r="L602" s="1505"/>
      <c r="M602" s="125"/>
      <c r="N602" s="125"/>
      <c r="O602" s="125"/>
      <c r="P602" s="125"/>
    </row>
    <row r="603" spans="1:16" ht="17.25" thickTop="1" thickBot="1">
      <c r="A603" s="1536" t="s">
        <v>375</v>
      </c>
      <c r="B603" s="1537"/>
      <c r="C603" s="1504">
        <v>0</v>
      </c>
      <c r="D603" s="1505"/>
      <c r="E603" s="1504">
        <v>0</v>
      </c>
      <c r="F603" s="1505"/>
      <c r="G603" s="1504">
        <v>0</v>
      </c>
      <c r="H603" s="1505"/>
      <c r="I603" s="1504">
        <v>0</v>
      </c>
      <c r="J603" s="1505"/>
      <c r="K603" s="1504">
        <v>0</v>
      </c>
      <c r="L603" s="1505"/>
      <c r="M603" s="125"/>
      <c r="N603" s="125"/>
      <c r="O603" s="125"/>
      <c r="P603" s="125"/>
    </row>
    <row r="604" spans="1:16" ht="17.25" thickTop="1" thickBot="1">
      <c r="A604" s="32"/>
      <c r="B604" s="32"/>
      <c r="C604" s="32"/>
      <c r="D604" s="32"/>
      <c r="E604" s="32"/>
      <c r="F604" s="32"/>
      <c r="G604" s="32"/>
      <c r="H604" s="32"/>
      <c r="I604" s="45"/>
      <c r="J604" s="45"/>
      <c r="K604" s="32"/>
      <c r="L604" s="32"/>
      <c r="M604" s="125"/>
      <c r="N604" s="125"/>
      <c r="O604" s="125"/>
      <c r="P604" s="125"/>
    </row>
    <row r="605" spans="1:16" ht="17.25" thickTop="1" thickBot="1">
      <c r="A605" s="1508" t="s">
        <v>376</v>
      </c>
      <c r="B605" s="1539"/>
      <c r="C605" s="1504">
        <v>0</v>
      </c>
      <c r="D605" s="1505"/>
      <c r="E605" s="1504">
        <v>0</v>
      </c>
      <c r="F605" s="1505"/>
      <c r="G605" s="1504">
        <v>0</v>
      </c>
      <c r="H605" s="1505"/>
      <c r="I605" s="1504">
        <v>0</v>
      </c>
      <c r="J605" s="1505"/>
      <c r="K605" s="1504">
        <v>0</v>
      </c>
      <c r="L605" s="1505"/>
      <c r="M605" s="125"/>
      <c r="N605" s="125"/>
      <c r="O605" s="125"/>
      <c r="P605" s="125"/>
    </row>
    <row r="606" spans="1:16" ht="17.25" thickTop="1" thickBot="1">
      <c r="A606" s="1506" t="s">
        <v>377</v>
      </c>
      <c r="B606" s="1538"/>
      <c r="C606" s="1504">
        <v>0</v>
      </c>
      <c r="D606" s="1505"/>
      <c r="E606" s="1504">
        <v>0</v>
      </c>
      <c r="F606" s="1505"/>
      <c r="G606" s="1504">
        <v>0</v>
      </c>
      <c r="H606" s="1505"/>
      <c r="I606" s="1504">
        <v>0</v>
      </c>
      <c r="J606" s="1505"/>
      <c r="K606" s="1504">
        <v>0</v>
      </c>
      <c r="L606" s="1505"/>
      <c r="M606" s="125"/>
      <c r="N606" s="125"/>
      <c r="O606" s="125"/>
      <c r="P606" s="125"/>
    </row>
    <row r="607" spans="1:16" ht="17.25" thickTop="1" thickBot="1">
      <c r="A607" s="1506" t="s">
        <v>378</v>
      </c>
      <c r="B607" s="1538"/>
      <c r="C607" s="1504">
        <v>0</v>
      </c>
      <c r="D607" s="1505"/>
      <c r="E607" s="1504">
        <v>0</v>
      </c>
      <c r="F607" s="1505"/>
      <c r="G607" s="1504">
        <v>0</v>
      </c>
      <c r="H607" s="1505"/>
      <c r="I607" s="1504">
        <v>0</v>
      </c>
      <c r="J607" s="1505"/>
      <c r="K607" s="1504">
        <v>0</v>
      </c>
      <c r="L607" s="1505"/>
      <c r="M607" s="125"/>
      <c r="N607" s="125"/>
      <c r="O607" s="125"/>
      <c r="P607" s="125"/>
    </row>
    <row r="608" spans="1:16" ht="17.25" thickTop="1" thickBot="1">
      <c r="A608" s="1536" t="s">
        <v>379</v>
      </c>
      <c r="B608" s="1537"/>
      <c r="C608" s="1504">
        <v>0</v>
      </c>
      <c r="D608" s="1505"/>
      <c r="E608" s="1504">
        <v>0</v>
      </c>
      <c r="F608" s="1505"/>
      <c r="G608" s="1504">
        <v>0</v>
      </c>
      <c r="H608" s="1505"/>
      <c r="I608" s="1504">
        <v>0</v>
      </c>
      <c r="J608" s="1505"/>
      <c r="K608" s="1504" t="s">
        <v>380</v>
      </c>
      <c r="L608" s="1505"/>
      <c r="M608" s="125"/>
      <c r="N608" s="125"/>
      <c r="O608" s="125"/>
      <c r="P608" s="125"/>
    </row>
    <row r="609" spans="1:16" ht="17.25" thickTop="1" thickBot="1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125"/>
      <c r="N609" s="125"/>
      <c r="O609" s="125"/>
      <c r="P609" s="125"/>
    </row>
    <row r="610" spans="1:16" ht="16.5" thickTop="1">
      <c r="A610" s="35" t="s">
        <v>381</v>
      </c>
      <c r="B610" s="36" t="s">
        <v>380</v>
      </c>
      <c r="C610" s="36" t="s">
        <v>380</v>
      </c>
      <c r="D610" s="36" t="s">
        <v>380</v>
      </c>
      <c r="E610" s="36" t="s">
        <v>380</v>
      </c>
      <c r="F610" s="36" t="s">
        <v>380</v>
      </c>
      <c r="G610" s="36" t="s">
        <v>380</v>
      </c>
      <c r="H610" s="36" t="s">
        <v>380</v>
      </c>
      <c r="I610" s="36" t="s">
        <v>380</v>
      </c>
      <c r="J610" s="36" t="s">
        <v>380</v>
      </c>
      <c r="K610" s="36" t="s">
        <v>380</v>
      </c>
      <c r="L610" s="36" t="s">
        <v>380</v>
      </c>
      <c r="M610" s="125"/>
      <c r="N610" s="125"/>
      <c r="O610" s="125"/>
      <c r="P610" s="125"/>
    </row>
    <row r="611" spans="1:16" ht="15.75">
      <c r="A611" s="37" t="s">
        <v>388</v>
      </c>
      <c r="B611" s="38" t="s">
        <v>380</v>
      </c>
      <c r="C611" s="38" t="s">
        <v>380</v>
      </c>
      <c r="D611" s="38" t="s">
        <v>380</v>
      </c>
      <c r="E611" s="38" t="s">
        <v>380</v>
      </c>
      <c r="F611" s="38" t="s">
        <v>380</v>
      </c>
      <c r="G611" s="38" t="s">
        <v>380</v>
      </c>
      <c r="H611" s="38" t="s">
        <v>380</v>
      </c>
      <c r="I611" s="38" t="s">
        <v>380</v>
      </c>
      <c r="J611" s="38" t="s">
        <v>380</v>
      </c>
      <c r="K611" s="38" t="s">
        <v>380</v>
      </c>
      <c r="L611" s="38" t="s">
        <v>380</v>
      </c>
      <c r="M611" s="125"/>
      <c r="N611" s="125"/>
      <c r="O611" s="125"/>
      <c r="P611" s="125"/>
    </row>
    <row r="612" spans="1:16" ht="15.75">
      <c r="A612" s="37" t="s">
        <v>394</v>
      </c>
      <c r="B612" s="40" t="s">
        <v>380</v>
      </c>
      <c r="C612" s="40" t="s">
        <v>380</v>
      </c>
      <c r="D612" s="40" t="s">
        <v>380</v>
      </c>
      <c r="E612" s="40" t="s">
        <v>380</v>
      </c>
      <c r="F612" s="40" t="s">
        <v>380</v>
      </c>
      <c r="G612" s="40" t="s">
        <v>380</v>
      </c>
      <c r="H612" s="40" t="s">
        <v>380</v>
      </c>
      <c r="I612" s="40" t="s">
        <v>380</v>
      </c>
      <c r="J612" s="40" t="s">
        <v>380</v>
      </c>
      <c r="K612" s="40" t="s">
        <v>380</v>
      </c>
      <c r="L612" s="40" t="s">
        <v>380</v>
      </c>
      <c r="M612" s="125"/>
      <c r="N612" s="125"/>
      <c r="O612" s="125"/>
      <c r="P612" s="125"/>
    </row>
    <row r="613" spans="1:16" ht="15.75">
      <c r="A613" s="37" t="s">
        <v>397</v>
      </c>
      <c r="B613" s="41" t="s">
        <v>380</v>
      </c>
      <c r="C613" s="41" t="s">
        <v>380</v>
      </c>
      <c r="D613" s="41" t="s">
        <v>380</v>
      </c>
      <c r="E613" s="41" t="s">
        <v>380</v>
      </c>
      <c r="F613" s="41" t="s">
        <v>380</v>
      </c>
      <c r="G613" s="41" t="s">
        <v>380</v>
      </c>
      <c r="H613" s="41" t="s">
        <v>380</v>
      </c>
      <c r="I613" s="41" t="s">
        <v>380</v>
      </c>
      <c r="J613" s="41" t="s">
        <v>380</v>
      </c>
      <c r="K613" s="41" t="s">
        <v>380</v>
      </c>
      <c r="L613" s="41" t="s">
        <v>380</v>
      </c>
      <c r="M613" s="125"/>
      <c r="N613" s="125"/>
      <c r="O613" s="125"/>
      <c r="P613" s="125"/>
    </row>
    <row r="614" spans="1:16" ht="16.5" thickBot="1">
      <c r="A614" s="42" t="s">
        <v>343</v>
      </c>
      <c r="B614" s="41" t="s">
        <v>380</v>
      </c>
      <c r="C614" s="41" t="s">
        <v>380</v>
      </c>
      <c r="D614" s="41" t="s">
        <v>380</v>
      </c>
      <c r="E614" s="41" t="s">
        <v>380</v>
      </c>
      <c r="F614" s="41" t="s">
        <v>380</v>
      </c>
      <c r="G614" s="41" t="s">
        <v>380</v>
      </c>
      <c r="H614" s="41" t="s">
        <v>380</v>
      </c>
      <c r="I614" s="41" t="s">
        <v>380</v>
      </c>
      <c r="J614" s="41" t="s">
        <v>380</v>
      </c>
      <c r="K614" s="41" t="s">
        <v>380</v>
      </c>
      <c r="L614" s="41" t="s">
        <v>380</v>
      </c>
      <c r="M614" s="125"/>
      <c r="N614" s="125"/>
      <c r="O614" s="125"/>
      <c r="P614" s="125"/>
    </row>
    <row r="615" spans="1:16" ht="17.25" thickTop="1" thickBot="1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125"/>
      <c r="N615" s="125"/>
      <c r="O615" s="125"/>
      <c r="P615" s="125"/>
    </row>
    <row r="616" spans="1:16" ht="19.5" thickTop="1" thickBot="1">
      <c r="A616" s="35" t="s">
        <v>399</v>
      </c>
      <c r="B616" s="1494" t="s">
        <v>380</v>
      </c>
      <c r="C616" s="1495"/>
      <c r="D616" s="1494" t="s">
        <v>380</v>
      </c>
      <c r="E616" s="1496"/>
      <c r="F616" s="32"/>
      <c r="G616" s="32"/>
      <c r="H616" s="32"/>
      <c r="I616" s="32"/>
      <c r="J616" s="32"/>
      <c r="K616" s="31"/>
      <c r="L616" s="31"/>
      <c r="M616" s="125"/>
      <c r="N616" s="125"/>
      <c r="O616" s="125"/>
      <c r="P616" s="125"/>
    </row>
    <row r="617" spans="1:16" ht="18.75" thickBot="1">
      <c r="A617" s="37" t="s">
        <v>400</v>
      </c>
      <c r="B617" s="1497" t="s">
        <v>380</v>
      </c>
      <c r="C617" s="1498"/>
      <c r="D617" s="1497" t="s">
        <v>380</v>
      </c>
      <c r="E617" s="1499"/>
      <c r="F617" s="31" t="s">
        <v>401</v>
      </c>
      <c r="G617" s="1500" t="s">
        <v>402</v>
      </c>
      <c r="H617" s="1500"/>
      <c r="I617" s="31" t="s">
        <v>403</v>
      </c>
      <c r="J617" s="1501">
        <v>42610.364183217593</v>
      </c>
      <c r="K617" s="1501"/>
      <c r="L617" s="1501"/>
      <c r="M617" s="125"/>
      <c r="N617" s="125"/>
      <c r="O617" s="125"/>
      <c r="P617" s="125"/>
    </row>
    <row r="618" spans="1:16" ht="18.75" thickBot="1">
      <c r="A618" s="42" t="s">
        <v>404</v>
      </c>
      <c r="B618" s="1491" t="s">
        <v>380</v>
      </c>
      <c r="C618" s="1492"/>
      <c r="D618" s="1491" t="s">
        <v>380</v>
      </c>
      <c r="E618" s="1493"/>
      <c r="F618" s="32"/>
      <c r="G618" s="31"/>
      <c r="H618" s="31" t="s">
        <v>405</v>
      </c>
      <c r="I618" s="31"/>
      <c r="J618" s="32"/>
      <c r="K618" s="31"/>
      <c r="L618" s="31"/>
      <c r="M618" s="125"/>
      <c r="N618" s="125"/>
      <c r="O618" s="125"/>
      <c r="P618" s="125"/>
    </row>
    <row r="619" spans="1:16" ht="18.75" thickTop="1">
      <c r="A619" s="32"/>
      <c r="B619" s="32"/>
      <c r="C619" s="32"/>
      <c r="D619" s="32"/>
      <c r="E619" s="32"/>
      <c r="F619" s="31"/>
      <c r="G619" s="31"/>
      <c r="H619" s="44" t="s">
        <v>406</v>
      </c>
      <c r="I619" s="31"/>
      <c r="J619" s="31"/>
      <c r="K619" s="32"/>
      <c r="L619" s="32"/>
      <c r="M619" s="125"/>
      <c r="N619" s="125"/>
      <c r="O619" s="125"/>
      <c r="P619" s="125"/>
    </row>
    <row r="620" spans="1:16" ht="18">
      <c r="A620" s="32"/>
      <c r="B620" s="32"/>
      <c r="C620" s="32"/>
      <c r="D620" s="32"/>
      <c r="E620" s="32"/>
      <c r="F620" s="31"/>
      <c r="G620" s="31"/>
      <c r="H620" s="32"/>
      <c r="I620" s="31"/>
      <c r="J620" s="32"/>
      <c r="K620" s="32"/>
      <c r="L620" s="32"/>
      <c r="M620" s="125"/>
      <c r="N620" s="125"/>
      <c r="O620" s="125"/>
      <c r="P620" s="125"/>
    </row>
    <row r="621" spans="1:16" ht="18">
      <c r="A621" s="1500" t="s">
        <v>78</v>
      </c>
      <c r="B621" s="1500"/>
      <c r="C621" s="1500"/>
      <c r="D621" s="1500"/>
      <c r="E621" s="1500"/>
      <c r="F621" s="1500"/>
      <c r="G621" s="1500"/>
      <c r="H621" s="1500"/>
      <c r="I621" s="1500"/>
      <c r="J621" s="1500"/>
      <c r="K621" s="1500"/>
      <c r="L621" s="1500"/>
      <c r="M621" s="125"/>
      <c r="N621" s="125"/>
      <c r="O621" s="125"/>
      <c r="P621" s="125"/>
    </row>
    <row r="622" spans="1:16" ht="18">
      <c r="A622" s="1500" t="s">
        <v>79</v>
      </c>
      <c r="B622" s="1500"/>
      <c r="C622" s="1500"/>
      <c r="D622" s="1500"/>
      <c r="E622" s="1500"/>
      <c r="F622" s="1500"/>
      <c r="G622" s="1500"/>
      <c r="H622" s="1500"/>
      <c r="I622" s="1500"/>
      <c r="J622" s="1500"/>
      <c r="K622" s="1500"/>
      <c r="L622" s="1500"/>
      <c r="M622" s="125"/>
      <c r="N622" s="125"/>
      <c r="O622" s="125"/>
      <c r="P622" s="125"/>
    </row>
    <row r="623" spans="1:16" ht="18">
      <c r="A623" s="30" t="s">
        <v>220</v>
      </c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125"/>
      <c r="N623" s="125"/>
      <c r="O623" s="125"/>
      <c r="P623" s="125"/>
    </row>
    <row r="624" spans="1:16" ht="18">
      <c r="A624" s="30" t="s">
        <v>361</v>
      </c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125"/>
      <c r="N624" s="125"/>
      <c r="O624" s="125"/>
      <c r="P624" s="125"/>
    </row>
    <row r="625" spans="1:16" ht="18.75" thickBo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125"/>
      <c r="N625" s="125"/>
      <c r="O625" s="125"/>
      <c r="P625" s="125"/>
    </row>
    <row r="626" spans="1:16" ht="24" thickBot="1">
      <c r="A626" s="31"/>
      <c r="B626" s="31"/>
      <c r="C626" s="1515" t="s">
        <v>362</v>
      </c>
      <c r="D626" s="1516"/>
      <c r="E626" s="1516"/>
      <c r="F626" s="1516"/>
      <c r="G626" s="1517"/>
      <c r="H626" s="1545" t="s">
        <v>440</v>
      </c>
      <c r="I626" s="1519"/>
      <c r="J626" s="31"/>
      <c r="K626" s="31"/>
      <c r="L626" s="31"/>
      <c r="M626" s="125"/>
      <c r="N626" s="126" t="str">
        <f>H626</f>
        <v>فارغ</v>
      </c>
      <c r="O626" s="125"/>
      <c r="P626" s="125"/>
    </row>
    <row r="627" spans="1:16" ht="18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125"/>
      <c r="N627" s="125"/>
      <c r="O627" s="125"/>
      <c r="P627" s="125"/>
    </row>
    <row r="628" spans="1:16" ht="18">
      <c r="A628" s="30" t="s">
        <v>363</v>
      </c>
      <c r="B628" s="31"/>
      <c r="C628" s="1500" t="s">
        <v>380</v>
      </c>
      <c r="D628" s="1500"/>
      <c r="E628" s="1500"/>
      <c r="F628" s="31"/>
      <c r="G628" s="31" t="s">
        <v>364</v>
      </c>
      <c r="H628" s="31"/>
      <c r="I628" s="1500" t="s">
        <v>380</v>
      </c>
      <c r="J628" s="1500"/>
      <c r="K628" s="1500"/>
      <c r="L628" s="31"/>
      <c r="M628" s="125"/>
      <c r="N628" s="125"/>
      <c r="O628" s="125"/>
      <c r="P628" s="125"/>
    </row>
    <row r="629" spans="1:16" ht="18.75" thickBot="1">
      <c r="A629" s="30" t="s">
        <v>365</v>
      </c>
      <c r="B629" s="31"/>
      <c r="C629" s="31" t="s">
        <v>380</v>
      </c>
      <c r="D629" s="31"/>
      <c r="E629" s="31"/>
      <c r="F629" s="31"/>
      <c r="G629" s="31" t="s">
        <v>366</v>
      </c>
      <c r="H629" s="31"/>
      <c r="I629" s="31" t="s">
        <v>441</v>
      </c>
      <c r="J629" s="31"/>
      <c r="K629" s="31"/>
      <c r="L629" s="31"/>
      <c r="M629" s="125"/>
      <c r="N629" s="125"/>
      <c r="O629" s="125"/>
      <c r="P629" s="125"/>
    </row>
    <row r="630" spans="1:16" ht="17.25" thickTop="1" thickBot="1">
      <c r="A630" s="1542" t="s">
        <v>367</v>
      </c>
      <c r="B630" s="1543"/>
      <c r="C630" s="1543" t="s">
        <v>360</v>
      </c>
      <c r="D630" s="1543"/>
      <c r="E630" s="1543" t="s">
        <v>368</v>
      </c>
      <c r="F630" s="1543"/>
      <c r="G630" s="1543" t="s">
        <v>369</v>
      </c>
      <c r="H630" s="1543"/>
      <c r="I630" s="1543" t="s">
        <v>370</v>
      </c>
      <c r="J630" s="1543"/>
      <c r="K630" s="1543" t="s">
        <v>371</v>
      </c>
      <c r="L630" s="1544"/>
      <c r="M630" s="125"/>
      <c r="N630" s="125"/>
      <c r="O630" s="125"/>
      <c r="P630" s="125"/>
    </row>
    <row r="631" spans="1:16" ht="17.25" thickTop="1" thickBot="1">
      <c r="A631" s="1540" t="s">
        <v>372</v>
      </c>
      <c r="B631" s="1541"/>
      <c r="C631" s="1504">
        <v>0</v>
      </c>
      <c r="D631" s="1505"/>
      <c r="E631" s="1504">
        <v>0</v>
      </c>
      <c r="F631" s="1505"/>
      <c r="G631" s="1504">
        <v>0</v>
      </c>
      <c r="H631" s="1505"/>
      <c r="I631" s="1504">
        <v>0</v>
      </c>
      <c r="J631" s="1505"/>
      <c r="K631" s="1504">
        <v>0</v>
      </c>
      <c r="L631" s="1505"/>
      <c r="M631" s="125"/>
      <c r="N631" s="125"/>
      <c r="O631" s="125"/>
      <c r="P631" s="125"/>
    </row>
    <row r="632" spans="1:16" ht="17.25" thickTop="1" thickBot="1">
      <c r="A632" s="1540" t="s">
        <v>373</v>
      </c>
      <c r="B632" s="1541"/>
      <c r="C632" s="1504">
        <v>0</v>
      </c>
      <c r="D632" s="1505"/>
      <c r="E632" s="1504">
        <v>0</v>
      </c>
      <c r="F632" s="1505"/>
      <c r="G632" s="1504">
        <v>0</v>
      </c>
      <c r="H632" s="1505"/>
      <c r="I632" s="1504">
        <v>0</v>
      </c>
      <c r="J632" s="1505"/>
      <c r="K632" s="1504">
        <v>0</v>
      </c>
      <c r="L632" s="1505"/>
      <c r="M632" s="125"/>
      <c r="N632" s="125"/>
      <c r="O632" s="125"/>
      <c r="P632" s="125"/>
    </row>
    <row r="633" spans="1:16" ht="17.25" thickTop="1" thickBot="1">
      <c r="A633" s="1540" t="s">
        <v>374</v>
      </c>
      <c r="B633" s="1541"/>
      <c r="C633" s="1504">
        <v>0</v>
      </c>
      <c r="D633" s="1505"/>
      <c r="E633" s="1504">
        <v>0</v>
      </c>
      <c r="F633" s="1505"/>
      <c r="G633" s="1504">
        <v>0</v>
      </c>
      <c r="H633" s="1505"/>
      <c r="I633" s="1504">
        <v>0</v>
      </c>
      <c r="J633" s="1505"/>
      <c r="K633" s="1504">
        <v>0</v>
      </c>
      <c r="L633" s="1505"/>
      <c r="M633" s="125"/>
      <c r="N633" s="125"/>
      <c r="O633" s="125"/>
      <c r="P633" s="125"/>
    </row>
    <row r="634" spans="1:16" ht="17.25" thickTop="1" thickBot="1">
      <c r="A634" s="1536" t="s">
        <v>375</v>
      </c>
      <c r="B634" s="1537"/>
      <c r="C634" s="1504">
        <v>0</v>
      </c>
      <c r="D634" s="1505"/>
      <c r="E634" s="1504">
        <v>0</v>
      </c>
      <c r="F634" s="1505"/>
      <c r="G634" s="1504">
        <v>0</v>
      </c>
      <c r="H634" s="1505"/>
      <c r="I634" s="1504">
        <v>0</v>
      </c>
      <c r="J634" s="1505"/>
      <c r="K634" s="1504">
        <v>0</v>
      </c>
      <c r="L634" s="1505"/>
      <c r="M634" s="125"/>
      <c r="N634" s="125"/>
      <c r="O634" s="125"/>
      <c r="P634" s="125"/>
    </row>
    <row r="635" spans="1:16" ht="17.25" thickTop="1" thickBot="1">
      <c r="A635" s="32"/>
      <c r="B635" s="32"/>
      <c r="C635" s="32"/>
      <c r="D635" s="32"/>
      <c r="E635" s="32"/>
      <c r="F635" s="32"/>
      <c r="G635" s="32"/>
      <c r="H635" s="32"/>
      <c r="I635" s="45"/>
      <c r="J635" s="45"/>
      <c r="K635" s="32"/>
      <c r="L635" s="32"/>
      <c r="M635" s="125"/>
      <c r="N635" s="125"/>
      <c r="O635" s="125"/>
      <c r="P635" s="125"/>
    </row>
    <row r="636" spans="1:16" ht="17.25" thickTop="1" thickBot="1">
      <c r="A636" s="1508" t="s">
        <v>376</v>
      </c>
      <c r="B636" s="1539"/>
      <c r="C636" s="1504">
        <v>0</v>
      </c>
      <c r="D636" s="1505"/>
      <c r="E636" s="1504">
        <v>0</v>
      </c>
      <c r="F636" s="1505"/>
      <c r="G636" s="1504">
        <v>0</v>
      </c>
      <c r="H636" s="1505"/>
      <c r="I636" s="1504">
        <v>0</v>
      </c>
      <c r="J636" s="1505"/>
      <c r="K636" s="1504">
        <v>0</v>
      </c>
      <c r="L636" s="1505"/>
      <c r="M636" s="125"/>
      <c r="N636" s="125"/>
      <c r="O636" s="125"/>
      <c r="P636" s="125"/>
    </row>
    <row r="637" spans="1:16" ht="17.25" thickTop="1" thickBot="1">
      <c r="A637" s="1506" t="s">
        <v>377</v>
      </c>
      <c r="B637" s="1538"/>
      <c r="C637" s="1504">
        <v>0</v>
      </c>
      <c r="D637" s="1505"/>
      <c r="E637" s="1504">
        <v>0</v>
      </c>
      <c r="F637" s="1505"/>
      <c r="G637" s="1504">
        <v>0</v>
      </c>
      <c r="H637" s="1505"/>
      <c r="I637" s="1504">
        <v>0</v>
      </c>
      <c r="J637" s="1505"/>
      <c r="K637" s="1504">
        <v>0</v>
      </c>
      <c r="L637" s="1505"/>
      <c r="M637" s="125"/>
      <c r="N637" s="125"/>
      <c r="O637" s="125"/>
      <c r="P637" s="125"/>
    </row>
    <row r="638" spans="1:16" ht="17.25" thickTop="1" thickBot="1">
      <c r="A638" s="1506" t="s">
        <v>378</v>
      </c>
      <c r="B638" s="1538"/>
      <c r="C638" s="1504">
        <v>0</v>
      </c>
      <c r="D638" s="1505"/>
      <c r="E638" s="1504">
        <v>0</v>
      </c>
      <c r="F638" s="1505"/>
      <c r="G638" s="1504">
        <v>0</v>
      </c>
      <c r="H638" s="1505"/>
      <c r="I638" s="1504">
        <v>0</v>
      </c>
      <c r="J638" s="1505"/>
      <c r="K638" s="1504">
        <v>0</v>
      </c>
      <c r="L638" s="1505"/>
      <c r="M638" s="125"/>
      <c r="N638" s="125"/>
      <c r="O638" s="125"/>
      <c r="P638" s="125"/>
    </row>
    <row r="639" spans="1:16" ht="17.25" thickTop="1" thickBot="1">
      <c r="A639" s="1536" t="s">
        <v>379</v>
      </c>
      <c r="B639" s="1537"/>
      <c r="C639" s="1504">
        <v>0</v>
      </c>
      <c r="D639" s="1505"/>
      <c r="E639" s="1504">
        <v>0</v>
      </c>
      <c r="F639" s="1505"/>
      <c r="G639" s="1504">
        <v>0</v>
      </c>
      <c r="H639" s="1505"/>
      <c r="I639" s="1504">
        <v>0</v>
      </c>
      <c r="J639" s="1505"/>
      <c r="K639" s="1504" t="s">
        <v>380</v>
      </c>
      <c r="L639" s="1505"/>
      <c r="M639" s="125"/>
      <c r="N639" s="125"/>
      <c r="O639" s="125"/>
      <c r="P639" s="125"/>
    </row>
    <row r="640" spans="1:16" ht="17.25" thickTop="1" thickBot="1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125"/>
      <c r="N640" s="125"/>
      <c r="O640" s="125"/>
      <c r="P640" s="125"/>
    </row>
    <row r="641" spans="1:16" ht="16.5" thickTop="1">
      <c r="A641" s="35" t="s">
        <v>381</v>
      </c>
      <c r="B641" s="36" t="s">
        <v>380</v>
      </c>
      <c r="C641" s="36" t="s">
        <v>380</v>
      </c>
      <c r="D641" s="36" t="s">
        <v>380</v>
      </c>
      <c r="E641" s="36" t="s">
        <v>380</v>
      </c>
      <c r="F641" s="36" t="s">
        <v>380</v>
      </c>
      <c r="G641" s="36" t="s">
        <v>380</v>
      </c>
      <c r="H641" s="36" t="s">
        <v>380</v>
      </c>
      <c r="I641" s="36" t="s">
        <v>380</v>
      </c>
      <c r="J641" s="36" t="s">
        <v>380</v>
      </c>
      <c r="K641" s="36" t="s">
        <v>380</v>
      </c>
      <c r="L641" s="36" t="s">
        <v>380</v>
      </c>
      <c r="M641" s="125"/>
      <c r="N641" s="125"/>
      <c r="O641" s="125"/>
      <c r="P641" s="125"/>
    </row>
    <row r="642" spans="1:16" ht="15.75">
      <c r="A642" s="37" t="s">
        <v>388</v>
      </c>
      <c r="B642" s="38" t="s">
        <v>380</v>
      </c>
      <c r="C642" s="38" t="s">
        <v>380</v>
      </c>
      <c r="D642" s="38" t="s">
        <v>380</v>
      </c>
      <c r="E642" s="38" t="s">
        <v>380</v>
      </c>
      <c r="F642" s="38" t="s">
        <v>380</v>
      </c>
      <c r="G642" s="38" t="s">
        <v>380</v>
      </c>
      <c r="H642" s="38" t="s">
        <v>380</v>
      </c>
      <c r="I642" s="38" t="s">
        <v>380</v>
      </c>
      <c r="J642" s="38" t="s">
        <v>380</v>
      </c>
      <c r="K642" s="38" t="s">
        <v>380</v>
      </c>
      <c r="L642" s="38" t="s">
        <v>380</v>
      </c>
      <c r="M642" s="125"/>
      <c r="N642" s="125"/>
      <c r="O642" s="125"/>
      <c r="P642" s="125"/>
    </row>
    <row r="643" spans="1:16" ht="15.75">
      <c r="A643" s="37" t="s">
        <v>394</v>
      </c>
      <c r="B643" s="40" t="s">
        <v>380</v>
      </c>
      <c r="C643" s="40" t="s">
        <v>380</v>
      </c>
      <c r="D643" s="40" t="s">
        <v>380</v>
      </c>
      <c r="E643" s="40" t="s">
        <v>380</v>
      </c>
      <c r="F643" s="40" t="s">
        <v>380</v>
      </c>
      <c r="G643" s="40" t="s">
        <v>380</v>
      </c>
      <c r="H643" s="40" t="s">
        <v>380</v>
      </c>
      <c r="I643" s="40" t="s">
        <v>380</v>
      </c>
      <c r="J643" s="40" t="s">
        <v>380</v>
      </c>
      <c r="K643" s="40" t="s">
        <v>380</v>
      </c>
      <c r="L643" s="40" t="s">
        <v>380</v>
      </c>
      <c r="M643" s="125"/>
      <c r="N643" s="125"/>
      <c r="O643" s="125"/>
      <c r="P643" s="125"/>
    </row>
    <row r="644" spans="1:16" ht="15.75">
      <c r="A644" s="37" t="s">
        <v>397</v>
      </c>
      <c r="B644" s="41" t="s">
        <v>380</v>
      </c>
      <c r="C644" s="41" t="s">
        <v>380</v>
      </c>
      <c r="D644" s="41" t="s">
        <v>380</v>
      </c>
      <c r="E644" s="41" t="s">
        <v>380</v>
      </c>
      <c r="F644" s="41" t="s">
        <v>380</v>
      </c>
      <c r="G644" s="41" t="s">
        <v>380</v>
      </c>
      <c r="H644" s="41" t="s">
        <v>380</v>
      </c>
      <c r="I644" s="41" t="s">
        <v>380</v>
      </c>
      <c r="J644" s="41" t="s">
        <v>380</v>
      </c>
      <c r="K644" s="41" t="s">
        <v>380</v>
      </c>
      <c r="L644" s="41" t="s">
        <v>380</v>
      </c>
      <c r="M644" s="125"/>
      <c r="N644" s="125"/>
      <c r="O644" s="125"/>
      <c r="P644" s="125"/>
    </row>
    <row r="645" spans="1:16" ht="16.5" thickBot="1">
      <c r="A645" s="42" t="s">
        <v>343</v>
      </c>
      <c r="B645" s="41" t="s">
        <v>380</v>
      </c>
      <c r="C645" s="41" t="s">
        <v>380</v>
      </c>
      <c r="D645" s="41" t="s">
        <v>380</v>
      </c>
      <c r="E645" s="41" t="s">
        <v>380</v>
      </c>
      <c r="F645" s="41" t="s">
        <v>380</v>
      </c>
      <c r="G645" s="41" t="s">
        <v>380</v>
      </c>
      <c r="H645" s="41" t="s">
        <v>380</v>
      </c>
      <c r="I645" s="41" t="s">
        <v>380</v>
      </c>
      <c r="J645" s="41" t="s">
        <v>380</v>
      </c>
      <c r="K645" s="41" t="s">
        <v>380</v>
      </c>
      <c r="L645" s="41" t="s">
        <v>380</v>
      </c>
      <c r="M645" s="125"/>
      <c r="N645" s="125"/>
      <c r="O645" s="125"/>
      <c r="P645" s="125"/>
    </row>
    <row r="646" spans="1:16" ht="17.25" thickTop="1" thickBot="1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125"/>
      <c r="N646" s="125"/>
      <c r="O646" s="125"/>
      <c r="P646" s="125"/>
    </row>
    <row r="647" spans="1:16" ht="19.5" thickTop="1" thickBot="1">
      <c r="A647" s="35" t="s">
        <v>399</v>
      </c>
      <c r="B647" s="1494" t="s">
        <v>380</v>
      </c>
      <c r="C647" s="1495"/>
      <c r="D647" s="1494" t="s">
        <v>380</v>
      </c>
      <c r="E647" s="1496"/>
      <c r="F647" s="32"/>
      <c r="G647" s="32"/>
      <c r="H647" s="32"/>
      <c r="I647" s="32"/>
      <c r="J647" s="32"/>
      <c r="K647" s="31"/>
      <c r="L647" s="31"/>
      <c r="M647" s="125"/>
      <c r="N647" s="125"/>
      <c r="O647" s="125"/>
      <c r="P647" s="125"/>
    </row>
    <row r="648" spans="1:16" ht="18.75" thickBot="1">
      <c r="A648" s="37" t="s">
        <v>400</v>
      </c>
      <c r="B648" s="1497" t="s">
        <v>380</v>
      </c>
      <c r="C648" s="1498"/>
      <c r="D648" s="1497" t="s">
        <v>380</v>
      </c>
      <c r="E648" s="1499"/>
      <c r="F648" s="31" t="s">
        <v>401</v>
      </c>
      <c r="G648" s="1500" t="s">
        <v>402</v>
      </c>
      <c r="H648" s="1500"/>
      <c r="I648" s="31" t="s">
        <v>403</v>
      </c>
      <c r="J648" s="1501">
        <v>42610.364183217593</v>
      </c>
      <c r="K648" s="1501"/>
      <c r="L648" s="1501"/>
      <c r="M648" s="125"/>
      <c r="N648" s="125"/>
      <c r="O648" s="125"/>
      <c r="P648" s="125"/>
    </row>
    <row r="649" spans="1:16" ht="18.75" thickBot="1">
      <c r="A649" s="42" t="s">
        <v>404</v>
      </c>
      <c r="B649" s="1491" t="s">
        <v>380</v>
      </c>
      <c r="C649" s="1492"/>
      <c r="D649" s="1491" t="s">
        <v>380</v>
      </c>
      <c r="E649" s="1493"/>
      <c r="F649" s="32"/>
      <c r="G649" s="31"/>
      <c r="H649" s="31" t="s">
        <v>405</v>
      </c>
      <c r="I649" s="31"/>
      <c r="J649" s="32"/>
      <c r="K649" s="31"/>
      <c r="L649" s="31"/>
      <c r="M649" s="125"/>
      <c r="N649" s="125"/>
      <c r="O649" s="125"/>
      <c r="P649" s="125"/>
    </row>
    <row r="650" spans="1:16" ht="18.75" thickTop="1">
      <c r="A650" s="32"/>
      <c r="B650" s="32"/>
      <c r="C650" s="32"/>
      <c r="D650" s="32"/>
      <c r="E650" s="32"/>
      <c r="F650" s="31"/>
      <c r="G650" s="31"/>
      <c r="H650" s="44" t="s">
        <v>406</v>
      </c>
      <c r="I650" s="31"/>
      <c r="J650" s="31"/>
      <c r="K650" s="32"/>
      <c r="L650" s="32"/>
      <c r="M650" s="125"/>
      <c r="N650" s="125"/>
      <c r="O650" s="125"/>
      <c r="P650" s="125"/>
    </row>
    <row r="651" spans="1:16" ht="18">
      <c r="A651" s="32"/>
      <c r="B651" s="32"/>
      <c r="C651" s="32"/>
      <c r="D651" s="32"/>
      <c r="E651" s="32"/>
      <c r="F651" s="31"/>
      <c r="G651" s="31"/>
      <c r="H651" s="32"/>
      <c r="I651" s="31"/>
      <c r="J651" s="32"/>
      <c r="K651" s="32"/>
      <c r="L651" s="32"/>
      <c r="M651" s="125"/>
      <c r="N651" s="125"/>
      <c r="O651" s="125"/>
      <c r="P651" s="125"/>
    </row>
    <row r="652" spans="1:16" ht="18">
      <c r="A652" s="1500" t="s">
        <v>78</v>
      </c>
      <c r="B652" s="1500"/>
      <c r="C652" s="1500"/>
      <c r="D652" s="1500"/>
      <c r="E652" s="1500"/>
      <c r="F652" s="1500"/>
      <c r="G652" s="1500"/>
      <c r="H652" s="1500"/>
      <c r="I652" s="1500"/>
      <c r="J652" s="1500"/>
      <c r="K652" s="1500"/>
      <c r="L652" s="1500"/>
      <c r="M652" s="125"/>
      <c r="N652" s="125"/>
      <c r="O652" s="125"/>
      <c r="P652" s="125"/>
    </row>
    <row r="653" spans="1:16" ht="18">
      <c r="A653" s="1500" t="s">
        <v>79</v>
      </c>
      <c r="B653" s="1500"/>
      <c r="C653" s="1500"/>
      <c r="D653" s="1500"/>
      <c r="E653" s="1500"/>
      <c r="F653" s="1500"/>
      <c r="G653" s="1500"/>
      <c r="H653" s="1500"/>
      <c r="I653" s="1500"/>
      <c r="J653" s="1500"/>
      <c r="K653" s="1500"/>
      <c r="L653" s="1500"/>
      <c r="M653" s="125"/>
      <c r="N653" s="125"/>
      <c r="O653" s="125"/>
      <c r="P653" s="125"/>
    </row>
    <row r="654" spans="1:16" ht="18">
      <c r="A654" s="30" t="s">
        <v>220</v>
      </c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125"/>
      <c r="N654" s="125"/>
      <c r="O654" s="125"/>
      <c r="P654" s="125"/>
    </row>
    <row r="655" spans="1:16" ht="18">
      <c r="A655" s="30" t="s">
        <v>361</v>
      </c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125"/>
      <c r="N655" s="125"/>
      <c r="O655" s="125"/>
      <c r="P655" s="125"/>
    </row>
    <row r="656" spans="1:16" ht="18.75" thickBo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125"/>
      <c r="N656" s="125"/>
      <c r="O656" s="125"/>
      <c r="P656" s="125"/>
    </row>
    <row r="657" spans="1:16" ht="24" thickBot="1">
      <c r="A657" s="31"/>
      <c r="B657" s="31"/>
      <c r="C657" s="1515" t="s">
        <v>362</v>
      </c>
      <c r="D657" s="1516"/>
      <c r="E657" s="1516"/>
      <c r="F657" s="1516"/>
      <c r="G657" s="1517"/>
      <c r="H657" s="1545" t="s">
        <v>440</v>
      </c>
      <c r="I657" s="1519"/>
      <c r="J657" s="31"/>
      <c r="K657" s="31"/>
      <c r="L657" s="31"/>
      <c r="M657" s="125"/>
      <c r="N657" s="126" t="str">
        <f>H657</f>
        <v>فارغ</v>
      </c>
      <c r="O657" s="125"/>
      <c r="P657" s="125"/>
    </row>
    <row r="658" spans="1:16" ht="18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125"/>
      <c r="N658" s="125"/>
      <c r="O658" s="125"/>
      <c r="P658" s="125"/>
    </row>
    <row r="659" spans="1:16" ht="18">
      <c r="A659" s="30" t="s">
        <v>363</v>
      </c>
      <c r="B659" s="31"/>
      <c r="C659" s="1500" t="s">
        <v>380</v>
      </c>
      <c r="D659" s="1500"/>
      <c r="E659" s="1500"/>
      <c r="F659" s="31"/>
      <c r="G659" s="31" t="s">
        <v>364</v>
      </c>
      <c r="H659" s="31"/>
      <c r="I659" s="1500" t="s">
        <v>380</v>
      </c>
      <c r="J659" s="1500"/>
      <c r="K659" s="1500"/>
      <c r="L659" s="31"/>
      <c r="M659" s="125"/>
      <c r="N659" s="125"/>
      <c r="O659" s="125"/>
      <c r="P659" s="125"/>
    </row>
    <row r="660" spans="1:16" ht="18.75" thickBot="1">
      <c r="A660" s="30" t="s">
        <v>365</v>
      </c>
      <c r="B660" s="31"/>
      <c r="C660" s="31" t="s">
        <v>380</v>
      </c>
      <c r="D660" s="31"/>
      <c r="E660" s="31"/>
      <c r="F660" s="31"/>
      <c r="G660" s="31" t="s">
        <v>366</v>
      </c>
      <c r="H660" s="31"/>
      <c r="I660" s="31" t="s">
        <v>441</v>
      </c>
      <c r="J660" s="31"/>
      <c r="K660" s="31"/>
      <c r="L660" s="31"/>
      <c r="M660" s="125"/>
      <c r="N660" s="125"/>
      <c r="O660" s="125"/>
      <c r="P660" s="125"/>
    </row>
    <row r="661" spans="1:16" ht="17.25" thickTop="1" thickBot="1">
      <c r="A661" s="1542" t="s">
        <v>367</v>
      </c>
      <c r="B661" s="1543"/>
      <c r="C661" s="1543" t="s">
        <v>360</v>
      </c>
      <c r="D661" s="1543"/>
      <c r="E661" s="1543" t="s">
        <v>368</v>
      </c>
      <c r="F661" s="1543"/>
      <c r="G661" s="1543" t="s">
        <v>369</v>
      </c>
      <c r="H661" s="1543"/>
      <c r="I661" s="1543" t="s">
        <v>370</v>
      </c>
      <c r="J661" s="1543"/>
      <c r="K661" s="1543" t="s">
        <v>371</v>
      </c>
      <c r="L661" s="1544"/>
      <c r="M661" s="125"/>
      <c r="N661" s="125"/>
      <c r="O661" s="125"/>
      <c r="P661" s="125"/>
    </row>
    <row r="662" spans="1:16" ht="17.25" thickTop="1" thickBot="1">
      <c r="A662" s="1540" t="s">
        <v>372</v>
      </c>
      <c r="B662" s="1541"/>
      <c r="C662" s="1504">
        <v>0</v>
      </c>
      <c r="D662" s="1505"/>
      <c r="E662" s="1504">
        <v>0</v>
      </c>
      <c r="F662" s="1505"/>
      <c r="G662" s="1504">
        <v>0</v>
      </c>
      <c r="H662" s="1505"/>
      <c r="I662" s="1504">
        <v>0</v>
      </c>
      <c r="J662" s="1505"/>
      <c r="K662" s="1504">
        <v>0</v>
      </c>
      <c r="L662" s="1505"/>
      <c r="M662" s="125"/>
      <c r="N662" s="125"/>
      <c r="O662" s="125"/>
      <c r="P662" s="125"/>
    </row>
    <row r="663" spans="1:16" ht="17.25" thickTop="1" thickBot="1">
      <c r="A663" s="1540" t="s">
        <v>373</v>
      </c>
      <c r="B663" s="1541"/>
      <c r="C663" s="1504">
        <v>0</v>
      </c>
      <c r="D663" s="1505"/>
      <c r="E663" s="1504">
        <v>0</v>
      </c>
      <c r="F663" s="1505"/>
      <c r="G663" s="1504">
        <v>0</v>
      </c>
      <c r="H663" s="1505"/>
      <c r="I663" s="1504">
        <v>0</v>
      </c>
      <c r="J663" s="1505"/>
      <c r="K663" s="1504">
        <v>0</v>
      </c>
      <c r="L663" s="1505"/>
      <c r="M663" s="125"/>
      <c r="N663" s="125"/>
      <c r="O663" s="125"/>
      <c r="P663" s="125"/>
    </row>
    <row r="664" spans="1:16" ht="17.25" thickTop="1" thickBot="1">
      <c r="A664" s="1540" t="s">
        <v>374</v>
      </c>
      <c r="B664" s="1541"/>
      <c r="C664" s="1504">
        <v>0</v>
      </c>
      <c r="D664" s="1505"/>
      <c r="E664" s="1504">
        <v>0</v>
      </c>
      <c r="F664" s="1505"/>
      <c r="G664" s="1504">
        <v>0</v>
      </c>
      <c r="H664" s="1505"/>
      <c r="I664" s="1504">
        <v>0</v>
      </c>
      <c r="J664" s="1505"/>
      <c r="K664" s="1504">
        <v>0</v>
      </c>
      <c r="L664" s="1505"/>
      <c r="M664" s="125"/>
      <c r="N664" s="125"/>
      <c r="O664" s="125"/>
      <c r="P664" s="125"/>
    </row>
    <row r="665" spans="1:16" ht="17.25" thickTop="1" thickBot="1">
      <c r="A665" s="1536" t="s">
        <v>375</v>
      </c>
      <c r="B665" s="1537"/>
      <c r="C665" s="1504">
        <v>0</v>
      </c>
      <c r="D665" s="1505"/>
      <c r="E665" s="1504">
        <v>0</v>
      </c>
      <c r="F665" s="1505"/>
      <c r="G665" s="1504">
        <v>0</v>
      </c>
      <c r="H665" s="1505"/>
      <c r="I665" s="1504">
        <v>0</v>
      </c>
      <c r="J665" s="1505"/>
      <c r="K665" s="1504">
        <v>0</v>
      </c>
      <c r="L665" s="1505"/>
      <c r="M665" s="125"/>
      <c r="N665" s="125"/>
      <c r="O665" s="125"/>
      <c r="P665" s="125"/>
    </row>
    <row r="666" spans="1:16" ht="17.25" thickTop="1" thickBot="1">
      <c r="A666" s="32"/>
      <c r="B666" s="32"/>
      <c r="C666" s="32"/>
      <c r="D666" s="32"/>
      <c r="E666" s="32"/>
      <c r="F666" s="32"/>
      <c r="G666" s="32"/>
      <c r="H666" s="32"/>
      <c r="I666" s="45"/>
      <c r="J666" s="45"/>
      <c r="K666" s="32"/>
      <c r="L666" s="32"/>
      <c r="M666" s="125"/>
      <c r="N666" s="125"/>
      <c r="O666" s="125"/>
      <c r="P666" s="125"/>
    </row>
    <row r="667" spans="1:16" ht="17.25" thickTop="1" thickBot="1">
      <c r="A667" s="1508" t="s">
        <v>376</v>
      </c>
      <c r="B667" s="1539"/>
      <c r="C667" s="1504">
        <v>0</v>
      </c>
      <c r="D667" s="1505"/>
      <c r="E667" s="1504">
        <v>0</v>
      </c>
      <c r="F667" s="1505"/>
      <c r="G667" s="1504">
        <v>0</v>
      </c>
      <c r="H667" s="1505"/>
      <c r="I667" s="1504">
        <v>0</v>
      </c>
      <c r="J667" s="1505"/>
      <c r="K667" s="1504">
        <v>0</v>
      </c>
      <c r="L667" s="1505"/>
      <c r="M667" s="125"/>
      <c r="N667" s="125"/>
      <c r="O667" s="125"/>
      <c r="P667" s="125"/>
    </row>
    <row r="668" spans="1:16" ht="17.25" thickTop="1" thickBot="1">
      <c r="A668" s="1506" t="s">
        <v>377</v>
      </c>
      <c r="B668" s="1538"/>
      <c r="C668" s="1504">
        <v>0</v>
      </c>
      <c r="D668" s="1505"/>
      <c r="E668" s="1504">
        <v>0</v>
      </c>
      <c r="F668" s="1505"/>
      <c r="G668" s="1504">
        <v>0</v>
      </c>
      <c r="H668" s="1505"/>
      <c r="I668" s="1504">
        <v>0</v>
      </c>
      <c r="J668" s="1505"/>
      <c r="K668" s="1504">
        <v>0</v>
      </c>
      <c r="L668" s="1505"/>
      <c r="M668" s="125"/>
      <c r="N668" s="125"/>
      <c r="O668" s="125"/>
      <c r="P668" s="125"/>
    </row>
    <row r="669" spans="1:16" ht="17.25" thickTop="1" thickBot="1">
      <c r="A669" s="1506" t="s">
        <v>378</v>
      </c>
      <c r="B669" s="1538"/>
      <c r="C669" s="1504">
        <v>0</v>
      </c>
      <c r="D669" s="1505"/>
      <c r="E669" s="1504">
        <v>0</v>
      </c>
      <c r="F669" s="1505"/>
      <c r="G669" s="1504">
        <v>0</v>
      </c>
      <c r="H669" s="1505"/>
      <c r="I669" s="1504">
        <v>0</v>
      </c>
      <c r="J669" s="1505"/>
      <c r="K669" s="1504">
        <v>0</v>
      </c>
      <c r="L669" s="1505"/>
      <c r="M669" s="125"/>
      <c r="N669" s="125"/>
      <c r="O669" s="125"/>
      <c r="P669" s="125"/>
    </row>
    <row r="670" spans="1:16" ht="17.25" thickTop="1" thickBot="1">
      <c r="A670" s="1536" t="s">
        <v>379</v>
      </c>
      <c r="B670" s="1537"/>
      <c r="C670" s="1504">
        <v>0</v>
      </c>
      <c r="D670" s="1505"/>
      <c r="E670" s="1504">
        <v>0</v>
      </c>
      <c r="F670" s="1505"/>
      <c r="G670" s="1504">
        <v>0</v>
      </c>
      <c r="H670" s="1505"/>
      <c r="I670" s="1504">
        <v>0</v>
      </c>
      <c r="J670" s="1505"/>
      <c r="K670" s="1504" t="s">
        <v>380</v>
      </c>
      <c r="L670" s="1505"/>
      <c r="M670" s="125"/>
      <c r="N670" s="125"/>
      <c r="O670" s="125"/>
      <c r="P670" s="125"/>
    </row>
    <row r="671" spans="1:16" ht="17.25" thickTop="1" thickBot="1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125"/>
      <c r="N671" s="125"/>
      <c r="O671" s="125"/>
      <c r="P671" s="125"/>
    </row>
    <row r="672" spans="1:16" ht="16.5" thickTop="1">
      <c r="A672" s="35" t="s">
        <v>381</v>
      </c>
      <c r="B672" s="36" t="s">
        <v>380</v>
      </c>
      <c r="C672" s="36" t="s">
        <v>380</v>
      </c>
      <c r="D672" s="36" t="s">
        <v>380</v>
      </c>
      <c r="E672" s="36" t="s">
        <v>380</v>
      </c>
      <c r="F672" s="36" t="s">
        <v>380</v>
      </c>
      <c r="G672" s="36" t="s">
        <v>380</v>
      </c>
      <c r="H672" s="36" t="s">
        <v>380</v>
      </c>
      <c r="I672" s="36" t="s">
        <v>380</v>
      </c>
      <c r="J672" s="36" t="s">
        <v>380</v>
      </c>
      <c r="K672" s="36" t="s">
        <v>380</v>
      </c>
      <c r="L672" s="36" t="s">
        <v>380</v>
      </c>
      <c r="M672" s="125"/>
      <c r="N672" s="125"/>
      <c r="O672" s="125"/>
      <c r="P672" s="125"/>
    </row>
    <row r="673" spans="1:16" ht="15.75">
      <c r="A673" s="37" t="s">
        <v>388</v>
      </c>
      <c r="B673" s="38" t="s">
        <v>380</v>
      </c>
      <c r="C673" s="38" t="s">
        <v>380</v>
      </c>
      <c r="D673" s="38" t="s">
        <v>380</v>
      </c>
      <c r="E673" s="38" t="s">
        <v>380</v>
      </c>
      <c r="F673" s="38" t="s">
        <v>380</v>
      </c>
      <c r="G673" s="38" t="s">
        <v>380</v>
      </c>
      <c r="H673" s="38" t="s">
        <v>380</v>
      </c>
      <c r="I673" s="38" t="s">
        <v>380</v>
      </c>
      <c r="J673" s="38" t="s">
        <v>380</v>
      </c>
      <c r="K673" s="38" t="s">
        <v>380</v>
      </c>
      <c r="L673" s="38" t="s">
        <v>380</v>
      </c>
      <c r="M673" s="125"/>
      <c r="N673" s="125"/>
      <c r="O673" s="125"/>
      <c r="P673" s="125"/>
    </row>
    <row r="674" spans="1:16" ht="15.75">
      <c r="A674" s="37" t="s">
        <v>394</v>
      </c>
      <c r="B674" s="40" t="s">
        <v>380</v>
      </c>
      <c r="C674" s="40" t="s">
        <v>380</v>
      </c>
      <c r="D674" s="40" t="s">
        <v>380</v>
      </c>
      <c r="E674" s="40" t="s">
        <v>380</v>
      </c>
      <c r="F674" s="40" t="s">
        <v>380</v>
      </c>
      <c r="G674" s="40" t="s">
        <v>380</v>
      </c>
      <c r="H674" s="40" t="s">
        <v>380</v>
      </c>
      <c r="I674" s="40" t="s">
        <v>380</v>
      </c>
      <c r="J674" s="40" t="s">
        <v>380</v>
      </c>
      <c r="K674" s="40" t="s">
        <v>380</v>
      </c>
      <c r="L674" s="40" t="s">
        <v>380</v>
      </c>
      <c r="M674" s="125"/>
      <c r="N674" s="125"/>
      <c r="O674" s="125"/>
      <c r="P674" s="125"/>
    </row>
    <row r="675" spans="1:16" ht="15.75">
      <c r="A675" s="37" t="s">
        <v>397</v>
      </c>
      <c r="B675" s="41" t="s">
        <v>380</v>
      </c>
      <c r="C675" s="41" t="s">
        <v>380</v>
      </c>
      <c r="D675" s="41" t="s">
        <v>380</v>
      </c>
      <c r="E675" s="41" t="s">
        <v>380</v>
      </c>
      <c r="F675" s="41" t="s">
        <v>380</v>
      </c>
      <c r="G675" s="41" t="s">
        <v>380</v>
      </c>
      <c r="H675" s="41" t="s">
        <v>380</v>
      </c>
      <c r="I675" s="41" t="s">
        <v>380</v>
      </c>
      <c r="J675" s="41" t="s">
        <v>380</v>
      </c>
      <c r="K675" s="41" t="s">
        <v>380</v>
      </c>
      <c r="L675" s="41" t="s">
        <v>380</v>
      </c>
      <c r="M675" s="125"/>
      <c r="N675" s="125"/>
      <c r="O675" s="125"/>
      <c r="P675" s="125"/>
    </row>
    <row r="676" spans="1:16" ht="16.5" thickBot="1">
      <c r="A676" s="42" t="s">
        <v>343</v>
      </c>
      <c r="B676" s="41" t="s">
        <v>380</v>
      </c>
      <c r="C676" s="41" t="s">
        <v>380</v>
      </c>
      <c r="D676" s="41" t="s">
        <v>380</v>
      </c>
      <c r="E676" s="41" t="s">
        <v>380</v>
      </c>
      <c r="F676" s="41" t="s">
        <v>380</v>
      </c>
      <c r="G676" s="41" t="s">
        <v>380</v>
      </c>
      <c r="H676" s="41" t="s">
        <v>380</v>
      </c>
      <c r="I676" s="41" t="s">
        <v>380</v>
      </c>
      <c r="J676" s="41" t="s">
        <v>380</v>
      </c>
      <c r="K676" s="41" t="s">
        <v>380</v>
      </c>
      <c r="L676" s="41" t="s">
        <v>380</v>
      </c>
      <c r="M676" s="125"/>
      <c r="N676" s="125"/>
      <c r="O676" s="125"/>
      <c r="P676" s="125"/>
    </row>
    <row r="677" spans="1:16" ht="17.25" thickTop="1" thickBot="1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125"/>
      <c r="N677" s="125"/>
      <c r="O677" s="125"/>
      <c r="P677" s="125"/>
    </row>
    <row r="678" spans="1:16" ht="19.5" thickTop="1" thickBot="1">
      <c r="A678" s="35" t="s">
        <v>399</v>
      </c>
      <c r="B678" s="1494" t="s">
        <v>380</v>
      </c>
      <c r="C678" s="1495"/>
      <c r="D678" s="1494" t="s">
        <v>380</v>
      </c>
      <c r="E678" s="1496"/>
      <c r="F678" s="32"/>
      <c r="G678" s="32"/>
      <c r="H678" s="32"/>
      <c r="I678" s="32"/>
      <c r="J678" s="32"/>
      <c r="K678" s="31"/>
      <c r="L678" s="31"/>
      <c r="M678" s="125"/>
      <c r="N678" s="125"/>
      <c r="O678" s="125"/>
      <c r="P678" s="125"/>
    </row>
    <row r="679" spans="1:16" ht="18.75" thickBot="1">
      <c r="A679" s="37" t="s">
        <v>400</v>
      </c>
      <c r="B679" s="1497" t="s">
        <v>380</v>
      </c>
      <c r="C679" s="1498"/>
      <c r="D679" s="1497" t="s">
        <v>380</v>
      </c>
      <c r="E679" s="1499"/>
      <c r="F679" s="31" t="s">
        <v>401</v>
      </c>
      <c r="G679" s="1500" t="s">
        <v>402</v>
      </c>
      <c r="H679" s="1500"/>
      <c r="I679" s="31" t="s">
        <v>403</v>
      </c>
      <c r="J679" s="1501">
        <v>42610.364183217593</v>
      </c>
      <c r="K679" s="1501"/>
      <c r="L679" s="1501"/>
      <c r="M679" s="125"/>
      <c r="N679" s="125"/>
      <c r="O679" s="125"/>
      <c r="P679" s="125"/>
    </row>
    <row r="680" spans="1:16" ht="18.75" thickBot="1">
      <c r="A680" s="42" t="s">
        <v>404</v>
      </c>
      <c r="B680" s="1491" t="s">
        <v>380</v>
      </c>
      <c r="C680" s="1492"/>
      <c r="D680" s="1491" t="s">
        <v>380</v>
      </c>
      <c r="E680" s="1493"/>
      <c r="F680" s="32"/>
      <c r="G680" s="31"/>
      <c r="H680" s="31" t="s">
        <v>405</v>
      </c>
      <c r="I680" s="31"/>
      <c r="J680" s="32"/>
      <c r="K680" s="31"/>
      <c r="L680" s="31"/>
      <c r="M680" s="125"/>
      <c r="N680" s="125"/>
      <c r="O680" s="125"/>
      <c r="P680" s="125"/>
    </row>
    <row r="681" spans="1:16" ht="18.75" thickTop="1">
      <c r="A681" s="32"/>
      <c r="B681" s="32"/>
      <c r="C681" s="32"/>
      <c r="D681" s="32"/>
      <c r="E681" s="32"/>
      <c r="F681" s="31"/>
      <c r="G681" s="31"/>
      <c r="H681" s="44" t="s">
        <v>406</v>
      </c>
      <c r="I681" s="31"/>
      <c r="J681" s="31"/>
      <c r="K681" s="32"/>
      <c r="L681" s="32"/>
      <c r="M681" s="125"/>
      <c r="N681" s="125"/>
      <c r="O681" s="125"/>
      <c r="P681" s="125"/>
    </row>
    <row r="682" spans="1:16" ht="18">
      <c r="A682" s="32"/>
      <c r="B682" s="32"/>
      <c r="C682" s="32"/>
      <c r="D682" s="32"/>
      <c r="E682" s="32"/>
      <c r="F682" s="31"/>
      <c r="G682" s="31"/>
      <c r="H682" s="32"/>
      <c r="I682" s="31"/>
      <c r="J682" s="32"/>
      <c r="K682" s="32"/>
      <c r="L682" s="32"/>
      <c r="M682" s="125"/>
      <c r="N682" s="125"/>
      <c r="O682" s="125"/>
      <c r="P682" s="125"/>
    </row>
    <row r="683" spans="1:16" ht="18">
      <c r="A683" s="1500" t="s">
        <v>78</v>
      </c>
      <c r="B683" s="1500"/>
      <c r="C683" s="1500"/>
      <c r="D683" s="1500"/>
      <c r="E683" s="1500"/>
      <c r="F683" s="1500"/>
      <c r="G683" s="1500"/>
      <c r="H683" s="1500"/>
      <c r="I683" s="1500"/>
      <c r="J683" s="1500"/>
      <c r="K683" s="1500"/>
      <c r="L683" s="1500"/>
      <c r="M683" s="125"/>
      <c r="N683" s="125"/>
      <c r="O683" s="125"/>
      <c r="P683" s="125"/>
    </row>
    <row r="684" spans="1:16" ht="18">
      <c r="A684" s="1500" t="s">
        <v>79</v>
      </c>
      <c r="B684" s="1500"/>
      <c r="C684" s="1500"/>
      <c r="D684" s="1500"/>
      <c r="E684" s="1500"/>
      <c r="F684" s="1500"/>
      <c r="G684" s="1500"/>
      <c r="H684" s="1500"/>
      <c r="I684" s="1500"/>
      <c r="J684" s="1500"/>
      <c r="K684" s="1500"/>
      <c r="L684" s="1500"/>
      <c r="M684" s="125"/>
      <c r="N684" s="125"/>
      <c r="O684" s="125"/>
      <c r="P684" s="125"/>
    </row>
    <row r="685" spans="1:16" ht="18">
      <c r="A685" s="30" t="s">
        <v>220</v>
      </c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125"/>
      <c r="N685" s="125"/>
      <c r="O685" s="125"/>
      <c r="P685" s="125"/>
    </row>
    <row r="686" spans="1:16" ht="18">
      <c r="A686" s="30" t="s">
        <v>361</v>
      </c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125"/>
      <c r="N686" s="125"/>
      <c r="O686" s="125"/>
      <c r="P686" s="125"/>
    </row>
    <row r="687" spans="1:16" ht="18.75" thickBo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125"/>
      <c r="N687" s="125"/>
      <c r="O687" s="125"/>
      <c r="P687" s="125"/>
    </row>
    <row r="688" spans="1:16" ht="24" thickBot="1">
      <c r="A688" s="31"/>
      <c r="B688" s="31"/>
      <c r="C688" s="1515" t="s">
        <v>362</v>
      </c>
      <c r="D688" s="1516"/>
      <c r="E688" s="1516"/>
      <c r="F688" s="1516"/>
      <c r="G688" s="1517"/>
      <c r="H688" s="1545" t="s">
        <v>440</v>
      </c>
      <c r="I688" s="1519"/>
      <c r="J688" s="31"/>
      <c r="K688" s="31"/>
      <c r="L688" s="31"/>
      <c r="M688" s="125"/>
      <c r="N688" s="126" t="str">
        <f>H688</f>
        <v>فارغ</v>
      </c>
      <c r="O688" s="125"/>
      <c r="P688" s="125"/>
    </row>
    <row r="689" spans="1:16" ht="18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125"/>
      <c r="N689" s="125"/>
      <c r="O689" s="125"/>
      <c r="P689" s="125"/>
    </row>
    <row r="690" spans="1:16" ht="18">
      <c r="A690" s="30" t="s">
        <v>363</v>
      </c>
      <c r="B690" s="31"/>
      <c r="C690" s="1500" t="s">
        <v>380</v>
      </c>
      <c r="D690" s="1500"/>
      <c r="E690" s="1500"/>
      <c r="F690" s="31"/>
      <c r="G690" s="31" t="s">
        <v>364</v>
      </c>
      <c r="H690" s="31"/>
      <c r="I690" s="1500" t="s">
        <v>380</v>
      </c>
      <c r="J690" s="1500"/>
      <c r="K690" s="1500"/>
      <c r="L690" s="31"/>
      <c r="M690" s="125"/>
      <c r="N690" s="125"/>
      <c r="O690" s="125"/>
      <c r="P690" s="125"/>
    </row>
    <row r="691" spans="1:16" ht="18.75" thickBot="1">
      <c r="A691" s="30" t="s">
        <v>365</v>
      </c>
      <c r="B691" s="31"/>
      <c r="C691" s="31" t="s">
        <v>380</v>
      </c>
      <c r="D691" s="31"/>
      <c r="E691" s="31"/>
      <c r="F691" s="31"/>
      <c r="G691" s="31" t="s">
        <v>366</v>
      </c>
      <c r="H691" s="31"/>
      <c r="I691" s="31" t="s">
        <v>441</v>
      </c>
      <c r="J691" s="31"/>
      <c r="K691" s="31"/>
      <c r="L691" s="31"/>
      <c r="M691" s="125"/>
      <c r="N691" s="125"/>
      <c r="O691" s="125"/>
      <c r="P691" s="125"/>
    </row>
    <row r="692" spans="1:16" ht="17.25" thickTop="1" thickBot="1">
      <c r="A692" s="1542" t="s">
        <v>367</v>
      </c>
      <c r="B692" s="1543"/>
      <c r="C692" s="1543" t="s">
        <v>360</v>
      </c>
      <c r="D692" s="1543"/>
      <c r="E692" s="1543" t="s">
        <v>368</v>
      </c>
      <c r="F692" s="1543"/>
      <c r="G692" s="1543" t="s">
        <v>369</v>
      </c>
      <c r="H692" s="1543"/>
      <c r="I692" s="1543" t="s">
        <v>370</v>
      </c>
      <c r="J692" s="1543"/>
      <c r="K692" s="1543" t="s">
        <v>371</v>
      </c>
      <c r="L692" s="1544"/>
      <c r="M692" s="125"/>
      <c r="N692" s="125"/>
      <c r="O692" s="125"/>
      <c r="P692" s="125"/>
    </row>
    <row r="693" spans="1:16" ht="17.25" thickTop="1" thickBot="1">
      <c r="A693" s="1540" t="s">
        <v>372</v>
      </c>
      <c r="B693" s="1541"/>
      <c r="C693" s="1504">
        <v>0</v>
      </c>
      <c r="D693" s="1505"/>
      <c r="E693" s="1504">
        <v>0</v>
      </c>
      <c r="F693" s="1505"/>
      <c r="G693" s="1504">
        <v>0</v>
      </c>
      <c r="H693" s="1505"/>
      <c r="I693" s="1504">
        <v>0</v>
      </c>
      <c r="J693" s="1505"/>
      <c r="K693" s="1504">
        <v>0</v>
      </c>
      <c r="L693" s="1505"/>
      <c r="M693" s="125"/>
      <c r="N693" s="125"/>
      <c r="O693" s="125"/>
      <c r="P693" s="125"/>
    </row>
    <row r="694" spans="1:16" ht="17.25" thickTop="1" thickBot="1">
      <c r="A694" s="1540" t="s">
        <v>373</v>
      </c>
      <c r="B694" s="1541"/>
      <c r="C694" s="1504">
        <v>0</v>
      </c>
      <c r="D694" s="1505"/>
      <c r="E694" s="1504">
        <v>0</v>
      </c>
      <c r="F694" s="1505"/>
      <c r="G694" s="1504">
        <v>0</v>
      </c>
      <c r="H694" s="1505"/>
      <c r="I694" s="1504">
        <v>0</v>
      </c>
      <c r="J694" s="1505"/>
      <c r="K694" s="1504">
        <v>0</v>
      </c>
      <c r="L694" s="1505"/>
      <c r="M694" s="125"/>
      <c r="N694" s="125"/>
      <c r="O694" s="125"/>
      <c r="P694" s="125"/>
    </row>
    <row r="695" spans="1:16" ht="17.25" thickTop="1" thickBot="1">
      <c r="A695" s="1540" t="s">
        <v>374</v>
      </c>
      <c r="B695" s="1541"/>
      <c r="C695" s="1504">
        <v>0</v>
      </c>
      <c r="D695" s="1505"/>
      <c r="E695" s="1504">
        <v>0</v>
      </c>
      <c r="F695" s="1505"/>
      <c r="G695" s="1504">
        <v>0</v>
      </c>
      <c r="H695" s="1505"/>
      <c r="I695" s="1504">
        <v>0</v>
      </c>
      <c r="J695" s="1505"/>
      <c r="K695" s="1504">
        <v>0</v>
      </c>
      <c r="L695" s="1505"/>
      <c r="M695" s="125"/>
      <c r="N695" s="125"/>
      <c r="O695" s="125"/>
      <c r="P695" s="125"/>
    </row>
    <row r="696" spans="1:16" ht="17.25" thickTop="1" thickBot="1">
      <c r="A696" s="1536" t="s">
        <v>375</v>
      </c>
      <c r="B696" s="1537"/>
      <c r="C696" s="1504">
        <v>0</v>
      </c>
      <c r="D696" s="1505"/>
      <c r="E696" s="1504">
        <v>0</v>
      </c>
      <c r="F696" s="1505"/>
      <c r="G696" s="1504">
        <v>0</v>
      </c>
      <c r="H696" s="1505"/>
      <c r="I696" s="1504">
        <v>0</v>
      </c>
      <c r="J696" s="1505"/>
      <c r="K696" s="1504">
        <v>0</v>
      </c>
      <c r="L696" s="1505"/>
      <c r="M696" s="125"/>
      <c r="N696" s="125"/>
      <c r="O696" s="125"/>
      <c r="P696" s="125"/>
    </row>
    <row r="697" spans="1:16" ht="17.25" thickTop="1" thickBot="1">
      <c r="A697" s="32"/>
      <c r="B697" s="32"/>
      <c r="C697" s="32"/>
      <c r="D697" s="32"/>
      <c r="E697" s="32"/>
      <c r="F697" s="32"/>
      <c r="G697" s="32"/>
      <c r="H697" s="32"/>
      <c r="I697" s="45"/>
      <c r="J697" s="45"/>
      <c r="K697" s="32"/>
      <c r="L697" s="32"/>
      <c r="M697" s="125"/>
      <c r="N697" s="125"/>
      <c r="O697" s="125"/>
      <c r="P697" s="125"/>
    </row>
    <row r="698" spans="1:16" ht="17.25" thickTop="1" thickBot="1">
      <c r="A698" s="1508" t="s">
        <v>376</v>
      </c>
      <c r="B698" s="1539"/>
      <c r="C698" s="1504">
        <v>0</v>
      </c>
      <c r="D698" s="1505"/>
      <c r="E698" s="1504">
        <v>0</v>
      </c>
      <c r="F698" s="1505"/>
      <c r="G698" s="1504">
        <v>0</v>
      </c>
      <c r="H698" s="1505"/>
      <c r="I698" s="1504">
        <v>0</v>
      </c>
      <c r="J698" s="1505"/>
      <c r="K698" s="1504">
        <v>0</v>
      </c>
      <c r="L698" s="1505"/>
      <c r="M698" s="125"/>
      <c r="N698" s="125"/>
      <c r="O698" s="125"/>
      <c r="P698" s="125"/>
    </row>
    <row r="699" spans="1:16" ht="17.25" thickTop="1" thickBot="1">
      <c r="A699" s="1506" t="s">
        <v>377</v>
      </c>
      <c r="B699" s="1538"/>
      <c r="C699" s="1504">
        <v>0</v>
      </c>
      <c r="D699" s="1505"/>
      <c r="E699" s="1504">
        <v>0</v>
      </c>
      <c r="F699" s="1505"/>
      <c r="G699" s="1504">
        <v>0</v>
      </c>
      <c r="H699" s="1505"/>
      <c r="I699" s="1504">
        <v>0</v>
      </c>
      <c r="J699" s="1505"/>
      <c r="K699" s="1504">
        <v>0</v>
      </c>
      <c r="L699" s="1505"/>
      <c r="M699" s="125"/>
      <c r="N699" s="125"/>
      <c r="O699" s="125"/>
      <c r="P699" s="125"/>
    </row>
    <row r="700" spans="1:16" ht="17.25" thickTop="1" thickBot="1">
      <c r="A700" s="1506" t="s">
        <v>378</v>
      </c>
      <c r="B700" s="1538"/>
      <c r="C700" s="1504">
        <v>0</v>
      </c>
      <c r="D700" s="1505"/>
      <c r="E700" s="1504">
        <v>0</v>
      </c>
      <c r="F700" s="1505"/>
      <c r="G700" s="1504">
        <v>0</v>
      </c>
      <c r="H700" s="1505"/>
      <c r="I700" s="1504">
        <v>0</v>
      </c>
      <c r="J700" s="1505"/>
      <c r="K700" s="1504">
        <v>0</v>
      </c>
      <c r="L700" s="1505"/>
      <c r="M700" s="125"/>
      <c r="N700" s="125"/>
      <c r="O700" s="125"/>
      <c r="P700" s="125"/>
    </row>
    <row r="701" spans="1:16" ht="17.25" thickTop="1" thickBot="1">
      <c r="A701" s="1536" t="s">
        <v>379</v>
      </c>
      <c r="B701" s="1537"/>
      <c r="C701" s="1504">
        <v>0</v>
      </c>
      <c r="D701" s="1505"/>
      <c r="E701" s="1504">
        <v>0</v>
      </c>
      <c r="F701" s="1505"/>
      <c r="G701" s="1504">
        <v>0</v>
      </c>
      <c r="H701" s="1505"/>
      <c r="I701" s="1504">
        <v>0</v>
      </c>
      <c r="J701" s="1505"/>
      <c r="K701" s="1504" t="s">
        <v>380</v>
      </c>
      <c r="L701" s="1505"/>
      <c r="M701" s="125"/>
      <c r="N701" s="125"/>
      <c r="O701" s="125"/>
      <c r="P701" s="125"/>
    </row>
    <row r="702" spans="1:16" ht="17.25" thickTop="1" thickBot="1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125"/>
      <c r="N702" s="125"/>
      <c r="O702" s="125"/>
      <c r="P702" s="125"/>
    </row>
    <row r="703" spans="1:16" ht="16.5" thickTop="1">
      <c r="A703" s="35" t="s">
        <v>381</v>
      </c>
      <c r="B703" s="36" t="s">
        <v>380</v>
      </c>
      <c r="C703" s="36" t="s">
        <v>380</v>
      </c>
      <c r="D703" s="36" t="s">
        <v>380</v>
      </c>
      <c r="E703" s="36" t="s">
        <v>380</v>
      </c>
      <c r="F703" s="36" t="s">
        <v>380</v>
      </c>
      <c r="G703" s="36" t="s">
        <v>380</v>
      </c>
      <c r="H703" s="36" t="s">
        <v>380</v>
      </c>
      <c r="I703" s="36" t="s">
        <v>380</v>
      </c>
      <c r="J703" s="36" t="s">
        <v>380</v>
      </c>
      <c r="K703" s="36" t="s">
        <v>380</v>
      </c>
      <c r="L703" s="36" t="s">
        <v>380</v>
      </c>
      <c r="M703" s="125"/>
      <c r="N703" s="125"/>
      <c r="O703" s="125"/>
      <c r="P703" s="125"/>
    </row>
    <row r="704" spans="1:16" ht="15.75">
      <c r="A704" s="37" t="s">
        <v>388</v>
      </c>
      <c r="B704" s="38" t="s">
        <v>380</v>
      </c>
      <c r="C704" s="38" t="s">
        <v>380</v>
      </c>
      <c r="D704" s="38" t="s">
        <v>380</v>
      </c>
      <c r="E704" s="38" t="s">
        <v>380</v>
      </c>
      <c r="F704" s="38" t="s">
        <v>380</v>
      </c>
      <c r="G704" s="38" t="s">
        <v>380</v>
      </c>
      <c r="H704" s="38" t="s">
        <v>380</v>
      </c>
      <c r="I704" s="38" t="s">
        <v>380</v>
      </c>
      <c r="J704" s="38" t="s">
        <v>380</v>
      </c>
      <c r="K704" s="38" t="s">
        <v>380</v>
      </c>
      <c r="L704" s="38" t="s">
        <v>380</v>
      </c>
      <c r="M704" s="125"/>
      <c r="N704" s="125"/>
      <c r="O704" s="125"/>
      <c r="P704" s="125"/>
    </row>
    <row r="705" spans="1:16" ht="15.75">
      <c r="A705" s="37" t="s">
        <v>394</v>
      </c>
      <c r="B705" s="40" t="s">
        <v>380</v>
      </c>
      <c r="C705" s="40" t="s">
        <v>380</v>
      </c>
      <c r="D705" s="40" t="s">
        <v>380</v>
      </c>
      <c r="E705" s="40" t="s">
        <v>380</v>
      </c>
      <c r="F705" s="40" t="s">
        <v>380</v>
      </c>
      <c r="G705" s="40" t="s">
        <v>380</v>
      </c>
      <c r="H705" s="40" t="s">
        <v>380</v>
      </c>
      <c r="I705" s="40" t="s">
        <v>380</v>
      </c>
      <c r="J705" s="40" t="s">
        <v>380</v>
      </c>
      <c r="K705" s="40" t="s">
        <v>380</v>
      </c>
      <c r="L705" s="40" t="s">
        <v>380</v>
      </c>
      <c r="M705" s="125"/>
      <c r="N705" s="125"/>
      <c r="O705" s="125"/>
      <c r="P705" s="125"/>
    </row>
    <row r="706" spans="1:16" ht="15.75">
      <c r="A706" s="37" t="s">
        <v>397</v>
      </c>
      <c r="B706" s="41" t="s">
        <v>380</v>
      </c>
      <c r="C706" s="41" t="s">
        <v>380</v>
      </c>
      <c r="D706" s="41" t="s">
        <v>380</v>
      </c>
      <c r="E706" s="41" t="s">
        <v>380</v>
      </c>
      <c r="F706" s="41" t="s">
        <v>380</v>
      </c>
      <c r="G706" s="41" t="s">
        <v>380</v>
      </c>
      <c r="H706" s="41" t="s">
        <v>380</v>
      </c>
      <c r="I706" s="41" t="s">
        <v>380</v>
      </c>
      <c r="J706" s="41" t="s">
        <v>380</v>
      </c>
      <c r="K706" s="41" t="s">
        <v>380</v>
      </c>
      <c r="L706" s="41" t="s">
        <v>380</v>
      </c>
      <c r="M706" s="125"/>
      <c r="N706" s="125"/>
      <c r="O706" s="125"/>
      <c r="P706" s="125"/>
    </row>
    <row r="707" spans="1:16" ht="16.5" thickBot="1">
      <c r="A707" s="42" t="s">
        <v>343</v>
      </c>
      <c r="B707" s="41" t="s">
        <v>380</v>
      </c>
      <c r="C707" s="41" t="s">
        <v>380</v>
      </c>
      <c r="D707" s="41" t="s">
        <v>380</v>
      </c>
      <c r="E707" s="41" t="s">
        <v>380</v>
      </c>
      <c r="F707" s="41" t="s">
        <v>380</v>
      </c>
      <c r="G707" s="41" t="s">
        <v>380</v>
      </c>
      <c r="H707" s="41" t="s">
        <v>380</v>
      </c>
      <c r="I707" s="41" t="s">
        <v>380</v>
      </c>
      <c r="J707" s="41" t="s">
        <v>380</v>
      </c>
      <c r="K707" s="41" t="s">
        <v>380</v>
      </c>
      <c r="L707" s="41" t="s">
        <v>380</v>
      </c>
      <c r="M707" s="125"/>
      <c r="N707" s="125"/>
      <c r="O707" s="125"/>
      <c r="P707" s="125"/>
    </row>
    <row r="708" spans="1:16" ht="17.25" thickTop="1" thickBot="1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125"/>
      <c r="N708" s="125"/>
      <c r="O708" s="125"/>
      <c r="P708" s="125"/>
    </row>
    <row r="709" spans="1:16" ht="19.5" thickTop="1" thickBot="1">
      <c r="A709" s="35" t="s">
        <v>399</v>
      </c>
      <c r="B709" s="1494" t="s">
        <v>380</v>
      </c>
      <c r="C709" s="1495"/>
      <c r="D709" s="1494" t="s">
        <v>380</v>
      </c>
      <c r="E709" s="1496"/>
      <c r="F709" s="32"/>
      <c r="G709" s="32"/>
      <c r="H709" s="32"/>
      <c r="I709" s="32"/>
      <c r="J709" s="32"/>
      <c r="K709" s="31"/>
      <c r="L709" s="31"/>
      <c r="M709" s="125"/>
      <c r="N709" s="125"/>
      <c r="O709" s="125"/>
      <c r="P709" s="125"/>
    </row>
    <row r="710" spans="1:16" ht="18.75" thickBot="1">
      <c r="A710" s="37" t="s">
        <v>400</v>
      </c>
      <c r="B710" s="1497" t="s">
        <v>380</v>
      </c>
      <c r="C710" s="1498"/>
      <c r="D710" s="1497" t="s">
        <v>380</v>
      </c>
      <c r="E710" s="1499"/>
      <c r="F710" s="31" t="s">
        <v>401</v>
      </c>
      <c r="G710" s="1500" t="s">
        <v>402</v>
      </c>
      <c r="H710" s="1500"/>
      <c r="I710" s="31" t="s">
        <v>403</v>
      </c>
      <c r="J710" s="1501">
        <v>42610.364183217593</v>
      </c>
      <c r="K710" s="1501"/>
      <c r="L710" s="1501"/>
      <c r="M710" s="125"/>
      <c r="N710" s="125"/>
      <c r="O710" s="125"/>
      <c r="P710" s="125"/>
    </row>
    <row r="711" spans="1:16" ht="18.75" thickBot="1">
      <c r="A711" s="42" t="s">
        <v>404</v>
      </c>
      <c r="B711" s="1491" t="s">
        <v>380</v>
      </c>
      <c r="C711" s="1492"/>
      <c r="D711" s="1491" t="s">
        <v>380</v>
      </c>
      <c r="E711" s="1493"/>
      <c r="F711" s="32"/>
      <c r="G711" s="31"/>
      <c r="H711" s="31" t="s">
        <v>405</v>
      </c>
      <c r="I711" s="31"/>
      <c r="J711" s="32"/>
      <c r="K711" s="31"/>
      <c r="L711" s="31"/>
      <c r="M711" s="125"/>
      <c r="N711" s="125"/>
      <c r="O711" s="125"/>
      <c r="P711" s="125"/>
    </row>
    <row r="712" spans="1:16" ht="18.75" thickTop="1">
      <c r="A712" s="1500" t="s">
        <v>78</v>
      </c>
      <c r="B712" s="1500"/>
      <c r="C712" s="1500"/>
      <c r="D712" s="1500"/>
      <c r="E712" s="1500"/>
      <c r="F712" s="1500"/>
      <c r="G712" s="1500"/>
      <c r="H712" s="1500"/>
      <c r="I712" s="1500"/>
      <c r="J712" s="1500"/>
      <c r="K712" s="1500"/>
      <c r="L712" s="1500"/>
      <c r="M712" s="125"/>
      <c r="N712" s="125"/>
      <c r="O712" s="125"/>
      <c r="P712" s="125"/>
    </row>
    <row r="713" spans="1:16" ht="18">
      <c r="A713" s="1500" t="s">
        <v>79</v>
      </c>
      <c r="B713" s="1500"/>
      <c r="C713" s="1500"/>
      <c r="D713" s="1500"/>
      <c r="E713" s="1500"/>
      <c r="F713" s="1500"/>
      <c r="G713" s="1500"/>
      <c r="H713" s="1500"/>
      <c r="I713" s="1500"/>
      <c r="J713" s="1500"/>
      <c r="K713" s="1500"/>
      <c r="L713" s="1500"/>
      <c r="M713" s="125"/>
      <c r="N713" s="125"/>
      <c r="O713" s="125"/>
      <c r="P713" s="125"/>
    </row>
    <row r="714" spans="1:16" ht="18">
      <c r="A714" s="30" t="s">
        <v>220</v>
      </c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125"/>
      <c r="N714" s="125"/>
      <c r="O714" s="125"/>
      <c r="P714" s="125"/>
    </row>
    <row r="715" spans="1:16" ht="18">
      <c r="A715" s="30" t="s">
        <v>361</v>
      </c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125"/>
      <c r="N715" s="125"/>
      <c r="O715" s="125"/>
      <c r="P715" s="125"/>
    </row>
    <row r="716" spans="1:16" ht="18.75" thickBo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125"/>
      <c r="N716" s="125"/>
      <c r="O716" s="125"/>
      <c r="P716" s="125"/>
    </row>
    <row r="717" spans="1:16" ht="24" thickBot="1">
      <c r="A717" s="31"/>
      <c r="B717" s="31"/>
      <c r="C717" s="1532" t="s">
        <v>362</v>
      </c>
      <c r="D717" s="1533"/>
      <c r="E717" s="1533"/>
      <c r="F717" s="1533"/>
      <c r="G717" s="1534"/>
      <c r="H717" s="1518" t="s">
        <v>12</v>
      </c>
      <c r="I717" s="1519"/>
      <c r="J717" s="31"/>
      <c r="K717" s="31"/>
      <c r="L717" s="31"/>
      <c r="M717" s="125"/>
      <c r="N717" s="125"/>
      <c r="O717" s="125"/>
      <c r="P717" s="125"/>
    </row>
    <row r="718" spans="1:16" ht="18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125"/>
      <c r="N718" s="125"/>
      <c r="O718" s="125"/>
      <c r="P718" s="125"/>
    </row>
    <row r="719" spans="1:16" ht="18">
      <c r="A719" s="30" t="s">
        <v>363</v>
      </c>
      <c r="B719" s="31"/>
      <c r="C719" s="1500" t="s">
        <v>275</v>
      </c>
      <c r="D719" s="1500"/>
      <c r="E719" s="1500"/>
      <c r="F719" s="31"/>
      <c r="G719" s="31" t="s">
        <v>364</v>
      </c>
      <c r="H719" s="31"/>
      <c r="I719" s="1295" t="str">
        <f>CONCATENATE([3]Feuil2!$M$5)</f>
        <v/>
      </c>
      <c r="J719" s="1295"/>
      <c r="K719" s="1295"/>
      <c r="L719" s="31"/>
      <c r="M719" s="125"/>
      <c r="N719" s="126">
        <f>H719</f>
        <v>0</v>
      </c>
      <c r="O719" s="125"/>
      <c r="P719" s="125"/>
    </row>
    <row r="720" spans="1:16" ht="18.75" thickBot="1">
      <c r="A720" s="30" t="s">
        <v>365</v>
      </c>
      <c r="B720" s="31"/>
      <c r="C720" s="31">
        <v>13</v>
      </c>
      <c r="D720" s="31"/>
      <c r="E720" s="31"/>
      <c r="F720" s="31"/>
      <c r="G720" s="31" t="s">
        <v>366</v>
      </c>
      <c r="H720" s="31"/>
      <c r="I720" s="31">
        <v>8</v>
      </c>
      <c r="J720" s="31"/>
      <c r="K720" s="31"/>
      <c r="L720" s="31"/>
      <c r="M720" s="125"/>
      <c r="N720" s="125"/>
      <c r="O720" s="125"/>
      <c r="P720" s="125"/>
    </row>
    <row r="721" spans="1:16" ht="17.25" thickTop="1" thickBot="1">
      <c r="A721" s="1510" t="s">
        <v>367</v>
      </c>
      <c r="B721" s="1511"/>
      <c r="C721" s="1512" t="s">
        <v>360</v>
      </c>
      <c r="D721" s="1513"/>
      <c r="E721" s="1512" t="s">
        <v>368</v>
      </c>
      <c r="F721" s="1513"/>
      <c r="G721" s="1512" t="s">
        <v>369</v>
      </c>
      <c r="H721" s="1513"/>
      <c r="I721" s="1512" t="s">
        <v>370</v>
      </c>
      <c r="J721" s="1513"/>
      <c r="K721" s="1512" t="s">
        <v>371</v>
      </c>
      <c r="L721" s="1514"/>
      <c r="M721" s="125"/>
      <c r="N721" s="125"/>
      <c r="O721" s="125"/>
      <c r="P721" s="125"/>
    </row>
    <row r="722" spans="1:16" ht="17.25" thickTop="1" thickBot="1">
      <c r="A722" s="1528" t="s">
        <v>372</v>
      </c>
      <c r="B722" s="1529"/>
      <c r="C722" s="1315" t="str">
        <f>IF(ISERROR(HLOOKUP($H$6,[3]Feuil2!$C$3:$AG$44,4,0)),"",(HLOOKUP($H$6,[3]Feuil2!$C$3:$AG$44,4,0)))</f>
        <v/>
      </c>
      <c r="D722" s="1316"/>
      <c r="E722" s="1315" t="str">
        <f>IF(ISERROR(HLOOKUP($H$6,[3]Feuil2!$C$3:$AG$44,12,0)),"",(HLOOKUP($H$6,[3]Feuil2!$C$3:$AG$44,12,0)))</f>
        <v/>
      </c>
      <c r="F722" s="1316"/>
      <c r="G722" s="1315" t="str">
        <f>IF(ISERROR(HLOOKUP($H$6,[3]Feuil2!$C$3:$AG$44,20,0)),"",(HLOOKUP($H$6,[3]Feuil2!$C$3:$AG$44,20,0)))</f>
        <v/>
      </c>
      <c r="H722" s="1316"/>
      <c r="I722" s="1315" t="str">
        <f>IF(ISERROR(HLOOKUP($H$6,[3]Feuil2!$C$3:$AG$44,28,0)),"",(HLOOKUP($H$6,[3]Feuil2!$C$3:$AG$44,28,0)))</f>
        <v/>
      </c>
      <c r="J722" s="1316"/>
      <c r="K722" s="1315" t="str">
        <f>IF(ISERROR(HLOOKUP($H$6,[3]Feuil2!$C$3:$AG$44,36,0)),"",(HLOOKUP($H$6,[3]Feuil2!$C$3:$AG$44,36,0)))</f>
        <v/>
      </c>
      <c r="L722" s="1316"/>
      <c r="M722" s="125"/>
      <c r="N722" s="125"/>
      <c r="O722" s="125"/>
      <c r="P722" s="125"/>
    </row>
    <row r="723" spans="1:16" ht="17.25" thickTop="1" thickBot="1">
      <c r="A723" s="1528" t="s">
        <v>373</v>
      </c>
      <c r="B723" s="1529"/>
      <c r="C723" s="1315" t="str">
        <f>IF(ISERROR(HLOOKUP($H$6,[3]Feuil2!$C$3:$AG$44,5,0)),"",(HLOOKUP($H$6,[3]Feuil2!$C$3:$AG$44,5,0)))</f>
        <v/>
      </c>
      <c r="D723" s="1316"/>
      <c r="E723" s="1315" t="str">
        <f>IF(ISERROR(HLOOKUP($H$6,[3]Feuil2!$C$3:$AG$44,13,0)),"",(HLOOKUP($H$6,[3]Feuil2!$C$3:$AG$44,13,0)))</f>
        <v/>
      </c>
      <c r="F723" s="1316"/>
      <c r="G723" s="1315" t="str">
        <f>IF(ISERROR(HLOOKUP($H$6,[3]Feuil2!$C$3:$AG$44,21,0)),"",(HLOOKUP($H$6,[3]Feuil2!$C$3:$AG$44,21,0)))</f>
        <v/>
      </c>
      <c r="H723" s="1316"/>
      <c r="I723" s="1315" t="str">
        <f>IF(ISERROR(HLOOKUP($H$6,[3]Feuil2!$C$3:$AG$44,29,0)),"",(HLOOKUP($H$6,[3]Feuil2!$C$3:$AG$44,29,0)))</f>
        <v/>
      </c>
      <c r="J723" s="1316"/>
      <c r="K723" s="1315" t="str">
        <f>IF(ISERROR(HLOOKUP($H$6,[3]Feuil2!$C$3:$AG$44,37,0)),"",(HLOOKUP($H$6,[3]Feuil2!$C$3:$AG$44,37,0)))</f>
        <v/>
      </c>
      <c r="L723" s="1316"/>
      <c r="M723" s="125"/>
      <c r="N723" s="125"/>
      <c r="O723" s="125"/>
      <c r="P723" s="125"/>
    </row>
    <row r="724" spans="1:16" ht="17.25" thickTop="1" thickBot="1">
      <c r="A724" s="1528" t="s">
        <v>374</v>
      </c>
      <c r="B724" s="1529"/>
      <c r="C724" s="1315" t="str">
        <f>IF(ISERROR(HLOOKUP($H$6,[3]Feuil2!$C$3:$AG$44,6,0)),"",(HLOOKUP($H$6,[3]Feuil2!$C$3:$AG$44,6,0)))</f>
        <v/>
      </c>
      <c r="D724" s="1316"/>
      <c r="E724" s="1315" t="str">
        <f>IF(ISERROR(HLOOKUP($H$6,[3]Feuil2!$C$3:$AG$44,14,0)),"",(HLOOKUP($H$6,[3]Feuil2!$C$3:$AG$44,14,0)))</f>
        <v/>
      </c>
      <c r="F724" s="1316"/>
      <c r="G724" s="1315" t="str">
        <f>IF(ISERROR(HLOOKUP($H$6,[3]Feuil2!$C$3:$AG$44,22,0)),"",(HLOOKUP($H$6,[3]Feuil2!$C$3:$AG$44,22,0)))</f>
        <v/>
      </c>
      <c r="H724" s="1316"/>
      <c r="I724" s="1315" t="str">
        <f>IF(ISERROR(HLOOKUP($H$6,[3]Feuil2!$C$3:$AG$44,30,0)),"",(HLOOKUP($H$6,[3]Feuil2!$C$3:$AG$44,30,0)))</f>
        <v/>
      </c>
      <c r="J724" s="1316"/>
      <c r="K724" s="1336" t="str">
        <f>IF(ISERROR(HLOOKUP($H$6,[3]Feuil2!$C$3:$AG$44,38,0)),"",(HLOOKUP($H$6,[3]Feuil2!$C$3:$AG$44,38,0)))</f>
        <v/>
      </c>
      <c r="L724" s="1337"/>
      <c r="M724" s="125"/>
      <c r="N724" s="125"/>
      <c r="O724" s="125"/>
      <c r="P724" s="125"/>
    </row>
    <row r="725" spans="1:16" ht="17.25" thickTop="1" thickBot="1">
      <c r="A725" s="1526" t="s">
        <v>375</v>
      </c>
      <c r="B725" s="1527"/>
      <c r="C725" s="1315"/>
      <c r="D725" s="1316"/>
      <c r="E725" s="1315" t="str">
        <f>IF(ISERROR(HLOOKUP($H$6,[3]Feuil2!$C$3:$AG$44,15,0)),"",(HLOOKUP($H$6,[3]Feuil2!$C$3:$AG$44,15,0)))</f>
        <v/>
      </c>
      <c r="F725" s="1316"/>
      <c r="G725" s="1315" t="str">
        <f>IF(ISERROR(HLOOKUP($H$6,[3]Feuil2!$C$3:$AG$44,23,0)),"",(HLOOKUP($H$6,[3]Feuil2!$C$3:$AG$44,23,0)))</f>
        <v/>
      </c>
      <c r="H725" s="1316"/>
      <c r="I725" s="1315" t="str">
        <f>IF(ISERROR(HLOOKUP($H$6,[3]Feuil2!$C$3:$AG$44,31,0)),"",(HLOOKUP($H$6,[3]Feuil2!$C$3:$AG$44,31,0)))</f>
        <v/>
      </c>
      <c r="J725" s="1316"/>
      <c r="K725" s="1315" t="str">
        <f>IF(ISERROR(HLOOKUP($H$6,[3]Feuil2!$C$3:$AG$44,39,0)),"",(HLOOKUP($H$6,[3]Feuil2!$C$3:$AG$44,39,0)))</f>
        <v/>
      </c>
      <c r="L725" s="1316"/>
      <c r="M725" s="125"/>
      <c r="N725" s="125"/>
      <c r="O725" s="125"/>
      <c r="P725" s="125"/>
    </row>
    <row r="726" spans="1:16" ht="17.25" thickTop="1" thickBot="1">
      <c r="A726" s="32"/>
      <c r="B726" s="32"/>
      <c r="C726" s="33"/>
      <c r="D726" s="33"/>
      <c r="E726" s="33"/>
      <c r="F726" s="33"/>
      <c r="G726" s="33"/>
      <c r="H726" s="33"/>
      <c r="I726" s="34"/>
      <c r="J726" s="34"/>
      <c r="K726" s="33"/>
      <c r="L726" s="33"/>
      <c r="M726" s="125"/>
      <c r="N726" s="125"/>
      <c r="O726" s="125"/>
      <c r="P726" s="125"/>
    </row>
    <row r="727" spans="1:16" ht="17.25" thickTop="1" thickBot="1">
      <c r="A727" s="1508" t="s">
        <v>376</v>
      </c>
      <c r="B727" s="1509"/>
      <c r="C727" s="1315" t="str">
        <f>IF(ISERROR(HLOOKUP($H$6,[3]Feuil2!$C$3:$AG$44,8,0)),"",(HLOOKUP($H$6,[3]Feuil2!$C$3:$AG$44,8,0)))</f>
        <v/>
      </c>
      <c r="D727" s="1316"/>
      <c r="E727" s="1315" t="str">
        <f>IF(ISERROR(HLOOKUP($H$6,[3]Feuil2!$C$3:$AG$44,16,0)),"",(HLOOKUP($H$6,[3]Feuil2!$C$3:$AG$44,16,0)))</f>
        <v/>
      </c>
      <c r="F727" s="1316"/>
      <c r="G727" s="1315" t="str">
        <f>IF(ISERROR(HLOOKUP($H$6,[3]Feuil2!$C$3:$AG$44,24,0)),"",(HLOOKUP($H$6,[3]Feuil2!$C$3:$AG$44,24,0)))</f>
        <v/>
      </c>
      <c r="H727" s="1316"/>
      <c r="I727" s="1315" t="str">
        <f>IF(ISERROR(HLOOKUP($H$6,[3]Feuil2!$C$3:$AG$44,32,0)),"",(HLOOKUP($H$6,[3]Feuil2!$C$3:$AG$44,32,0)))</f>
        <v/>
      </c>
      <c r="J727" s="1316"/>
      <c r="K727" s="1315" t="str">
        <f>IF(ISERROR(HLOOKUP($H$6,[3]Feuil2!$C$3:$AG$44,40,0)),"",(HLOOKUP($H$6,[3]Feuil2!$C$3:$AG$44,40,0)))</f>
        <v/>
      </c>
      <c r="L727" s="1316"/>
      <c r="M727" s="125"/>
      <c r="N727" s="125"/>
      <c r="O727" s="125"/>
      <c r="P727" s="125"/>
    </row>
    <row r="728" spans="1:16" ht="17.25" thickTop="1" thickBot="1">
      <c r="A728" s="1506" t="s">
        <v>377</v>
      </c>
      <c r="B728" s="1507"/>
      <c r="C728" s="1315" t="str">
        <f>IF(ISERROR(HLOOKUP($H$6,[3]Feuil2!$C$3:$AG$44,9,0)),"",(HLOOKUP($H$6,[3]Feuil2!$C$3:$AG$44,9,0)))</f>
        <v/>
      </c>
      <c r="D728" s="1316"/>
      <c r="E728" s="1315" t="str">
        <f>IF(ISERROR(HLOOKUP($H$6,[3]Feuil2!$C$3:$AG$44,17,0)),"",(HLOOKUP($H$6,[3]Feuil2!$C$3:$AG$44,17,0)))</f>
        <v/>
      </c>
      <c r="F728" s="1316"/>
      <c r="G728" s="1315" t="str">
        <f>IF(ISERROR(HLOOKUP($H$6,[3]Feuil2!$C$3:$AG$44,25,0)),"",(HLOOKUP($H$6,[3]Feuil2!$C$3:$AG$44,25,0)))</f>
        <v/>
      </c>
      <c r="H728" s="1316"/>
      <c r="I728" s="1315" t="str">
        <f>IF(ISERROR(HLOOKUP($H$6,[3]Feuil2!$C$3:$AG$44,33,0)),"",(HLOOKUP($H$6,[3]Feuil2!$C$3:$AG$44,33,0)))</f>
        <v/>
      </c>
      <c r="J728" s="1316"/>
      <c r="K728" s="1315" t="str">
        <f>IF(ISERROR(HLOOKUP($H$6,[3]Feuil2!$C$3:$AG$44,41,0)),"",(HLOOKUP($H$6,[3]Feuil2!$C$3:$AG$44,41,0)))</f>
        <v/>
      </c>
      <c r="L728" s="1316"/>
      <c r="M728" s="125"/>
      <c r="N728" s="125"/>
      <c r="O728" s="125"/>
      <c r="P728" s="125"/>
    </row>
    <row r="729" spans="1:16" ht="17.25" thickTop="1" thickBot="1">
      <c r="A729" s="1506" t="s">
        <v>378</v>
      </c>
      <c r="B729" s="1507"/>
      <c r="C729" s="1315" t="str">
        <f>IF(ISERROR(HLOOKUP($H$6,[3]Feuil2!$C$3:$AG$44,10,0)),"",(HLOOKUP($H$6,[3]Feuil2!$C$3:$AG$44,10,0)))</f>
        <v/>
      </c>
      <c r="D729" s="1316"/>
      <c r="E729" s="1315" t="str">
        <f>IF(ISERROR(HLOOKUP($H$6,[3]Feuil2!$C$3:$AG$44,18,0)),"",(HLOOKUP($H$6,[3]Feuil2!$C$3:$AG$44,18,0)))</f>
        <v/>
      </c>
      <c r="F729" s="1316"/>
      <c r="G729" s="1315"/>
      <c r="H729" s="1316"/>
      <c r="I729" s="1315"/>
      <c r="J729" s="1316"/>
      <c r="K729" s="1315"/>
      <c r="L729" s="1316"/>
      <c r="M729" s="125"/>
      <c r="N729" s="125"/>
      <c r="O729" s="125"/>
      <c r="P729" s="125"/>
    </row>
    <row r="730" spans="1:16" ht="17.25" thickTop="1" thickBot="1">
      <c r="A730" s="1502" t="s">
        <v>379</v>
      </c>
      <c r="B730" s="1503"/>
      <c r="C730" s="1504">
        <v>0</v>
      </c>
      <c r="D730" s="1505"/>
      <c r="E730" s="1504">
        <v>0</v>
      </c>
      <c r="F730" s="1505"/>
      <c r="G730" s="1504">
        <v>0</v>
      </c>
      <c r="H730" s="1505"/>
      <c r="I730" s="1504">
        <v>0</v>
      </c>
      <c r="J730" s="1505"/>
      <c r="K730" s="1504" t="s">
        <v>380</v>
      </c>
      <c r="L730" s="1505"/>
      <c r="M730" s="125"/>
      <c r="N730" s="125"/>
      <c r="O730" s="125"/>
      <c r="P730" s="125"/>
    </row>
    <row r="731" spans="1:16" ht="17.25" thickTop="1" thickBot="1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125"/>
      <c r="N731" s="125"/>
      <c r="O731" s="125"/>
      <c r="P731" s="125"/>
    </row>
    <row r="732" spans="1:16" ht="16.5" thickTop="1">
      <c r="A732" s="35" t="s">
        <v>381</v>
      </c>
      <c r="B732" s="36" t="s">
        <v>262</v>
      </c>
      <c r="C732" s="36" t="s">
        <v>270</v>
      </c>
      <c r="D732" s="36" t="s">
        <v>382</v>
      </c>
      <c r="E732" s="36" t="s">
        <v>383</v>
      </c>
      <c r="F732" s="36" t="s">
        <v>384</v>
      </c>
      <c r="G732" s="36" t="s">
        <v>279</v>
      </c>
      <c r="H732" s="36" t="s">
        <v>385</v>
      </c>
      <c r="I732" s="36" t="s">
        <v>290</v>
      </c>
      <c r="J732" s="36" t="s">
        <v>386</v>
      </c>
      <c r="K732" s="36" t="s">
        <v>387</v>
      </c>
      <c r="L732" s="36" t="s">
        <v>380</v>
      </c>
      <c r="M732" s="125"/>
      <c r="N732" s="125"/>
      <c r="O732" s="125"/>
      <c r="P732" s="125"/>
    </row>
    <row r="733" spans="1:16" ht="15.75">
      <c r="A733" s="37" t="s">
        <v>388</v>
      </c>
      <c r="B733" s="38" t="s">
        <v>389</v>
      </c>
      <c r="C733" s="38" t="s">
        <v>390</v>
      </c>
      <c r="D733" s="38" t="s">
        <v>391</v>
      </c>
      <c r="E733" s="38" t="s">
        <v>359</v>
      </c>
      <c r="F733" s="38" t="s">
        <v>392</v>
      </c>
      <c r="G733" s="38">
        <v>2</v>
      </c>
      <c r="H733" s="38" t="s">
        <v>359</v>
      </c>
      <c r="I733" s="38" t="s">
        <v>393</v>
      </c>
      <c r="J733" s="38" t="s">
        <v>393</v>
      </c>
      <c r="K733" s="38" t="s">
        <v>359</v>
      </c>
      <c r="L733" s="38" t="s">
        <v>380</v>
      </c>
      <c r="M733" s="125"/>
      <c r="N733" s="125"/>
      <c r="O733" s="125"/>
      <c r="P733" s="125"/>
    </row>
    <row r="734" spans="1:16" ht="15.75">
      <c r="A734" s="37" t="s">
        <v>394</v>
      </c>
      <c r="B734" s="39" t="s">
        <v>395</v>
      </c>
      <c r="C734" s="39" t="s">
        <v>275</v>
      </c>
      <c r="D734" s="39" t="s">
        <v>276</v>
      </c>
      <c r="E734" s="39" t="s">
        <v>283</v>
      </c>
      <c r="F734" s="39" t="s">
        <v>284</v>
      </c>
      <c r="G734" s="39" t="s">
        <v>278</v>
      </c>
      <c r="H734" s="39" t="s">
        <v>271</v>
      </c>
      <c r="I734" s="39" t="s">
        <v>396</v>
      </c>
      <c r="J734" s="39" t="s">
        <v>295</v>
      </c>
      <c r="K734" s="39" t="s">
        <v>313</v>
      </c>
      <c r="L734" s="40" t="s">
        <v>380</v>
      </c>
      <c r="M734" s="125"/>
      <c r="N734" s="125"/>
      <c r="O734" s="125"/>
      <c r="P734" s="125"/>
    </row>
    <row r="735" spans="1:16" ht="15.75">
      <c r="A735" s="37" t="s">
        <v>397</v>
      </c>
      <c r="B735" s="41" t="s">
        <v>345</v>
      </c>
      <c r="C735" s="41" t="s">
        <v>345</v>
      </c>
      <c r="D735" s="41" t="s">
        <v>349</v>
      </c>
      <c r="E735" s="41" t="s">
        <v>345</v>
      </c>
      <c r="F735" s="41" t="s">
        <v>345</v>
      </c>
      <c r="G735" s="41" t="s">
        <v>348</v>
      </c>
      <c r="H735" s="41" t="s">
        <v>348</v>
      </c>
      <c r="I735" s="41" t="s">
        <v>398</v>
      </c>
      <c r="J735" s="41" t="s">
        <v>348</v>
      </c>
      <c r="K735" s="41" t="s">
        <v>348</v>
      </c>
      <c r="L735" s="41" t="s">
        <v>380</v>
      </c>
      <c r="M735" s="125"/>
      <c r="N735" s="125"/>
      <c r="O735" s="125"/>
      <c r="P735" s="125"/>
    </row>
    <row r="736" spans="1:16" ht="16.5" thickBot="1">
      <c r="A736" s="42" t="s">
        <v>343</v>
      </c>
      <c r="B736" s="43">
        <v>42623.42291666667</v>
      </c>
      <c r="C736" s="43">
        <v>0.63472222222222219</v>
      </c>
      <c r="D736" s="43">
        <v>42623.42291666667</v>
      </c>
      <c r="E736" s="43">
        <v>42684.465277777781</v>
      </c>
      <c r="F736" s="43">
        <v>0.67708333333333337</v>
      </c>
      <c r="G736" s="43">
        <v>0.67708333333333337</v>
      </c>
      <c r="H736" s="43">
        <v>0.67708333333333337</v>
      </c>
      <c r="I736" s="43">
        <v>42684.465277777781</v>
      </c>
      <c r="J736" s="43">
        <v>42623.42291666667</v>
      </c>
      <c r="K736" s="43">
        <v>42623.42291666667</v>
      </c>
      <c r="L736" s="43"/>
      <c r="M736" s="125"/>
      <c r="N736" s="125"/>
      <c r="O736" s="125"/>
      <c r="P736" s="125"/>
    </row>
    <row r="737" spans="1:16" ht="17.25" thickTop="1" thickBot="1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125"/>
      <c r="N737" s="125"/>
      <c r="O737" s="125"/>
      <c r="P737" s="125"/>
    </row>
    <row r="738" spans="1:16" ht="19.5" thickTop="1" thickBot="1">
      <c r="A738" s="35" t="s">
        <v>399</v>
      </c>
      <c r="B738" s="1494" t="s">
        <v>380</v>
      </c>
      <c r="C738" s="1495"/>
      <c r="D738" s="1494" t="s">
        <v>380</v>
      </c>
      <c r="E738" s="1496"/>
      <c r="F738" s="32"/>
      <c r="G738" s="32"/>
      <c r="H738" s="32"/>
      <c r="I738" s="32"/>
      <c r="J738" s="32"/>
      <c r="K738" s="31"/>
      <c r="L738" s="31"/>
      <c r="M738" s="125"/>
      <c r="N738" s="125"/>
      <c r="O738" s="125"/>
      <c r="P738" s="125"/>
    </row>
    <row r="739" spans="1:16" ht="18.75" thickBot="1">
      <c r="A739" s="37" t="s">
        <v>400</v>
      </c>
      <c r="B739" s="1497" t="s">
        <v>380</v>
      </c>
      <c r="C739" s="1498"/>
      <c r="D739" s="1497" t="s">
        <v>380</v>
      </c>
      <c r="E739" s="1499"/>
      <c r="F739" s="31" t="s">
        <v>401</v>
      </c>
      <c r="G739" s="1500" t="s">
        <v>402</v>
      </c>
      <c r="H739" s="1500"/>
      <c r="I739" s="31" t="s">
        <v>403</v>
      </c>
      <c r="J739" s="1501">
        <f ca="1">TODAY()</f>
        <v>45944</v>
      </c>
      <c r="K739" s="1501"/>
      <c r="L739" s="1501"/>
      <c r="M739" s="125"/>
      <c r="N739" s="125"/>
      <c r="O739" s="125"/>
      <c r="P739" s="125"/>
    </row>
    <row r="740" spans="1:16" ht="18.75" thickBot="1">
      <c r="A740" s="42" t="s">
        <v>404</v>
      </c>
      <c r="B740" s="1491" t="s">
        <v>380</v>
      </c>
      <c r="C740" s="1492"/>
      <c r="D740" s="1491" t="s">
        <v>380</v>
      </c>
      <c r="E740" s="1493"/>
      <c r="F740" s="32"/>
      <c r="G740" s="31"/>
      <c r="H740" s="31" t="s">
        <v>405</v>
      </c>
      <c r="I740" s="31"/>
      <c r="J740" s="32"/>
      <c r="K740" s="31"/>
      <c r="L740" s="31"/>
      <c r="M740" s="125"/>
      <c r="N740" s="125"/>
      <c r="O740" s="125"/>
      <c r="P740" s="125"/>
    </row>
    <row r="741" spans="1:16" ht="18.75" thickTop="1">
      <c r="A741" s="32"/>
      <c r="B741" s="32"/>
      <c r="C741" s="32"/>
      <c r="D741" s="32"/>
      <c r="E741" s="32"/>
      <c r="F741" s="31"/>
      <c r="G741" s="31"/>
      <c r="H741" s="44" t="s">
        <v>406</v>
      </c>
      <c r="I741" s="31"/>
      <c r="J741" s="31"/>
      <c r="K741" s="32"/>
      <c r="L741" s="32"/>
      <c r="M741" s="125"/>
      <c r="N741" s="125"/>
      <c r="O741" s="125"/>
      <c r="P741" s="125"/>
    </row>
    <row r="742" spans="1:16" ht="18">
      <c r="A742" s="32"/>
      <c r="B742" s="32"/>
      <c r="C742" s="32"/>
      <c r="D742" s="32"/>
      <c r="E742" s="32"/>
      <c r="F742" s="31"/>
      <c r="G742" s="31"/>
      <c r="H742" s="32"/>
      <c r="I742" s="31"/>
      <c r="J742" s="32"/>
      <c r="K742" s="32"/>
      <c r="L742" s="32"/>
      <c r="M742" s="125"/>
      <c r="N742" s="125"/>
      <c r="O742" s="125"/>
      <c r="P742" s="125"/>
    </row>
    <row r="743" spans="1:16" ht="18">
      <c r="A743" s="1500" t="s">
        <v>78</v>
      </c>
      <c r="B743" s="1500"/>
      <c r="C743" s="1500"/>
      <c r="D743" s="1500"/>
      <c r="E743" s="1500"/>
      <c r="F743" s="1500"/>
      <c r="G743" s="1500"/>
      <c r="H743" s="1500"/>
      <c r="I743" s="1500"/>
      <c r="J743" s="1500"/>
      <c r="K743" s="1500"/>
      <c r="L743" s="1500"/>
      <c r="M743" s="125"/>
      <c r="N743" s="125"/>
      <c r="O743" s="125"/>
      <c r="P743" s="125"/>
    </row>
    <row r="744" spans="1:16" ht="18">
      <c r="A744" s="1500" t="s">
        <v>79</v>
      </c>
      <c r="B744" s="1500"/>
      <c r="C744" s="1500"/>
      <c r="D744" s="1500"/>
      <c r="E744" s="1500"/>
      <c r="F744" s="1500"/>
      <c r="G744" s="1500"/>
      <c r="H744" s="1500"/>
      <c r="I744" s="1500"/>
      <c r="J744" s="1500"/>
      <c r="K744" s="1500"/>
      <c r="L744" s="1500"/>
      <c r="M744" s="125"/>
      <c r="N744" s="125"/>
      <c r="O744" s="125"/>
      <c r="P744" s="125"/>
    </row>
    <row r="745" spans="1:16" ht="18">
      <c r="A745" s="30" t="s">
        <v>220</v>
      </c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125"/>
      <c r="N745" s="125"/>
      <c r="O745" s="125"/>
      <c r="P745" s="125"/>
    </row>
    <row r="746" spans="1:16" ht="18">
      <c r="A746" s="30" t="s">
        <v>361</v>
      </c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125"/>
      <c r="N746" s="125"/>
      <c r="O746" s="125"/>
      <c r="P746" s="125"/>
    </row>
    <row r="747" spans="1:16" ht="18.75" thickBo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125"/>
      <c r="N747" s="125"/>
      <c r="O747" s="125"/>
      <c r="P747" s="125"/>
    </row>
    <row r="748" spans="1:16" ht="24" thickBot="1">
      <c r="A748" s="31"/>
      <c r="B748" s="31"/>
      <c r="C748" s="1532" t="s">
        <v>362</v>
      </c>
      <c r="D748" s="1533"/>
      <c r="E748" s="1533"/>
      <c r="F748" s="1533"/>
      <c r="G748" s="1534"/>
      <c r="H748" s="1518" t="s">
        <v>0</v>
      </c>
      <c r="I748" s="1519"/>
      <c r="J748" s="31"/>
      <c r="K748" s="31"/>
      <c r="L748" s="31"/>
      <c r="M748" s="125"/>
      <c r="N748" s="125"/>
      <c r="O748" s="125"/>
      <c r="P748" s="125"/>
    </row>
    <row r="749" spans="1:16" ht="18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125"/>
      <c r="N749" s="125"/>
      <c r="O749" s="125"/>
      <c r="P749" s="125"/>
    </row>
    <row r="750" spans="1:16" ht="18">
      <c r="A750" s="30" t="s">
        <v>363</v>
      </c>
      <c r="B750" s="31"/>
      <c r="C750" s="1500" t="s">
        <v>272</v>
      </c>
      <c r="D750" s="1500"/>
      <c r="E750" s="1500"/>
      <c r="F750" s="31"/>
      <c r="G750" s="31" t="s">
        <v>364</v>
      </c>
      <c r="H750" s="31"/>
      <c r="I750" s="1500"/>
      <c r="J750" s="1500"/>
      <c r="K750" s="1500"/>
      <c r="L750" s="31"/>
      <c r="M750" s="125"/>
      <c r="N750" s="125"/>
      <c r="O750" s="125"/>
      <c r="P750" s="125"/>
    </row>
    <row r="751" spans="1:16" ht="18.75" thickBot="1">
      <c r="A751" s="30" t="s">
        <v>365</v>
      </c>
      <c r="B751" s="31"/>
      <c r="C751" s="31">
        <v>12</v>
      </c>
      <c r="D751" s="31"/>
      <c r="E751" s="31"/>
      <c r="F751" s="31"/>
      <c r="G751" s="31" t="s">
        <v>366</v>
      </c>
      <c r="H751" s="31"/>
      <c r="I751" s="31">
        <v>38</v>
      </c>
      <c r="J751" s="31"/>
      <c r="K751" s="31"/>
      <c r="L751" s="31"/>
      <c r="M751" s="125"/>
      <c r="N751" s="125"/>
      <c r="O751" s="125"/>
      <c r="P751" s="125"/>
    </row>
    <row r="752" spans="1:16" ht="17.25" thickTop="1" thickBot="1">
      <c r="A752" s="1510" t="s">
        <v>367</v>
      </c>
      <c r="B752" s="1511"/>
      <c r="C752" s="1512" t="s">
        <v>360</v>
      </c>
      <c r="D752" s="1513"/>
      <c r="E752" s="1512" t="s">
        <v>368</v>
      </c>
      <c r="F752" s="1513"/>
      <c r="G752" s="1512" t="s">
        <v>369</v>
      </c>
      <c r="H752" s="1513"/>
      <c r="I752" s="1512" t="s">
        <v>370</v>
      </c>
      <c r="J752" s="1513"/>
      <c r="K752" s="1512" t="s">
        <v>371</v>
      </c>
      <c r="L752" s="1514"/>
      <c r="M752" s="125"/>
      <c r="N752" s="125"/>
      <c r="O752" s="125"/>
      <c r="P752" s="125"/>
    </row>
    <row r="753" spans="1:16" ht="17.25" thickTop="1" thickBot="1">
      <c r="A753" s="1528" t="s">
        <v>372</v>
      </c>
      <c r="B753" s="1529"/>
      <c r="C753" s="1504" t="s">
        <v>290</v>
      </c>
      <c r="D753" s="1505"/>
      <c r="E753" s="1504" t="s">
        <v>407</v>
      </c>
      <c r="F753" s="1505"/>
      <c r="G753" s="1504" t="s">
        <v>408</v>
      </c>
      <c r="H753" s="1505"/>
      <c r="I753" s="1504" t="s">
        <v>262</v>
      </c>
      <c r="J753" s="1505"/>
      <c r="K753" s="1504" t="s">
        <v>270</v>
      </c>
      <c r="L753" s="1505"/>
      <c r="M753" s="125"/>
      <c r="N753" s="125"/>
      <c r="O753" s="125"/>
      <c r="P753" s="125"/>
    </row>
    <row r="754" spans="1:16" ht="17.25" thickTop="1" thickBot="1">
      <c r="A754" s="1528" t="s">
        <v>373</v>
      </c>
      <c r="B754" s="1529"/>
      <c r="C754" s="1504" t="s">
        <v>262</v>
      </c>
      <c r="D754" s="1505"/>
      <c r="E754" s="1504" t="s">
        <v>409</v>
      </c>
      <c r="F754" s="1505"/>
      <c r="G754" s="1504" t="s">
        <v>270</v>
      </c>
      <c r="H754" s="1505"/>
      <c r="I754" s="1504" t="s">
        <v>386</v>
      </c>
      <c r="J754" s="1505"/>
      <c r="K754" s="1504" t="s">
        <v>290</v>
      </c>
      <c r="L754" s="1505"/>
      <c r="M754" s="125"/>
      <c r="N754" s="125"/>
      <c r="O754" s="125"/>
      <c r="P754" s="125"/>
    </row>
    <row r="755" spans="1:16" ht="17.25" thickTop="1" thickBot="1">
      <c r="A755" s="1528" t="s">
        <v>374</v>
      </c>
      <c r="B755" s="1529"/>
      <c r="C755" s="1504" t="s">
        <v>408</v>
      </c>
      <c r="D755" s="1505"/>
      <c r="E755" s="1504" t="s">
        <v>407</v>
      </c>
      <c r="F755" s="1505"/>
      <c r="G755" s="1504" t="s">
        <v>262</v>
      </c>
      <c r="H755" s="1505"/>
      <c r="I755" s="1504" t="s">
        <v>290</v>
      </c>
      <c r="J755" s="1505"/>
      <c r="K755" s="1530" t="s">
        <v>386</v>
      </c>
      <c r="L755" s="1531"/>
      <c r="M755" s="125"/>
      <c r="N755" s="125"/>
      <c r="O755" s="125"/>
      <c r="P755" s="125"/>
    </row>
    <row r="756" spans="1:16" ht="17.25" thickTop="1" thickBot="1">
      <c r="A756" s="1526" t="s">
        <v>375</v>
      </c>
      <c r="B756" s="1527"/>
      <c r="C756" s="1504" t="s">
        <v>408</v>
      </c>
      <c r="D756" s="1505"/>
      <c r="E756" s="1504" t="s">
        <v>409</v>
      </c>
      <c r="F756" s="1505"/>
      <c r="G756" s="1504" t="s">
        <v>262</v>
      </c>
      <c r="H756" s="1505"/>
      <c r="I756" s="1504" t="s">
        <v>384</v>
      </c>
      <c r="J756" s="1505"/>
      <c r="K756" s="1504" t="s">
        <v>279</v>
      </c>
      <c r="L756" s="1505"/>
      <c r="M756" s="125"/>
      <c r="N756" s="125"/>
      <c r="O756" s="125"/>
      <c r="P756" s="125"/>
    </row>
    <row r="757" spans="1:16" ht="17.25" thickTop="1" thickBot="1">
      <c r="A757" s="32"/>
      <c r="B757" s="32"/>
      <c r="C757" s="32"/>
      <c r="D757" s="32"/>
      <c r="E757" s="32"/>
      <c r="F757" s="32"/>
      <c r="G757" s="32"/>
      <c r="H757" s="32"/>
      <c r="I757" s="45"/>
      <c r="J757" s="45"/>
      <c r="K757" s="32"/>
      <c r="L757" s="32"/>
      <c r="M757" s="125"/>
      <c r="N757" s="125"/>
      <c r="O757" s="125"/>
      <c r="P757" s="125"/>
    </row>
    <row r="758" spans="1:16" ht="17.25" thickTop="1" thickBot="1">
      <c r="A758" s="1508" t="s">
        <v>376</v>
      </c>
      <c r="B758" s="1509"/>
      <c r="C758" s="1504" t="s">
        <v>279</v>
      </c>
      <c r="D758" s="1505"/>
      <c r="E758" s="1504" t="s">
        <v>262</v>
      </c>
      <c r="F758" s="1505"/>
      <c r="G758" s="1504" t="s">
        <v>385</v>
      </c>
      <c r="H758" s="1505"/>
      <c r="I758" s="1504" t="s">
        <v>383</v>
      </c>
      <c r="J758" s="1505"/>
      <c r="K758" s="1504" t="s">
        <v>384</v>
      </c>
      <c r="L758" s="1505"/>
      <c r="M758" s="125"/>
      <c r="N758" s="125"/>
      <c r="O758" s="125"/>
      <c r="P758" s="125"/>
    </row>
    <row r="759" spans="1:16" ht="17.25" thickTop="1" thickBot="1">
      <c r="A759" s="1506" t="s">
        <v>377</v>
      </c>
      <c r="B759" s="1507"/>
      <c r="C759" s="1504" t="s">
        <v>384</v>
      </c>
      <c r="D759" s="1505"/>
      <c r="E759" s="1504" t="s">
        <v>387</v>
      </c>
      <c r="F759" s="1505"/>
      <c r="G759" s="1504" t="s">
        <v>383</v>
      </c>
      <c r="H759" s="1505"/>
      <c r="I759" s="1504" t="s">
        <v>279</v>
      </c>
      <c r="J759" s="1505"/>
      <c r="K759" s="1504" t="s">
        <v>385</v>
      </c>
      <c r="L759" s="1505"/>
      <c r="M759" s="125"/>
      <c r="N759" s="125"/>
      <c r="O759" s="125"/>
      <c r="P759" s="125"/>
    </row>
    <row r="760" spans="1:16" ht="17.25" thickTop="1" thickBot="1">
      <c r="A760" s="1506" t="s">
        <v>378</v>
      </c>
      <c r="B760" s="1507"/>
      <c r="C760" s="1504"/>
      <c r="D760" s="1505"/>
      <c r="E760" s="1504" t="s">
        <v>387</v>
      </c>
      <c r="F760" s="1505"/>
      <c r="G760" s="1504" t="s">
        <v>386</v>
      </c>
      <c r="H760" s="1505"/>
      <c r="I760" s="1504"/>
      <c r="J760" s="1505"/>
      <c r="K760" s="1504"/>
      <c r="L760" s="1505"/>
      <c r="M760" s="125"/>
      <c r="N760" s="125"/>
      <c r="O760" s="125"/>
      <c r="P760" s="125"/>
    </row>
    <row r="761" spans="1:16" ht="17.25" thickTop="1" thickBot="1">
      <c r="A761" s="1502" t="s">
        <v>379</v>
      </c>
      <c r="B761" s="1503"/>
      <c r="C761" s="1504">
        <v>0</v>
      </c>
      <c r="D761" s="1505"/>
      <c r="E761" s="1504">
        <v>0</v>
      </c>
      <c r="F761" s="1505"/>
      <c r="G761" s="1504">
        <v>0</v>
      </c>
      <c r="H761" s="1505"/>
      <c r="I761" s="1504">
        <v>0</v>
      </c>
      <c r="J761" s="1505"/>
      <c r="K761" s="1504" t="s">
        <v>380</v>
      </c>
      <c r="L761" s="1505"/>
      <c r="M761" s="125"/>
      <c r="N761" s="125"/>
      <c r="O761" s="125"/>
      <c r="P761" s="125"/>
    </row>
    <row r="762" spans="1:16" ht="17.25" thickTop="1" thickBot="1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125"/>
      <c r="N762" s="125"/>
      <c r="O762" s="125"/>
      <c r="P762" s="125"/>
    </row>
    <row r="763" spans="1:16" ht="16.5" thickTop="1">
      <c r="A763" s="35" t="s">
        <v>381</v>
      </c>
      <c r="B763" s="36" t="s">
        <v>262</v>
      </c>
      <c r="C763" s="36" t="s">
        <v>270</v>
      </c>
      <c r="D763" s="36" t="s">
        <v>408</v>
      </c>
      <c r="E763" s="36" t="s">
        <v>383</v>
      </c>
      <c r="F763" s="36" t="s">
        <v>279</v>
      </c>
      <c r="G763" s="36" t="s">
        <v>384</v>
      </c>
      <c r="H763" s="36" t="s">
        <v>385</v>
      </c>
      <c r="I763" s="36" t="s">
        <v>290</v>
      </c>
      <c r="J763" s="36" t="s">
        <v>386</v>
      </c>
      <c r="K763" s="36" t="s">
        <v>387</v>
      </c>
      <c r="L763" s="36" t="s">
        <v>380</v>
      </c>
      <c r="M763" s="125"/>
      <c r="N763" s="125"/>
      <c r="O763" s="125"/>
      <c r="P763" s="125"/>
    </row>
    <row r="764" spans="1:16" ht="15.75">
      <c r="A764" s="37" t="s">
        <v>388</v>
      </c>
      <c r="B764" s="38" t="s">
        <v>392</v>
      </c>
      <c r="C764" s="38" t="s">
        <v>410</v>
      </c>
      <c r="D764" s="38" t="s">
        <v>390</v>
      </c>
      <c r="E764" s="38" t="s">
        <v>359</v>
      </c>
      <c r="F764" s="38" t="s">
        <v>393</v>
      </c>
      <c r="G764" s="38" t="s">
        <v>393</v>
      </c>
      <c r="H764" s="38" t="s">
        <v>359</v>
      </c>
      <c r="I764" s="38" t="s">
        <v>393</v>
      </c>
      <c r="J764" s="38" t="s">
        <v>393</v>
      </c>
      <c r="K764" s="38" t="s">
        <v>359</v>
      </c>
      <c r="L764" s="38" t="s">
        <v>380</v>
      </c>
      <c r="M764" s="125"/>
      <c r="N764" s="125"/>
      <c r="O764" s="125"/>
      <c r="P764" s="125"/>
    </row>
    <row r="765" spans="1:16" ht="15.75">
      <c r="A765" s="37" t="s">
        <v>394</v>
      </c>
      <c r="B765" s="46" t="s">
        <v>266</v>
      </c>
      <c r="C765" s="46" t="s">
        <v>411</v>
      </c>
      <c r="D765" s="46" t="s">
        <v>280</v>
      </c>
      <c r="E765" s="46" t="s">
        <v>283</v>
      </c>
      <c r="F765" s="46" t="s">
        <v>282</v>
      </c>
      <c r="G765" s="46" t="s">
        <v>286</v>
      </c>
      <c r="H765" s="46" t="s">
        <v>288</v>
      </c>
      <c r="I765" s="46" t="s">
        <v>396</v>
      </c>
      <c r="J765" s="46" t="s">
        <v>297</v>
      </c>
      <c r="K765" s="46" t="s">
        <v>313</v>
      </c>
      <c r="L765" s="40" t="s">
        <v>380</v>
      </c>
      <c r="M765" s="125"/>
      <c r="N765" s="125"/>
      <c r="O765" s="125"/>
      <c r="P765" s="125"/>
    </row>
    <row r="766" spans="1:16" ht="15.75">
      <c r="A766" s="37" t="s">
        <v>397</v>
      </c>
      <c r="B766" s="41" t="s">
        <v>344</v>
      </c>
      <c r="C766" s="41" t="s">
        <v>349</v>
      </c>
      <c r="D766" s="41" t="s">
        <v>346</v>
      </c>
      <c r="E766" s="41" t="s">
        <v>345</v>
      </c>
      <c r="F766" s="41" t="s">
        <v>345</v>
      </c>
      <c r="G766" s="41" t="s">
        <v>346</v>
      </c>
      <c r="H766" s="41" t="s">
        <v>344</v>
      </c>
      <c r="I766" s="41" t="s">
        <v>398</v>
      </c>
      <c r="J766" s="41" t="s">
        <v>348</v>
      </c>
      <c r="K766" s="41" t="s">
        <v>348</v>
      </c>
      <c r="L766" s="41" t="s">
        <v>380</v>
      </c>
      <c r="M766" s="125"/>
      <c r="N766" s="125"/>
      <c r="O766" s="125"/>
      <c r="P766" s="125"/>
    </row>
    <row r="767" spans="1:16" ht="16.5" thickBot="1">
      <c r="A767" s="42" t="s">
        <v>343</v>
      </c>
      <c r="B767" s="43">
        <v>42684.677083333336</v>
      </c>
      <c r="C767" s="43">
        <v>42684.465277777781</v>
      </c>
      <c r="D767" s="43">
        <v>42684.465277777781</v>
      </c>
      <c r="E767" s="43">
        <v>42684.465277777781</v>
      </c>
      <c r="F767" s="43">
        <v>42684.677083333336</v>
      </c>
      <c r="G767" s="43">
        <v>42684.507638888892</v>
      </c>
      <c r="H767" s="43">
        <v>42623.42291666667</v>
      </c>
      <c r="I767" s="43">
        <v>42684.465277777781</v>
      </c>
      <c r="J767" s="43">
        <v>42623.42291666667</v>
      </c>
      <c r="K767" s="43">
        <v>42623.42291666667</v>
      </c>
      <c r="L767" s="41" t="s">
        <v>380</v>
      </c>
      <c r="M767" s="125"/>
      <c r="N767" s="125"/>
      <c r="O767" s="125"/>
      <c r="P767" s="125"/>
    </row>
    <row r="768" spans="1:16" ht="17.25" thickTop="1" thickBot="1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125"/>
      <c r="N768" s="125"/>
      <c r="O768" s="125"/>
      <c r="P768" s="125"/>
    </row>
    <row r="769" spans="1:16" ht="19.5" thickTop="1" thickBot="1">
      <c r="A769" s="35" t="s">
        <v>399</v>
      </c>
      <c r="B769" s="1494" t="s">
        <v>380</v>
      </c>
      <c r="C769" s="1495"/>
      <c r="D769" s="1494" t="s">
        <v>380</v>
      </c>
      <c r="E769" s="1496"/>
      <c r="F769" s="32"/>
      <c r="G769" s="32"/>
      <c r="H769" s="32"/>
      <c r="I769" s="32"/>
      <c r="J769" s="32"/>
      <c r="K769" s="31"/>
      <c r="L769" s="31"/>
      <c r="M769" s="125"/>
      <c r="N769" s="125"/>
      <c r="O769" s="125"/>
      <c r="P769" s="125"/>
    </row>
    <row r="770" spans="1:16" ht="18.75" thickBot="1">
      <c r="A770" s="37" t="s">
        <v>400</v>
      </c>
      <c r="B770" s="1497" t="s">
        <v>380</v>
      </c>
      <c r="C770" s="1498"/>
      <c r="D770" s="1497" t="s">
        <v>380</v>
      </c>
      <c r="E770" s="1499"/>
      <c r="F770" s="31" t="s">
        <v>401</v>
      </c>
      <c r="G770" s="1500" t="s">
        <v>402</v>
      </c>
      <c r="H770" s="1500"/>
      <c r="I770" s="31" t="s">
        <v>403</v>
      </c>
      <c r="J770" s="1501">
        <f ca="1">TODAY()</f>
        <v>45944</v>
      </c>
      <c r="K770" s="1501"/>
      <c r="L770" s="1501"/>
      <c r="M770" s="125"/>
      <c r="N770" s="125"/>
      <c r="O770" s="125"/>
      <c r="P770" s="125"/>
    </row>
    <row r="771" spans="1:16" ht="18.75" thickBot="1">
      <c r="A771" s="42" t="s">
        <v>404</v>
      </c>
      <c r="B771" s="1491" t="s">
        <v>380</v>
      </c>
      <c r="C771" s="1492"/>
      <c r="D771" s="1491" t="s">
        <v>380</v>
      </c>
      <c r="E771" s="1493"/>
      <c r="F771" s="32"/>
      <c r="G771" s="31"/>
      <c r="H771" s="31" t="s">
        <v>405</v>
      </c>
      <c r="I771" s="31"/>
      <c r="J771" s="32"/>
      <c r="K771" s="31"/>
      <c r="L771" s="31"/>
      <c r="M771" s="125"/>
      <c r="N771" s="125"/>
      <c r="O771" s="125"/>
      <c r="P771" s="125"/>
    </row>
    <row r="772" spans="1:16" ht="18.75" thickTop="1">
      <c r="A772" s="32"/>
      <c r="B772" s="32"/>
      <c r="C772" s="32"/>
      <c r="D772" s="32"/>
      <c r="E772" s="32"/>
      <c r="F772" s="31"/>
      <c r="G772" s="31"/>
      <c r="H772" s="44" t="s">
        <v>406</v>
      </c>
      <c r="I772" s="31"/>
      <c r="J772" s="31"/>
      <c r="K772" s="32"/>
      <c r="L772" s="32"/>
      <c r="M772" s="125"/>
      <c r="N772" s="125"/>
      <c r="O772" s="125"/>
      <c r="P772" s="125"/>
    </row>
    <row r="773" spans="1:16" ht="18">
      <c r="A773" s="32"/>
      <c r="B773" s="32"/>
      <c r="C773" s="32"/>
      <c r="D773" s="32"/>
      <c r="E773" s="32"/>
      <c r="F773" s="31"/>
      <c r="G773" s="31"/>
      <c r="H773" s="32"/>
      <c r="I773" s="31"/>
      <c r="J773" s="32"/>
      <c r="K773" s="32"/>
      <c r="L773" s="32"/>
      <c r="M773" s="125"/>
      <c r="N773" s="125"/>
      <c r="O773" s="125"/>
      <c r="P773" s="125"/>
    </row>
    <row r="774" spans="1:16" ht="18">
      <c r="A774" s="1500" t="s">
        <v>78</v>
      </c>
      <c r="B774" s="1500"/>
      <c r="C774" s="1500"/>
      <c r="D774" s="1500"/>
      <c r="E774" s="1500"/>
      <c r="F774" s="1500"/>
      <c r="G774" s="1500"/>
      <c r="H774" s="1500"/>
      <c r="I774" s="1500"/>
      <c r="J774" s="1500"/>
      <c r="K774" s="1500"/>
      <c r="L774" s="1500"/>
      <c r="M774" s="125"/>
      <c r="N774" s="125"/>
      <c r="O774" s="125"/>
      <c r="P774" s="125"/>
    </row>
    <row r="775" spans="1:16" ht="18">
      <c r="A775" s="1500" t="s">
        <v>79</v>
      </c>
      <c r="B775" s="1500"/>
      <c r="C775" s="1500"/>
      <c r="D775" s="1500"/>
      <c r="E775" s="1500"/>
      <c r="F775" s="1500"/>
      <c r="G775" s="1500"/>
      <c r="H775" s="1500"/>
      <c r="I775" s="1500"/>
      <c r="J775" s="1500"/>
      <c r="K775" s="1500"/>
      <c r="L775" s="1500"/>
      <c r="M775" s="125"/>
      <c r="N775" s="125"/>
      <c r="O775" s="125"/>
      <c r="P775" s="125"/>
    </row>
    <row r="776" spans="1:16" ht="18">
      <c r="A776" s="30" t="s">
        <v>220</v>
      </c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125"/>
      <c r="N776" s="125"/>
      <c r="O776" s="125"/>
      <c r="P776" s="125"/>
    </row>
    <row r="777" spans="1:16" ht="18">
      <c r="A777" s="30" t="s">
        <v>361</v>
      </c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125"/>
      <c r="N777" s="125"/>
      <c r="O777" s="125"/>
      <c r="P777" s="125"/>
    </row>
    <row r="778" spans="1:16" ht="18.75" thickBo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125"/>
      <c r="N778" s="125"/>
      <c r="O778" s="125"/>
      <c r="P778" s="125"/>
    </row>
    <row r="779" spans="1:16" ht="24" thickBot="1">
      <c r="A779" s="31"/>
      <c r="B779" s="31"/>
      <c r="C779" s="1532" t="s">
        <v>362</v>
      </c>
      <c r="D779" s="1533"/>
      <c r="E779" s="1533"/>
      <c r="F779" s="1533"/>
      <c r="G779" s="1534"/>
      <c r="H779" s="1518" t="s">
        <v>1</v>
      </c>
      <c r="I779" s="1519"/>
      <c r="J779" s="31"/>
      <c r="K779" s="31"/>
      <c r="L779" s="31"/>
      <c r="M779" s="125"/>
      <c r="N779" s="125"/>
      <c r="O779" s="125"/>
      <c r="P779" s="125"/>
    </row>
    <row r="780" spans="1:16" ht="18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125"/>
      <c r="N780" s="125"/>
      <c r="O780" s="125"/>
      <c r="P780" s="125"/>
    </row>
    <row r="781" spans="1:16" ht="18">
      <c r="A781" s="30" t="s">
        <v>363</v>
      </c>
      <c r="B781" s="31"/>
      <c r="C781" s="1500" t="s">
        <v>280</v>
      </c>
      <c r="D781" s="1500"/>
      <c r="E781" s="1500"/>
      <c r="F781" s="31"/>
      <c r="G781" s="31" t="s">
        <v>364</v>
      </c>
      <c r="H781" s="31"/>
      <c r="I781" s="1500"/>
      <c r="J781" s="1500"/>
      <c r="K781" s="1500"/>
      <c r="L781" s="31"/>
      <c r="M781" s="125"/>
      <c r="N781" s="125"/>
      <c r="O781" s="125"/>
      <c r="P781" s="125"/>
    </row>
    <row r="782" spans="1:16" ht="18.75" thickBot="1">
      <c r="A782" s="30" t="s">
        <v>365</v>
      </c>
      <c r="B782" s="31"/>
      <c r="C782" s="31">
        <v>13</v>
      </c>
      <c r="D782" s="31"/>
      <c r="E782" s="31"/>
      <c r="F782" s="31"/>
      <c r="G782" s="31" t="s">
        <v>366</v>
      </c>
      <c r="H782" s="31"/>
      <c r="I782" s="31">
        <v>35</v>
      </c>
      <c r="J782" s="31"/>
      <c r="K782" s="31"/>
      <c r="L782" s="31"/>
      <c r="M782" s="125"/>
      <c r="N782" s="125"/>
      <c r="O782" s="125"/>
      <c r="P782" s="125"/>
    </row>
    <row r="783" spans="1:16" ht="17.25" thickTop="1" thickBot="1">
      <c r="A783" s="1510" t="s">
        <v>367</v>
      </c>
      <c r="B783" s="1511"/>
      <c r="C783" s="1512" t="s">
        <v>360</v>
      </c>
      <c r="D783" s="1513"/>
      <c r="E783" s="1512" t="s">
        <v>368</v>
      </c>
      <c r="F783" s="1513"/>
      <c r="G783" s="1512" t="s">
        <v>369</v>
      </c>
      <c r="H783" s="1513"/>
      <c r="I783" s="1512" t="s">
        <v>370</v>
      </c>
      <c r="J783" s="1513"/>
      <c r="K783" s="1512" t="s">
        <v>371</v>
      </c>
      <c r="L783" s="1514"/>
      <c r="M783" s="125"/>
      <c r="N783" s="125"/>
      <c r="O783" s="125"/>
      <c r="P783" s="125"/>
    </row>
    <row r="784" spans="1:16" ht="17.25" thickTop="1" thickBot="1">
      <c r="A784" s="1528" t="s">
        <v>372</v>
      </c>
      <c r="B784" s="1529"/>
      <c r="C784" s="1504" t="s">
        <v>262</v>
      </c>
      <c r="D784" s="1505"/>
      <c r="E784" s="1504" t="s">
        <v>279</v>
      </c>
      <c r="F784" s="1505"/>
      <c r="G784" s="1504" t="s">
        <v>407</v>
      </c>
      <c r="H784" s="1505"/>
      <c r="I784" s="1504" t="s">
        <v>290</v>
      </c>
      <c r="J784" s="1505"/>
      <c r="K784" s="1504" t="s">
        <v>290</v>
      </c>
      <c r="L784" s="1505"/>
      <c r="M784" s="125"/>
      <c r="N784" s="125"/>
      <c r="O784" s="125"/>
      <c r="P784" s="125"/>
    </row>
    <row r="785" spans="1:16" ht="17.25" thickTop="1" thickBot="1">
      <c r="A785" s="1528" t="s">
        <v>373</v>
      </c>
      <c r="B785" s="1529"/>
      <c r="C785" s="1504" t="s">
        <v>270</v>
      </c>
      <c r="D785" s="1505"/>
      <c r="E785" s="1504" t="s">
        <v>262</v>
      </c>
      <c r="F785" s="1505"/>
      <c r="G785" s="1504" t="s">
        <v>409</v>
      </c>
      <c r="H785" s="1505"/>
      <c r="I785" s="1504" t="s">
        <v>386</v>
      </c>
      <c r="J785" s="1505"/>
      <c r="K785" s="1504" t="s">
        <v>384</v>
      </c>
      <c r="L785" s="1505"/>
      <c r="M785" s="125"/>
      <c r="N785" s="125"/>
      <c r="O785" s="125"/>
      <c r="P785" s="125"/>
    </row>
    <row r="786" spans="1:16" ht="17.25" thickTop="1" thickBot="1">
      <c r="A786" s="1528" t="s">
        <v>374</v>
      </c>
      <c r="B786" s="1529"/>
      <c r="C786" s="1504" t="s">
        <v>408</v>
      </c>
      <c r="D786" s="1505"/>
      <c r="E786" s="1504" t="s">
        <v>262</v>
      </c>
      <c r="F786" s="1505"/>
      <c r="G786" s="1504" t="s">
        <v>407</v>
      </c>
      <c r="H786" s="1505"/>
      <c r="I786" s="1504" t="s">
        <v>262</v>
      </c>
      <c r="J786" s="1505"/>
      <c r="K786" s="1530" t="s">
        <v>408</v>
      </c>
      <c r="L786" s="1531"/>
      <c r="M786" s="125"/>
      <c r="N786" s="125"/>
      <c r="O786" s="125"/>
      <c r="P786" s="125"/>
    </row>
    <row r="787" spans="1:16" ht="17.25" thickTop="1" thickBot="1">
      <c r="A787" s="1526" t="s">
        <v>375</v>
      </c>
      <c r="B787" s="1527"/>
      <c r="C787" s="1504" t="s">
        <v>408</v>
      </c>
      <c r="D787" s="1505"/>
      <c r="E787" s="1504"/>
      <c r="F787" s="1505"/>
      <c r="G787" s="1504" t="s">
        <v>409</v>
      </c>
      <c r="H787" s="1505"/>
      <c r="I787" s="1504" t="s">
        <v>262</v>
      </c>
      <c r="J787" s="1505"/>
      <c r="K787" s="1504" t="s">
        <v>270</v>
      </c>
      <c r="L787" s="1505"/>
      <c r="M787" s="125"/>
      <c r="N787" s="125"/>
      <c r="O787" s="125"/>
      <c r="P787" s="125"/>
    </row>
    <row r="788" spans="1:16" ht="17.25" thickTop="1" thickBot="1">
      <c r="A788" s="32"/>
      <c r="B788" s="32"/>
      <c r="C788" s="32"/>
      <c r="D788" s="32"/>
      <c r="E788" s="32"/>
      <c r="F788" s="32"/>
      <c r="G788" s="32"/>
      <c r="H788" s="32"/>
      <c r="I788" s="45"/>
      <c r="J788" s="45"/>
      <c r="K788" s="32"/>
      <c r="L788" s="32"/>
      <c r="M788" s="125"/>
      <c r="N788" s="125"/>
      <c r="O788" s="125"/>
      <c r="P788" s="125"/>
    </row>
    <row r="789" spans="1:16" ht="17.25" thickTop="1" thickBot="1">
      <c r="A789" s="1508" t="s">
        <v>376</v>
      </c>
      <c r="B789" s="1509"/>
      <c r="C789" s="1504" t="s">
        <v>386</v>
      </c>
      <c r="D789" s="1505"/>
      <c r="E789" s="1504" t="s">
        <v>290</v>
      </c>
      <c r="F789" s="1505"/>
      <c r="G789" s="1504" t="s">
        <v>387</v>
      </c>
      <c r="H789" s="1505"/>
      <c r="I789" s="1504" t="s">
        <v>384</v>
      </c>
      <c r="J789" s="1505"/>
      <c r="K789" s="1504" t="s">
        <v>385</v>
      </c>
      <c r="L789" s="1505"/>
      <c r="M789" s="125"/>
      <c r="N789" s="125"/>
      <c r="O789" s="125"/>
      <c r="P789" s="125"/>
    </row>
    <row r="790" spans="1:16" ht="17.25" thickTop="1" thickBot="1">
      <c r="A790" s="1506" t="s">
        <v>377</v>
      </c>
      <c r="B790" s="1507"/>
      <c r="C790" s="1504" t="s">
        <v>383</v>
      </c>
      <c r="D790" s="1505"/>
      <c r="E790" s="1504" t="s">
        <v>385</v>
      </c>
      <c r="F790" s="1505"/>
      <c r="G790" s="1504" t="s">
        <v>387</v>
      </c>
      <c r="H790" s="1505"/>
      <c r="I790" s="1504" t="s">
        <v>279</v>
      </c>
      <c r="J790" s="1505"/>
      <c r="K790" s="1504" t="s">
        <v>279</v>
      </c>
      <c r="L790" s="1505"/>
      <c r="M790" s="125"/>
      <c r="N790" s="125"/>
      <c r="O790" s="125"/>
      <c r="P790" s="125"/>
    </row>
    <row r="791" spans="1:16" ht="17.25" thickTop="1" thickBot="1">
      <c r="A791" s="1506" t="s">
        <v>378</v>
      </c>
      <c r="B791" s="1507"/>
      <c r="C791" s="1504" t="s">
        <v>384</v>
      </c>
      <c r="D791" s="1505"/>
      <c r="E791" s="1504" t="s">
        <v>386</v>
      </c>
      <c r="F791" s="1505"/>
      <c r="G791" s="1504"/>
      <c r="H791" s="1505"/>
      <c r="I791" s="1504" t="s">
        <v>383</v>
      </c>
      <c r="J791" s="1505"/>
      <c r="K791" s="1504"/>
      <c r="L791" s="1505"/>
      <c r="M791" s="125"/>
      <c r="N791" s="125"/>
      <c r="O791" s="125"/>
      <c r="P791" s="125"/>
    </row>
    <row r="792" spans="1:16" ht="17.25" thickTop="1" thickBot="1">
      <c r="A792" s="1502" t="s">
        <v>379</v>
      </c>
      <c r="B792" s="1503"/>
      <c r="C792" s="1504">
        <v>0</v>
      </c>
      <c r="D792" s="1505"/>
      <c r="E792" s="1504">
        <v>0</v>
      </c>
      <c r="F792" s="1505"/>
      <c r="G792" s="1504">
        <v>0</v>
      </c>
      <c r="H792" s="1505"/>
      <c r="I792" s="1504">
        <v>0</v>
      </c>
      <c r="J792" s="1505"/>
      <c r="K792" s="1504"/>
      <c r="L792" s="1505"/>
      <c r="M792" s="125"/>
      <c r="N792" s="125"/>
      <c r="O792" s="125"/>
      <c r="P792" s="125"/>
    </row>
    <row r="793" spans="1:16" ht="17.25" thickTop="1" thickBot="1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125"/>
      <c r="N793" s="125"/>
      <c r="O793" s="125"/>
      <c r="P793" s="125"/>
    </row>
    <row r="794" spans="1:16" ht="16.5" thickTop="1">
      <c r="A794" s="35" t="s">
        <v>381</v>
      </c>
      <c r="B794" s="36" t="s">
        <v>262</v>
      </c>
      <c r="C794" s="36" t="s">
        <v>270</v>
      </c>
      <c r="D794" s="36" t="s">
        <v>408</v>
      </c>
      <c r="E794" s="36" t="s">
        <v>383</v>
      </c>
      <c r="F794" s="36" t="s">
        <v>279</v>
      </c>
      <c r="G794" s="36" t="s">
        <v>384</v>
      </c>
      <c r="H794" s="36" t="s">
        <v>385</v>
      </c>
      <c r="I794" s="36" t="s">
        <v>290</v>
      </c>
      <c r="J794" s="36" t="s">
        <v>386</v>
      </c>
      <c r="K794" s="36" t="s">
        <v>387</v>
      </c>
      <c r="L794" s="36" t="s">
        <v>380</v>
      </c>
      <c r="M794" s="125"/>
      <c r="N794" s="125"/>
      <c r="O794" s="125"/>
      <c r="P794" s="125"/>
    </row>
    <row r="795" spans="1:16" ht="15.75">
      <c r="A795" s="37" t="s">
        <v>388</v>
      </c>
      <c r="B795" s="38" t="s">
        <v>392</v>
      </c>
      <c r="C795" s="38" t="s">
        <v>410</v>
      </c>
      <c r="D795" s="38" t="s">
        <v>390</v>
      </c>
      <c r="E795" s="38" t="s">
        <v>359</v>
      </c>
      <c r="F795" s="38" t="s">
        <v>393</v>
      </c>
      <c r="G795" s="38" t="s">
        <v>393</v>
      </c>
      <c r="H795" s="38" t="s">
        <v>359</v>
      </c>
      <c r="I795" s="38" t="s">
        <v>393</v>
      </c>
      <c r="J795" s="38" t="s">
        <v>393</v>
      </c>
      <c r="K795" s="38" t="s">
        <v>359</v>
      </c>
      <c r="L795" s="38" t="s">
        <v>380</v>
      </c>
      <c r="M795" s="125"/>
      <c r="N795" s="125"/>
      <c r="O795" s="125"/>
      <c r="P795" s="125"/>
    </row>
    <row r="796" spans="1:16" ht="15.75">
      <c r="A796" s="37" t="s">
        <v>394</v>
      </c>
      <c r="B796" s="39" t="s">
        <v>266</v>
      </c>
      <c r="C796" s="39" t="s">
        <v>269</v>
      </c>
      <c r="D796" s="39" t="s">
        <v>276</v>
      </c>
      <c r="E796" s="39" t="s">
        <v>283</v>
      </c>
      <c r="F796" s="39" t="s">
        <v>412</v>
      </c>
      <c r="G796" s="39" t="s">
        <v>284</v>
      </c>
      <c r="H796" s="39" t="s">
        <v>271</v>
      </c>
      <c r="I796" s="39" t="s">
        <v>396</v>
      </c>
      <c r="J796" s="39" t="s">
        <v>296</v>
      </c>
      <c r="K796" s="39" t="s">
        <v>314</v>
      </c>
      <c r="L796" s="40" t="s">
        <v>380</v>
      </c>
      <c r="M796" s="125"/>
      <c r="N796" s="125"/>
      <c r="O796" s="125"/>
      <c r="P796" s="125"/>
    </row>
    <row r="797" spans="1:16" ht="15.75">
      <c r="A797" s="37" t="s">
        <v>397</v>
      </c>
      <c r="B797" s="41" t="s">
        <v>344</v>
      </c>
      <c r="C797" s="41" t="s">
        <v>349</v>
      </c>
      <c r="D797" s="41" t="s">
        <v>349</v>
      </c>
      <c r="E797" s="41" t="s">
        <v>345</v>
      </c>
      <c r="F797" s="41" t="s">
        <v>348</v>
      </c>
      <c r="G797" s="41" t="s">
        <v>345</v>
      </c>
      <c r="H797" s="41" t="s">
        <v>348</v>
      </c>
      <c r="I797" s="41" t="s">
        <v>398</v>
      </c>
      <c r="J797" s="41" t="s">
        <v>344</v>
      </c>
      <c r="K797" s="41" t="s">
        <v>348</v>
      </c>
      <c r="L797" s="41" t="s">
        <v>380</v>
      </c>
      <c r="M797" s="125"/>
      <c r="N797" s="125"/>
      <c r="O797" s="125"/>
      <c r="P797" s="125"/>
    </row>
    <row r="798" spans="1:16" ht="16.5" thickBot="1">
      <c r="A798" s="42" t="s">
        <v>343</v>
      </c>
      <c r="B798" s="43">
        <v>42684.677083333336</v>
      </c>
      <c r="C798" s="43">
        <v>42684.465277777781</v>
      </c>
      <c r="D798" s="43">
        <v>42623.42291666667</v>
      </c>
      <c r="E798" s="43">
        <v>42684.465277777781</v>
      </c>
      <c r="F798" s="43">
        <v>0.67708333333333337</v>
      </c>
      <c r="G798" s="43">
        <v>0.67708333333333337</v>
      </c>
      <c r="H798" s="43">
        <v>0.67708333333333337</v>
      </c>
      <c r="I798" s="43">
        <v>42684.465277777781</v>
      </c>
      <c r="J798" s="43">
        <v>0.67708333333333337</v>
      </c>
      <c r="K798" s="43">
        <v>42623.42291666667</v>
      </c>
      <c r="L798" s="41" t="s">
        <v>380</v>
      </c>
      <c r="M798" s="125"/>
      <c r="N798" s="125"/>
      <c r="O798" s="125"/>
      <c r="P798" s="125"/>
    </row>
    <row r="799" spans="1:16" ht="17.25" thickTop="1" thickBot="1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125"/>
      <c r="N799" s="125"/>
      <c r="O799" s="125"/>
      <c r="P799" s="125"/>
    </row>
    <row r="800" spans="1:16" ht="19.5" thickTop="1" thickBot="1">
      <c r="A800" s="35" t="s">
        <v>399</v>
      </c>
      <c r="B800" s="1494" t="s">
        <v>380</v>
      </c>
      <c r="C800" s="1495"/>
      <c r="D800" s="1494" t="s">
        <v>380</v>
      </c>
      <c r="E800" s="1496"/>
      <c r="F800" s="32"/>
      <c r="G800" s="32"/>
      <c r="H800" s="32"/>
      <c r="I800" s="32"/>
      <c r="J800" s="32"/>
      <c r="K800" s="31"/>
      <c r="L800" s="31"/>
      <c r="M800" s="125"/>
      <c r="N800" s="125"/>
      <c r="O800" s="125"/>
      <c r="P800" s="125"/>
    </row>
    <row r="801" spans="1:16" ht="18.75" thickBot="1">
      <c r="A801" s="37" t="s">
        <v>400</v>
      </c>
      <c r="B801" s="1497" t="s">
        <v>380</v>
      </c>
      <c r="C801" s="1498"/>
      <c r="D801" s="1497" t="s">
        <v>380</v>
      </c>
      <c r="E801" s="1499"/>
      <c r="F801" s="31" t="s">
        <v>401</v>
      </c>
      <c r="G801" s="1500" t="s">
        <v>402</v>
      </c>
      <c r="H801" s="1500"/>
      <c r="I801" s="31" t="s">
        <v>403</v>
      </c>
      <c r="J801" s="1501">
        <f ca="1">TODAY()</f>
        <v>45944</v>
      </c>
      <c r="K801" s="1501"/>
      <c r="L801" s="1501"/>
      <c r="M801" s="125"/>
      <c r="N801" s="125"/>
      <c r="O801" s="125"/>
      <c r="P801" s="125"/>
    </row>
    <row r="802" spans="1:16" ht="18.75" thickBot="1">
      <c r="A802" s="42" t="s">
        <v>404</v>
      </c>
      <c r="B802" s="1491" t="s">
        <v>380</v>
      </c>
      <c r="C802" s="1492"/>
      <c r="D802" s="1491" t="s">
        <v>380</v>
      </c>
      <c r="E802" s="1493"/>
      <c r="F802" s="32"/>
      <c r="G802" s="31"/>
      <c r="H802" s="31" t="s">
        <v>405</v>
      </c>
      <c r="I802" s="31"/>
      <c r="J802" s="32"/>
      <c r="K802" s="31"/>
      <c r="L802" s="31"/>
      <c r="M802" s="125"/>
      <c r="N802" s="125"/>
      <c r="O802" s="125"/>
      <c r="P802" s="125"/>
    </row>
    <row r="803" spans="1:16" ht="18.75" thickTop="1">
      <c r="A803" s="32"/>
      <c r="B803" s="32"/>
      <c r="C803" s="32"/>
      <c r="D803" s="32"/>
      <c r="E803" s="32"/>
      <c r="F803" s="31"/>
      <c r="G803" s="31"/>
      <c r="H803" s="44" t="s">
        <v>406</v>
      </c>
      <c r="I803" s="31"/>
      <c r="J803" s="31"/>
      <c r="K803" s="32"/>
      <c r="L803" s="32"/>
      <c r="M803" s="125"/>
      <c r="N803" s="125"/>
      <c r="O803" s="125"/>
      <c r="P803" s="125"/>
    </row>
    <row r="804" spans="1:16" ht="18">
      <c r="A804" s="32"/>
      <c r="B804" s="32"/>
      <c r="C804" s="32"/>
      <c r="D804" s="32"/>
      <c r="E804" s="32"/>
      <c r="F804" s="31"/>
      <c r="G804" s="31"/>
      <c r="H804" s="32"/>
      <c r="I804" s="31"/>
      <c r="J804" s="32"/>
      <c r="K804" s="32"/>
      <c r="L804" s="32"/>
      <c r="M804" s="125"/>
      <c r="N804" s="125"/>
      <c r="O804" s="125"/>
      <c r="P804" s="125"/>
    </row>
    <row r="805" spans="1:16" ht="18">
      <c r="A805" s="1500" t="s">
        <v>78</v>
      </c>
      <c r="B805" s="1500"/>
      <c r="C805" s="1500"/>
      <c r="D805" s="1500"/>
      <c r="E805" s="1500"/>
      <c r="F805" s="1500"/>
      <c r="G805" s="1500"/>
      <c r="H805" s="1500"/>
      <c r="I805" s="1500"/>
      <c r="J805" s="1500"/>
      <c r="K805" s="1500"/>
      <c r="L805" s="1500"/>
      <c r="M805" s="125"/>
      <c r="N805" s="125"/>
      <c r="O805" s="125"/>
      <c r="P805" s="125"/>
    </row>
    <row r="806" spans="1:16" ht="18">
      <c r="A806" s="1500" t="s">
        <v>79</v>
      </c>
      <c r="B806" s="1500"/>
      <c r="C806" s="1500"/>
      <c r="D806" s="1500"/>
      <c r="E806" s="1500"/>
      <c r="F806" s="1500"/>
      <c r="G806" s="1500"/>
      <c r="H806" s="1500"/>
      <c r="I806" s="1500"/>
      <c r="J806" s="1500"/>
      <c r="K806" s="1500"/>
      <c r="L806" s="1500"/>
      <c r="M806" s="125"/>
      <c r="N806" s="125"/>
      <c r="O806" s="125"/>
      <c r="P806" s="125"/>
    </row>
    <row r="807" spans="1:16" ht="18">
      <c r="A807" s="30" t="s">
        <v>220</v>
      </c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125"/>
      <c r="N807" s="125"/>
      <c r="O807" s="125"/>
      <c r="P807" s="125"/>
    </row>
    <row r="808" spans="1:16" ht="18">
      <c r="A808" s="30" t="s">
        <v>361</v>
      </c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125"/>
      <c r="N808" s="125"/>
      <c r="O808" s="125"/>
      <c r="P808" s="125"/>
    </row>
    <row r="809" spans="1:16" ht="18.75" thickBo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125"/>
      <c r="N809" s="125"/>
      <c r="O809" s="125"/>
      <c r="P809" s="125"/>
    </row>
    <row r="810" spans="1:16" ht="24" thickBot="1">
      <c r="A810" s="31"/>
      <c r="B810" s="31"/>
      <c r="C810" s="1532" t="s">
        <v>362</v>
      </c>
      <c r="D810" s="1533"/>
      <c r="E810" s="1533"/>
      <c r="F810" s="1533"/>
      <c r="G810" s="1534"/>
      <c r="H810" s="1518" t="s">
        <v>19</v>
      </c>
      <c r="I810" s="1519"/>
      <c r="J810" s="31"/>
      <c r="K810" s="31"/>
      <c r="L810" s="31"/>
      <c r="M810" s="125"/>
      <c r="N810" s="125"/>
      <c r="O810" s="125"/>
      <c r="P810" s="125"/>
    </row>
    <row r="811" spans="1:16" ht="18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125"/>
      <c r="N811" s="125"/>
      <c r="O811" s="125"/>
      <c r="P811" s="125"/>
    </row>
    <row r="812" spans="1:16" ht="18">
      <c r="A812" s="30" t="s">
        <v>363</v>
      </c>
      <c r="B812" s="31"/>
      <c r="C812" s="1500" t="s">
        <v>297</v>
      </c>
      <c r="D812" s="1500"/>
      <c r="E812" s="1500"/>
      <c r="F812" s="31"/>
      <c r="G812" s="31" t="s">
        <v>364</v>
      </c>
      <c r="H812" s="31"/>
      <c r="I812" s="1500"/>
      <c r="J812" s="1500"/>
      <c r="K812" s="1500"/>
      <c r="L812" s="31"/>
      <c r="M812" s="125"/>
      <c r="N812" s="125"/>
      <c r="O812" s="125"/>
      <c r="P812" s="125"/>
    </row>
    <row r="813" spans="1:16" ht="18.75" thickBot="1">
      <c r="A813" s="30" t="s">
        <v>365</v>
      </c>
      <c r="B813" s="31"/>
      <c r="C813" s="31">
        <v>8</v>
      </c>
      <c r="D813" s="31"/>
      <c r="E813" s="31"/>
      <c r="F813" s="31"/>
      <c r="G813" s="31" t="s">
        <v>366</v>
      </c>
      <c r="H813" s="31"/>
      <c r="I813" s="31">
        <v>33</v>
      </c>
      <c r="J813" s="1535"/>
      <c r="K813" s="1535"/>
      <c r="L813" s="31"/>
      <c r="M813" s="125"/>
      <c r="N813" s="125"/>
      <c r="O813" s="125"/>
      <c r="P813" s="125"/>
    </row>
    <row r="814" spans="1:16" ht="17.25" thickTop="1" thickBot="1">
      <c r="A814" s="1510" t="s">
        <v>367</v>
      </c>
      <c r="B814" s="1511"/>
      <c r="C814" s="1512" t="s">
        <v>360</v>
      </c>
      <c r="D814" s="1513"/>
      <c r="E814" s="1512" t="s">
        <v>368</v>
      </c>
      <c r="F814" s="1513"/>
      <c r="G814" s="1512" t="s">
        <v>369</v>
      </c>
      <c r="H814" s="1513"/>
      <c r="I814" s="1512" t="s">
        <v>370</v>
      </c>
      <c r="J814" s="1513"/>
      <c r="K814" s="1512" t="s">
        <v>371</v>
      </c>
      <c r="L814" s="1514"/>
      <c r="M814" s="125"/>
      <c r="N814" s="125"/>
      <c r="O814" s="125"/>
      <c r="P814" s="125"/>
    </row>
    <row r="815" spans="1:16" ht="17.25" thickTop="1" thickBot="1">
      <c r="A815" s="1528" t="s">
        <v>372</v>
      </c>
      <c r="B815" s="1529"/>
      <c r="C815" s="1504" t="s">
        <v>262</v>
      </c>
      <c r="D815" s="1505"/>
      <c r="E815" s="1504" t="s">
        <v>385</v>
      </c>
      <c r="F815" s="1505"/>
      <c r="G815" s="1504" t="s">
        <v>262</v>
      </c>
      <c r="H815" s="1505"/>
      <c r="I815" s="1504" t="s">
        <v>384</v>
      </c>
      <c r="J815" s="1505"/>
      <c r="K815" s="1504" t="s">
        <v>384</v>
      </c>
      <c r="L815" s="1505"/>
      <c r="M815" s="125"/>
      <c r="N815" s="125"/>
      <c r="O815" s="125"/>
      <c r="P815" s="125"/>
    </row>
    <row r="816" spans="1:16" ht="17.25" thickTop="1" thickBot="1">
      <c r="A816" s="1528" t="s">
        <v>373</v>
      </c>
      <c r="B816" s="1529"/>
      <c r="C816" s="1504" t="s">
        <v>290</v>
      </c>
      <c r="D816" s="1505"/>
      <c r="E816" s="1504" t="s">
        <v>385</v>
      </c>
      <c r="F816" s="1505"/>
      <c r="G816" s="1504" t="s">
        <v>413</v>
      </c>
      <c r="H816" s="1505"/>
      <c r="I816" s="1504" t="s">
        <v>290</v>
      </c>
      <c r="J816" s="1505"/>
      <c r="K816" s="1504" t="s">
        <v>385</v>
      </c>
      <c r="L816" s="1505"/>
      <c r="M816" s="125"/>
      <c r="N816" s="125"/>
      <c r="O816" s="125"/>
      <c r="P816" s="125"/>
    </row>
    <row r="817" spans="1:16" ht="17.25" thickTop="1" thickBot="1">
      <c r="A817" s="1528" t="s">
        <v>374</v>
      </c>
      <c r="B817" s="1529"/>
      <c r="C817" s="1504" t="s">
        <v>414</v>
      </c>
      <c r="D817" s="1505"/>
      <c r="E817" s="1504" t="s">
        <v>414</v>
      </c>
      <c r="F817" s="1505"/>
      <c r="G817" s="1504" t="s">
        <v>414</v>
      </c>
      <c r="H817" s="1505"/>
      <c r="I817" s="1504" t="s">
        <v>385</v>
      </c>
      <c r="J817" s="1505"/>
      <c r="K817" s="1504" t="s">
        <v>290</v>
      </c>
      <c r="L817" s="1505"/>
      <c r="M817" s="125"/>
      <c r="N817" s="125"/>
      <c r="O817" s="125"/>
      <c r="P817" s="125"/>
    </row>
    <row r="818" spans="1:16" ht="17.25" thickTop="1" thickBot="1">
      <c r="A818" s="1526" t="s">
        <v>375</v>
      </c>
      <c r="B818" s="1527"/>
      <c r="C818" s="1504" t="s">
        <v>414</v>
      </c>
      <c r="D818" s="1505"/>
      <c r="E818" s="1504" t="s">
        <v>415</v>
      </c>
      <c r="F818" s="1505"/>
      <c r="G818" s="1504" t="s">
        <v>414</v>
      </c>
      <c r="H818" s="1505"/>
      <c r="I818" s="1504" t="s">
        <v>386</v>
      </c>
      <c r="J818" s="1505"/>
      <c r="K818" s="1504" t="s">
        <v>383</v>
      </c>
      <c r="L818" s="1505"/>
      <c r="M818" s="125"/>
      <c r="N818" s="125"/>
      <c r="O818" s="125"/>
      <c r="P818" s="125"/>
    </row>
    <row r="819" spans="1:16" ht="17.25" thickTop="1" thickBot="1">
      <c r="A819" s="32"/>
      <c r="B819" s="32"/>
      <c r="C819" s="32"/>
      <c r="D819" s="32"/>
      <c r="E819" s="32"/>
      <c r="F819" s="32"/>
      <c r="G819" s="32"/>
      <c r="H819" s="32"/>
      <c r="I819" s="45"/>
      <c r="J819" s="45"/>
      <c r="K819" s="32"/>
      <c r="L819" s="32"/>
      <c r="M819" s="125"/>
      <c r="N819" s="125"/>
      <c r="O819" s="125"/>
      <c r="P819" s="125"/>
    </row>
    <row r="820" spans="1:16" ht="17.25" thickTop="1" thickBot="1">
      <c r="A820" s="1508" t="s">
        <v>376</v>
      </c>
      <c r="B820" s="1509"/>
      <c r="C820" s="1504" t="s">
        <v>415</v>
      </c>
      <c r="D820" s="1505"/>
      <c r="E820" s="1504" t="s">
        <v>416</v>
      </c>
      <c r="F820" s="1505"/>
      <c r="G820" s="1504" t="s">
        <v>384</v>
      </c>
      <c r="H820" s="1505"/>
      <c r="I820" s="1504" t="s">
        <v>262</v>
      </c>
      <c r="J820" s="1505"/>
      <c r="K820" s="1504" t="s">
        <v>386</v>
      </c>
      <c r="L820" s="1505"/>
      <c r="M820" s="125"/>
      <c r="N820" s="125"/>
      <c r="O820" s="125"/>
      <c r="P820" s="125"/>
    </row>
    <row r="821" spans="1:16" ht="17.25" thickTop="1" thickBot="1">
      <c r="A821" s="1506" t="s">
        <v>377</v>
      </c>
      <c r="B821" s="1507"/>
      <c r="C821" s="1504" t="s">
        <v>386</v>
      </c>
      <c r="D821" s="1505"/>
      <c r="E821" s="1504" t="s">
        <v>262</v>
      </c>
      <c r="F821" s="1505"/>
      <c r="G821" s="1504" t="s">
        <v>415</v>
      </c>
      <c r="H821" s="1505"/>
      <c r="I821" s="1504" t="s">
        <v>387</v>
      </c>
      <c r="J821" s="1505"/>
      <c r="K821" s="1504" t="s">
        <v>279</v>
      </c>
      <c r="L821" s="1505"/>
      <c r="M821" s="125"/>
      <c r="N821" s="125"/>
      <c r="O821" s="125"/>
      <c r="P821" s="125"/>
    </row>
    <row r="822" spans="1:16" ht="17.25" thickTop="1" thickBot="1">
      <c r="A822" s="1506" t="s">
        <v>378</v>
      </c>
      <c r="B822" s="1507"/>
      <c r="C822" s="1504" t="s">
        <v>279</v>
      </c>
      <c r="D822" s="1505"/>
      <c r="E822" s="1504" t="s">
        <v>415</v>
      </c>
      <c r="F822" s="1505"/>
      <c r="G822" s="1504" t="s">
        <v>416</v>
      </c>
      <c r="H822" s="1505"/>
      <c r="I822" s="1504" t="s">
        <v>387</v>
      </c>
      <c r="J822" s="1505"/>
      <c r="K822" s="1504"/>
      <c r="L822" s="1505"/>
      <c r="M822" s="125"/>
      <c r="N822" s="125"/>
      <c r="O822" s="125"/>
      <c r="P822" s="125"/>
    </row>
    <row r="823" spans="1:16" ht="17.25" thickTop="1" thickBot="1">
      <c r="A823" s="1502" t="s">
        <v>379</v>
      </c>
      <c r="B823" s="1503"/>
      <c r="C823" s="1504">
        <v>0</v>
      </c>
      <c r="D823" s="1505"/>
      <c r="E823" s="1504">
        <v>0</v>
      </c>
      <c r="F823" s="1505"/>
      <c r="G823" s="1504">
        <v>0</v>
      </c>
      <c r="H823" s="1505"/>
      <c r="I823" s="1504">
        <v>0</v>
      </c>
      <c r="J823" s="1505"/>
      <c r="K823" s="1504" t="s">
        <v>380</v>
      </c>
      <c r="L823" s="1505"/>
      <c r="M823" s="125"/>
      <c r="N823" s="125"/>
      <c r="O823" s="125"/>
      <c r="P823" s="125"/>
    </row>
    <row r="824" spans="1:16" ht="17.25" thickTop="1" thickBot="1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125"/>
      <c r="N824" s="125"/>
      <c r="O824" s="125"/>
      <c r="P824" s="125"/>
    </row>
    <row r="825" spans="1:16" ht="16.5" thickTop="1">
      <c r="A825" s="35" t="s">
        <v>381</v>
      </c>
      <c r="B825" s="36" t="s">
        <v>262</v>
      </c>
      <c r="C825" s="36" t="s">
        <v>417</v>
      </c>
      <c r="D825" s="36" t="s">
        <v>418</v>
      </c>
      <c r="E825" s="36" t="s">
        <v>416</v>
      </c>
      <c r="F825" s="36" t="s">
        <v>383</v>
      </c>
      <c r="G825" s="36" t="s">
        <v>279</v>
      </c>
      <c r="H825" s="36" t="s">
        <v>384</v>
      </c>
      <c r="I825" s="36" t="s">
        <v>385</v>
      </c>
      <c r="J825" s="36" t="s">
        <v>290</v>
      </c>
      <c r="K825" s="36" t="s">
        <v>386</v>
      </c>
      <c r="L825" s="36" t="s">
        <v>387</v>
      </c>
      <c r="M825" s="125"/>
      <c r="N825" s="125"/>
      <c r="O825" s="125"/>
      <c r="P825" s="125"/>
    </row>
    <row r="826" spans="1:16" ht="15.75">
      <c r="A826" s="37" t="s">
        <v>388</v>
      </c>
      <c r="B826" s="38" t="s">
        <v>419</v>
      </c>
      <c r="C826" s="38" t="s">
        <v>420</v>
      </c>
      <c r="D826" s="38" t="s">
        <v>393</v>
      </c>
      <c r="E826" s="38" t="s">
        <v>359</v>
      </c>
      <c r="F826" s="38" t="s">
        <v>359</v>
      </c>
      <c r="G826" s="38" t="s">
        <v>359</v>
      </c>
      <c r="H826" s="38" t="s">
        <v>393</v>
      </c>
      <c r="I826" s="38" t="s">
        <v>419</v>
      </c>
      <c r="J826" s="38" t="s">
        <v>393</v>
      </c>
      <c r="K826" s="38" t="s">
        <v>393</v>
      </c>
      <c r="L826" s="38" t="s">
        <v>359</v>
      </c>
      <c r="M826" s="125"/>
      <c r="N826" s="125"/>
      <c r="O826" s="125"/>
      <c r="P826" s="125"/>
    </row>
    <row r="827" spans="1:16" ht="15.75">
      <c r="A827" s="37" t="s">
        <v>394</v>
      </c>
      <c r="B827" s="39" t="s">
        <v>395</v>
      </c>
      <c r="C827" s="39" t="s">
        <v>306</v>
      </c>
      <c r="D827" s="39" t="s">
        <v>306</v>
      </c>
      <c r="E827" s="39" t="s">
        <v>306</v>
      </c>
      <c r="F827" s="39" t="s">
        <v>283</v>
      </c>
      <c r="G827" s="39" t="s">
        <v>282</v>
      </c>
      <c r="H827" s="39" t="s">
        <v>285</v>
      </c>
      <c r="I827" s="39" t="s">
        <v>271</v>
      </c>
      <c r="J827" s="39" t="s">
        <v>396</v>
      </c>
      <c r="K827" s="39" t="s">
        <v>297</v>
      </c>
      <c r="L827" s="39" t="s">
        <v>313</v>
      </c>
      <c r="M827" s="125"/>
      <c r="N827" s="125"/>
      <c r="O827" s="125"/>
      <c r="P827" s="125"/>
    </row>
    <row r="828" spans="1:16" ht="15.75">
      <c r="A828" s="37" t="s">
        <v>397</v>
      </c>
      <c r="B828" s="41" t="s">
        <v>345</v>
      </c>
      <c r="C828" s="41" t="s">
        <v>345</v>
      </c>
      <c r="D828" s="41" t="s">
        <v>345</v>
      </c>
      <c r="E828" s="41" t="s">
        <v>345</v>
      </c>
      <c r="F828" s="41" t="s">
        <v>345</v>
      </c>
      <c r="G828" s="41" t="s">
        <v>345</v>
      </c>
      <c r="H828" s="41" t="s">
        <v>348</v>
      </c>
      <c r="I828" s="41" t="s">
        <v>348</v>
      </c>
      <c r="J828" s="41" t="s">
        <v>398</v>
      </c>
      <c r="K828" s="41" t="s">
        <v>348</v>
      </c>
      <c r="L828" s="41" t="s">
        <v>348</v>
      </c>
      <c r="M828" s="125"/>
      <c r="N828" s="125"/>
      <c r="O828" s="125"/>
      <c r="P828" s="125"/>
    </row>
    <row r="829" spans="1:16" ht="16.5" thickBot="1">
      <c r="A829" s="42" t="s">
        <v>343</v>
      </c>
      <c r="B829" s="43">
        <v>42623.42291666667</v>
      </c>
      <c r="C829" s="43">
        <v>42623.42291666667</v>
      </c>
      <c r="D829" s="43">
        <v>42623.42291666667</v>
      </c>
      <c r="E829" s="43">
        <v>42623.42291666667</v>
      </c>
      <c r="F829" s="43">
        <v>42684.465277777781</v>
      </c>
      <c r="G829" s="43">
        <v>42684.677083333336</v>
      </c>
      <c r="H829" s="43">
        <v>0.67708333333333337</v>
      </c>
      <c r="I829" s="43">
        <v>0.67708333333333337</v>
      </c>
      <c r="J829" s="43">
        <v>42684.465277777781</v>
      </c>
      <c r="K829" s="43">
        <v>42623.42291666667</v>
      </c>
      <c r="L829" s="43">
        <v>42623.42291666667</v>
      </c>
      <c r="M829" s="125"/>
      <c r="N829" s="125"/>
      <c r="O829" s="125"/>
      <c r="P829" s="125"/>
    </row>
    <row r="830" spans="1:16" ht="17.25" thickTop="1" thickBot="1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125"/>
      <c r="N830" s="125"/>
      <c r="O830" s="125"/>
      <c r="P830" s="125"/>
    </row>
    <row r="831" spans="1:16" ht="19.5" thickTop="1" thickBot="1">
      <c r="A831" s="35" t="s">
        <v>399</v>
      </c>
      <c r="B831" s="1494" t="s">
        <v>380</v>
      </c>
      <c r="C831" s="1495"/>
      <c r="D831" s="1494" t="s">
        <v>380</v>
      </c>
      <c r="E831" s="1496"/>
      <c r="F831" s="32"/>
      <c r="G831" s="32"/>
      <c r="H831" s="32"/>
      <c r="I831" s="32"/>
      <c r="J831" s="32"/>
      <c r="K831" s="31"/>
      <c r="L831" s="31"/>
      <c r="M831" s="125"/>
      <c r="N831" s="125"/>
      <c r="O831" s="125"/>
      <c r="P831" s="125"/>
    </row>
    <row r="832" spans="1:16" ht="18.75" thickBot="1">
      <c r="A832" s="37" t="s">
        <v>400</v>
      </c>
      <c r="B832" s="1497" t="s">
        <v>380</v>
      </c>
      <c r="C832" s="1498"/>
      <c r="D832" s="1497" t="s">
        <v>380</v>
      </c>
      <c r="E832" s="1499"/>
      <c r="F832" s="31" t="s">
        <v>401</v>
      </c>
      <c r="G832" s="1500" t="s">
        <v>402</v>
      </c>
      <c r="H832" s="1500"/>
      <c r="I832" s="31" t="s">
        <v>403</v>
      </c>
      <c r="J832" s="1501">
        <f ca="1">TODAY()</f>
        <v>45944</v>
      </c>
      <c r="K832" s="1501"/>
      <c r="L832" s="1501"/>
      <c r="M832" s="125"/>
      <c r="N832" s="125"/>
      <c r="O832" s="125"/>
      <c r="P832" s="125"/>
    </row>
    <row r="833" spans="1:16" ht="18.75" thickBot="1">
      <c r="A833" s="42" t="s">
        <v>404</v>
      </c>
      <c r="B833" s="1491" t="s">
        <v>380</v>
      </c>
      <c r="C833" s="1492"/>
      <c r="D833" s="1491" t="s">
        <v>380</v>
      </c>
      <c r="E833" s="1493"/>
      <c r="F833" s="32"/>
      <c r="G833" s="31"/>
      <c r="H833" s="31" t="s">
        <v>405</v>
      </c>
      <c r="I833" s="31"/>
      <c r="J833" s="32"/>
      <c r="K833" s="31"/>
      <c r="L833" s="31"/>
      <c r="M833" s="125"/>
      <c r="N833" s="125"/>
      <c r="O833" s="125"/>
      <c r="P833" s="125"/>
    </row>
    <row r="834" spans="1:16" ht="18.75" thickTop="1">
      <c r="A834" s="32"/>
      <c r="B834" s="32"/>
      <c r="C834" s="32"/>
      <c r="D834" s="32"/>
      <c r="E834" s="32"/>
      <c r="F834" s="31"/>
      <c r="G834" s="31"/>
      <c r="H834" s="44" t="s">
        <v>406</v>
      </c>
      <c r="I834" s="31"/>
      <c r="J834" s="31"/>
      <c r="K834" s="32"/>
      <c r="L834" s="32"/>
      <c r="M834" s="125"/>
      <c r="N834" s="125"/>
      <c r="O834" s="125"/>
      <c r="P834" s="125"/>
    </row>
    <row r="835" spans="1:16" ht="18">
      <c r="A835" s="32"/>
      <c r="B835" s="32"/>
      <c r="C835" s="32"/>
      <c r="D835" s="32"/>
      <c r="E835" s="32"/>
      <c r="F835" s="31"/>
      <c r="G835" s="31"/>
      <c r="H835" s="32"/>
      <c r="I835" s="31"/>
      <c r="J835" s="32"/>
      <c r="K835" s="32"/>
      <c r="L835" s="32"/>
      <c r="M835" s="125"/>
      <c r="N835" s="125"/>
      <c r="O835" s="125"/>
      <c r="P835" s="125"/>
    </row>
    <row r="836" spans="1:16" ht="18">
      <c r="A836" s="1500" t="s">
        <v>78</v>
      </c>
      <c r="B836" s="1500"/>
      <c r="C836" s="1500"/>
      <c r="D836" s="1500"/>
      <c r="E836" s="1500"/>
      <c r="F836" s="1500"/>
      <c r="G836" s="1500"/>
      <c r="H836" s="1500"/>
      <c r="I836" s="1500"/>
      <c r="J836" s="1500"/>
      <c r="K836" s="1500"/>
      <c r="L836" s="1500"/>
      <c r="M836" s="125"/>
      <c r="N836" s="125"/>
      <c r="O836" s="125"/>
      <c r="P836" s="125"/>
    </row>
    <row r="837" spans="1:16" ht="18">
      <c r="A837" s="1500" t="s">
        <v>79</v>
      </c>
      <c r="B837" s="1500"/>
      <c r="C837" s="1500"/>
      <c r="D837" s="1500"/>
      <c r="E837" s="1500"/>
      <c r="F837" s="1500"/>
      <c r="G837" s="1500"/>
      <c r="H837" s="1500"/>
      <c r="I837" s="1500"/>
      <c r="J837" s="1500"/>
      <c r="K837" s="1500"/>
      <c r="L837" s="1500"/>
      <c r="M837" s="125"/>
      <c r="N837" s="125"/>
      <c r="O837" s="125"/>
      <c r="P837" s="125"/>
    </row>
    <row r="838" spans="1:16" ht="18">
      <c r="A838" s="30" t="s">
        <v>220</v>
      </c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125"/>
      <c r="N838" s="125"/>
      <c r="O838" s="125"/>
      <c r="P838" s="125"/>
    </row>
    <row r="839" spans="1:16" ht="18">
      <c r="A839" s="30" t="s">
        <v>361</v>
      </c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125"/>
      <c r="N839" s="125"/>
      <c r="O839" s="125"/>
      <c r="P839" s="125"/>
    </row>
    <row r="840" spans="1:16" ht="18.75" thickBo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125"/>
      <c r="N840" s="125"/>
      <c r="O840" s="125"/>
      <c r="P840" s="125"/>
    </row>
    <row r="841" spans="1:16" ht="24" thickBot="1">
      <c r="A841" s="31"/>
      <c r="B841" s="31"/>
      <c r="C841" s="1532" t="s">
        <v>362</v>
      </c>
      <c r="D841" s="1533"/>
      <c r="E841" s="1533"/>
      <c r="F841" s="1533"/>
      <c r="G841" s="1534"/>
      <c r="H841" s="1518" t="s">
        <v>22</v>
      </c>
      <c r="I841" s="1519"/>
      <c r="J841" s="31"/>
      <c r="K841" s="31"/>
      <c r="L841" s="31"/>
      <c r="M841" s="125"/>
      <c r="N841" s="125"/>
      <c r="O841" s="125"/>
      <c r="P841" s="125"/>
    </row>
    <row r="842" spans="1:16" ht="18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125"/>
      <c r="N842" s="125"/>
      <c r="O842" s="125"/>
      <c r="P842" s="125"/>
    </row>
    <row r="843" spans="1:16" ht="18">
      <c r="A843" s="30" t="s">
        <v>363</v>
      </c>
      <c r="B843" s="31"/>
      <c r="C843" s="1500" t="s">
        <v>421</v>
      </c>
      <c r="D843" s="1500"/>
      <c r="E843" s="1500"/>
      <c r="F843" s="31"/>
      <c r="G843" s="31" t="s">
        <v>364</v>
      </c>
      <c r="H843" s="31"/>
      <c r="I843" s="1500"/>
      <c r="J843" s="1500"/>
      <c r="K843" s="1500"/>
      <c r="L843" s="31"/>
      <c r="M843" s="125"/>
      <c r="N843" s="125"/>
      <c r="O843" s="125"/>
      <c r="P843" s="125"/>
    </row>
    <row r="844" spans="1:16" ht="18.75" thickBot="1">
      <c r="A844" s="30" t="s">
        <v>365</v>
      </c>
      <c r="B844" s="31"/>
      <c r="C844" s="31">
        <v>9</v>
      </c>
      <c r="D844" s="31"/>
      <c r="E844" s="31"/>
      <c r="F844" s="31"/>
      <c r="G844" s="31" t="s">
        <v>366</v>
      </c>
      <c r="H844" s="31"/>
      <c r="I844" s="31">
        <v>42</v>
      </c>
      <c r="J844" s="31"/>
      <c r="K844" s="31"/>
      <c r="L844" s="31"/>
      <c r="M844" s="125"/>
      <c r="N844" s="125"/>
      <c r="O844" s="125"/>
      <c r="P844" s="125"/>
    </row>
    <row r="845" spans="1:16" ht="17.25" thickTop="1" thickBot="1">
      <c r="A845" s="1510" t="s">
        <v>367</v>
      </c>
      <c r="B845" s="1511"/>
      <c r="C845" s="1512" t="s">
        <v>360</v>
      </c>
      <c r="D845" s="1513"/>
      <c r="E845" s="1512" t="s">
        <v>368</v>
      </c>
      <c r="F845" s="1513"/>
      <c r="G845" s="1512" t="s">
        <v>369</v>
      </c>
      <c r="H845" s="1513"/>
      <c r="I845" s="1512" t="s">
        <v>370</v>
      </c>
      <c r="J845" s="1513"/>
      <c r="K845" s="1512" t="s">
        <v>371</v>
      </c>
      <c r="L845" s="1514"/>
      <c r="M845" s="125"/>
      <c r="N845" s="125"/>
      <c r="O845" s="125"/>
      <c r="P845" s="125"/>
    </row>
    <row r="846" spans="1:16" ht="17.25" thickTop="1" thickBot="1">
      <c r="A846" s="1528" t="s">
        <v>372</v>
      </c>
      <c r="B846" s="1529"/>
      <c r="C846" s="1504" t="s">
        <v>279</v>
      </c>
      <c r="D846" s="1505"/>
      <c r="E846" s="1504" t="s">
        <v>386</v>
      </c>
      <c r="F846" s="1505"/>
      <c r="G846" s="1504" t="s">
        <v>385</v>
      </c>
      <c r="H846" s="1505"/>
      <c r="I846" s="1504" t="s">
        <v>290</v>
      </c>
      <c r="J846" s="1505"/>
      <c r="K846" s="1504" t="s">
        <v>384</v>
      </c>
      <c r="L846" s="1505"/>
      <c r="M846" s="125"/>
      <c r="N846" s="125"/>
      <c r="O846" s="125"/>
      <c r="P846" s="125"/>
    </row>
    <row r="847" spans="1:16" ht="17.25" thickTop="1" thickBot="1">
      <c r="A847" s="1528" t="s">
        <v>373</v>
      </c>
      <c r="B847" s="1529"/>
      <c r="C847" s="1504" t="s">
        <v>279</v>
      </c>
      <c r="D847" s="1505"/>
      <c r="E847" s="1504" t="s">
        <v>386</v>
      </c>
      <c r="F847" s="1505"/>
      <c r="G847" s="1504" t="s">
        <v>385</v>
      </c>
      <c r="H847" s="1505"/>
      <c r="I847" s="1504" t="s">
        <v>290</v>
      </c>
      <c r="J847" s="1505"/>
      <c r="K847" s="1504" t="s">
        <v>386</v>
      </c>
      <c r="L847" s="1505"/>
      <c r="M847" s="125"/>
      <c r="N847" s="125"/>
      <c r="O847" s="125"/>
      <c r="P847" s="125"/>
    </row>
    <row r="848" spans="1:16" ht="17.25" thickTop="1" thickBot="1">
      <c r="A848" s="1528" t="s">
        <v>374</v>
      </c>
      <c r="B848" s="1529"/>
      <c r="C848" s="1504" t="s">
        <v>384</v>
      </c>
      <c r="D848" s="1505"/>
      <c r="E848" s="1504" t="s">
        <v>279</v>
      </c>
      <c r="F848" s="1505"/>
      <c r="G848" s="1504" t="s">
        <v>384</v>
      </c>
      <c r="H848" s="1505"/>
      <c r="I848" s="1504" t="s">
        <v>384</v>
      </c>
      <c r="J848" s="1505"/>
      <c r="K848" s="1504" t="s">
        <v>279</v>
      </c>
      <c r="L848" s="1505"/>
      <c r="M848" s="125"/>
      <c r="N848" s="125"/>
      <c r="O848" s="125"/>
      <c r="P848" s="125"/>
    </row>
    <row r="849" spans="1:16" ht="17.25" thickTop="1" thickBot="1">
      <c r="A849" s="1526" t="s">
        <v>375</v>
      </c>
      <c r="B849" s="1527"/>
      <c r="C849" s="1504" t="s">
        <v>384</v>
      </c>
      <c r="D849" s="1505"/>
      <c r="E849" s="1504" t="s">
        <v>279</v>
      </c>
      <c r="F849" s="1505"/>
      <c r="G849" s="1504" t="s">
        <v>384</v>
      </c>
      <c r="H849" s="1505"/>
      <c r="I849" s="1504" t="s">
        <v>384</v>
      </c>
      <c r="J849" s="1505"/>
      <c r="K849" s="1530" t="s">
        <v>279</v>
      </c>
      <c r="L849" s="1531"/>
      <c r="M849" s="125"/>
      <c r="N849" s="125"/>
      <c r="O849" s="125"/>
      <c r="P849" s="125"/>
    </row>
    <row r="850" spans="1:16" ht="17.25" thickTop="1" thickBot="1">
      <c r="A850" s="32"/>
      <c r="B850" s="32"/>
      <c r="C850" s="32"/>
      <c r="D850" s="32"/>
      <c r="E850" s="32"/>
      <c r="F850" s="32"/>
      <c r="G850" s="32"/>
      <c r="H850" s="32"/>
      <c r="I850" s="45"/>
      <c r="J850" s="45"/>
      <c r="K850" s="32"/>
      <c r="L850" s="32"/>
      <c r="M850" s="125"/>
      <c r="N850" s="125"/>
      <c r="O850" s="125"/>
      <c r="P850" s="125"/>
    </row>
    <row r="851" spans="1:16" ht="17.25" thickTop="1" thickBot="1">
      <c r="A851" s="1508" t="s">
        <v>376</v>
      </c>
      <c r="B851" s="1509"/>
      <c r="C851" s="1504" t="s">
        <v>383</v>
      </c>
      <c r="D851" s="1505"/>
      <c r="E851" s="1504" t="s">
        <v>262</v>
      </c>
      <c r="F851" s="1505"/>
      <c r="G851" s="1504" t="s">
        <v>262</v>
      </c>
      <c r="H851" s="1505"/>
      <c r="I851" s="1504" t="s">
        <v>279</v>
      </c>
      <c r="J851" s="1505"/>
      <c r="K851" s="1504" t="s">
        <v>385</v>
      </c>
      <c r="L851" s="1505"/>
      <c r="M851" s="125"/>
      <c r="N851" s="125"/>
      <c r="O851" s="125"/>
      <c r="P851" s="125"/>
    </row>
    <row r="852" spans="1:16" ht="17.25" thickTop="1" thickBot="1">
      <c r="A852" s="1506" t="s">
        <v>377</v>
      </c>
      <c r="B852" s="1507"/>
      <c r="C852" s="1504" t="s">
        <v>386</v>
      </c>
      <c r="D852" s="1505"/>
      <c r="E852" s="1504" t="s">
        <v>290</v>
      </c>
      <c r="F852" s="1505"/>
      <c r="G852" s="1504" t="s">
        <v>387</v>
      </c>
      <c r="H852" s="1505"/>
      <c r="I852" s="1504" t="s">
        <v>385</v>
      </c>
      <c r="J852" s="1505"/>
      <c r="K852" s="1504" t="s">
        <v>383</v>
      </c>
      <c r="L852" s="1505"/>
      <c r="M852" s="125"/>
      <c r="N852" s="125"/>
      <c r="O852" s="125"/>
      <c r="P852" s="125"/>
    </row>
    <row r="853" spans="1:16" ht="17.25" thickTop="1" thickBot="1">
      <c r="A853" s="1506" t="s">
        <v>378</v>
      </c>
      <c r="B853" s="1507"/>
      <c r="C853" s="1504" t="s">
        <v>290</v>
      </c>
      <c r="D853" s="1505"/>
      <c r="E853" s="1504"/>
      <c r="F853" s="1505"/>
      <c r="G853" s="1504" t="s">
        <v>387</v>
      </c>
      <c r="H853" s="1505"/>
      <c r="I853" s="1504"/>
      <c r="J853" s="1505"/>
      <c r="K853" s="1504"/>
      <c r="L853" s="1505"/>
      <c r="M853" s="125"/>
      <c r="N853" s="125"/>
      <c r="O853" s="125"/>
      <c r="P853" s="125"/>
    </row>
    <row r="854" spans="1:16" ht="17.25" thickTop="1" thickBot="1">
      <c r="A854" s="1502" t="s">
        <v>379</v>
      </c>
      <c r="B854" s="1503"/>
      <c r="C854" s="1504">
        <v>0</v>
      </c>
      <c r="D854" s="1505"/>
      <c r="E854" s="1504">
        <v>0</v>
      </c>
      <c r="F854" s="1505"/>
      <c r="G854" s="1504">
        <v>0</v>
      </c>
      <c r="H854" s="1505"/>
      <c r="I854" s="1504">
        <v>0</v>
      </c>
      <c r="J854" s="1505"/>
      <c r="K854" s="1504" t="s">
        <v>380</v>
      </c>
      <c r="L854" s="1505"/>
      <c r="M854" s="125"/>
      <c r="N854" s="125"/>
      <c r="O854" s="125"/>
      <c r="P854" s="125"/>
    </row>
    <row r="855" spans="1:16" ht="17.25" thickTop="1" thickBot="1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125"/>
      <c r="N855" s="125"/>
      <c r="O855" s="125"/>
      <c r="P855" s="125"/>
    </row>
    <row r="856" spans="1:16" ht="16.5" thickTop="1">
      <c r="A856" s="35" t="s">
        <v>381</v>
      </c>
      <c r="B856" s="36" t="s">
        <v>262</v>
      </c>
      <c r="C856" s="36" t="s">
        <v>383</v>
      </c>
      <c r="D856" s="36" t="s">
        <v>279</v>
      </c>
      <c r="E856" s="36" t="s">
        <v>384</v>
      </c>
      <c r="F856" s="36" t="s">
        <v>385</v>
      </c>
      <c r="G856" s="36" t="s">
        <v>290</v>
      </c>
      <c r="H856" s="36" t="s">
        <v>386</v>
      </c>
      <c r="I856" s="36" t="s">
        <v>387</v>
      </c>
      <c r="J856" s="36" t="s">
        <v>380</v>
      </c>
      <c r="K856" s="36" t="s">
        <v>380</v>
      </c>
      <c r="L856" s="36" t="s">
        <v>380</v>
      </c>
      <c r="M856" s="125"/>
      <c r="N856" s="125"/>
      <c r="O856" s="125"/>
      <c r="P856" s="125"/>
    </row>
    <row r="857" spans="1:16" ht="15.75">
      <c r="A857" s="37" t="s">
        <v>388</v>
      </c>
      <c r="B857" s="38" t="s">
        <v>359</v>
      </c>
      <c r="C857" s="38" t="s">
        <v>359</v>
      </c>
      <c r="D857" s="38" t="s">
        <v>389</v>
      </c>
      <c r="E857" s="38" t="s">
        <v>389</v>
      </c>
      <c r="F857" s="38" t="s">
        <v>419</v>
      </c>
      <c r="G857" s="38" t="s">
        <v>419</v>
      </c>
      <c r="H857" s="38" t="s">
        <v>419</v>
      </c>
      <c r="I857" s="38" t="s">
        <v>359</v>
      </c>
      <c r="J857" s="38" t="s">
        <v>380</v>
      </c>
      <c r="K857" s="38" t="s">
        <v>380</v>
      </c>
      <c r="L857" s="38" t="s">
        <v>380</v>
      </c>
      <c r="M857" s="125"/>
      <c r="N857" s="125"/>
      <c r="O857" s="125"/>
      <c r="P857" s="125"/>
    </row>
    <row r="858" spans="1:16" ht="15.75">
      <c r="A858" s="37" t="s">
        <v>394</v>
      </c>
      <c r="B858" s="39" t="s">
        <v>272</v>
      </c>
      <c r="C858" s="39" t="s">
        <v>283</v>
      </c>
      <c r="D858" s="39" t="s">
        <v>412</v>
      </c>
      <c r="E858" s="39" t="s">
        <v>421</v>
      </c>
      <c r="F858" s="39" t="s">
        <v>288</v>
      </c>
      <c r="G858" s="39" t="s">
        <v>292</v>
      </c>
      <c r="H858" s="39" t="s">
        <v>296</v>
      </c>
      <c r="I858" s="39" t="s">
        <v>313</v>
      </c>
      <c r="J858" s="40" t="s">
        <v>380</v>
      </c>
      <c r="K858" s="40" t="s">
        <v>380</v>
      </c>
      <c r="L858" s="40" t="s">
        <v>380</v>
      </c>
      <c r="M858" s="125"/>
      <c r="N858" s="125"/>
      <c r="O858" s="125"/>
      <c r="P858" s="125"/>
    </row>
    <row r="859" spans="1:16" ht="15.75">
      <c r="A859" s="37" t="s">
        <v>397</v>
      </c>
      <c r="B859" s="41" t="s">
        <v>344</v>
      </c>
      <c r="C859" s="41" t="s">
        <v>345</v>
      </c>
      <c r="D859" s="41" t="s">
        <v>348</v>
      </c>
      <c r="E859" s="41" t="s">
        <v>349</v>
      </c>
      <c r="F859" s="41" t="s">
        <v>344</v>
      </c>
      <c r="G859" s="41" t="s">
        <v>345</v>
      </c>
      <c r="H859" s="41" t="s">
        <v>344</v>
      </c>
      <c r="I859" s="41" t="s">
        <v>348</v>
      </c>
      <c r="J859" s="41" t="s">
        <v>380</v>
      </c>
      <c r="K859" s="41" t="s">
        <v>380</v>
      </c>
      <c r="L859" s="41" t="s">
        <v>380</v>
      </c>
      <c r="M859" s="125"/>
      <c r="N859" s="125"/>
      <c r="O859" s="125"/>
      <c r="P859" s="125"/>
    </row>
    <row r="860" spans="1:16" ht="16.5" thickBot="1">
      <c r="A860" s="42" t="s">
        <v>343</v>
      </c>
      <c r="B860" s="43">
        <v>0.67708333333333337</v>
      </c>
      <c r="C860" s="43">
        <v>42684.465277777781</v>
      </c>
      <c r="D860" s="43">
        <v>0.67708333333333337</v>
      </c>
      <c r="E860" s="43">
        <v>42684.465277777781</v>
      </c>
      <c r="F860" s="43">
        <v>42623.42291666667</v>
      </c>
      <c r="G860" s="43">
        <v>0.67708333333333337</v>
      </c>
      <c r="H860" s="43">
        <v>0.67708333333333337</v>
      </c>
      <c r="I860" s="43">
        <v>42623.42291666667</v>
      </c>
      <c r="J860" s="41" t="s">
        <v>380</v>
      </c>
      <c r="K860" s="41" t="s">
        <v>380</v>
      </c>
      <c r="L860" s="41" t="s">
        <v>380</v>
      </c>
      <c r="M860" s="125"/>
      <c r="N860" s="125"/>
      <c r="O860" s="125"/>
      <c r="P860" s="125"/>
    </row>
    <row r="861" spans="1:16" ht="17.25" thickTop="1" thickBot="1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125"/>
      <c r="N861" s="125"/>
      <c r="O861" s="125"/>
      <c r="P861" s="125"/>
    </row>
    <row r="862" spans="1:16" ht="19.5" thickTop="1" thickBot="1">
      <c r="A862" s="35" t="s">
        <v>399</v>
      </c>
      <c r="B862" s="1494" t="s">
        <v>380</v>
      </c>
      <c r="C862" s="1495"/>
      <c r="D862" s="1494" t="s">
        <v>380</v>
      </c>
      <c r="E862" s="1496"/>
      <c r="F862" s="32"/>
      <c r="G862" s="32"/>
      <c r="H862" s="32"/>
      <c r="I862" s="32"/>
      <c r="J862" s="32"/>
      <c r="K862" s="31"/>
      <c r="L862" s="31"/>
      <c r="M862" s="125"/>
      <c r="N862" s="125"/>
      <c r="O862" s="125"/>
      <c r="P862" s="125"/>
    </row>
    <row r="863" spans="1:16" ht="18.75" thickBot="1">
      <c r="A863" s="37" t="s">
        <v>400</v>
      </c>
      <c r="B863" s="1497" t="s">
        <v>380</v>
      </c>
      <c r="C863" s="1498"/>
      <c r="D863" s="1497" t="s">
        <v>380</v>
      </c>
      <c r="E863" s="1499"/>
      <c r="F863" s="31" t="s">
        <v>401</v>
      </c>
      <c r="G863" s="1500" t="s">
        <v>402</v>
      </c>
      <c r="H863" s="1500"/>
      <c r="I863" s="31" t="s">
        <v>403</v>
      </c>
      <c r="J863" s="1501">
        <f ca="1">TODAY()</f>
        <v>45944</v>
      </c>
      <c r="K863" s="1501"/>
      <c r="L863" s="1501"/>
      <c r="M863" s="125"/>
      <c r="N863" s="125"/>
      <c r="O863" s="125"/>
      <c r="P863" s="125"/>
    </row>
    <row r="864" spans="1:16" ht="18.75" thickBot="1">
      <c r="A864" s="42" t="s">
        <v>404</v>
      </c>
      <c r="B864" s="1491" t="s">
        <v>380</v>
      </c>
      <c r="C864" s="1492"/>
      <c r="D864" s="1491" t="s">
        <v>380</v>
      </c>
      <c r="E864" s="1493"/>
      <c r="F864" s="32"/>
      <c r="G864" s="31"/>
      <c r="H864" s="31" t="s">
        <v>405</v>
      </c>
      <c r="I864" s="31"/>
      <c r="J864" s="32"/>
      <c r="K864" s="31"/>
      <c r="L864" s="31"/>
      <c r="M864" s="125"/>
      <c r="N864" s="125"/>
      <c r="O864" s="125"/>
      <c r="P864" s="125"/>
    </row>
    <row r="865" spans="1:16" ht="18.75" thickTop="1">
      <c r="A865" s="32"/>
      <c r="B865" s="32"/>
      <c r="C865" s="32"/>
      <c r="D865" s="32"/>
      <c r="E865" s="32"/>
      <c r="F865" s="31"/>
      <c r="G865" s="31"/>
      <c r="H865" s="44" t="s">
        <v>406</v>
      </c>
      <c r="I865" s="31"/>
      <c r="J865" s="31"/>
      <c r="K865" s="32"/>
      <c r="L865" s="32"/>
      <c r="M865" s="125"/>
      <c r="N865" s="125"/>
      <c r="O865" s="125"/>
      <c r="P865" s="125"/>
    </row>
    <row r="866" spans="1:16" ht="18">
      <c r="A866" s="32"/>
      <c r="B866" s="32"/>
      <c r="C866" s="32"/>
      <c r="D866" s="32"/>
      <c r="E866" s="32"/>
      <c r="F866" s="31"/>
      <c r="G866" s="31"/>
      <c r="H866" s="32"/>
      <c r="I866" s="31"/>
      <c r="J866" s="32"/>
      <c r="K866" s="32"/>
      <c r="L866" s="32"/>
      <c r="M866" s="125"/>
      <c r="N866" s="125"/>
      <c r="O866" s="125"/>
      <c r="P866" s="125"/>
    </row>
    <row r="867" spans="1:16" ht="18">
      <c r="A867" s="1500" t="s">
        <v>78</v>
      </c>
      <c r="B867" s="1500"/>
      <c r="C867" s="1500"/>
      <c r="D867" s="1500"/>
      <c r="E867" s="1500"/>
      <c r="F867" s="1500"/>
      <c r="G867" s="1500"/>
      <c r="H867" s="1500"/>
      <c r="I867" s="1500"/>
      <c r="J867" s="1500"/>
      <c r="K867" s="1500"/>
      <c r="L867" s="1500"/>
      <c r="M867" s="125"/>
      <c r="N867" s="125"/>
      <c r="O867" s="125"/>
      <c r="P867" s="125"/>
    </row>
    <row r="868" spans="1:16" ht="18">
      <c r="A868" s="1500" t="s">
        <v>79</v>
      </c>
      <c r="B868" s="1500"/>
      <c r="C868" s="1500"/>
      <c r="D868" s="1500"/>
      <c r="E868" s="1500"/>
      <c r="F868" s="1500"/>
      <c r="G868" s="1500"/>
      <c r="H868" s="1500"/>
      <c r="I868" s="1500"/>
      <c r="J868" s="1500"/>
      <c r="K868" s="1500"/>
      <c r="L868" s="1500"/>
      <c r="M868" s="125"/>
      <c r="N868" s="125"/>
      <c r="O868" s="125"/>
      <c r="P868" s="125"/>
    </row>
    <row r="869" spans="1:16" ht="18">
      <c r="A869" s="30" t="s">
        <v>220</v>
      </c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125"/>
      <c r="N869" s="125"/>
      <c r="O869" s="125"/>
      <c r="P869" s="125"/>
    </row>
    <row r="870" spans="1:16" ht="18">
      <c r="A870" s="30" t="s">
        <v>361</v>
      </c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125"/>
      <c r="N870" s="125"/>
      <c r="O870" s="125"/>
      <c r="P870" s="125"/>
    </row>
    <row r="871" spans="1:16" ht="18.75" thickBo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125"/>
      <c r="N871" s="125"/>
      <c r="O871" s="125"/>
      <c r="P871" s="125"/>
    </row>
    <row r="872" spans="1:16" ht="24" thickBot="1">
      <c r="A872" s="31"/>
      <c r="B872" s="31"/>
      <c r="C872" s="1515" t="s">
        <v>362</v>
      </c>
      <c r="D872" s="1516"/>
      <c r="E872" s="1516"/>
      <c r="F872" s="1516"/>
      <c r="G872" s="1517"/>
      <c r="H872" s="1518" t="s">
        <v>268</v>
      </c>
      <c r="I872" s="1519"/>
      <c r="J872" s="31"/>
      <c r="K872" s="31"/>
      <c r="L872" s="31"/>
      <c r="M872" s="125"/>
      <c r="N872" s="125"/>
      <c r="O872" s="125"/>
      <c r="P872" s="125"/>
    </row>
    <row r="873" spans="1:16" ht="18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125"/>
      <c r="N873" s="125"/>
      <c r="O873" s="125"/>
      <c r="P873" s="125"/>
    </row>
    <row r="874" spans="1:16" ht="18">
      <c r="A874" s="30" t="s">
        <v>363</v>
      </c>
      <c r="B874" s="31"/>
      <c r="C874" s="1500" t="s">
        <v>305</v>
      </c>
      <c r="D874" s="1500"/>
      <c r="E874" s="1500"/>
      <c r="F874" s="31"/>
      <c r="G874" s="31" t="s">
        <v>364</v>
      </c>
      <c r="H874" s="31"/>
      <c r="I874" s="1500"/>
      <c r="J874" s="1500"/>
      <c r="K874" s="1500"/>
      <c r="L874" s="31"/>
      <c r="M874" s="125"/>
      <c r="N874" s="125"/>
      <c r="O874" s="125"/>
      <c r="P874" s="125"/>
    </row>
    <row r="875" spans="1:16" ht="18.75" thickBot="1">
      <c r="A875" s="30" t="s">
        <v>365</v>
      </c>
      <c r="B875" s="31"/>
      <c r="C875" s="31">
        <v>10</v>
      </c>
      <c r="D875" s="31"/>
      <c r="E875" s="31"/>
      <c r="F875" s="31"/>
      <c r="G875" s="31" t="s">
        <v>366</v>
      </c>
      <c r="H875" s="31"/>
      <c r="I875" s="31">
        <v>14</v>
      </c>
      <c r="J875" s="31"/>
      <c r="K875" s="31"/>
      <c r="L875" s="31"/>
      <c r="M875" s="125"/>
      <c r="N875" s="125"/>
      <c r="O875" s="125"/>
      <c r="P875" s="125"/>
    </row>
    <row r="876" spans="1:16" ht="17.25" thickTop="1" thickBot="1">
      <c r="A876" s="1510" t="s">
        <v>367</v>
      </c>
      <c r="B876" s="1511"/>
      <c r="C876" s="1512" t="s">
        <v>360</v>
      </c>
      <c r="D876" s="1513"/>
      <c r="E876" s="1512" t="s">
        <v>368</v>
      </c>
      <c r="F876" s="1513"/>
      <c r="G876" s="1512" t="s">
        <v>369</v>
      </c>
      <c r="H876" s="1513"/>
      <c r="I876" s="1512" t="s">
        <v>370</v>
      </c>
      <c r="J876" s="1513"/>
      <c r="K876" s="1512" t="s">
        <v>371</v>
      </c>
      <c r="L876" s="1514"/>
      <c r="M876" s="125"/>
      <c r="N876" s="125"/>
      <c r="O876" s="125"/>
      <c r="P876" s="125"/>
    </row>
    <row r="877" spans="1:16" ht="17.25" thickTop="1" thickBot="1">
      <c r="A877" s="1528" t="s">
        <v>372</v>
      </c>
      <c r="B877" s="1529"/>
      <c r="C877" s="1504" t="s">
        <v>386</v>
      </c>
      <c r="D877" s="1505"/>
      <c r="E877" s="1504" t="s">
        <v>385</v>
      </c>
      <c r="F877" s="1505"/>
      <c r="G877" s="1504" t="s">
        <v>262</v>
      </c>
      <c r="H877" s="1505"/>
      <c r="I877" s="1504" t="s">
        <v>422</v>
      </c>
      <c r="J877" s="1505"/>
      <c r="K877" s="1504" t="s">
        <v>290</v>
      </c>
      <c r="L877" s="1505"/>
      <c r="M877" s="125"/>
      <c r="N877" s="125"/>
      <c r="O877" s="125"/>
      <c r="P877" s="125"/>
    </row>
    <row r="878" spans="1:16" ht="17.25" thickTop="1" thickBot="1">
      <c r="A878" s="1528" t="s">
        <v>373</v>
      </c>
      <c r="B878" s="1529"/>
      <c r="C878" s="1504" t="s">
        <v>422</v>
      </c>
      <c r="D878" s="1505"/>
      <c r="E878" s="1504" t="s">
        <v>386</v>
      </c>
      <c r="F878" s="1505"/>
      <c r="G878" s="1504" t="s">
        <v>384</v>
      </c>
      <c r="H878" s="1505"/>
      <c r="I878" s="1504" t="s">
        <v>386</v>
      </c>
      <c r="J878" s="1505"/>
      <c r="K878" s="1504" t="s">
        <v>384</v>
      </c>
      <c r="L878" s="1505"/>
      <c r="M878" s="125"/>
      <c r="N878" s="125"/>
      <c r="O878" s="125"/>
      <c r="P878" s="125"/>
    </row>
    <row r="879" spans="1:16" ht="17.25" thickTop="1" thickBot="1">
      <c r="A879" s="1528" t="s">
        <v>374</v>
      </c>
      <c r="B879" s="1529"/>
      <c r="C879" s="1504" t="s">
        <v>422</v>
      </c>
      <c r="D879" s="1505"/>
      <c r="E879" s="1504" t="s">
        <v>290</v>
      </c>
      <c r="F879" s="1505"/>
      <c r="G879" s="1504" t="s">
        <v>384</v>
      </c>
      <c r="H879" s="1505"/>
      <c r="I879" s="1504" t="s">
        <v>384</v>
      </c>
      <c r="J879" s="1505"/>
      <c r="K879" s="1504" t="s">
        <v>279</v>
      </c>
      <c r="L879" s="1505"/>
      <c r="M879" s="125"/>
      <c r="N879" s="125"/>
      <c r="O879" s="125"/>
      <c r="P879" s="125"/>
    </row>
    <row r="880" spans="1:16" ht="17.25" thickTop="1" thickBot="1">
      <c r="A880" s="1526" t="s">
        <v>375</v>
      </c>
      <c r="B880" s="1527"/>
      <c r="C880" s="1504"/>
      <c r="D880" s="1505"/>
      <c r="E880" s="1504" t="s">
        <v>290</v>
      </c>
      <c r="F880" s="1505"/>
      <c r="G880" s="1504" t="s">
        <v>383</v>
      </c>
      <c r="H880" s="1505"/>
      <c r="I880" s="1504" t="s">
        <v>384</v>
      </c>
      <c r="J880" s="1505"/>
      <c r="K880" s="1504" t="s">
        <v>422</v>
      </c>
      <c r="L880" s="1505"/>
      <c r="M880" s="125"/>
      <c r="N880" s="125"/>
      <c r="O880" s="125"/>
      <c r="P880" s="125"/>
    </row>
    <row r="881" spans="1:16" ht="17.25" thickTop="1" thickBot="1">
      <c r="A881" s="32"/>
      <c r="B881" s="32"/>
      <c r="C881" s="32"/>
      <c r="D881" s="32"/>
      <c r="E881" s="32"/>
      <c r="F881" s="32"/>
      <c r="G881" s="32"/>
      <c r="H881" s="32"/>
      <c r="I881" s="45"/>
      <c r="J881" s="45"/>
      <c r="K881" s="32"/>
      <c r="L881" s="32"/>
      <c r="M881" s="125"/>
      <c r="N881" s="125"/>
      <c r="O881" s="125"/>
      <c r="P881" s="125"/>
    </row>
    <row r="882" spans="1:16" ht="17.25" thickTop="1" thickBot="1">
      <c r="A882" s="1508" t="s">
        <v>376</v>
      </c>
      <c r="B882" s="1509"/>
      <c r="C882" s="1504" t="s">
        <v>290</v>
      </c>
      <c r="D882" s="1505"/>
      <c r="E882" s="1504" t="s">
        <v>423</v>
      </c>
      <c r="F882" s="1505"/>
      <c r="G882" s="1504" t="s">
        <v>279</v>
      </c>
      <c r="H882" s="1505"/>
      <c r="I882" s="1504" t="s">
        <v>385</v>
      </c>
      <c r="J882" s="1505"/>
      <c r="K882" s="1504" t="s">
        <v>383</v>
      </c>
      <c r="L882" s="1505"/>
      <c r="M882" s="125"/>
      <c r="N882" s="125"/>
      <c r="O882" s="125"/>
      <c r="P882" s="125"/>
    </row>
    <row r="883" spans="1:16" ht="17.25" thickTop="1" thickBot="1">
      <c r="A883" s="1506" t="s">
        <v>377</v>
      </c>
      <c r="B883" s="1507"/>
      <c r="C883" s="1504" t="s">
        <v>387</v>
      </c>
      <c r="D883" s="1505"/>
      <c r="E883" s="1504" t="s">
        <v>262</v>
      </c>
      <c r="F883" s="1505"/>
      <c r="G883" s="1504" t="s">
        <v>385</v>
      </c>
      <c r="H883" s="1505"/>
      <c r="I883" s="1504" t="s">
        <v>424</v>
      </c>
      <c r="J883" s="1505"/>
      <c r="K883" s="1504" t="s">
        <v>386</v>
      </c>
      <c r="L883" s="1505"/>
      <c r="M883" s="125"/>
      <c r="N883" s="125"/>
      <c r="O883" s="125"/>
      <c r="P883" s="125"/>
    </row>
    <row r="884" spans="1:16" ht="17.25" thickTop="1" thickBot="1">
      <c r="A884" s="1506" t="s">
        <v>378</v>
      </c>
      <c r="B884" s="1507"/>
      <c r="C884" s="1504" t="s">
        <v>387</v>
      </c>
      <c r="D884" s="1505"/>
      <c r="E884" s="1504"/>
      <c r="F884" s="1505"/>
      <c r="G884" s="1504"/>
      <c r="H884" s="1505"/>
      <c r="I884" s="1504" t="s">
        <v>279</v>
      </c>
      <c r="J884" s="1505"/>
      <c r="K884" s="1504"/>
      <c r="L884" s="1505"/>
      <c r="M884" s="125"/>
      <c r="N884" s="125"/>
      <c r="O884" s="125"/>
      <c r="P884" s="125"/>
    </row>
    <row r="885" spans="1:16" ht="17.25" thickTop="1" thickBot="1">
      <c r="A885" s="1502" t="s">
        <v>379</v>
      </c>
      <c r="B885" s="1503"/>
      <c r="C885" s="1504">
        <v>0</v>
      </c>
      <c r="D885" s="1505"/>
      <c r="E885" s="1504">
        <v>0</v>
      </c>
      <c r="F885" s="1505"/>
      <c r="G885" s="1504">
        <v>0</v>
      </c>
      <c r="H885" s="1505"/>
      <c r="I885" s="1504">
        <v>0</v>
      </c>
      <c r="J885" s="1505"/>
      <c r="K885" s="1504" t="s">
        <v>380</v>
      </c>
      <c r="L885" s="1505"/>
      <c r="M885" s="125"/>
      <c r="N885" s="125"/>
      <c r="O885" s="125"/>
      <c r="P885" s="125"/>
    </row>
    <row r="886" spans="1:16" ht="17.25" thickTop="1" thickBot="1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125"/>
      <c r="N886" s="125"/>
      <c r="O886" s="125"/>
      <c r="P886" s="125"/>
    </row>
    <row r="887" spans="1:16" ht="16.5" thickTop="1">
      <c r="A887" s="35" t="s">
        <v>381</v>
      </c>
      <c r="B887" s="36" t="s">
        <v>262</v>
      </c>
      <c r="C887" s="36" t="s">
        <v>383</v>
      </c>
      <c r="D887" s="36" t="s">
        <v>279</v>
      </c>
      <c r="E887" s="36" t="s">
        <v>384</v>
      </c>
      <c r="F887" s="36" t="s">
        <v>385</v>
      </c>
      <c r="G887" s="36" t="s">
        <v>290</v>
      </c>
      <c r="H887" s="36" t="s">
        <v>386</v>
      </c>
      <c r="I887" s="36" t="s">
        <v>422</v>
      </c>
      <c r="J887" s="36" t="s">
        <v>387</v>
      </c>
      <c r="K887" s="36" t="s">
        <v>380</v>
      </c>
      <c r="L887" s="36" t="s">
        <v>380</v>
      </c>
      <c r="M887" s="125"/>
      <c r="N887" s="125"/>
      <c r="O887" s="125"/>
      <c r="P887" s="125"/>
    </row>
    <row r="888" spans="1:16" ht="15.75">
      <c r="A888" s="37" t="s">
        <v>388</v>
      </c>
      <c r="B888" s="38" t="s">
        <v>359</v>
      </c>
      <c r="C888" s="38" t="s">
        <v>359</v>
      </c>
      <c r="D888" s="38" t="s">
        <v>393</v>
      </c>
      <c r="E888" s="38" t="s">
        <v>392</v>
      </c>
      <c r="F888" s="38" t="s">
        <v>393</v>
      </c>
      <c r="G888" s="38" t="s">
        <v>419</v>
      </c>
      <c r="H888" s="38" t="s">
        <v>419</v>
      </c>
      <c r="I888" s="38" t="s">
        <v>392</v>
      </c>
      <c r="J888" s="38" t="s">
        <v>359</v>
      </c>
      <c r="K888" s="38" t="s">
        <v>380</v>
      </c>
      <c r="L888" s="38" t="s">
        <v>380</v>
      </c>
      <c r="M888" s="125"/>
      <c r="N888" s="125"/>
      <c r="O888" s="125"/>
      <c r="P888" s="125"/>
    </row>
    <row r="889" spans="1:16" ht="15.75">
      <c r="A889" s="37" t="s">
        <v>394</v>
      </c>
      <c r="B889" s="39" t="s">
        <v>272</v>
      </c>
      <c r="C889" s="39" t="s">
        <v>283</v>
      </c>
      <c r="D889" s="39" t="s">
        <v>282</v>
      </c>
      <c r="E889" s="39" t="s">
        <v>285</v>
      </c>
      <c r="F889" s="39" t="s">
        <v>288</v>
      </c>
      <c r="G889" s="39" t="s">
        <v>292</v>
      </c>
      <c r="H889" s="39" t="s">
        <v>295</v>
      </c>
      <c r="I889" s="39" t="s">
        <v>305</v>
      </c>
      <c r="J889" s="39" t="s">
        <v>313</v>
      </c>
      <c r="K889" s="40" t="s">
        <v>380</v>
      </c>
      <c r="L889" s="40" t="s">
        <v>380</v>
      </c>
      <c r="M889" s="125"/>
      <c r="N889" s="125"/>
      <c r="O889" s="125"/>
      <c r="P889" s="125"/>
    </row>
    <row r="890" spans="1:16" ht="15.75">
      <c r="A890" s="37" t="s">
        <v>397</v>
      </c>
      <c r="B890" s="41" t="s">
        <v>344</v>
      </c>
      <c r="C890" s="41" t="s">
        <v>345</v>
      </c>
      <c r="D890" s="41" t="s">
        <v>345</v>
      </c>
      <c r="E890" s="41" t="s">
        <v>348</v>
      </c>
      <c r="F890" s="41" t="s">
        <v>344</v>
      </c>
      <c r="G890" s="41" t="s">
        <v>345</v>
      </c>
      <c r="H890" s="41" t="s">
        <v>348</v>
      </c>
      <c r="I890" s="41" t="s">
        <v>349</v>
      </c>
      <c r="J890" s="41" t="s">
        <v>348</v>
      </c>
      <c r="K890" s="41" t="s">
        <v>380</v>
      </c>
      <c r="L890" s="41" t="s">
        <v>380</v>
      </c>
      <c r="M890" s="125"/>
      <c r="N890" s="125"/>
      <c r="O890" s="125"/>
      <c r="P890" s="125"/>
    </row>
    <row r="891" spans="1:16" ht="16.5" thickBot="1">
      <c r="A891" s="42" t="s">
        <v>343</v>
      </c>
      <c r="B891" s="43">
        <v>0.67708333333333337</v>
      </c>
      <c r="C891" s="43">
        <v>42684.465277777781</v>
      </c>
      <c r="D891" s="43">
        <v>42684.677083333336</v>
      </c>
      <c r="E891" s="43">
        <v>0.67708333333333337</v>
      </c>
      <c r="F891" s="43">
        <v>42623.42291666667</v>
      </c>
      <c r="G891" s="43">
        <v>0.67708333333333337</v>
      </c>
      <c r="H891" s="43">
        <v>42623.42291666667</v>
      </c>
      <c r="I891" s="43">
        <v>42684.465277777781</v>
      </c>
      <c r="J891" s="43">
        <v>42623.42291666667</v>
      </c>
      <c r="K891" s="41" t="s">
        <v>380</v>
      </c>
      <c r="L891" s="41" t="s">
        <v>380</v>
      </c>
      <c r="M891" s="125"/>
      <c r="N891" s="125"/>
      <c r="O891" s="125"/>
      <c r="P891" s="125"/>
    </row>
    <row r="892" spans="1:16" ht="17.25" thickTop="1" thickBot="1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125"/>
      <c r="N892" s="125"/>
      <c r="O892" s="125"/>
      <c r="P892" s="125"/>
    </row>
    <row r="893" spans="1:16" ht="19.5" thickTop="1" thickBot="1">
      <c r="A893" s="35" t="s">
        <v>399</v>
      </c>
      <c r="B893" s="1494" t="s">
        <v>380</v>
      </c>
      <c r="C893" s="1495"/>
      <c r="D893" s="1494" t="s">
        <v>380</v>
      </c>
      <c r="E893" s="1496"/>
      <c r="F893" s="32"/>
      <c r="G893" s="32"/>
      <c r="H893" s="32"/>
      <c r="I893" s="32"/>
      <c r="J893" s="32"/>
      <c r="K893" s="31"/>
      <c r="L893" s="31"/>
      <c r="M893" s="125"/>
      <c r="N893" s="125"/>
      <c r="O893" s="125"/>
      <c r="P893" s="125"/>
    </row>
    <row r="894" spans="1:16" ht="18.75" thickBot="1">
      <c r="A894" s="37" t="s">
        <v>400</v>
      </c>
      <c r="B894" s="1497" t="s">
        <v>380</v>
      </c>
      <c r="C894" s="1498"/>
      <c r="D894" s="1497" t="s">
        <v>380</v>
      </c>
      <c r="E894" s="1499"/>
      <c r="F894" s="31" t="s">
        <v>401</v>
      </c>
      <c r="G894" s="1500" t="s">
        <v>402</v>
      </c>
      <c r="H894" s="1500"/>
      <c r="I894" s="31" t="s">
        <v>403</v>
      </c>
      <c r="J894" s="1501">
        <f ca="1">TODAY()</f>
        <v>45944</v>
      </c>
      <c r="K894" s="1501"/>
      <c r="L894" s="1501"/>
      <c r="M894" s="125"/>
      <c r="N894" s="125"/>
      <c r="O894" s="125"/>
      <c r="P894" s="125"/>
    </row>
    <row r="895" spans="1:16" ht="18.75" thickBot="1">
      <c r="A895" s="42" t="s">
        <v>404</v>
      </c>
      <c r="B895" s="1491" t="s">
        <v>380</v>
      </c>
      <c r="C895" s="1492"/>
      <c r="D895" s="1491" t="s">
        <v>380</v>
      </c>
      <c r="E895" s="1493"/>
      <c r="F895" s="32"/>
      <c r="G895" s="31"/>
      <c r="H895" s="31" t="s">
        <v>405</v>
      </c>
      <c r="I895" s="31"/>
      <c r="J895" s="32"/>
      <c r="K895" s="31"/>
      <c r="L895" s="31"/>
      <c r="M895" s="125"/>
      <c r="N895" s="125"/>
      <c r="O895" s="125"/>
      <c r="P895" s="125"/>
    </row>
    <row r="896" spans="1:16" ht="18.75" thickTop="1">
      <c r="A896" s="32"/>
      <c r="B896" s="32"/>
      <c r="C896" s="32"/>
      <c r="D896" s="32"/>
      <c r="E896" s="32"/>
      <c r="F896" s="31"/>
      <c r="G896" s="31"/>
      <c r="H896" s="44" t="s">
        <v>406</v>
      </c>
      <c r="I896" s="31"/>
      <c r="J896" s="31"/>
      <c r="K896" s="32"/>
      <c r="L896" s="32"/>
      <c r="M896" s="125"/>
      <c r="N896" s="125"/>
      <c r="O896" s="125"/>
      <c r="P896" s="125"/>
    </row>
    <row r="897" spans="1:16" ht="18">
      <c r="A897" s="32"/>
      <c r="B897" s="32"/>
      <c r="C897" s="32"/>
      <c r="D897" s="32"/>
      <c r="E897" s="32"/>
      <c r="F897" s="31"/>
      <c r="G897" s="31"/>
      <c r="H897" s="32"/>
      <c r="I897" s="31"/>
      <c r="J897" s="32"/>
      <c r="K897" s="32"/>
      <c r="L897" s="32"/>
      <c r="M897" s="125"/>
      <c r="N897" s="125"/>
      <c r="O897" s="125"/>
      <c r="P897" s="125"/>
    </row>
    <row r="898" spans="1:16" ht="18">
      <c r="A898" s="1500" t="s">
        <v>78</v>
      </c>
      <c r="B898" s="1500"/>
      <c r="C898" s="1500"/>
      <c r="D898" s="1500"/>
      <c r="E898" s="1500"/>
      <c r="F898" s="1500"/>
      <c r="G898" s="1500"/>
      <c r="H898" s="1500"/>
      <c r="I898" s="1500"/>
      <c r="J898" s="1500"/>
      <c r="K898" s="1500"/>
      <c r="L898" s="1500"/>
      <c r="M898" s="125"/>
      <c r="N898" s="125"/>
      <c r="O898" s="125"/>
      <c r="P898" s="125"/>
    </row>
    <row r="899" spans="1:16" ht="18">
      <c r="A899" s="1500" t="s">
        <v>79</v>
      </c>
      <c r="B899" s="1500"/>
      <c r="C899" s="1500"/>
      <c r="D899" s="1500"/>
      <c r="E899" s="1500"/>
      <c r="F899" s="1500"/>
      <c r="G899" s="1500"/>
      <c r="H899" s="1500"/>
      <c r="I899" s="1500"/>
      <c r="J899" s="1500"/>
      <c r="K899" s="1500"/>
      <c r="L899" s="1500"/>
      <c r="M899" s="125"/>
      <c r="N899" s="125"/>
      <c r="O899" s="125"/>
      <c r="P899" s="125"/>
    </row>
    <row r="900" spans="1:16" ht="18">
      <c r="A900" s="30" t="s">
        <v>220</v>
      </c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125"/>
      <c r="N900" s="125"/>
      <c r="O900" s="125"/>
      <c r="P900" s="125"/>
    </row>
    <row r="901" spans="1:16" ht="18">
      <c r="A901" s="30" t="s">
        <v>361</v>
      </c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125"/>
      <c r="N901" s="125"/>
      <c r="O901" s="125"/>
      <c r="P901" s="125"/>
    </row>
    <row r="902" spans="1:16" ht="18.75" thickBo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125"/>
      <c r="N902" s="125"/>
      <c r="O902" s="125"/>
      <c r="P902" s="125"/>
    </row>
    <row r="903" spans="1:16" ht="24" thickBot="1">
      <c r="A903" s="31"/>
      <c r="B903" s="31"/>
      <c r="C903" s="1515" t="s">
        <v>362</v>
      </c>
      <c r="D903" s="1516"/>
      <c r="E903" s="1516"/>
      <c r="F903" s="1516"/>
      <c r="G903" s="1517"/>
      <c r="H903" s="1518" t="s">
        <v>6</v>
      </c>
      <c r="I903" s="1519"/>
      <c r="J903" s="31"/>
      <c r="K903" s="31"/>
      <c r="L903" s="31"/>
      <c r="M903" s="125"/>
      <c r="N903" s="125"/>
      <c r="O903" s="125"/>
      <c r="P903" s="125"/>
    </row>
    <row r="904" spans="1:16" ht="18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125"/>
      <c r="N904" s="125"/>
      <c r="O904" s="125"/>
      <c r="P904" s="125"/>
    </row>
    <row r="905" spans="1:16" ht="18">
      <c r="A905" s="30" t="s">
        <v>363</v>
      </c>
      <c r="B905" s="31"/>
      <c r="C905" s="1500" t="s">
        <v>309</v>
      </c>
      <c r="D905" s="1500"/>
      <c r="E905" s="1500"/>
      <c r="F905" s="31"/>
      <c r="G905" s="31" t="s">
        <v>364</v>
      </c>
      <c r="H905" s="31"/>
      <c r="I905" s="1500"/>
      <c r="J905" s="1500"/>
      <c r="K905" s="1500"/>
      <c r="L905" s="31"/>
      <c r="M905" s="125"/>
      <c r="N905" s="125"/>
      <c r="O905" s="125"/>
      <c r="P905" s="125"/>
    </row>
    <row r="906" spans="1:16" ht="18.75" thickBot="1">
      <c r="A906" s="30" t="s">
        <v>365</v>
      </c>
      <c r="B906" s="31"/>
      <c r="C906" s="31">
        <v>4</v>
      </c>
      <c r="D906" s="31"/>
      <c r="E906" s="31"/>
      <c r="F906" s="31"/>
      <c r="G906" s="31" t="s">
        <v>366</v>
      </c>
      <c r="H906" s="31"/>
      <c r="I906" s="31">
        <v>9</v>
      </c>
      <c r="J906" s="31"/>
      <c r="K906" s="31"/>
      <c r="L906" s="31"/>
      <c r="M906" s="125"/>
      <c r="N906" s="125"/>
      <c r="O906" s="125"/>
      <c r="P906" s="125"/>
    </row>
    <row r="907" spans="1:16" ht="17.25" thickTop="1" thickBot="1">
      <c r="A907" s="1510" t="s">
        <v>367</v>
      </c>
      <c r="B907" s="1511"/>
      <c r="C907" s="1512" t="s">
        <v>360</v>
      </c>
      <c r="D907" s="1513"/>
      <c r="E907" s="1512" t="s">
        <v>368</v>
      </c>
      <c r="F907" s="1513"/>
      <c r="G907" s="1512" t="s">
        <v>369</v>
      </c>
      <c r="H907" s="1513"/>
      <c r="I907" s="1512" t="s">
        <v>370</v>
      </c>
      <c r="J907" s="1513"/>
      <c r="K907" s="1512" t="s">
        <v>371</v>
      </c>
      <c r="L907" s="1514"/>
      <c r="M907" s="125"/>
      <c r="N907" s="125"/>
      <c r="O907" s="125"/>
      <c r="P907" s="125"/>
    </row>
    <row r="908" spans="1:16" ht="17.25" thickTop="1" thickBot="1">
      <c r="A908" s="1528" t="s">
        <v>372</v>
      </c>
      <c r="B908" s="1529"/>
      <c r="C908" s="1504" t="s">
        <v>308</v>
      </c>
      <c r="D908" s="1505"/>
      <c r="E908" s="1504" t="s">
        <v>409</v>
      </c>
      <c r="F908" s="1505"/>
      <c r="G908" s="1504" t="s">
        <v>270</v>
      </c>
      <c r="H908" s="1505"/>
      <c r="I908" s="1504" t="s">
        <v>262</v>
      </c>
      <c r="J908" s="1505"/>
      <c r="K908" s="1504" t="s">
        <v>308</v>
      </c>
      <c r="L908" s="1505"/>
      <c r="M908" s="125"/>
      <c r="N908" s="125"/>
      <c r="O908" s="125"/>
      <c r="P908" s="125"/>
    </row>
    <row r="909" spans="1:16" ht="17.25" thickTop="1" thickBot="1">
      <c r="A909" s="1528" t="s">
        <v>373</v>
      </c>
      <c r="B909" s="1529"/>
      <c r="C909" s="1504" t="s">
        <v>308</v>
      </c>
      <c r="D909" s="1505"/>
      <c r="E909" s="1504" t="s">
        <v>409</v>
      </c>
      <c r="F909" s="1505"/>
      <c r="G909" s="1504" t="s">
        <v>270</v>
      </c>
      <c r="H909" s="1505"/>
      <c r="I909" s="1504" t="s">
        <v>308</v>
      </c>
      <c r="J909" s="1505"/>
      <c r="K909" s="1504" t="s">
        <v>308</v>
      </c>
      <c r="L909" s="1505"/>
      <c r="M909" s="125"/>
      <c r="N909" s="125"/>
      <c r="O909" s="125"/>
      <c r="P909" s="125"/>
    </row>
    <row r="910" spans="1:16" ht="17.25" thickTop="1" thickBot="1">
      <c r="A910" s="1528" t="s">
        <v>374</v>
      </c>
      <c r="B910" s="1529"/>
      <c r="C910" s="1504" t="s">
        <v>262</v>
      </c>
      <c r="D910" s="1505"/>
      <c r="E910" s="1504" t="s">
        <v>387</v>
      </c>
      <c r="F910" s="1505"/>
      <c r="G910" s="1504" t="s">
        <v>262</v>
      </c>
      <c r="H910" s="1505"/>
      <c r="I910" s="1504" t="s">
        <v>308</v>
      </c>
      <c r="J910" s="1505"/>
      <c r="K910" s="1504" t="s">
        <v>383</v>
      </c>
      <c r="L910" s="1505"/>
      <c r="M910" s="125"/>
      <c r="N910" s="125"/>
      <c r="O910" s="125"/>
      <c r="P910" s="125"/>
    </row>
    <row r="911" spans="1:16" ht="17.25" thickTop="1" thickBot="1">
      <c r="A911" s="1526" t="s">
        <v>375</v>
      </c>
      <c r="B911" s="1527"/>
      <c r="C911" s="1504" t="s">
        <v>262</v>
      </c>
      <c r="D911" s="1505"/>
      <c r="E911" s="1504" t="s">
        <v>387</v>
      </c>
      <c r="F911" s="1505"/>
      <c r="G911" s="1504" t="s">
        <v>262</v>
      </c>
      <c r="H911" s="1505"/>
      <c r="I911" s="1504" t="s">
        <v>385</v>
      </c>
      <c r="J911" s="1505"/>
      <c r="K911" s="1504" t="s">
        <v>270</v>
      </c>
      <c r="L911" s="1505"/>
      <c r="M911" s="125"/>
      <c r="N911" s="125"/>
      <c r="O911" s="125"/>
      <c r="P911" s="125"/>
    </row>
    <row r="912" spans="1:16" ht="17.25" thickTop="1" thickBot="1">
      <c r="A912" s="32"/>
      <c r="B912" s="32"/>
      <c r="C912" s="32"/>
      <c r="D912" s="32"/>
      <c r="E912" s="32"/>
      <c r="F912" s="32"/>
      <c r="G912" s="32"/>
      <c r="H912" s="32"/>
      <c r="I912" s="45"/>
      <c r="J912" s="45"/>
      <c r="K912" s="32"/>
      <c r="L912" s="32"/>
      <c r="M912" s="125"/>
      <c r="N912" s="125"/>
      <c r="O912" s="125"/>
      <c r="P912" s="125"/>
    </row>
    <row r="913" spans="1:16" ht="17.25" thickTop="1" thickBot="1">
      <c r="A913" s="1508" t="s">
        <v>376</v>
      </c>
      <c r="B913" s="1509"/>
      <c r="C913" s="1504" t="s">
        <v>384</v>
      </c>
      <c r="D913" s="1505"/>
      <c r="E913" s="1504" t="s">
        <v>385</v>
      </c>
      <c r="F913" s="1505"/>
      <c r="G913" s="1504" t="s">
        <v>386</v>
      </c>
      <c r="H913" s="1505"/>
      <c r="I913" s="1504" t="s">
        <v>384</v>
      </c>
      <c r="J913" s="1505"/>
      <c r="K913" s="1504" t="s">
        <v>385</v>
      </c>
      <c r="L913" s="1505"/>
      <c r="M913" s="125"/>
      <c r="N913" s="125"/>
      <c r="O913" s="125"/>
      <c r="P913" s="125"/>
    </row>
    <row r="914" spans="1:16" ht="17.25" thickTop="1" thickBot="1">
      <c r="A914" s="1506" t="s">
        <v>377</v>
      </c>
      <c r="B914" s="1507"/>
      <c r="C914" s="1504" t="s">
        <v>290</v>
      </c>
      <c r="D914" s="1505"/>
      <c r="E914" s="1504" t="s">
        <v>290</v>
      </c>
      <c r="F914" s="1505"/>
      <c r="G914" s="1504" t="s">
        <v>384</v>
      </c>
      <c r="H914" s="1505"/>
      <c r="I914" s="1504" t="s">
        <v>290</v>
      </c>
      <c r="J914" s="1505"/>
      <c r="K914" s="1504" t="s">
        <v>386</v>
      </c>
      <c r="L914" s="1505"/>
      <c r="M914" s="125"/>
      <c r="N914" s="125"/>
      <c r="O914" s="125"/>
      <c r="P914" s="125"/>
    </row>
    <row r="915" spans="1:16" ht="17.25" thickTop="1" thickBot="1">
      <c r="A915" s="1506" t="s">
        <v>378</v>
      </c>
      <c r="B915" s="1507"/>
      <c r="C915" s="1504" t="s">
        <v>386</v>
      </c>
      <c r="D915" s="1505"/>
      <c r="E915" s="1504" t="s">
        <v>262</v>
      </c>
      <c r="F915" s="1505"/>
      <c r="G915" s="1504" t="s">
        <v>383</v>
      </c>
      <c r="H915" s="1505"/>
      <c r="I915" s="1504"/>
      <c r="J915" s="1505"/>
      <c r="K915" s="1504"/>
      <c r="L915" s="1505"/>
      <c r="M915" s="125"/>
      <c r="N915" s="125"/>
      <c r="O915" s="125"/>
      <c r="P915" s="125"/>
    </row>
    <row r="916" spans="1:16" ht="17.25" thickTop="1" thickBot="1">
      <c r="A916" s="1502" t="s">
        <v>379</v>
      </c>
      <c r="B916" s="1503"/>
      <c r="C916" s="1504">
        <v>0</v>
      </c>
      <c r="D916" s="1505"/>
      <c r="E916" s="1504">
        <v>0</v>
      </c>
      <c r="F916" s="1505"/>
      <c r="G916" s="1504">
        <v>0</v>
      </c>
      <c r="H916" s="1505"/>
      <c r="I916" s="1504">
        <v>0</v>
      </c>
      <c r="J916" s="1505"/>
      <c r="K916" s="1504" t="s">
        <v>380</v>
      </c>
      <c r="L916" s="1505"/>
      <c r="M916" s="125"/>
      <c r="N916" s="125"/>
      <c r="O916" s="125"/>
      <c r="P916" s="125"/>
    </row>
    <row r="917" spans="1:16" ht="17.25" thickTop="1" thickBot="1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125"/>
      <c r="N917" s="125"/>
      <c r="O917" s="125"/>
      <c r="P917" s="125"/>
    </row>
    <row r="918" spans="1:16" ht="16.5" thickTop="1">
      <c r="A918" s="35" t="s">
        <v>381</v>
      </c>
      <c r="B918" s="36" t="s">
        <v>262</v>
      </c>
      <c r="C918" s="36" t="s">
        <v>270</v>
      </c>
      <c r="D918" s="36" t="s">
        <v>425</v>
      </c>
      <c r="E918" s="36" t="s">
        <v>383</v>
      </c>
      <c r="F918" s="36" t="s">
        <v>384</v>
      </c>
      <c r="G918" s="36" t="s">
        <v>385</v>
      </c>
      <c r="H918" s="36" t="s">
        <v>290</v>
      </c>
      <c r="I918" s="36" t="s">
        <v>386</v>
      </c>
      <c r="J918" s="36" t="s">
        <v>387</v>
      </c>
      <c r="K918" s="36" t="s">
        <v>380</v>
      </c>
      <c r="L918" s="36" t="s">
        <v>380</v>
      </c>
      <c r="M918" s="125"/>
      <c r="N918" s="125"/>
      <c r="O918" s="125"/>
      <c r="P918" s="125"/>
    </row>
    <row r="919" spans="1:16" ht="15.75">
      <c r="A919" s="37" t="s">
        <v>388</v>
      </c>
      <c r="B919" s="38" t="s">
        <v>420</v>
      </c>
      <c r="C919" s="38" t="s">
        <v>390</v>
      </c>
      <c r="D919" s="38" t="s">
        <v>420</v>
      </c>
      <c r="E919" s="38" t="s">
        <v>359</v>
      </c>
      <c r="F919" s="38" t="s">
        <v>393</v>
      </c>
      <c r="G919" s="38" t="s">
        <v>393</v>
      </c>
      <c r="H919" s="38" t="s">
        <v>393</v>
      </c>
      <c r="I919" s="38" t="s">
        <v>393</v>
      </c>
      <c r="J919" s="38" t="s">
        <v>359</v>
      </c>
      <c r="K919" s="38" t="s">
        <v>380</v>
      </c>
      <c r="L919" s="38" t="s">
        <v>380</v>
      </c>
      <c r="M919" s="125"/>
      <c r="N919" s="125"/>
      <c r="O919" s="125"/>
      <c r="P919" s="125"/>
    </row>
    <row r="920" spans="1:16" ht="15.75">
      <c r="A920" s="37" t="s">
        <v>394</v>
      </c>
      <c r="B920" s="39" t="s">
        <v>272</v>
      </c>
      <c r="C920" s="39" t="s">
        <v>275</v>
      </c>
      <c r="D920" s="39" t="s">
        <v>309</v>
      </c>
      <c r="E920" s="39" t="s">
        <v>283</v>
      </c>
      <c r="F920" s="39" t="s">
        <v>285</v>
      </c>
      <c r="G920" s="39" t="s">
        <v>289</v>
      </c>
      <c r="H920" s="39" t="s">
        <v>396</v>
      </c>
      <c r="I920" s="39" t="s">
        <v>297</v>
      </c>
      <c r="J920" s="39" t="s">
        <v>314</v>
      </c>
      <c r="K920" s="40" t="s">
        <v>380</v>
      </c>
      <c r="L920" s="40" t="s">
        <v>380</v>
      </c>
      <c r="M920" s="125"/>
      <c r="N920" s="125"/>
      <c r="O920" s="125"/>
      <c r="P920" s="125"/>
    </row>
    <row r="921" spans="1:16" ht="15.75">
      <c r="A921" s="37" t="s">
        <v>397</v>
      </c>
      <c r="B921" s="41" t="s">
        <v>344</v>
      </c>
      <c r="C921" s="41" t="s">
        <v>345</v>
      </c>
      <c r="D921" s="41" t="s">
        <v>345</v>
      </c>
      <c r="E921" s="41" t="s">
        <v>345</v>
      </c>
      <c r="F921" s="41" t="s">
        <v>348</v>
      </c>
      <c r="G921" s="41" t="s">
        <v>346</v>
      </c>
      <c r="H921" s="41" t="s">
        <v>398</v>
      </c>
      <c r="I921" s="41" t="s">
        <v>348</v>
      </c>
      <c r="J921" s="41" t="s">
        <v>348</v>
      </c>
      <c r="K921" s="41" t="s">
        <v>380</v>
      </c>
      <c r="L921" s="41" t="s">
        <v>380</v>
      </c>
      <c r="M921" s="125"/>
      <c r="N921" s="125"/>
      <c r="O921" s="125"/>
      <c r="P921" s="125"/>
    </row>
    <row r="922" spans="1:16" ht="16.5" thickBot="1">
      <c r="A922" s="42" t="s">
        <v>343</v>
      </c>
      <c r="B922" s="43">
        <v>0.67708333333333337</v>
      </c>
      <c r="C922" s="43">
        <v>0.63472222222222219</v>
      </c>
      <c r="D922" s="43">
        <v>42684.465277777781</v>
      </c>
      <c r="E922" s="43">
        <v>42684.465277777781</v>
      </c>
      <c r="F922" s="43">
        <v>0.67708333333333337</v>
      </c>
      <c r="G922" s="43">
        <v>0.67708333333333337</v>
      </c>
      <c r="H922" s="43">
        <v>42684.465277777781</v>
      </c>
      <c r="I922" s="43">
        <v>42623.42291666667</v>
      </c>
      <c r="J922" s="43">
        <v>42623.42291666667</v>
      </c>
      <c r="K922" s="41" t="s">
        <v>380</v>
      </c>
      <c r="L922" s="41" t="s">
        <v>380</v>
      </c>
      <c r="M922" s="125"/>
      <c r="N922" s="125"/>
      <c r="O922" s="125"/>
      <c r="P922" s="125"/>
    </row>
    <row r="923" spans="1:16" ht="17.25" thickTop="1" thickBot="1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125"/>
      <c r="N923" s="125"/>
      <c r="O923" s="125"/>
      <c r="P923" s="125"/>
    </row>
    <row r="924" spans="1:16" ht="19.5" thickTop="1" thickBot="1">
      <c r="A924" s="35" t="s">
        <v>399</v>
      </c>
      <c r="B924" s="1494" t="s">
        <v>380</v>
      </c>
      <c r="C924" s="1495"/>
      <c r="D924" s="1494" t="s">
        <v>380</v>
      </c>
      <c r="E924" s="1496"/>
      <c r="F924" s="32"/>
      <c r="G924" s="32"/>
      <c r="H924" s="32"/>
      <c r="I924" s="32"/>
      <c r="J924" s="32"/>
      <c r="K924" s="31"/>
      <c r="L924" s="31"/>
      <c r="M924" s="125"/>
      <c r="N924" s="125"/>
      <c r="O924" s="125"/>
      <c r="P924" s="125"/>
    </row>
    <row r="925" spans="1:16" ht="18.75" thickBot="1">
      <c r="A925" s="37" t="s">
        <v>400</v>
      </c>
      <c r="B925" s="1497" t="s">
        <v>380</v>
      </c>
      <c r="C925" s="1498"/>
      <c r="D925" s="1497" t="s">
        <v>380</v>
      </c>
      <c r="E925" s="1499"/>
      <c r="F925" s="31" t="s">
        <v>401</v>
      </c>
      <c r="G925" s="1500" t="s">
        <v>402</v>
      </c>
      <c r="H925" s="1500"/>
      <c r="I925" s="31" t="s">
        <v>403</v>
      </c>
      <c r="J925" s="1501">
        <f ca="1">TODAY()</f>
        <v>45944</v>
      </c>
      <c r="K925" s="1501"/>
      <c r="L925" s="1501"/>
      <c r="M925" s="125"/>
      <c r="N925" s="125"/>
      <c r="O925" s="125"/>
      <c r="P925" s="125"/>
    </row>
    <row r="926" spans="1:16" ht="18.75" thickBot="1">
      <c r="A926" s="42" t="s">
        <v>404</v>
      </c>
      <c r="B926" s="1491" t="s">
        <v>380</v>
      </c>
      <c r="C926" s="1492"/>
      <c r="D926" s="1491" t="s">
        <v>380</v>
      </c>
      <c r="E926" s="1493"/>
      <c r="F926" s="32"/>
      <c r="G926" s="31"/>
      <c r="H926" s="31" t="s">
        <v>405</v>
      </c>
      <c r="I926" s="31"/>
      <c r="J926" s="32"/>
      <c r="K926" s="31"/>
      <c r="L926" s="31"/>
      <c r="M926" s="125"/>
      <c r="N926" s="125"/>
      <c r="O926" s="125"/>
      <c r="P926" s="125"/>
    </row>
    <row r="927" spans="1:16" ht="18.75" thickTop="1">
      <c r="A927" s="32"/>
      <c r="B927" s="32"/>
      <c r="C927" s="32"/>
      <c r="D927" s="32"/>
      <c r="E927" s="32"/>
      <c r="F927" s="31"/>
      <c r="G927" s="31"/>
      <c r="H927" s="44" t="s">
        <v>406</v>
      </c>
      <c r="I927" s="31"/>
      <c r="J927" s="31"/>
      <c r="K927" s="32"/>
      <c r="L927" s="32"/>
      <c r="M927" s="125"/>
      <c r="N927" s="125"/>
      <c r="O927" s="125"/>
      <c r="P927" s="125"/>
    </row>
    <row r="928" spans="1:16" ht="18">
      <c r="A928" s="32"/>
      <c r="B928" s="32"/>
      <c r="C928" s="32"/>
      <c r="D928" s="32"/>
      <c r="E928" s="32"/>
      <c r="F928" s="31"/>
      <c r="G928" s="31"/>
      <c r="H928" s="32"/>
      <c r="I928" s="31"/>
      <c r="J928" s="32"/>
      <c r="K928" s="32"/>
      <c r="L928" s="32"/>
      <c r="M928" s="125"/>
      <c r="N928" s="125"/>
      <c r="O928" s="125"/>
      <c r="P928" s="125"/>
    </row>
    <row r="929" spans="1:16" ht="18">
      <c r="A929" s="1500" t="s">
        <v>78</v>
      </c>
      <c r="B929" s="1500"/>
      <c r="C929" s="1500"/>
      <c r="D929" s="1500"/>
      <c r="E929" s="1500"/>
      <c r="F929" s="1500"/>
      <c r="G929" s="1500"/>
      <c r="H929" s="1500"/>
      <c r="I929" s="1500"/>
      <c r="J929" s="1500"/>
      <c r="K929" s="1500"/>
      <c r="L929" s="1500"/>
      <c r="M929" s="125"/>
      <c r="N929" s="125"/>
      <c r="O929" s="125"/>
      <c r="P929" s="125"/>
    </row>
    <row r="930" spans="1:16" ht="18">
      <c r="A930" s="1500" t="s">
        <v>79</v>
      </c>
      <c r="B930" s="1500"/>
      <c r="C930" s="1500"/>
      <c r="D930" s="1500"/>
      <c r="E930" s="1500"/>
      <c r="F930" s="1500"/>
      <c r="G930" s="1500"/>
      <c r="H930" s="1500"/>
      <c r="I930" s="1500"/>
      <c r="J930" s="1500"/>
      <c r="K930" s="1500"/>
      <c r="L930" s="1500"/>
      <c r="M930" s="125"/>
      <c r="N930" s="125"/>
      <c r="O930" s="125"/>
      <c r="P930" s="125"/>
    </row>
    <row r="931" spans="1:16" ht="18">
      <c r="A931" s="30" t="s">
        <v>220</v>
      </c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125"/>
      <c r="N931" s="125"/>
      <c r="O931" s="125"/>
      <c r="P931" s="125"/>
    </row>
    <row r="932" spans="1:16" ht="18">
      <c r="A932" s="30" t="s">
        <v>361</v>
      </c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125"/>
      <c r="N932" s="125"/>
      <c r="O932" s="125"/>
      <c r="P932" s="125"/>
    </row>
    <row r="933" spans="1:16" ht="18.75" thickBo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125"/>
      <c r="N933" s="125"/>
      <c r="O933" s="125"/>
      <c r="P933" s="125"/>
    </row>
    <row r="934" spans="1:16" ht="24" thickBot="1">
      <c r="A934" s="31"/>
      <c r="B934" s="31"/>
      <c r="C934" s="1515" t="s">
        <v>362</v>
      </c>
      <c r="D934" s="1516"/>
      <c r="E934" s="1516"/>
      <c r="F934" s="1516"/>
      <c r="G934" s="1517"/>
      <c r="H934" s="1518" t="s">
        <v>2</v>
      </c>
      <c r="I934" s="1519"/>
      <c r="J934" s="31"/>
      <c r="K934" s="31"/>
      <c r="L934" s="31"/>
      <c r="M934" s="125"/>
      <c r="N934" s="125"/>
      <c r="O934" s="125"/>
      <c r="P934" s="125"/>
    </row>
    <row r="935" spans="1:16" ht="18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125"/>
      <c r="N935" s="125"/>
      <c r="O935" s="125"/>
      <c r="P935" s="125"/>
    </row>
    <row r="936" spans="1:16" ht="18">
      <c r="A936" s="30" t="s">
        <v>363</v>
      </c>
      <c r="B936" s="31"/>
      <c r="C936" s="1500" t="s">
        <v>293</v>
      </c>
      <c r="D936" s="1500"/>
      <c r="E936" s="1500"/>
      <c r="F936" s="31"/>
      <c r="G936" s="31" t="s">
        <v>364</v>
      </c>
      <c r="H936" s="31"/>
      <c r="I936" s="1500"/>
      <c r="J936" s="1500"/>
      <c r="K936" s="1500"/>
      <c r="L936" s="31"/>
      <c r="M936" s="125"/>
      <c r="N936" s="125"/>
      <c r="O936" s="125"/>
      <c r="P936" s="125"/>
    </row>
    <row r="937" spans="1:16" ht="18.75" thickBot="1">
      <c r="A937" s="30" t="s">
        <v>365</v>
      </c>
      <c r="B937" s="31"/>
      <c r="C937" s="31">
        <v>19</v>
      </c>
      <c r="D937" s="31"/>
      <c r="E937" s="31"/>
      <c r="F937" s="31"/>
      <c r="G937" s="31" t="s">
        <v>366</v>
      </c>
      <c r="H937" s="31"/>
      <c r="I937" s="31">
        <v>24</v>
      </c>
      <c r="J937" s="31"/>
      <c r="K937" s="31"/>
      <c r="L937" s="31"/>
      <c r="M937" s="125"/>
      <c r="N937" s="125"/>
      <c r="O937" s="125"/>
      <c r="P937" s="125"/>
    </row>
    <row r="938" spans="1:16" ht="17.25" thickTop="1" thickBot="1">
      <c r="A938" s="1510" t="s">
        <v>367</v>
      </c>
      <c r="B938" s="1511"/>
      <c r="C938" s="1512" t="s">
        <v>360</v>
      </c>
      <c r="D938" s="1513"/>
      <c r="E938" s="1512" t="s">
        <v>368</v>
      </c>
      <c r="F938" s="1513"/>
      <c r="G938" s="1512" t="s">
        <v>369</v>
      </c>
      <c r="H938" s="1513"/>
      <c r="I938" s="1512" t="s">
        <v>370</v>
      </c>
      <c r="J938" s="1513"/>
      <c r="K938" s="1512" t="s">
        <v>371</v>
      </c>
      <c r="L938" s="1514"/>
      <c r="M938" s="125"/>
      <c r="N938" s="125"/>
      <c r="O938" s="125"/>
      <c r="P938" s="125"/>
    </row>
    <row r="939" spans="1:16" ht="17.25" thickTop="1" thickBot="1">
      <c r="A939" s="1528" t="s">
        <v>372</v>
      </c>
      <c r="B939" s="1529"/>
      <c r="C939" s="1504" t="s">
        <v>407</v>
      </c>
      <c r="D939" s="1505"/>
      <c r="E939" s="1504" t="s">
        <v>408</v>
      </c>
      <c r="F939" s="1505"/>
      <c r="G939" s="1504" t="s">
        <v>385</v>
      </c>
      <c r="H939" s="1505"/>
      <c r="I939" s="1504" t="s">
        <v>262</v>
      </c>
      <c r="J939" s="1505"/>
      <c r="K939" s="1504" t="s">
        <v>270</v>
      </c>
      <c r="L939" s="1505"/>
      <c r="M939" s="125"/>
      <c r="N939" s="125"/>
      <c r="O939" s="125"/>
      <c r="P939" s="125"/>
    </row>
    <row r="940" spans="1:16" ht="17.25" thickTop="1" thickBot="1">
      <c r="A940" s="1528" t="s">
        <v>373</v>
      </c>
      <c r="B940" s="1529"/>
      <c r="C940" s="1504" t="s">
        <v>409</v>
      </c>
      <c r="D940" s="1505"/>
      <c r="E940" s="1504" t="s">
        <v>262</v>
      </c>
      <c r="F940" s="1505"/>
      <c r="G940" s="1504" t="s">
        <v>262</v>
      </c>
      <c r="H940" s="1505"/>
      <c r="I940" s="1504" t="s">
        <v>262</v>
      </c>
      <c r="J940" s="1505"/>
      <c r="K940" s="1504" t="s">
        <v>386</v>
      </c>
      <c r="L940" s="1505"/>
      <c r="M940" s="125"/>
      <c r="N940" s="125"/>
      <c r="O940" s="125"/>
      <c r="P940" s="125"/>
    </row>
    <row r="941" spans="1:16" ht="17.25" thickTop="1" thickBot="1">
      <c r="A941" s="1528" t="s">
        <v>374</v>
      </c>
      <c r="B941" s="1529"/>
      <c r="C941" s="1504" t="s">
        <v>407</v>
      </c>
      <c r="D941" s="1505"/>
      <c r="E941" s="1504" t="s">
        <v>385</v>
      </c>
      <c r="F941" s="1505"/>
      <c r="G941" s="1504" t="s">
        <v>383</v>
      </c>
      <c r="H941" s="1505"/>
      <c r="I941" s="1504" t="s">
        <v>386</v>
      </c>
      <c r="J941" s="1505"/>
      <c r="K941" s="1504" t="s">
        <v>408</v>
      </c>
      <c r="L941" s="1505"/>
      <c r="M941" s="125"/>
      <c r="N941" s="125"/>
      <c r="O941" s="125"/>
      <c r="P941" s="125"/>
    </row>
    <row r="942" spans="1:16" ht="17.25" thickTop="1" thickBot="1">
      <c r="A942" s="1526" t="s">
        <v>375</v>
      </c>
      <c r="B942" s="1527"/>
      <c r="C942" s="1504" t="s">
        <v>409</v>
      </c>
      <c r="D942" s="1505"/>
      <c r="E942" s="1504"/>
      <c r="F942" s="1505"/>
      <c r="G942" s="1504"/>
      <c r="H942" s="1505"/>
      <c r="I942" s="1504" t="s">
        <v>290</v>
      </c>
      <c r="J942" s="1505"/>
      <c r="K942" s="1504" t="s">
        <v>408</v>
      </c>
      <c r="L942" s="1505"/>
      <c r="M942" s="125"/>
      <c r="N942" s="125"/>
      <c r="O942" s="125"/>
      <c r="P942" s="125"/>
    </row>
    <row r="943" spans="1:16" ht="17.25" thickTop="1" thickBot="1">
      <c r="A943" s="32"/>
      <c r="B943" s="32"/>
      <c r="C943" s="32"/>
      <c r="D943" s="32"/>
      <c r="E943" s="32"/>
      <c r="F943" s="32"/>
      <c r="G943" s="32"/>
      <c r="H943" s="32"/>
      <c r="I943" s="45"/>
      <c r="J943" s="45"/>
      <c r="K943" s="32"/>
      <c r="L943" s="32"/>
      <c r="M943" s="125"/>
      <c r="N943" s="125"/>
      <c r="O943" s="125"/>
      <c r="P943" s="125"/>
    </row>
    <row r="944" spans="1:16" ht="17.25" thickTop="1" thickBot="1">
      <c r="A944" s="1508" t="s">
        <v>376</v>
      </c>
      <c r="B944" s="1509"/>
      <c r="C944" s="1504" t="s">
        <v>384</v>
      </c>
      <c r="D944" s="1505"/>
      <c r="E944" s="1504" t="s">
        <v>290</v>
      </c>
      <c r="F944" s="1505"/>
      <c r="G944" s="1504" t="s">
        <v>270</v>
      </c>
      <c r="H944" s="1505"/>
      <c r="I944" s="1504" t="s">
        <v>385</v>
      </c>
      <c r="J944" s="1505"/>
      <c r="K944" s="1504" t="s">
        <v>383</v>
      </c>
      <c r="L944" s="1505"/>
      <c r="M944" s="125"/>
      <c r="N944" s="125"/>
      <c r="O944" s="125"/>
      <c r="P944" s="125"/>
    </row>
    <row r="945" spans="1:16" ht="17.25" thickTop="1" thickBot="1">
      <c r="A945" s="1506" t="s">
        <v>377</v>
      </c>
      <c r="B945" s="1507"/>
      <c r="C945" s="1504" t="s">
        <v>290</v>
      </c>
      <c r="D945" s="1505"/>
      <c r="E945" s="1504" t="s">
        <v>387</v>
      </c>
      <c r="F945" s="1505"/>
      <c r="G945" s="1504" t="s">
        <v>386</v>
      </c>
      <c r="H945" s="1505"/>
      <c r="I945" s="1504" t="s">
        <v>384</v>
      </c>
      <c r="J945" s="1505"/>
      <c r="K945" s="1504" t="s">
        <v>384</v>
      </c>
      <c r="L945" s="1505"/>
      <c r="M945" s="125"/>
      <c r="N945" s="125"/>
      <c r="O945" s="125"/>
      <c r="P945" s="125"/>
    </row>
    <row r="946" spans="1:16" ht="17.25" thickTop="1" thickBot="1">
      <c r="A946" s="1506" t="s">
        <v>378</v>
      </c>
      <c r="B946" s="1507"/>
      <c r="C946" s="1504" t="s">
        <v>262</v>
      </c>
      <c r="D946" s="1505"/>
      <c r="E946" s="1504" t="s">
        <v>387</v>
      </c>
      <c r="F946" s="1505"/>
      <c r="G946" s="1504"/>
      <c r="H946" s="1505"/>
      <c r="I946" s="1504"/>
      <c r="J946" s="1505"/>
      <c r="K946" s="1504"/>
      <c r="L946" s="1505"/>
      <c r="M946" s="125"/>
      <c r="N946" s="125"/>
      <c r="O946" s="125"/>
      <c r="P946" s="125"/>
    </row>
    <row r="947" spans="1:16" ht="17.25" thickTop="1" thickBot="1">
      <c r="A947" s="1502" t="s">
        <v>379</v>
      </c>
      <c r="B947" s="1503"/>
      <c r="C947" s="1504">
        <v>0</v>
      </c>
      <c r="D947" s="1505"/>
      <c r="E947" s="1504">
        <v>0</v>
      </c>
      <c r="F947" s="1505"/>
      <c r="G947" s="1504">
        <v>0</v>
      </c>
      <c r="H947" s="1505"/>
      <c r="I947" s="1504">
        <v>0</v>
      </c>
      <c r="J947" s="1505"/>
      <c r="K947" s="1504" t="s">
        <v>380</v>
      </c>
      <c r="L947" s="1505"/>
      <c r="M947" s="125"/>
      <c r="N947" s="125"/>
      <c r="O947" s="125"/>
      <c r="P947" s="125"/>
    </row>
    <row r="948" spans="1:16" ht="17.25" thickTop="1" thickBot="1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125"/>
      <c r="N948" s="125"/>
      <c r="O948" s="125"/>
      <c r="P948" s="125"/>
    </row>
    <row r="949" spans="1:16" ht="16.5" thickTop="1">
      <c r="A949" s="35" t="s">
        <v>381</v>
      </c>
      <c r="B949" s="36" t="s">
        <v>262</v>
      </c>
      <c r="C949" s="36" t="s">
        <v>270</v>
      </c>
      <c r="D949" s="36" t="s">
        <v>408</v>
      </c>
      <c r="E949" s="36" t="s">
        <v>383</v>
      </c>
      <c r="F949" s="36" t="s">
        <v>384</v>
      </c>
      <c r="G949" s="36" t="s">
        <v>385</v>
      </c>
      <c r="H949" s="36" t="s">
        <v>290</v>
      </c>
      <c r="I949" s="36" t="s">
        <v>386</v>
      </c>
      <c r="J949" s="36" t="s">
        <v>387</v>
      </c>
      <c r="K949" s="36" t="s">
        <v>380</v>
      </c>
      <c r="L949" s="36" t="s">
        <v>380</v>
      </c>
      <c r="M949" s="125"/>
      <c r="N949" s="125"/>
      <c r="O949" s="125"/>
      <c r="P949" s="125"/>
    </row>
    <row r="950" spans="1:16" ht="15.75">
      <c r="A950" s="37" t="s">
        <v>388</v>
      </c>
      <c r="B950" s="38" t="s">
        <v>392</v>
      </c>
      <c r="C950" s="38" t="s">
        <v>410</v>
      </c>
      <c r="D950" s="38" t="s">
        <v>390</v>
      </c>
      <c r="E950" s="38" t="s">
        <v>359</v>
      </c>
      <c r="F950" s="38" t="s">
        <v>393</v>
      </c>
      <c r="G950" s="38" t="s">
        <v>393</v>
      </c>
      <c r="H950" s="38" t="s">
        <v>393</v>
      </c>
      <c r="I950" s="38" t="s">
        <v>393</v>
      </c>
      <c r="J950" s="38" t="s">
        <v>359</v>
      </c>
      <c r="K950" s="38" t="s">
        <v>380</v>
      </c>
      <c r="L950" s="38" t="s">
        <v>380</v>
      </c>
      <c r="M950" s="125"/>
      <c r="N950" s="125"/>
      <c r="O950" s="125"/>
      <c r="P950" s="125"/>
    </row>
    <row r="951" spans="1:16" ht="15.75">
      <c r="A951" s="37" t="s">
        <v>394</v>
      </c>
      <c r="B951" s="39" t="s">
        <v>274</v>
      </c>
      <c r="C951" s="39" t="s">
        <v>275</v>
      </c>
      <c r="D951" s="39" t="s">
        <v>277</v>
      </c>
      <c r="E951" s="39" t="s">
        <v>281</v>
      </c>
      <c r="F951" s="39" t="s">
        <v>287</v>
      </c>
      <c r="G951" s="39" t="s">
        <v>426</v>
      </c>
      <c r="H951" s="39" t="s">
        <v>293</v>
      </c>
      <c r="I951" s="39" t="s">
        <v>297</v>
      </c>
      <c r="J951" s="39" t="s">
        <v>314</v>
      </c>
      <c r="K951" s="40" t="s">
        <v>380</v>
      </c>
      <c r="L951" s="40" t="s">
        <v>380</v>
      </c>
      <c r="M951" s="125"/>
      <c r="N951" s="125"/>
      <c r="O951" s="125"/>
      <c r="P951" s="125"/>
    </row>
    <row r="952" spans="1:16" ht="15.75">
      <c r="A952" s="37" t="s">
        <v>397</v>
      </c>
      <c r="B952" s="41" t="s">
        <v>345</v>
      </c>
      <c r="C952" s="41" t="s">
        <v>345</v>
      </c>
      <c r="D952" s="41" t="s">
        <v>349</v>
      </c>
      <c r="E952" s="41" t="s">
        <v>346</v>
      </c>
      <c r="F952" s="41" t="s">
        <v>345</v>
      </c>
      <c r="G952" s="41" t="s">
        <v>346</v>
      </c>
      <c r="H952" s="41" t="s">
        <v>348</v>
      </c>
      <c r="I952" s="41" t="s">
        <v>348</v>
      </c>
      <c r="J952" s="41" t="s">
        <v>348</v>
      </c>
      <c r="K952" s="41" t="s">
        <v>380</v>
      </c>
      <c r="L952" s="41" t="s">
        <v>380</v>
      </c>
      <c r="M952" s="125"/>
      <c r="N952" s="125"/>
      <c r="O952" s="125"/>
      <c r="P952" s="125"/>
    </row>
    <row r="953" spans="1:16" ht="16.5" thickBot="1">
      <c r="A953" s="42" t="s">
        <v>343</v>
      </c>
      <c r="B953" s="43">
        <v>0.67708333333333337</v>
      </c>
      <c r="C953" s="43">
        <v>0.63472222222222219</v>
      </c>
      <c r="D953" s="43">
        <v>42623.42291666667</v>
      </c>
      <c r="E953" s="43">
        <v>42623.42291666667</v>
      </c>
      <c r="F953" s="43">
        <v>0.67708333333333337</v>
      </c>
      <c r="G953" s="43">
        <v>0.67708333333333337</v>
      </c>
      <c r="H953" s="43">
        <v>0.67708333333333337</v>
      </c>
      <c r="I953" s="43">
        <v>42623.42291666667</v>
      </c>
      <c r="J953" s="43">
        <v>42623.42291666667</v>
      </c>
      <c r="K953" s="41" t="s">
        <v>380</v>
      </c>
      <c r="L953" s="41" t="s">
        <v>380</v>
      </c>
      <c r="M953" s="125"/>
      <c r="N953" s="125"/>
      <c r="O953" s="125"/>
      <c r="P953" s="125"/>
    </row>
    <row r="954" spans="1:16" ht="17.25" thickTop="1" thickBot="1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125"/>
      <c r="N954" s="125"/>
      <c r="O954" s="125"/>
      <c r="P954" s="125"/>
    </row>
    <row r="955" spans="1:16" ht="19.5" thickTop="1" thickBot="1">
      <c r="A955" s="35" t="s">
        <v>399</v>
      </c>
      <c r="B955" s="1494" t="s">
        <v>380</v>
      </c>
      <c r="C955" s="1495"/>
      <c r="D955" s="1494" t="s">
        <v>380</v>
      </c>
      <c r="E955" s="1496"/>
      <c r="F955" s="32"/>
      <c r="G955" s="32"/>
      <c r="H955" s="32"/>
      <c r="I955" s="32"/>
      <c r="J955" s="32"/>
      <c r="K955" s="31"/>
      <c r="L955" s="31"/>
      <c r="M955" s="125"/>
      <c r="N955" s="125"/>
      <c r="O955" s="125"/>
      <c r="P955" s="125"/>
    </row>
    <row r="956" spans="1:16" ht="18.75" thickBot="1">
      <c r="A956" s="37" t="s">
        <v>400</v>
      </c>
      <c r="B956" s="1497" t="s">
        <v>380</v>
      </c>
      <c r="C956" s="1498"/>
      <c r="D956" s="1497" t="s">
        <v>380</v>
      </c>
      <c r="E956" s="1499"/>
      <c r="F956" s="31" t="s">
        <v>401</v>
      </c>
      <c r="G956" s="1500" t="s">
        <v>402</v>
      </c>
      <c r="H956" s="1500"/>
      <c r="I956" s="31" t="s">
        <v>403</v>
      </c>
      <c r="J956" s="1501">
        <f ca="1">TODAY()</f>
        <v>45944</v>
      </c>
      <c r="K956" s="1501"/>
      <c r="L956" s="1501"/>
      <c r="M956" s="125"/>
      <c r="N956" s="125"/>
      <c r="O956" s="125"/>
      <c r="P956" s="125"/>
    </row>
    <row r="957" spans="1:16" ht="18.75" thickBot="1">
      <c r="A957" s="42" t="s">
        <v>404</v>
      </c>
      <c r="B957" s="1491" t="s">
        <v>380</v>
      </c>
      <c r="C957" s="1492"/>
      <c r="D957" s="1491" t="s">
        <v>380</v>
      </c>
      <c r="E957" s="1493"/>
      <c r="F957" s="32"/>
      <c r="G957" s="31"/>
      <c r="H957" s="31" t="s">
        <v>405</v>
      </c>
      <c r="I957" s="31"/>
      <c r="J957" s="32"/>
      <c r="K957" s="31"/>
      <c r="L957" s="31"/>
      <c r="M957" s="125"/>
      <c r="N957" s="125"/>
      <c r="O957" s="125"/>
      <c r="P957" s="125"/>
    </row>
    <row r="958" spans="1:16" ht="18.75" thickTop="1">
      <c r="A958" s="32"/>
      <c r="B958" s="32"/>
      <c r="C958" s="32"/>
      <c r="D958" s="32"/>
      <c r="E958" s="32"/>
      <c r="F958" s="31"/>
      <c r="G958" s="31"/>
      <c r="H958" s="44" t="s">
        <v>406</v>
      </c>
      <c r="I958" s="31"/>
      <c r="J958" s="31"/>
      <c r="K958" s="32"/>
      <c r="L958" s="32"/>
      <c r="M958" s="125"/>
      <c r="N958" s="125"/>
      <c r="O958" s="125"/>
      <c r="P958" s="125"/>
    </row>
    <row r="959" spans="1:16" ht="18">
      <c r="A959" s="32"/>
      <c r="B959" s="32"/>
      <c r="C959" s="32"/>
      <c r="D959" s="32"/>
      <c r="E959" s="32"/>
      <c r="F959" s="31"/>
      <c r="G959" s="31"/>
      <c r="H959" s="32"/>
      <c r="I959" s="31"/>
      <c r="J959" s="32"/>
      <c r="K959" s="32"/>
      <c r="L959" s="32"/>
      <c r="M959" s="125"/>
      <c r="N959" s="125"/>
      <c r="O959" s="125"/>
      <c r="P959" s="125"/>
    </row>
    <row r="960" spans="1:16" ht="18">
      <c r="A960" s="1500" t="s">
        <v>78</v>
      </c>
      <c r="B960" s="1500"/>
      <c r="C960" s="1500"/>
      <c r="D960" s="1500"/>
      <c r="E960" s="1500"/>
      <c r="F960" s="1500"/>
      <c r="G960" s="1500"/>
      <c r="H960" s="1500"/>
      <c r="I960" s="1500"/>
      <c r="J960" s="1500"/>
      <c r="K960" s="1500"/>
      <c r="L960" s="1500"/>
      <c r="M960" s="125"/>
      <c r="N960" s="125"/>
      <c r="O960" s="125"/>
      <c r="P960" s="125"/>
    </row>
    <row r="961" spans="1:16" ht="18">
      <c r="A961" s="1500" t="s">
        <v>79</v>
      </c>
      <c r="B961" s="1500"/>
      <c r="C961" s="1500"/>
      <c r="D961" s="1500"/>
      <c r="E961" s="1500"/>
      <c r="F961" s="1500"/>
      <c r="G961" s="1500"/>
      <c r="H961" s="1500"/>
      <c r="I961" s="1500"/>
      <c r="J961" s="1500"/>
      <c r="K961" s="1500"/>
      <c r="L961" s="1500"/>
      <c r="M961" s="125"/>
      <c r="N961" s="125"/>
      <c r="O961" s="125"/>
      <c r="P961" s="125"/>
    </row>
    <row r="962" spans="1:16" ht="18">
      <c r="A962" s="30" t="s">
        <v>220</v>
      </c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125"/>
      <c r="N962" s="125"/>
      <c r="O962" s="125"/>
      <c r="P962" s="125"/>
    </row>
    <row r="963" spans="1:16" ht="18">
      <c r="A963" s="30" t="s">
        <v>361</v>
      </c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125"/>
      <c r="N963" s="125"/>
      <c r="O963" s="125"/>
      <c r="P963" s="125"/>
    </row>
    <row r="964" spans="1:16" ht="18.75" thickBo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125"/>
      <c r="N964" s="125"/>
      <c r="O964" s="125"/>
      <c r="P964" s="125"/>
    </row>
    <row r="965" spans="1:16" ht="24" thickBot="1">
      <c r="A965" s="31"/>
      <c r="B965" s="31"/>
      <c r="C965" s="1515" t="s">
        <v>362</v>
      </c>
      <c r="D965" s="1516"/>
      <c r="E965" s="1516"/>
      <c r="F965" s="1516"/>
      <c r="G965" s="1517"/>
      <c r="H965" s="1518" t="s">
        <v>3</v>
      </c>
      <c r="I965" s="1519"/>
      <c r="J965" s="31"/>
      <c r="K965" s="31"/>
      <c r="L965" s="31"/>
      <c r="M965" s="125"/>
      <c r="N965" s="125"/>
      <c r="O965" s="125"/>
      <c r="P965" s="125"/>
    </row>
    <row r="966" spans="1:16" ht="18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125"/>
      <c r="N966" s="125"/>
      <c r="O966" s="125"/>
      <c r="P966" s="125"/>
    </row>
    <row r="967" spans="1:16" ht="18">
      <c r="A967" s="30" t="s">
        <v>363</v>
      </c>
      <c r="B967" s="31"/>
      <c r="C967" s="1500" t="s">
        <v>276</v>
      </c>
      <c r="D967" s="1500"/>
      <c r="E967" s="1500"/>
      <c r="F967" s="31"/>
      <c r="G967" s="31" t="s">
        <v>364</v>
      </c>
      <c r="H967" s="31"/>
      <c r="I967" s="1500"/>
      <c r="J967" s="1500"/>
      <c r="K967" s="1500"/>
      <c r="L967" s="31"/>
      <c r="M967" s="125"/>
      <c r="N967" s="125"/>
      <c r="O967" s="125"/>
      <c r="P967" s="125"/>
    </row>
    <row r="968" spans="1:16" ht="18.75" thickBot="1">
      <c r="A968" s="30" t="s">
        <v>365</v>
      </c>
      <c r="B968" s="31"/>
      <c r="C968" s="31">
        <v>20</v>
      </c>
      <c r="D968" s="31"/>
      <c r="E968" s="31"/>
      <c r="F968" s="31"/>
      <c r="G968" s="31" t="s">
        <v>366</v>
      </c>
      <c r="H968" s="31"/>
      <c r="I968" s="31">
        <v>24</v>
      </c>
      <c r="J968" s="31"/>
      <c r="K968" s="31"/>
      <c r="L968" s="31"/>
      <c r="M968" s="125"/>
      <c r="N968" s="125"/>
      <c r="O968" s="125"/>
      <c r="P968" s="125"/>
    </row>
    <row r="969" spans="1:16" ht="17.25" thickTop="1" thickBot="1">
      <c r="A969" s="1510" t="s">
        <v>367</v>
      </c>
      <c r="B969" s="1511"/>
      <c r="C969" s="1512" t="s">
        <v>360</v>
      </c>
      <c r="D969" s="1513"/>
      <c r="E969" s="1512" t="s">
        <v>368</v>
      </c>
      <c r="F969" s="1513"/>
      <c r="G969" s="1512" t="s">
        <v>369</v>
      </c>
      <c r="H969" s="1513"/>
      <c r="I969" s="1512" t="s">
        <v>370</v>
      </c>
      <c r="J969" s="1513"/>
      <c r="K969" s="1512" t="s">
        <v>371</v>
      </c>
      <c r="L969" s="1514"/>
      <c r="M969" s="125"/>
      <c r="N969" s="125"/>
      <c r="O969" s="125"/>
      <c r="P969" s="125"/>
    </row>
    <row r="970" spans="1:16" ht="17.25" thickTop="1" thickBot="1">
      <c r="A970" s="1528" t="s">
        <v>372</v>
      </c>
      <c r="B970" s="1529"/>
      <c r="C970" s="1504" t="s">
        <v>262</v>
      </c>
      <c r="D970" s="1505"/>
      <c r="E970" s="1504" t="s">
        <v>270</v>
      </c>
      <c r="F970" s="1505"/>
      <c r="G970" s="1504" t="s">
        <v>407</v>
      </c>
      <c r="H970" s="1505"/>
      <c r="I970" s="1504" t="s">
        <v>386</v>
      </c>
      <c r="J970" s="1505"/>
      <c r="K970" s="1504" t="s">
        <v>386</v>
      </c>
      <c r="L970" s="1505"/>
      <c r="M970" s="125"/>
      <c r="N970" s="125"/>
      <c r="O970" s="125"/>
      <c r="P970" s="125"/>
    </row>
    <row r="971" spans="1:16" ht="17.25" thickTop="1" thickBot="1">
      <c r="A971" s="1528" t="s">
        <v>373</v>
      </c>
      <c r="B971" s="1529"/>
      <c r="C971" s="1504" t="s">
        <v>262</v>
      </c>
      <c r="D971" s="1505"/>
      <c r="E971" s="1504" t="s">
        <v>408</v>
      </c>
      <c r="F971" s="1505"/>
      <c r="G971" s="1504" t="s">
        <v>409</v>
      </c>
      <c r="H971" s="1505"/>
      <c r="I971" s="1504" t="s">
        <v>262</v>
      </c>
      <c r="J971" s="1505"/>
      <c r="K971" s="1504" t="s">
        <v>408</v>
      </c>
      <c r="L971" s="1505"/>
      <c r="M971" s="125"/>
      <c r="N971" s="125"/>
      <c r="O971" s="125"/>
      <c r="P971" s="125"/>
    </row>
    <row r="972" spans="1:16" ht="17.25" thickTop="1" thickBot="1">
      <c r="A972" s="1528" t="s">
        <v>374</v>
      </c>
      <c r="B972" s="1529"/>
      <c r="C972" s="1504" t="s">
        <v>383</v>
      </c>
      <c r="D972" s="1505"/>
      <c r="E972" s="1504" t="s">
        <v>387</v>
      </c>
      <c r="F972" s="1505"/>
      <c r="G972" s="1504" t="s">
        <v>407</v>
      </c>
      <c r="H972" s="1505"/>
      <c r="I972" s="1504" t="s">
        <v>262</v>
      </c>
      <c r="J972" s="1505"/>
      <c r="K972" s="1504" t="s">
        <v>408</v>
      </c>
      <c r="L972" s="1505"/>
      <c r="M972" s="125"/>
      <c r="N972" s="125"/>
      <c r="O972" s="125"/>
      <c r="P972" s="125"/>
    </row>
    <row r="973" spans="1:16" ht="17.25" thickTop="1" thickBot="1">
      <c r="A973" s="1526" t="s">
        <v>375</v>
      </c>
      <c r="B973" s="1527"/>
      <c r="C973" s="1504" t="s">
        <v>270</v>
      </c>
      <c r="D973" s="1505"/>
      <c r="E973" s="1504" t="s">
        <v>387</v>
      </c>
      <c r="F973" s="1505"/>
      <c r="G973" s="1504" t="s">
        <v>409</v>
      </c>
      <c r="H973" s="1505"/>
      <c r="I973" s="1504"/>
      <c r="J973" s="1505"/>
      <c r="K973" s="1504" t="s">
        <v>384</v>
      </c>
      <c r="L973" s="1505"/>
      <c r="M973" s="125"/>
      <c r="N973" s="125"/>
      <c r="O973" s="125"/>
      <c r="P973" s="125"/>
    </row>
    <row r="974" spans="1:16" ht="17.25" thickTop="1" thickBot="1">
      <c r="A974" s="32"/>
      <c r="B974" s="32"/>
      <c r="C974" s="32"/>
      <c r="D974" s="32"/>
      <c r="E974" s="32"/>
      <c r="F974" s="32"/>
      <c r="G974" s="32"/>
      <c r="H974" s="32"/>
      <c r="I974" s="45"/>
      <c r="J974" s="45"/>
      <c r="K974" s="32"/>
      <c r="L974" s="32"/>
      <c r="M974" s="125"/>
      <c r="N974" s="125"/>
      <c r="O974" s="125"/>
      <c r="P974" s="125"/>
    </row>
    <row r="975" spans="1:16" ht="17.25" thickTop="1" thickBot="1">
      <c r="A975" s="1508" t="s">
        <v>376</v>
      </c>
      <c r="B975" s="1509"/>
      <c r="C975" s="1504" t="s">
        <v>386</v>
      </c>
      <c r="D975" s="1505"/>
      <c r="E975" s="1504" t="s">
        <v>385</v>
      </c>
      <c r="F975" s="1505"/>
      <c r="G975" s="1504" t="s">
        <v>385</v>
      </c>
      <c r="H975" s="1505"/>
      <c r="I975" s="1504" t="s">
        <v>290</v>
      </c>
      <c r="J975" s="1505"/>
      <c r="K975" s="1504" t="s">
        <v>385</v>
      </c>
      <c r="L975" s="1505"/>
      <c r="M975" s="125"/>
      <c r="N975" s="125"/>
      <c r="O975" s="125"/>
      <c r="P975" s="125"/>
    </row>
    <row r="976" spans="1:16" ht="17.25" thickTop="1" thickBot="1">
      <c r="A976" s="1506" t="s">
        <v>377</v>
      </c>
      <c r="B976" s="1507"/>
      <c r="C976" s="1504" t="s">
        <v>384</v>
      </c>
      <c r="D976" s="1505"/>
      <c r="E976" s="1504" t="s">
        <v>290</v>
      </c>
      <c r="F976" s="1505"/>
      <c r="G976" s="1504" t="s">
        <v>262</v>
      </c>
      <c r="H976" s="1505"/>
      <c r="I976" s="1504" t="s">
        <v>384</v>
      </c>
      <c r="J976" s="1505"/>
      <c r="K976" s="1504" t="s">
        <v>383</v>
      </c>
      <c r="L976" s="1505"/>
      <c r="M976" s="125"/>
      <c r="N976" s="125"/>
      <c r="O976" s="125"/>
      <c r="P976" s="125"/>
    </row>
    <row r="977" spans="1:16" ht="17.25" thickTop="1" thickBot="1">
      <c r="A977" s="1506" t="s">
        <v>378</v>
      </c>
      <c r="B977" s="1507"/>
      <c r="C977" s="1504" t="s">
        <v>290</v>
      </c>
      <c r="D977" s="1505"/>
      <c r="E977" s="1504"/>
      <c r="F977" s="1505"/>
      <c r="G977" s="1504"/>
      <c r="H977" s="1505"/>
      <c r="I977" s="1504"/>
      <c r="J977" s="1505"/>
      <c r="K977" s="1504"/>
      <c r="L977" s="1505"/>
      <c r="M977" s="125"/>
      <c r="N977" s="125"/>
      <c r="O977" s="125"/>
      <c r="P977" s="125"/>
    </row>
    <row r="978" spans="1:16" ht="17.25" thickTop="1" thickBot="1">
      <c r="A978" s="1502" t="s">
        <v>379</v>
      </c>
      <c r="B978" s="1503"/>
      <c r="C978" s="1504">
        <v>0</v>
      </c>
      <c r="D978" s="1505"/>
      <c r="E978" s="1504">
        <v>0</v>
      </c>
      <c r="F978" s="1505"/>
      <c r="G978" s="1504">
        <v>0</v>
      </c>
      <c r="H978" s="1505"/>
      <c r="I978" s="1504">
        <v>0</v>
      </c>
      <c r="J978" s="1505"/>
      <c r="K978" s="1504" t="s">
        <v>380</v>
      </c>
      <c r="L978" s="1505"/>
      <c r="M978" s="125"/>
      <c r="N978" s="125"/>
      <c r="O978" s="125"/>
      <c r="P978" s="125"/>
    </row>
    <row r="979" spans="1:16" ht="17.25" thickTop="1" thickBot="1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125"/>
      <c r="N979" s="125"/>
      <c r="O979" s="125"/>
      <c r="P979" s="125"/>
    </row>
    <row r="980" spans="1:16" ht="16.5" thickTop="1">
      <c r="A980" s="35" t="s">
        <v>381</v>
      </c>
      <c r="B980" s="36" t="s">
        <v>262</v>
      </c>
      <c r="C980" s="36" t="s">
        <v>270</v>
      </c>
      <c r="D980" s="36" t="s">
        <v>408</v>
      </c>
      <c r="E980" s="36" t="s">
        <v>383</v>
      </c>
      <c r="F980" s="36" t="s">
        <v>384</v>
      </c>
      <c r="G980" s="36" t="s">
        <v>385</v>
      </c>
      <c r="H980" s="36" t="s">
        <v>290</v>
      </c>
      <c r="I980" s="36" t="s">
        <v>386</v>
      </c>
      <c r="J980" s="36" t="s">
        <v>387</v>
      </c>
      <c r="K980" s="36" t="s">
        <v>380</v>
      </c>
      <c r="L980" s="36" t="s">
        <v>380</v>
      </c>
      <c r="M980" s="125"/>
      <c r="N980" s="125"/>
      <c r="O980" s="125"/>
      <c r="P980" s="125"/>
    </row>
    <row r="981" spans="1:16" ht="15.75">
      <c r="A981" s="37" t="s">
        <v>388</v>
      </c>
      <c r="B981" s="38" t="s">
        <v>392</v>
      </c>
      <c r="C981" s="38" t="s">
        <v>410</v>
      </c>
      <c r="D981" s="38" t="s">
        <v>390</v>
      </c>
      <c r="E981" s="38" t="s">
        <v>359</v>
      </c>
      <c r="F981" s="38" t="s">
        <v>393</v>
      </c>
      <c r="G981" s="38" t="s">
        <v>393</v>
      </c>
      <c r="H981" s="38" t="s">
        <v>393</v>
      </c>
      <c r="I981" s="38" t="s">
        <v>393</v>
      </c>
      <c r="J981" s="38" t="s">
        <v>359</v>
      </c>
      <c r="K981" s="38" t="s">
        <v>380</v>
      </c>
      <c r="L981" s="38" t="s">
        <v>380</v>
      </c>
      <c r="M981" s="125"/>
      <c r="N981" s="125"/>
      <c r="O981" s="125"/>
      <c r="P981" s="125"/>
    </row>
    <row r="982" spans="1:16" ht="15.75">
      <c r="A982" s="37" t="s">
        <v>394</v>
      </c>
      <c r="B982" s="39" t="s">
        <v>427</v>
      </c>
      <c r="C982" s="39" t="s">
        <v>273</v>
      </c>
      <c r="D982" s="39" t="s">
        <v>428</v>
      </c>
      <c r="E982" s="39" t="s">
        <v>281</v>
      </c>
      <c r="F982" s="39" t="s">
        <v>421</v>
      </c>
      <c r="G982" s="39" t="s">
        <v>426</v>
      </c>
      <c r="H982" s="39" t="s">
        <v>293</v>
      </c>
      <c r="I982" s="39" t="s">
        <v>297</v>
      </c>
      <c r="J982" s="39" t="s">
        <v>313</v>
      </c>
      <c r="K982" s="40" t="s">
        <v>380</v>
      </c>
      <c r="L982" s="40" t="s">
        <v>380</v>
      </c>
      <c r="M982" s="125"/>
      <c r="N982" s="125"/>
      <c r="O982" s="125"/>
      <c r="P982" s="125"/>
    </row>
    <row r="983" spans="1:16" ht="15.75">
      <c r="A983" s="37" t="s">
        <v>397</v>
      </c>
      <c r="B983" s="41" t="s">
        <v>344</v>
      </c>
      <c r="C983" s="41" t="s">
        <v>345</v>
      </c>
      <c r="D983" s="41" t="s">
        <v>344</v>
      </c>
      <c r="E983" s="41" t="s">
        <v>346</v>
      </c>
      <c r="F983" s="41" t="s">
        <v>349</v>
      </c>
      <c r="G983" s="41" t="s">
        <v>346</v>
      </c>
      <c r="H983" s="41" t="s">
        <v>348</v>
      </c>
      <c r="I983" s="41" t="s">
        <v>348</v>
      </c>
      <c r="J983" s="41" t="s">
        <v>348</v>
      </c>
      <c r="K983" s="41" t="s">
        <v>380</v>
      </c>
      <c r="L983" s="41" t="s">
        <v>380</v>
      </c>
      <c r="M983" s="125"/>
      <c r="N983" s="125"/>
      <c r="O983" s="125"/>
      <c r="P983" s="125"/>
    </row>
    <row r="984" spans="1:16" ht="16.5" thickBot="1">
      <c r="A984" s="42" t="s">
        <v>343</v>
      </c>
      <c r="B984" s="43">
        <v>42623.42291666667</v>
      </c>
      <c r="C984" s="43">
        <v>42684.465277777781</v>
      </c>
      <c r="D984" s="43">
        <v>42684.465277777781</v>
      </c>
      <c r="E984" s="43">
        <v>42623.42291666667</v>
      </c>
      <c r="F984" s="43">
        <v>42684.465277777781</v>
      </c>
      <c r="G984" s="43">
        <v>0.67708333333333337</v>
      </c>
      <c r="H984" s="43">
        <v>0.67708333333333337</v>
      </c>
      <c r="I984" s="43">
        <v>42623.42291666667</v>
      </c>
      <c r="J984" s="43">
        <v>42623.42291666667</v>
      </c>
      <c r="K984" s="41" t="s">
        <v>380</v>
      </c>
      <c r="L984" s="41" t="s">
        <v>380</v>
      </c>
      <c r="M984" s="125"/>
      <c r="N984" s="125"/>
      <c r="O984" s="125"/>
      <c r="P984" s="125"/>
    </row>
    <row r="985" spans="1:16" ht="17.25" thickTop="1" thickBot="1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125"/>
      <c r="N985" s="125"/>
      <c r="O985" s="125"/>
      <c r="P985" s="125"/>
    </row>
    <row r="986" spans="1:16" ht="19.5" thickTop="1" thickBot="1">
      <c r="A986" s="35" t="s">
        <v>399</v>
      </c>
      <c r="B986" s="1494" t="s">
        <v>380</v>
      </c>
      <c r="C986" s="1495"/>
      <c r="D986" s="1494" t="s">
        <v>380</v>
      </c>
      <c r="E986" s="1496"/>
      <c r="F986" s="32"/>
      <c r="G986" s="32"/>
      <c r="H986" s="32"/>
      <c r="I986" s="32"/>
      <c r="J986" s="32"/>
      <c r="K986" s="31"/>
      <c r="L986" s="31"/>
      <c r="M986" s="125"/>
      <c r="N986" s="125"/>
      <c r="O986" s="125"/>
      <c r="P986" s="125"/>
    </row>
    <row r="987" spans="1:16" ht="18.75" thickBot="1">
      <c r="A987" s="37" t="s">
        <v>400</v>
      </c>
      <c r="B987" s="1497" t="s">
        <v>380</v>
      </c>
      <c r="C987" s="1498"/>
      <c r="D987" s="1497" t="s">
        <v>380</v>
      </c>
      <c r="E987" s="1499"/>
      <c r="F987" s="31" t="s">
        <v>401</v>
      </c>
      <c r="G987" s="1500" t="s">
        <v>402</v>
      </c>
      <c r="H987" s="1500"/>
      <c r="I987" s="31" t="s">
        <v>403</v>
      </c>
      <c r="J987" s="1501">
        <f ca="1">TODAY()</f>
        <v>45944</v>
      </c>
      <c r="K987" s="1501"/>
      <c r="L987" s="1501"/>
      <c r="M987" s="125"/>
      <c r="N987" s="125"/>
      <c r="O987" s="125"/>
      <c r="P987" s="125"/>
    </row>
    <row r="988" spans="1:16" ht="18.75" thickBot="1">
      <c r="A988" s="42" t="s">
        <v>404</v>
      </c>
      <c r="B988" s="1491" t="s">
        <v>380</v>
      </c>
      <c r="C988" s="1492"/>
      <c r="D988" s="1491" t="s">
        <v>380</v>
      </c>
      <c r="E988" s="1493"/>
      <c r="F988" s="32"/>
      <c r="G988" s="31"/>
      <c r="H988" s="31" t="s">
        <v>405</v>
      </c>
      <c r="I988" s="31"/>
      <c r="J988" s="32"/>
      <c r="K988" s="31"/>
      <c r="L988" s="31"/>
      <c r="M988" s="125"/>
      <c r="N988" s="125"/>
      <c r="O988" s="125"/>
      <c r="P988" s="125"/>
    </row>
    <row r="989" spans="1:16" ht="18.75" thickTop="1">
      <c r="A989" s="32"/>
      <c r="B989" s="32"/>
      <c r="C989" s="32"/>
      <c r="D989" s="32"/>
      <c r="E989" s="32"/>
      <c r="F989" s="31"/>
      <c r="G989" s="31"/>
      <c r="H989" s="44" t="s">
        <v>406</v>
      </c>
      <c r="I989" s="31"/>
      <c r="J989" s="31"/>
      <c r="K989" s="32"/>
      <c r="L989" s="32"/>
      <c r="M989" s="125"/>
      <c r="N989" s="125"/>
      <c r="O989" s="125"/>
      <c r="P989" s="125"/>
    </row>
    <row r="990" spans="1:16" ht="18">
      <c r="A990" s="32"/>
      <c r="B990" s="32"/>
      <c r="C990" s="32"/>
      <c r="D990" s="32"/>
      <c r="E990" s="32"/>
      <c r="F990" s="31"/>
      <c r="G990" s="31"/>
      <c r="H990" s="32"/>
      <c r="I990" s="31"/>
      <c r="J990" s="32"/>
      <c r="K990" s="32"/>
      <c r="L990" s="32"/>
      <c r="M990" s="125"/>
      <c r="N990" s="125"/>
      <c r="O990" s="125"/>
      <c r="P990" s="125"/>
    </row>
    <row r="991" spans="1:16" ht="18">
      <c r="A991" s="1500" t="s">
        <v>78</v>
      </c>
      <c r="B991" s="1500"/>
      <c r="C991" s="1500"/>
      <c r="D991" s="1500"/>
      <c r="E991" s="1500"/>
      <c r="F991" s="1500"/>
      <c r="G991" s="1500"/>
      <c r="H991" s="1500"/>
      <c r="I991" s="1500"/>
      <c r="J991" s="1500"/>
      <c r="K991" s="1500"/>
      <c r="L991" s="1500"/>
      <c r="M991" s="125"/>
      <c r="N991" s="125"/>
      <c r="O991" s="125"/>
      <c r="P991" s="125"/>
    </row>
    <row r="992" spans="1:16" ht="18">
      <c r="A992" s="1500" t="s">
        <v>79</v>
      </c>
      <c r="B992" s="1500"/>
      <c r="C992" s="1500"/>
      <c r="D992" s="1500"/>
      <c r="E992" s="1500"/>
      <c r="F992" s="1500"/>
      <c r="G992" s="1500"/>
      <c r="H992" s="1500"/>
      <c r="I992" s="1500"/>
      <c r="J992" s="1500"/>
      <c r="K992" s="1500"/>
      <c r="L992" s="1500"/>
      <c r="M992" s="125"/>
      <c r="N992" s="125"/>
      <c r="O992" s="125"/>
      <c r="P992" s="125"/>
    </row>
    <row r="993" spans="1:16" ht="18">
      <c r="A993" s="30" t="s">
        <v>220</v>
      </c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125"/>
      <c r="N993" s="125"/>
      <c r="O993" s="125"/>
      <c r="P993" s="125"/>
    </row>
    <row r="994" spans="1:16" ht="18">
      <c r="A994" s="30" t="s">
        <v>361</v>
      </c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125"/>
      <c r="N994" s="125"/>
      <c r="O994" s="125"/>
      <c r="P994" s="125"/>
    </row>
    <row r="995" spans="1:16" ht="18.75" thickBo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125"/>
      <c r="N995" s="125"/>
      <c r="O995" s="125"/>
      <c r="P995" s="125"/>
    </row>
    <row r="996" spans="1:16" ht="24" thickBot="1">
      <c r="A996" s="31"/>
      <c r="B996" s="31"/>
      <c r="C996" s="1515" t="s">
        <v>362</v>
      </c>
      <c r="D996" s="1516"/>
      <c r="E996" s="1516"/>
      <c r="F996" s="1516"/>
      <c r="G996" s="1517"/>
      <c r="H996" s="1518" t="s">
        <v>50</v>
      </c>
      <c r="I996" s="1519"/>
      <c r="J996" s="31"/>
      <c r="K996" s="31"/>
      <c r="L996" s="31"/>
      <c r="M996" s="125"/>
      <c r="N996" s="125"/>
      <c r="O996" s="125"/>
      <c r="P996" s="125"/>
    </row>
    <row r="997" spans="1:16" ht="18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125"/>
      <c r="N997" s="125"/>
      <c r="O997" s="125"/>
      <c r="P997" s="125"/>
    </row>
    <row r="998" spans="1:16" ht="18">
      <c r="A998" s="30" t="s">
        <v>363</v>
      </c>
      <c r="B998" s="31"/>
      <c r="C998" s="1500" t="s">
        <v>296</v>
      </c>
      <c r="D998" s="1500"/>
      <c r="E998" s="1500"/>
      <c r="F998" s="31"/>
      <c r="G998" s="31" t="s">
        <v>364</v>
      </c>
      <c r="H998" s="31"/>
      <c r="I998" s="1500"/>
      <c r="J998" s="1500"/>
      <c r="K998" s="1500"/>
      <c r="L998" s="31"/>
      <c r="M998" s="125"/>
      <c r="N998" s="125"/>
      <c r="O998" s="125"/>
      <c r="P998" s="125"/>
    </row>
    <row r="999" spans="1:16" ht="18.75" thickBot="1">
      <c r="A999" s="30" t="s">
        <v>365</v>
      </c>
      <c r="B999" s="31"/>
      <c r="C999" s="31">
        <v>17</v>
      </c>
      <c r="D999" s="31"/>
      <c r="E999" s="31"/>
      <c r="F999" s="31"/>
      <c r="G999" s="31" t="s">
        <v>366</v>
      </c>
      <c r="H999" s="31"/>
      <c r="I999" s="31">
        <v>35</v>
      </c>
      <c r="J999" s="31"/>
      <c r="K999" s="31"/>
      <c r="L999" s="31"/>
      <c r="M999" s="125"/>
      <c r="N999" s="125"/>
      <c r="O999" s="125"/>
      <c r="P999" s="125"/>
    </row>
    <row r="1000" spans="1:16" ht="17.25" thickTop="1" thickBot="1">
      <c r="A1000" s="1510" t="s">
        <v>367</v>
      </c>
      <c r="B1000" s="1511"/>
      <c r="C1000" s="1512" t="s">
        <v>360</v>
      </c>
      <c r="D1000" s="1513"/>
      <c r="E1000" s="1512" t="s">
        <v>368</v>
      </c>
      <c r="F1000" s="1513"/>
      <c r="G1000" s="1512" t="s">
        <v>369</v>
      </c>
      <c r="H1000" s="1513"/>
      <c r="I1000" s="1512" t="s">
        <v>370</v>
      </c>
      <c r="J1000" s="1513"/>
      <c r="K1000" s="1512" t="s">
        <v>371</v>
      </c>
      <c r="L1000" s="1514"/>
      <c r="M1000" s="125"/>
      <c r="N1000" s="125"/>
      <c r="O1000" s="125"/>
      <c r="P1000" s="125"/>
    </row>
    <row r="1001" spans="1:16" ht="17.25" thickTop="1" thickBot="1">
      <c r="A1001" s="1506" t="s">
        <v>372</v>
      </c>
      <c r="B1001" s="1507"/>
      <c r="C1001" s="1504" t="s">
        <v>262</v>
      </c>
      <c r="D1001" s="1505"/>
      <c r="E1001" s="1504" t="s">
        <v>414</v>
      </c>
      <c r="F1001" s="1505"/>
      <c r="G1001" s="1504" t="s">
        <v>383</v>
      </c>
      <c r="H1001" s="1505"/>
      <c r="I1001" s="1504" t="s">
        <v>290</v>
      </c>
      <c r="J1001" s="1505"/>
      <c r="K1001" s="1504" t="s">
        <v>386</v>
      </c>
      <c r="L1001" s="1505"/>
      <c r="M1001" s="125"/>
      <c r="N1001" s="125"/>
      <c r="O1001" s="125"/>
      <c r="P1001" s="125"/>
    </row>
    <row r="1002" spans="1:16" ht="17.25" thickTop="1" thickBot="1">
      <c r="A1002" s="1506" t="s">
        <v>373</v>
      </c>
      <c r="B1002" s="1507"/>
      <c r="C1002" s="1504" t="s">
        <v>386</v>
      </c>
      <c r="D1002" s="1505"/>
      <c r="E1002" s="1504" t="s">
        <v>385</v>
      </c>
      <c r="F1002" s="1505"/>
      <c r="G1002" s="1504" t="s">
        <v>415</v>
      </c>
      <c r="H1002" s="1505"/>
      <c r="I1002" s="1504" t="s">
        <v>262</v>
      </c>
      <c r="J1002" s="1505"/>
      <c r="K1002" s="1504" t="s">
        <v>384</v>
      </c>
      <c r="L1002" s="1505"/>
      <c r="M1002" s="125"/>
      <c r="N1002" s="125"/>
      <c r="O1002" s="125"/>
      <c r="P1002" s="125"/>
    </row>
    <row r="1003" spans="1:16" ht="17.25" thickTop="1" thickBot="1">
      <c r="A1003" s="1506" t="s">
        <v>374</v>
      </c>
      <c r="B1003" s="1507"/>
      <c r="C1003" s="1524" t="s">
        <v>290</v>
      </c>
      <c r="D1003" s="1525"/>
      <c r="E1003" s="1504" t="s">
        <v>290</v>
      </c>
      <c r="F1003" s="1505"/>
      <c r="G1003" s="1504" t="s">
        <v>415</v>
      </c>
      <c r="H1003" s="1505"/>
      <c r="I1003" s="1504" t="s">
        <v>414</v>
      </c>
      <c r="J1003" s="1505"/>
      <c r="K1003" s="1504" t="s">
        <v>385</v>
      </c>
      <c r="L1003" s="1505"/>
      <c r="M1003" s="125"/>
      <c r="N1003" s="125"/>
      <c r="O1003" s="125"/>
      <c r="P1003" s="125"/>
    </row>
    <row r="1004" spans="1:16" ht="17.25" thickTop="1" thickBot="1">
      <c r="A1004" s="1502" t="s">
        <v>375</v>
      </c>
      <c r="B1004" s="1520"/>
      <c r="C1004" s="1521"/>
      <c r="D1004" s="1522"/>
      <c r="E1004" s="1523"/>
      <c r="F1004" s="1505"/>
      <c r="G1004" s="1504" t="s">
        <v>385</v>
      </c>
      <c r="H1004" s="1505"/>
      <c r="I1004" s="1504" t="s">
        <v>414</v>
      </c>
      <c r="J1004" s="1505"/>
      <c r="K1004" s="1504" t="s">
        <v>385</v>
      </c>
      <c r="L1004" s="1505"/>
      <c r="M1004" s="125"/>
      <c r="N1004" s="125"/>
      <c r="O1004" s="125"/>
      <c r="P1004" s="125"/>
    </row>
    <row r="1005" spans="1:16" ht="17.25" thickTop="1" thickBot="1">
      <c r="A1005" s="32"/>
      <c r="B1005" s="32"/>
      <c r="C1005" s="32"/>
      <c r="D1005" s="32"/>
      <c r="E1005" s="32"/>
      <c r="F1005" s="32"/>
      <c r="G1005" s="32"/>
      <c r="H1005" s="32"/>
      <c r="I1005" s="45"/>
      <c r="J1005" s="45"/>
      <c r="K1005" s="32"/>
      <c r="L1005" s="32"/>
      <c r="M1005" s="125"/>
      <c r="N1005" s="125"/>
      <c r="O1005" s="125"/>
      <c r="P1005" s="125"/>
    </row>
    <row r="1006" spans="1:16" ht="17.25" thickTop="1" thickBot="1">
      <c r="A1006" s="1508" t="s">
        <v>376</v>
      </c>
      <c r="B1006" s="1509"/>
      <c r="C1006" s="1504" t="s">
        <v>384</v>
      </c>
      <c r="D1006" s="1505"/>
      <c r="E1006" s="1504" t="s">
        <v>386</v>
      </c>
      <c r="F1006" s="1505"/>
      <c r="G1006" s="1504" t="s">
        <v>429</v>
      </c>
      <c r="H1006" s="1505"/>
      <c r="I1006" s="1504" t="s">
        <v>384</v>
      </c>
      <c r="J1006" s="1505"/>
      <c r="K1006" s="1504" t="s">
        <v>415</v>
      </c>
      <c r="L1006" s="1505"/>
      <c r="M1006" s="125"/>
      <c r="N1006" s="125"/>
      <c r="O1006" s="125"/>
      <c r="P1006" s="125"/>
    </row>
    <row r="1007" spans="1:16" ht="17.25" thickTop="1" thickBot="1">
      <c r="A1007" s="1506" t="s">
        <v>377</v>
      </c>
      <c r="B1007" s="1507"/>
      <c r="C1007" s="1504" t="s">
        <v>414</v>
      </c>
      <c r="D1007" s="1505"/>
      <c r="E1007" s="1504" t="s">
        <v>430</v>
      </c>
      <c r="F1007" s="1505"/>
      <c r="G1007" s="1504" t="s">
        <v>262</v>
      </c>
      <c r="H1007" s="1505"/>
      <c r="I1007" s="1504" t="s">
        <v>387</v>
      </c>
      <c r="J1007" s="1505"/>
      <c r="K1007" s="1504" t="s">
        <v>416</v>
      </c>
      <c r="L1007" s="1505"/>
      <c r="M1007" s="125"/>
      <c r="N1007" s="125"/>
      <c r="O1007" s="125"/>
      <c r="P1007" s="125"/>
    </row>
    <row r="1008" spans="1:16" ht="17.25" thickTop="1" thickBot="1">
      <c r="A1008" s="1506" t="s">
        <v>378</v>
      </c>
      <c r="B1008" s="1507"/>
      <c r="C1008" s="1504" t="s">
        <v>383</v>
      </c>
      <c r="D1008" s="1505"/>
      <c r="E1008" s="1504"/>
      <c r="F1008" s="1505"/>
      <c r="G1008" s="1504"/>
      <c r="H1008" s="1505"/>
      <c r="I1008" s="1504" t="s">
        <v>387</v>
      </c>
      <c r="J1008" s="1505"/>
      <c r="K1008" s="1504"/>
      <c r="L1008" s="1505"/>
      <c r="M1008" s="125"/>
      <c r="N1008" s="125"/>
      <c r="O1008" s="125"/>
      <c r="P1008" s="125"/>
    </row>
    <row r="1009" spans="1:16" ht="17.25" thickTop="1" thickBot="1">
      <c r="A1009" s="1502" t="s">
        <v>379</v>
      </c>
      <c r="B1009" s="1503"/>
      <c r="C1009" s="1504">
        <v>0</v>
      </c>
      <c r="D1009" s="1505"/>
      <c r="E1009" s="1504">
        <v>0</v>
      </c>
      <c r="F1009" s="1505"/>
      <c r="G1009" s="1504">
        <v>0</v>
      </c>
      <c r="H1009" s="1505"/>
      <c r="I1009" s="1504">
        <v>0</v>
      </c>
      <c r="J1009" s="1505"/>
      <c r="K1009" s="1504" t="s">
        <v>380</v>
      </c>
      <c r="L1009" s="1505"/>
      <c r="M1009" s="125"/>
      <c r="N1009" s="125"/>
      <c r="O1009" s="125"/>
      <c r="P1009" s="125"/>
    </row>
    <row r="1010" spans="1:16" ht="17.25" thickTop="1" thickBot="1">
      <c r="A1010" s="32"/>
      <c r="B1010" s="32"/>
      <c r="C1010" s="32"/>
      <c r="D1010" s="32"/>
      <c r="E1010" s="32"/>
      <c r="F1010" s="32"/>
      <c r="G1010" s="32"/>
      <c r="H1010" s="32"/>
      <c r="I1010" s="32"/>
      <c r="J1010" s="32"/>
      <c r="K1010" s="32"/>
      <c r="L1010" s="32"/>
      <c r="M1010" s="125"/>
      <c r="N1010" s="125"/>
      <c r="O1010" s="125"/>
      <c r="P1010" s="125"/>
    </row>
    <row r="1011" spans="1:16" ht="16.5" thickTop="1">
      <c r="A1011" s="35" t="s">
        <v>381</v>
      </c>
      <c r="B1011" s="36" t="s">
        <v>262</v>
      </c>
      <c r="C1011" s="36" t="s">
        <v>417</v>
      </c>
      <c r="D1011" s="36" t="s">
        <v>418</v>
      </c>
      <c r="E1011" s="36" t="s">
        <v>416</v>
      </c>
      <c r="F1011" s="36" t="s">
        <v>383</v>
      </c>
      <c r="G1011" s="36" t="s">
        <v>384</v>
      </c>
      <c r="H1011" s="36" t="s">
        <v>385</v>
      </c>
      <c r="I1011" s="36" t="s">
        <v>290</v>
      </c>
      <c r="J1011" s="36" t="s">
        <v>386</v>
      </c>
      <c r="K1011" s="36" t="s">
        <v>387</v>
      </c>
      <c r="L1011" s="36" t="s">
        <v>380</v>
      </c>
      <c r="M1011" s="125"/>
      <c r="N1011" s="125"/>
      <c r="O1011" s="125"/>
      <c r="P1011" s="125"/>
    </row>
    <row r="1012" spans="1:16" ht="15.75">
      <c r="A1012" s="37" t="s">
        <v>388</v>
      </c>
      <c r="B1012" s="38" t="s">
        <v>393</v>
      </c>
      <c r="C1012" s="38" t="s">
        <v>392</v>
      </c>
      <c r="D1012" s="38" t="s">
        <v>393</v>
      </c>
      <c r="E1012" s="38" t="s">
        <v>359</v>
      </c>
      <c r="F1012" s="38" t="s">
        <v>359</v>
      </c>
      <c r="G1012" s="38" t="s">
        <v>393</v>
      </c>
      <c r="H1012" s="38" t="s">
        <v>419</v>
      </c>
      <c r="I1012" s="38" t="s">
        <v>393</v>
      </c>
      <c r="J1012" s="38" t="s">
        <v>393</v>
      </c>
      <c r="K1012" s="38" t="s">
        <v>359</v>
      </c>
      <c r="L1012" s="38" t="s">
        <v>380</v>
      </c>
      <c r="M1012" s="125"/>
      <c r="N1012" s="125"/>
      <c r="O1012" s="125"/>
      <c r="P1012" s="125"/>
    </row>
    <row r="1013" spans="1:16" ht="15.75">
      <c r="A1013" s="37" t="s">
        <v>394</v>
      </c>
      <c r="B1013" s="39" t="s">
        <v>272</v>
      </c>
      <c r="C1013" s="39" t="s">
        <v>306</v>
      </c>
      <c r="D1013" s="39" t="s">
        <v>431</v>
      </c>
      <c r="E1013" s="39" t="s">
        <v>431</v>
      </c>
      <c r="F1013" s="39" t="s">
        <v>283</v>
      </c>
      <c r="G1013" s="39" t="s">
        <v>421</v>
      </c>
      <c r="H1013" s="39" t="s">
        <v>289</v>
      </c>
      <c r="I1013" s="39" t="s">
        <v>291</v>
      </c>
      <c r="J1013" s="39" t="s">
        <v>296</v>
      </c>
      <c r="K1013" s="39" t="s">
        <v>314</v>
      </c>
      <c r="L1013" s="40" t="s">
        <v>380</v>
      </c>
      <c r="M1013" s="125"/>
      <c r="N1013" s="125"/>
      <c r="O1013" s="125"/>
      <c r="P1013" s="125"/>
    </row>
    <row r="1014" spans="1:16" ht="15.75">
      <c r="A1014" s="37" t="s">
        <v>397</v>
      </c>
      <c r="B1014" s="41" t="s">
        <v>344</v>
      </c>
      <c r="C1014" s="41" t="s">
        <v>345</v>
      </c>
      <c r="D1014" s="41" t="s">
        <v>345</v>
      </c>
      <c r="E1014" s="41" t="s">
        <v>345</v>
      </c>
      <c r="F1014" s="41" t="s">
        <v>345</v>
      </c>
      <c r="G1014" s="41" t="s">
        <v>349</v>
      </c>
      <c r="H1014" s="41" t="s">
        <v>346</v>
      </c>
      <c r="I1014" s="41" t="s">
        <v>344</v>
      </c>
      <c r="J1014" s="41" t="s">
        <v>344</v>
      </c>
      <c r="K1014" s="41" t="s">
        <v>348</v>
      </c>
      <c r="L1014" s="41" t="s">
        <v>380</v>
      </c>
      <c r="M1014" s="125"/>
      <c r="N1014" s="125"/>
      <c r="O1014" s="125"/>
      <c r="P1014" s="125"/>
    </row>
    <row r="1015" spans="1:16" ht="16.5" thickBot="1">
      <c r="A1015" s="42" t="s">
        <v>343</v>
      </c>
      <c r="B1015" s="43">
        <v>0.67708333333333337</v>
      </c>
      <c r="C1015" s="43">
        <v>42623.42291666667</v>
      </c>
      <c r="D1015" s="43">
        <v>42623.42291666667</v>
      </c>
      <c r="E1015" s="43">
        <v>42623.42291666667</v>
      </c>
      <c r="F1015" s="43">
        <v>42684.465277777781</v>
      </c>
      <c r="G1015" s="43">
        <v>42684.465277777781</v>
      </c>
      <c r="H1015" s="43">
        <v>0.67708333333333337</v>
      </c>
      <c r="I1015" s="43">
        <v>0.67708333333333337</v>
      </c>
      <c r="J1015" s="43">
        <v>0.67708333333333337</v>
      </c>
      <c r="K1015" s="43">
        <v>42623.42291666667</v>
      </c>
      <c r="L1015" s="41" t="s">
        <v>380</v>
      </c>
      <c r="M1015" s="125"/>
      <c r="N1015" s="125"/>
      <c r="O1015" s="125"/>
      <c r="P1015" s="125"/>
    </row>
    <row r="1016" spans="1:16" ht="17.25" thickTop="1" thickBot="1">
      <c r="A1016" s="32"/>
      <c r="B1016" s="32"/>
      <c r="C1016" s="32"/>
      <c r="D1016" s="32"/>
      <c r="E1016" s="32"/>
      <c r="F1016" s="32"/>
      <c r="G1016" s="32"/>
      <c r="H1016" s="32"/>
      <c r="I1016" s="32"/>
      <c r="J1016" s="32"/>
      <c r="K1016" s="32"/>
      <c r="L1016" s="32"/>
      <c r="M1016" s="125"/>
      <c r="N1016" s="125"/>
      <c r="O1016" s="125"/>
      <c r="P1016" s="125"/>
    </row>
    <row r="1017" spans="1:16" ht="19.5" thickTop="1" thickBot="1">
      <c r="A1017" s="35" t="s">
        <v>399</v>
      </c>
      <c r="B1017" s="1494" t="s">
        <v>380</v>
      </c>
      <c r="C1017" s="1495"/>
      <c r="D1017" s="1494" t="s">
        <v>380</v>
      </c>
      <c r="E1017" s="1496"/>
      <c r="F1017" s="32"/>
      <c r="G1017" s="32"/>
      <c r="H1017" s="32"/>
      <c r="I1017" s="32"/>
      <c r="J1017" s="32"/>
      <c r="K1017" s="31"/>
      <c r="L1017" s="31"/>
      <c r="M1017" s="125"/>
      <c r="N1017" s="125"/>
      <c r="O1017" s="125"/>
      <c r="P1017" s="125"/>
    </row>
    <row r="1018" spans="1:16" ht="18.75" thickBot="1">
      <c r="A1018" s="37" t="s">
        <v>400</v>
      </c>
      <c r="B1018" s="1497" t="s">
        <v>380</v>
      </c>
      <c r="C1018" s="1498"/>
      <c r="D1018" s="1497" t="s">
        <v>380</v>
      </c>
      <c r="E1018" s="1499"/>
      <c r="F1018" s="31" t="s">
        <v>401</v>
      </c>
      <c r="G1018" s="1500" t="s">
        <v>402</v>
      </c>
      <c r="H1018" s="1500"/>
      <c r="I1018" s="31" t="s">
        <v>403</v>
      </c>
      <c r="J1018" s="1501">
        <f ca="1">TODAY()</f>
        <v>45944</v>
      </c>
      <c r="K1018" s="1501"/>
      <c r="L1018" s="1501"/>
      <c r="M1018" s="125"/>
      <c r="N1018" s="125"/>
      <c r="O1018" s="125"/>
      <c r="P1018" s="125"/>
    </row>
    <row r="1019" spans="1:16" ht="18.75" thickBot="1">
      <c r="A1019" s="42" t="s">
        <v>404</v>
      </c>
      <c r="B1019" s="1491" t="s">
        <v>380</v>
      </c>
      <c r="C1019" s="1492"/>
      <c r="D1019" s="1491" t="s">
        <v>380</v>
      </c>
      <c r="E1019" s="1493"/>
      <c r="F1019" s="32"/>
      <c r="G1019" s="31"/>
      <c r="H1019" s="31" t="s">
        <v>405</v>
      </c>
      <c r="I1019" s="31"/>
      <c r="J1019" s="32"/>
      <c r="K1019" s="31"/>
      <c r="L1019" s="31"/>
      <c r="M1019" s="125"/>
      <c r="N1019" s="125"/>
      <c r="O1019" s="125"/>
      <c r="P1019" s="125"/>
    </row>
    <row r="1020" spans="1:16" ht="18.75" thickTop="1">
      <c r="A1020" s="32"/>
      <c r="B1020" s="32"/>
      <c r="C1020" s="32"/>
      <c r="D1020" s="32"/>
      <c r="E1020" s="32"/>
      <c r="F1020" s="31"/>
      <c r="G1020" s="31"/>
      <c r="H1020" s="44" t="s">
        <v>406</v>
      </c>
      <c r="I1020" s="31"/>
      <c r="J1020" s="31"/>
      <c r="K1020" s="32"/>
      <c r="L1020" s="32"/>
      <c r="M1020" s="125"/>
      <c r="N1020" s="125"/>
      <c r="O1020" s="125"/>
      <c r="P1020" s="125"/>
    </row>
    <row r="1021" spans="1:16" ht="18">
      <c r="A1021" s="32"/>
      <c r="B1021" s="32"/>
      <c r="C1021" s="32"/>
      <c r="D1021" s="32"/>
      <c r="E1021" s="32"/>
      <c r="F1021" s="31"/>
      <c r="G1021" s="31"/>
      <c r="H1021" s="32"/>
      <c r="I1021" s="31"/>
      <c r="J1021" s="32"/>
      <c r="K1021" s="32"/>
      <c r="L1021" s="32"/>
      <c r="M1021" s="125"/>
      <c r="N1021" s="125"/>
      <c r="O1021" s="125"/>
      <c r="P1021" s="125"/>
    </row>
    <row r="1022" spans="1:16" ht="18">
      <c r="A1022" s="1500" t="s">
        <v>78</v>
      </c>
      <c r="B1022" s="1500"/>
      <c r="C1022" s="1500"/>
      <c r="D1022" s="1500"/>
      <c r="E1022" s="1500"/>
      <c r="F1022" s="1500"/>
      <c r="G1022" s="1500"/>
      <c r="H1022" s="1500"/>
      <c r="I1022" s="1500"/>
      <c r="J1022" s="1500"/>
      <c r="K1022" s="1500"/>
      <c r="L1022" s="1500"/>
      <c r="M1022" s="125"/>
      <c r="N1022" s="125"/>
      <c r="O1022" s="125"/>
      <c r="P1022" s="125"/>
    </row>
    <row r="1023" spans="1:16" ht="18">
      <c r="A1023" s="1500" t="s">
        <v>79</v>
      </c>
      <c r="B1023" s="1500"/>
      <c r="C1023" s="1500"/>
      <c r="D1023" s="1500"/>
      <c r="E1023" s="1500"/>
      <c r="F1023" s="1500"/>
      <c r="G1023" s="1500"/>
      <c r="H1023" s="1500"/>
      <c r="I1023" s="1500"/>
      <c r="J1023" s="1500"/>
      <c r="K1023" s="1500"/>
      <c r="L1023" s="1500"/>
      <c r="M1023" s="125"/>
      <c r="N1023" s="125"/>
      <c r="O1023" s="125"/>
      <c r="P1023" s="125"/>
    </row>
    <row r="1024" spans="1:16" ht="18">
      <c r="A1024" s="30" t="s">
        <v>220</v>
      </c>
      <c r="B1024" s="31"/>
      <c r="C1024" s="31"/>
      <c r="D1024" s="31"/>
      <c r="E1024" s="31"/>
      <c r="F1024" s="31"/>
      <c r="G1024" s="31"/>
      <c r="H1024" s="31"/>
      <c r="I1024" s="31"/>
      <c r="J1024" s="31"/>
      <c r="K1024" s="31"/>
      <c r="L1024" s="31"/>
      <c r="M1024" s="125"/>
      <c r="N1024" s="125"/>
      <c r="O1024" s="125"/>
      <c r="P1024" s="125"/>
    </row>
    <row r="1025" spans="1:16" ht="18">
      <c r="A1025" s="30" t="s">
        <v>361</v>
      </c>
      <c r="B1025" s="31"/>
      <c r="C1025" s="31"/>
      <c r="D1025" s="31"/>
      <c r="E1025" s="31"/>
      <c r="F1025" s="31"/>
      <c r="G1025" s="31"/>
      <c r="H1025" s="31"/>
      <c r="I1025" s="31"/>
      <c r="J1025" s="31"/>
      <c r="K1025" s="31"/>
      <c r="L1025" s="31"/>
      <c r="M1025" s="125"/>
      <c r="N1025" s="125"/>
      <c r="O1025" s="125"/>
      <c r="P1025" s="125"/>
    </row>
    <row r="1026" spans="1:16" ht="18.75" thickBot="1">
      <c r="A1026" s="31"/>
      <c r="B1026" s="31"/>
      <c r="C1026" s="31"/>
      <c r="D1026" s="31"/>
      <c r="E1026" s="31"/>
      <c r="F1026" s="31"/>
      <c r="G1026" s="31"/>
      <c r="H1026" s="31"/>
      <c r="I1026" s="31"/>
      <c r="J1026" s="31"/>
      <c r="K1026" s="31"/>
      <c r="L1026" s="31"/>
      <c r="M1026" s="125"/>
      <c r="N1026" s="125"/>
      <c r="O1026" s="125"/>
      <c r="P1026" s="125"/>
    </row>
    <row r="1027" spans="1:16" ht="24" thickBot="1">
      <c r="A1027" s="31"/>
      <c r="B1027" s="31"/>
      <c r="C1027" s="1515" t="s">
        <v>362</v>
      </c>
      <c r="D1027" s="1516"/>
      <c r="E1027" s="1516"/>
      <c r="F1027" s="1516"/>
      <c r="G1027" s="1517"/>
      <c r="H1027" s="1518" t="s">
        <v>13</v>
      </c>
      <c r="I1027" s="1519"/>
      <c r="J1027" s="31"/>
      <c r="K1027" s="31"/>
      <c r="L1027" s="31"/>
      <c r="M1027" s="125"/>
      <c r="N1027" s="125"/>
      <c r="O1027" s="125"/>
      <c r="P1027" s="125"/>
    </row>
    <row r="1028" spans="1:16" ht="18">
      <c r="A1028" s="31"/>
      <c r="B1028" s="31"/>
      <c r="C1028" s="31"/>
      <c r="D1028" s="31"/>
      <c r="E1028" s="31"/>
      <c r="F1028" s="31"/>
      <c r="G1028" s="31"/>
      <c r="H1028" s="31"/>
      <c r="I1028" s="31"/>
      <c r="J1028" s="31"/>
      <c r="K1028" s="31"/>
      <c r="L1028" s="31"/>
      <c r="M1028" s="125"/>
      <c r="N1028" s="125"/>
      <c r="O1028" s="125"/>
      <c r="P1028" s="125"/>
    </row>
    <row r="1029" spans="1:16" ht="18">
      <c r="A1029" s="30" t="s">
        <v>363</v>
      </c>
      <c r="B1029" s="31"/>
      <c r="C1029" s="1500" t="s">
        <v>285</v>
      </c>
      <c r="D1029" s="1500"/>
      <c r="E1029" s="1500"/>
      <c r="F1029" s="31"/>
      <c r="G1029" s="31" t="s">
        <v>364</v>
      </c>
      <c r="H1029" s="31"/>
      <c r="I1029" s="1500"/>
      <c r="J1029" s="1500"/>
      <c r="K1029" s="1500"/>
      <c r="L1029" s="31"/>
      <c r="M1029" s="125"/>
      <c r="N1029" s="125"/>
      <c r="O1029" s="125"/>
      <c r="P1029" s="125"/>
    </row>
    <row r="1030" spans="1:16" ht="18.75" thickBot="1">
      <c r="A1030" s="30" t="s">
        <v>365</v>
      </c>
      <c r="B1030" s="31"/>
      <c r="C1030" s="31">
        <v>18</v>
      </c>
      <c r="D1030" s="31"/>
      <c r="E1030" s="31"/>
      <c r="F1030" s="31"/>
      <c r="G1030" s="31" t="s">
        <v>366</v>
      </c>
      <c r="H1030" s="31"/>
      <c r="I1030" s="31">
        <v>29</v>
      </c>
      <c r="J1030" s="31"/>
      <c r="K1030" s="31"/>
      <c r="L1030" s="31"/>
      <c r="M1030" s="125"/>
      <c r="N1030" s="125"/>
      <c r="O1030" s="125"/>
      <c r="P1030" s="125"/>
    </row>
    <row r="1031" spans="1:16" ht="17.25" thickTop="1" thickBot="1">
      <c r="A1031" s="1510" t="s">
        <v>367</v>
      </c>
      <c r="B1031" s="1511"/>
      <c r="C1031" s="1512" t="s">
        <v>360</v>
      </c>
      <c r="D1031" s="1513"/>
      <c r="E1031" s="1512" t="s">
        <v>368</v>
      </c>
      <c r="F1031" s="1513"/>
      <c r="G1031" s="1512" t="s">
        <v>369</v>
      </c>
      <c r="H1031" s="1513"/>
      <c r="I1031" s="1512" t="s">
        <v>370</v>
      </c>
      <c r="J1031" s="1513"/>
      <c r="K1031" s="1512" t="s">
        <v>371</v>
      </c>
      <c r="L1031" s="1514"/>
      <c r="M1031" s="125"/>
      <c r="N1031" s="125"/>
      <c r="O1031" s="125"/>
      <c r="P1031" s="125"/>
    </row>
    <row r="1032" spans="1:16" ht="17.25" thickTop="1" thickBot="1">
      <c r="A1032" s="1506" t="s">
        <v>372</v>
      </c>
      <c r="B1032" s="1507"/>
      <c r="C1032" s="1504" t="s">
        <v>386</v>
      </c>
      <c r="D1032" s="1505"/>
      <c r="E1032" s="1504" t="s">
        <v>279</v>
      </c>
      <c r="F1032" s="1505"/>
      <c r="G1032" s="1504" t="s">
        <v>384</v>
      </c>
      <c r="H1032" s="1505"/>
      <c r="I1032" s="1504" t="s">
        <v>386</v>
      </c>
      <c r="J1032" s="1505"/>
      <c r="K1032" s="1504" t="s">
        <v>408</v>
      </c>
      <c r="L1032" s="1505"/>
      <c r="M1032" s="125"/>
      <c r="N1032" s="125"/>
      <c r="O1032" s="125"/>
      <c r="P1032" s="125"/>
    </row>
    <row r="1033" spans="1:16" ht="17.25" thickTop="1" thickBot="1">
      <c r="A1033" s="1506" t="s">
        <v>373</v>
      </c>
      <c r="B1033" s="1507"/>
      <c r="C1033" s="1504" t="s">
        <v>270</v>
      </c>
      <c r="D1033" s="1505"/>
      <c r="E1033" s="1504" t="s">
        <v>279</v>
      </c>
      <c r="F1033" s="1505"/>
      <c r="G1033" s="1504" t="s">
        <v>385</v>
      </c>
      <c r="H1033" s="1505"/>
      <c r="I1033" s="1504" t="s">
        <v>384</v>
      </c>
      <c r="J1033" s="1505"/>
      <c r="K1033" s="1504" t="s">
        <v>290</v>
      </c>
      <c r="L1033" s="1505"/>
      <c r="M1033" s="125"/>
      <c r="N1033" s="125"/>
      <c r="O1033" s="125"/>
      <c r="P1033" s="125"/>
    </row>
    <row r="1034" spans="1:16" ht="17.25" thickTop="1" thickBot="1">
      <c r="A1034" s="1506" t="s">
        <v>374</v>
      </c>
      <c r="B1034" s="1507"/>
      <c r="C1034" s="1504" t="s">
        <v>290</v>
      </c>
      <c r="D1034" s="1505"/>
      <c r="E1034" s="1504" t="s">
        <v>386</v>
      </c>
      <c r="F1034" s="1505"/>
      <c r="G1034" s="1504" t="s">
        <v>387</v>
      </c>
      <c r="H1034" s="1505"/>
      <c r="I1034" s="1504" t="s">
        <v>290</v>
      </c>
      <c r="J1034" s="1505"/>
      <c r="K1034" s="1504" t="s">
        <v>386</v>
      </c>
      <c r="L1034" s="1505"/>
      <c r="M1034" s="125"/>
      <c r="N1034" s="125"/>
      <c r="O1034" s="125"/>
      <c r="P1034" s="125"/>
    </row>
    <row r="1035" spans="1:16" ht="17.25" thickTop="1" thickBot="1">
      <c r="A1035" s="1502" t="s">
        <v>375</v>
      </c>
      <c r="B1035" s="1503"/>
      <c r="C1035" s="1504" t="s">
        <v>290</v>
      </c>
      <c r="D1035" s="1505"/>
      <c r="E1035" s="1504" t="s">
        <v>385</v>
      </c>
      <c r="F1035" s="1505"/>
      <c r="G1035" s="1504" t="s">
        <v>387</v>
      </c>
      <c r="H1035" s="1505"/>
      <c r="I1035" s="1504" t="s">
        <v>383</v>
      </c>
      <c r="J1035" s="1505"/>
      <c r="K1035" s="1504" t="s">
        <v>384</v>
      </c>
      <c r="L1035" s="1505"/>
      <c r="M1035" s="125"/>
      <c r="N1035" s="125"/>
      <c r="O1035" s="125"/>
      <c r="P1035" s="125"/>
    </row>
    <row r="1036" spans="1:16" ht="17.25" thickTop="1" thickBot="1">
      <c r="A1036" s="32"/>
      <c r="B1036" s="32"/>
      <c r="C1036" s="32"/>
      <c r="D1036" s="32"/>
      <c r="E1036" s="32"/>
      <c r="F1036" s="32"/>
      <c r="G1036" s="32"/>
      <c r="H1036" s="32"/>
      <c r="I1036" s="45"/>
      <c r="J1036" s="45"/>
      <c r="K1036" s="32"/>
      <c r="L1036" s="32"/>
      <c r="M1036" s="125"/>
      <c r="N1036" s="125"/>
      <c r="O1036" s="125"/>
      <c r="P1036" s="125"/>
    </row>
    <row r="1037" spans="1:16" ht="17.25" thickTop="1" thickBot="1">
      <c r="A1037" s="1508" t="s">
        <v>376</v>
      </c>
      <c r="B1037" s="1509"/>
      <c r="C1037" s="1504" t="s">
        <v>383</v>
      </c>
      <c r="D1037" s="1505"/>
      <c r="E1037" s="1504" t="s">
        <v>407</v>
      </c>
      <c r="F1037" s="1505"/>
      <c r="G1037" s="1504" t="s">
        <v>262</v>
      </c>
      <c r="H1037" s="1505"/>
      <c r="I1037" s="1504" t="s">
        <v>262</v>
      </c>
      <c r="J1037" s="1505"/>
      <c r="K1037" s="1504" t="s">
        <v>279</v>
      </c>
      <c r="L1037" s="1505"/>
      <c r="M1037" s="125"/>
      <c r="N1037" s="125"/>
      <c r="O1037" s="125"/>
      <c r="P1037" s="125"/>
    </row>
    <row r="1038" spans="1:16" ht="17.25" thickTop="1" thickBot="1">
      <c r="A1038" s="1506" t="s">
        <v>377</v>
      </c>
      <c r="B1038" s="1507"/>
      <c r="C1038" s="1504" t="s">
        <v>384</v>
      </c>
      <c r="D1038" s="1505"/>
      <c r="E1038" s="1504" t="s">
        <v>409</v>
      </c>
      <c r="F1038" s="1505"/>
      <c r="G1038" s="1504" t="s">
        <v>279</v>
      </c>
      <c r="H1038" s="1505"/>
      <c r="I1038" s="1504" t="s">
        <v>385</v>
      </c>
      <c r="J1038" s="1505"/>
      <c r="K1038" s="1504" t="s">
        <v>385</v>
      </c>
      <c r="L1038" s="1505"/>
      <c r="M1038" s="125"/>
      <c r="N1038" s="125"/>
      <c r="O1038" s="125"/>
      <c r="P1038" s="125"/>
    </row>
    <row r="1039" spans="1:16" ht="17.25" thickTop="1" thickBot="1">
      <c r="A1039" s="1506" t="s">
        <v>378</v>
      </c>
      <c r="B1039" s="1507"/>
      <c r="C1039" s="1504"/>
      <c r="D1039" s="1505"/>
      <c r="E1039" s="1504"/>
      <c r="F1039" s="1505"/>
      <c r="G1039" s="1504"/>
      <c r="H1039" s="1505"/>
      <c r="I1039" s="1504"/>
      <c r="J1039" s="1505"/>
      <c r="K1039" s="1504"/>
      <c r="L1039" s="1505"/>
      <c r="M1039" s="125"/>
      <c r="N1039" s="125"/>
      <c r="O1039" s="125"/>
      <c r="P1039" s="125"/>
    </row>
    <row r="1040" spans="1:16" ht="17.25" thickTop="1" thickBot="1">
      <c r="A1040" s="1502" t="s">
        <v>379</v>
      </c>
      <c r="B1040" s="1503"/>
      <c r="C1040" s="1504">
        <v>0</v>
      </c>
      <c r="D1040" s="1505"/>
      <c r="E1040" s="1504">
        <v>0</v>
      </c>
      <c r="F1040" s="1505"/>
      <c r="G1040" s="1504">
        <v>0</v>
      </c>
      <c r="H1040" s="1505"/>
      <c r="I1040" s="1504">
        <v>0</v>
      </c>
      <c r="J1040" s="1505"/>
      <c r="K1040" s="1504" t="s">
        <v>380</v>
      </c>
      <c r="L1040" s="1505"/>
      <c r="M1040" s="125"/>
      <c r="N1040" s="125"/>
      <c r="O1040" s="125"/>
      <c r="P1040" s="125"/>
    </row>
    <row r="1041" spans="1:16" ht="17.25" thickTop="1" thickBot="1">
      <c r="A1041" s="32"/>
      <c r="B1041" s="32"/>
      <c r="C1041" s="32"/>
      <c r="D1041" s="32"/>
      <c r="E1041" s="32"/>
      <c r="F1041" s="32"/>
      <c r="G1041" s="32"/>
      <c r="H1041" s="32"/>
      <c r="I1041" s="32"/>
      <c r="J1041" s="32"/>
      <c r="K1041" s="32"/>
      <c r="L1041" s="32"/>
      <c r="M1041" s="125"/>
      <c r="N1041" s="125"/>
      <c r="O1041" s="125"/>
      <c r="P1041" s="125"/>
    </row>
    <row r="1042" spans="1:16" ht="16.5" thickTop="1">
      <c r="A1042" s="35" t="s">
        <v>381</v>
      </c>
      <c r="B1042" s="36" t="s">
        <v>262</v>
      </c>
      <c r="C1042" s="36" t="s">
        <v>270</v>
      </c>
      <c r="D1042" s="36" t="s">
        <v>408</v>
      </c>
      <c r="E1042" s="36" t="s">
        <v>383</v>
      </c>
      <c r="F1042" s="36" t="s">
        <v>279</v>
      </c>
      <c r="G1042" s="36" t="s">
        <v>384</v>
      </c>
      <c r="H1042" s="36" t="s">
        <v>385</v>
      </c>
      <c r="I1042" s="36" t="s">
        <v>290</v>
      </c>
      <c r="J1042" s="36" t="s">
        <v>386</v>
      </c>
      <c r="K1042" s="36" t="s">
        <v>387</v>
      </c>
      <c r="L1042" s="36" t="s">
        <v>380</v>
      </c>
      <c r="M1042" s="125"/>
      <c r="N1042" s="125"/>
      <c r="O1042" s="125"/>
      <c r="P1042" s="125"/>
    </row>
    <row r="1043" spans="1:16" ht="15.75">
      <c r="A1043" s="37" t="s">
        <v>388</v>
      </c>
      <c r="B1043" s="38" t="s">
        <v>359</v>
      </c>
      <c r="C1043" s="38" t="s">
        <v>391</v>
      </c>
      <c r="D1043" s="38" t="s">
        <v>391</v>
      </c>
      <c r="E1043" s="38" t="s">
        <v>359</v>
      </c>
      <c r="F1043" s="38" t="s">
        <v>419</v>
      </c>
      <c r="G1043" s="38" t="s">
        <v>419</v>
      </c>
      <c r="H1043" s="38" t="s">
        <v>419</v>
      </c>
      <c r="I1043" s="38" t="s">
        <v>419</v>
      </c>
      <c r="J1043" s="38" t="s">
        <v>419</v>
      </c>
      <c r="K1043" s="38" t="s">
        <v>359</v>
      </c>
      <c r="L1043" s="38" t="s">
        <v>380</v>
      </c>
      <c r="M1043" s="125"/>
      <c r="N1043" s="125"/>
      <c r="O1043" s="125"/>
      <c r="P1043" s="125"/>
    </row>
    <row r="1044" spans="1:16" ht="15.75">
      <c r="A1044" s="37" t="s">
        <v>394</v>
      </c>
      <c r="B1044" s="39" t="s">
        <v>427</v>
      </c>
      <c r="C1044" s="39" t="s">
        <v>273</v>
      </c>
      <c r="D1044" s="39" t="s">
        <v>277</v>
      </c>
      <c r="E1044" s="39" t="s">
        <v>281</v>
      </c>
      <c r="F1044" s="39" t="s">
        <v>282</v>
      </c>
      <c r="G1044" s="39" t="s">
        <v>285</v>
      </c>
      <c r="H1044" s="39" t="s">
        <v>426</v>
      </c>
      <c r="I1044" s="39" t="s">
        <v>293</v>
      </c>
      <c r="J1044" s="39" t="s">
        <v>296</v>
      </c>
      <c r="K1044" s="39" t="s">
        <v>314</v>
      </c>
      <c r="L1044" s="40" t="s">
        <v>380</v>
      </c>
      <c r="M1044" s="125"/>
      <c r="N1044" s="125"/>
      <c r="O1044" s="125"/>
      <c r="P1044" s="125"/>
    </row>
    <row r="1045" spans="1:16" ht="15.75">
      <c r="A1045" s="37" t="s">
        <v>397</v>
      </c>
      <c r="B1045" s="41" t="s">
        <v>344</v>
      </c>
      <c r="C1045" s="41" t="s">
        <v>345</v>
      </c>
      <c r="D1045" s="41" t="s">
        <v>349</v>
      </c>
      <c r="E1045" s="41" t="s">
        <v>346</v>
      </c>
      <c r="F1045" s="41" t="s">
        <v>345</v>
      </c>
      <c r="G1045" s="41" t="s">
        <v>348</v>
      </c>
      <c r="H1045" s="41" t="s">
        <v>346</v>
      </c>
      <c r="I1045" s="41" t="s">
        <v>348</v>
      </c>
      <c r="J1045" s="41" t="s">
        <v>344</v>
      </c>
      <c r="K1045" s="41" t="s">
        <v>348</v>
      </c>
      <c r="L1045" s="41" t="s">
        <v>380</v>
      </c>
      <c r="M1045" s="125"/>
      <c r="N1045" s="125"/>
      <c r="O1045" s="125"/>
      <c r="P1045" s="125"/>
    </row>
    <row r="1046" spans="1:16" ht="16.5" thickBot="1">
      <c r="A1046" s="42" t="s">
        <v>343</v>
      </c>
      <c r="B1046" s="43">
        <v>42623.42291666667</v>
      </c>
      <c r="C1046" s="43">
        <v>42684.465277777781</v>
      </c>
      <c r="D1046" s="43">
        <v>42623.42291666667</v>
      </c>
      <c r="E1046" s="43">
        <v>42623.42291666667</v>
      </c>
      <c r="F1046" s="43">
        <v>42684.677083333336</v>
      </c>
      <c r="G1046" s="43">
        <v>0.67708333333333337</v>
      </c>
      <c r="H1046" s="43">
        <v>0.67708333333333337</v>
      </c>
      <c r="I1046" s="43">
        <v>0.67708333333333337</v>
      </c>
      <c r="J1046" s="43">
        <v>0.67708333333333337</v>
      </c>
      <c r="K1046" s="43">
        <v>42623.42291666667</v>
      </c>
      <c r="L1046" s="41" t="s">
        <v>380</v>
      </c>
      <c r="M1046" s="125"/>
      <c r="N1046" s="125"/>
      <c r="O1046" s="125"/>
      <c r="P1046" s="125"/>
    </row>
    <row r="1047" spans="1:16" ht="17.25" thickTop="1" thickBot="1">
      <c r="A1047" s="32"/>
      <c r="B1047" s="32"/>
      <c r="C1047" s="32"/>
      <c r="D1047" s="32"/>
      <c r="E1047" s="32"/>
      <c r="F1047" s="32"/>
      <c r="G1047" s="32"/>
      <c r="H1047" s="32"/>
      <c r="I1047" s="32"/>
      <c r="J1047" s="32"/>
      <c r="K1047" s="32"/>
      <c r="L1047" s="32"/>
      <c r="M1047" s="125"/>
      <c r="N1047" s="125"/>
      <c r="O1047" s="125"/>
      <c r="P1047" s="125"/>
    </row>
    <row r="1048" spans="1:16" ht="19.5" thickTop="1" thickBot="1">
      <c r="A1048" s="35" t="s">
        <v>399</v>
      </c>
      <c r="B1048" s="1494" t="s">
        <v>380</v>
      </c>
      <c r="C1048" s="1495"/>
      <c r="D1048" s="1494" t="s">
        <v>380</v>
      </c>
      <c r="E1048" s="1496"/>
      <c r="F1048" s="32"/>
      <c r="G1048" s="32"/>
      <c r="H1048" s="32"/>
      <c r="I1048" s="32"/>
      <c r="J1048" s="32"/>
      <c r="K1048" s="31"/>
      <c r="L1048" s="31"/>
      <c r="M1048" s="125"/>
      <c r="N1048" s="125"/>
      <c r="O1048" s="125"/>
      <c r="P1048" s="125"/>
    </row>
    <row r="1049" spans="1:16" ht="18.75" thickBot="1">
      <c r="A1049" s="37" t="s">
        <v>400</v>
      </c>
      <c r="B1049" s="1497" t="s">
        <v>380</v>
      </c>
      <c r="C1049" s="1498"/>
      <c r="D1049" s="1497" t="s">
        <v>380</v>
      </c>
      <c r="E1049" s="1499"/>
      <c r="F1049" s="31" t="s">
        <v>401</v>
      </c>
      <c r="G1049" s="1500" t="s">
        <v>402</v>
      </c>
      <c r="H1049" s="1500"/>
      <c r="I1049" s="31" t="s">
        <v>403</v>
      </c>
      <c r="J1049" s="1501">
        <f ca="1">TODAY()</f>
        <v>45944</v>
      </c>
      <c r="K1049" s="1501"/>
      <c r="L1049" s="1501"/>
      <c r="M1049" s="125"/>
      <c r="N1049" s="125"/>
      <c r="O1049" s="125"/>
      <c r="P1049" s="125"/>
    </row>
    <row r="1050" spans="1:16" ht="18.75" thickBot="1">
      <c r="A1050" s="42" t="s">
        <v>404</v>
      </c>
      <c r="B1050" s="1491" t="s">
        <v>380</v>
      </c>
      <c r="C1050" s="1492"/>
      <c r="D1050" s="1491" t="s">
        <v>380</v>
      </c>
      <c r="E1050" s="1493"/>
      <c r="F1050" s="32"/>
      <c r="G1050" s="31"/>
      <c r="H1050" s="31" t="s">
        <v>405</v>
      </c>
      <c r="I1050" s="31"/>
      <c r="J1050" s="32"/>
      <c r="K1050" s="31"/>
      <c r="L1050" s="31"/>
      <c r="M1050" s="125"/>
      <c r="N1050" s="125"/>
      <c r="O1050" s="125"/>
      <c r="P1050" s="125"/>
    </row>
    <row r="1051" spans="1:16" ht="18.75" thickTop="1">
      <c r="A1051" s="32"/>
      <c r="B1051" s="32"/>
      <c r="C1051" s="32"/>
      <c r="D1051" s="32"/>
      <c r="E1051" s="32"/>
      <c r="F1051" s="31"/>
      <c r="G1051" s="31"/>
      <c r="H1051" s="44" t="s">
        <v>406</v>
      </c>
      <c r="I1051" s="31"/>
      <c r="J1051" s="31"/>
      <c r="K1051" s="32"/>
      <c r="L1051" s="32"/>
      <c r="M1051" s="125"/>
      <c r="N1051" s="125"/>
      <c r="O1051" s="125"/>
      <c r="P1051" s="125"/>
    </row>
    <row r="1052" spans="1:16" ht="18">
      <c r="A1052" s="32"/>
      <c r="B1052" s="32"/>
      <c r="C1052" s="32"/>
      <c r="D1052" s="32"/>
      <c r="E1052" s="32"/>
      <c r="F1052" s="31"/>
      <c r="G1052" s="31"/>
      <c r="H1052" s="32"/>
      <c r="I1052" s="31"/>
      <c r="J1052" s="32"/>
      <c r="K1052" s="32"/>
      <c r="L1052" s="32"/>
      <c r="M1052" s="125"/>
      <c r="N1052" s="125"/>
      <c r="O1052" s="125"/>
      <c r="P1052" s="125"/>
    </row>
    <row r="1053" spans="1:16" ht="18">
      <c r="A1053" s="1500" t="s">
        <v>78</v>
      </c>
      <c r="B1053" s="1500"/>
      <c r="C1053" s="1500"/>
      <c r="D1053" s="1500"/>
      <c r="E1053" s="1500"/>
      <c r="F1053" s="1500"/>
      <c r="G1053" s="1500"/>
      <c r="H1053" s="1500"/>
      <c r="I1053" s="1500"/>
      <c r="J1053" s="1500"/>
      <c r="K1053" s="1500"/>
      <c r="L1053" s="1500"/>
      <c r="M1053" s="125"/>
      <c r="N1053" s="125"/>
      <c r="O1053" s="125"/>
      <c r="P1053" s="125"/>
    </row>
    <row r="1054" spans="1:16" ht="18">
      <c r="A1054" s="1500" t="s">
        <v>79</v>
      </c>
      <c r="B1054" s="1500"/>
      <c r="C1054" s="1500"/>
      <c r="D1054" s="1500"/>
      <c r="E1054" s="1500"/>
      <c r="F1054" s="1500"/>
      <c r="G1054" s="1500"/>
      <c r="H1054" s="1500"/>
      <c r="I1054" s="1500"/>
      <c r="J1054" s="1500"/>
      <c r="K1054" s="1500"/>
      <c r="L1054" s="1500"/>
      <c r="M1054" s="125"/>
      <c r="N1054" s="125"/>
      <c r="O1054" s="125"/>
      <c r="P1054" s="125"/>
    </row>
    <row r="1055" spans="1:16" ht="18">
      <c r="A1055" s="30" t="s">
        <v>220</v>
      </c>
      <c r="B1055" s="31"/>
      <c r="C1055" s="31"/>
      <c r="D1055" s="31"/>
      <c r="E1055" s="31"/>
      <c r="F1055" s="31"/>
      <c r="G1055" s="31"/>
      <c r="H1055" s="31"/>
      <c r="I1055" s="31"/>
      <c r="J1055" s="31"/>
      <c r="K1055" s="31"/>
      <c r="L1055" s="31"/>
      <c r="M1055" s="125"/>
      <c r="N1055" s="125"/>
      <c r="O1055" s="125"/>
      <c r="P1055" s="125"/>
    </row>
    <row r="1056" spans="1:16" ht="18">
      <c r="A1056" s="30" t="s">
        <v>361</v>
      </c>
      <c r="B1056" s="31"/>
      <c r="C1056" s="31"/>
      <c r="D1056" s="31"/>
      <c r="E1056" s="31"/>
      <c r="F1056" s="31"/>
      <c r="G1056" s="31"/>
      <c r="H1056" s="31"/>
      <c r="I1056" s="31"/>
      <c r="J1056" s="31"/>
      <c r="K1056" s="31"/>
      <c r="L1056" s="31"/>
      <c r="M1056" s="125"/>
      <c r="N1056" s="125"/>
      <c r="O1056" s="125"/>
      <c r="P1056" s="125"/>
    </row>
    <row r="1057" spans="1:16" ht="18.75" thickBot="1">
      <c r="A1057" s="31"/>
      <c r="B1057" s="31"/>
      <c r="C1057" s="31"/>
      <c r="D1057" s="31"/>
      <c r="E1057" s="31"/>
      <c r="F1057" s="31"/>
      <c r="G1057" s="31"/>
      <c r="H1057" s="31"/>
      <c r="I1057" s="31"/>
      <c r="J1057" s="31"/>
      <c r="K1057" s="31"/>
      <c r="L1057" s="31"/>
      <c r="M1057" s="125"/>
      <c r="N1057" s="125"/>
      <c r="O1057" s="125"/>
      <c r="P1057" s="125"/>
    </row>
    <row r="1058" spans="1:16" ht="24" thickBot="1">
      <c r="A1058" s="31"/>
      <c r="B1058" s="31"/>
      <c r="C1058" s="1515" t="s">
        <v>362</v>
      </c>
      <c r="D1058" s="1516"/>
      <c r="E1058" s="1516"/>
      <c r="F1058" s="1516"/>
      <c r="G1058" s="1517"/>
      <c r="H1058" s="1518" t="s">
        <v>4</v>
      </c>
      <c r="I1058" s="1519"/>
      <c r="J1058" s="31"/>
      <c r="K1058" s="31"/>
      <c r="L1058" s="31"/>
      <c r="M1058" s="125"/>
      <c r="N1058" s="125"/>
      <c r="O1058" s="125"/>
      <c r="P1058" s="125"/>
    </row>
    <row r="1059" spans="1:16" ht="18">
      <c r="A1059" s="31"/>
      <c r="B1059" s="31"/>
      <c r="C1059" s="31"/>
      <c r="D1059" s="31"/>
      <c r="E1059" s="31"/>
      <c r="F1059" s="31"/>
      <c r="G1059" s="31"/>
      <c r="H1059" s="31"/>
      <c r="I1059" s="31"/>
      <c r="J1059" s="31"/>
      <c r="K1059" s="31"/>
      <c r="L1059" s="31"/>
      <c r="M1059" s="125"/>
      <c r="N1059" s="125"/>
      <c r="O1059" s="125"/>
      <c r="P1059" s="125"/>
    </row>
    <row r="1060" spans="1:16" ht="18">
      <c r="A1060" s="30" t="s">
        <v>363</v>
      </c>
      <c r="B1060" s="31"/>
      <c r="C1060" s="1500" t="s">
        <v>305</v>
      </c>
      <c r="D1060" s="1500"/>
      <c r="E1060" s="1500"/>
      <c r="F1060" s="31"/>
      <c r="G1060" s="31" t="s">
        <v>364</v>
      </c>
      <c r="H1060" s="31"/>
      <c r="I1060" s="1500"/>
      <c r="J1060" s="1500"/>
      <c r="K1060" s="1500"/>
      <c r="L1060" s="31"/>
      <c r="M1060" s="125"/>
      <c r="N1060" s="125"/>
      <c r="O1060" s="125"/>
      <c r="P1060" s="125"/>
    </row>
    <row r="1061" spans="1:16" ht="18.75" thickBot="1">
      <c r="A1061" s="30" t="s">
        <v>365</v>
      </c>
      <c r="B1061" s="31"/>
      <c r="C1061" s="31">
        <v>3</v>
      </c>
      <c r="D1061" s="31"/>
      <c r="E1061" s="31"/>
      <c r="F1061" s="31"/>
      <c r="G1061" s="31" t="s">
        <v>366</v>
      </c>
      <c r="H1061" s="31"/>
      <c r="I1061" s="31">
        <v>13</v>
      </c>
      <c r="J1061" s="31"/>
      <c r="K1061" s="31"/>
      <c r="L1061" s="31"/>
      <c r="M1061" s="125"/>
      <c r="N1061" s="125"/>
      <c r="O1061" s="125"/>
      <c r="P1061" s="125"/>
    </row>
    <row r="1062" spans="1:16" ht="17.25" thickTop="1" thickBot="1">
      <c r="A1062" s="1510" t="s">
        <v>367</v>
      </c>
      <c r="B1062" s="1511"/>
      <c r="C1062" s="1512" t="s">
        <v>360</v>
      </c>
      <c r="D1062" s="1513"/>
      <c r="E1062" s="1512" t="s">
        <v>368</v>
      </c>
      <c r="F1062" s="1513"/>
      <c r="G1062" s="1512" t="s">
        <v>369</v>
      </c>
      <c r="H1062" s="1513"/>
      <c r="I1062" s="1512" t="s">
        <v>370</v>
      </c>
      <c r="J1062" s="1513"/>
      <c r="K1062" s="1512" t="s">
        <v>371</v>
      </c>
      <c r="L1062" s="1514"/>
      <c r="M1062" s="125"/>
      <c r="N1062" s="125"/>
      <c r="O1062" s="125"/>
      <c r="P1062" s="125"/>
    </row>
    <row r="1063" spans="1:16" ht="17.25" thickTop="1" thickBot="1">
      <c r="A1063" s="1506" t="s">
        <v>372</v>
      </c>
      <c r="B1063" s="1507"/>
      <c r="C1063" s="1504" t="s">
        <v>422</v>
      </c>
      <c r="D1063" s="1505"/>
      <c r="E1063" s="1504" t="s">
        <v>290</v>
      </c>
      <c r="F1063" s="1505"/>
      <c r="G1063" s="1504" t="s">
        <v>384</v>
      </c>
      <c r="H1063" s="1505"/>
      <c r="I1063" s="1504" t="s">
        <v>385</v>
      </c>
      <c r="J1063" s="1505"/>
      <c r="K1063" s="1504" t="s">
        <v>385</v>
      </c>
      <c r="L1063" s="1505"/>
      <c r="M1063" s="125"/>
      <c r="N1063" s="125"/>
      <c r="O1063" s="125"/>
      <c r="P1063" s="125"/>
    </row>
    <row r="1064" spans="1:16" ht="17.25" thickTop="1" thickBot="1">
      <c r="A1064" s="1506" t="s">
        <v>373</v>
      </c>
      <c r="B1064" s="1507"/>
      <c r="C1064" s="1504" t="s">
        <v>386</v>
      </c>
      <c r="D1064" s="1505"/>
      <c r="E1064" s="1504" t="s">
        <v>290</v>
      </c>
      <c r="F1064" s="1505"/>
      <c r="G1064" s="1504" t="s">
        <v>384</v>
      </c>
      <c r="H1064" s="1505"/>
      <c r="I1064" s="1504" t="s">
        <v>422</v>
      </c>
      <c r="J1064" s="1505"/>
      <c r="K1064" s="1504" t="s">
        <v>422</v>
      </c>
      <c r="L1064" s="1505"/>
      <c r="M1064" s="125"/>
      <c r="N1064" s="125"/>
      <c r="O1064" s="125"/>
      <c r="P1064" s="125"/>
    </row>
    <row r="1065" spans="1:16" ht="17.25" thickTop="1" thickBot="1">
      <c r="A1065" s="1506" t="s">
        <v>374</v>
      </c>
      <c r="B1065" s="1507"/>
      <c r="C1065" s="1504" t="s">
        <v>386</v>
      </c>
      <c r="D1065" s="1505"/>
      <c r="E1065" s="1504" t="s">
        <v>387</v>
      </c>
      <c r="F1065" s="1505"/>
      <c r="G1065" s="1504" t="s">
        <v>385</v>
      </c>
      <c r="H1065" s="1505"/>
      <c r="I1065" s="1504" t="s">
        <v>422</v>
      </c>
      <c r="J1065" s="1505"/>
      <c r="K1065" s="1504" t="s">
        <v>386</v>
      </c>
      <c r="L1065" s="1505"/>
      <c r="M1065" s="125"/>
      <c r="N1065" s="125"/>
      <c r="O1065" s="125"/>
      <c r="P1065" s="125"/>
    </row>
    <row r="1066" spans="1:16" ht="17.25" thickTop="1" thickBot="1">
      <c r="A1066" s="1502" t="s">
        <v>375</v>
      </c>
      <c r="B1066" s="1503"/>
      <c r="C1066" s="1504"/>
      <c r="D1066" s="1505"/>
      <c r="E1066" s="1504" t="s">
        <v>387</v>
      </c>
      <c r="F1066" s="1505"/>
      <c r="G1066" s="1504" t="s">
        <v>383</v>
      </c>
      <c r="H1066" s="1505"/>
      <c r="I1066" s="1504" t="s">
        <v>290</v>
      </c>
      <c r="J1066" s="1505"/>
      <c r="K1066" s="1504" t="s">
        <v>386</v>
      </c>
      <c r="L1066" s="1505"/>
      <c r="M1066" s="125"/>
      <c r="N1066" s="125"/>
      <c r="O1066" s="125"/>
      <c r="P1066" s="125"/>
    </row>
    <row r="1067" spans="1:16" ht="17.25" thickTop="1" thickBot="1">
      <c r="A1067" s="32"/>
      <c r="B1067" s="32"/>
      <c r="C1067" s="32"/>
      <c r="D1067" s="32"/>
      <c r="E1067" s="32"/>
      <c r="F1067" s="32"/>
      <c r="G1067" s="32"/>
      <c r="H1067" s="32"/>
      <c r="I1067" s="45"/>
      <c r="J1067" s="45"/>
      <c r="K1067" s="32"/>
      <c r="L1067" s="32"/>
      <c r="M1067" s="125"/>
      <c r="N1067" s="125"/>
      <c r="O1067" s="125"/>
      <c r="P1067" s="125"/>
    </row>
    <row r="1068" spans="1:16" ht="17.25" thickTop="1" thickBot="1">
      <c r="A1068" s="1508" t="s">
        <v>376</v>
      </c>
      <c r="B1068" s="1509"/>
      <c r="C1068" s="1504" t="s">
        <v>262</v>
      </c>
      <c r="D1068" s="1505"/>
      <c r="E1068" s="1504" t="s">
        <v>385</v>
      </c>
      <c r="F1068" s="1505"/>
      <c r="G1068" s="1504" t="s">
        <v>290</v>
      </c>
      <c r="H1068" s="1505"/>
      <c r="I1068" s="1504" t="s">
        <v>424</v>
      </c>
      <c r="J1068" s="1505"/>
      <c r="K1068" s="1504" t="s">
        <v>384</v>
      </c>
      <c r="L1068" s="1505"/>
      <c r="M1068" s="125"/>
      <c r="N1068" s="125"/>
      <c r="O1068" s="125"/>
      <c r="P1068" s="125"/>
    </row>
    <row r="1069" spans="1:16" ht="17.25" thickTop="1" thickBot="1">
      <c r="A1069" s="1506" t="s">
        <v>377</v>
      </c>
      <c r="B1069" s="1507"/>
      <c r="C1069" s="1504" t="s">
        <v>383</v>
      </c>
      <c r="D1069" s="1505"/>
      <c r="E1069" s="1504" t="s">
        <v>422</v>
      </c>
      <c r="F1069" s="1505"/>
      <c r="G1069" s="1504" t="s">
        <v>386</v>
      </c>
      <c r="H1069" s="1505"/>
      <c r="I1069" s="1504" t="s">
        <v>262</v>
      </c>
      <c r="J1069" s="1505"/>
      <c r="K1069" s="1504" t="s">
        <v>290</v>
      </c>
      <c r="L1069" s="1505"/>
      <c r="M1069" s="125"/>
      <c r="N1069" s="125"/>
      <c r="O1069" s="125"/>
      <c r="P1069" s="125"/>
    </row>
    <row r="1070" spans="1:16" ht="17.25" thickTop="1" thickBot="1">
      <c r="A1070" s="1506" t="s">
        <v>378</v>
      </c>
      <c r="B1070" s="1507"/>
      <c r="C1070" s="1504" t="s">
        <v>384</v>
      </c>
      <c r="D1070" s="1505"/>
      <c r="E1070" s="1504"/>
      <c r="F1070" s="1505"/>
      <c r="G1070" s="1504"/>
      <c r="H1070" s="1505"/>
      <c r="I1070" s="1504" t="s">
        <v>384</v>
      </c>
      <c r="J1070" s="1505"/>
      <c r="K1070" s="1504"/>
      <c r="L1070" s="1505"/>
      <c r="M1070" s="125"/>
      <c r="N1070" s="125"/>
      <c r="O1070" s="125"/>
      <c r="P1070" s="125"/>
    </row>
    <row r="1071" spans="1:16" ht="17.25" thickTop="1" thickBot="1">
      <c r="A1071" s="1502" t="s">
        <v>379</v>
      </c>
      <c r="B1071" s="1503"/>
      <c r="C1071" s="1504">
        <v>0</v>
      </c>
      <c r="D1071" s="1505"/>
      <c r="E1071" s="1504">
        <v>0</v>
      </c>
      <c r="F1071" s="1505"/>
      <c r="G1071" s="1504">
        <v>0</v>
      </c>
      <c r="H1071" s="1505"/>
      <c r="I1071" s="1504">
        <v>0</v>
      </c>
      <c r="J1071" s="1505"/>
      <c r="K1071" s="1504" t="s">
        <v>380</v>
      </c>
      <c r="L1071" s="1505"/>
      <c r="M1071" s="125"/>
      <c r="N1071" s="125"/>
      <c r="O1071" s="125"/>
      <c r="P1071" s="125"/>
    </row>
    <row r="1072" spans="1:16" ht="17.25" thickTop="1" thickBot="1">
      <c r="A1072" s="32"/>
      <c r="B1072" s="32"/>
      <c r="C1072" s="32"/>
      <c r="D1072" s="32"/>
      <c r="E1072" s="32"/>
      <c r="F1072" s="32"/>
      <c r="G1072" s="32"/>
      <c r="H1072" s="32"/>
      <c r="I1072" s="32"/>
      <c r="J1072" s="32"/>
      <c r="K1072" s="32"/>
      <c r="L1072" s="32"/>
      <c r="M1072" s="125"/>
      <c r="N1072" s="125"/>
      <c r="O1072" s="125"/>
      <c r="P1072" s="125"/>
    </row>
    <row r="1073" spans="1:16" ht="16.5" thickTop="1">
      <c r="A1073" s="35" t="s">
        <v>381</v>
      </c>
      <c r="B1073" s="36" t="s">
        <v>262</v>
      </c>
      <c r="C1073" s="36" t="s">
        <v>383</v>
      </c>
      <c r="D1073" s="36" t="s">
        <v>384</v>
      </c>
      <c r="E1073" s="36" t="s">
        <v>385</v>
      </c>
      <c r="F1073" s="36" t="s">
        <v>290</v>
      </c>
      <c r="G1073" s="36" t="s">
        <v>386</v>
      </c>
      <c r="H1073" s="36" t="s">
        <v>422</v>
      </c>
      <c r="I1073" s="36" t="s">
        <v>387</v>
      </c>
      <c r="J1073" s="36" t="s">
        <v>380</v>
      </c>
      <c r="K1073" s="36" t="s">
        <v>380</v>
      </c>
      <c r="L1073" s="36" t="s">
        <v>380</v>
      </c>
      <c r="M1073" s="125"/>
      <c r="N1073" s="125"/>
      <c r="O1073" s="125"/>
      <c r="P1073" s="125"/>
    </row>
    <row r="1074" spans="1:16" ht="15.75">
      <c r="A1074" s="37" t="s">
        <v>388</v>
      </c>
      <c r="B1074" s="38" t="s">
        <v>359</v>
      </c>
      <c r="C1074" s="38" t="s">
        <v>359</v>
      </c>
      <c r="D1074" s="38" t="s">
        <v>392</v>
      </c>
      <c r="E1074" s="38" t="s">
        <v>419</v>
      </c>
      <c r="F1074" s="38" t="s">
        <v>392</v>
      </c>
      <c r="G1074" s="38" t="s">
        <v>392</v>
      </c>
      <c r="H1074" s="38" t="s">
        <v>392</v>
      </c>
      <c r="I1074" s="38" t="s">
        <v>359</v>
      </c>
      <c r="J1074" s="38" t="s">
        <v>380</v>
      </c>
      <c r="K1074" s="38" t="s">
        <v>380</v>
      </c>
      <c r="L1074" s="38" t="s">
        <v>380</v>
      </c>
      <c r="M1074" s="125"/>
      <c r="N1074" s="125"/>
      <c r="O1074" s="125"/>
      <c r="P1074" s="125"/>
    </row>
    <row r="1075" spans="1:16" ht="15.75">
      <c r="A1075" s="37" t="s">
        <v>394</v>
      </c>
      <c r="B1075" s="39" t="s">
        <v>427</v>
      </c>
      <c r="C1075" s="39" t="s">
        <v>281</v>
      </c>
      <c r="D1075" s="39" t="s">
        <v>287</v>
      </c>
      <c r="E1075" s="39" t="s">
        <v>271</v>
      </c>
      <c r="F1075" s="39" t="s">
        <v>291</v>
      </c>
      <c r="G1075" s="39" t="s">
        <v>267</v>
      </c>
      <c r="H1075" s="39" t="s">
        <v>305</v>
      </c>
      <c r="I1075" s="39" t="s">
        <v>314</v>
      </c>
      <c r="J1075" s="40" t="s">
        <v>380</v>
      </c>
      <c r="K1075" s="40" t="s">
        <v>380</v>
      </c>
      <c r="L1075" s="40" t="s">
        <v>380</v>
      </c>
      <c r="M1075" s="125"/>
      <c r="N1075" s="125"/>
      <c r="O1075" s="125"/>
      <c r="P1075" s="125"/>
    </row>
    <row r="1076" spans="1:16" ht="15.75">
      <c r="A1076" s="37" t="s">
        <v>397</v>
      </c>
      <c r="B1076" s="41" t="s">
        <v>344</v>
      </c>
      <c r="C1076" s="41" t="s">
        <v>346</v>
      </c>
      <c r="D1076" s="41" t="s">
        <v>345</v>
      </c>
      <c r="E1076" s="41" t="s">
        <v>348</v>
      </c>
      <c r="F1076" s="41" t="s">
        <v>344</v>
      </c>
      <c r="G1076" s="41" t="s">
        <v>348</v>
      </c>
      <c r="H1076" s="41" t="s">
        <v>349</v>
      </c>
      <c r="I1076" s="41" t="s">
        <v>348</v>
      </c>
      <c r="J1076" s="41" t="s">
        <v>380</v>
      </c>
      <c r="K1076" s="41" t="s">
        <v>380</v>
      </c>
      <c r="L1076" s="41" t="s">
        <v>380</v>
      </c>
      <c r="M1076" s="125"/>
      <c r="N1076" s="125"/>
      <c r="O1076" s="125"/>
      <c r="P1076" s="125"/>
    </row>
    <row r="1077" spans="1:16" ht="16.5" thickBot="1">
      <c r="A1077" s="42" t="s">
        <v>343</v>
      </c>
      <c r="B1077" s="43">
        <v>42623.42291666667</v>
      </c>
      <c r="C1077" s="43">
        <v>42623.42291666667</v>
      </c>
      <c r="D1077" s="43">
        <v>0.67708333333333337</v>
      </c>
      <c r="E1077" s="43">
        <v>0.67708333333333337</v>
      </c>
      <c r="F1077" s="43">
        <v>0.67708333333333337</v>
      </c>
      <c r="G1077" s="43">
        <v>0.67708333333333337</v>
      </c>
      <c r="H1077" s="43">
        <v>42684.465277777781</v>
      </c>
      <c r="I1077" s="43">
        <v>42623.42291666667</v>
      </c>
      <c r="J1077" s="41" t="s">
        <v>380</v>
      </c>
      <c r="K1077" s="41" t="s">
        <v>380</v>
      </c>
      <c r="L1077" s="41" t="s">
        <v>380</v>
      </c>
      <c r="M1077" s="125"/>
      <c r="N1077" s="125"/>
      <c r="O1077" s="125"/>
      <c r="P1077" s="125"/>
    </row>
    <row r="1078" spans="1:16" ht="17.25" thickTop="1" thickBot="1">
      <c r="A1078" s="32"/>
      <c r="B1078" s="32"/>
      <c r="C1078" s="32"/>
      <c r="D1078" s="32"/>
      <c r="E1078" s="32"/>
      <c r="F1078" s="32"/>
      <c r="G1078" s="32"/>
      <c r="H1078" s="32"/>
      <c r="I1078" s="32"/>
      <c r="J1078" s="32"/>
      <c r="K1078" s="32"/>
      <c r="L1078" s="32"/>
      <c r="M1078" s="125"/>
      <c r="N1078" s="125"/>
      <c r="O1078" s="125"/>
      <c r="P1078" s="125"/>
    </row>
    <row r="1079" spans="1:16" ht="19.5" thickTop="1" thickBot="1">
      <c r="A1079" s="35" t="s">
        <v>399</v>
      </c>
      <c r="B1079" s="1494" t="s">
        <v>380</v>
      </c>
      <c r="C1079" s="1495"/>
      <c r="D1079" s="1494" t="s">
        <v>380</v>
      </c>
      <c r="E1079" s="1496"/>
      <c r="F1079" s="32"/>
      <c r="G1079" s="32"/>
      <c r="H1079" s="32"/>
      <c r="I1079" s="32"/>
      <c r="J1079" s="32"/>
      <c r="K1079" s="31"/>
      <c r="L1079" s="31"/>
      <c r="M1079" s="125"/>
      <c r="N1079" s="125"/>
      <c r="O1079" s="125"/>
      <c r="P1079" s="125"/>
    </row>
    <row r="1080" spans="1:16" ht="18.75" thickBot="1">
      <c r="A1080" s="37" t="s">
        <v>400</v>
      </c>
      <c r="B1080" s="1497" t="s">
        <v>380</v>
      </c>
      <c r="C1080" s="1498"/>
      <c r="D1080" s="1497" t="s">
        <v>380</v>
      </c>
      <c r="E1080" s="1499"/>
      <c r="F1080" s="31" t="s">
        <v>401</v>
      </c>
      <c r="G1080" s="1500" t="s">
        <v>402</v>
      </c>
      <c r="H1080" s="1500"/>
      <c r="I1080" s="31" t="s">
        <v>403</v>
      </c>
      <c r="J1080" s="1501">
        <f ca="1">TODAY()</f>
        <v>45944</v>
      </c>
      <c r="K1080" s="1501"/>
      <c r="L1080" s="1501"/>
      <c r="M1080" s="125"/>
      <c r="N1080" s="125"/>
      <c r="O1080" s="125"/>
      <c r="P1080" s="125"/>
    </row>
    <row r="1081" spans="1:16" ht="18.75" thickBot="1">
      <c r="A1081" s="42" t="s">
        <v>404</v>
      </c>
      <c r="B1081" s="1491" t="s">
        <v>380</v>
      </c>
      <c r="C1081" s="1492"/>
      <c r="D1081" s="1491" t="s">
        <v>380</v>
      </c>
      <c r="E1081" s="1493"/>
      <c r="F1081" s="32"/>
      <c r="G1081" s="31"/>
      <c r="H1081" s="31" t="s">
        <v>405</v>
      </c>
      <c r="I1081" s="31"/>
      <c r="J1081" s="32"/>
      <c r="K1081" s="31"/>
      <c r="L1081" s="31"/>
      <c r="M1081" s="125"/>
      <c r="N1081" s="125"/>
      <c r="O1081" s="125"/>
      <c r="P1081" s="125"/>
    </row>
    <row r="1082" spans="1:16" ht="18.75" thickTop="1">
      <c r="A1082" s="32"/>
      <c r="B1082" s="32"/>
      <c r="C1082" s="32"/>
      <c r="D1082" s="32"/>
      <c r="E1082" s="32"/>
      <c r="F1082" s="31"/>
      <c r="G1082" s="31"/>
      <c r="H1082" s="44" t="s">
        <v>406</v>
      </c>
      <c r="I1082" s="31"/>
      <c r="J1082" s="31"/>
      <c r="K1082" s="32"/>
      <c r="L1082" s="32"/>
      <c r="M1082" s="125"/>
      <c r="N1082" s="125"/>
      <c r="O1082" s="125"/>
      <c r="P1082" s="125"/>
    </row>
    <row r="1083" spans="1:16" ht="18">
      <c r="A1083" s="32"/>
      <c r="B1083" s="32"/>
      <c r="C1083" s="32"/>
      <c r="D1083" s="32"/>
      <c r="E1083" s="32"/>
      <c r="F1083" s="31"/>
      <c r="G1083" s="31"/>
      <c r="H1083" s="32"/>
      <c r="I1083" s="31"/>
      <c r="J1083" s="32"/>
      <c r="K1083" s="32"/>
      <c r="L1083" s="32"/>
      <c r="M1083" s="125"/>
      <c r="N1083" s="125"/>
      <c r="O1083" s="125"/>
      <c r="P1083" s="125"/>
    </row>
    <row r="1084" spans="1:16" ht="18">
      <c r="A1084" s="1500" t="s">
        <v>78</v>
      </c>
      <c r="B1084" s="1500"/>
      <c r="C1084" s="1500"/>
      <c r="D1084" s="1500"/>
      <c r="E1084" s="1500"/>
      <c r="F1084" s="1500"/>
      <c r="G1084" s="1500"/>
      <c r="H1084" s="1500"/>
      <c r="I1084" s="1500"/>
      <c r="J1084" s="1500"/>
      <c r="K1084" s="1500"/>
      <c r="L1084" s="1500"/>
      <c r="M1084" s="125"/>
      <c r="N1084" s="125"/>
      <c r="O1084" s="125"/>
      <c r="P1084" s="125"/>
    </row>
    <row r="1085" spans="1:16" ht="18">
      <c r="A1085" s="1500" t="s">
        <v>79</v>
      </c>
      <c r="B1085" s="1500"/>
      <c r="C1085" s="1500"/>
      <c r="D1085" s="1500"/>
      <c r="E1085" s="1500"/>
      <c r="F1085" s="1500"/>
      <c r="G1085" s="1500"/>
      <c r="H1085" s="1500"/>
      <c r="I1085" s="1500"/>
      <c r="J1085" s="1500"/>
      <c r="K1085" s="1500"/>
      <c r="L1085" s="1500"/>
      <c r="M1085" s="125"/>
      <c r="N1085" s="125"/>
      <c r="O1085" s="125"/>
      <c r="P1085" s="125"/>
    </row>
    <row r="1086" spans="1:16" ht="18">
      <c r="A1086" s="30" t="s">
        <v>220</v>
      </c>
      <c r="B1086" s="31"/>
      <c r="C1086" s="31"/>
      <c r="D1086" s="31"/>
      <c r="E1086" s="31"/>
      <c r="F1086" s="31"/>
      <c r="G1086" s="31"/>
      <c r="H1086" s="31"/>
      <c r="I1086" s="31"/>
      <c r="J1086" s="31"/>
      <c r="K1086" s="31"/>
      <c r="L1086" s="31"/>
      <c r="M1086" s="125"/>
      <c r="N1086" s="125"/>
      <c r="O1086" s="125"/>
      <c r="P1086" s="125"/>
    </row>
    <row r="1087" spans="1:16" ht="18">
      <c r="A1087" s="30" t="s">
        <v>361</v>
      </c>
      <c r="B1087" s="31"/>
      <c r="C1087" s="31"/>
      <c r="D1087" s="31"/>
      <c r="E1087" s="31"/>
      <c r="F1087" s="31"/>
      <c r="G1087" s="31"/>
      <c r="H1087" s="31"/>
      <c r="I1087" s="31"/>
      <c r="J1087" s="31"/>
      <c r="K1087" s="31"/>
      <c r="L1087" s="31"/>
      <c r="M1087" s="125"/>
      <c r="N1087" s="125"/>
      <c r="O1087" s="125"/>
      <c r="P1087" s="125"/>
    </row>
    <row r="1088" spans="1:16" ht="18.75" thickBot="1">
      <c r="A1088" s="31"/>
      <c r="B1088" s="31"/>
      <c r="C1088" s="31"/>
      <c r="D1088" s="31"/>
      <c r="E1088" s="31"/>
      <c r="F1088" s="31"/>
      <c r="G1088" s="31"/>
      <c r="H1088" s="31"/>
      <c r="I1088" s="31"/>
      <c r="J1088" s="31"/>
      <c r="K1088" s="31"/>
      <c r="L1088" s="31"/>
      <c r="M1088" s="125"/>
      <c r="N1088" s="125"/>
      <c r="O1088" s="125"/>
      <c r="P1088" s="125"/>
    </row>
    <row r="1089" spans="1:16" ht="24" thickBot="1">
      <c r="A1089" s="31"/>
      <c r="B1089" s="31"/>
      <c r="C1089" s="1515" t="s">
        <v>362</v>
      </c>
      <c r="D1089" s="1516"/>
      <c r="E1089" s="1516"/>
      <c r="F1089" s="1516"/>
      <c r="G1089" s="1517"/>
      <c r="H1089" s="1518" t="s">
        <v>10</v>
      </c>
      <c r="I1089" s="1519"/>
      <c r="J1089" s="31"/>
      <c r="K1089" s="31"/>
      <c r="L1089" s="31"/>
      <c r="M1089" s="125"/>
      <c r="N1089" s="125"/>
      <c r="O1089" s="125"/>
      <c r="P1089" s="125"/>
    </row>
    <row r="1090" spans="1:16" ht="18">
      <c r="A1090" s="31"/>
      <c r="B1090" s="31"/>
      <c r="C1090" s="31"/>
      <c r="D1090" s="31"/>
      <c r="E1090" s="31"/>
      <c r="F1090" s="31"/>
      <c r="G1090" s="31"/>
      <c r="H1090" s="31"/>
      <c r="I1090" s="31"/>
      <c r="J1090" s="31"/>
      <c r="K1090" s="31"/>
      <c r="L1090" s="31"/>
      <c r="M1090" s="125"/>
      <c r="N1090" s="125"/>
      <c r="O1090" s="125"/>
      <c r="P1090" s="125"/>
    </row>
    <row r="1091" spans="1:16" ht="18">
      <c r="A1091" s="30" t="s">
        <v>363</v>
      </c>
      <c r="B1091" s="31"/>
      <c r="C1091" s="1500" t="s">
        <v>432</v>
      </c>
      <c r="D1091" s="1500"/>
      <c r="E1091" s="1500"/>
      <c r="F1091" s="31"/>
      <c r="G1091" s="31" t="s">
        <v>364</v>
      </c>
      <c r="H1091" s="31"/>
      <c r="I1091" s="1500"/>
      <c r="J1091" s="1500"/>
      <c r="K1091" s="1500"/>
      <c r="L1091" s="31"/>
      <c r="M1091" s="125"/>
      <c r="N1091" s="125"/>
      <c r="O1091" s="125"/>
      <c r="P1091" s="125"/>
    </row>
    <row r="1092" spans="1:16" ht="18.75" thickBot="1">
      <c r="A1092" s="30" t="s">
        <v>365</v>
      </c>
      <c r="B1092" s="31"/>
      <c r="C1092" s="31">
        <v>5</v>
      </c>
      <c r="D1092" s="31"/>
      <c r="E1092" s="31"/>
      <c r="F1092" s="31"/>
      <c r="G1092" s="31" t="s">
        <v>366</v>
      </c>
      <c r="H1092" s="31"/>
      <c r="I1092" s="31">
        <v>34</v>
      </c>
      <c r="J1092" s="31"/>
      <c r="K1092" s="31"/>
      <c r="L1092" s="31"/>
      <c r="M1092" s="125"/>
      <c r="N1092" s="125"/>
      <c r="O1092" s="125"/>
      <c r="P1092" s="125"/>
    </row>
    <row r="1093" spans="1:16" ht="17.25" thickTop="1" thickBot="1">
      <c r="A1093" s="1510" t="s">
        <v>367</v>
      </c>
      <c r="B1093" s="1511"/>
      <c r="C1093" s="1512" t="s">
        <v>360</v>
      </c>
      <c r="D1093" s="1513"/>
      <c r="E1093" s="1512" t="s">
        <v>368</v>
      </c>
      <c r="F1093" s="1513"/>
      <c r="G1093" s="1512" t="s">
        <v>369</v>
      </c>
      <c r="H1093" s="1513"/>
      <c r="I1093" s="1512" t="s">
        <v>370</v>
      </c>
      <c r="J1093" s="1513"/>
      <c r="K1093" s="1512" t="s">
        <v>371</v>
      </c>
      <c r="L1093" s="1514"/>
      <c r="M1093" s="125"/>
      <c r="N1093" s="125"/>
      <c r="O1093" s="125"/>
      <c r="P1093" s="125"/>
    </row>
    <row r="1094" spans="1:16" ht="17.25" thickTop="1" thickBot="1">
      <c r="A1094" s="1506" t="s">
        <v>372</v>
      </c>
      <c r="B1094" s="1507"/>
      <c r="C1094" s="1504" t="s">
        <v>270</v>
      </c>
      <c r="D1094" s="1505"/>
      <c r="E1094" s="1504" t="s">
        <v>385</v>
      </c>
      <c r="F1094" s="1505"/>
      <c r="G1094" s="1504" t="s">
        <v>386</v>
      </c>
      <c r="H1094" s="1505"/>
      <c r="I1094" s="1504" t="s">
        <v>384</v>
      </c>
      <c r="J1094" s="1505"/>
      <c r="K1094" s="1504" t="s">
        <v>407</v>
      </c>
      <c r="L1094" s="1505"/>
      <c r="M1094" s="125"/>
      <c r="N1094" s="125"/>
      <c r="O1094" s="125"/>
      <c r="P1094" s="125"/>
    </row>
    <row r="1095" spans="1:16" ht="17.25" thickTop="1" thickBot="1">
      <c r="A1095" s="1506" t="s">
        <v>373</v>
      </c>
      <c r="B1095" s="1507"/>
      <c r="C1095" s="1504" t="s">
        <v>408</v>
      </c>
      <c r="D1095" s="1505"/>
      <c r="E1095" s="1504" t="s">
        <v>270</v>
      </c>
      <c r="F1095" s="1505"/>
      <c r="G1095" s="1504" t="s">
        <v>408</v>
      </c>
      <c r="H1095" s="1505"/>
      <c r="I1095" s="1504" t="s">
        <v>290</v>
      </c>
      <c r="J1095" s="1505"/>
      <c r="K1095" s="1504" t="s">
        <v>409</v>
      </c>
      <c r="L1095" s="1505"/>
      <c r="M1095" s="125"/>
      <c r="N1095" s="125"/>
      <c r="O1095" s="125"/>
      <c r="P1095" s="125"/>
    </row>
    <row r="1096" spans="1:16" ht="17.25" thickTop="1" thickBot="1">
      <c r="A1096" s="1506" t="s">
        <v>374</v>
      </c>
      <c r="B1096" s="1507"/>
      <c r="C1096" s="1504" t="s">
        <v>262</v>
      </c>
      <c r="D1096" s="1505"/>
      <c r="E1096" s="1504" t="s">
        <v>386</v>
      </c>
      <c r="F1096" s="1505"/>
      <c r="G1096" s="1504" t="s">
        <v>262</v>
      </c>
      <c r="H1096" s="1505"/>
      <c r="I1096" s="1504" t="s">
        <v>385</v>
      </c>
      <c r="J1096" s="1505"/>
      <c r="K1096" s="1504" t="s">
        <v>407</v>
      </c>
      <c r="L1096" s="1505"/>
      <c r="M1096" s="125"/>
      <c r="N1096" s="125"/>
      <c r="O1096" s="125"/>
      <c r="P1096" s="125"/>
    </row>
    <row r="1097" spans="1:16" ht="17.25" thickTop="1" thickBot="1">
      <c r="A1097" s="1502" t="s">
        <v>375</v>
      </c>
      <c r="B1097" s="1503"/>
      <c r="C1097" s="1504" t="s">
        <v>262</v>
      </c>
      <c r="D1097" s="1505"/>
      <c r="E1097" s="1504" t="s">
        <v>262</v>
      </c>
      <c r="F1097" s="1505"/>
      <c r="G1097" s="1504" t="s">
        <v>262</v>
      </c>
      <c r="H1097" s="1505"/>
      <c r="I1097" s="1504" t="s">
        <v>308</v>
      </c>
      <c r="J1097" s="1505"/>
      <c r="K1097" s="1504" t="s">
        <v>409</v>
      </c>
      <c r="L1097" s="1505"/>
      <c r="M1097" s="125"/>
      <c r="N1097" s="125"/>
      <c r="O1097" s="125"/>
      <c r="P1097" s="125"/>
    </row>
    <row r="1098" spans="1:16" ht="17.25" thickTop="1" thickBot="1">
      <c r="A1098" s="32"/>
      <c r="B1098" s="32"/>
      <c r="C1098" s="32"/>
      <c r="D1098" s="32"/>
      <c r="E1098" s="32"/>
      <c r="F1098" s="32"/>
      <c r="G1098" s="32"/>
      <c r="H1098" s="32"/>
      <c r="I1098" s="45"/>
      <c r="J1098" s="45"/>
      <c r="K1098" s="32"/>
      <c r="L1098" s="32"/>
      <c r="M1098" s="125"/>
      <c r="N1098" s="125"/>
      <c r="O1098" s="125"/>
      <c r="P1098" s="125"/>
    </row>
    <row r="1099" spans="1:16" ht="17.25" thickTop="1" thickBot="1">
      <c r="A1099" s="1508" t="s">
        <v>376</v>
      </c>
      <c r="B1099" s="1509"/>
      <c r="C1099" s="1504" t="s">
        <v>384</v>
      </c>
      <c r="D1099" s="1505"/>
      <c r="E1099" s="1504" t="s">
        <v>384</v>
      </c>
      <c r="F1099" s="1505"/>
      <c r="G1099" s="1504" t="s">
        <v>384</v>
      </c>
      <c r="H1099" s="1505"/>
      <c r="I1099" s="1504" t="s">
        <v>262</v>
      </c>
      <c r="J1099" s="1505"/>
      <c r="K1099" s="1504" t="s">
        <v>387</v>
      </c>
      <c r="L1099" s="1505"/>
      <c r="M1099" s="125"/>
      <c r="N1099" s="125"/>
      <c r="O1099" s="125"/>
      <c r="P1099" s="125"/>
    </row>
    <row r="1100" spans="1:16" ht="17.25" thickTop="1" thickBot="1">
      <c r="A1100" s="1506" t="s">
        <v>377</v>
      </c>
      <c r="B1100" s="1507"/>
      <c r="C1100" s="1504" t="s">
        <v>433</v>
      </c>
      <c r="D1100" s="1505"/>
      <c r="E1100" s="1504" t="s">
        <v>290</v>
      </c>
      <c r="F1100" s="1505"/>
      <c r="G1100" s="1504" t="s">
        <v>290</v>
      </c>
      <c r="H1100" s="1505"/>
      <c r="I1100" s="1504" t="s">
        <v>383</v>
      </c>
      <c r="J1100" s="1505"/>
      <c r="K1100" s="1504" t="s">
        <v>387</v>
      </c>
      <c r="L1100" s="1505"/>
      <c r="M1100" s="125"/>
      <c r="N1100" s="125"/>
      <c r="O1100" s="125"/>
      <c r="P1100" s="125"/>
    </row>
    <row r="1101" spans="1:16" ht="17.25" thickTop="1" thickBot="1">
      <c r="A1101" s="1506" t="s">
        <v>378</v>
      </c>
      <c r="B1101" s="1507"/>
      <c r="C1101" s="1504" t="s">
        <v>434</v>
      </c>
      <c r="D1101" s="1505"/>
      <c r="E1101" s="1504"/>
      <c r="F1101" s="1505"/>
      <c r="G1101" s="1504" t="s">
        <v>352</v>
      </c>
      <c r="H1101" s="1505"/>
      <c r="I1101" s="1504" t="s">
        <v>386</v>
      </c>
      <c r="J1101" s="1505"/>
      <c r="K1101" s="1504"/>
      <c r="L1101" s="1505"/>
      <c r="M1101" s="125"/>
      <c r="N1101" s="125"/>
      <c r="O1101" s="125"/>
      <c r="P1101" s="125"/>
    </row>
    <row r="1102" spans="1:16" ht="17.25" thickTop="1" thickBot="1">
      <c r="A1102" s="1502" t="s">
        <v>379</v>
      </c>
      <c r="B1102" s="1503"/>
      <c r="C1102" s="1504">
        <v>0</v>
      </c>
      <c r="D1102" s="1505"/>
      <c r="E1102" s="1504">
        <v>0</v>
      </c>
      <c r="F1102" s="1505"/>
      <c r="G1102" s="1504">
        <v>0</v>
      </c>
      <c r="H1102" s="1505"/>
      <c r="I1102" s="1504">
        <v>0</v>
      </c>
      <c r="J1102" s="1505"/>
      <c r="K1102" s="1504" t="s">
        <v>380</v>
      </c>
      <c r="L1102" s="1505"/>
      <c r="M1102" s="125"/>
      <c r="N1102" s="125"/>
      <c r="O1102" s="125"/>
      <c r="P1102" s="125"/>
    </row>
    <row r="1103" spans="1:16" ht="17.25" thickTop="1" thickBot="1">
      <c r="A1103" s="32"/>
      <c r="B1103" s="32"/>
      <c r="C1103" s="32"/>
      <c r="D1103" s="32"/>
      <c r="E1103" s="32"/>
      <c r="F1103" s="32"/>
      <c r="G1103" s="32"/>
      <c r="H1103" s="32"/>
      <c r="I1103" s="32"/>
      <c r="J1103" s="32"/>
      <c r="K1103" s="32"/>
      <c r="L1103" s="32"/>
      <c r="M1103" s="125"/>
      <c r="N1103" s="125"/>
      <c r="O1103" s="125"/>
      <c r="P1103" s="125"/>
    </row>
    <row r="1104" spans="1:16" ht="16.5" thickTop="1">
      <c r="A1104" s="35" t="s">
        <v>381</v>
      </c>
      <c r="B1104" s="36" t="s">
        <v>262</v>
      </c>
      <c r="C1104" s="36" t="s">
        <v>270</v>
      </c>
      <c r="D1104" s="36" t="s">
        <v>408</v>
      </c>
      <c r="E1104" s="36" t="s">
        <v>383</v>
      </c>
      <c r="F1104" s="36" t="s">
        <v>384</v>
      </c>
      <c r="G1104" s="36" t="s">
        <v>385</v>
      </c>
      <c r="H1104" s="36" t="s">
        <v>290</v>
      </c>
      <c r="I1104" s="36" t="s">
        <v>386</v>
      </c>
      <c r="J1104" s="36" t="s">
        <v>435</v>
      </c>
      <c r="K1104" s="36" t="s">
        <v>308</v>
      </c>
      <c r="L1104" s="36" t="s">
        <v>387</v>
      </c>
      <c r="M1104" s="125"/>
      <c r="N1104" s="125"/>
      <c r="O1104" s="125"/>
      <c r="P1104" s="125"/>
    </row>
    <row r="1105" spans="1:16" ht="15.75">
      <c r="A1105" s="37" t="s">
        <v>388</v>
      </c>
      <c r="B1105" s="38" t="s">
        <v>420</v>
      </c>
      <c r="C1105" s="38" t="s">
        <v>436</v>
      </c>
      <c r="D1105" s="38" t="s">
        <v>436</v>
      </c>
      <c r="E1105" s="38" t="s">
        <v>357</v>
      </c>
      <c r="F1105" s="38" t="s">
        <v>419</v>
      </c>
      <c r="G1105" s="38" t="s">
        <v>359</v>
      </c>
      <c r="H1105" s="38" t="s">
        <v>393</v>
      </c>
      <c r="I1105" s="38" t="s">
        <v>393</v>
      </c>
      <c r="J1105" s="38" t="s">
        <v>391</v>
      </c>
      <c r="K1105" s="38" t="s">
        <v>391</v>
      </c>
      <c r="L1105" s="38" t="s">
        <v>359</v>
      </c>
      <c r="M1105" s="125"/>
      <c r="N1105" s="125"/>
      <c r="O1105" s="125"/>
      <c r="P1105" s="125"/>
    </row>
    <row r="1106" spans="1:16" ht="15.75">
      <c r="A1106" s="37" t="s">
        <v>394</v>
      </c>
      <c r="B1106" s="39" t="s">
        <v>274</v>
      </c>
      <c r="C1106" s="39" t="s">
        <v>273</v>
      </c>
      <c r="D1106" s="39" t="s">
        <v>280</v>
      </c>
      <c r="E1106" s="39" t="s">
        <v>281</v>
      </c>
      <c r="F1106" s="39" t="s">
        <v>286</v>
      </c>
      <c r="G1106" s="39" t="s">
        <v>289</v>
      </c>
      <c r="H1106" s="39" t="s">
        <v>291</v>
      </c>
      <c r="I1106" s="39" t="s">
        <v>267</v>
      </c>
      <c r="J1106" s="39" t="s">
        <v>432</v>
      </c>
      <c r="K1106" s="39" t="s">
        <v>309</v>
      </c>
      <c r="L1106" s="39" t="s">
        <v>314</v>
      </c>
      <c r="M1106" s="125"/>
      <c r="N1106" s="125"/>
      <c r="O1106" s="125"/>
      <c r="P1106" s="125"/>
    </row>
    <row r="1107" spans="1:16" ht="15.75">
      <c r="A1107" s="37" t="s">
        <v>397</v>
      </c>
      <c r="B1107" s="41" t="s">
        <v>345</v>
      </c>
      <c r="C1107" s="41" t="s">
        <v>345</v>
      </c>
      <c r="D1107" s="41" t="s">
        <v>346</v>
      </c>
      <c r="E1107" s="41" t="s">
        <v>346</v>
      </c>
      <c r="F1107" s="41" t="s">
        <v>346</v>
      </c>
      <c r="G1107" s="41" t="s">
        <v>346</v>
      </c>
      <c r="H1107" s="41" t="s">
        <v>344</v>
      </c>
      <c r="I1107" s="41" t="s">
        <v>348</v>
      </c>
      <c r="J1107" s="41" t="s">
        <v>348</v>
      </c>
      <c r="K1107" s="41" t="s">
        <v>345</v>
      </c>
      <c r="L1107" s="41" t="s">
        <v>348</v>
      </c>
      <c r="M1107" s="125"/>
      <c r="N1107" s="125"/>
      <c r="O1107" s="125"/>
      <c r="P1107" s="125"/>
    </row>
    <row r="1108" spans="1:16" ht="16.5" thickBot="1">
      <c r="A1108" s="42" t="s">
        <v>343</v>
      </c>
      <c r="B1108" s="43">
        <v>0.67708333333333337</v>
      </c>
      <c r="C1108" s="43">
        <v>42684.465277777781</v>
      </c>
      <c r="D1108" s="43">
        <v>42684.465277777781</v>
      </c>
      <c r="E1108" s="43">
        <v>42623.42291666667</v>
      </c>
      <c r="F1108" s="43">
        <v>42684.507638888892</v>
      </c>
      <c r="G1108" s="43">
        <v>0.67708333333333337</v>
      </c>
      <c r="H1108" s="43">
        <v>0.67708333333333337</v>
      </c>
      <c r="I1108" s="43">
        <v>0.67708333333333337</v>
      </c>
      <c r="J1108" s="43">
        <v>42623.42291666667</v>
      </c>
      <c r="K1108" s="43">
        <v>42684.465277777781</v>
      </c>
      <c r="L1108" s="43">
        <v>42623.42291666667</v>
      </c>
      <c r="M1108" s="125"/>
      <c r="N1108" s="125"/>
      <c r="O1108" s="125"/>
      <c r="P1108" s="125"/>
    </row>
    <row r="1109" spans="1:16" ht="17.25" thickTop="1" thickBot="1">
      <c r="A1109" s="32"/>
      <c r="B1109" s="32"/>
      <c r="C1109" s="32"/>
      <c r="D1109" s="32"/>
      <c r="E1109" s="32"/>
      <c r="F1109" s="32"/>
      <c r="G1109" s="32"/>
      <c r="H1109" s="32"/>
      <c r="I1109" s="32"/>
      <c r="J1109" s="32"/>
      <c r="K1109" s="32"/>
      <c r="L1109" s="32"/>
      <c r="M1109" s="125"/>
      <c r="N1109" s="125"/>
      <c r="O1109" s="125"/>
      <c r="P1109" s="125"/>
    </row>
    <row r="1110" spans="1:16" ht="19.5" thickTop="1" thickBot="1">
      <c r="A1110" s="35" t="s">
        <v>399</v>
      </c>
      <c r="B1110" s="1494" t="s">
        <v>380</v>
      </c>
      <c r="C1110" s="1495"/>
      <c r="D1110" s="1494" t="s">
        <v>380</v>
      </c>
      <c r="E1110" s="1496"/>
      <c r="F1110" s="32"/>
      <c r="G1110" s="32"/>
      <c r="H1110" s="32"/>
      <c r="I1110" s="32"/>
      <c r="J1110" s="32"/>
      <c r="K1110" s="31"/>
      <c r="L1110" s="31"/>
      <c r="M1110" s="125"/>
      <c r="N1110" s="125"/>
      <c r="O1110" s="125"/>
      <c r="P1110" s="125"/>
    </row>
    <row r="1111" spans="1:16" ht="18.75" thickBot="1">
      <c r="A1111" s="37" t="s">
        <v>400</v>
      </c>
      <c r="B1111" s="1497" t="s">
        <v>309</v>
      </c>
      <c r="C1111" s="1498"/>
      <c r="D1111" s="1497" t="s">
        <v>425</v>
      </c>
      <c r="E1111" s="1499"/>
      <c r="F1111" s="31" t="s">
        <v>401</v>
      </c>
      <c r="G1111" s="1500" t="s">
        <v>402</v>
      </c>
      <c r="H1111" s="1500"/>
      <c r="I1111" s="31" t="s">
        <v>403</v>
      </c>
      <c r="J1111" s="1501">
        <f ca="1">TODAY()</f>
        <v>45944</v>
      </c>
      <c r="K1111" s="1501"/>
      <c r="L1111" s="1501"/>
      <c r="M1111" s="125"/>
      <c r="N1111" s="125"/>
      <c r="O1111" s="125"/>
      <c r="P1111" s="125"/>
    </row>
    <row r="1112" spans="1:16" ht="18.75" thickBot="1">
      <c r="A1112" s="42" t="s">
        <v>404</v>
      </c>
      <c r="B1112" s="1491" t="s">
        <v>380</v>
      </c>
      <c r="C1112" s="1492"/>
      <c r="D1112" s="1491" t="s">
        <v>380</v>
      </c>
      <c r="E1112" s="1493"/>
      <c r="F1112" s="32"/>
      <c r="G1112" s="31"/>
      <c r="H1112" s="31" t="s">
        <v>405</v>
      </c>
      <c r="I1112" s="31"/>
      <c r="J1112" s="32"/>
      <c r="K1112" s="31"/>
      <c r="L1112" s="31"/>
      <c r="M1112" s="125"/>
      <c r="N1112" s="125"/>
      <c r="O1112" s="125"/>
      <c r="P1112" s="125"/>
    </row>
    <row r="1113" spans="1:16" ht="18.75" thickTop="1">
      <c r="A1113" s="32"/>
      <c r="B1113" s="32"/>
      <c r="C1113" s="32"/>
      <c r="D1113" s="32"/>
      <c r="E1113" s="32"/>
      <c r="F1113" s="31"/>
      <c r="G1113" s="31"/>
      <c r="H1113" s="44" t="s">
        <v>406</v>
      </c>
      <c r="I1113" s="31"/>
      <c r="J1113" s="31"/>
      <c r="K1113" s="32"/>
      <c r="L1113" s="32"/>
      <c r="M1113" s="125"/>
      <c r="N1113" s="125"/>
      <c r="O1113" s="125"/>
      <c r="P1113" s="125"/>
    </row>
    <row r="1114" spans="1:16" ht="18">
      <c r="A1114" s="32"/>
      <c r="B1114" s="32"/>
      <c r="C1114" s="32"/>
      <c r="D1114" s="32"/>
      <c r="E1114" s="32"/>
      <c r="F1114" s="31"/>
      <c r="G1114" s="31"/>
      <c r="H1114" s="32"/>
      <c r="I1114" s="31"/>
      <c r="J1114" s="32"/>
      <c r="K1114" s="32"/>
      <c r="L1114" s="32"/>
      <c r="M1114" s="125"/>
      <c r="N1114" s="125"/>
      <c r="O1114" s="125"/>
      <c r="P1114" s="125"/>
    </row>
    <row r="1115" spans="1:16" ht="18">
      <c r="A1115" s="1500" t="s">
        <v>78</v>
      </c>
      <c r="B1115" s="1500"/>
      <c r="C1115" s="1500"/>
      <c r="D1115" s="1500"/>
      <c r="E1115" s="1500"/>
      <c r="F1115" s="1500"/>
      <c r="G1115" s="1500"/>
      <c r="H1115" s="1500"/>
      <c r="I1115" s="1500"/>
      <c r="J1115" s="1500"/>
      <c r="K1115" s="1500"/>
      <c r="L1115" s="1500"/>
      <c r="M1115" s="125"/>
      <c r="N1115" s="125"/>
      <c r="O1115" s="125"/>
      <c r="P1115" s="125"/>
    </row>
    <row r="1116" spans="1:16" ht="18">
      <c r="A1116" s="1500" t="s">
        <v>79</v>
      </c>
      <c r="B1116" s="1500"/>
      <c r="C1116" s="1500"/>
      <c r="D1116" s="1500"/>
      <c r="E1116" s="1500"/>
      <c r="F1116" s="1500"/>
      <c r="G1116" s="1500"/>
      <c r="H1116" s="1500"/>
      <c r="I1116" s="1500"/>
      <c r="J1116" s="1500"/>
      <c r="K1116" s="1500"/>
      <c r="L1116" s="1500"/>
      <c r="M1116" s="125"/>
      <c r="N1116" s="125"/>
      <c r="O1116" s="125"/>
      <c r="P1116" s="125"/>
    </row>
    <row r="1117" spans="1:16" ht="18">
      <c r="A1117" s="30" t="s">
        <v>220</v>
      </c>
      <c r="B1117" s="31"/>
      <c r="C1117" s="31"/>
      <c r="D1117" s="31"/>
      <c r="E1117" s="31"/>
      <c r="F1117" s="31"/>
      <c r="G1117" s="31"/>
      <c r="H1117" s="31"/>
      <c r="I1117" s="31"/>
      <c r="J1117" s="31"/>
      <c r="K1117" s="31"/>
      <c r="L1117" s="31"/>
      <c r="M1117" s="125"/>
      <c r="N1117" s="125"/>
      <c r="O1117" s="125"/>
      <c r="P1117" s="125"/>
    </row>
    <row r="1118" spans="1:16" ht="18">
      <c r="A1118" s="30" t="s">
        <v>361</v>
      </c>
      <c r="B1118" s="31"/>
      <c r="C1118" s="31"/>
      <c r="D1118" s="31"/>
      <c r="E1118" s="31"/>
      <c r="F1118" s="31"/>
      <c r="G1118" s="31"/>
      <c r="H1118" s="31"/>
      <c r="I1118" s="31"/>
      <c r="J1118" s="31"/>
      <c r="K1118" s="31"/>
      <c r="L1118" s="31"/>
      <c r="M1118" s="125"/>
      <c r="N1118" s="125"/>
      <c r="O1118" s="125"/>
      <c r="P1118" s="125"/>
    </row>
    <row r="1119" spans="1:16" ht="18.75" thickBot="1">
      <c r="A1119" s="31"/>
      <c r="B1119" s="31"/>
      <c r="C1119" s="31"/>
      <c r="D1119" s="31"/>
      <c r="E1119" s="31"/>
      <c r="F1119" s="31"/>
      <c r="G1119" s="31"/>
      <c r="H1119" s="31"/>
      <c r="I1119" s="31"/>
      <c r="J1119" s="31"/>
      <c r="K1119" s="31"/>
      <c r="L1119" s="31"/>
      <c r="M1119" s="125"/>
      <c r="N1119" s="125"/>
      <c r="O1119" s="125"/>
      <c r="P1119" s="125"/>
    </row>
    <row r="1120" spans="1:16" ht="24" thickBot="1">
      <c r="A1120" s="31"/>
      <c r="B1120" s="31"/>
      <c r="C1120" s="1515" t="s">
        <v>362</v>
      </c>
      <c r="D1120" s="1516"/>
      <c r="E1120" s="1516"/>
      <c r="F1120" s="1516"/>
      <c r="G1120" s="1517"/>
      <c r="H1120" s="1518" t="s">
        <v>11</v>
      </c>
      <c r="I1120" s="1519"/>
      <c r="J1120" s="31"/>
      <c r="K1120" s="31"/>
      <c r="L1120" s="31"/>
      <c r="M1120" s="125"/>
      <c r="N1120" s="125"/>
      <c r="O1120" s="125"/>
      <c r="P1120" s="125"/>
    </row>
    <row r="1121" spans="1:16" ht="18">
      <c r="A1121" s="31"/>
      <c r="B1121" s="31"/>
      <c r="C1121" s="31"/>
      <c r="D1121" s="31"/>
      <c r="E1121" s="31"/>
      <c r="F1121" s="31"/>
      <c r="G1121" s="31"/>
      <c r="H1121" s="31"/>
      <c r="I1121" s="31"/>
      <c r="J1121" s="31"/>
      <c r="K1121" s="31"/>
      <c r="L1121" s="31"/>
      <c r="M1121" s="125"/>
      <c r="N1121" s="125"/>
      <c r="O1121" s="125"/>
      <c r="P1121" s="125"/>
    </row>
    <row r="1122" spans="1:16" ht="18">
      <c r="A1122" s="30" t="s">
        <v>363</v>
      </c>
      <c r="B1122" s="31"/>
      <c r="C1122" s="1500" t="s">
        <v>292</v>
      </c>
      <c r="D1122" s="1500"/>
      <c r="E1122" s="1500"/>
      <c r="F1122" s="31"/>
      <c r="G1122" s="31" t="s">
        <v>364</v>
      </c>
      <c r="H1122" s="31"/>
      <c r="I1122" s="1500"/>
      <c r="J1122" s="1500"/>
      <c r="K1122" s="1500"/>
      <c r="L1122" s="31"/>
      <c r="M1122" s="125"/>
      <c r="N1122" s="125"/>
      <c r="O1122" s="125"/>
      <c r="P1122" s="125"/>
    </row>
    <row r="1123" spans="1:16" ht="18.75" thickBot="1">
      <c r="A1123" s="30" t="s">
        <v>365</v>
      </c>
      <c r="B1123" s="31"/>
      <c r="C1123" s="31">
        <v>6</v>
      </c>
      <c r="D1123" s="31"/>
      <c r="E1123" s="31"/>
      <c r="F1123" s="31"/>
      <c r="G1123" s="31" t="s">
        <v>366</v>
      </c>
      <c r="H1123" s="31"/>
      <c r="I1123" s="31">
        <v>35</v>
      </c>
      <c r="J1123" s="31"/>
      <c r="K1123" s="31"/>
      <c r="L1123" s="31"/>
      <c r="M1123" s="125"/>
      <c r="N1123" s="125"/>
      <c r="O1123" s="125"/>
      <c r="P1123" s="125"/>
    </row>
    <row r="1124" spans="1:16" ht="17.25" thickTop="1" thickBot="1">
      <c r="A1124" s="1510" t="s">
        <v>367</v>
      </c>
      <c r="B1124" s="1511"/>
      <c r="C1124" s="1512" t="s">
        <v>360</v>
      </c>
      <c r="D1124" s="1513"/>
      <c r="E1124" s="1512" t="s">
        <v>368</v>
      </c>
      <c r="F1124" s="1513"/>
      <c r="G1124" s="1512" t="s">
        <v>369</v>
      </c>
      <c r="H1124" s="1513"/>
      <c r="I1124" s="1512" t="s">
        <v>370</v>
      </c>
      <c r="J1124" s="1513"/>
      <c r="K1124" s="1512" t="s">
        <v>371</v>
      </c>
      <c r="L1124" s="1514"/>
      <c r="M1124" s="125"/>
      <c r="N1124" s="125"/>
      <c r="O1124" s="125"/>
      <c r="P1124" s="125"/>
    </row>
    <row r="1125" spans="1:16" ht="17.25" thickTop="1" thickBot="1">
      <c r="A1125" s="1506" t="s">
        <v>372</v>
      </c>
      <c r="B1125" s="1507"/>
      <c r="C1125" s="1504" t="s">
        <v>407</v>
      </c>
      <c r="D1125" s="1505"/>
      <c r="E1125" s="1504" t="s">
        <v>408</v>
      </c>
      <c r="F1125" s="1505"/>
      <c r="G1125" s="1504" t="s">
        <v>270</v>
      </c>
      <c r="H1125" s="1505"/>
      <c r="I1125" s="1504" t="s">
        <v>262</v>
      </c>
      <c r="J1125" s="1505"/>
      <c r="K1125" s="1504" t="s">
        <v>408</v>
      </c>
      <c r="L1125" s="1505"/>
      <c r="M1125" s="125"/>
      <c r="N1125" s="125"/>
      <c r="O1125" s="125"/>
      <c r="P1125" s="125"/>
    </row>
    <row r="1126" spans="1:16" ht="17.25" thickTop="1" thickBot="1">
      <c r="A1126" s="1506" t="s">
        <v>373</v>
      </c>
      <c r="B1126" s="1507"/>
      <c r="C1126" s="1504" t="s">
        <v>409</v>
      </c>
      <c r="D1126" s="1505"/>
      <c r="E1126" s="1504" t="s">
        <v>385</v>
      </c>
      <c r="F1126" s="1505"/>
      <c r="G1126" s="1504" t="s">
        <v>384</v>
      </c>
      <c r="H1126" s="1505"/>
      <c r="I1126" s="1504" t="s">
        <v>384</v>
      </c>
      <c r="J1126" s="1505"/>
      <c r="K1126" s="1504" t="s">
        <v>290</v>
      </c>
      <c r="L1126" s="1505"/>
      <c r="M1126" s="125"/>
      <c r="N1126" s="125"/>
      <c r="O1126" s="125"/>
      <c r="P1126" s="125"/>
    </row>
    <row r="1127" spans="1:16" ht="17.25" thickTop="1" thickBot="1">
      <c r="A1127" s="1506" t="s">
        <v>374</v>
      </c>
      <c r="B1127" s="1507"/>
      <c r="C1127" s="1504" t="s">
        <v>407</v>
      </c>
      <c r="D1127" s="1505"/>
      <c r="E1127" s="1504" t="s">
        <v>262</v>
      </c>
      <c r="F1127" s="1505"/>
      <c r="G1127" s="1504" t="s">
        <v>262</v>
      </c>
      <c r="H1127" s="1505"/>
      <c r="I1127" s="1504" t="s">
        <v>383</v>
      </c>
      <c r="J1127" s="1505"/>
      <c r="K1127" s="1504" t="s">
        <v>384</v>
      </c>
      <c r="L1127" s="1505"/>
      <c r="M1127" s="125"/>
      <c r="N1127" s="125"/>
      <c r="O1127" s="125"/>
      <c r="P1127" s="125"/>
    </row>
    <row r="1128" spans="1:16" ht="17.25" thickTop="1" thickBot="1">
      <c r="A1128" s="1502" t="s">
        <v>375</v>
      </c>
      <c r="B1128" s="1503"/>
      <c r="C1128" s="1504" t="s">
        <v>409</v>
      </c>
      <c r="D1128" s="1505"/>
      <c r="E1128" s="1504" t="s">
        <v>262</v>
      </c>
      <c r="F1128" s="1505"/>
      <c r="G1128" s="1504" t="s">
        <v>262</v>
      </c>
      <c r="H1128" s="1505"/>
      <c r="I1128" s="1504" t="s">
        <v>308</v>
      </c>
      <c r="J1128" s="1505"/>
      <c r="K1128" s="1504" t="s">
        <v>270</v>
      </c>
      <c r="L1128" s="1505"/>
      <c r="M1128" s="125"/>
      <c r="N1128" s="125"/>
      <c r="O1128" s="125"/>
      <c r="P1128" s="125"/>
    </row>
    <row r="1129" spans="1:16" ht="17.25" thickTop="1" thickBot="1">
      <c r="A1129" s="32"/>
      <c r="B1129" s="32"/>
      <c r="C1129" s="32"/>
      <c r="D1129" s="32"/>
      <c r="E1129" s="32"/>
      <c r="F1129" s="32"/>
      <c r="G1129" s="32"/>
      <c r="H1129" s="32"/>
      <c r="I1129" s="45"/>
      <c r="J1129" s="45"/>
      <c r="K1129" s="32"/>
      <c r="L1129" s="32"/>
      <c r="M1129" s="125"/>
      <c r="N1129" s="125"/>
      <c r="O1129" s="125"/>
      <c r="P1129" s="125"/>
    </row>
    <row r="1130" spans="1:16" ht="17.25" thickTop="1" thickBot="1">
      <c r="A1130" s="1508" t="s">
        <v>376</v>
      </c>
      <c r="B1130" s="1509"/>
      <c r="C1130" s="1504" t="s">
        <v>352</v>
      </c>
      <c r="D1130" s="1505"/>
      <c r="E1130" s="1504" t="s">
        <v>384</v>
      </c>
      <c r="F1130" s="1505"/>
      <c r="G1130" s="1504" t="s">
        <v>386</v>
      </c>
      <c r="H1130" s="1505"/>
      <c r="I1130" s="1504" t="s">
        <v>386</v>
      </c>
      <c r="J1130" s="1505"/>
      <c r="K1130" s="1504" t="s">
        <v>387</v>
      </c>
      <c r="L1130" s="1505"/>
      <c r="M1130" s="125"/>
      <c r="N1130" s="125"/>
      <c r="O1130" s="125"/>
      <c r="P1130" s="125"/>
    </row>
    <row r="1131" spans="1:16" ht="17.25" thickTop="1" thickBot="1">
      <c r="A1131" s="1506" t="s">
        <v>377</v>
      </c>
      <c r="B1131" s="1507"/>
      <c r="C1131" s="1504" t="s">
        <v>386</v>
      </c>
      <c r="D1131" s="1505"/>
      <c r="E1131" s="1504" t="s">
        <v>433</v>
      </c>
      <c r="F1131" s="1505"/>
      <c r="G1131" s="1504" t="s">
        <v>290</v>
      </c>
      <c r="H1131" s="1505"/>
      <c r="I1131" s="1504" t="s">
        <v>290</v>
      </c>
      <c r="J1131" s="1505"/>
      <c r="K1131" s="1504" t="s">
        <v>387</v>
      </c>
      <c r="L1131" s="1505"/>
      <c r="M1131" s="125"/>
      <c r="N1131" s="125"/>
      <c r="O1131" s="125"/>
      <c r="P1131" s="125"/>
    </row>
    <row r="1132" spans="1:16" ht="17.25" thickTop="1" thickBot="1">
      <c r="A1132" s="1506" t="s">
        <v>378</v>
      </c>
      <c r="B1132" s="1507"/>
      <c r="C1132" s="1504" t="s">
        <v>262</v>
      </c>
      <c r="D1132" s="1505"/>
      <c r="E1132" s="1504" t="s">
        <v>434</v>
      </c>
      <c r="F1132" s="1505"/>
      <c r="G1132" s="1504" t="s">
        <v>385</v>
      </c>
      <c r="H1132" s="1505"/>
      <c r="I1132" s="1504"/>
      <c r="J1132" s="1505"/>
      <c r="K1132" s="1504"/>
      <c r="L1132" s="1505"/>
      <c r="M1132" s="125"/>
      <c r="N1132" s="125"/>
      <c r="O1132" s="125"/>
      <c r="P1132" s="125"/>
    </row>
    <row r="1133" spans="1:16" ht="17.25" thickTop="1" thickBot="1">
      <c r="A1133" s="1502" t="s">
        <v>379</v>
      </c>
      <c r="B1133" s="1503"/>
      <c r="C1133" s="1504">
        <v>0</v>
      </c>
      <c r="D1133" s="1505"/>
      <c r="E1133" s="1504">
        <v>0</v>
      </c>
      <c r="F1133" s="1505"/>
      <c r="G1133" s="1504">
        <v>0</v>
      </c>
      <c r="H1133" s="1505"/>
      <c r="I1133" s="1504">
        <v>0</v>
      </c>
      <c r="J1133" s="1505"/>
      <c r="K1133" s="1504" t="s">
        <v>380</v>
      </c>
      <c r="L1133" s="1505"/>
      <c r="M1133" s="125"/>
      <c r="N1133" s="125"/>
      <c r="O1133" s="125"/>
      <c r="P1133" s="125"/>
    </row>
    <row r="1134" spans="1:16" ht="17.25" thickTop="1" thickBot="1">
      <c r="A1134" s="32"/>
      <c r="B1134" s="32"/>
      <c r="C1134" s="32"/>
      <c r="D1134" s="32"/>
      <c r="E1134" s="32"/>
      <c r="F1134" s="32"/>
      <c r="G1134" s="32"/>
      <c r="H1134" s="32"/>
      <c r="I1134" s="32"/>
      <c r="J1134" s="32"/>
      <c r="K1134" s="32"/>
      <c r="L1134" s="32"/>
      <c r="M1134" s="125"/>
      <c r="N1134" s="125"/>
      <c r="O1134" s="125"/>
      <c r="P1134" s="125"/>
    </row>
    <row r="1135" spans="1:16" ht="16.5" thickTop="1">
      <c r="A1135" s="35" t="s">
        <v>381</v>
      </c>
      <c r="B1135" s="36" t="s">
        <v>262</v>
      </c>
      <c r="C1135" s="36" t="s">
        <v>270</v>
      </c>
      <c r="D1135" s="36" t="s">
        <v>408</v>
      </c>
      <c r="E1135" s="36" t="s">
        <v>383</v>
      </c>
      <c r="F1135" s="36" t="s">
        <v>384</v>
      </c>
      <c r="G1135" s="36" t="s">
        <v>385</v>
      </c>
      <c r="H1135" s="36" t="s">
        <v>290</v>
      </c>
      <c r="I1135" s="36" t="s">
        <v>386</v>
      </c>
      <c r="J1135" s="36" t="s">
        <v>435</v>
      </c>
      <c r="K1135" s="36" t="s">
        <v>308</v>
      </c>
      <c r="L1135" s="36" t="s">
        <v>387</v>
      </c>
      <c r="M1135" s="125"/>
      <c r="N1135" s="125"/>
      <c r="O1135" s="125"/>
      <c r="P1135" s="125"/>
    </row>
    <row r="1136" spans="1:16" ht="15.75">
      <c r="A1136" s="37" t="s">
        <v>388</v>
      </c>
      <c r="B1136" s="38" t="s">
        <v>420</v>
      </c>
      <c r="C1136" s="38" t="s">
        <v>436</v>
      </c>
      <c r="D1136" s="38" t="s">
        <v>436</v>
      </c>
      <c r="E1136" s="38" t="s">
        <v>357</v>
      </c>
      <c r="F1136" s="38" t="s">
        <v>419</v>
      </c>
      <c r="G1136" s="38" t="s">
        <v>359</v>
      </c>
      <c r="H1136" s="38" t="s">
        <v>393</v>
      </c>
      <c r="I1136" s="38" t="s">
        <v>393</v>
      </c>
      <c r="J1136" s="38" t="s">
        <v>391</v>
      </c>
      <c r="K1136" s="38" t="s">
        <v>391</v>
      </c>
      <c r="L1136" s="38" t="s">
        <v>359</v>
      </c>
      <c r="M1136" s="125"/>
      <c r="N1136" s="125"/>
      <c r="O1136" s="125"/>
      <c r="P1136" s="125"/>
    </row>
    <row r="1137" spans="1:16" ht="15.75">
      <c r="A1137" s="37" t="s">
        <v>394</v>
      </c>
      <c r="B1137" s="39" t="s">
        <v>427</v>
      </c>
      <c r="C1137" s="39" t="s">
        <v>411</v>
      </c>
      <c r="D1137" s="39" t="s">
        <v>428</v>
      </c>
      <c r="E1137" s="39" t="s">
        <v>281</v>
      </c>
      <c r="F1137" s="39" t="s">
        <v>284</v>
      </c>
      <c r="G1137" s="39" t="s">
        <v>426</v>
      </c>
      <c r="H1137" s="39" t="s">
        <v>292</v>
      </c>
      <c r="I1137" s="39" t="s">
        <v>267</v>
      </c>
      <c r="J1137" s="39" t="s">
        <v>432</v>
      </c>
      <c r="K1137" s="39" t="s">
        <v>437</v>
      </c>
      <c r="L1137" s="39" t="s">
        <v>313</v>
      </c>
      <c r="M1137" s="125"/>
      <c r="N1137" s="125"/>
      <c r="O1137" s="125"/>
      <c r="P1137" s="125"/>
    </row>
    <row r="1138" spans="1:16" ht="15.75">
      <c r="A1138" s="37" t="s">
        <v>397</v>
      </c>
      <c r="B1138" s="41" t="s">
        <v>344</v>
      </c>
      <c r="C1138" s="41" t="s">
        <v>349</v>
      </c>
      <c r="D1138" s="41" t="s">
        <v>344</v>
      </c>
      <c r="E1138" s="41" t="s">
        <v>346</v>
      </c>
      <c r="F1138" s="41" t="s">
        <v>345</v>
      </c>
      <c r="G1138" s="41" t="s">
        <v>346</v>
      </c>
      <c r="H1138" s="41" t="s">
        <v>345</v>
      </c>
      <c r="I1138" s="41" t="s">
        <v>348</v>
      </c>
      <c r="J1138" s="41" t="s">
        <v>348</v>
      </c>
      <c r="K1138" s="41" t="s">
        <v>345</v>
      </c>
      <c r="L1138" s="41" t="s">
        <v>348</v>
      </c>
      <c r="M1138" s="125"/>
      <c r="N1138" s="125"/>
      <c r="O1138" s="125"/>
      <c r="P1138" s="125"/>
    </row>
    <row r="1139" spans="1:16" ht="16.5" thickBot="1">
      <c r="A1139" s="42" t="s">
        <v>343</v>
      </c>
      <c r="B1139" s="43">
        <v>42623.42291666667</v>
      </c>
      <c r="C1139" s="43">
        <v>42684.465277777781</v>
      </c>
      <c r="D1139" s="43">
        <v>42684.465277777781</v>
      </c>
      <c r="E1139" s="43">
        <v>42623.42291666667</v>
      </c>
      <c r="F1139" s="43">
        <v>0.67708333333333337</v>
      </c>
      <c r="G1139" s="43">
        <v>0.67708333333333337</v>
      </c>
      <c r="H1139" s="43">
        <v>0.67708333333333337</v>
      </c>
      <c r="I1139" s="43">
        <v>0.67708333333333337</v>
      </c>
      <c r="J1139" s="43">
        <v>42623.42291666667</v>
      </c>
      <c r="K1139" s="43">
        <v>42684.465277777781</v>
      </c>
      <c r="L1139" s="43">
        <v>42623.42291666667</v>
      </c>
      <c r="M1139" s="125"/>
      <c r="N1139" s="125"/>
      <c r="O1139" s="125"/>
      <c r="P1139" s="125"/>
    </row>
    <row r="1140" spans="1:16" ht="17.25" thickTop="1" thickBot="1">
      <c r="A1140" s="32"/>
      <c r="B1140" s="32"/>
      <c r="C1140" s="32"/>
      <c r="D1140" s="32"/>
      <c r="E1140" s="32"/>
      <c r="F1140" s="32"/>
      <c r="G1140" s="32"/>
      <c r="H1140" s="32"/>
      <c r="I1140" s="32"/>
      <c r="J1140" s="32"/>
      <c r="K1140" s="32"/>
      <c r="L1140" s="32"/>
      <c r="M1140" s="125"/>
      <c r="N1140" s="125"/>
      <c r="O1140" s="125"/>
      <c r="P1140" s="125"/>
    </row>
    <row r="1141" spans="1:16" ht="19.5" thickTop="1" thickBot="1">
      <c r="A1141" s="35" t="s">
        <v>399</v>
      </c>
      <c r="B1141" s="1494" t="s">
        <v>309</v>
      </c>
      <c r="C1141" s="1495"/>
      <c r="D1141" s="1494" t="s">
        <v>425</v>
      </c>
      <c r="E1141" s="1496"/>
      <c r="F1141" s="32"/>
      <c r="G1141" s="32"/>
      <c r="H1141" s="32"/>
      <c r="I1141" s="32"/>
      <c r="J1141" s="32"/>
      <c r="K1141" s="31"/>
      <c r="L1141" s="31"/>
      <c r="M1141" s="125"/>
      <c r="N1141" s="125"/>
      <c r="O1141" s="125"/>
      <c r="P1141" s="125"/>
    </row>
    <row r="1142" spans="1:16" ht="18.75" thickBot="1">
      <c r="A1142" s="37" t="s">
        <v>400</v>
      </c>
      <c r="B1142" s="1497" t="s">
        <v>380</v>
      </c>
      <c r="C1142" s="1498"/>
      <c r="D1142" s="1497" t="s">
        <v>380</v>
      </c>
      <c r="E1142" s="1499"/>
      <c r="F1142" s="31" t="s">
        <v>401</v>
      </c>
      <c r="G1142" s="1500" t="s">
        <v>402</v>
      </c>
      <c r="H1142" s="1500"/>
      <c r="I1142" s="31" t="s">
        <v>403</v>
      </c>
      <c r="J1142" s="1501">
        <f ca="1">TODAY()</f>
        <v>45944</v>
      </c>
      <c r="K1142" s="1501"/>
      <c r="L1142" s="1501"/>
      <c r="M1142" s="125"/>
      <c r="N1142" s="125"/>
      <c r="O1142" s="125"/>
      <c r="P1142" s="125"/>
    </row>
    <row r="1143" spans="1:16" ht="18.75" thickBot="1">
      <c r="A1143" s="42" t="s">
        <v>404</v>
      </c>
      <c r="B1143" s="1491" t="s">
        <v>380</v>
      </c>
      <c r="C1143" s="1492"/>
      <c r="D1143" s="1491" t="s">
        <v>380</v>
      </c>
      <c r="E1143" s="1493"/>
      <c r="F1143" s="32"/>
      <c r="G1143" s="31"/>
      <c r="H1143" s="31" t="s">
        <v>405</v>
      </c>
      <c r="I1143" s="31"/>
      <c r="J1143" s="32"/>
      <c r="K1143" s="31"/>
      <c r="L1143" s="31"/>
      <c r="M1143" s="125"/>
      <c r="N1143" s="125"/>
      <c r="O1143" s="125"/>
      <c r="P1143" s="125"/>
    </row>
    <row r="1144" spans="1:16" ht="18.75" thickTop="1">
      <c r="A1144" s="32"/>
      <c r="B1144" s="32"/>
      <c r="C1144" s="32"/>
      <c r="D1144" s="32"/>
      <c r="E1144" s="32"/>
      <c r="F1144" s="31"/>
      <c r="G1144" s="31"/>
      <c r="H1144" s="44" t="s">
        <v>406</v>
      </c>
      <c r="I1144" s="31"/>
      <c r="J1144" s="31"/>
      <c r="K1144" s="32"/>
      <c r="L1144" s="32"/>
      <c r="M1144" s="125"/>
      <c r="N1144" s="125"/>
      <c r="O1144" s="125"/>
      <c r="P1144" s="125"/>
    </row>
    <row r="1145" spans="1:16" ht="18">
      <c r="A1145" s="32"/>
      <c r="B1145" s="32"/>
      <c r="C1145" s="32"/>
      <c r="D1145" s="32"/>
      <c r="E1145" s="32"/>
      <c r="F1145" s="31"/>
      <c r="G1145" s="31"/>
      <c r="H1145" s="32"/>
      <c r="I1145" s="31"/>
      <c r="J1145" s="32"/>
      <c r="K1145" s="32"/>
      <c r="L1145" s="32"/>
      <c r="M1145" s="125"/>
      <c r="N1145" s="125"/>
      <c r="O1145" s="125"/>
      <c r="P1145" s="125"/>
    </row>
    <row r="1146" spans="1:16" ht="18">
      <c r="A1146" s="1500" t="s">
        <v>78</v>
      </c>
      <c r="B1146" s="1500"/>
      <c r="C1146" s="1500"/>
      <c r="D1146" s="1500"/>
      <c r="E1146" s="1500"/>
      <c r="F1146" s="1500"/>
      <c r="G1146" s="1500"/>
      <c r="H1146" s="1500"/>
      <c r="I1146" s="1500"/>
      <c r="J1146" s="1500"/>
      <c r="K1146" s="1500"/>
      <c r="L1146" s="1500"/>
      <c r="M1146" s="125"/>
      <c r="N1146" s="125"/>
      <c r="O1146" s="125"/>
      <c r="P1146" s="125"/>
    </row>
    <row r="1147" spans="1:16" ht="18">
      <c r="A1147" s="1500" t="s">
        <v>79</v>
      </c>
      <c r="B1147" s="1500"/>
      <c r="C1147" s="1500"/>
      <c r="D1147" s="1500"/>
      <c r="E1147" s="1500"/>
      <c r="F1147" s="1500"/>
      <c r="G1147" s="1500"/>
      <c r="H1147" s="1500"/>
      <c r="I1147" s="1500"/>
      <c r="J1147" s="1500"/>
      <c r="K1147" s="1500"/>
      <c r="L1147" s="1500"/>
      <c r="M1147" s="125"/>
      <c r="N1147" s="125"/>
      <c r="O1147" s="125"/>
      <c r="P1147" s="125"/>
    </row>
    <row r="1148" spans="1:16" ht="18">
      <c r="A1148" s="30" t="s">
        <v>220</v>
      </c>
      <c r="B1148" s="31"/>
      <c r="C1148" s="31"/>
      <c r="D1148" s="31"/>
      <c r="E1148" s="31"/>
      <c r="F1148" s="31"/>
      <c r="G1148" s="31"/>
      <c r="H1148" s="31"/>
      <c r="I1148" s="31"/>
      <c r="J1148" s="31"/>
      <c r="K1148" s="31"/>
      <c r="L1148" s="31"/>
      <c r="M1148" s="125"/>
      <c r="N1148" s="125"/>
      <c r="O1148" s="125"/>
      <c r="P1148" s="125"/>
    </row>
    <row r="1149" spans="1:16" ht="18">
      <c r="A1149" s="30" t="s">
        <v>361</v>
      </c>
      <c r="B1149" s="31"/>
      <c r="C1149" s="31"/>
      <c r="D1149" s="31"/>
      <c r="E1149" s="31"/>
      <c r="F1149" s="31"/>
      <c r="G1149" s="31"/>
      <c r="H1149" s="31"/>
      <c r="I1149" s="31"/>
      <c r="J1149" s="31"/>
      <c r="K1149" s="31"/>
      <c r="L1149" s="31"/>
      <c r="M1149" s="125"/>
      <c r="N1149" s="125"/>
      <c r="O1149" s="125"/>
      <c r="P1149" s="125"/>
    </row>
    <row r="1150" spans="1:16" ht="18.75" thickBot="1">
      <c r="A1150" s="31"/>
      <c r="B1150" s="31"/>
      <c r="C1150" s="31"/>
      <c r="D1150" s="31"/>
      <c r="E1150" s="31"/>
      <c r="F1150" s="31"/>
      <c r="G1150" s="31"/>
      <c r="H1150" s="31"/>
      <c r="I1150" s="31"/>
      <c r="J1150" s="31"/>
      <c r="K1150" s="31"/>
      <c r="L1150" s="31"/>
      <c r="M1150" s="125"/>
      <c r="N1150" s="125"/>
      <c r="O1150" s="125"/>
      <c r="P1150" s="125"/>
    </row>
    <row r="1151" spans="1:16" ht="24" thickBot="1">
      <c r="A1151" s="31"/>
      <c r="B1151" s="31"/>
      <c r="C1151" s="1515" t="s">
        <v>362</v>
      </c>
      <c r="D1151" s="1516"/>
      <c r="E1151" s="1516"/>
      <c r="F1151" s="1516"/>
      <c r="G1151" s="1517"/>
      <c r="H1151" s="1518" t="s">
        <v>8</v>
      </c>
      <c r="I1151" s="1519"/>
      <c r="J1151" s="31"/>
      <c r="K1151" s="31"/>
      <c r="L1151" s="31"/>
      <c r="M1151" s="125"/>
      <c r="N1151" s="125"/>
      <c r="O1151" s="125"/>
      <c r="P1151" s="125"/>
    </row>
    <row r="1152" spans="1:16" ht="18">
      <c r="A1152" s="31"/>
      <c r="B1152" s="31"/>
      <c r="C1152" s="31"/>
      <c r="D1152" s="31"/>
      <c r="E1152" s="31"/>
      <c r="F1152" s="31"/>
      <c r="G1152" s="31"/>
      <c r="H1152" s="31"/>
      <c r="I1152" s="31"/>
      <c r="J1152" s="31"/>
      <c r="K1152" s="31"/>
      <c r="L1152" s="31"/>
      <c r="M1152" s="125"/>
      <c r="N1152" s="125"/>
      <c r="O1152" s="125"/>
      <c r="P1152" s="125"/>
    </row>
    <row r="1153" spans="1:16" ht="18">
      <c r="A1153" s="30" t="s">
        <v>363</v>
      </c>
      <c r="B1153" s="31"/>
      <c r="C1153" s="1500" t="s">
        <v>281</v>
      </c>
      <c r="D1153" s="1500"/>
      <c r="E1153" s="1500"/>
      <c r="F1153" s="31"/>
      <c r="G1153" s="31" t="s">
        <v>364</v>
      </c>
      <c r="H1153" s="31"/>
      <c r="I1153" s="1500"/>
      <c r="J1153" s="1500"/>
      <c r="K1153" s="1500"/>
      <c r="L1153" s="31"/>
      <c r="M1153" s="125"/>
      <c r="N1153" s="125"/>
      <c r="O1153" s="125"/>
      <c r="P1153" s="125"/>
    </row>
    <row r="1154" spans="1:16" ht="18.75" thickBot="1">
      <c r="A1154" s="30" t="s">
        <v>365</v>
      </c>
      <c r="B1154" s="31"/>
      <c r="C1154" s="31">
        <v>7</v>
      </c>
      <c r="D1154" s="31"/>
      <c r="E1154" s="31"/>
      <c r="F1154" s="31"/>
      <c r="G1154" s="31" t="s">
        <v>366</v>
      </c>
      <c r="H1154" s="31"/>
      <c r="I1154" s="31">
        <v>35</v>
      </c>
      <c r="J1154" s="31"/>
      <c r="K1154" s="31"/>
      <c r="L1154" s="31"/>
      <c r="M1154" s="125"/>
      <c r="N1154" s="125"/>
      <c r="O1154" s="125"/>
      <c r="P1154" s="125"/>
    </row>
    <row r="1155" spans="1:16" ht="17.25" thickTop="1" thickBot="1">
      <c r="A1155" s="1510" t="s">
        <v>367</v>
      </c>
      <c r="B1155" s="1511"/>
      <c r="C1155" s="1512" t="s">
        <v>360</v>
      </c>
      <c r="D1155" s="1513"/>
      <c r="E1155" s="1512" t="s">
        <v>368</v>
      </c>
      <c r="F1155" s="1513"/>
      <c r="G1155" s="1512" t="s">
        <v>369</v>
      </c>
      <c r="H1155" s="1513"/>
      <c r="I1155" s="1512" t="s">
        <v>370</v>
      </c>
      <c r="J1155" s="1513"/>
      <c r="K1155" s="1512" t="s">
        <v>371</v>
      </c>
      <c r="L1155" s="1514"/>
      <c r="M1155" s="125"/>
      <c r="N1155" s="125"/>
      <c r="O1155" s="125"/>
      <c r="P1155" s="125"/>
    </row>
    <row r="1156" spans="1:16" ht="17.25" thickTop="1" thickBot="1">
      <c r="A1156" s="1506" t="s">
        <v>372</v>
      </c>
      <c r="B1156" s="1507"/>
      <c r="C1156" s="1504" t="s">
        <v>270</v>
      </c>
      <c r="D1156" s="1505"/>
      <c r="E1156" s="1504" t="s">
        <v>407</v>
      </c>
      <c r="F1156" s="1505"/>
      <c r="G1156" s="1504" t="s">
        <v>262</v>
      </c>
      <c r="H1156" s="1505"/>
      <c r="I1156" s="1504" t="s">
        <v>383</v>
      </c>
      <c r="J1156" s="1505"/>
      <c r="K1156" s="1504" t="s">
        <v>384</v>
      </c>
      <c r="L1156" s="1505"/>
      <c r="M1156" s="125"/>
      <c r="N1156" s="125"/>
      <c r="O1156" s="125"/>
      <c r="P1156" s="125"/>
    </row>
    <row r="1157" spans="1:16" ht="17.25" thickTop="1" thickBot="1">
      <c r="A1157" s="1506" t="s">
        <v>373</v>
      </c>
      <c r="B1157" s="1507"/>
      <c r="C1157" s="1504" t="s">
        <v>408</v>
      </c>
      <c r="D1157" s="1505"/>
      <c r="E1157" s="1504" t="s">
        <v>409</v>
      </c>
      <c r="F1157" s="1505"/>
      <c r="G1157" s="1504" t="s">
        <v>262</v>
      </c>
      <c r="H1157" s="1505"/>
      <c r="I1157" s="1504" t="s">
        <v>262</v>
      </c>
      <c r="J1157" s="1505"/>
      <c r="K1157" s="1504" t="s">
        <v>270</v>
      </c>
      <c r="L1157" s="1505"/>
      <c r="M1157" s="125"/>
      <c r="N1157" s="125"/>
      <c r="O1157" s="125"/>
      <c r="P1157" s="125"/>
    </row>
    <row r="1158" spans="1:16" ht="17.25" thickTop="1" thickBot="1">
      <c r="A1158" s="1506" t="s">
        <v>374</v>
      </c>
      <c r="B1158" s="1507"/>
      <c r="C1158" s="1504" t="s">
        <v>262</v>
      </c>
      <c r="D1158" s="1505"/>
      <c r="E1158" s="1504" t="s">
        <v>407</v>
      </c>
      <c r="F1158" s="1505"/>
      <c r="G1158" s="1504" t="s">
        <v>384</v>
      </c>
      <c r="H1158" s="1505"/>
      <c r="I1158" s="1504" t="s">
        <v>386</v>
      </c>
      <c r="J1158" s="1505"/>
      <c r="K1158" s="1504" t="s">
        <v>386</v>
      </c>
      <c r="L1158" s="1505"/>
      <c r="M1158" s="125"/>
      <c r="N1158" s="125"/>
      <c r="O1158" s="125"/>
      <c r="P1158" s="125"/>
    </row>
    <row r="1159" spans="1:16" ht="17.25" thickTop="1" thickBot="1">
      <c r="A1159" s="1502" t="s">
        <v>375</v>
      </c>
      <c r="B1159" s="1503"/>
      <c r="C1159" s="1504" t="s">
        <v>262</v>
      </c>
      <c r="D1159" s="1505"/>
      <c r="E1159" s="1504" t="s">
        <v>409</v>
      </c>
      <c r="F1159" s="1505"/>
      <c r="G1159" s="1504" t="s">
        <v>385</v>
      </c>
      <c r="H1159" s="1505"/>
      <c r="I1159" s="1504" t="s">
        <v>308</v>
      </c>
      <c r="J1159" s="1505"/>
      <c r="K1159" s="1504" t="s">
        <v>408</v>
      </c>
      <c r="L1159" s="1505"/>
      <c r="M1159" s="125"/>
      <c r="N1159" s="125"/>
      <c r="O1159" s="125"/>
      <c r="P1159" s="125"/>
    </row>
    <row r="1160" spans="1:16" ht="17.25" thickTop="1" thickBot="1">
      <c r="A1160" s="32"/>
      <c r="B1160" s="32"/>
      <c r="C1160" s="32"/>
      <c r="D1160" s="32"/>
      <c r="E1160" s="32"/>
      <c r="F1160" s="32"/>
      <c r="G1160" s="32"/>
      <c r="H1160" s="32"/>
      <c r="I1160" s="45"/>
      <c r="J1160" s="45"/>
      <c r="K1160" s="32"/>
      <c r="L1160" s="32"/>
      <c r="M1160" s="125"/>
      <c r="N1160" s="125"/>
      <c r="O1160" s="125"/>
      <c r="P1160" s="125"/>
    </row>
    <row r="1161" spans="1:16" ht="17.25" thickTop="1" thickBot="1">
      <c r="A1161" s="1508" t="s">
        <v>376</v>
      </c>
      <c r="B1161" s="1509"/>
      <c r="C1161" s="1504" t="s">
        <v>384</v>
      </c>
      <c r="D1161" s="1505"/>
      <c r="E1161" s="1504" t="s">
        <v>290</v>
      </c>
      <c r="F1161" s="1505"/>
      <c r="G1161" s="1504" t="s">
        <v>290</v>
      </c>
      <c r="H1161" s="1505"/>
      <c r="I1161" s="1504" t="s">
        <v>290</v>
      </c>
      <c r="J1161" s="1505"/>
      <c r="K1161" s="1504" t="s">
        <v>433</v>
      </c>
      <c r="L1161" s="1505"/>
      <c r="M1161" s="125"/>
      <c r="N1161" s="125"/>
      <c r="O1161" s="125"/>
      <c r="P1161" s="125"/>
    </row>
    <row r="1162" spans="1:16" ht="17.25" thickTop="1" thickBot="1">
      <c r="A1162" s="1506" t="s">
        <v>377</v>
      </c>
      <c r="B1162" s="1507"/>
      <c r="C1162" s="1504" t="s">
        <v>387</v>
      </c>
      <c r="D1162" s="1505"/>
      <c r="E1162" s="1504" t="s">
        <v>385</v>
      </c>
      <c r="F1162" s="1505"/>
      <c r="G1162" s="1504" t="s">
        <v>352</v>
      </c>
      <c r="H1162" s="1505"/>
      <c r="I1162" s="1504" t="s">
        <v>384</v>
      </c>
      <c r="J1162" s="1505"/>
      <c r="K1162" s="1504" t="s">
        <v>434</v>
      </c>
      <c r="L1162" s="1505"/>
      <c r="M1162" s="125"/>
      <c r="N1162" s="125"/>
      <c r="O1162" s="125"/>
      <c r="P1162" s="125"/>
    </row>
    <row r="1163" spans="1:16" ht="17.25" thickTop="1" thickBot="1">
      <c r="A1163" s="1506" t="s">
        <v>378</v>
      </c>
      <c r="B1163" s="1507"/>
      <c r="C1163" s="1504" t="s">
        <v>387</v>
      </c>
      <c r="D1163" s="1505"/>
      <c r="E1163" s="1504" t="s">
        <v>262</v>
      </c>
      <c r="F1163" s="1505"/>
      <c r="G1163" s="1504" t="s">
        <v>386</v>
      </c>
      <c r="H1163" s="1505"/>
      <c r="I1163" s="1504"/>
      <c r="J1163" s="1505"/>
      <c r="K1163" s="1504"/>
      <c r="L1163" s="1505"/>
      <c r="M1163" s="125"/>
      <c r="N1163" s="125"/>
      <c r="O1163" s="125"/>
      <c r="P1163" s="125"/>
    </row>
    <row r="1164" spans="1:16" ht="17.25" thickTop="1" thickBot="1">
      <c r="A1164" s="1502" t="s">
        <v>379</v>
      </c>
      <c r="B1164" s="1503"/>
      <c r="C1164" s="1504">
        <v>0</v>
      </c>
      <c r="D1164" s="1505"/>
      <c r="E1164" s="1504">
        <v>0</v>
      </c>
      <c r="F1164" s="1505"/>
      <c r="G1164" s="1504">
        <v>0</v>
      </c>
      <c r="H1164" s="1505"/>
      <c r="I1164" s="1504">
        <v>0</v>
      </c>
      <c r="J1164" s="1505"/>
      <c r="K1164" s="1504" t="s">
        <v>380</v>
      </c>
      <c r="L1164" s="1505"/>
      <c r="M1164" s="125"/>
      <c r="N1164" s="125"/>
      <c r="O1164" s="125"/>
      <c r="P1164" s="125"/>
    </row>
    <row r="1165" spans="1:16" ht="17.25" thickTop="1" thickBot="1">
      <c r="A1165" s="32"/>
      <c r="B1165" s="32"/>
      <c r="C1165" s="32"/>
      <c r="D1165" s="32"/>
      <c r="E1165" s="32"/>
      <c r="F1165" s="32"/>
      <c r="G1165" s="32"/>
      <c r="H1165" s="32"/>
      <c r="I1165" s="32"/>
      <c r="J1165" s="32"/>
      <c r="K1165" s="32"/>
      <c r="L1165" s="32"/>
      <c r="M1165" s="125"/>
      <c r="N1165" s="125"/>
      <c r="O1165" s="125"/>
      <c r="P1165" s="125"/>
    </row>
    <row r="1166" spans="1:16" ht="16.5" thickTop="1">
      <c r="A1166" s="35" t="s">
        <v>381</v>
      </c>
      <c r="B1166" s="36" t="s">
        <v>262</v>
      </c>
      <c r="C1166" s="36" t="s">
        <v>270</v>
      </c>
      <c r="D1166" s="36" t="s">
        <v>408</v>
      </c>
      <c r="E1166" s="36" t="s">
        <v>383</v>
      </c>
      <c r="F1166" s="36" t="s">
        <v>384</v>
      </c>
      <c r="G1166" s="36" t="s">
        <v>385</v>
      </c>
      <c r="H1166" s="36" t="s">
        <v>290</v>
      </c>
      <c r="I1166" s="36" t="s">
        <v>386</v>
      </c>
      <c r="J1166" s="36" t="s">
        <v>435</v>
      </c>
      <c r="K1166" s="36" t="s">
        <v>308</v>
      </c>
      <c r="L1166" s="36" t="s">
        <v>387</v>
      </c>
      <c r="M1166" s="125"/>
      <c r="N1166" s="125"/>
      <c r="O1166" s="125"/>
      <c r="P1166" s="125"/>
    </row>
    <row r="1167" spans="1:16" ht="15.75">
      <c r="A1167" s="37" t="s">
        <v>388</v>
      </c>
      <c r="B1167" s="38" t="s">
        <v>420</v>
      </c>
      <c r="C1167" s="38" t="s">
        <v>436</v>
      </c>
      <c r="D1167" s="38" t="s">
        <v>436</v>
      </c>
      <c r="E1167" s="38" t="s">
        <v>357</v>
      </c>
      <c r="F1167" s="38" t="s">
        <v>419</v>
      </c>
      <c r="G1167" s="38" t="s">
        <v>359</v>
      </c>
      <c r="H1167" s="38" t="s">
        <v>393</v>
      </c>
      <c r="I1167" s="38" t="s">
        <v>393</v>
      </c>
      <c r="J1167" s="38" t="s">
        <v>391</v>
      </c>
      <c r="K1167" s="38" t="s">
        <v>391</v>
      </c>
      <c r="L1167" s="38" t="s">
        <v>359</v>
      </c>
      <c r="M1167" s="125"/>
      <c r="N1167" s="125"/>
      <c r="O1167" s="125"/>
      <c r="P1167" s="125"/>
    </row>
    <row r="1168" spans="1:16" ht="15.75">
      <c r="A1168" s="37" t="s">
        <v>394</v>
      </c>
      <c r="B1168" s="39" t="s">
        <v>266</v>
      </c>
      <c r="C1168" s="39" t="s">
        <v>269</v>
      </c>
      <c r="D1168" s="39" t="s">
        <v>276</v>
      </c>
      <c r="E1168" s="39" t="s">
        <v>281</v>
      </c>
      <c r="F1168" s="39" t="s">
        <v>284</v>
      </c>
      <c r="G1168" s="39" t="s">
        <v>426</v>
      </c>
      <c r="H1168" s="39" t="s">
        <v>292</v>
      </c>
      <c r="I1168" s="39" t="s">
        <v>295</v>
      </c>
      <c r="J1168" s="39" t="s">
        <v>432</v>
      </c>
      <c r="K1168" s="39" t="s">
        <v>309</v>
      </c>
      <c r="L1168" s="39" t="s">
        <v>314</v>
      </c>
      <c r="M1168" s="125"/>
      <c r="N1168" s="125"/>
      <c r="O1168" s="125"/>
      <c r="P1168" s="125"/>
    </row>
    <row r="1169" spans="1:16" ht="15.75">
      <c r="A1169" s="37" t="s">
        <v>397</v>
      </c>
      <c r="B1169" s="41" t="s">
        <v>344</v>
      </c>
      <c r="C1169" s="41" t="s">
        <v>349</v>
      </c>
      <c r="D1169" s="41" t="s">
        <v>349</v>
      </c>
      <c r="E1169" s="41" t="s">
        <v>346</v>
      </c>
      <c r="F1169" s="41" t="s">
        <v>345</v>
      </c>
      <c r="G1169" s="41" t="s">
        <v>346</v>
      </c>
      <c r="H1169" s="41" t="s">
        <v>345</v>
      </c>
      <c r="I1169" s="41" t="s">
        <v>348</v>
      </c>
      <c r="J1169" s="41" t="s">
        <v>348</v>
      </c>
      <c r="K1169" s="41" t="s">
        <v>345</v>
      </c>
      <c r="L1169" s="41" t="s">
        <v>348</v>
      </c>
      <c r="M1169" s="125"/>
      <c r="N1169" s="125"/>
      <c r="O1169" s="125"/>
      <c r="P1169" s="125"/>
    </row>
    <row r="1170" spans="1:16" ht="16.5" thickBot="1">
      <c r="A1170" s="42" t="s">
        <v>343</v>
      </c>
      <c r="B1170" s="43">
        <v>42684.677083333336</v>
      </c>
      <c r="C1170" s="43">
        <v>42684.465277777781</v>
      </c>
      <c r="D1170" s="43">
        <v>42623.42291666667</v>
      </c>
      <c r="E1170" s="43">
        <v>42623.42291666667</v>
      </c>
      <c r="F1170" s="43">
        <v>0.67708333333333337</v>
      </c>
      <c r="G1170" s="43">
        <v>0.67708333333333337</v>
      </c>
      <c r="H1170" s="43">
        <v>0.67708333333333337</v>
      </c>
      <c r="I1170" s="43">
        <v>42623.42291666667</v>
      </c>
      <c r="J1170" s="43">
        <v>42623.42291666667</v>
      </c>
      <c r="K1170" s="43">
        <v>42684.465277777781</v>
      </c>
      <c r="L1170" s="43">
        <v>42623.42291666667</v>
      </c>
      <c r="M1170" s="125"/>
      <c r="N1170" s="125"/>
      <c r="O1170" s="125"/>
      <c r="P1170" s="125"/>
    </row>
    <row r="1171" spans="1:16" ht="17.25" thickTop="1" thickBot="1">
      <c r="A1171" s="32"/>
      <c r="B1171" s="32"/>
      <c r="C1171" s="32"/>
      <c r="D1171" s="32"/>
      <c r="E1171" s="32"/>
      <c r="F1171" s="32"/>
      <c r="G1171" s="32"/>
      <c r="H1171" s="32"/>
      <c r="I1171" s="32"/>
      <c r="J1171" s="32"/>
      <c r="K1171" s="32"/>
      <c r="L1171" s="32"/>
      <c r="M1171" s="125"/>
      <c r="N1171" s="125"/>
      <c r="O1171" s="125"/>
      <c r="P1171" s="125"/>
    </row>
    <row r="1172" spans="1:16" ht="19.5" thickTop="1" thickBot="1">
      <c r="A1172" s="35" t="s">
        <v>399</v>
      </c>
      <c r="B1172" s="1494" t="s">
        <v>380</v>
      </c>
      <c r="C1172" s="1495"/>
      <c r="D1172" s="1494" t="s">
        <v>380</v>
      </c>
      <c r="E1172" s="1496"/>
      <c r="F1172" s="32"/>
      <c r="G1172" s="32"/>
      <c r="H1172" s="32"/>
      <c r="I1172" s="32"/>
      <c r="J1172" s="32"/>
      <c r="K1172" s="31"/>
      <c r="L1172" s="31"/>
      <c r="M1172" s="125"/>
      <c r="N1172" s="125"/>
      <c r="O1172" s="125"/>
      <c r="P1172" s="125"/>
    </row>
    <row r="1173" spans="1:16" ht="18.75" thickBot="1">
      <c r="A1173" s="37" t="s">
        <v>400</v>
      </c>
      <c r="B1173" s="1497" t="s">
        <v>380</v>
      </c>
      <c r="C1173" s="1498"/>
      <c r="D1173" s="1497" t="s">
        <v>380</v>
      </c>
      <c r="E1173" s="1499"/>
      <c r="F1173" s="31" t="s">
        <v>401</v>
      </c>
      <c r="G1173" s="1500" t="s">
        <v>402</v>
      </c>
      <c r="H1173" s="1500"/>
      <c r="I1173" s="31" t="s">
        <v>403</v>
      </c>
      <c r="J1173" s="1501">
        <f ca="1">TODAY()</f>
        <v>45944</v>
      </c>
      <c r="K1173" s="1501"/>
      <c r="L1173" s="1501"/>
      <c r="M1173" s="125"/>
      <c r="N1173" s="125"/>
      <c r="O1173" s="125"/>
      <c r="P1173" s="125"/>
    </row>
    <row r="1174" spans="1:16" ht="18.75" thickBot="1">
      <c r="A1174" s="42" t="s">
        <v>404</v>
      </c>
      <c r="B1174" s="1491" t="s">
        <v>309</v>
      </c>
      <c r="C1174" s="1492"/>
      <c r="D1174" s="1491" t="s">
        <v>425</v>
      </c>
      <c r="E1174" s="1493"/>
      <c r="F1174" s="32"/>
      <c r="G1174" s="31"/>
      <c r="H1174" s="31" t="s">
        <v>405</v>
      </c>
      <c r="I1174" s="31"/>
      <c r="J1174" s="32"/>
      <c r="K1174" s="31"/>
      <c r="L1174" s="31"/>
      <c r="M1174" s="125"/>
      <c r="N1174" s="125"/>
      <c r="O1174" s="125"/>
      <c r="P1174" s="125"/>
    </row>
    <row r="1175" spans="1:16" ht="18.75" thickTop="1">
      <c r="A1175" s="32"/>
      <c r="B1175" s="32"/>
      <c r="C1175" s="32"/>
      <c r="D1175" s="32"/>
      <c r="E1175" s="32"/>
      <c r="F1175" s="31"/>
      <c r="G1175" s="31"/>
      <c r="H1175" s="44" t="s">
        <v>406</v>
      </c>
      <c r="I1175" s="31"/>
      <c r="J1175" s="31"/>
      <c r="K1175" s="32"/>
      <c r="L1175" s="32"/>
      <c r="M1175" s="125"/>
      <c r="N1175" s="125"/>
      <c r="O1175" s="125"/>
      <c r="P1175" s="125"/>
    </row>
    <row r="1176" spans="1:16" ht="18">
      <c r="A1176" s="32"/>
      <c r="B1176" s="32"/>
      <c r="C1176" s="32"/>
      <c r="D1176" s="32"/>
      <c r="E1176" s="32"/>
      <c r="F1176" s="31"/>
      <c r="G1176" s="31"/>
      <c r="H1176" s="32"/>
      <c r="I1176" s="31"/>
      <c r="J1176" s="32"/>
      <c r="K1176" s="32"/>
      <c r="L1176" s="32"/>
      <c r="M1176" s="125"/>
      <c r="N1176" s="125"/>
      <c r="O1176" s="125"/>
      <c r="P1176" s="125"/>
    </row>
    <row r="1177" spans="1:16" ht="18">
      <c r="A1177" s="1500" t="s">
        <v>78</v>
      </c>
      <c r="B1177" s="1500"/>
      <c r="C1177" s="1500"/>
      <c r="D1177" s="1500"/>
      <c r="E1177" s="1500"/>
      <c r="F1177" s="1500"/>
      <c r="G1177" s="1500"/>
      <c r="H1177" s="1500"/>
      <c r="I1177" s="1500"/>
      <c r="J1177" s="1500"/>
      <c r="K1177" s="1500"/>
      <c r="L1177" s="1500"/>
      <c r="M1177" s="125"/>
      <c r="N1177" s="125"/>
      <c r="O1177" s="125"/>
      <c r="P1177" s="125"/>
    </row>
    <row r="1178" spans="1:16" ht="18">
      <c r="A1178" s="1500" t="s">
        <v>79</v>
      </c>
      <c r="B1178" s="1500"/>
      <c r="C1178" s="1500"/>
      <c r="D1178" s="1500"/>
      <c r="E1178" s="1500"/>
      <c r="F1178" s="1500"/>
      <c r="G1178" s="1500"/>
      <c r="H1178" s="1500"/>
      <c r="I1178" s="1500"/>
      <c r="J1178" s="1500"/>
      <c r="K1178" s="1500"/>
      <c r="L1178" s="1500"/>
      <c r="M1178" s="125"/>
      <c r="N1178" s="125"/>
      <c r="O1178" s="125"/>
      <c r="P1178" s="125"/>
    </row>
    <row r="1179" spans="1:16" ht="18">
      <c r="A1179" s="30" t="s">
        <v>220</v>
      </c>
      <c r="B1179" s="31"/>
      <c r="C1179" s="31"/>
      <c r="D1179" s="31"/>
      <c r="E1179" s="31"/>
      <c r="F1179" s="31"/>
      <c r="G1179" s="31"/>
      <c r="H1179" s="31"/>
      <c r="I1179" s="31"/>
      <c r="J1179" s="31"/>
      <c r="K1179" s="31"/>
      <c r="L1179" s="31"/>
      <c r="M1179" s="125"/>
      <c r="N1179" s="125"/>
      <c r="O1179" s="125"/>
      <c r="P1179" s="125"/>
    </row>
    <row r="1180" spans="1:16" ht="18">
      <c r="A1180" s="30" t="s">
        <v>361</v>
      </c>
      <c r="B1180" s="31"/>
      <c r="C1180" s="31"/>
      <c r="D1180" s="31"/>
      <c r="E1180" s="31"/>
      <c r="F1180" s="31"/>
      <c r="G1180" s="31"/>
      <c r="H1180" s="31"/>
      <c r="I1180" s="31"/>
      <c r="J1180" s="31"/>
      <c r="K1180" s="31"/>
      <c r="L1180" s="31"/>
      <c r="M1180" s="125"/>
      <c r="N1180" s="125"/>
      <c r="O1180" s="125"/>
      <c r="P1180" s="125"/>
    </row>
    <row r="1181" spans="1:16" ht="18.75" thickBot="1">
      <c r="A1181" s="31"/>
      <c r="B1181" s="31"/>
      <c r="C1181" s="31"/>
      <c r="D1181" s="31"/>
      <c r="E1181" s="31"/>
      <c r="F1181" s="31"/>
      <c r="G1181" s="31"/>
      <c r="H1181" s="31"/>
      <c r="I1181" s="31"/>
      <c r="J1181" s="31"/>
      <c r="K1181" s="31"/>
      <c r="L1181" s="31"/>
      <c r="M1181" s="125"/>
      <c r="N1181" s="125"/>
      <c r="O1181" s="125"/>
      <c r="P1181" s="125"/>
    </row>
    <row r="1182" spans="1:16" ht="24" thickBot="1">
      <c r="A1182" s="31"/>
      <c r="B1182" s="31"/>
      <c r="C1182" s="1515" t="s">
        <v>362</v>
      </c>
      <c r="D1182" s="1516"/>
      <c r="E1182" s="1516"/>
      <c r="F1182" s="1516"/>
      <c r="G1182" s="1517"/>
      <c r="H1182" s="1518" t="s">
        <v>35</v>
      </c>
      <c r="I1182" s="1519"/>
      <c r="J1182" s="31"/>
      <c r="K1182" s="31"/>
      <c r="L1182" s="31"/>
      <c r="M1182" s="125"/>
      <c r="N1182" s="125"/>
      <c r="O1182" s="125"/>
      <c r="P1182" s="125"/>
    </row>
    <row r="1183" spans="1:16" ht="18">
      <c r="A1183" s="31"/>
      <c r="B1183" s="31"/>
      <c r="C1183" s="31"/>
      <c r="D1183" s="31"/>
      <c r="E1183" s="31"/>
      <c r="F1183" s="31"/>
      <c r="G1183" s="31"/>
      <c r="H1183" s="31"/>
      <c r="I1183" s="31"/>
      <c r="J1183" s="31"/>
      <c r="K1183" s="31"/>
      <c r="L1183" s="31"/>
      <c r="M1183" s="125"/>
      <c r="N1183" s="125"/>
      <c r="O1183" s="125"/>
      <c r="P1183" s="125"/>
    </row>
    <row r="1184" spans="1:16" ht="18">
      <c r="A1184" s="30" t="s">
        <v>363</v>
      </c>
      <c r="B1184" s="31"/>
      <c r="C1184" s="1500" t="s">
        <v>274</v>
      </c>
      <c r="D1184" s="1500"/>
      <c r="E1184" s="1500"/>
      <c r="F1184" s="31"/>
      <c r="G1184" s="31" t="s">
        <v>364</v>
      </c>
      <c r="H1184" s="31"/>
      <c r="I1184" s="1500"/>
      <c r="J1184" s="1500"/>
      <c r="K1184" s="1500"/>
      <c r="L1184" s="31"/>
      <c r="M1184" s="125"/>
      <c r="N1184" s="125"/>
      <c r="O1184" s="125"/>
      <c r="P1184" s="125"/>
    </row>
    <row r="1185" spans="1:16" ht="18.75" thickBot="1">
      <c r="A1185" s="30" t="s">
        <v>365</v>
      </c>
      <c r="B1185" s="31"/>
      <c r="C1185" s="31">
        <v>1</v>
      </c>
      <c r="D1185" s="31"/>
      <c r="E1185" s="31"/>
      <c r="F1185" s="31"/>
      <c r="G1185" s="31" t="s">
        <v>366</v>
      </c>
      <c r="H1185" s="31"/>
      <c r="I1185" s="31">
        <v>37</v>
      </c>
      <c r="J1185" s="31"/>
      <c r="K1185" s="31"/>
      <c r="L1185" s="31"/>
      <c r="M1185" s="125"/>
      <c r="N1185" s="125"/>
      <c r="O1185" s="125"/>
      <c r="P1185" s="125"/>
    </row>
    <row r="1186" spans="1:16" ht="17.25" thickTop="1" thickBot="1">
      <c r="A1186" s="1510" t="s">
        <v>367</v>
      </c>
      <c r="B1186" s="1511"/>
      <c r="C1186" s="1512" t="s">
        <v>360</v>
      </c>
      <c r="D1186" s="1513"/>
      <c r="E1186" s="1512" t="s">
        <v>368</v>
      </c>
      <c r="F1186" s="1513"/>
      <c r="G1186" s="1512" t="s">
        <v>369</v>
      </c>
      <c r="H1186" s="1513"/>
      <c r="I1186" s="1512" t="s">
        <v>370</v>
      </c>
      <c r="J1186" s="1513"/>
      <c r="K1186" s="1512" t="s">
        <v>371</v>
      </c>
      <c r="L1186" s="1514"/>
      <c r="M1186" s="125"/>
      <c r="N1186" s="125"/>
      <c r="O1186" s="125"/>
      <c r="P1186" s="125"/>
    </row>
    <row r="1187" spans="1:16" ht="17.25" thickTop="1" thickBot="1">
      <c r="A1187" s="1506" t="s">
        <v>372</v>
      </c>
      <c r="B1187" s="1507"/>
      <c r="C1187" s="1504" t="s">
        <v>383</v>
      </c>
      <c r="D1187" s="1505"/>
      <c r="E1187" s="1504" t="s">
        <v>262</v>
      </c>
      <c r="F1187" s="1505"/>
      <c r="G1187" s="1504" t="s">
        <v>385</v>
      </c>
      <c r="H1187" s="1505"/>
      <c r="I1187" s="1504" t="s">
        <v>386</v>
      </c>
      <c r="J1187" s="1505"/>
      <c r="K1187" s="1504" t="s">
        <v>290</v>
      </c>
      <c r="L1187" s="1505"/>
      <c r="M1187" s="125"/>
      <c r="N1187" s="125"/>
      <c r="O1187" s="125"/>
      <c r="P1187" s="125"/>
    </row>
    <row r="1188" spans="1:16" ht="17.25" thickTop="1" thickBot="1">
      <c r="A1188" s="1506" t="s">
        <v>373</v>
      </c>
      <c r="B1188" s="1507"/>
      <c r="C1188" s="1504" t="s">
        <v>386</v>
      </c>
      <c r="D1188" s="1505"/>
      <c r="E1188" s="1504" t="s">
        <v>408</v>
      </c>
      <c r="F1188" s="1505"/>
      <c r="G1188" s="1504" t="s">
        <v>385</v>
      </c>
      <c r="H1188" s="1505"/>
      <c r="I1188" s="1504" t="s">
        <v>383</v>
      </c>
      <c r="J1188" s="1505"/>
      <c r="K1188" s="1504" t="s">
        <v>270</v>
      </c>
      <c r="L1188" s="1505"/>
      <c r="M1188" s="125"/>
      <c r="N1188" s="125"/>
      <c r="O1188" s="125"/>
      <c r="P1188" s="125"/>
    </row>
    <row r="1189" spans="1:16" ht="17.25" thickTop="1" thickBot="1">
      <c r="A1189" s="1506" t="s">
        <v>374</v>
      </c>
      <c r="B1189" s="1507"/>
      <c r="C1189" s="1504" t="s">
        <v>438</v>
      </c>
      <c r="D1189" s="1505"/>
      <c r="E1189" s="1504" t="s">
        <v>290</v>
      </c>
      <c r="F1189" s="1505"/>
      <c r="G1189" s="1504" t="s">
        <v>384</v>
      </c>
      <c r="H1189" s="1505"/>
      <c r="I1189" s="1504" t="s">
        <v>387</v>
      </c>
      <c r="J1189" s="1505"/>
      <c r="K1189" s="1504" t="s">
        <v>384</v>
      </c>
      <c r="L1189" s="1505"/>
      <c r="M1189" s="125"/>
      <c r="N1189" s="125"/>
      <c r="O1189" s="125"/>
      <c r="P1189" s="125"/>
    </row>
    <row r="1190" spans="1:16" ht="17.25" thickTop="1" thickBot="1">
      <c r="A1190" s="1502" t="s">
        <v>375</v>
      </c>
      <c r="B1190" s="1503"/>
      <c r="C1190" s="1504" t="s">
        <v>434</v>
      </c>
      <c r="D1190" s="1505"/>
      <c r="E1190" s="1504" t="s">
        <v>290</v>
      </c>
      <c r="F1190" s="1505"/>
      <c r="G1190" s="1504" t="s">
        <v>384</v>
      </c>
      <c r="H1190" s="1505"/>
      <c r="I1190" s="1504" t="s">
        <v>387</v>
      </c>
      <c r="J1190" s="1505"/>
      <c r="K1190" s="1504" t="s">
        <v>384</v>
      </c>
      <c r="L1190" s="1505"/>
      <c r="M1190" s="125"/>
      <c r="N1190" s="125"/>
      <c r="O1190" s="125"/>
      <c r="P1190" s="125"/>
    </row>
    <row r="1191" spans="1:16" ht="17.25" thickTop="1" thickBot="1">
      <c r="A1191" s="32"/>
      <c r="B1191" s="32"/>
      <c r="C1191" s="32"/>
      <c r="D1191" s="32"/>
      <c r="E1191" s="32"/>
      <c r="F1191" s="32"/>
      <c r="G1191" s="32"/>
      <c r="H1191" s="32"/>
      <c r="I1191" s="45"/>
      <c r="J1191" s="45"/>
      <c r="K1191" s="32"/>
      <c r="L1191" s="32"/>
      <c r="M1191" s="125"/>
      <c r="N1191" s="125"/>
      <c r="O1191" s="125"/>
      <c r="P1191" s="125"/>
    </row>
    <row r="1192" spans="1:16" ht="17.25" thickTop="1" thickBot="1">
      <c r="A1192" s="1508" t="s">
        <v>376</v>
      </c>
      <c r="B1192" s="1509"/>
      <c r="C1192" s="1504" t="s">
        <v>290</v>
      </c>
      <c r="D1192" s="1505"/>
      <c r="E1192" s="1504" t="s">
        <v>352</v>
      </c>
      <c r="F1192" s="1505"/>
      <c r="G1192" s="1504" t="s">
        <v>386</v>
      </c>
      <c r="H1192" s="1505"/>
      <c r="I1192" s="1504" t="s">
        <v>384</v>
      </c>
      <c r="J1192" s="1505"/>
      <c r="K1192" s="1504" t="s">
        <v>386</v>
      </c>
      <c r="L1192" s="1505"/>
      <c r="M1192" s="125"/>
      <c r="N1192" s="125"/>
      <c r="O1192" s="125"/>
      <c r="P1192" s="125"/>
    </row>
    <row r="1193" spans="1:16" ht="17.25" thickTop="1" thickBot="1">
      <c r="A1193" s="1506" t="s">
        <v>377</v>
      </c>
      <c r="B1193" s="1507"/>
      <c r="C1193" s="1504" t="s">
        <v>262</v>
      </c>
      <c r="D1193" s="1505"/>
      <c r="E1193" s="1504" t="s">
        <v>385</v>
      </c>
      <c r="F1193" s="1505"/>
      <c r="G1193" s="1504" t="s">
        <v>407</v>
      </c>
      <c r="H1193" s="1505"/>
      <c r="I1193" s="1504" t="s">
        <v>262</v>
      </c>
      <c r="J1193" s="1505"/>
      <c r="K1193" s="1504" t="s">
        <v>385</v>
      </c>
      <c r="L1193" s="1505"/>
      <c r="M1193" s="125"/>
      <c r="N1193" s="125"/>
      <c r="O1193" s="125"/>
      <c r="P1193" s="125"/>
    </row>
    <row r="1194" spans="1:16" ht="17.25" thickTop="1" thickBot="1">
      <c r="A1194" s="1506" t="s">
        <v>378</v>
      </c>
      <c r="B1194" s="1507"/>
      <c r="C1194" s="1504"/>
      <c r="D1194" s="1505"/>
      <c r="E1194" s="1504"/>
      <c r="F1194" s="1505"/>
      <c r="G1194" s="1504" t="s">
        <v>409</v>
      </c>
      <c r="H1194" s="1505"/>
      <c r="I1194" s="1504" t="s">
        <v>290</v>
      </c>
      <c r="J1194" s="1505"/>
      <c r="K1194" s="1504"/>
      <c r="L1194" s="1505"/>
      <c r="M1194" s="125"/>
      <c r="N1194" s="125"/>
      <c r="O1194" s="125"/>
      <c r="P1194" s="125"/>
    </row>
    <row r="1195" spans="1:16" ht="17.25" thickTop="1" thickBot="1">
      <c r="A1195" s="1502" t="s">
        <v>379</v>
      </c>
      <c r="B1195" s="1503"/>
      <c r="C1195" s="1504">
        <v>0</v>
      </c>
      <c r="D1195" s="1505"/>
      <c r="E1195" s="1504">
        <v>0</v>
      </c>
      <c r="F1195" s="1505"/>
      <c r="G1195" s="1504">
        <v>0</v>
      </c>
      <c r="H1195" s="1505"/>
      <c r="I1195" s="1504">
        <v>0</v>
      </c>
      <c r="J1195" s="1505"/>
      <c r="K1195" s="1504" t="s">
        <v>380</v>
      </c>
      <c r="L1195" s="1505"/>
      <c r="M1195" s="125"/>
      <c r="N1195" s="125"/>
      <c r="O1195" s="125"/>
      <c r="P1195" s="125"/>
    </row>
    <row r="1196" spans="1:16" ht="17.25" thickTop="1" thickBot="1">
      <c r="A1196" s="32"/>
      <c r="B1196" s="32"/>
      <c r="C1196" s="32"/>
      <c r="D1196" s="32"/>
      <c r="E1196" s="32"/>
      <c r="F1196" s="32"/>
      <c r="G1196" s="32"/>
      <c r="H1196" s="32"/>
      <c r="I1196" s="32"/>
      <c r="J1196" s="32"/>
      <c r="K1196" s="32"/>
      <c r="L1196" s="32"/>
      <c r="M1196" s="125"/>
      <c r="N1196" s="125"/>
      <c r="O1196" s="125"/>
      <c r="P1196" s="125"/>
    </row>
    <row r="1197" spans="1:16" ht="16.5" thickTop="1">
      <c r="A1197" s="35" t="s">
        <v>381</v>
      </c>
      <c r="B1197" s="36" t="s">
        <v>262</v>
      </c>
      <c r="C1197" s="36" t="s">
        <v>270</v>
      </c>
      <c r="D1197" s="36" t="s">
        <v>408</v>
      </c>
      <c r="E1197" s="36" t="s">
        <v>383</v>
      </c>
      <c r="F1197" s="36" t="s">
        <v>384</v>
      </c>
      <c r="G1197" s="36" t="s">
        <v>385</v>
      </c>
      <c r="H1197" s="36" t="s">
        <v>290</v>
      </c>
      <c r="I1197" s="36" t="s">
        <v>386</v>
      </c>
      <c r="J1197" s="36" t="s">
        <v>435</v>
      </c>
      <c r="K1197" s="36" t="s">
        <v>387</v>
      </c>
      <c r="L1197" s="36" t="s">
        <v>380</v>
      </c>
      <c r="M1197" s="125"/>
      <c r="N1197" s="125"/>
      <c r="O1197" s="125"/>
      <c r="P1197" s="125"/>
    </row>
    <row r="1198" spans="1:16" ht="15.75">
      <c r="A1198" s="37" t="s">
        <v>388</v>
      </c>
      <c r="B1198" s="38" t="s">
        <v>393</v>
      </c>
      <c r="C1198" s="38" t="s">
        <v>391</v>
      </c>
      <c r="D1198" s="38" t="s">
        <v>391</v>
      </c>
      <c r="E1198" s="38" t="s">
        <v>359</v>
      </c>
      <c r="F1198" s="38" t="s">
        <v>439</v>
      </c>
      <c r="G1198" s="38" t="s">
        <v>419</v>
      </c>
      <c r="H1198" s="38" t="s">
        <v>392</v>
      </c>
      <c r="I1198" s="38" t="s">
        <v>419</v>
      </c>
      <c r="J1198" s="38" t="s">
        <v>391</v>
      </c>
      <c r="K1198" s="38" t="s">
        <v>359</v>
      </c>
      <c r="L1198" s="38"/>
      <c r="M1198" s="125"/>
      <c r="N1198" s="125"/>
      <c r="O1198" s="125"/>
      <c r="P1198" s="125"/>
    </row>
    <row r="1199" spans="1:16" ht="15.75">
      <c r="A1199" s="37" t="s">
        <v>394</v>
      </c>
      <c r="B1199" s="47" t="s">
        <v>274</v>
      </c>
      <c r="C1199" s="47" t="s">
        <v>411</v>
      </c>
      <c r="D1199" s="47" t="s">
        <v>277</v>
      </c>
      <c r="E1199" s="47" t="s">
        <v>281</v>
      </c>
      <c r="F1199" s="47" t="s">
        <v>287</v>
      </c>
      <c r="G1199" s="47" t="s">
        <v>289</v>
      </c>
      <c r="H1199" s="47" t="s">
        <v>293</v>
      </c>
      <c r="I1199" s="47" t="s">
        <v>295</v>
      </c>
      <c r="J1199" s="47" t="s">
        <v>432</v>
      </c>
      <c r="K1199" s="47" t="s">
        <v>313</v>
      </c>
      <c r="L1199" s="40" t="s">
        <v>380</v>
      </c>
      <c r="M1199" s="125"/>
      <c r="N1199" s="125"/>
      <c r="O1199" s="125"/>
      <c r="P1199" s="125"/>
    </row>
    <row r="1200" spans="1:16" ht="15.75">
      <c r="A1200" s="37" t="s">
        <v>397</v>
      </c>
      <c r="B1200" s="41" t="s">
        <v>345</v>
      </c>
      <c r="C1200" s="41" t="s">
        <v>349</v>
      </c>
      <c r="D1200" s="41" t="s">
        <v>349</v>
      </c>
      <c r="E1200" s="41" t="s">
        <v>346</v>
      </c>
      <c r="F1200" s="41" t="s">
        <v>345</v>
      </c>
      <c r="G1200" s="41" t="s">
        <v>346</v>
      </c>
      <c r="H1200" s="41" t="s">
        <v>348</v>
      </c>
      <c r="I1200" s="41" t="s">
        <v>348</v>
      </c>
      <c r="J1200" s="41" t="s">
        <v>348</v>
      </c>
      <c r="K1200" s="41" t="s">
        <v>348</v>
      </c>
      <c r="L1200" s="41" t="s">
        <v>380</v>
      </c>
      <c r="M1200" s="125"/>
      <c r="N1200" s="125"/>
      <c r="O1200" s="125"/>
      <c r="P1200" s="125"/>
    </row>
    <row r="1201" spans="1:16" ht="16.5" thickBot="1">
      <c r="A1201" s="42" t="s">
        <v>343</v>
      </c>
      <c r="B1201" s="43">
        <v>0.67708333333333337</v>
      </c>
      <c r="C1201" s="43">
        <v>42684.465277777781</v>
      </c>
      <c r="D1201" s="43">
        <v>42623.42291666667</v>
      </c>
      <c r="E1201" s="43">
        <v>42623.42291666667</v>
      </c>
      <c r="F1201" s="43">
        <v>0.67708333333333337</v>
      </c>
      <c r="G1201" s="43">
        <v>0.67708333333333337</v>
      </c>
      <c r="H1201" s="43">
        <v>0.67708333333333337</v>
      </c>
      <c r="I1201" s="43">
        <v>42623.42291666667</v>
      </c>
      <c r="J1201" s="43">
        <v>42623.42291666667</v>
      </c>
      <c r="K1201" s="43">
        <v>42623.42291666667</v>
      </c>
      <c r="L1201" s="41" t="s">
        <v>380</v>
      </c>
      <c r="M1201" s="125"/>
      <c r="N1201" s="125"/>
      <c r="O1201" s="125"/>
      <c r="P1201" s="125"/>
    </row>
    <row r="1202" spans="1:16" ht="17.25" thickTop="1" thickBot="1">
      <c r="A1202" s="32"/>
      <c r="B1202" s="32"/>
      <c r="C1202" s="32"/>
      <c r="D1202" s="32"/>
      <c r="E1202" s="32"/>
      <c r="F1202" s="32"/>
      <c r="G1202" s="32"/>
      <c r="H1202" s="32"/>
      <c r="I1202" s="32"/>
      <c r="J1202" s="32"/>
      <c r="K1202" s="32"/>
      <c r="L1202" s="32"/>
      <c r="M1202" s="125"/>
      <c r="N1202" s="125"/>
      <c r="O1202" s="125"/>
      <c r="P1202" s="125"/>
    </row>
    <row r="1203" spans="1:16" ht="19.5" thickTop="1" thickBot="1">
      <c r="A1203" s="35" t="s">
        <v>399</v>
      </c>
      <c r="B1203" s="1494" t="s">
        <v>380</v>
      </c>
      <c r="C1203" s="1495"/>
      <c r="D1203" s="1494" t="s">
        <v>380</v>
      </c>
      <c r="E1203" s="1496"/>
      <c r="F1203" s="32"/>
      <c r="G1203" s="32"/>
      <c r="H1203" s="32"/>
      <c r="I1203" s="32"/>
      <c r="J1203" s="32"/>
      <c r="K1203" s="31"/>
      <c r="L1203" s="31"/>
      <c r="M1203" s="125"/>
      <c r="N1203" s="125"/>
      <c r="O1203" s="125"/>
      <c r="P1203" s="125"/>
    </row>
    <row r="1204" spans="1:16" ht="18.75" thickBot="1">
      <c r="A1204" s="37" t="s">
        <v>400</v>
      </c>
      <c r="B1204" s="1497" t="s">
        <v>380</v>
      </c>
      <c r="C1204" s="1498"/>
      <c r="D1204" s="1497" t="s">
        <v>380</v>
      </c>
      <c r="E1204" s="1499"/>
      <c r="F1204" s="31" t="s">
        <v>401</v>
      </c>
      <c r="G1204" s="1500" t="s">
        <v>402</v>
      </c>
      <c r="H1204" s="1500"/>
      <c r="I1204" s="31" t="s">
        <v>403</v>
      </c>
      <c r="J1204" s="1501">
        <f ca="1">TODAY()</f>
        <v>45944</v>
      </c>
      <c r="K1204" s="1501"/>
      <c r="L1204" s="1501"/>
      <c r="M1204" s="125"/>
      <c r="N1204" s="125"/>
      <c r="O1204" s="125"/>
      <c r="P1204" s="125"/>
    </row>
    <row r="1205" spans="1:16" ht="18.75" thickBot="1">
      <c r="A1205" s="42" t="s">
        <v>404</v>
      </c>
      <c r="B1205" s="1491" t="s">
        <v>380</v>
      </c>
      <c r="C1205" s="1492"/>
      <c r="D1205" s="1491" t="s">
        <v>380</v>
      </c>
      <c r="E1205" s="1493"/>
      <c r="F1205" s="32"/>
      <c r="G1205" s="31"/>
      <c r="H1205" s="31" t="s">
        <v>405</v>
      </c>
      <c r="I1205" s="31"/>
      <c r="J1205" s="32"/>
      <c r="K1205" s="31"/>
      <c r="L1205" s="31"/>
      <c r="M1205" s="125"/>
      <c r="N1205" s="125"/>
      <c r="O1205" s="125"/>
      <c r="P1205" s="125"/>
    </row>
    <row r="1206" spans="1:16" ht="18.75" thickTop="1">
      <c r="A1206" s="32"/>
      <c r="B1206" s="32"/>
      <c r="C1206" s="32"/>
      <c r="D1206" s="32"/>
      <c r="E1206" s="32"/>
      <c r="F1206" s="31"/>
      <c r="G1206" s="31"/>
      <c r="H1206" s="44" t="s">
        <v>406</v>
      </c>
      <c r="I1206" s="31"/>
      <c r="J1206" s="31"/>
      <c r="K1206" s="32"/>
      <c r="L1206" s="32"/>
      <c r="M1206" s="125"/>
      <c r="N1206" s="125"/>
      <c r="O1206" s="125"/>
      <c r="P1206" s="125"/>
    </row>
    <row r="1207" spans="1:16" ht="18">
      <c r="A1207" s="32"/>
      <c r="B1207" s="32"/>
      <c r="C1207" s="32"/>
      <c r="D1207" s="32"/>
      <c r="E1207" s="32"/>
      <c r="F1207" s="31"/>
      <c r="G1207" s="31"/>
      <c r="H1207" s="32"/>
      <c r="I1207" s="31"/>
      <c r="J1207" s="32"/>
      <c r="K1207" s="32"/>
      <c r="L1207" s="32"/>
      <c r="M1207" s="125"/>
      <c r="N1207" s="125"/>
      <c r="O1207" s="125"/>
      <c r="P1207" s="125"/>
    </row>
    <row r="1208" spans="1:16" ht="18">
      <c r="A1208" s="1500" t="s">
        <v>78</v>
      </c>
      <c r="B1208" s="1500"/>
      <c r="C1208" s="1500"/>
      <c r="D1208" s="1500"/>
      <c r="E1208" s="1500"/>
      <c r="F1208" s="1500"/>
      <c r="G1208" s="1500"/>
      <c r="H1208" s="1500"/>
      <c r="I1208" s="1500"/>
      <c r="J1208" s="1500"/>
      <c r="K1208" s="1500"/>
      <c r="L1208" s="1500"/>
      <c r="M1208" s="125"/>
      <c r="N1208" s="125"/>
      <c r="O1208" s="125"/>
      <c r="P1208" s="125"/>
    </row>
    <row r="1209" spans="1:16" ht="18">
      <c r="A1209" s="1500" t="s">
        <v>79</v>
      </c>
      <c r="B1209" s="1500"/>
      <c r="C1209" s="1500"/>
      <c r="D1209" s="1500"/>
      <c r="E1209" s="1500"/>
      <c r="F1209" s="1500"/>
      <c r="G1209" s="1500"/>
      <c r="H1209" s="1500"/>
      <c r="I1209" s="1500"/>
      <c r="J1209" s="1500"/>
      <c r="K1209" s="1500"/>
      <c r="L1209" s="1500"/>
      <c r="M1209" s="125"/>
      <c r="N1209" s="125"/>
      <c r="O1209" s="125"/>
      <c r="P1209" s="125"/>
    </row>
    <row r="1210" spans="1:16" ht="18">
      <c r="A1210" s="30" t="s">
        <v>220</v>
      </c>
      <c r="B1210" s="31"/>
      <c r="C1210" s="31"/>
      <c r="D1210" s="31"/>
      <c r="E1210" s="31"/>
      <c r="F1210" s="31"/>
      <c r="G1210" s="31"/>
      <c r="H1210" s="31"/>
      <c r="I1210" s="31"/>
      <c r="J1210" s="31"/>
      <c r="K1210" s="31"/>
      <c r="L1210" s="31"/>
      <c r="M1210" s="125"/>
      <c r="N1210" s="125"/>
      <c r="O1210" s="125"/>
      <c r="P1210" s="125"/>
    </row>
    <row r="1211" spans="1:16" ht="18">
      <c r="A1211" s="30" t="s">
        <v>361</v>
      </c>
      <c r="B1211" s="31"/>
      <c r="C1211" s="31"/>
      <c r="D1211" s="31"/>
      <c r="E1211" s="31"/>
      <c r="F1211" s="31"/>
      <c r="G1211" s="31"/>
      <c r="H1211" s="31"/>
      <c r="I1211" s="31"/>
      <c r="J1211" s="31"/>
      <c r="K1211" s="31"/>
      <c r="L1211" s="31"/>
      <c r="M1211" s="125"/>
      <c r="N1211" s="125"/>
      <c r="O1211" s="125"/>
      <c r="P1211" s="125"/>
    </row>
    <row r="1212" spans="1:16" ht="18.75" thickBot="1">
      <c r="A1212" s="31"/>
      <c r="B1212" s="31"/>
      <c r="C1212" s="31"/>
      <c r="D1212" s="31"/>
      <c r="E1212" s="31"/>
      <c r="F1212" s="31"/>
      <c r="G1212" s="31"/>
      <c r="H1212" s="31"/>
      <c r="I1212" s="31"/>
      <c r="J1212" s="31"/>
      <c r="K1212" s="31"/>
      <c r="L1212" s="31"/>
      <c r="M1212" s="125"/>
      <c r="N1212" s="125"/>
      <c r="O1212" s="125"/>
      <c r="P1212" s="125"/>
    </row>
    <row r="1213" spans="1:16" ht="24" thickBot="1">
      <c r="A1213" s="31"/>
      <c r="B1213" s="31"/>
      <c r="C1213" s="1515" t="s">
        <v>362</v>
      </c>
      <c r="D1213" s="1516"/>
      <c r="E1213" s="1516"/>
      <c r="F1213" s="1516"/>
      <c r="G1213" s="1517"/>
      <c r="H1213" s="1518" t="s">
        <v>39</v>
      </c>
      <c r="I1213" s="1519"/>
      <c r="J1213" s="31"/>
      <c r="K1213" s="31"/>
      <c r="L1213" s="31"/>
      <c r="M1213" s="125"/>
      <c r="N1213" s="125"/>
      <c r="O1213" s="125"/>
      <c r="P1213" s="125"/>
    </row>
    <row r="1214" spans="1:16" ht="18">
      <c r="A1214" s="31"/>
      <c r="B1214" s="31"/>
      <c r="C1214" s="31"/>
      <c r="D1214" s="31"/>
      <c r="E1214" s="31"/>
      <c r="F1214" s="31"/>
      <c r="G1214" s="31"/>
      <c r="H1214" s="31"/>
      <c r="I1214" s="31"/>
      <c r="J1214" s="31"/>
      <c r="K1214" s="31"/>
      <c r="L1214" s="31"/>
      <c r="M1214" s="125"/>
      <c r="N1214" s="125"/>
      <c r="O1214" s="125"/>
      <c r="P1214" s="125"/>
    </row>
    <row r="1215" spans="1:16" ht="18">
      <c r="A1215" s="30" t="s">
        <v>363</v>
      </c>
      <c r="B1215" s="31"/>
      <c r="C1215" s="1500" t="s">
        <v>269</v>
      </c>
      <c r="D1215" s="1500"/>
      <c r="E1215" s="1500"/>
      <c r="F1215" s="31"/>
      <c r="G1215" s="31" t="s">
        <v>364</v>
      </c>
      <c r="H1215" s="31"/>
      <c r="I1215" s="1500"/>
      <c r="J1215" s="1500"/>
      <c r="K1215" s="1500"/>
      <c r="L1215" s="31"/>
      <c r="M1215" s="125"/>
      <c r="N1215" s="125"/>
      <c r="O1215" s="125"/>
      <c r="P1215" s="125"/>
    </row>
    <row r="1216" spans="1:16" ht="18.75" thickBot="1">
      <c r="A1216" s="30" t="s">
        <v>365</v>
      </c>
      <c r="B1216" s="31"/>
      <c r="C1216" s="31">
        <v>2</v>
      </c>
      <c r="D1216" s="31"/>
      <c r="E1216" s="31"/>
      <c r="F1216" s="31"/>
      <c r="G1216" s="31" t="s">
        <v>366</v>
      </c>
      <c r="H1216" s="31"/>
      <c r="I1216" s="31">
        <v>36</v>
      </c>
      <c r="J1216" s="31"/>
      <c r="K1216" s="31"/>
      <c r="L1216" s="31"/>
      <c r="M1216" s="125"/>
      <c r="N1216" s="125"/>
      <c r="O1216" s="125"/>
      <c r="P1216" s="125"/>
    </row>
    <row r="1217" spans="1:16" ht="17.25" thickTop="1" thickBot="1">
      <c r="A1217" s="1510" t="s">
        <v>367</v>
      </c>
      <c r="B1217" s="1511"/>
      <c r="C1217" s="1512" t="s">
        <v>360</v>
      </c>
      <c r="D1217" s="1513"/>
      <c r="E1217" s="1512" t="s">
        <v>368</v>
      </c>
      <c r="F1217" s="1513"/>
      <c r="G1217" s="1512" t="s">
        <v>369</v>
      </c>
      <c r="H1217" s="1513"/>
      <c r="I1217" s="1512" t="s">
        <v>370</v>
      </c>
      <c r="J1217" s="1513"/>
      <c r="K1217" s="1512" t="s">
        <v>371</v>
      </c>
      <c r="L1217" s="1514"/>
      <c r="M1217" s="125"/>
      <c r="N1217" s="125"/>
      <c r="O1217" s="125"/>
      <c r="P1217" s="125"/>
    </row>
    <row r="1218" spans="1:16" ht="17.25" thickTop="1" thickBot="1">
      <c r="A1218" s="1506" t="s">
        <v>372</v>
      </c>
      <c r="B1218" s="1507"/>
      <c r="C1218" s="1504" t="s">
        <v>290</v>
      </c>
      <c r="D1218" s="1505"/>
      <c r="E1218" s="1504" t="s">
        <v>386</v>
      </c>
      <c r="F1218" s="1505"/>
      <c r="G1218" s="1504" t="s">
        <v>383</v>
      </c>
      <c r="H1218" s="1505"/>
      <c r="I1218" s="1504" t="s">
        <v>352</v>
      </c>
      <c r="J1218" s="1505"/>
      <c r="K1218" s="1504" t="s">
        <v>270</v>
      </c>
      <c r="L1218" s="1505"/>
      <c r="M1218" s="125"/>
      <c r="N1218" s="125"/>
      <c r="O1218" s="125"/>
      <c r="P1218" s="125"/>
    </row>
    <row r="1219" spans="1:16" ht="17.25" thickTop="1" thickBot="1">
      <c r="A1219" s="1506" t="s">
        <v>373</v>
      </c>
      <c r="B1219" s="1507"/>
      <c r="C1219" s="1504" t="s">
        <v>290</v>
      </c>
      <c r="D1219" s="1505"/>
      <c r="E1219" s="1504" t="s">
        <v>386</v>
      </c>
      <c r="F1219" s="1505"/>
      <c r="G1219" s="1504" t="s">
        <v>386</v>
      </c>
      <c r="H1219" s="1505"/>
      <c r="I1219" s="1504" t="s">
        <v>384</v>
      </c>
      <c r="J1219" s="1505"/>
      <c r="K1219" s="1504" t="s">
        <v>387</v>
      </c>
      <c r="L1219" s="1505"/>
      <c r="M1219" s="125"/>
      <c r="N1219" s="125"/>
      <c r="O1219" s="125"/>
      <c r="P1219" s="125"/>
    </row>
    <row r="1220" spans="1:16" ht="17.25" thickTop="1" thickBot="1">
      <c r="A1220" s="1506" t="s">
        <v>374</v>
      </c>
      <c r="B1220" s="1507"/>
      <c r="C1220" s="1504" t="s">
        <v>384</v>
      </c>
      <c r="D1220" s="1505"/>
      <c r="E1220" s="1504" t="s">
        <v>385</v>
      </c>
      <c r="F1220" s="1505"/>
      <c r="G1220" s="1504" t="s">
        <v>385</v>
      </c>
      <c r="H1220" s="1505"/>
      <c r="I1220" s="1504" t="s">
        <v>290</v>
      </c>
      <c r="J1220" s="1505"/>
      <c r="K1220" s="1504" t="s">
        <v>387</v>
      </c>
      <c r="L1220" s="1505"/>
      <c r="M1220" s="125"/>
      <c r="N1220" s="125"/>
      <c r="O1220" s="125"/>
      <c r="P1220" s="125"/>
    </row>
    <row r="1221" spans="1:16" ht="17.25" thickTop="1" thickBot="1">
      <c r="A1221" s="1502" t="s">
        <v>375</v>
      </c>
      <c r="B1221" s="1503"/>
      <c r="C1221" s="1504" t="s">
        <v>384</v>
      </c>
      <c r="D1221" s="1505"/>
      <c r="E1221" s="1504" t="s">
        <v>385</v>
      </c>
      <c r="F1221" s="1505"/>
      <c r="G1221" s="1504" t="s">
        <v>262</v>
      </c>
      <c r="H1221" s="1505"/>
      <c r="I1221" s="1504"/>
      <c r="J1221" s="1505"/>
      <c r="K1221" s="1504"/>
      <c r="L1221" s="1505"/>
      <c r="M1221" s="125"/>
      <c r="N1221" s="125"/>
      <c r="O1221" s="125"/>
      <c r="P1221" s="125"/>
    </row>
    <row r="1222" spans="1:16" ht="17.25" thickTop="1" thickBot="1">
      <c r="A1222" s="32"/>
      <c r="B1222" s="32"/>
      <c r="C1222" s="32"/>
      <c r="D1222" s="32"/>
      <c r="E1222" s="32"/>
      <c r="F1222" s="32"/>
      <c r="G1222" s="32"/>
      <c r="H1222" s="32"/>
      <c r="I1222" s="45"/>
      <c r="J1222" s="45"/>
      <c r="K1222" s="32"/>
      <c r="L1222" s="32"/>
      <c r="M1222" s="125"/>
      <c r="N1222" s="125"/>
      <c r="O1222" s="125"/>
      <c r="P1222" s="125"/>
    </row>
    <row r="1223" spans="1:16" ht="17.25" thickTop="1" thickBot="1">
      <c r="A1223" s="1508" t="s">
        <v>376</v>
      </c>
      <c r="B1223" s="1509"/>
      <c r="C1223" s="1504" t="s">
        <v>386</v>
      </c>
      <c r="D1223" s="1505"/>
      <c r="E1223" s="1504" t="s">
        <v>290</v>
      </c>
      <c r="F1223" s="1505"/>
      <c r="G1223" s="1504" t="s">
        <v>408</v>
      </c>
      <c r="H1223" s="1505"/>
      <c r="I1223" s="1504" t="s">
        <v>383</v>
      </c>
      <c r="J1223" s="1505"/>
      <c r="K1223" s="1504" t="s">
        <v>290</v>
      </c>
      <c r="L1223" s="1505"/>
      <c r="M1223" s="125"/>
      <c r="N1223" s="125"/>
      <c r="O1223" s="125"/>
      <c r="P1223" s="125"/>
    </row>
    <row r="1224" spans="1:16" ht="17.25" thickTop="1" thickBot="1">
      <c r="A1224" s="1506" t="s">
        <v>377</v>
      </c>
      <c r="B1224" s="1507"/>
      <c r="C1224" s="1504" t="s">
        <v>407</v>
      </c>
      <c r="D1224" s="1505"/>
      <c r="E1224" s="1504" t="s">
        <v>384</v>
      </c>
      <c r="F1224" s="1505"/>
      <c r="G1224" s="1504" t="s">
        <v>438</v>
      </c>
      <c r="H1224" s="1505"/>
      <c r="I1224" s="1504" t="s">
        <v>262</v>
      </c>
      <c r="J1224" s="1505"/>
      <c r="K1224" s="1504" t="s">
        <v>384</v>
      </c>
      <c r="L1224" s="1505"/>
      <c r="M1224" s="125"/>
      <c r="N1224" s="125"/>
      <c r="O1224" s="125"/>
      <c r="P1224" s="125"/>
    </row>
    <row r="1225" spans="1:16" ht="17.25" thickTop="1" thickBot="1">
      <c r="A1225" s="1506" t="s">
        <v>378</v>
      </c>
      <c r="B1225" s="1507"/>
      <c r="C1225" s="1504" t="s">
        <v>409</v>
      </c>
      <c r="D1225" s="1505"/>
      <c r="E1225" s="1504" t="s">
        <v>262</v>
      </c>
      <c r="F1225" s="1505"/>
      <c r="G1225" s="1504" t="s">
        <v>434</v>
      </c>
      <c r="H1225" s="1505"/>
      <c r="I1225" s="1504" t="s">
        <v>385</v>
      </c>
      <c r="J1225" s="1505"/>
      <c r="K1225" s="1504"/>
      <c r="L1225" s="1505"/>
      <c r="M1225" s="125"/>
      <c r="N1225" s="125"/>
      <c r="O1225" s="125"/>
      <c r="P1225" s="125"/>
    </row>
    <row r="1226" spans="1:16" ht="17.25" thickTop="1" thickBot="1">
      <c r="A1226" s="1502" t="s">
        <v>379</v>
      </c>
      <c r="B1226" s="1503"/>
      <c r="C1226" s="1504">
        <v>0</v>
      </c>
      <c r="D1226" s="1505"/>
      <c r="E1226" s="1504">
        <v>0</v>
      </c>
      <c r="F1226" s="1505"/>
      <c r="G1226" s="1504">
        <v>0</v>
      </c>
      <c r="H1226" s="1505"/>
      <c r="I1226" s="1504">
        <v>0</v>
      </c>
      <c r="J1226" s="1505"/>
      <c r="K1226" s="1504" t="s">
        <v>380</v>
      </c>
      <c r="L1226" s="1505"/>
      <c r="M1226" s="125"/>
      <c r="N1226" s="125"/>
      <c r="O1226" s="125"/>
      <c r="P1226" s="125"/>
    </row>
    <row r="1227" spans="1:16" ht="17.25" thickTop="1" thickBot="1">
      <c r="A1227" s="32"/>
      <c r="B1227" s="32"/>
      <c r="C1227" s="32"/>
      <c r="D1227" s="32"/>
      <c r="E1227" s="32"/>
      <c r="F1227" s="32"/>
      <c r="G1227" s="32"/>
      <c r="H1227" s="32"/>
      <c r="I1227" s="32"/>
      <c r="J1227" s="32"/>
      <c r="K1227" s="32"/>
      <c r="L1227" s="32"/>
      <c r="M1227" s="125"/>
      <c r="N1227" s="125"/>
      <c r="O1227" s="125"/>
      <c r="P1227" s="125"/>
    </row>
    <row r="1228" spans="1:16" ht="16.5" thickTop="1">
      <c r="A1228" s="35" t="s">
        <v>381</v>
      </c>
      <c r="B1228" s="36" t="s">
        <v>262</v>
      </c>
      <c r="C1228" s="36" t="s">
        <v>270</v>
      </c>
      <c r="D1228" s="36" t="s">
        <v>408</v>
      </c>
      <c r="E1228" s="36" t="s">
        <v>383</v>
      </c>
      <c r="F1228" s="36" t="s">
        <v>384</v>
      </c>
      <c r="G1228" s="36" t="s">
        <v>385</v>
      </c>
      <c r="H1228" s="36" t="s">
        <v>290</v>
      </c>
      <c r="I1228" s="36" t="s">
        <v>386</v>
      </c>
      <c r="J1228" s="36" t="s">
        <v>435</v>
      </c>
      <c r="K1228" s="36" t="s">
        <v>387</v>
      </c>
      <c r="L1228" s="36" t="s">
        <v>380</v>
      </c>
      <c r="M1228" s="125"/>
      <c r="N1228" s="125"/>
      <c r="O1228" s="125"/>
      <c r="P1228" s="125"/>
    </row>
    <row r="1229" spans="1:16" ht="15.75">
      <c r="A1229" s="37" t="s">
        <v>388</v>
      </c>
      <c r="B1229" s="38" t="s">
        <v>393</v>
      </c>
      <c r="C1229" s="38" t="s">
        <v>391</v>
      </c>
      <c r="D1229" s="38" t="s">
        <v>391</v>
      </c>
      <c r="E1229" s="38" t="s">
        <v>359</v>
      </c>
      <c r="F1229" s="38" t="s">
        <v>439</v>
      </c>
      <c r="G1229" s="38" t="s">
        <v>419</v>
      </c>
      <c r="H1229" s="38" t="s">
        <v>392</v>
      </c>
      <c r="I1229" s="38" t="s">
        <v>419</v>
      </c>
      <c r="J1229" s="38" t="s">
        <v>391</v>
      </c>
      <c r="K1229" s="38" t="s">
        <v>359</v>
      </c>
      <c r="L1229" s="38" t="s">
        <v>380</v>
      </c>
      <c r="M1229" s="125"/>
      <c r="N1229" s="125"/>
      <c r="O1229" s="125"/>
      <c r="P1229" s="125"/>
    </row>
    <row r="1230" spans="1:16" ht="15.75">
      <c r="A1230" s="37" t="s">
        <v>394</v>
      </c>
      <c r="B1230" s="39" t="s">
        <v>395</v>
      </c>
      <c r="C1230" s="39" t="s">
        <v>269</v>
      </c>
      <c r="D1230" s="39" t="s">
        <v>277</v>
      </c>
      <c r="E1230" s="39" t="s">
        <v>281</v>
      </c>
      <c r="F1230" s="39" t="s">
        <v>286</v>
      </c>
      <c r="G1230" s="39" t="s">
        <v>288</v>
      </c>
      <c r="H1230" s="39" t="s">
        <v>291</v>
      </c>
      <c r="I1230" s="39" t="s">
        <v>267</v>
      </c>
      <c r="J1230" s="39" t="s">
        <v>309</v>
      </c>
      <c r="K1230" s="39" t="s">
        <v>313</v>
      </c>
      <c r="L1230" s="40" t="s">
        <v>380</v>
      </c>
      <c r="M1230" s="125"/>
      <c r="N1230" s="125"/>
      <c r="O1230" s="125"/>
      <c r="P1230" s="125"/>
    </row>
    <row r="1231" spans="1:16" ht="15.75">
      <c r="A1231" s="37" t="s">
        <v>397</v>
      </c>
      <c r="B1231" s="41" t="s">
        <v>345</v>
      </c>
      <c r="C1231" s="41" t="s">
        <v>349</v>
      </c>
      <c r="D1231" s="41" t="s">
        <v>349</v>
      </c>
      <c r="E1231" s="41" t="s">
        <v>346</v>
      </c>
      <c r="F1231" s="41" t="s">
        <v>346</v>
      </c>
      <c r="G1231" s="41" t="s">
        <v>344</v>
      </c>
      <c r="H1231" s="41" t="s">
        <v>344</v>
      </c>
      <c r="I1231" s="41" t="s">
        <v>348</v>
      </c>
      <c r="J1231" s="41" t="s">
        <v>345</v>
      </c>
      <c r="K1231" s="41" t="s">
        <v>348</v>
      </c>
      <c r="L1231" s="41" t="s">
        <v>380</v>
      </c>
      <c r="M1231" s="125"/>
      <c r="N1231" s="125"/>
      <c r="O1231" s="125"/>
      <c r="P1231" s="125"/>
    </row>
    <row r="1232" spans="1:16" ht="16.5" thickBot="1">
      <c r="A1232" s="42" t="s">
        <v>343</v>
      </c>
      <c r="B1232" s="43">
        <v>42623.42291666667</v>
      </c>
      <c r="C1232" s="43">
        <v>42684.465277777781</v>
      </c>
      <c r="D1232" s="43">
        <v>42623.42291666667</v>
      </c>
      <c r="E1232" s="43">
        <v>42623.42291666667</v>
      </c>
      <c r="F1232" s="43">
        <v>42684.507638888892</v>
      </c>
      <c r="G1232" s="43">
        <v>42623.42291666667</v>
      </c>
      <c r="H1232" s="43">
        <v>0.67708333333333337</v>
      </c>
      <c r="I1232" s="43">
        <v>0.67708333333333337</v>
      </c>
      <c r="J1232" s="43">
        <v>42684.465277777781</v>
      </c>
      <c r="K1232" s="43">
        <v>42623.42291666667</v>
      </c>
      <c r="L1232" s="41" t="s">
        <v>380</v>
      </c>
      <c r="M1232" s="125"/>
      <c r="N1232" s="125"/>
      <c r="O1232" s="125"/>
      <c r="P1232" s="125"/>
    </row>
    <row r="1233" spans="1:16" ht="17.25" thickTop="1" thickBot="1">
      <c r="A1233" s="32"/>
      <c r="B1233" s="32"/>
      <c r="C1233" s="32"/>
      <c r="D1233" s="32"/>
      <c r="E1233" s="32"/>
      <c r="F1233" s="32"/>
      <c r="G1233" s="32"/>
      <c r="H1233" s="32"/>
      <c r="I1233" s="32"/>
      <c r="J1233" s="32"/>
      <c r="K1233" s="32"/>
      <c r="L1233" s="32"/>
      <c r="M1233" s="125"/>
      <c r="N1233" s="125"/>
      <c r="O1233" s="125"/>
      <c r="P1233" s="125"/>
    </row>
    <row r="1234" spans="1:16" ht="19.5" thickTop="1" thickBot="1">
      <c r="A1234" s="35" t="s">
        <v>399</v>
      </c>
      <c r="B1234" s="1494" t="s">
        <v>380</v>
      </c>
      <c r="C1234" s="1495"/>
      <c r="D1234" s="1494" t="s">
        <v>380</v>
      </c>
      <c r="E1234" s="1496"/>
      <c r="F1234" s="32"/>
      <c r="G1234" s="32"/>
      <c r="H1234" s="32"/>
      <c r="I1234" s="32"/>
      <c r="J1234" s="32"/>
      <c r="K1234" s="31"/>
      <c r="L1234" s="31"/>
      <c r="M1234" s="125"/>
      <c r="N1234" s="125"/>
      <c r="O1234" s="125"/>
      <c r="P1234" s="125"/>
    </row>
    <row r="1235" spans="1:16" ht="18.75" thickBot="1">
      <c r="A1235" s="37" t="s">
        <v>400</v>
      </c>
      <c r="B1235" s="1497" t="s">
        <v>380</v>
      </c>
      <c r="C1235" s="1498"/>
      <c r="D1235" s="1497" t="s">
        <v>380</v>
      </c>
      <c r="E1235" s="1499"/>
      <c r="F1235" s="31" t="s">
        <v>401</v>
      </c>
      <c r="G1235" s="1500" t="s">
        <v>402</v>
      </c>
      <c r="H1235" s="1500"/>
      <c r="I1235" s="31" t="s">
        <v>403</v>
      </c>
      <c r="J1235" s="1501">
        <f ca="1">TODAY()</f>
        <v>45944</v>
      </c>
      <c r="K1235" s="1501"/>
      <c r="L1235" s="1501"/>
      <c r="M1235" s="125"/>
      <c r="N1235" s="125"/>
      <c r="O1235" s="125"/>
      <c r="P1235" s="125"/>
    </row>
    <row r="1236" spans="1:16" ht="18.75" thickBot="1">
      <c r="A1236" s="42" t="s">
        <v>404</v>
      </c>
      <c r="B1236" s="1491" t="s">
        <v>380</v>
      </c>
      <c r="C1236" s="1492"/>
      <c r="D1236" s="1491" t="s">
        <v>380</v>
      </c>
      <c r="E1236" s="1493"/>
      <c r="F1236" s="32"/>
      <c r="G1236" s="31"/>
      <c r="H1236" s="31" t="s">
        <v>405</v>
      </c>
      <c r="I1236" s="31"/>
      <c r="J1236" s="32"/>
      <c r="K1236" s="31"/>
      <c r="L1236" s="31"/>
      <c r="M1236" s="125"/>
      <c r="N1236" s="125"/>
      <c r="O1236" s="125"/>
      <c r="P1236" s="125"/>
    </row>
    <row r="1237" spans="1:16" ht="18.75" thickTop="1">
      <c r="A1237" s="32"/>
      <c r="B1237" s="32"/>
      <c r="C1237" s="32"/>
      <c r="D1237" s="32"/>
      <c r="E1237" s="32"/>
      <c r="F1237" s="31"/>
      <c r="G1237" s="31"/>
      <c r="H1237" s="44" t="s">
        <v>406</v>
      </c>
      <c r="I1237" s="31"/>
      <c r="J1237" s="31"/>
      <c r="K1237" s="32"/>
      <c r="L1237" s="32"/>
      <c r="M1237" s="125"/>
      <c r="N1237" s="125"/>
      <c r="O1237" s="125"/>
      <c r="P1237" s="125"/>
    </row>
    <row r="1238" spans="1:16" ht="18">
      <c r="A1238" s="32"/>
      <c r="B1238" s="32"/>
      <c r="C1238" s="32"/>
      <c r="D1238" s="32"/>
      <c r="E1238" s="32"/>
      <c r="F1238" s="31"/>
      <c r="G1238" s="31"/>
      <c r="H1238" s="32"/>
      <c r="I1238" s="31"/>
      <c r="J1238" s="32"/>
      <c r="K1238" s="32"/>
      <c r="L1238" s="32"/>
      <c r="M1238" s="125"/>
      <c r="N1238" s="125"/>
      <c r="O1238" s="125"/>
      <c r="P1238" s="125"/>
    </row>
    <row r="1239" spans="1:16" ht="18">
      <c r="A1239" s="1500" t="s">
        <v>78</v>
      </c>
      <c r="B1239" s="1500"/>
      <c r="C1239" s="1500"/>
      <c r="D1239" s="1500"/>
      <c r="E1239" s="1500"/>
      <c r="F1239" s="1500"/>
      <c r="G1239" s="1500"/>
      <c r="H1239" s="1500"/>
      <c r="I1239" s="1500"/>
      <c r="J1239" s="1500"/>
      <c r="K1239" s="1500"/>
      <c r="L1239" s="1500"/>
      <c r="M1239" s="125"/>
      <c r="N1239" s="125"/>
      <c r="O1239" s="125"/>
      <c r="P1239" s="125"/>
    </row>
    <row r="1240" spans="1:16" ht="18">
      <c r="A1240" s="1500" t="s">
        <v>79</v>
      </c>
      <c r="B1240" s="1500"/>
      <c r="C1240" s="1500"/>
      <c r="D1240" s="1500"/>
      <c r="E1240" s="1500"/>
      <c r="F1240" s="1500"/>
      <c r="G1240" s="1500"/>
      <c r="H1240" s="1500"/>
      <c r="I1240" s="1500"/>
      <c r="J1240" s="1500"/>
      <c r="K1240" s="1500"/>
      <c r="L1240" s="1500"/>
      <c r="M1240" s="125"/>
      <c r="N1240" s="125"/>
      <c r="O1240" s="125"/>
      <c r="P1240" s="125"/>
    </row>
    <row r="1241" spans="1:16" ht="18">
      <c r="A1241" s="30" t="s">
        <v>220</v>
      </c>
      <c r="B1241" s="31"/>
      <c r="C1241" s="31"/>
      <c r="D1241" s="31"/>
      <c r="E1241" s="31"/>
      <c r="F1241" s="31"/>
      <c r="G1241" s="31"/>
      <c r="H1241" s="31"/>
      <c r="I1241" s="31"/>
      <c r="J1241" s="31"/>
      <c r="K1241" s="31"/>
      <c r="L1241" s="31"/>
      <c r="M1241" s="125"/>
      <c r="N1241" s="125"/>
      <c r="O1241" s="125"/>
      <c r="P1241" s="125"/>
    </row>
    <row r="1242" spans="1:16" ht="18">
      <c r="A1242" s="30" t="s">
        <v>361</v>
      </c>
      <c r="B1242" s="31"/>
      <c r="C1242" s="31"/>
      <c r="D1242" s="31"/>
      <c r="E1242" s="31"/>
      <c r="F1242" s="31"/>
      <c r="G1242" s="31"/>
      <c r="H1242" s="31"/>
      <c r="I1242" s="31"/>
      <c r="J1242" s="31"/>
      <c r="K1242" s="31"/>
      <c r="L1242" s="31"/>
      <c r="M1242" s="125"/>
      <c r="N1242" s="125"/>
      <c r="O1242" s="125"/>
      <c r="P1242" s="125"/>
    </row>
    <row r="1243" spans="1:16" ht="18.75" thickBot="1">
      <c r="A1243" s="31"/>
      <c r="B1243" s="31"/>
      <c r="C1243" s="31"/>
      <c r="D1243" s="31"/>
      <c r="E1243" s="31"/>
      <c r="F1243" s="31"/>
      <c r="G1243" s="31"/>
      <c r="H1243" s="31"/>
      <c r="I1243" s="31"/>
      <c r="J1243" s="31"/>
      <c r="K1243" s="31"/>
      <c r="L1243" s="31"/>
      <c r="M1243" s="125"/>
      <c r="N1243" s="125"/>
      <c r="O1243" s="125"/>
      <c r="P1243" s="125"/>
    </row>
    <row r="1244" spans="1:16" ht="24" thickBot="1">
      <c r="A1244" s="31"/>
      <c r="B1244" s="31"/>
      <c r="C1244" s="1515" t="s">
        <v>362</v>
      </c>
      <c r="D1244" s="1516"/>
      <c r="E1244" s="1516"/>
      <c r="F1244" s="1516"/>
      <c r="G1244" s="1517"/>
      <c r="H1244" s="1518" t="s">
        <v>440</v>
      </c>
      <c r="I1244" s="1519"/>
      <c r="J1244" s="31"/>
      <c r="K1244" s="31"/>
      <c r="L1244" s="31"/>
      <c r="M1244" s="125"/>
      <c r="N1244" s="125"/>
      <c r="O1244" s="125"/>
      <c r="P1244" s="125"/>
    </row>
    <row r="1245" spans="1:16" ht="18">
      <c r="A1245" s="31"/>
      <c r="B1245" s="31"/>
      <c r="C1245" s="31"/>
      <c r="D1245" s="31"/>
      <c r="E1245" s="31"/>
      <c r="F1245" s="31"/>
      <c r="G1245" s="31"/>
      <c r="H1245" s="31"/>
      <c r="I1245" s="31"/>
      <c r="J1245" s="31"/>
      <c r="K1245" s="31"/>
      <c r="L1245" s="31"/>
      <c r="M1245" s="125"/>
      <c r="N1245" s="125"/>
      <c r="O1245" s="125"/>
      <c r="P1245" s="125"/>
    </row>
    <row r="1246" spans="1:16" ht="18">
      <c r="A1246" s="30" t="s">
        <v>363</v>
      </c>
      <c r="B1246" s="31"/>
      <c r="C1246" s="1500" t="s">
        <v>380</v>
      </c>
      <c r="D1246" s="1500"/>
      <c r="E1246" s="1500"/>
      <c r="F1246" s="31"/>
      <c r="G1246" s="31" t="s">
        <v>364</v>
      </c>
      <c r="H1246" s="31"/>
      <c r="I1246" s="1500" t="s">
        <v>380</v>
      </c>
      <c r="J1246" s="1500"/>
      <c r="K1246" s="1500"/>
      <c r="L1246" s="31"/>
      <c r="M1246" s="125"/>
      <c r="N1246" s="125"/>
      <c r="O1246" s="125"/>
      <c r="P1246" s="125"/>
    </row>
    <row r="1247" spans="1:16" ht="18.75" thickBot="1">
      <c r="A1247" s="30" t="s">
        <v>365</v>
      </c>
      <c r="B1247" s="31"/>
      <c r="C1247" s="31" t="s">
        <v>380</v>
      </c>
      <c r="D1247" s="31"/>
      <c r="E1247" s="31"/>
      <c r="F1247" s="31"/>
      <c r="G1247" s="31" t="s">
        <v>366</v>
      </c>
      <c r="H1247" s="31"/>
      <c r="I1247" s="31"/>
      <c r="J1247" s="31"/>
      <c r="K1247" s="31"/>
      <c r="L1247" s="31"/>
      <c r="M1247" s="125"/>
      <c r="N1247" s="125"/>
      <c r="O1247" s="125"/>
      <c r="P1247" s="125"/>
    </row>
    <row r="1248" spans="1:16" ht="17.25" thickTop="1" thickBot="1">
      <c r="A1248" s="1510" t="s">
        <v>367</v>
      </c>
      <c r="B1248" s="1511"/>
      <c r="C1248" s="1512" t="s">
        <v>360</v>
      </c>
      <c r="D1248" s="1513"/>
      <c r="E1248" s="1512" t="s">
        <v>368</v>
      </c>
      <c r="F1248" s="1513"/>
      <c r="G1248" s="1512" t="s">
        <v>369</v>
      </c>
      <c r="H1248" s="1513"/>
      <c r="I1248" s="1512" t="s">
        <v>370</v>
      </c>
      <c r="J1248" s="1513"/>
      <c r="K1248" s="1512" t="s">
        <v>371</v>
      </c>
      <c r="L1248" s="1514"/>
      <c r="M1248" s="125"/>
      <c r="N1248" s="125"/>
      <c r="O1248" s="125"/>
      <c r="P1248" s="125"/>
    </row>
    <row r="1249" spans="1:16" ht="17.25" thickTop="1" thickBot="1">
      <c r="A1249" s="1506" t="s">
        <v>372</v>
      </c>
      <c r="B1249" s="1507"/>
      <c r="C1249" s="1504">
        <v>0</v>
      </c>
      <c r="D1249" s="1505"/>
      <c r="E1249" s="1504">
        <v>0</v>
      </c>
      <c r="F1249" s="1505"/>
      <c r="G1249" s="1504">
        <v>0</v>
      </c>
      <c r="H1249" s="1505"/>
      <c r="I1249" s="1504">
        <v>0</v>
      </c>
      <c r="J1249" s="1505"/>
      <c r="K1249" s="1504">
        <v>0</v>
      </c>
      <c r="L1249" s="1505"/>
      <c r="M1249" s="125"/>
      <c r="N1249" s="125"/>
      <c r="O1249" s="125"/>
      <c r="P1249" s="125"/>
    </row>
    <row r="1250" spans="1:16" ht="17.25" thickTop="1" thickBot="1">
      <c r="A1250" s="1506" t="s">
        <v>373</v>
      </c>
      <c r="B1250" s="1507"/>
      <c r="C1250" s="1504">
        <v>0</v>
      </c>
      <c r="D1250" s="1505"/>
      <c r="E1250" s="1504">
        <v>0</v>
      </c>
      <c r="F1250" s="1505"/>
      <c r="G1250" s="1504">
        <v>0</v>
      </c>
      <c r="H1250" s="1505"/>
      <c r="I1250" s="1504">
        <v>0</v>
      </c>
      <c r="J1250" s="1505"/>
      <c r="K1250" s="1504">
        <v>0</v>
      </c>
      <c r="L1250" s="1505"/>
      <c r="M1250" s="125"/>
      <c r="N1250" s="125"/>
      <c r="O1250" s="125"/>
      <c r="P1250" s="125"/>
    </row>
    <row r="1251" spans="1:16" ht="17.25" thickTop="1" thickBot="1">
      <c r="A1251" s="1506" t="s">
        <v>374</v>
      </c>
      <c r="B1251" s="1507"/>
      <c r="C1251" s="1504">
        <v>0</v>
      </c>
      <c r="D1251" s="1505"/>
      <c r="E1251" s="1504">
        <v>0</v>
      </c>
      <c r="F1251" s="1505"/>
      <c r="G1251" s="1504">
        <v>0</v>
      </c>
      <c r="H1251" s="1505"/>
      <c r="I1251" s="1504">
        <v>0</v>
      </c>
      <c r="J1251" s="1505"/>
      <c r="K1251" s="1504">
        <v>0</v>
      </c>
      <c r="L1251" s="1505"/>
      <c r="M1251" s="125"/>
      <c r="N1251" s="125"/>
      <c r="O1251" s="125"/>
      <c r="P1251" s="125"/>
    </row>
    <row r="1252" spans="1:16" ht="17.25" thickTop="1" thickBot="1">
      <c r="A1252" s="1502" t="s">
        <v>375</v>
      </c>
      <c r="B1252" s="1503"/>
      <c r="C1252" s="1504">
        <v>0</v>
      </c>
      <c r="D1252" s="1505"/>
      <c r="E1252" s="1504">
        <v>0</v>
      </c>
      <c r="F1252" s="1505"/>
      <c r="G1252" s="1504">
        <v>0</v>
      </c>
      <c r="H1252" s="1505"/>
      <c r="I1252" s="1504">
        <v>0</v>
      </c>
      <c r="J1252" s="1505"/>
      <c r="K1252" s="1504">
        <v>0</v>
      </c>
      <c r="L1252" s="1505"/>
      <c r="M1252" s="125"/>
      <c r="N1252" s="125"/>
      <c r="O1252" s="125"/>
      <c r="P1252" s="125"/>
    </row>
    <row r="1253" spans="1:16" ht="17.25" thickTop="1" thickBot="1">
      <c r="A1253" s="32"/>
      <c r="B1253" s="32"/>
      <c r="C1253" s="32"/>
      <c r="D1253" s="32"/>
      <c r="E1253" s="32"/>
      <c r="F1253" s="32"/>
      <c r="G1253" s="32"/>
      <c r="H1253" s="32"/>
      <c r="I1253" s="45"/>
      <c r="J1253" s="45"/>
      <c r="K1253" s="32"/>
      <c r="L1253" s="32"/>
      <c r="M1253" s="125"/>
      <c r="N1253" s="125"/>
      <c r="O1253" s="125"/>
      <c r="P1253" s="125"/>
    </row>
    <row r="1254" spans="1:16" ht="17.25" thickTop="1" thickBot="1">
      <c r="A1254" s="1508" t="s">
        <v>376</v>
      </c>
      <c r="B1254" s="1509"/>
      <c r="C1254" s="1504">
        <v>0</v>
      </c>
      <c r="D1254" s="1505"/>
      <c r="E1254" s="1504">
        <v>0</v>
      </c>
      <c r="F1254" s="1505"/>
      <c r="G1254" s="1504">
        <v>0</v>
      </c>
      <c r="H1254" s="1505"/>
      <c r="I1254" s="1504">
        <v>0</v>
      </c>
      <c r="J1254" s="1505"/>
      <c r="K1254" s="1504">
        <v>0</v>
      </c>
      <c r="L1254" s="1505"/>
      <c r="M1254" s="125"/>
      <c r="N1254" s="125"/>
      <c r="O1254" s="125"/>
      <c r="P1254" s="125"/>
    </row>
    <row r="1255" spans="1:16" ht="17.25" thickTop="1" thickBot="1">
      <c r="A1255" s="1506" t="s">
        <v>377</v>
      </c>
      <c r="B1255" s="1507"/>
      <c r="C1255" s="1504">
        <v>0</v>
      </c>
      <c r="D1255" s="1505"/>
      <c r="E1255" s="1504">
        <v>0</v>
      </c>
      <c r="F1255" s="1505"/>
      <c r="G1255" s="1504">
        <v>0</v>
      </c>
      <c r="H1255" s="1505"/>
      <c r="I1255" s="1504">
        <v>0</v>
      </c>
      <c r="J1255" s="1505"/>
      <c r="K1255" s="1504">
        <v>0</v>
      </c>
      <c r="L1255" s="1505"/>
      <c r="M1255" s="125"/>
      <c r="N1255" s="125"/>
      <c r="O1255" s="125"/>
      <c r="P1255" s="125"/>
    </row>
    <row r="1256" spans="1:16" ht="17.25" thickTop="1" thickBot="1">
      <c r="A1256" s="1506" t="s">
        <v>378</v>
      </c>
      <c r="B1256" s="1507"/>
      <c r="C1256" s="1504">
        <v>0</v>
      </c>
      <c r="D1256" s="1505"/>
      <c r="E1256" s="1504">
        <v>0</v>
      </c>
      <c r="F1256" s="1505"/>
      <c r="G1256" s="1504">
        <v>0</v>
      </c>
      <c r="H1256" s="1505"/>
      <c r="I1256" s="1504">
        <v>0</v>
      </c>
      <c r="J1256" s="1505"/>
      <c r="K1256" s="1504">
        <v>0</v>
      </c>
      <c r="L1256" s="1505"/>
      <c r="M1256" s="125"/>
      <c r="N1256" s="125"/>
      <c r="O1256" s="125"/>
      <c r="P1256" s="125"/>
    </row>
    <row r="1257" spans="1:16" ht="17.25" thickTop="1" thickBot="1">
      <c r="A1257" s="1502" t="s">
        <v>379</v>
      </c>
      <c r="B1257" s="1503"/>
      <c r="C1257" s="1504">
        <v>0</v>
      </c>
      <c r="D1257" s="1505"/>
      <c r="E1257" s="1504">
        <v>0</v>
      </c>
      <c r="F1257" s="1505"/>
      <c r="G1257" s="1504">
        <v>0</v>
      </c>
      <c r="H1257" s="1505"/>
      <c r="I1257" s="1504">
        <v>0</v>
      </c>
      <c r="J1257" s="1505"/>
      <c r="K1257" s="1504" t="s">
        <v>380</v>
      </c>
      <c r="L1257" s="1505"/>
      <c r="M1257" s="125"/>
      <c r="N1257" s="125"/>
      <c r="O1257" s="125"/>
      <c r="P1257" s="125"/>
    </row>
    <row r="1258" spans="1:16" ht="17.25" thickTop="1" thickBot="1">
      <c r="A1258" s="32"/>
      <c r="B1258" s="32"/>
      <c r="C1258" s="32"/>
      <c r="D1258" s="32"/>
      <c r="E1258" s="32"/>
      <c r="F1258" s="32"/>
      <c r="G1258" s="32"/>
      <c r="H1258" s="32"/>
      <c r="I1258" s="32"/>
      <c r="J1258" s="32"/>
      <c r="K1258" s="32"/>
      <c r="L1258" s="32"/>
      <c r="M1258" s="125"/>
      <c r="N1258" s="125"/>
      <c r="O1258" s="125"/>
      <c r="P1258" s="125"/>
    </row>
    <row r="1259" spans="1:16" ht="16.5" thickTop="1">
      <c r="A1259" s="35" t="s">
        <v>381</v>
      </c>
      <c r="B1259" s="36" t="s">
        <v>380</v>
      </c>
      <c r="C1259" s="36" t="s">
        <v>380</v>
      </c>
      <c r="D1259" s="36" t="s">
        <v>380</v>
      </c>
      <c r="E1259" s="36" t="s">
        <v>380</v>
      </c>
      <c r="F1259" s="36" t="s">
        <v>380</v>
      </c>
      <c r="G1259" s="36" t="s">
        <v>380</v>
      </c>
      <c r="H1259" s="36" t="s">
        <v>380</v>
      </c>
      <c r="I1259" s="36" t="s">
        <v>380</v>
      </c>
      <c r="J1259" s="36" t="s">
        <v>380</v>
      </c>
      <c r="K1259" s="36" t="s">
        <v>380</v>
      </c>
      <c r="L1259" s="36" t="s">
        <v>380</v>
      </c>
      <c r="M1259" s="125"/>
      <c r="N1259" s="125"/>
      <c r="O1259" s="125"/>
      <c r="P1259" s="125"/>
    </row>
    <row r="1260" spans="1:16" ht="15.75">
      <c r="A1260" s="37" t="s">
        <v>388</v>
      </c>
      <c r="B1260" s="38" t="s">
        <v>380</v>
      </c>
      <c r="C1260" s="38" t="s">
        <v>380</v>
      </c>
      <c r="D1260" s="38" t="s">
        <v>380</v>
      </c>
      <c r="E1260" s="38" t="s">
        <v>380</v>
      </c>
      <c r="F1260" s="38" t="s">
        <v>380</v>
      </c>
      <c r="G1260" s="38" t="s">
        <v>380</v>
      </c>
      <c r="H1260" s="38" t="s">
        <v>380</v>
      </c>
      <c r="I1260" s="38" t="s">
        <v>380</v>
      </c>
      <c r="J1260" s="38" t="s">
        <v>380</v>
      </c>
      <c r="K1260" s="38" t="s">
        <v>380</v>
      </c>
      <c r="L1260" s="38" t="s">
        <v>380</v>
      </c>
      <c r="M1260" s="125"/>
      <c r="N1260" s="125"/>
      <c r="O1260" s="125"/>
      <c r="P1260" s="125"/>
    </row>
    <row r="1261" spans="1:16" ht="15.75">
      <c r="A1261" s="37" t="s">
        <v>394</v>
      </c>
      <c r="B1261" s="40" t="s">
        <v>380</v>
      </c>
      <c r="C1261" s="40" t="s">
        <v>380</v>
      </c>
      <c r="D1261" s="40" t="s">
        <v>380</v>
      </c>
      <c r="E1261" s="40" t="s">
        <v>380</v>
      </c>
      <c r="F1261" s="40" t="s">
        <v>380</v>
      </c>
      <c r="G1261" s="40" t="s">
        <v>380</v>
      </c>
      <c r="H1261" s="40" t="s">
        <v>380</v>
      </c>
      <c r="I1261" s="40" t="s">
        <v>380</v>
      </c>
      <c r="J1261" s="40" t="s">
        <v>380</v>
      </c>
      <c r="K1261" s="40" t="s">
        <v>380</v>
      </c>
      <c r="L1261" s="40" t="s">
        <v>380</v>
      </c>
      <c r="M1261" s="125"/>
      <c r="N1261" s="125"/>
      <c r="O1261" s="125"/>
      <c r="P1261" s="125"/>
    </row>
    <row r="1262" spans="1:16" ht="15.75">
      <c r="A1262" s="37" t="s">
        <v>397</v>
      </c>
      <c r="B1262" s="41" t="s">
        <v>380</v>
      </c>
      <c r="C1262" s="41" t="s">
        <v>380</v>
      </c>
      <c r="D1262" s="41" t="s">
        <v>380</v>
      </c>
      <c r="E1262" s="41" t="s">
        <v>380</v>
      </c>
      <c r="F1262" s="41" t="s">
        <v>380</v>
      </c>
      <c r="G1262" s="41" t="s">
        <v>380</v>
      </c>
      <c r="H1262" s="41" t="s">
        <v>380</v>
      </c>
      <c r="I1262" s="41" t="s">
        <v>380</v>
      </c>
      <c r="J1262" s="41" t="s">
        <v>380</v>
      </c>
      <c r="K1262" s="41" t="s">
        <v>380</v>
      </c>
      <c r="L1262" s="41" t="s">
        <v>380</v>
      </c>
      <c r="M1262" s="125"/>
      <c r="N1262" s="125"/>
      <c r="O1262" s="125"/>
      <c r="P1262" s="125"/>
    </row>
    <row r="1263" spans="1:16" ht="16.5" thickBot="1">
      <c r="A1263" s="42" t="s">
        <v>343</v>
      </c>
      <c r="B1263" s="41" t="s">
        <v>380</v>
      </c>
      <c r="C1263" s="41" t="s">
        <v>380</v>
      </c>
      <c r="D1263" s="41" t="s">
        <v>380</v>
      </c>
      <c r="E1263" s="41" t="s">
        <v>380</v>
      </c>
      <c r="F1263" s="41" t="s">
        <v>380</v>
      </c>
      <c r="G1263" s="41" t="s">
        <v>380</v>
      </c>
      <c r="H1263" s="41" t="s">
        <v>380</v>
      </c>
      <c r="I1263" s="41" t="s">
        <v>380</v>
      </c>
      <c r="J1263" s="41" t="s">
        <v>380</v>
      </c>
      <c r="K1263" s="41" t="s">
        <v>380</v>
      </c>
      <c r="L1263" s="41" t="s">
        <v>380</v>
      </c>
      <c r="M1263" s="125"/>
      <c r="N1263" s="125"/>
      <c r="O1263" s="125"/>
      <c r="P1263" s="125"/>
    </row>
    <row r="1264" spans="1:16" ht="17.25" thickTop="1" thickBot="1">
      <c r="A1264" s="32"/>
      <c r="B1264" s="32"/>
      <c r="C1264" s="32"/>
      <c r="D1264" s="32"/>
      <c r="E1264" s="32"/>
      <c r="F1264" s="32"/>
      <c r="G1264" s="32"/>
      <c r="H1264" s="32"/>
      <c r="I1264" s="32"/>
      <c r="J1264" s="32"/>
      <c r="K1264" s="32"/>
      <c r="L1264" s="32"/>
      <c r="M1264" s="125"/>
      <c r="N1264" s="125"/>
      <c r="O1264" s="125"/>
      <c r="P1264" s="125"/>
    </row>
    <row r="1265" spans="1:16" ht="19.5" thickTop="1" thickBot="1">
      <c r="A1265" s="35" t="s">
        <v>399</v>
      </c>
      <c r="B1265" s="1494" t="s">
        <v>380</v>
      </c>
      <c r="C1265" s="1495"/>
      <c r="D1265" s="1494" t="s">
        <v>380</v>
      </c>
      <c r="E1265" s="1496"/>
      <c r="F1265" s="32"/>
      <c r="G1265" s="32"/>
      <c r="H1265" s="32"/>
      <c r="I1265" s="32"/>
      <c r="J1265" s="32"/>
      <c r="K1265" s="31"/>
      <c r="L1265" s="31"/>
      <c r="M1265" s="125"/>
      <c r="N1265" s="125"/>
      <c r="O1265" s="125"/>
      <c r="P1265" s="125"/>
    </row>
    <row r="1266" spans="1:16" ht="18.75" thickBot="1">
      <c r="A1266" s="37" t="s">
        <v>400</v>
      </c>
      <c r="B1266" s="1497" t="s">
        <v>380</v>
      </c>
      <c r="C1266" s="1498"/>
      <c r="D1266" s="1497" t="s">
        <v>380</v>
      </c>
      <c r="E1266" s="1499"/>
      <c r="F1266" s="31" t="s">
        <v>401</v>
      </c>
      <c r="G1266" s="1500" t="s">
        <v>402</v>
      </c>
      <c r="H1266" s="1500"/>
      <c r="I1266" s="31" t="s">
        <v>403</v>
      </c>
      <c r="J1266" s="1501">
        <v>42610.364183217593</v>
      </c>
      <c r="K1266" s="1501"/>
      <c r="L1266" s="1501"/>
      <c r="M1266" s="125"/>
      <c r="N1266" s="125"/>
      <c r="O1266" s="125"/>
      <c r="P1266" s="125"/>
    </row>
    <row r="1267" spans="1:16" ht="18.75" thickBot="1">
      <c r="A1267" s="42" t="s">
        <v>404</v>
      </c>
      <c r="B1267" s="1491" t="s">
        <v>380</v>
      </c>
      <c r="C1267" s="1492"/>
      <c r="D1267" s="1491" t="s">
        <v>380</v>
      </c>
      <c r="E1267" s="1493"/>
      <c r="F1267" s="32"/>
      <c r="G1267" s="31"/>
      <c r="H1267" s="31" t="s">
        <v>405</v>
      </c>
      <c r="I1267" s="31"/>
      <c r="J1267" s="32"/>
      <c r="K1267" s="31"/>
      <c r="L1267" s="31"/>
      <c r="M1267" s="125"/>
      <c r="N1267" s="125"/>
      <c r="O1267" s="125"/>
      <c r="P1267" s="125"/>
    </row>
    <row r="1268" spans="1:16" ht="18.75" thickTop="1">
      <c r="A1268" s="32"/>
      <c r="B1268" s="32"/>
      <c r="C1268" s="32"/>
      <c r="D1268" s="32"/>
      <c r="E1268" s="32"/>
      <c r="F1268" s="31"/>
      <c r="G1268" s="31"/>
      <c r="H1268" s="44" t="s">
        <v>406</v>
      </c>
      <c r="I1268" s="31"/>
      <c r="J1268" s="31"/>
      <c r="K1268" s="32"/>
      <c r="L1268" s="32"/>
      <c r="M1268" s="125"/>
      <c r="N1268" s="125"/>
      <c r="O1268" s="125"/>
      <c r="P1268" s="125"/>
    </row>
    <row r="1269" spans="1:16" ht="18">
      <c r="A1269" s="32"/>
      <c r="B1269" s="32"/>
      <c r="C1269" s="32"/>
      <c r="D1269" s="32"/>
      <c r="E1269" s="32"/>
      <c r="F1269" s="31"/>
      <c r="G1269" s="31"/>
      <c r="H1269" s="32"/>
      <c r="I1269" s="31"/>
      <c r="J1269" s="32"/>
      <c r="K1269" s="32"/>
      <c r="L1269" s="32"/>
      <c r="M1269" s="125"/>
      <c r="N1269" s="125"/>
      <c r="O1269" s="125"/>
      <c r="P1269" s="125"/>
    </row>
    <row r="1270" spans="1:16" ht="18">
      <c r="A1270" s="1500" t="s">
        <v>78</v>
      </c>
      <c r="B1270" s="1500"/>
      <c r="C1270" s="1500"/>
      <c r="D1270" s="1500"/>
      <c r="E1270" s="1500"/>
      <c r="F1270" s="1500"/>
      <c r="G1270" s="1500"/>
      <c r="H1270" s="1500"/>
      <c r="I1270" s="1500"/>
      <c r="J1270" s="1500"/>
      <c r="K1270" s="1500"/>
      <c r="L1270" s="1500"/>
      <c r="M1270" s="125"/>
      <c r="N1270" s="125"/>
      <c r="O1270" s="125"/>
      <c r="P1270" s="125"/>
    </row>
    <row r="1271" spans="1:16" ht="18">
      <c r="A1271" s="1500" t="s">
        <v>79</v>
      </c>
      <c r="B1271" s="1500"/>
      <c r="C1271" s="1500"/>
      <c r="D1271" s="1500"/>
      <c r="E1271" s="1500"/>
      <c r="F1271" s="1500"/>
      <c r="G1271" s="1500"/>
      <c r="H1271" s="1500"/>
      <c r="I1271" s="1500"/>
      <c r="J1271" s="1500"/>
      <c r="K1271" s="1500"/>
      <c r="L1271" s="1500"/>
      <c r="M1271" s="125"/>
      <c r="N1271" s="125"/>
      <c r="O1271" s="125"/>
      <c r="P1271" s="125"/>
    </row>
    <row r="1272" spans="1:16" ht="18">
      <c r="A1272" s="30" t="s">
        <v>220</v>
      </c>
      <c r="B1272" s="31"/>
      <c r="C1272" s="31"/>
      <c r="D1272" s="31"/>
      <c r="E1272" s="31"/>
      <c r="F1272" s="31"/>
      <c r="G1272" s="31"/>
      <c r="H1272" s="31"/>
      <c r="I1272" s="31"/>
      <c r="J1272" s="31"/>
      <c r="K1272" s="31"/>
      <c r="L1272" s="31"/>
      <c r="M1272" s="125"/>
      <c r="N1272" s="125"/>
      <c r="O1272" s="125"/>
      <c r="P1272" s="125"/>
    </row>
    <row r="1273" spans="1:16" ht="18">
      <c r="A1273" s="30" t="s">
        <v>361</v>
      </c>
      <c r="B1273" s="31"/>
      <c r="C1273" s="31"/>
      <c r="D1273" s="31"/>
      <c r="E1273" s="31"/>
      <c r="F1273" s="31"/>
      <c r="G1273" s="31"/>
      <c r="H1273" s="31"/>
      <c r="I1273" s="31"/>
      <c r="J1273" s="31"/>
      <c r="K1273" s="31"/>
      <c r="L1273" s="31"/>
      <c r="M1273" s="125"/>
      <c r="N1273" s="125"/>
      <c r="O1273" s="125"/>
      <c r="P1273" s="125"/>
    </row>
    <row r="1274" spans="1:16" ht="18.75" thickBot="1">
      <c r="A1274" s="31"/>
      <c r="B1274" s="31"/>
      <c r="C1274" s="31"/>
      <c r="D1274" s="31"/>
      <c r="E1274" s="31"/>
      <c r="F1274" s="31"/>
      <c r="G1274" s="31"/>
      <c r="H1274" s="31"/>
      <c r="I1274" s="31"/>
      <c r="J1274" s="31"/>
      <c r="K1274" s="31"/>
      <c r="L1274" s="31"/>
      <c r="M1274" s="125"/>
      <c r="N1274" s="125"/>
      <c r="O1274" s="125"/>
      <c r="P1274" s="125"/>
    </row>
    <row r="1275" spans="1:16" ht="24" thickBot="1">
      <c r="A1275" s="31"/>
      <c r="B1275" s="31"/>
      <c r="C1275" s="1515" t="s">
        <v>362</v>
      </c>
      <c r="D1275" s="1516"/>
      <c r="E1275" s="1516"/>
      <c r="F1275" s="1516"/>
      <c r="G1275" s="1517"/>
      <c r="H1275" s="1518" t="s">
        <v>440</v>
      </c>
      <c r="I1275" s="1519"/>
      <c r="J1275" s="31"/>
      <c r="K1275" s="31"/>
      <c r="L1275" s="31"/>
      <c r="M1275" s="125"/>
      <c r="N1275" s="125"/>
      <c r="O1275" s="125"/>
      <c r="P1275" s="125"/>
    </row>
    <row r="1276" spans="1:16" ht="18">
      <c r="A1276" s="31"/>
      <c r="B1276" s="31"/>
      <c r="C1276" s="31"/>
      <c r="D1276" s="31"/>
      <c r="E1276" s="31"/>
      <c r="F1276" s="31"/>
      <c r="G1276" s="31"/>
      <c r="H1276" s="31"/>
      <c r="I1276" s="31"/>
      <c r="J1276" s="31"/>
      <c r="K1276" s="31"/>
      <c r="L1276" s="31"/>
      <c r="M1276" s="125"/>
      <c r="N1276" s="125"/>
      <c r="O1276" s="125"/>
      <c r="P1276" s="125"/>
    </row>
    <row r="1277" spans="1:16" ht="18">
      <c r="A1277" s="30" t="s">
        <v>363</v>
      </c>
      <c r="B1277" s="31"/>
      <c r="C1277" s="1500" t="s">
        <v>380</v>
      </c>
      <c r="D1277" s="1500"/>
      <c r="E1277" s="1500"/>
      <c r="F1277" s="31"/>
      <c r="G1277" s="31" t="s">
        <v>364</v>
      </c>
      <c r="H1277" s="31"/>
      <c r="I1277" s="1500" t="s">
        <v>380</v>
      </c>
      <c r="J1277" s="1500"/>
      <c r="K1277" s="1500"/>
      <c r="L1277" s="31"/>
      <c r="M1277" s="125"/>
      <c r="N1277" s="125"/>
      <c r="O1277" s="125"/>
      <c r="P1277" s="125"/>
    </row>
    <row r="1278" spans="1:16" ht="18.75" thickBot="1">
      <c r="A1278" s="30" t="s">
        <v>365</v>
      </c>
      <c r="B1278" s="31"/>
      <c r="C1278" s="31" t="s">
        <v>380</v>
      </c>
      <c r="D1278" s="31"/>
      <c r="E1278" s="31"/>
      <c r="F1278" s="31"/>
      <c r="G1278" s="31" t="s">
        <v>366</v>
      </c>
      <c r="H1278" s="31"/>
      <c r="I1278" s="31"/>
      <c r="J1278" s="31"/>
      <c r="K1278" s="31"/>
      <c r="L1278" s="31"/>
      <c r="M1278" s="125"/>
      <c r="N1278" s="125"/>
      <c r="O1278" s="125"/>
      <c r="P1278" s="125"/>
    </row>
    <row r="1279" spans="1:16" ht="17.25" thickTop="1" thickBot="1">
      <c r="A1279" s="1510" t="s">
        <v>367</v>
      </c>
      <c r="B1279" s="1511"/>
      <c r="C1279" s="1512" t="s">
        <v>360</v>
      </c>
      <c r="D1279" s="1513"/>
      <c r="E1279" s="1512" t="s">
        <v>368</v>
      </c>
      <c r="F1279" s="1513"/>
      <c r="G1279" s="1512" t="s">
        <v>369</v>
      </c>
      <c r="H1279" s="1513"/>
      <c r="I1279" s="1512" t="s">
        <v>370</v>
      </c>
      <c r="J1279" s="1513"/>
      <c r="K1279" s="1512" t="s">
        <v>371</v>
      </c>
      <c r="L1279" s="1514"/>
      <c r="M1279" s="125"/>
      <c r="N1279" s="125"/>
      <c r="O1279" s="125"/>
      <c r="P1279" s="125"/>
    </row>
    <row r="1280" spans="1:16" ht="17.25" thickTop="1" thickBot="1">
      <c r="A1280" s="1506" t="s">
        <v>372</v>
      </c>
      <c r="B1280" s="1507"/>
      <c r="C1280" s="1504">
        <v>0</v>
      </c>
      <c r="D1280" s="1505"/>
      <c r="E1280" s="1504">
        <v>0</v>
      </c>
      <c r="F1280" s="1505"/>
      <c r="G1280" s="1504">
        <v>0</v>
      </c>
      <c r="H1280" s="1505"/>
      <c r="I1280" s="1504">
        <v>0</v>
      </c>
      <c r="J1280" s="1505"/>
      <c r="K1280" s="1504">
        <v>0</v>
      </c>
      <c r="L1280" s="1505"/>
      <c r="M1280" s="125"/>
      <c r="N1280" s="125"/>
      <c r="O1280" s="125"/>
      <c r="P1280" s="125"/>
    </row>
    <row r="1281" spans="1:16" ht="17.25" thickTop="1" thickBot="1">
      <c r="A1281" s="1506" t="s">
        <v>373</v>
      </c>
      <c r="B1281" s="1507"/>
      <c r="C1281" s="1504">
        <v>0</v>
      </c>
      <c r="D1281" s="1505"/>
      <c r="E1281" s="1504">
        <v>0</v>
      </c>
      <c r="F1281" s="1505"/>
      <c r="G1281" s="1504">
        <v>0</v>
      </c>
      <c r="H1281" s="1505"/>
      <c r="I1281" s="1504">
        <v>0</v>
      </c>
      <c r="J1281" s="1505"/>
      <c r="K1281" s="1504">
        <v>0</v>
      </c>
      <c r="L1281" s="1505"/>
      <c r="M1281" s="125"/>
      <c r="N1281" s="125"/>
      <c r="O1281" s="125"/>
      <c r="P1281" s="125"/>
    </row>
    <row r="1282" spans="1:16" ht="17.25" thickTop="1" thickBot="1">
      <c r="A1282" s="1506" t="s">
        <v>374</v>
      </c>
      <c r="B1282" s="1507"/>
      <c r="C1282" s="1504">
        <v>0</v>
      </c>
      <c r="D1282" s="1505"/>
      <c r="E1282" s="1504">
        <v>0</v>
      </c>
      <c r="F1282" s="1505"/>
      <c r="G1282" s="1504">
        <v>0</v>
      </c>
      <c r="H1282" s="1505"/>
      <c r="I1282" s="1504">
        <v>0</v>
      </c>
      <c r="J1282" s="1505"/>
      <c r="K1282" s="1504">
        <v>0</v>
      </c>
      <c r="L1282" s="1505"/>
      <c r="M1282" s="125"/>
      <c r="N1282" s="125"/>
      <c r="O1282" s="125"/>
      <c r="P1282" s="125"/>
    </row>
    <row r="1283" spans="1:16" ht="17.25" thickTop="1" thickBot="1">
      <c r="A1283" s="1502" t="s">
        <v>375</v>
      </c>
      <c r="B1283" s="1503"/>
      <c r="C1283" s="1504">
        <v>0</v>
      </c>
      <c r="D1283" s="1505"/>
      <c r="E1283" s="1504">
        <v>0</v>
      </c>
      <c r="F1283" s="1505"/>
      <c r="G1283" s="1504">
        <v>0</v>
      </c>
      <c r="H1283" s="1505"/>
      <c r="I1283" s="1504">
        <v>0</v>
      </c>
      <c r="J1283" s="1505"/>
      <c r="K1283" s="1504">
        <v>0</v>
      </c>
      <c r="L1283" s="1505"/>
      <c r="M1283" s="125"/>
      <c r="N1283" s="125"/>
      <c r="O1283" s="125"/>
      <c r="P1283" s="125"/>
    </row>
    <row r="1284" spans="1:16" ht="17.25" thickTop="1" thickBot="1">
      <c r="A1284" s="32"/>
      <c r="B1284" s="32"/>
      <c r="C1284" s="32"/>
      <c r="D1284" s="32"/>
      <c r="E1284" s="32"/>
      <c r="F1284" s="32"/>
      <c r="G1284" s="32"/>
      <c r="H1284" s="32"/>
      <c r="I1284" s="45"/>
      <c r="J1284" s="45"/>
      <c r="K1284" s="32"/>
      <c r="L1284" s="32"/>
      <c r="M1284" s="125"/>
      <c r="N1284" s="125"/>
      <c r="O1284" s="125"/>
      <c r="P1284" s="125"/>
    </row>
    <row r="1285" spans="1:16" ht="17.25" thickTop="1" thickBot="1">
      <c r="A1285" s="1508" t="s">
        <v>376</v>
      </c>
      <c r="B1285" s="1509"/>
      <c r="C1285" s="1504">
        <v>0</v>
      </c>
      <c r="D1285" s="1505"/>
      <c r="E1285" s="1504">
        <v>0</v>
      </c>
      <c r="F1285" s="1505"/>
      <c r="G1285" s="1504">
        <v>0</v>
      </c>
      <c r="H1285" s="1505"/>
      <c r="I1285" s="1504">
        <v>0</v>
      </c>
      <c r="J1285" s="1505"/>
      <c r="K1285" s="1504">
        <v>0</v>
      </c>
      <c r="L1285" s="1505"/>
      <c r="M1285" s="125"/>
      <c r="N1285" s="125"/>
      <c r="O1285" s="125"/>
      <c r="P1285" s="125"/>
    </row>
    <row r="1286" spans="1:16" ht="17.25" thickTop="1" thickBot="1">
      <c r="A1286" s="1506" t="s">
        <v>377</v>
      </c>
      <c r="B1286" s="1507"/>
      <c r="C1286" s="1504">
        <v>0</v>
      </c>
      <c r="D1286" s="1505"/>
      <c r="E1286" s="1504">
        <v>0</v>
      </c>
      <c r="F1286" s="1505"/>
      <c r="G1286" s="1504">
        <v>0</v>
      </c>
      <c r="H1286" s="1505"/>
      <c r="I1286" s="1504">
        <v>0</v>
      </c>
      <c r="J1286" s="1505"/>
      <c r="K1286" s="1504">
        <v>0</v>
      </c>
      <c r="L1286" s="1505"/>
      <c r="M1286" s="125"/>
      <c r="N1286" s="125"/>
      <c r="O1286" s="125"/>
      <c r="P1286" s="125"/>
    </row>
    <row r="1287" spans="1:16" ht="17.25" thickTop="1" thickBot="1">
      <c r="A1287" s="1506" t="s">
        <v>378</v>
      </c>
      <c r="B1287" s="1507"/>
      <c r="C1287" s="1504">
        <v>0</v>
      </c>
      <c r="D1287" s="1505"/>
      <c r="E1287" s="1504">
        <v>0</v>
      </c>
      <c r="F1287" s="1505"/>
      <c r="G1287" s="1504">
        <v>0</v>
      </c>
      <c r="H1287" s="1505"/>
      <c r="I1287" s="1504">
        <v>0</v>
      </c>
      <c r="J1287" s="1505"/>
      <c r="K1287" s="1504">
        <v>0</v>
      </c>
      <c r="L1287" s="1505"/>
      <c r="M1287" s="125"/>
      <c r="N1287" s="125"/>
      <c r="O1287" s="125"/>
      <c r="P1287" s="125"/>
    </row>
    <row r="1288" spans="1:16" ht="17.25" thickTop="1" thickBot="1">
      <c r="A1288" s="1502" t="s">
        <v>379</v>
      </c>
      <c r="B1288" s="1503"/>
      <c r="C1288" s="1504">
        <v>0</v>
      </c>
      <c r="D1288" s="1505"/>
      <c r="E1288" s="1504">
        <v>0</v>
      </c>
      <c r="F1288" s="1505"/>
      <c r="G1288" s="1504">
        <v>0</v>
      </c>
      <c r="H1288" s="1505"/>
      <c r="I1288" s="1504">
        <v>0</v>
      </c>
      <c r="J1288" s="1505"/>
      <c r="K1288" s="1504" t="s">
        <v>380</v>
      </c>
      <c r="L1288" s="1505"/>
      <c r="M1288" s="125"/>
      <c r="N1288" s="125"/>
      <c r="O1288" s="125"/>
      <c r="P1288" s="125"/>
    </row>
    <row r="1289" spans="1:16" ht="17.25" thickTop="1" thickBot="1">
      <c r="A1289" s="32"/>
      <c r="B1289" s="32"/>
      <c r="C1289" s="32"/>
      <c r="D1289" s="32"/>
      <c r="E1289" s="32"/>
      <c r="F1289" s="32"/>
      <c r="G1289" s="32"/>
      <c r="H1289" s="32"/>
      <c r="I1289" s="32"/>
      <c r="J1289" s="32"/>
      <c r="K1289" s="32"/>
      <c r="L1289" s="32"/>
      <c r="M1289" s="125"/>
      <c r="N1289" s="125"/>
      <c r="O1289" s="125"/>
      <c r="P1289" s="125"/>
    </row>
    <row r="1290" spans="1:16" ht="16.5" thickTop="1">
      <c r="A1290" s="35" t="s">
        <v>381</v>
      </c>
      <c r="B1290" s="36" t="s">
        <v>380</v>
      </c>
      <c r="C1290" s="36" t="s">
        <v>380</v>
      </c>
      <c r="D1290" s="36" t="s">
        <v>380</v>
      </c>
      <c r="E1290" s="36" t="s">
        <v>380</v>
      </c>
      <c r="F1290" s="36" t="s">
        <v>380</v>
      </c>
      <c r="G1290" s="36" t="s">
        <v>380</v>
      </c>
      <c r="H1290" s="36" t="s">
        <v>380</v>
      </c>
      <c r="I1290" s="36" t="s">
        <v>380</v>
      </c>
      <c r="J1290" s="36" t="s">
        <v>380</v>
      </c>
      <c r="K1290" s="36" t="s">
        <v>380</v>
      </c>
      <c r="L1290" s="36" t="s">
        <v>380</v>
      </c>
      <c r="M1290" s="125"/>
      <c r="N1290" s="125"/>
      <c r="O1290" s="125"/>
      <c r="P1290" s="125"/>
    </row>
    <row r="1291" spans="1:16" ht="15.75">
      <c r="A1291" s="37" t="s">
        <v>388</v>
      </c>
      <c r="B1291" s="38" t="s">
        <v>380</v>
      </c>
      <c r="C1291" s="38" t="s">
        <v>380</v>
      </c>
      <c r="D1291" s="38" t="s">
        <v>380</v>
      </c>
      <c r="E1291" s="38" t="s">
        <v>380</v>
      </c>
      <c r="F1291" s="38" t="s">
        <v>380</v>
      </c>
      <c r="G1291" s="38" t="s">
        <v>380</v>
      </c>
      <c r="H1291" s="38" t="s">
        <v>380</v>
      </c>
      <c r="I1291" s="38" t="s">
        <v>380</v>
      </c>
      <c r="J1291" s="38" t="s">
        <v>380</v>
      </c>
      <c r="K1291" s="38" t="s">
        <v>380</v>
      </c>
      <c r="L1291" s="38" t="s">
        <v>380</v>
      </c>
      <c r="M1291" s="125"/>
      <c r="N1291" s="125"/>
      <c r="O1291" s="125"/>
      <c r="P1291" s="125"/>
    </row>
    <row r="1292" spans="1:16" ht="15.75">
      <c r="A1292" s="37" t="s">
        <v>394</v>
      </c>
      <c r="B1292" s="40" t="s">
        <v>380</v>
      </c>
      <c r="C1292" s="40" t="s">
        <v>380</v>
      </c>
      <c r="D1292" s="40" t="s">
        <v>380</v>
      </c>
      <c r="E1292" s="40" t="s">
        <v>380</v>
      </c>
      <c r="F1292" s="40" t="s">
        <v>380</v>
      </c>
      <c r="G1292" s="40" t="s">
        <v>380</v>
      </c>
      <c r="H1292" s="40" t="s">
        <v>380</v>
      </c>
      <c r="I1292" s="40" t="s">
        <v>380</v>
      </c>
      <c r="J1292" s="40" t="s">
        <v>380</v>
      </c>
      <c r="K1292" s="40" t="s">
        <v>380</v>
      </c>
      <c r="L1292" s="40" t="s">
        <v>380</v>
      </c>
      <c r="M1292" s="125"/>
      <c r="N1292" s="125"/>
      <c r="O1292" s="125"/>
      <c r="P1292" s="125"/>
    </row>
    <row r="1293" spans="1:16" ht="15.75">
      <c r="A1293" s="37" t="s">
        <v>397</v>
      </c>
      <c r="B1293" s="41" t="s">
        <v>380</v>
      </c>
      <c r="C1293" s="41" t="s">
        <v>380</v>
      </c>
      <c r="D1293" s="41" t="s">
        <v>380</v>
      </c>
      <c r="E1293" s="41" t="s">
        <v>380</v>
      </c>
      <c r="F1293" s="41" t="s">
        <v>380</v>
      </c>
      <c r="G1293" s="41" t="s">
        <v>380</v>
      </c>
      <c r="H1293" s="41" t="s">
        <v>380</v>
      </c>
      <c r="I1293" s="41" t="s">
        <v>380</v>
      </c>
      <c r="J1293" s="41" t="s">
        <v>380</v>
      </c>
      <c r="K1293" s="41" t="s">
        <v>380</v>
      </c>
      <c r="L1293" s="41" t="s">
        <v>380</v>
      </c>
      <c r="M1293" s="125"/>
      <c r="N1293" s="125"/>
      <c r="O1293" s="125"/>
      <c r="P1293" s="125"/>
    </row>
    <row r="1294" spans="1:16" ht="16.5" thickBot="1">
      <c r="A1294" s="42" t="s">
        <v>343</v>
      </c>
      <c r="B1294" s="41" t="s">
        <v>380</v>
      </c>
      <c r="C1294" s="41" t="s">
        <v>380</v>
      </c>
      <c r="D1294" s="41" t="s">
        <v>380</v>
      </c>
      <c r="E1294" s="41" t="s">
        <v>380</v>
      </c>
      <c r="F1294" s="41" t="s">
        <v>380</v>
      </c>
      <c r="G1294" s="41" t="s">
        <v>380</v>
      </c>
      <c r="H1294" s="41" t="s">
        <v>380</v>
      </c>
      <c r="I1294" s="41" t="s">
        <v>380</v>
      </c>
      <c r="J1294" s="41" t="s">
        <v>380</v>
      </c>
      <c r="K1294" s="41" t="s">
        <v>380</v>
      </c>
      <c r="L1294" s="41" t="s">
        <v>380</v>
      </c>
      <c r="M1294" s="125"/>
      <c r="N1294" s="125"/>
      <c r="O1294" s="125"/>
      <c r="P1294" s="125"/>
    </row>
    <row r="1295" spans="1:16" ht="17.25" thickTop="1" thickBot="1">
      <c r="A1295" s="32"/>
      <c r="B1295" s="32"/>
      <c r="C1295" s="32"/>
      <c r="D1295" s="32"/>
      <c r="E1295" s="32"/>
      <c r="F1295" s="32"/>
      <c r="G1295" s="32"/>
      <c r="H1295" s="32"/>
      <c r="I1295" s="32"/>
      <c r="J1295" s="32"/>
      <c r="K1295" s="32"/>
      <c r="L1295" s="32"/>
      <c r="M1295" s="125"/>
      <c r="N1295" s="125"/>
      <c r="O1295" s="125"/>
      <c r="P1295" s="125"/>
    </row>
    <row r="1296" spans="1:16" ht="19.5" thickTop="1" thickBot="1">
      <c r="A1296" s="35" t="s">
        <v>399</v>
      </c>
      <c r="B1296" s="1494" t="s">
        <v>380</v>
      </c>
      <c r="C1296" s="1495"/>
      <c r="D1296" s="1494" t="s">
        <v>380</v>
      </c>
      <c r="E1296" s="1496"/>
      <c r="F1296" s="32"/>
      <c r="G1296" s="32"/>
      <c r="H1296" s="32"/>
      <c r="I1296" s="32"/>
      <c r="J1296" s="32"/>
      <c r="K1296" s="31"/>
      <c r="L1296" s="31"/>
      <c r="M1296" s="125"/>
      <c r="N1296" s="125"/>
      <c r="O1296" s="125"/>
      <c r="P1296" s="125"/>
    </row>
    <row r="1297" spans="1:16" ht="18.75" thickBot="1">
      <c r="A1297" s="37" t="s">
        <v>400</v>
      </c>
      <c r="B1297" s="1497" t="s">
        <v>380</v>
      </c>
      <c r="C1297" s="1498"/>
      <c r="D1297" s="1497" t="s">
        <v>380</v>
      </c>
      <c r="E1297" s="1499"/>
      <c r="F1297" s="31" t="s">
        <v>401</v>
      </c>
      <c r="G1297" s="1500" t="s">
        <v>402</v>
      </c>
      <c r="H1297" s="1500"/>
      <c r="I1297" s="31" t="s">
        <v>403</v>
      </c>
      <c r="J1297" s="1501">
        <v>42610.364183217593</v>
      </c>
      <c r="K1297" s="1501"/>
      <c r="L1297" s="1501"/>
      <c r="M1297" s="125"/>
      <c r="N1297" s="125"/>
      <c r="O1297" s="125"/>
      <c r="P1297" s="125"/>
    </row>
    <row r="1298" spans="1:16" ht="18.75" thickBot="1">
      <c r="A1298" s="42" t="s">
        <v>404</v>
      </c>
      <c r="B1298" s="1491" t="s">
        <v>380</v>
      </c>
      <c r="C1298" s="1492"/>
      <c r="D1298" s="1491" t="s">
        <v>380</v>
      </c>
      <c r="E1298" s="1493"/>
      <c r="F1298" s="32"/>
      <c r="G1298" s="31"/>
      <c r="H1298" s="31" t="s">
        <v>405</v>
      </c>
      <c r="I1298" s="31"/>
      <c r="J1298" s="32"/>
      <c r="K1298" s="31"/>
      <c r="L1298" s="31"/>
      <c r="M1298" s="125"/>
      <c r="N1298" s="125"/>
      <c r="O1298" s="125"/>
      <c r="P1298" s="125"/>
    </row>
    <row r="1299" spans="1:16" ht="18.75" thickTop="1">
      <c r="A1299" s="32"/>
      <c r="B1299" s="32"/>
      <c r="C1299" s="32"/>
      <c r="D1299" s="32"/>
      <c r="E1299" s="32"/>
      <c r="F1299" s="31"/>
      <c r="G1299" s="31"/>
      <c r="H1299" s="44" t="s">
        <v>406</v>
      </c>
      <c r="I1299" s="31"/>
      <c r="J1299" s="31"/>
      <c r="K1299" s="32"/>
      <c r="L1299" s="32"/>
      <c r="M1299" s="125"/>
      <c r="N1299" s="125"/>
      <c r="O1299" s="125"/>
      <c r="P1299" s="125"/>
    </row>
    <row r="1300" spans="1:16" ht="18">
      <c r="A1300" s="32"/>
      <c r="B1300" s="32"/>
      <c r="C1300" s="32"/>
      <c r="D1300" s="32"/>
      <c r="E1300" s="32"/>
      <c r="F1300" s="31"/>
      <c r="G1300" s="31"/>
      <c r="H1300" s="32"/>
      <c r="I1300" s="31"/>
      <c r="J1300" s="32"/>
      <c r="K1300" s="32"/>
      <c r="L1300" s="32"/>
      <c r="M1300" s="125"/>
      <c r="N1300" s="125"/>
      <c r="O1300" s="125"/>
      <c r="P1300" s="125"/>
    </row>
    <row r="1301" spans="1:16" ht="18">
      <c r="A1301" s="1500" t="s">
        <v>78</v>
      </c>
      <c r="B1301" s="1500"/>
      <c r="C1301" s="1500"/>
      <c r="D1301" s="1500"/>
      <c r="E1301" s="1500"/>
      <c r="F1301" s="1500"/>
      <c r="G1301" s="1500"/>
      <c r="H1301" s="1500"/>
      <c r="I1301" s="1500"/>
      <c r="J1301" s="1500"/>
      <c r="K1301" s="1500"/>
      <c r="L1301" s="1500"/>
      <c r="M1301" s="125"/>
      <c r="N1301" s="125"/>
      <c r="O1301" s="125"/>
      <c r="P1301" s="125"/>
    </row>
    <row r="1302" spans="1:16" ht="18">
      <c r="A1302" s="1500" t="s">
        <v>79</v>
      </c>
      <c r="B1302" s="1500"/>
      <c r="C1302" s="1500"/>
      <c r="D1302" s="1500"/>
      <c r="E1302" s="1500"/>
      <c r="F1302" s="1500"/>
      <c r="G1302" s="1500"/>
      <c r="H1302" s="1500"/>
      <c r="I1302" s="1500"/>
      <c r="J1302" s="1500"/>
      <c r="K1302" s="1500"/>
      <c r="L1302" s="1500"/>
      <c r="M1302" s="125"/>
      <c r="N1302" s="125"/>
      <c r="O1302" s="125"/>
      <c r="P1302" s="125"/>
    </row>
    <row r="1303" spans="1:16" ht="18">
      <c r="A1303" s="30" t="s">
        <v>220</v>
      </c>
      <c r="B1303" s="31"/>
      <c r="C1303" s="31"/>
      <c r="D1303" s="31"/>
      <c r="E1303" s="31"/>
      <c r="F1303" s="31"/>
      <c r="G1303" s="31"/>
      <c r="H1303" s="31"/>
      <c r="I1303" s="31"/>
      <c r="J1303" s="31"/>
      <c r="K1303" s="31"/>
      <c r="L1303" s="31"/>
      <c r="M1303" s="125"/>
      <c r="N1303" s="125"/>
      <c r="O1303" s="125"/>
      <c r="P1303" s="125"/>
    </row>
    <row r="1304" spans="1:16" ht="18">
      <c r="A1304" s="30" t="s">
        <v>361</v>
      </c>
      <c r="B1304" s="31"/>
      <c r="C1304" s="31"/>
      <c r="D1304" s="31"/>
      <c r="E1304" s="31"/>
      <c r="F1304" s="31"/>
      <c r="G1304" s="31"/>
      <c r="H1304" s="31"/>
      <c r="I1304" s="31"/>
      <c r="J1304" s="31"/>
      <c r="K1304" s="31"/>
      <c r="L1304" s="31"/>
      <c r="M1304" s="125"/>
      <c r="N1304" s="125"/>
      <c r="O1304" s="125"/>
      <c r="P1304" s="125"/>
    </row>
    <row r="1305" spans="1:16" ht="18.75" thickBot="1">
      <c r="A1305" s="31"/>
      <c r="B1305" s="31"/>
      <c r="C1305" s="31"/>
      <c r="D1305" s="31"/>
      <c r="E1305" s="31"/>
      <c r="F1305" s="31"/>
      <c r="G1305" s="31"/>
      <c r="H1305" s="31"/>
      <c r="I1305" s="31"/>
      <c r="J1305" s="31"/>
      <c r="K1305" s="31"/>
      <c r="L1305" s="31"/>
      <c r="M1305" s="125"/>
      <c r="N1305" s="125"/>
      <c r="O1305" s="125"/>
      <c r="P1305" s="125"/>
    </row>
    <row r="1306" spans="1:16" ht="24" thickBot="1">
      <c r="A1306" s="31"/>
      <c r="B1306" s="31"/>
      <c r="C1306" s="1515" t="s">
        <v>362</v>
      </c>
      <c r="D1306" s="1516"/>
      <c r="E1306" s="1516"/>
      <c r="F1306" s="1516"/>
      <c r="G1306" s="1517"/>
      <c r="H1306" s="1518" t="s">
        <v>440</v>
      </c>
      <c r="I1306" s="1519"/>
      <c r="J1306" s="31"/>
      <c r="K1306" s="31"/>
      <c r="L1306" s="31"/>
      <c r="M1306" s="125"/>
      <c r="N1306" s="125"/>
      <c r="O1306" s="125"/>
      <c r="P1306" s="125"/>
    </row>
    <row r="1307" spans="1:16" ht="18">
      <c r="A1307" s="31"/>
      <c r="B1307" s="31"/>
      <c r="C1307" s="31"/>
      <c r="D1307" s="31"/>
      <c r="E1307" s="31"/>
      <c r="F1307" s="31"/>
      <c r="G1307" s="31"/>
      <c r="H1307" s="31"/>
      <c r="I1307" s="31"/>
      <c r="J1307" s="31"/>
      <c r="K1307" s="31"/>
      <c r="L1307" s="31"/>
      <c r="M1307" s="125"/>
      <c r="N1307" s="125"/>
      <c r="O1307" s="125"/>
      <c r="P1307" s="125"/>
    </row>
    <row r="1308" spans="1:16" ht="18">
      <c r="A1308" s="30" t="s">
        <v>363</v>
      </c>
      <c r="B1308" s="31"/>
      <c r="C1308" s="1500" t="s">
        <v>380</v>
      </c>
      <c r="D1308" s="1500"/>
      <c r="E1308" s="1500"/>
      <c r="F1308" s="31"/>
      <c r="G1308" s="31" t="s">
        <v>364</v>
      </c>
      <c r="H1308" s="31"/>
      <c r="I1308" s="1500" t="s">
        <v>380</v>
      </c>
      <c r="J1308" s="1500"/>
      <c r="K1308" s="1500"/>
      <c r="L1308" s="31"/>
      <c r="M1308" s="125"/>
      <c r="N1308" s="125"/>
      <c r="O1308" s="125"/>
      <c r="P1308" s="125"/>
    </row>
    <row r="1309" spans="1:16" ht="18.75" thickBot="1">
      <c r="A1309" s="30" t="s">
        <v>365</v>
      </c>
      <c r="B1309" s="31"/>
      <c r="C1309" s="31" t="s">
        <v>380</v>
      </c>
      <c r="D1309" s="31"/>
      <c r="E1309" s="31"/>
      <c r="F1309" s="31"/>
      <c r="G1309" s="31" t="s">
        <v>366</v>
      </c>
      <c r="H1309" s="31"/>
      <c r="I1309" s="31"/>
      <c r="J1309" s="31"/>
      <c r="K1309" s="31"/>
      <c r="L1309" s="31"/>
      <c r="M1309" s="125"/>
      <c r="N1309" s="125"/>
      <c r="O1309" s="125"/>
      <c r="P1309" s="125"/>
    </row>
    <row r="1310" spans="1:16" ht="17.25" thickTop="1" thickBot="1">
      <c r="A1310" s="1510" t="s">
        <v>367</v>
      </c>
      <c r="B1310" s="1511"/>
      <c r="C1310" s="1512" t="s">
        <v>360</v>
      </c>
      <c r="D1310" s="1513"/>
      <c r="E1310" s="1512" t="s">
        <v>368</v>
      </c>
      <c r="F1310" s="1513"/>
      <c r="G1310" s="1512" t="s">
        <v>369</v>
      </c>
      <c r="H1310" s="1513"/>
      <c r="I1310" s="1512" t="s">
        <v>370</v>
      </c>
      <c r="J1310" s="1513"/>
      <c r="K1310" s="1512" t="s">
        <v>371</v>
      </c>
      <c r="L1310" s="1514"/>
      <c r="M1310" s="125"/>
      <c r="N1310" s="125"/>
      <c r="O1310" s="125"/>
      <c r="P1310" s="125"/>
    </row>
    <row r="1311" spans="1:16" ht="17.25" thickTop="1" thickBot="1">
      <c r="A1311" s="1506" t="s">
        <v>372</v>
      </c>
      <c r="B1311" s="1507"/>
      <c r="C1311" s="1504">
        <v>0</v>
      </c>
      <c r="D1311" s="1505"/>
      <c r="E1311" s="1504">
        <v>0</v>
      </c>
      <c r="F1311" s="1505"/>
      <c r="G1311" s="1504">
        <v>0</v>
      </c>
      <c r="H1311" s="1505"/>
      <c r="I1311" s="1504">
        <v>0</v>
      </c>
      <c r="J1311" s="1505"/>
      <c r="K1311" s="1504">
        <v>0</v>
      </c>
      <c r="L1311" s="1505"/>
      <c r="M1311" s="125"/>
      <c r="N1311" s="125"/>
      <c r="O1311" s="125"/>
      <c r="P1311" s="125"/>
    </row>
    <row r="1312" spans="1:16" ht="17.25" thickTop="1" thickBot="1">
      <c r="A1312" s="1506" t="s">
        <v>373</v>
      </c>
      <c r="B1312" s="1507"/>
      <c r="C1312" s="1504">
        <v>0</v>
      </c>
      <c r="D1312" s="1505"/>
      <c r="E1312" s="1504">
        <v>0</v>
      </c>
      <c r="F1312" s="1505"/>
      <c r="G1312" s="1504">
        <v>0</v>
      </c>
      <c r="H1312" s="1505"/>
      <c r="I1312" s="1504">
        <v>0</v>
      </c>
      <c r="J1312" s="1505"/>
      <c r="K1312" s="1504">
        <v>0</v>
      </c>
      <c r="L1312" s="1505"/>
      <c r="M1312" s="125"/>
      <c r="N1312" s="125"/>
      <c r="O1312" s="125"/>
      <c r="P1312" s="125"/>
    </row>
    <row r="1313" spans="1:16" ht="17.25" thickTop="1" thickBot="1">
      <c r="A1313" s="1506" t="s">
        <v>374</v>
      </c>
      <c r="B1313" s="1507"/>
      <c r="C1313" s="1504">
        <v>0</v>
      </c>
      <c r="D1313" s="1505"/>
      <c r="E1313" s="1504">
        <v>0</v>
      </c>
      <c r="F1313" s="1505"/>
      <c r="G1313" s="1504">
        <v>0</v>
      </c>
      <c r="H1313" s="1505"/>
      <c r="I1313" s="1504">
        <v>0</v>
      </c>
      <c r="J1313" s="1505"/>
      <c r="K1313" s="1504">
        <v>0</v>
      </c>
      <c r="L1313" s="1505"/>
      <c r="M1313" s="125"/>
      <c r="N1313" s="125"/>
      <c r="O1313" s="125"/>
      <c r="P1313" s="125"/>
    </row>
    <row r="1314" spans="1:16" ht="17.25" thickTop="1" thickBot="1">
      <c r="A1314" s="1502" t="s">
        <v>375</v>
      </c>
      <c r="B1314" s="1503"/>
      <c r="C1314" s="1504">
        <v>0</v>
      </c>
      <c r="D1314" s="1505"/>
      <c r="E1314" s="1504">
        <v>0</v>
      </c>
      <c r="F1314" s="1505"/>
      <c r="G1314" s="1504">
        <v>0</v>
      </c>
      <c r="H1314" s="1505"/>
      <c r="I1314" s="1504">
        <v>0</v>
      </c>
      <c r="J1314" s="1505"/>
      <c r="K1314" s="1504">
        <v>0</v>
      </c>
      <c r="L1314" s="1505"/>
      <c r="M1314" s="125"/>
      <c r="N1314" s="125"/>
      <c r="O1314" s="125"/>
      <c r="P1314" s="125"/>
    </row>
    <row r="1315" spans="1:16" ht="17.25" thickTop="1" thickBot="1">
      <c r="A1315" s="32"/>
      <c r="B1315" s="32"/>
      <c r="C1315" s="32"/>
      <c r="D1315" s="32"/>
      <c r="E1315" s="32"/>
      <c r="F1315" s="32"/>
      <c r="G1315" s="32"/>
      <c r="H1315" s="32"/>
      <c r="I1315" s="45"/>
      <c r="J1315" s="45"/>
      <c r="K1315" s="32"/>
      <c r="L1315" s="32"/>
      <c r="M1315" s="125"/>
      <c r="N1315" s="125"/>
      <c r="O1315" s="125"/>
      <c r="P1315" s="125"/>
    </row>
    <row r="1316" spans="1:16" ht="17.25" thickTop="1" thickBot="1">
      <c r="A1316" s="1508" t="s">
        <v>376</v>
      </c>
      <c r="B1316" s="1509"/>
      <c r="C1316" s="1504">
        <v>0</v>
      </c>
      <c r="D1316" s="1505"/>
      <c r="E1316" s="1504">
        <v>0</v>
      </c>
      <c r="F1316" s="1505"/>
      <c r="G1316" s="1504">
        <v>0</v>
      </c>
      <c r="H1316" s="1505"/>
      <c r="I1316" s="1504">
        <v>0</v>
      </c>
      <c r="J1316" s="1505"/>
      <c r="K1316" s="1504">
        <v>0</v>
      </c>
      <c r="L1316" s="1505"/>
      <c r="M1316" s="125"/>
      <c r="N1316" s="125"/>
      <c r="O1316" s="125"/>
      <c r="P1316" s="125"/>
    </row>
    <row r="1317" spans="1:16" ht="17.25" thickTop="1" thickBot="1">
      <c r="A1317" s="1506" t="s">
        <v>377</v>
      </c>
      <c r="B1317" s="1507"/>
      <c r="C1317" s="1504">
        <v>0</v>
      </c>
      <c r="D1317" s="1505"/>
      <c r="E1317" s="1504">
        <v>0</v>
      </c>
      <c r="F1317" s="1505"/>
      <c r="G1317" s="1504">
        <v>0</v>
      </c>
      <c r="H1317" s="1505"/>
      <c r="I1317" s="1504">
        <v>0</v>
      </c>
      <c r="J1317" s="1505"/>
      <c r="K1317" s="1504">
        <v>0</v>
      </c>
      <c r="L1317" s="1505"/>
      <c r="M1317" s="125"/>
      <c r="N1317" s="125"/>
      <c r="O1317" s="125"/>
      <c r="P1317" s="125"/>
    </row>
    <row r="1318" spans="1:16" ht="17.25" thickTop="1" thickBot="1">
      <c r="A1318" s="1506" t="s">
        <v>378</v>
      </c>
      <c r="B1318" s="1507"/>
      <c r="C1318" s="1504">
        <v>0</v>
      </c>
      <c r="D1318" s="1505"/>
      <c r="E1318" s="1504">
        <v>0</v>
      </c>
      <c r="F1318" s="1505"/>
      <c r="G1318" s="1504">
        <v>0</v>
      </c>
      <c r="H1318" s="1505"/>
      <c r="I1318" s="1504">
        <v>0</v>
      </c>
      <c r="J1318" s="1505"/>
      <c r="K1318" s="1504">
        <v>0</v>
      </c>
      <c r="L1318" s="1505"/>
      <c r="M1318" s="125"/>
      <c r="N1318" s="125"/>
      <c r="O1318" s="125"/>
      <c r="P1318" s="125"/>
    </row>
    <row r="1319" spans="1:16" ht="17.25" thickTop="1" thickBot="1">
      <c r="A1319" s="1502" t="s">
        <v>379</v>
      </c>
      <c r="B1319" s="1503"/>
      <c r="C1319" s="1504">
        <v>0</v>
      </c>
      <c r="D1319" s="1505"/>
      <c r="E1319" s="1504">
        <v>0</v>
      </c>
      <c r="F1319" s="1505"/>
      <c r="G1319" s="1504">
        <v>0</v>
      </c>
      <c r="H1319" s="1505"/>
      <c r="I1319" s="1504">
        <v>0</v>
      </c>
      <c r="J1319" s="1505"/>
      <c r="K1319" s="1504" t="s">
        <v>380</v>
      </c>
      <c r="L1319" s="1505"/>
      <c r="M1319" s="125"/>
      <c r="N1319" s="125"/>
      <c r="O1319" s="125"/>
      <c r="P1319" s="125"/>
    </row>
    <row r="1320" spans="1:16" ht="17.25" thickTop="1" thickBot="1">
      <c r="A1320" s="32"/>
      <c r="B1320" s="32"/>
      <c r="C1320" s="32"/>
      <c r="D1320" s="32"/>
      <c r="E1320" s="32"/>
      <c r="F1320" s="32"/>
      <c r="G1320" s="32"/>
      <c r="H1320" s="32"/>
      <c r="I1320" s="32"/>
      <c r="J1320" s="32"/>
      <c r="K1320" s="32"/>
      <c r="L1320" s="32"/>
      <c r="M1320" s="125"/>
      <c r="N1320" s="125"/>
      <c r="O1320" s="125"/>
      <c r="P1320" s="125"/>
    </row>
    <row r="1321" spans="1:16" ht="16.5" thickTop="1">
      <c r="A1321" s="35" t="s">
        <v>381</v>
      </c>
      <c r="B1321" s="36" t="s">
        <v>380</v>
      </c>
      <c r="C1321" s="36" t="s">
        <v>380</v>
      </c>
      <c r="D1321" s="36" t="s">
        <v>380</v>
      </c>
      <c r="E1321" s="36" t="s">
        <v>380</v>
      </c>
      <c r="F1321" s="36" t="s">
        <v>380</v>
      </c>
      <c r="G1321" s="36" t="s">
        <v>380</v>
      </c>
      <c r="H1321" s="36" t="s">
        <v>380</v>
      </c>
      <c r="I1321" s="36" t="s">
        <v>380</v>
      </c>
      <c r="J1321" s="36" t="s">
        <v>380</v>
      </c>
      <c r="K1321" s="36" t="s">
        <v>380</v>
      </c>
      <c r="L1321" s="36" t="s">
        <v>380</v>
      </c>
      <c r="M1321" s="125"/>
      <c r="N1321" s="125"/>
      <c r="O1321" s="125"/>
      <c r="P1321" s="125"/>
    </row>
    <row r="1322" spans="1:16" ht="15.75">
      <c r="A1322" s="37" t="s">
        <v>388</v>
      </c>
      <c r="B1322" s="38" t="s">
        <v>380</v>
      </c>
      <c r="C1322" s="38" t="s">
        <v>380</v>
      </c>
      <c r="D1322" s="38" t="s">
        <v>380</v>
      </c>
      <c r="E1322" s="38" t="s">
        <v>380</v>
      </c>
      <c r="F1322" s="38" t="s">
        <v>380</v>
      </c>
      <c r="G1322" s="38" t="s">
        <v>380</v>
      </c>
      <c r="H1322" s="38" t="s">
        <v>380</v>
      </c>
      <c r="I1322" s="38" t="s">
        <v>380</v>
      </c>
      <c r="J1322" s="38" t="s">
        <v>380</v>
      </c>
      <c r="K1322" s="38" t="s">
        <v>380</v>
      </c>
      <c r="L1322" s="38" t="s">
        <v>380</v>
      </c>
      <c r="M1322" s="125"/>
      <c r="N1322" s="125"/>
      <c r="O1322" s="125"/>
      <c r="P1322" s="125"/>
    </row>
    <row r="1323" spans="1:16" ht="15.75">
      <c r="A1323" s="37" t="s">
        <v>394</v>
      </c>
      <c r="B1323" s="40" t="s">
        <v>380</v>
      </c>
      <c r="C1323" s="40" t="s">
        <v>380</v>
      </c>
      <c r="D1323" s="40" t="s">
        <v>380</v>
      </c>
      <c r="E1323" s="40" t="s">
        <v>380</v>
      </c>
      <c r="F1323" s="40" t="s">
        <v>380</v>
      </c>
      <c r="G1323" s="40" t="s">
        <v>380</v>
      </c>
      <c r="H1323" s="40" t="s">
        <v>380</v>
      </c>
      <c r="I1323" s="40" t="s">
        <v>380</v>
      </c>
      <c r="J1323" s="40" t="s">
        <v>380</v>
      </c>
      <c r="K1323" s="40" t="s">
        <v>380</v>
      </c>
      <c r="L1323" s="40" t="s">
        <v>380</v>
      </c>
      <c r="M1323" s="125"/>
      <c r="N1323" s="125"/>
      <c r="O1323" s="125"/>
      <c r="P1323" s="125"/>
    </row>
    <row r="1324" spans="1:16" ht="15.75">
      <c r="A1324" s="37" t="s">
        <v>397</v>
      </c>
      <c r="B1324" s="41" t="s">
        <v>380</v>
      </c>
      <c r="C1324" s="41" t="s">
        <v>380</v>
      </c>
      <c r="D1324" s="41" t="s">
        <v>380</v>
      </c>
      <c r="E1324" s="41" t="s">
        <v>380</v>
      </c>
      <c r="F1324" s="41" t="s">
        <v>380</v>
      </c>
      <c r="G1324" s="41" t="s">
        <v>380</v>
      </c>
      <c r="H1324" s="41" t="s">
        <v>380</v>
      </c>
      <c r="I1324" s="41" t="s">
        <v>380</v>
      </c>
      <c r="J1324" s="41" t="s">
        <v>380</v>
      </c>
      <c r="K1324" s="41" t="s">
        <v>380</v>
      </c>
      <c r="L1324" s="41" t="s">
        <v>380</v>
      </c>
      <c r="M1324" s="125"/>
      <c r="N1324" s="125"/>
      <c r="O1324" s="125"/>
      <c r="P1324" s="125"/>
    </row>
    <row r="1325" spans="1:16" ht="16.5" thickBot="1">
      <c r="A1325" s="42" t="s">
        <v>343</v>
      </c>
      <c r="B1325" s="41" t="s">
        <v>380</v>
      </c>
      <c r="C1325" s="41" t="s">
        <v>380</v>
      </c>
      <c r="D1325" s="41" t="s">
        <v>380</v>
      </c>
      <c r="E1325" s="41" t="s">
        <v>380</v>
      </c>
      <c r="F1325" s="41" t="s">
        <v>380</v>
      </c>
      <c r="G1325" s="41" t="s">
        <v>380</v>
      </c>
      <c r="H1325" s="41" t="s">
        <v>380</v>
      </c>
      <c r="I1325" s="41" t="s">
        <v>380</v>
      </c>
      <c r="J1325" s="41" t="s">
        <v>380</v>
      </c>
      <c r="K1325" s="41" t="s">
        <v>380</v>
      </c>
      <c r="L1325" s="41" t="s">
        <v>380</v>
      </c>
      <c r="M1325" s="125"/>
      <c r="N1325" s="125"/>
      <c r="O1325" s="125"/>
      <c r="P1325" s="125"/>
    </row>
    <row r="1326" spans="1:16" ht="17.25" thickTop="1" thickBot="1">
      <c r="A1326" s="32"/>
      <c r="B1326" s="32"/>
      <c r="C1326" s="32"/>
      <c r="D1326" s="32"/>
      <c r="E1326" s="32"/>
      <c r="F1326" s="32"/>
      <c r="G1326" s="32"/>
      <c r="H1326" s="32"/>
      <c r="I1326" s="32"/>
      <c r="J1326" s="32"/>
      <c r="K1326" s="32"/>
      <c r="L1326" s="32"/>
      <c r="M1326" s="125"/>
      <c r="N1326" s="125"/>
      <c r="O1326" s="125"/>
      <c r="P1326" s="125"/>
    </row>
    <row r="1327" spans="1:16" ht="19.5" thickTop="1" thickBot="1">
      <c r="A1327" s="35" t="s">
        <v>399</v>
      </c>
      <c r="B1327" s="1494" t="s">
        <v>380</v>
      </c>
      <c r="C1327" s="1495"/>
      <c r="D1327" s="1494" t="s">
        <v>380</v>
      </c>
      <c r="E1327" s="1496"/>
      <c r="F1327" s="32"/>
      <c r="G1327" s="32"/>
      <c r="H1327" s="32"/>
      <c r="I1327" s="32"/>
      <c r="J1327" s="32"/>
      <c r="K1327" s="31"/>
      <c r="L1327" s="31"/>
      <c r="M1327" s="125"/>
      <c r="N1327" s="125"/>
      <c r="O1327" s="125"/>
      <c r="P1327" s="125"/>
    </row>
    <row r="1328" spans="1:16" ht="18.75" thickBot="1">
      <c r="A1328" s="37" t="s">
        <v>400</v>
      </c>
      <c r="B1328" s="1497" t="s">
        <v>380</v>
      </c>
      <c r="C1328" s="1498"/>
      <c r="D1328" s="1497" t="s">
        <v>380</v>
      </c>
      <c r="E1328" s="1499"/>
      <c r="F1328" s="31" t="s">
        <v>401</v>
      </c>
      <c r="G1328" s="1500" t="s">
        <v>402</v>
      </c>
      <c r="H1328" s="1500"/>
      <c r="I1328" s="31" t="s">
        <v>403</v>
      </c>
      <c r="J1328" s="1501">
        <v>42610.364183217593</v>
      </c>
      <c r="K1328" s="1501"/>
      <c r="L1328" s="1501"/>
      <c r="M1328" s="125"/>
      <c r="N1328" s="125"/>
      <c r="O1328" s="125"/>
      <c r="P1328" s="125"/>
    </row>
    <row r="1329" spans="1:16" ht="18.75" thickBot="1">
      <c r="A1329" s="42" t="s">
        <v>404</v>
      </c>
      <c r="B1329" s="1491" t="s">
        <v>380</v>
      </c>
      <c r="C1329" s="1492"/>
      <c r="D1329" s="1491" t="s">
        <v>380</v>
      </c>
      <c r="E1329" s="1493"/>
      <c r="F1329" s="32"/>
      <c r="G1329" s="31"/>
      <c r="H1329" s="31" t="s">
        <v>405</v>
      </c>
      <c r="I1329" s="31"/>
      <c r="J1329" s="32"/>
      <c r="K1329" s="31"/>
      <c r="L1329" s="31"/>
      <c r="M1329" s="125"/>
      <c r="N1329" s="125"/>
      <c r="O1329" s="125"/>
      <c r="P1329" s="125"/>
    </row>
    <row r="1330" spans="1:16" ht="18.75" thickTop="1">
      <c r="A1330" s="32"/>
      <c r="B1330" s="32"/>
      <c r="C1330" s="32"/>
      <c r="D1330" s="32"/>
      <c r="E1330" s="32"/>
      <c r="F1330" s="31"/>
      <c r="G1330" s="31"/>
      <c r="H1330" s="44" t="s">
        <v>406</v>
      </c>
      <c r="I1330" s="31"/>
      <c r="J1330" s="31"/>
      <c r="K1330" s="32"/>
      <c r="L1330" s="32"/>
      <c r="M1330" s="125"/>
      <c r="N1330" s="125"/>
      <c r="O1330" s="125"/>
      <c r="P1330" s="125"/>
    </row>
    <row r="1331" spans="1:16" ht="18">
      <c r="A1331" s="32"/>
      <c r="B1331" s="32"/>
      <c r="C1331" s="32"/>
      <c r="D1331" s="32"/>
      <c r="E1331" s="32"/>
      <c r="F1331" s="31"/>
      <c r="G1331" s="31"/>
      <c r="H1331" s="32"/>
      <c r="I1331" s="31"/>
      <c r="J1331" s="32"/>
      <c r="K1331" s="32"/>
      <c r="L1331" s="32"/>
      <c r="M1331" s="125"/>
      <c r="N1331" s="125"/>
      <c r="O1331" s="125"/>
      <c r="P1331" s="125"/>
    </row>
    <row r="1332" spans="1:16" ht="18">
      <c r="A1332" s="1500" t="s">
        <v>78</v>
      </c>
      <c r="B1332" s="1500"/>
      <c r="C1332" s="1500"/>
      <c r="D1332" s="1500"/>
      <c r="E1332" s="1500"/>
      <c r="F1332" s="1500"/>
      <c r="G1332" s="1500"/>
      <c r="H1332" s="1500"/>
      <c r="I1332" s="1500"/>
      <c r="J1332" s="1500"/>
      <c r="K1332" s="1500"/>
      <c r="L1332" s="1500"/>
      <c r="M1332" s="125"/>
      <c r="N1332" s="125"/>
      <c r="O1332" s="125"/>
      <c r="P1332" s="125"/>
    </row>
    <row r="1333" spans="1:16" ht="18">
      <c r="A1333" s="1500" t="s">
        <v>79</v>
      </c>
      <c r="B1333" s="1500"/>
      <c r="C1333" s="1500"/>
      <c r="D1333" s="1500"/>
      <c r="E1333" s="1500"/>
      <c r="F1333" s="1500"/>
      <c r="G1333" s="1500"/>
      <c r="H1333" s="1500"/>
      <c r="I1333" s="1500"/>
      <c r="J1333" s="1500"/>
      <c r="K1333" s="1500"/>
      <c r="L1333" s="1500"/>
      <c r="M1333" s="125"/>
      <c r="N1333" s="125"/>
      <c r="O1333" s="125"/>
      <c r="P1333" s="125"/>
    </row>
    <row r="1334" spans="1:16" ht="18">
      <c r="A1334" s="30" t="s">
        <v>220</v>
      </c>
      <c r="B1334" s="31"/>
      <c r="C1334" s="31"/>
      <c r="D1334" s="31"/>
      <c r="E1334" s="31"/>
      <c r="F1334" s="31"/>
      <c r="G1334" s="31"/>
      <c r="H1334" s="31"/>
      <c r="I1334" s="31"/>
      <c r="J1334" s="31"/>
      <c r="K1334" s="31"/>
      <c r="L1334" s="31"/>
      <c r="M1334" s="125"/>
      <c r="N1334" s="125"/>
      <c r="O1334" s="125"/>
      <c r="P1334" s="125"/>
    </row>
    <row r="1335" spans="1:16" ht="18">
      <c r="A1335" s="30" t="s">
        <v>361</v>
      </c>
      <c r="B1335" s="31"/>
      <c r="C1335" s="31"/>
      <c r="D1335" s="31"/>
      <c r="E1335" s="31"/>
      <c r="F1335" s="31"/>
      <c r="G1335" s="31"/>
      <c r="H1335" s="31"/>
      <c r="I1335" s="31"/>
      <c r="J1335" s="31"/>
      <c r="K1335" s="31"/>
      <c r="L1335" s="31"/>
      <c r="M1335" s="125"/>
      <c r="N1335" s="125"/>
      <c r="O1335" s="125"/>
      <c r="P1335" s="125"/>
    </row>
    <row r="1336" spans="1:16" ht="18.75" thickBot="1">
      <c r="A1336" s="31"/>
      <c r="B1336" s="31"/>
      <c r="C1336" s="31"/>
      <c r="D1336" s="31"/>
      <c r="E1336" s="31"/>
      <c r="F1336" s="31"/>
      <c r="G1336" s="31"/>
      <c r="H1336" s="31"/>
      <c r="I1336" s="31"/>
      <c r="J1336" s="31"/>
      <c r="K1336" s="31"/>
      <c r="L1336" s="31"/>
      <c r="M1336" s="125"/>
      <c r="N1336" s="125"/>
      <c r="O1336" s="125"/>
      <c r="P1336" s="125"/>
    </row>
    <row r="1337" spans="1:16" ht="24" thickBot="1">
      <c r="A1337" s="31"/>
      <c r="B1337" s="31"/>
      <c r="C1337" s="1515" t="s">
        <v>362</v>
      </c>
      <c r="D1337" s="1516"/>
      <c r="E1337" s="1516"/>
      <c r="F1337" s="1516"/>
      <c r="G1337" s="1517"/>
      <c r="H1337" s="1518" t="s">
        <v>440</v>
      </c>
      <c r="I1337" s="1519"/>
      <c r="J1337" s="31"/>
      <c r="K1337" s="31"/>
      <c r="L1337" s="31"/>
      <c r="M1337" s="125"/>
      <c r="N1337" s="125"/>
      <c r="O1337" s="125"/>
      <c r="P1337" s="125"/>
    </row>
    <row r="1338" spans="1:16" ht="18">
      <c r="A1338" s="31"/>
      <c r="B1338" s="31"/>
      <c r="C1338" s="31"/>
      <c r="D1338" s="31"/>
      <c r="E1338" s="31"/>
      <c r="F1338" s="31"/>
      <c r="G1338" s="31"/>
      <c r="H1338" s="31"/>
      <c r="I1338" s="31"/>
      <c r="J1338" s="31"/>
      <c r="K1338" s="31"/>
      <c r="L1338" s="31"/>
      <c r="M1338" s="125"/>
      <c r="N1338" s="125"/>
      <c r="O1338" s="125"/>
      <c r="P1338" s="125"/>
    </row>
    <row r="1339" spans="1:16" ht="18">
      <c r="A1339" s="30" t="s">
        <v>363</v>
      </c>
      <c r="B1339" s="31"/>
      <c r="C1339" s="1500" t="s">
        <v>380</v>
      </c>
      <c r="D1339" s="1500"/>
      <c r="E1339" s="1500"/>
      <c r="F1339" s="31"/>
      <c r="G1339" s="31" t="s">
        <v>364</v>
      </c>
      <c r="H1339" s="31"/>
      <c r="I1339" s="1500" t="s">
        <v>380</v>
      </c>
      <c r="J1339" s="1500"/>
      <c r="K1339" s="1500"/>
      <c r="L1339" s="31"/>
      <c r="M1339" s="125"/>
      <c r="N1339" s="125"/>
      <c r="O1339" s="125"/>
      <c r="P1339" s="125"/>
    </row>
    <row r="1340" spans="1:16" ht="18.75" thickBot="1">
      <c r="A1340" s="30" t="s">
        <v>365</v>
      </c>
      <c r="B1340" s="31"/>
      <c r="C1340" s="31" t="s">
        <v>380</v>
      </c>
      <c r="D1340" s="31"/>
      <c r="E1340" s="31"/>
      <c r="F1340" s="31"/>
      <c r="G1340" s="31" t="s">
        <v>366</v>
      </c>
      <c r="H1340" s="31"/>
      <c r="I1340" s="31" t="s">
        <v>441</v>
      </c>
      <c r="J1340" s="31"/>
      <c r="K1340" s="31"/>
      <c r="L1340" s="31"/>
      <c r="M1340" s="125"/>
      <c r="N1340" s="125"/>
      <c r="O1340" s="125"/>
      <c r="P1340" s="125"/>
    </row>
    <row r="1341" spans="1:16" ht="17.25" thickTop="1" thickBot="1">
      <c r="A1341" s="1510" t="s">
        <v>367</v>
      </c>
      <c r="B1341" s="1511"/>
      <c r="C1341" s="1512" t="s">
        <v>360</v>
      </c>
      <c r="D1341" s="1513"/>
      <c r="E1341" s="1512" t="s">
        <v>368</v>
      </c>
      <c r="F1341" s="1513"/>
      <c r="G1341" s="1512" t="s">
        <v>369</v>
      </c>
      <c r="H1341" s="1513"/>
      <c r="I1341" s="1512" t="s">
        <v>370</v>
      </c>
      <c r="J1341" s="1513"/>
      <c r="K1341" s="1512" t="s">
        <v>371</v>
      </c>
      <c r="L1341" s="1514"/>
      <c r="M1341" s="125"/>
      <c r="N1341" s="125"/>
      <c r="O1341" s="125"/>
      <c r="P1341" s="125"/>
    </row>
    <row r="1342" spans="1:16" ht="17.25" thickTop="1" thickBot="1">
      <c r="A1342" s="1506" t="s">
        <v>372</v>
      </c>
      <c r="B1342" s="1507"/>
      <c r="C1342" s="1504">
        <v>0</v>
      </c>
      <c r="D1342" s="1505"/>
      <c r="E1342" s="1504">
        <v>0</v>
      </c>
      <c r="F1342" s="1505"/>
      <c r="G1342" s="1504">
        <v>0</v>
      </c>
      <c r="H1342" s="1505"/>
      <c r="I1342" s="1504">
        <v>0</v>
      </c>
      <c r="J1342" s="1505"/>
      <c r="K1342" s="1504">
        <v>0</v>
      </c>
      <c r="L1342" s="1505"/>
      <c r="M1342" s="125"/>
      <c r="N1342" s="125"/>
      <c r="O1342" s="125"/>
      <c r="P1342" s="125"/>
    </row>
    <row r="1343" spans="1:16" ht="17.25" thickTop="1" thickBot="1">
      <c r="A1343" s="1506" t="s">
        <v>373</v>
      </c>
      <c r="B1343" s="1507"/>
      <c r="C1343" s="1504">
        <v>0</v>
      </c>
      <c r="D1343" s="1505"/>
      <c r="E1343" s="1504">
        <v>0</v>
      </c>
      <c r="F1343" s="1505"/>
      <c r="G1343" s="1504">
        <v>0</v>
      </c>
      <c r="H1343" s="1505"/>
      <c r="I1343" s="1504">
        <v>0</v>
      </c>
      <c r="J1343" s="1505"/>
      <c r="K1343" s="1504">
        <v>0</v>
      </c>
      <c r="L1343" s="1505"/>
      <c r="M1343" s="125"/>
      <c r="N1343" s="125"/>
      <c r="O1343" s="125"/>
      <c r="P1343" s="125"/>
    </row>
    <row r="1344" spans="1:16" ht="17.25" thickTop="1" thickBot="1">
      <c r="A1344" s="1506" t="s">
        <v>374</v>
      </c>
      <c r="B1344" s="1507"/>
      <c r="C1344" s="1504">
        <v>0</v>
      </c>
      <c r="D1344" s="1505"/>
      <c r="E1344" s="1504">
        <v>0</v>
      </c>
      <c r="F1344" s="1505"/>
      <c r="G1344" s="1504">
        <v>0</v>
      </c>
      <c r="H1344" s="1505"/>
      <c r="I1344" s="1504">
        <v>0</v>
      </c>
      <c r="J1344" s="1505"/>
      <c r="K1344" s="1504">
        <v>0</v>
      </c>
      <c r="L1344" s="1505"/>
      <c r="M1344" s="125"/>
      <c r="N1344" s="125"/>
      <c r="O1344" s="125"/>
      <c r="P1344" s="125"/>
    </row>
    <row r="1345" spans="1:16" ht="17.25" thickTop="1" thickBot="1">
      <c r="A1345" s="1502" t="s">
        <v>375</v>
      </c>
      <c r="B1345" s="1503"/>
      <c r="C1345" s="1504">
        <v>0</v>
      </c>
      <c r="D1345" s="1505"/>
      <c r="E1345" s="1504">
        <v>0</v>
      </c>
      <c r="F1345" s="1505"/>
      <c r="G1345" s="1504">
        <v>0</v>
      </c>
      <c r="H1345" s="1505"/>
      <c r="I1345" s="1504">
        <v>0</v>
      </c>
      <c r="J1345" s="1505"/>
      <c r="K1345" s="1504">
        <v>0</v>
      </c>
      <c r="L1345" s="1505"/>
      <c r="M1345" s="125"/>
      <c r="N1345" s="125"/>
      <c r="O1345" s="125"/>
      <c r="P1345" s="125"/>
    </row>
    <row r="1346" spans="1:16" ht="17.25" thickTop="1" thickBot="1">
      <c r="A1346" s="32"/>
      <c r="B1346" s="32"/>
      <c r="C1346" s="32"/>
      <c r="D1346" s="32"/>
      <c r="E1346" s="32"/>
      <c r="F1346" s="32"/>
      <c r="G1346" s="32"/>
      <c r="H1346" s="32"/>
      <c r="I1346" s="45"/>
      <c r="J1346" s="45"/>
      <c r="K1346" s="32"/>
      <c r="L1346" s="32"/>
      <c r="M1346" s="125"/>
      <c r="N1346" s="125"/>
      <c r="O1346" s="125"/>
      <c r="P1346" s="125"/>
    </row>
    <row r="1347" spans="1:16" ht="17.25" thickTop="1" thickBot="1">
      <c r="A1347" s="1508" t="s">
        <v>376</v>
      </c>
      <c r="B1347" s="1509"/>
      <c r="C1347" s="1504">
        <v>0</v>
      </c>
      <c r="D1347" s="1505"/>
      <c r="E1347" s="1504">
        <v>0</v>
      </c>
      <c r="F1347" s="1505"/>
      <c r="G1347" s="1504">
        <v>0</v>
      </c>
      <c r="H1347" s="1505"/>
      <c r="I1347" s="1504">
        <v>0</v>
      </c>
      <c r="J1347" s="1505"/>
      <c r="K1347" s="1504">
        <v>0</v>
      </c>
      <c r="L1347" s="1505"/>
      <c r="M1347" s="125"/>
      <c r="N1347" s="125"/>
      <c r="O1347" s="125"/>
      <c r="P1347" s="125"/>
    </row>
    <row r="1348" spans="1:16" ht="17.25" thickTop="1" thickBot="1">
      <c r="A1348" s="1506" t="s">
        <v>377</v>
      </c>
      <c r="B1348" s="1507"/>
      <c r="C1348" s="1504">
        <v>0</v>
      </c>
      <c r="D1348" s="1505"/>
      <c r="E1348" s="1504">
        <v>0</v>
      </c>
      <c r="F1348" s="1505"/>
      <c r="G1348" s="1504">
        <v>0</v>
      </c>
      <c r="H1348" s="1505"/>
      <c r="I1348" s="1504">
        <v>0</v>
      </c>
      <c r="J1348" s="1505"/>
      <c r="K1348" s="1504">
        <v>0</v>
      </c>
      <c r="L1348" s="1505"/>
      <c r="M1348" s="125"/>
      <c r="N1348" s="125"/>
      <c r="O1348" s="125"/>
      <c r="P1348" s="125"/>
    </row>
    <row r="1349" spans="1:16" ht="17.25" thickTop="1" thickBot="1">
      <c r="A1349" s="1506" t="s">
        <v>378</v>
      </c>
      <c r="B1349" s="1507"/>
      <c r="C1349" s="1504">
        <v>0</v>
      </c>
      <c r="D1349" s="1505"/>
      <c r="E1349" s="1504">
        <v>0</v>
      </c>
      <c r="F1349" s="1505"/>
      <c r="G1349" s="1504">
        <v>0</v>
      </c>
      <c r="H1349" s="1505"/>
      <c r="I1349" s="1504">
        <v>0</v>
      </c>
      <c r="J1349" s="1505"/>
      <c r="K1349" s="1504">
        <v>0</v>
      </c>
      <c r="L1349" s="1505"/>
      <c r="M1349" s="125"/>
      <c r="N1349" s="125"/>
      <c r="O1349" s="125"/>
      <c r="P1349" s="125"/>
    </row>
    <row r="1350" spans="1:16" ht="17.25" thickTop="1" thickBot="1">
      <c r="A1350" s="1502" t="s">
        <v>379</v>
      </c>
      <c r="B1350" s="1503"/>
      <c r="C1350" s="1504">
        <v>0</v>
      </c>
      <c r="D1350" s="1505"/>
      <c r="E1350" s="1504">
        <v>0</v>
      </c>
      <c r="F1350" s="1505"/>
      <c r="G1350" s="1504">
        <v>0</v>
      </c>
      <c r="H1350" s="1505"/>
      <c r="I1350" s="1504">
        <v>0</v>
      </c>
      <c r="J1350" s="1505"/>
      <c r="K1350" s="1504" t="s">
        <v>380</v>
      </c>
      <c r="L1350" s="1505"/>
      <c r="M1350" s="125"/>
      <c r="N1350" s="125"/>
      <c r="O1350" s="125"/>
      <c r="P1350" s="125"/>
    </row>
    <row r="1351" spans="1:16" ht="17.25" thickTop="1" thickBot="1">
      <c r="A1351" s="32"/>
      <c r="B1351" s="32"/>
      <c r="C1351" s="32"/>
      <c r="D1351" s="32"/>
      <c r="E1351" s="32"/>
      <c r="F1351" s="32"/>
      <c r="G1351" s="32"/>
      <c r="H1351" s="32"/>
      <c r="I1351" s="32"/>
      <c r="J1351" s="32"/>
      <c r="K1351" s="32"/>
      <c r="L1351" s="32"/>
      <c r="M1351" s="125"/>
      <c r="N1351" s="125"/>
      <c r="O1351" s="125"/>
      <c r="P1351" s="125"/>
    </row>
    <row r="1352" spans="1:16" ht="16.5" thickTop="1">
      <c r="A1352" s="35" t="s">
        <v>381</v>
      </c>
      <c r="B1352" s="36" t="s">
        <v>380</v>
      </c>
      <c r="C1352" s="36" t="s">
        <v>380</v>
      </c>
      <c r="D1352" s="36" t="s">
        <v>380</v>
      </c>
      <c r="E1352" s="36" t="s">
        <v>380</v>
      </c>
      <c r="F1352" s="36" t="s">
        <v>380</v>
      </c>
      <c r="G1352" s="36" t="s">
        <v>380</v>
      </c>
      <c r="H1352" s="36" t="s">
        <v>380</v>
      </c>
      <c r="I1352" s="36" t="s">
        <v>380</v>
      </c>
      <c r="J1352" s="36" t="s">
        <v>380</v>
      </c>
      <c r="K1352" s="36" t="s">
        <v>380</v>
      </c>
      <c r="L1352" s="36" t="s">
        <v>380</v>
      </c>
      <c r="M1352" s="125"/>
      <c r="N1352" s="125"/>
      <c r="O1352" s="125"/>
      <c r="P1352" s="125"/>
    </row>
    <row r="1353" spans="1:16" ht="15.75">
      <c r="A1353" s="37" t="s">
        <v>388</v>
      </c>
      <c r="B1353" s="38" t="s">
        <v>380</v>
      </c>
      <c r="C1353" s="38" t="s">
        <v>380</v>
      </c>
      <c r="D1353" s="38" t="s">
        <v>380</v>
      </c>
      <c r="E1353" s="38" t="s">
        <v>380</v>
      </c>
      <c r="F1353" s="38" t="s">
        <v>380</v>
      </c>
      <c r="G1353" s="38" t="s">
        <v>380</v>
      </c>
      <c r="H1353" s="38" t="s">
        <v>380</v>
      </c>
      <c r="I1353" s="38" t="s">
        <v>380</v>
      </c>
      <c r="J1353" s="38" t="s">
        <v>380</v>
      </c>
      <c r="K1353" s="38" t="s">
        <v>380</v>
      </c>
      <c r="L1353" s="38" t="s">
        <v>380</v>
      </c>
      <c r="M1353" s="125"/>
      <c r="N1353" s="125"/>
      <c r="O1353" s="125"/>
      <c r="P1353" s="125"/>
    </row>
    <row r="1354" spans="1:16" ht="15.75">
      <c r="A1354" s="37" t="s">
        <v>394</v>
      </c>
      <c r="B1354" s="40" t="s">
        <v>380</v>
      </c>
      <c r="C1354" s="40" t="s">
        <v>380</v>
      </c>
      <c r="D1354" s="40" t="s">
        <v>380</v>
      </c>
      <c r="E1354" s="40" t="s">
        <v>380</v>
      </c>
      <c r="F1354" s="40" t="s">
        <v>380</v>
      </c>
      <c r="G1354" s="40" t="s">
        <v>380</v>
      </c>
      <c r="H1354" s="40" t="s">
        <v>380</v>
      </c>
      <c r="I1354" s="40" t="s">
        <v>380</v>
      </c>
      <c r="J1354" s="40" t="s">
        <v>380</v>
      </c>
      <c r="K1354" s="40" t="s">
        <v>380</v>
      </c>
      <c r="L1354" s="40" t="s">
        <v>380</v>
      </c>
      <c r="M1354" s="125"/>
      <c r="N1354" s="125"/>
      <c r="O1354" s="125"/>
      <c r="P1354" s="125"/>
    </row>
    <row r="1355" spans="1:16" ht="15.75">
      <c r="A1355" s="37" t="s">
        <v>397</v>
      </c>
      <c r="B1355" s="41" t="s">
        <v>380</v>
      </c>
      <c r="C1355" s="41" t="s">
        <v>380</v>
      </c>
      <c r="D1355" s="41" t="s">
        <v>380</v>
      </c>
      <c r="E1355" s="41" t="s">
        <v>380</v>
      </c>
      <c r="F1355" s="41" t="s">
        <v>380</v>
      </c>
      <c r="G1355" s="41" t="s">
        <v>380</v>
      </c>
      <c r="H1355" s="41" t="s">
        <v>380</v>
      </c>
      <c r="I1355" s="41" t="s">
        <v>380</v>
      </c>
      <c r="J1355" s="41" t="s">
        <v>380</v>
      </c>
      <c r="K1355" s="41" t="s">
        <v>380</v>
      </c>
      <c r="L1355" s="41" t="s">
        <v>380</v>
      </c>
      <c r="M1355" s="125"/>
      <c r="N1355" s="125"/>
      <c r="O1355" s="125"/>
      <c r="P1355" s="125"/>
    </row>
    <row r="1356" spans="1:16" ht="16.5" thickBot="1">
      <c r="A1356" s="42" t="s">
        <v>343</v>
      </c>
      <c r="B1356" s="41" t="s">
        <v>380</v>
      </c>
      <c r="C1356" s="41" t="s">
        <v>380</v>
      </c>
      <c r="D1356" s="41" t="s">
        <v>380</v>
      </c>
      <c r="E1356" s="41" t="s">
        <v>380</v>
      </c>
      <c r="F1356" s="41" t="s">
        <v>380</v>
      </c>
      <c r="G1356" s="41" t="s">
        <v>380</v>
      </c>
      <c r="H1356" s="41" t="s">
        <v>380</v>
      </c>
      <c r="I1356" s="41" t="s">
        <v>380</v>
      </c>
      <c r="J1356" s="41" t="s">
        <v>380</v>
      </c>
      <c r="K1356" s="41" t="s">
        <v>380</v>
      </c>
      <c r="L1356" s="41" t="s">
        <v>380</v>
      </c>
      <c r="M1356" s="125"/>
      <c r="N1356" s="125"/>
      <c r="O1356" s="125"/>
      <c r="P1356" s="125"/>
    </row>
    <row r="1357" spans="1:16" ht="17.25" thickTop="1" thickBot="1">
      <c r="A1357" s="32"/>
      <c r="B1357" s="32"/>
      <c r="C1357" s="32"/>
      <c r="D1357" s="32"/>
      <c r="E1357" s="32"/>
      <c r="F1357" s="32"/>
      <c r="G1357" s="32"/>
      <c r="H1357" s="32"/>
      <c r="I1357" s="32"/>
      <c r="J1357" s="32"/>
      <c r="K1357" s="32"/>
      <c r="L1357" s="32"/>
      <c r="M1357" s="125"/>
      <c r="N1357" s="125"/>
      <c r="O1357" s="125"/>
      <c r="P1357" s="125"/>
    </row>
    <row r="1358" spans="1:16" ht="19.5" thickTop="1" thickBot="1">
      <c r="A1358" s="35" t="s">
        <v>399</v>
      </c>
      <c r="B1358" s="1494" t="s">
        <v>380</v>
      </c>
      <c r="C1358" s="1495"/>
      <c r="D1358" s="1494" t="s">
        <v>380</v>
      </c>
      <c r="E1358" s="1496"/>
      <c r="F1358" s="32"/>
      <c r="G1358" s="32"/>
      <c r="H1358" s="32"/>
      <c r="I1358" s="32"/>
      <c r="J1358" s="32"/>
      <c r="K1358" s="31"/>
      <c r="L1358" s="31"/>
      <c r="M1358" s="125"/>
      <c r="N1358" s="125"/>
      <c r="O1358" s="125"/>
      <c r="P1358" s="125"/>
    </row>
    <row r="1359" spans="1:16" ht="18.75" thickBot="1">
      <c r="A1359" s="37" t="s">
        <v>400</v>
      </c>
      <c r="B1359" s="1497" t="s">
        <v>380</v>
      </c>
      <c r="C1359" s="1498"/>
      <c r="D1359" s="1497" t="s">
        <v>380</v>
      </c>
      <c r="E1359" s="1499"/>
      <c r="F1359" s="31" t="s">
        <v>401</v>
      </c>
      <c r="G1359" s="1500" t="s">
        <v>402</v>
      </c>
      <c r="H1359" s="1500"/>
      <c r="I1359" s="31" t="s">
        <v>403</v>
      </c>
      <c r="J1359" s="1501">
        <v>42610.364183217593</v>
      </c>
      <c r="K1359" s="1501"/>
      <c r="L1359" s="1501"/>
      <c r="M1359" s="125"/>
      <c r="N1359" s="125"/>
      <c r="O1359" s="125"/>
      <c r="P1359" s="125"/>
    </row>
    <row r="1360" spans="1:16" ht="18.75" thickBot="1">
      <c r="A1360" s="42" t="s">
        <v>404</v>
      </c>
      <c r="B1360" s="1491" t="s">
        <v>380</v>
      </c>
      <c r="C1360" s="1492"/>
      <c r="D1360" s="1491" t="s">
        <v>380</v>
      </c>
      <c r="E1360" s="1493"/>
      <c r="F1360" s="32"/>
      <c r="G1360" s="31"/>
      <c r="H1360" s="31" t="s">
        <v>405</v>
      </c>
      <c r="I1360" s="31"/>
      <c r="J1360" s="32"/>
      <c r="K1360" s="31"/>
      <c r="L1360" s="31"/>
      <c r="M1360" s="125"/>
      <c r="N1360" s="125"/>
      <c r="O1360" s="125"/>
      <c r="P1360" s="125"/>
    </row>
    <row r="1361" spans="1:16" ht="18.75" thickTop="1">
      <c r="A1361" s="32"/>
      <c r="B1361" s="32"/>
      <c r="C1361" s="32"/>
      <c r="D1361" s="32"/>
      <c r="E1361" s="32"/>
      <c r="F1361" s="31"/>
      <c r="G1361" s="31"/>
      <c r="H1361" s="44" t="s">
        <v>406</v>
      </c>
      <c r="I1361" s="31"/>
      <c r="J1361" s="31"/>
      <c r="K1361" s="32"/>
      <c r="L1361" s="32"/>
      <c r="M1361" s="125"/>
      <c r="N1361" s="125"/>
      <c r="O1361" s="125"/>
      <c r="P1361" s="125"/>
    </row>
    <row r="1362" spans="1:16" ht="18">
      <c r="A1362" s="32"/>
      <c r="B1362" s="32"/>
      <c r="C1362" s="32"/>
      <c r="D1362" s="32"/>
      <c r="E1362" s="32"/>
      <c r="F1362" s="31"/>
      <c r="G1362" s="31"/>
      <c r="H1362" s="32"/>
      <c r="I1362" s="31"/>
      <c r="J1362" s="32"/>
      <c r="K1362" s="32"/>
      <c r="L1362" s="32"/>
      <c r="M1362" s="125"/>
      <c r="N1362" s="125"/>
      <c r="O1362" s="125"/>
      <c r="P1362" s="125"/>
    </row>
    <row r="1363" spans="1:16" ht="18">
      <c r="A1363" s="1500" t="s">
        <v>78</v>
      </c>
      <c r="B1363" s="1500"/>
      <c r="C1363" s="1500"/>
      <c r="D1363" s="1500"/>
      <c r="E1363" s="1500"/>
      <c r="F1363" s="1500"/>
      <c r="G1363" s="1500"/>
      <c r="H1363" s="1500"/>
      <c r="I1363" s="1500"/>
      <c r="J1363" s="1500"/>
      <c r="K1363" s="1500"/>
      <c r="L1363" s="1500"/>
      <c r="M1363" s="125"/>
      <c r="N1363" s="125"/>
      <c r="O1363" s="125"/>
      <c r="P1363" s="125"/>
    </row>
    <row r="1364" spans="1:16" ht="18">
      <c r="A1364" s="1500" t="s">
        <v>79</v>
      </c>
      <c r="B1364" s="1500"/>
      <c r="C1364" s="1500"/>
      <c r="D1364" s="1500"/>
      <c r="E1364" s="1500"/>
      <c r="F1364" s="1500"/>
      <c r="G1364" s="1500"/>
      <c r="H1364" s="1500"/>
      <c r="I1364" s="1500"/>
      <c r="J1364" s="1500"/>
      <c r="K1364" s="1500"/>
      <c r="L1364" s="1500"/>
      <c r="M1364" s="125"/>
      <c r="N1364" s="125"/>
      <c r="O1364" s="125"/>
      <c r="P1364" s="125"/>
    </row>
    <row r="1365" spans="1:16" ht="18">
      <c r="A1365" s="30" t="s">
        <v>220</v>
      </c>
      <c r="B1365" s="31"/>
      <c r="C1365" s="31"/>
      <c r="D1365" s="31"/>
      <c r="E1365" s="31"/>
      <c r="F1365" s="31"/>
      <c r="G1365" s="31"/>
      <c r="H1365" s="31"/>
      <c r="I1365" s="31"/>
      <c r="J1365" s="31"/>
      <c r="K1365" s="31"/>
      <c r="L1365" s="31"/>
      <c r="M1365" s="125"/>
      <c r="N1365" s="125"/>
      <c r="O1365" s="125"/>
      <c r="P1365" s="125"/>
    </row>
    <row r="1366" spans="1:16" ht="18">
      <c r="A1366" s="30" t="s">
        <v>361</v>
      </c>
      <c r="B1366" s="31"/>
      <c r="C1366" s="31"/>
      <c r="D1366" s="31"/>
      <c r="E1366" s="31"/>
      <c r="F1366" s="31"/>
      <c r="G1366" s="31"/>
      <c r="H1366" s="31"/>
      <c r="I1366" s="31"/>
      <c r="J1366" s="31"/>
      <c r="K1366" s="31"/>
      <c r="L1366" s="31"/>
      <c r="M1366" s="125"/>
      <c r="N1366" s="125"/>
      <c r="O1366" s="125"/>
      <c r="P1366" s="125"/>
    </row>
    <row r="1367" spans="1:16" ht="18.75" thickBot="1">
      <c r="A1367" s="31"/>
      <c r="B1367" s="31"/>
      <c r="C1367" s="31"/>
      <c r="D1367" s="31"/>
      <c r="E1367" s="31"/>
      <c r="F1367" s="31"/>
      <c r="G1367" s="31"/>
      <c r="H1367" s="31"/>
      <c r="I1367" s="31"/>
      <c r="J1367" s="31"/>
      <c r="K1367" s="31"/>
      <c r="L1367" s="31"/>
      <c r="M1367" s="125"/>
      <c r="N1367" s="125"/>
      <c r="O1367" s="125"/>
      <c r="P1367" s="125"/>
    </row>
    <row r="1368" spans="1:16" ht="24" thickBot="1">
      <c r="A1368" s="31"/>
      <c r="B1368" s="31"/>
      <c r="C1368" s="1515" t="s">
        <v>362</v>
      </c>
      <c r="D1368" s="1516"/>
      <c r="E1368" s="1516"/>
      <c r="F1368" s="1516"/>
      <c r="G1368" s="1517"/>
      <c r="H1368" s="1518" t="s">
        <v>440</v>
      </c>
      <c r="I1368" s="1519"/>
      <c r="J1368" s="31"/>
      <c r="K1368" s="31"/>
      <c r="L1368" s="31"/>
      <c r="M1368" s="125"/>
      <c r="N1368" s="125"/>
      <c r="O1368" s="125"/>
      <c r="P1368" s="125"/>
    </row>
    <row r="1369" spans="1:16" ht="18">
      <c r="A1369" s="31"/>
      <c r="B1369" s="31"/>
      <c r="C1369" s="31"/>
      <c r="D1369" s="31"/>
      <c r="E1369" s="31"/>
      <c r="F1369" s="31"/>
      <c r="G1369" s="31"/>
      <c r="H1369" s="31"/>
      <c r="I1369" s="31"/>
      <c r="J1369" s="31"/>
      <c r="K1369" s="31"/>
      <c r="L1369" s="31"/>
      <c r="M1369" s="125"/>
      <c r="N1369" s="125"/>
      <c r="O1369" s="125"/>
      <c r="P1369" s="125"/>
    </row>
    <row r="1370" spans="1:16" ht="18">
      <c r="A1370" s="30" t="s">
        <v>363</v>
      </c>
      <c r="B1370" s="31"/>
      <c r="C1370" s="1500" t="s">
        <v>380</v>
      </c>
      <c r="D1370" s="1500"/>
      <c r="E1370" s="1500"/>
      <c r="F1370" s="31"/>
      <c r="G1370" s="31" t="s">
        <v>364</v>
      </c>
      <c r="H1370" s="31"/>
      <c r="I1370" s="1500" t="s">
        <v>380</v>
      </c>
      <c r="J1370" s="1500"/>
      <c r="K1370" s="1500"/>
      <c r="L1370" s="31"/>
      <c r="M1370" s="125"/>
      <c r="N1370" s="125"/>
      <c r="O1370" s="125"/>
      <c r="P1370" s="125"/>
    </row>
    <row r="1371" spans="1:16" ht="18.75" thickBot="1">
      <c r="A1371" s="30" t="s">
        <v>365</v>
      </c>
      <c r="B1371" s="31"/>
      <c r="C1371" s="31" t="s">
        <v>380</v>
      </c>
      <c r="D1371" s="31"/>
      <c r="E1371" s="31"/>
      <c r="F1371" s="31"/>
      <c r="G1371" s="31" t="s">
        <v>366</v>
      </c>
      <c r="H1371" s="31"/>
      <c r="I1371" s="31" t="s">
        <v>441</v>
      </c>
      <c r="J1371" s="31"/>
      <c r="K1371" s="31"/>
      <c r="L1371" s="31"/>
      <c r="M1371" s="125"/>
      <c r="N1371" s="125"/>
      <c r="O1371" s="125"/>
      <c r="P1371" s="125"/>
    </row>
    <row r="1372" spans="1:16" ht="17.25" thickTop="1" thickBot="1">
      <c r="A1372" s="1510" t="s">
        <v>367</v>
      </c>
      <c r="B1372" s="1511"/>
      <c r="C1372" s="1512" t="s">
        <v>360</v>
      </c>
      <c r="D1372" s="1513"/>
      <c r="E1372" s="1512" t="s">
        <v>368</v>
      </c>
      <c r="F1372" s="1513"/>
      <c r="G1372" s="1512" t="s">
        <v>369</v>
      </c>
      <c r="H1372" s="1513"/>
      <c r="I1372" s="1512" t="s">
        <v>370</v>
      </c>
      <c r="J1372" s="1513"/>
      <c r="K1372" s="1512" t="s">
        <v>371</v>
      </c>
      <c r="L1372" s="1514"/>
      <c r="M1372" s="125"/>
      <c r="N1372" s="125"/>
      <c r="O1372" s="125"/>
      <c r="P1372" s="125"/>
    </row>
    <row r="1373" spans="1:16" ht="17.25" thickTop="1" thickBot="1">
      <c r="A1373" s="1506" t="s">
        <v>372</v>
      </c>
      <c r="B1373" s="1507"/>
      <c r="C1373" s="1504">
        <v>0</v>
      </c>
      <c r="D1373" s="1505"/>
      <c r="E1373" s="1504">
        <v>0</v>
      </c>
      <c r="F1373" s="1505"/>
      <c r="G1373" s="1504">
        <v>0</v>
      </c>
      <c r="H1373" s="1505"/>
      <c r="I1373" s="1504">
        <v>0</v>
      </c>
      <c r="J1373" s="1505"/>
      <c r="K1373" s="1504">
        <v>0</v>
      </c>
      <c r="L1373" s="1505"/>
      <c r="M1373" s="125"/>
      <c r="N1373" s="125"/>
      <c r="O1373" s="125"/>
      <c r="P1373" s="125"/>
    </row>
    <row r="1374" spans="1:16" ht="17.25" thickTop="1" thickBot="1">
      <c r="A1374" s="1506" t="s">
        <v>373</v>
      </c>
      <c r="B1374" s="1507"/>
      <c r="C1374" s="1504">
        <v>0</v>
      </c>
      <c r="D1374" s="1505"/>
      <c r="E1374" s="1504">
        <v>0</v>
      </c>
      <c r="F1374" s="1505"/>
      <c r="G1374" s="1504">
        <v>0</v>
      </c>
      <c r="H1374" s="1505"/>
      <c r="I1374" s="1504">
        <v>0</v>
      </c>
      <c r="J1374" s="1505"/>
      <c r="K1374" s="1504">
        <v>0</v>
      </c>
      <c r="L1374" s="1505"/>
      <c r="M1374" s="125"/>
      <c r="N1374" s="125"/>
      <c r="O1374" s="125"/>
      <c r="P1374" s="125"/>
    </row>
    <row r="1375" spans="1:16" ht="17.25" thickTop="1" thickBot="1">
      <c r="A1375" s="1506" t="s">
        <v>374</v>
      </c>
      <c r="B1375" s="1507"/>
      <c r="C1375" s="1504">
        <v>0</v>
      </c>
      <c r="D1375" s="1505"/>
      <c r="E1375" s="1504">
        <v>0</v>
      </c>
      <c r="F1375" s="1505"/>
      <c r="G1375" s="1504">
        <v>0</v>
      </c>
      <c r="H1375" s="1505"/>
      <c r="I1375" s="1504">
        <v>0</v>
      </c>
      <c r="J1375" s="1505"/>
      <c r="K1375" s="1504">
        <v>0</v>
      </c>
      <c r="L1375" s="1505"/>
      <c r="M1375" s="125"/>
      <c r="N1375" s="125"/>
      <c r="O1375" s="125"/>
      <c r="P1375" s="125"/>
    </row>
    <row r="1376" spans="1:16" ht="17.25" thickTop="1" thickBot="1">
      <c r="A1376" s="1502" t="s">
        <v>375</v>
      </c>
      <c r="B1376" s="1503"/>
      <c r="C1376" s="1504">
        <v>0</v>
      </c>
      <c r="D1376" s="1505"/>
      <c r="E1376" s="1504">
        <v>0</v>
      </c>
      <c r="F1376" s="1505"/>
      <c r="G1376" s="1504">
        <v>0</v>
      </c>
      <c r="H1376" s="1505"/>
      <c r="I1376" s="1504">
        <v>0</v>
      </c>
      <c r="J1376" s="1505"/>
      <c r="K1376" s="1504">
        <v>0</v>
      </c>
      <c r="L1376" s="1505"/>
      <c r="M1376" s="125"/>
      <c r="N1376" s="125"/>
      <c r="O1376" s="125"/>
      <c r="P1376" s="125"/>
    </row>
    <row r="1377" spans="1:16" ht="17.25" thickTop="1" thickBot="1">
      <c r="A1377" s="32"/>
      <c r="B1377" s="32"/>
      <c r="C1377" s="32"/>
      <c r="D1377" s="32"/>
      <c r="E1377" s="32"/>
      <c r="F1377" s="32"/>
      <c r="G1377" s="32"/>
      <c r="H1377" s="32"/>
      <c r="I1377" s="45"/>
      <c r="J1377" s="45"/>
      <c r="K1377" s="32"/>
      <c r="L1377" s="32"/>
      <c r="M1377" s="125"/>
      <c r="N1377" s="125"/>
      <c r="O1377" s="125"/>
      <c r="P1377" s="125"/>
    </row>
    <row r="1378" spans="1:16" ht="17.25" thickTop="1" thickBot="1">
      <c r="A1378" s="1508" t="s">
        <v>376</v>
      </c>
      <c r="B1378" s="1509"/>
      <c r="C1378" s="1504">
        <v>0</v>
      </c>
      <c r="D1378" s="1505"/>
      <c r="E1378" s="1504">
        <v>0</v>
      </c>
      <c r="F1378" s="1505"/>
      <c r="G1378" s="1504">
        <v>0</v>
      </c>
      <c r="H1378" s="1505"/>
      <c r="I1378" s="1504">
        <v>0</v>
      </c>
      <c r="J1378" s="1505"/>
      <c r="K1378" s="1504">
        <v>0</v>
      </c>
      <c r="L1378" s="1505"/>
      <c r="M1378" s="125"/>
      <c r="N1378" s="125"/>
      <c r="O1378" s="125"/>
      <c r="P1378" s="125"/>
    </row>
    <row r="1379" spans="1:16" ht="17.25" thickTop="1" thickBot="1">
      <c r="A1379" s="1506" t="s">
        <v>377</v>
      </c>
      <c r="B1379" s="1507"/>
      <c r="C1379" s="1504">
        <v>0</v>
      </c>
      <c r="D1379" s="1505"/>
      <c r="E1379" s="1504">
        <v>0</v>
      </c>
      <c r="F1379" s="1505"/>
      <c r="G1379" s="1504">
        <v>0</v>
      </c>
      <c r="H1379" s="1505"/>
      <c r="I1379" s="1504">
        <v>0</v>
      </c>
      <c r="J1379" s="1505"/>
      <c r="K1379" s="1504">
        <v>0</v>
      </c>
      <c r="L1379" s="1505"/>
      <c r="M1379" s="125"/>
      <c r="N1379" s="125"/>
      <c r="O1379" s="125"/>
      <c r="P1379" s="125"/>
    </row>
    <row r="1380" spans="1:16" ht="17.25" thickTop="1" thickBot="1">
      <c r="A1380" s="1506" t="s">
        <v>378</v>
      </c>
      <c r="B1380" s="1507"/>
      <c r="C1380" s="1504">
        <v>0</v>
      </c>
      <c r="D1380" s="1505"/>
      <c r="E1380" s="1504">
        <v>0</v>
      </c>
      <c r="F1380" s="1505"/>
      <c r="G1380" s="1504">
        <v>0</v>
      </c>
      <c r="H1380" s="1505"/>
      <c r="I1380" s="1504">
        <v>0</v>
      </c>
      <c r="J1380" s="1505"/>
      <c r="K1380" s="1504">
        <v>0</v>
      </c>
      <c r="L1380" s="1505"/>
      <c r="M1380" s="125"/>
      <c r="N1380" s="125"/>
      <c r="O1380" s="125"/>
      <c r="P1380" s="125"/>
    </row>
    <row r="1381" spans="1:16" ht="17.25" thickTop="1" thickBot="1">
      <c r="A1381" s="1502" t="s">
        <v>379</v>
      </c>
      <c r="B1381" s="1503"/>
      <c r="C1381" s="1504">
        <v>0</v>
      </c>
      <c r="D1381" s="1505"/>
      <c r="E1381" s="1504">
        <v>0</v>
      </c>
      <c r="F1381" s="1505"/>
      <c r="G1381" s="1504">
        <v>0</v>
      </c>
      <c r="H1381" s="1505"/>
      <c r="I1381" s="1504">
        <v>0</v>
      </c>
      <c r="J1381" s="1505"/>
      <c r="K1381" s="1504" t="s">
        <v>380</v>
      </c>
      <c r="L1381" s="1505"/>
      <c r="M1381" s="125"/>
      <c r="N1381" s="125"/>
      <c r="O1381" s="125"/>
      <c r="P1381" s="125"/>
    </row>
    <row r="1382" spans="1:16" ht="17.25" thickTop="1" thickBot="1">
      <c r="A1382" s="32"/>
      <c r="B1382" s="32"/>
      <c r="C1382" s="32"/>
      <c r="D1382" s="32"/>
      <c r="E1382" s="32"/>
      <c r="F1382" s="32"/>
      <c r="G1382" s="32"/>
      <c r="H1382" s="32"/>
      <c r="I1382" s="32"/>
      <c r="J1382" s="32"/>
      <c r="K1382" s="32"/>
      <c r="L1382" s="32"/>
      <c r="M1382" s="125"/>
      <c r="N1382" s="125"/>
      <c r="O1382" s="125"/>
      <c r="P1382" s="125"/>
    </row>
    <row r="1383" spans="1:16" ht="16.5" thickTop="1">
      <c r="A1383" s="35" t="s">
        <v>381</v>
      </c>
      <c r="B1383" s="36" t="s">
        <v>380</v>
      </c>
      <c r="C1383" s="36" t="s">
        <v>380</v>
      </c>
      <c r="D1383" s="36" t="s">
        <v>380</v>
      </c>
      <c r="E1383" s="36" t="s">
        <v>380</v>
      </c>
      <c r="F1383" s="36" t="s">
        <v>380</v>
      </c>
      <c r="G1383" s="36" t="s">
        <v>380</v>
      </c>
      <c r="H1383" s="36" t="s">
        <v>380</v>
      </c>
      <c r="I1383" s="36" t="s">
        <v>380</v>
      </c>
      <c r="J1383" s="36" t="s">
        <v>380</v>
      </c>
      <c r="K1383" s="36" t="s">
        <v>380</v>
      </c>
      <c r="L1383" s="36" t="s">
        <v>380</v>
      </c>
      <c r="M1383" s="125"/>
      <c r="N1383" s="125"/>
      <c r="O1383" s="125"/>
      <c r="P1383" s="125"/>
    </row>
    <row r="1384" spans="1:16" ht="15.75">
      <c r="A1384" s="37" t="s">
        <v>388</v>
      </c>
      <c r="B1384" s="38" t="s">
        <v>380</v>
      </c>
      <c r="C1384" s="38" t="s">
        <v>380</v>
      </c>
      <c r="D1384" s="38" t="s">
        <v>380</v>
      </c>
      <c r="E1384" s="38" t="s">
        <v>380</v>
      </c>
      <c r="F1384" s="38" t="s">
        <v>380</v>
      </c>
      <c r="G1384" s="38" t="s">
        <v>380</v>
      </c>
      <c r="H1384" s="38" t="s">
        <v>380</v>
      </c>
      <c r="I1384" s="38" t="s">
        <v>380</v>
      </c>
      <c r="J1384" s="38" t="s">
        <v>380</v>
      </c>
      <c r="K1384" s="38" t="s">
        <v>380</v>
      </c>
      <c r="L1384" s="38" t="s">
        <v>380</v>
      </c>
      <c r="M1384" s="125"/>
      <c r="N1384" s="125"/>
      <c r="O1384" s="125"/>
      <c r="P1384" s="125"/>
    </row>
    <row r="1385" spans="1:16" ht="15.75">
      <c r="A1385" s="37" t="s">
        <v>394</v>
      </c>
      <c r="B1385" s="40" t="s">
        <v>380</v>
      </c>
      <c r="C1385" s="40" t="s">
        <v>380</v>
      </c>
      <c r="D1385" s="40" t="s">
        <v>380</v>
      </c>
      <c r="E1385" s="40" t="s">
        <v>380</v>
      </c>
      <c r="F1385" s="40" t="s">
        <v>380</v>
      </c>
      <c r="G1385" s="40" t="s">
        <v>380</v>
      </c>
      <c r="H1385" s="40" t="s">
        <v>380</v>
      </c>
      <c r="I1385" s="40" t="s">
        <v>380</v>
      </c>
      <c r="J1385" s="40" t="s">
        <v>380</v>
      </c>
      <c r="K1385" s="40" t="s">
        <v>380</v>
      </c>
      <c r="L1385" s="40" t="s">
        <v>380</v>
      </c>
      <c r="M1385" s="125"/>
      <c r="N1385" s="125"/>
      <c r="O1385" s="125"/>
      <c r="P1385" s="125"/>
    </row>
    <row r="1386" spans="1:16" ht="15.75">
      <c r="A1386" s="37" t="s">
        <v>397</v>
      </c>
      <c r="B1386" s="41" t="s">
        <v>380</v>
      </c>
      <c r="C1386" s="41" t="s">
        <v>380</v>
      </c>
      <c r="D1386" s="41" t="s">
        <v>380</v>
      </c>
      <c r="E1386" s="41" t="s">
        <v>380</v>
      </c>
      <c r="F1386" s="41" t="s">
        <v>380</v>
      </c>
      <c r="G1386" s="41" t="s">
        <v>380</v>
      </c>
      <c r="H1386" s="41" t="s">
        <v>380</v>
      </c>
      <c r="I1386" s="41" t="s">
        <v>380</v>
      </c>
      <c r="J1386" s="41" t="s">
        <v>380</v>
      </c>
      <c r="K1386" s="41" t="s">
        <v>380</v>
      </c>
      <c r="L1386" s="41" t="s">
        <v>380</v>
      </c>
      <c r="M1386" s="125"/>
      <c r="N1386" s="125"/>
      <c r="O1386" s="125"/>
      <c r="P1386" s="125"/>
    </row>
    <row r="1387" spans="1:16" ht="16.5" thickBot="1">
      <c r="A1387" s="42" t="s">
        <v>343</v>
      </c>
      <c r="B1387" s="41" t="s">
        <v>380</v>
      </c>
      <c r="C1387" s="41" t="s">
        <v>380</v>
      </c>
      <c r="D1387" s="41" t="s">
        <v>380</v>
      </c>
      <c r="E1387" s="41" t="s">
        <v>380</v>
      </c>
      <c r="F1387" s="41" t="s">
        <v>380</v>
      </c>
      <c r="G1387" s="41" t="s">
        <v>380</v>
      </c>
      <c r="H1387" s="41" t="s">
        <v>380</v>
      </c>
      <c r="I1387" s="41" t="s">
        <v>380</v>
      </c>
      <c r="J1387" s="41" t="s">
        <v>380</v>
      </c>
      <c r="K1387" s="41" t="s">
        <v>380</v>
      </c>
      <c r="L1387" s="41" t="s">
        <v>380</v>
      </c>
      <c r="M1387" s="125"/>
      <c r="N1387" s="125"/>
      <c r="O1387" s="125"/>
      <c r="P1387" s="125"/>
    </row>
    <row r="1388" spans="1:16" ht="17.25" thickTop="1" thickBot="1">
      <c r="A1388" s="32"/>
      <c r="B1388" s="32"/>
      <c r="C1388" s="32"/>
      <c r="D1388" s="32"/>
      <c r="E1388" s="32"/>
      <c r="F1388" s="32"/>
      <c r="G1388" s="32"/>
      <c r="H1388" s="32"/>
      <c r="I1388" s="32"/>
      <c r="J1388" s="32"/>
      <c r="K1388" s="32"/>
      <c r="L1388" s="32"/>
      <c r="M1388" s="125"/>
      <c r="N1388" s="125"/>
      <c r="O1388" s="125"/>
      <c r="P1388" s="125"/>
    </row>
    <row r="1389" spans="1:16" ht="19.5" thickTop="1" thickBot="1">
      <c r="A1389" s="35" t="s">
        <v>399</v>
      </c>
      <c r="B1389" s="1494" t="s">
        <v>380</v>
      </c>
      <c r="C1389" s="1495"/>
      <c r="D1389" s="1494" t="s">
        <v>380</v>
      </c>
      <c r="E1389" s="1496"/>
      <c r="F1389" s="32"/>
      <c r="G1389" s="32"/>
      <c r="H1389" s="32"/>
      <c r="I1389" s="32"/>
      <c r="J1389" s="32"/>
      <c r="K1389" s="31"/>
      <c r="L1389" s="31"/>
      <c r="M1389" s="125"/>
      <c r="N1389" s="125"/>
      <c r="O1389" s="125"/>
      <c r="P1389" s="125"/>
    </row>
    <row r="1390" spans="1:16" ht="18.75" thickBot="1">
      <c r="A1390" s="37" t="s">
        <v>400</v>
      </c>
      <c r="B1390" s="1497" t="s">
        <v>380</v>
      </c>
      <c r="C1390" s="1498"/>
      <c r="D1390" s="1497" t="s">
        <v>380</v>
      </c>
      <c r="E1390" s="1499"/>
      <c r="F1390" s="31" t="s">
        <v>401</v>
      </c>
      <c r="G1390" s="1500" t="s">
        <v>402</v>
      </c>
      <c r="H1390" s="1500"/>
      <c r="I1390" s="31" t="s">
        <v>403</v>
      </c>
      <c r="J1390" s="1501">
        <v>42610.364183217593</v>
      </c>
      <c r="K1390" s="1501"/>
      <c r="L1390" s="1501"/>
      <c r="M1390" s="125"/>
      <c r="N1390" s="125"/>
      <c r="O1390" s="125"/>
      <c r="P1390" s="125"/>
    </row>
    <row r="1391" spans="1:16" ht="18.75" thickBot="1">
      <c r="A1391" s="42" t="s">
        <v>404</v>
      </c>
      <c r="B1391" s="1491" t="s">
        <v>380</v>
      </c>
      <c r="C1391" s="1492"/>
      <c r="D1391" s="1491" t="s">
        <v>380</v>
      </c>
      <c r="E1391" s="1493"/>
      <c r="F1391" s="32"/>
      <c r="G1391" s="31"/>
      <c r="H1391" s="31" t="s">
        <v>405</v>
      </c>
      <c r="I1391" s="31"/>
      <c r="J1391" s="32"/>
      <c r="K1391" s="31"/>
      <c r="L1391" s="31"/>
      <c r="M1391" s="125"/>
      <c r="N1391" s="125"/>
      <c r="O1391" s="125"/>
      <c r="P1391" s="125"/>
    </row>
    <row r="1392" spans="1:16" ht="18.75" thickTop="1">
      <c r="A1392" s="32"/>
      <c r="B1392" s="32"/>
      <c r="C1392" s="32"/>
      <c r="D1392" s="32"/>
      <c r="E1392" s="32"/>
      <c r="F1392" s="31"/>
      <c r="G1392" s="31"/>
      <c r="H1392" s="44" t="s">
        <v>406</v>
      </c>
      <c r="I1392" s="31"/>
      <c r="J1392" s="31"/>
      <c r="K1392" s="32"/>
      <c r="L1392" s="32"/>
      <c r="M1392" s="125"/>
      <c r="N1392" s="125"/>
      <c r="O1392" s="125"/>
      <c r="P1392" s="125"/>
    </row>
    <row r="1393" spans="1:16" ht="18">
      <c r="A1393" s="32"/>
      <c r="B1393" s="32"/>
      <c r="C1393" s="32"/>
      <c r="D1393" s="32"/>
      <c r="E1393" s="32"/>
      <c r="F1393" s="31"/>
      <c r="G1393" s="31"/>
      <c r="H1393" s="32"/>
      <c r="I1393" s="31"/>
      <c r="J1393" s="32"/>
      <c r="K1393" s="32"/>
      <c r="L1393" s="32"/>
      <c r="M1393" s="125"/>
      <c r="N1393" s="125"/>
      <c r="O1393" s="125"/>
      <c r="P1393" s="125"/>
    </row>
    <row r="1394" spans="1:16" ht="18">
      <c r="A1394" s="1500" t="s">
        <v>78</v>
      </c>
      <c r="B1394" s="1500"/>
      <c r="C1394" s="1500"/>
      <c r="D1394" s="1500"/>
      <c r="E1394" s="1500"/>
      <c r="F1394" s="1500"/>
      <c r="G1394" s="1500"/>
      <c r="H1394" s="1500"/>
      <c r="I1394" s="1500"/>
      <c r="J1394" s="1500"/>
      <c r="K1394" s="1500"/>
      <c r="L1394" s="1500"/>
      <c r="M1394" s="125"/>
      <c r="N1394" s="125"/>
      <c r="O1394" s="125"/>
      <c r="P1394" s="125"/>
    </row>
    <row r="1395" spans="1:16" ht="18">
      <c r="A1395" s="1500" t="s">
        <v>79</v>
      </c>
      <c r="B1395" s="1500"/>
      <c r="C1395" s="1500"/>
      <c r="D1395" s="1500"/>
      <c r="E1395" s="1500"/>
      <c r="F1395" s="1500"/>
      <c r="G1395" s="1500"/>
      <c r="H1395" s="1500"/>
      <c r="I1395" s="1500"/>
      <c r="J1395" s="1500"/>
      <c r="K1395" s="1500"/>
      <c r="L1395" s="1500"/>
      <c r="M1395" s="125"/>
      <c r="N1395" s="125"/>
      <c r="O1395" s="125"/>
      <c r="P1395" s="125"/>
    </row>
    <row r="1396" spans="1:16" ht="18">
      <c r="A1396" s="30" t="s">
        <v>220</v>
      </c>
      <c r="B1396" s="31"/>
      <c r="C1396" s="31"/>
      <c r="D1396" s="31"/>
      <c r="E1396" s="31"/>
      <c r="F1396" s="31"/>
      <c r="G1396" s="31"/>
      <c r="H1396" s="31"/>
      <c r="I1396" s="31"/>
      <c r="J1396" s="31"/>
      <c r="K1396" s="31"/>
      <c r="L1396" s="31"/>
      <c r="M1396" s="125"/>
      <c r="N1396" s="125"/>
      <c r="O1396" s="125"/>
      <c r="P1396" s="125"/>
    </row>
    <row r="1397" spans="1:16" ht="18">
      <c r="A1397" s="30" t="s">
        <v>361</v>
      </c>
      <c r="B1397" s="31"/>
      <c r="C1397" s="31"/>
      <c r="D1397" s="31"/>
      <c r="E1397" s="31"/>
      <c r="F1397" s="31"/>
      <c r="G1397" s="31"/>
      <c r="H1397" s="31"/>
      <c r="I1397" s="31"/>
      <c r="J1397" s="31"/>
      <c r="K1397" s="31"/>
      <c r="L1397" s="31"/>
      <c r="M1397" s="125"/>
      <c r="N1397" s="125"/>
      <c r="O1397" s="125"/>
      <c r="P1397" s="125"/>
    </row>
    <row r="1398" spans="1:16" ht="18.75" thickBot="1">
      <c r="A1398" s="31"/>
      <c r="B1398" s="31"/>
      <c r="C1398" s="31"/>
      <c r="D1398" s="31"/>
      <c r="E1398" s="31"/>
      <c r="F1398" s="31"/>
      <c r="G1398" s="31"/>
      <c r="H1398" s="31"/>
      <c r="I1398" s="31"/>
      <c r="J1398" s="31"/>
      <c r="K1398" s="31"/>
      <c r="L1398" s="31"/>
      <c r="M1398" s="125"/>
      <c r="N1398" s="125"/>
      <c r="O1398" s="125"/>
      <c r="P1398" s="125"/>
    </row>
    <row r="1399" spans="1:16" ht="24" thickBot="1">
      <c r="A1399" s="31"/>
      <c r="B1399" s="31"/>
      <c r="C1399" s="1515" t="s">
        <v>362</v>
      </c>
      <c r="D1399" s="1516"/>
      <c r="E1399" s="1516"/>
      <c r="F1399" s="1516"/>
      <c r="G1399" s="1517"/>
      <c r="H1399" s="1518" t="s">
        <v>440</v>
      </c>
      <c r="I1399" s="1519"/>
      <c r="J1399" s="31"/>
      <c r="K1399" s="31"/>
      <c r="L1399" s="31"/>
      <c r="M1399" s="125"/>
      <c r="N1399" s="125"/>
      <c r="O1399" s="125"/>
      <c r="P1399" s="125"/>
    </row>
    <row r="1400" spans="1:16" ht="18">
      <c r="A1400" s="31"/>
      <c r="B1400" s="31"/>
      <c r="C1400" s="31"/>
      <c r="D1400" s="31"/>
      <c r="E1400" s="31"/>
      <c r="F1400" s="31"/>
      <c r="G1400" s="31"/>
      <c r="H1400" s="31"/>
      <c r="I1400" s="31"/>
      <c r="J1400" s="31"/>
      <c r="K1400" s="31"/>
      <c r="L1400" s="31"/>
      <c r="M1400" s="125"/>
      <c r="N1400" s="125"/>
      <c r="O1400" s="125"/>
      <c r="P1400" s="125"/>
    </row>
    <row r="1401" spans="1:16" ht="18">
      <c r="A1401" s="30" t="s">
        <v>363</v>
      </c>
      <c r="B1401" s="31"/>
      <c r="C1401" s="1500" t="s">
        <v>380</v>
      </c>
      <c r="D1401" s="1500"/>
      <c r="E1401" s="1500"/>
      <c r="F1401" s="31"/>
      <c r="G1401" s="31" t="s">
        <v>364</v>
      </c>
      <c r="H1401" s="31"/>
      <c r="I1401" s="1500" t="s">
        <v>380</v>
      </c>
      <c r="J1401" s="1500"/>
      <c r="K1401" s="1500"/>
      <c r="L1401" s="31"/>
      <c r="M1401" s="125"/>
      <c r="N1401" s="125"/>
      <c r="O1401" s="125"/>
      <c r="P1401" s="125"/>
    </row>
    <row r="1402" spans="1:16" ht="18.75" thickBot="1">
      <c r="A1402" s="30" t="s">
        <v>365</v>
      </c>
      <c r="B1402" s="31"/>
      <c r="C1402" s="31" t="s">
        <v>380</v>
      </c>
      <c r="D1402" s="31"/>
      <c r="E1402" s="31"/>
      <c r="F1402" s="31"/>
      <c r="G1402" s="31" t="s">
        <v>366</v>
      </c>
      <c r="H1402" s="31"/>
      <c r="I1402" s="31" t="s">
        <v>441</v>
      </c>
      <c r="J1402" s="31"/>
      <c r="K1402" s="31"/>
      <c r="L1402" s="31"/>
      <c r="M1402" s="125"/>
      <c r="N1402" s="125"/>
      <c r="O1402" s="125"/>
      <c r="P1402" s="125"/>
    </row>
    <row r="1403" spans="1:16" ht="17.25" thickTop="1" thickBot="1">
      <c r="A1403" s="1510" t="s">
        <v>367</v>
      </c>
      <c r="B1403" s="1511"/>
      <c r="C1403" s="1512" t="s">
        <v>360</v>
      </c>
      <c r="D1403" s="1513"/>
      <c r="E1403" s="1512" t="s">
        <v>368</v>
      </c>
      <c r="F1403" s="1513"/>
      <c r="G1403" s="1512" t="s">
        <v>369</v>
      </c>
      <c r="H1403" s="1513"/>
      <c r="I1403" s="1512" t="s">
        <v>370</v>
      </c>
      <c r="J1403" s="1513"/>
      <c r="K1403" s="1512" t="s">
        <v>371</v>
      </c>
      <c r="L1403" s="1514"/>
      <c r="M1403" s="125"/>
      <c r="N1403" s="125"/>
      <c r="O1403" s="125"/>
      <c r="P1403" s="125"/>
    </row>
    <row r="1404" spans="1:16" ht="17.25" thickTop="1" thickBot="1">
      <c r="A1404" s="1506" t="s">
        <v>372</v>
      </c>
      <c r="B1404" s="1507"/>
      <c r="C1404" s="1504">
        <v>0</v>
      </c>
      <c r="D1404" s="1505"/>
      <c r="E1404" s="1504">
        <v>0</v>
      </c>
      <c r="F1404" s="1505"/>
      <c r="G1404" s="1504">
        <v>0</v>
      </c>
      <c r="H1404" s="1505"/>
      <c r="I1404" s="1504">
        <v>0</v>
      </c>
      <c r="J1404" s="1505"/>
      <c r="K1404" s="1504">
        <v>0</v>
      </c>
      <c r="L1404" s="1505"/>
      <c r="M1404" s="125"/>
      <c r="N1404" s="125"/>
      <c r="O1404" s="125"/>
      <c r="P1404" s="125"/>
    </row>
    <row r="1405" spans="1:16" ht="17.25" thickTop="1" thickBot="1">
      <c r="A1405" s="1506" t="s">
        <v>373</v>
      </c>
      <c r="B1405" s="1507"/>
      <c r="C1405" s="1504">
        <v>0</v>
      </c>
      <c r="D1405" s="1505"/>
      <c r="E1405" s="1504">
        <v>0</v>
      </c>
      <c r="F1405" s="1505"/>
      <c r="G1405" s="1504">
        <v>0</v>
      </c>
      <c r="H1405" s="1505"/>
      <c r="I1405" s="1504">
        <v>0</v>
      </c>
      <c r="J1405" s="1505"/>
      <c r="K1405" s="1504">
        <v>0</v>
      </c>
      <c r="L1405" s="1505"/>
      <c r="M1405" s="125"/>
      <c r="N1405" s="125"/>
      <c r="O1405" s="125"/>
      <c r="P1405" s="125"/>
    </row>
    <row r="1406" spans="1:16" ht="17.25" thickTop="1" thickBot="1">
      <c r="A1406" s="1506" t="s">
        <v>374</v>
      </c>
      <c r="B1406" s="1507"/>
      <c r="C1406" s="1504">
        <v>0</v>
      </c>
      <c r="D1406" s="1505"/>
      <c r="E1406" s="1504">
        <v>0</v>
      </c>
      <c r="F1406" s="1505"/>
      <c r="G1406" s="1504">
        <v>0</v>
      </c>
      <c r="H1406" s="1505"/>
      <c r="I1406" s="1504">
        <v>0</v>
      </c>
      <c r="J1406" s="1505"/>
      <c r="K1406" s="1504">
        <v>0</v>
      </c>
      <c r="L1406" s="1505"/>
      <c r="M1406" s="125"/>
      <c r="N1406" s="125"/>
      <c r="O1406" s="125"/>
      <c r="P1406" s="125"/>
    </row>
    <row r="1407" spans="1:16" ht="17.25" thickTop="1" thickBot="1">
      <c r="A1407" s="1502" t="s">
        <v>375</v>
      </c>
      <c r="B1407" s="1503"/>
      <c r="C1407" s="1504">
        <v>0</v>
      </c>
      <c r="D1407" s="1505"/>
      <c r="E1407" s="1504">
        <v>0</v>
      </c>
      <c r="F1407" s="1505"/>
      <c r="G1407" s="1504">
        <v>0</v>
      </c>
      <c r="H1407" s="1505"/>
      <c r="I1407" s="1504">
        <v>0</v>
      </c>
      <c r="J1407" s="1505"/>
      <c r="K1407" s="1504">
        <v>0</v>
      </c>
      <c r="L1407" s="1505"/>
      <c r="M1407" s="125"/>
      <c r="N1407" s="125"/>
      <c r="O1407" s="125"/>
      <c r="P1407" s="125"/>
    </row>
    <row r="1408" spans="1:16" ht="17.25" thickTop="1" thickBot="1">
      <c r="A1408" s="32"/>
      <c r="B1408" s="32"/>
      <c r="C1408" s="32"/>
      <c r="D1408" s="32"/>
      <c r="E1408" s="32"/>
      <c r="F1408" s="32"/>
      <c r="G1408" s="32"/>
      <c r="H1408" s="32"/>
      <c r="I1408" s="45"/>
      <c r="J1408" s="45"/>
      <c r="K1408" s="32"/>
      <c r="L1408" s="32"/>
      <c r="M1408" s="125"/>
      <c r="N1408" s="125"/>
      <c r="O1408" s="125"/>
      <c r="P1408" s="125"/>
    </row>
    <row r="1409" spans="1:16" ht="17.25" thickTop="1" thickBot="1">
      <c r="A1409" s="1508" t="s">
        <v>376</v>
      </c>
      <c r="B1409" s="1509"/>
      <c r="C1409" s="1504">
        <v>0</v>
      </c>
      <c r="D1409" s="1505"/>
      <c r="E1409" s="1504">
        <v>0</v>
      </c>
      <c r="F1409" s="1505"/>
      <c r="G1409" s="1504">
        <v>0</v>
      </c>
      <c r="H1409" s="1505"/>
      <c r="I1409" s="1504">
        <v>0</v>
      </c>
      <c r="J1409" s="1505"/>
      <c r="K1409" s="1504">
        <v>0</v>
      </c>
      <c r="L1409" s="1505"/>
      <c r="M1409" s="125"/>
      <c r="N1409" s="125"/>
      <c r="O1409" s="125"/>
      <c r="P1409" s="125"/>
    </row>
    <row r="1410" spans="1:16" ht="17.25" thickTop="1" thickBot="1">
      <c r="A1410" s="1506" t="s">
        <v>377</v>
      </c>
      <c r="B1410" s="1507"/>
      <c r="C1410" s="1504">
        <v>0</v>
      </c>
      <c r="D1410" s="1505"/>
      <c r="E1410" s="1504">
        <v>0</v>
      </c>
      <c r="F1410" s="1505"/>
      <c r="G1410" s="1504">
        <v>0</v>
      </c>
      <c r="H1410" s="1505"/>
      <c r="I1410" s="1504">
        <v>0</v>
      </c>
      <c r="J1410" s="1505"/>
      <c r="K1410" s="1504">
        <v>0</v>
      </c>
      <c r="L1410" s="1505"/>
      <c r="M1410" s="125"/>
      <c r="N1410" s="125"/>
      <c r="O1410" s="125"/>
      <c r="P1410" s="125"/>
    </row>
    <row r="1411" spans="1:16" ht="17.25" thickTop="1" thickBot="1">
      <c r="A1411" s="1506" t="s">
        <v>378</v>
      </c>
      <c r="B1411" s="1507"/>
      <c r="C1411" s="1504">
        <v>0</v>
      </c>
      <c r="D1411" s="1505"/>
      <c r="E1411" s="1504">
        <v>0</v>
      </c>
      <c r="F1411" s="1505"/>
      <c r="G1411" s="1504">
        <v>0</v>
      </c>
      <c r="H1411" s="1505"/>
      <c r="I1411" s="1504">
        <v>0</v>
      </c>
      <c r="J1411" s="1505"/>
      <c r="K1411" s="1504">
        <v>0</v>
      </c>
      <c r="L1411" s="1505"/>
      <c r="M1411" s="125"/>
      <c r="N1411" s="125"/>
      <c r="O1411" s="125"/>
      <c r="P1411" s="125"/>
    </row>
    <row r="1412" spans="1:16" ht="17.25" thickTop="1" thickBot="1">
      <c r="A1412" s="1502" t="s">
        <v>379</v>
      </c>
      <c r="B1412" s="1503"/>
      <c r="C1412" s="1504">
        <v>0</v>
      </c>
      <c r="D1412" s="1505"/>
      <c r="E1412" s="1504">
        <v>0</v>
      </c>
      <c r="F1412" s="1505"/>
      <c r="G1412" s="1504">
        <v>0</v>
      </c>
      <c r="H1412" s="1505"/>
      <c r="I1412" s="1504">
        <v>0</v>
      </c>
      <c r="J1412" s="1505"/>
      <c r="K1412" s="1504" t="s">
        <v>380</v>
      </c>
      <c r="L1412" s="1505"/>
      <c r="M1412" s="125"/>
      <c r="N1412" s="125"/>
      <c r="O1412" s="125"/>
      <c r="P1412" s="125"/>
    </row>
    <row r="1413" spans="1:16" ht="17.25" thickTop="1" thickBot="1">
      <c r="A1413" s="32"/>
      <c r="B1413" s="32"/>
      <c r="C1413" s="32"/>
      <c r="D1413" s="32"/>
      <c r="E1413" s="32"/>
      <c r="F1413" s="32"/>
      <c r="G1413" s="32"/>
      <c r="H1413" s="32"/>
      <c r="I1413" s="32"/>
      <c r="J1413" s="32"/>
      <c r="K1413" s="32"/>
      <c r="L1413" s="32"/>
      <c r="M1413" s="125"/>
      <c r="N1413" s="125"/>
      <c r="O1413" s="125"/>
      <c r="P1413" s="125"/>
    </row>
    <row r="1414" spans="1:16" ht="16.5" thickTop="1">
      <c r="A1414" s="35" t="s">
        <v>381</v>
      </c>
      <c r="B1414" s="36" t="s">
        <v>380</v>
      </c>
      <c r="C1414" s="36" t="s">
        <v>380</v>
      </c>
      <c r="D1414" s="36" t="s">
        <v>380</v>
      </c>
      <c r="E1414" s="36" t="s">
        <v>380</v>
      </c>
      <c r="F1414" s="36" t="s">
        <v>380</v>
      </c>
      <c r="G1414" s="36" t="s">
        <v>380</v>
      </c>
      <c r="H1414" s="36" t="s">
        <v>380</v>
      </c>
      <c r="I1414" s="36" t="s">
        <v>380</v>
      </c>
      <c r="J1414" s="36" t="s">
        <v>380</v>
      </c>
      <c r="K1414" s="36" t="s">
        <v>380</v>
      </c>
      <c r="L1414" s="36" t="s">
        <v>380</v>
      </c>
      <c r="M1414" s="125"/>
      <c r="N1414" s="125"/>
      <c r="O1414" s="125"/>
      <c r="P1414" s="125"/>
    </row>
    <row r="1415" spans="1:16" ht="15.75">
      <c r="A1415" s="37" t="s">
        <v>388</v>
      </c>
      <c r="B1415" s="38" t="s">
        <v>380</v>
      </c>
      <c r="C1415" s="38" t="s">
        <v>380</v>
      </c>
      <c r="D1415" s="38" t="s">
        <v>380</v>
      </c>
      <c r="E1415" s="38" t="s">
        <v>380</v>
      </c>
      <c r="F1415" s="38" t="s">
        <v>380</v>
      </c>
      <c r="G1415" s="38" t="s">
        <v>380</v>
      </c>
      <c r="H1415" s="38" t="s">
        <v>380</v>
      </c>
      <c r="I1415" s="38" t="s">
        <v>380</v>
      </c>
      <c r="J1415" s="38" t="s">
        <v>380</v>
      </c>
      <c r="K1415" s="38" t="s">
        <v>380</v>
      </c>
      <c r="L1415" s="38" t="s">
        <v>380</v>
      </c>
      <c r="M1415" s="125"/>
      <c r="N1415" s="125"/>
      <c r="O1415" s="125"/>
      <c r="P1415" s="125"/>
    </row>
    <row r="1416" spans="1:16" ht="15.75">
      <c r="A1416" s="37" t="s">
        <v>394</v>
      </c>
      <c r="B1416" s="40" t="s">
        <v>380</v>
      </c>
      <c r="C1416" s="40" t="s">
        <v>380</v>
      </c>
      <c r="D1416" s="40" t="s">
        <v>380</v>
      </c>
      <c r="E1416" s="40" t="s">
        <v>380</v>
      </c>
      <c r="F1416" s="40" t="s">
        <v>380</v>
      </c>
      <c r="G1416" s="40" t="s">
        <v>380</v>
      </c>
      <c r="H1416" s="40" t="s">
        <v>380</v>
      </c>
      <c r="I1416" s="40" t="s">
        <v>380</v>
      </c>
      <c r="J1416" s="40" t="s">
        <v>380</v>
      </c>
      <c r="K1416" s="40" t="s">
        <v>380</v>
      </c>
      <c r="L1416" s="40" t="s">
        <v>380</v>
      </c>
      <c r="M1416" s="125"/>
      <c r="N1416" s="125"/>
      <c r="O1416" s="125"/>
      <c r="P1416" s="125"/>
    </row>
    <row r="1417" spans="1:16" ht="15.75">
      <c r="A1417" s="37" t="s">
        <v>397</v>
      </c>
      <c r="B1417" s="41" t="s">
        <v>380</v>
      </c>
      <c r="C1417" s="41" t="s">
        <v>380</v>
      </c>
      <c r="D1417" s="41" t="s">
        <v>380</v>
      </c>
      <c r="E1417" s="41" t="s">
        <v>380</v>
      </c>
      <c r="F1417" s="41" t="s">
        <v>380</v>
      </c>
      <c r="G1417" s="41" t="s">
        <v>380</v>
      </c>
      <c r="H1417" s="41" t="s">
        <v>380</v>
      </c>
      <c r="I1417" s="41" t="s">
        <v>380</v>
      </c>
      <c r="J1417" s="41" t="s">
        <v>380</v>
      </c>
      <c r="K1417" s="41" t="s">
        <v>380</v>
      </c>
      <c r="L1417" s="41" t="s">
        <v>380</v>
      </c>
      <c r="M1417" s="125"/>
      <c r="N1417" s="125"/>
      <c r="O1417" s="125"/>
      <c r="P1417" s="125"/>
    </row>
    <row r="1418" spans="1:16" ht="16.5" thickBot="1">
      <c r="A1418" s="42" t="s">
        <v>343</v>
      </c>
      <c r="B1418" s="41" t="s">
        <v>380</v>
      </c>
      <c r="C1418" s="41" t="s">
        <v>380</v>
      </c>
      <c r="D1418" s="41" t="s">
        <v>380</v>
      </c>
      <c r="E1418" s="41" t="s">
        <v>380</v>
      </c>
      <c r="F1418" s="41" t="s">
        <v>380</v>
      </c>
      <c r="G1418" s="41" t="s">
        <v>380</v>
      </c>
      <c r="H1418" s="41" t="s">
        <v>380</v>
      </c>
      <c r="I1418" s="41" t="s">
        <v>380</v>
      </c>
      <c r="J1418" s="41" t="s">
        <v>380</v>
      </c>
      <c r="K1418" s="41" t="s">
        <v>380</v>
      </c>
      <c r="L1418" s="41" t="s">
        <v>380</v>
      </c>
      <c r="M1418" s="125"/>
      <c r="N1418" s="125"/>
      <c r="O1418" s="125"/>
      <c r="P1418" s="125"/>
    </row>
    <row r="1419" spans="1:16" ht="17.25" thickTop="1" thickBot="1">
      <c r="A1419" s="32"/>
      <c r="B1419" s="32"/>
      <c r="C1419" s="32"/>
      <c r="D1419" s="32"/>
      <c r="E1419" s="32"/>
      <c r="F1419" s="32"/>
      <c r="G1419" s="32"/>
      <c r="H1419" s="32"/>
      <c r="I1419" s="32"/>
      <c r="J1419" s="32"/>
      <c r="K1419" s="32"/>
      <c r="L1419" s="32"/>
      <c r="M1419" s="125"/>
      <c r="N1419" s="125"/>
      <c r="O1419" s="125"/>
      <c r="P1419" s="125"/>
    </row>
    <row r="1420" spans="1:16" ht="19.5" thickTop="1" thickBot="1">
      <c r="A1420" s="35" t="s">
        <v>399</v>
      </c>
      <c r="B1420" s="1494" t="s">
        <v>380</v>
      </c>
      <c r="C1420" s="1495"/>
      <c r="D1420" s="1494" t="s">
        <v>380</v>
      </c>
      <c r="E1420" s="1496"/>
      <c r="F1420" s="32"/>
      <c r="G1420" s="32"/>
      <c r="H1420" s="32"/>
      <c r="I1420" s="32"/>
      <c r="J1420" s="32"/>
      <c r="K1420" s="31"/>
      <c r="L1420" s="31"/>
      <c r="M1420" s="125"/>
      <c r="N1420" s="125"/>
      <c r="O1420" s="125"/>
      <c r="P1420" s="125"/>
    </row>
    <row r="1421" spans="1:16" ht="18.75" thickBot="1">
      <c r="A1421" s="37" t="s">
        <v>400</v>
      </c>
      <c r="B1421" s="1497" t="s">
        <v>380</v>
      </c>
      <c r="C1421" s="1498"/>
      <c r="D1421" s="1497" t="s">
        <v>380</v>
      </c>
      <c r="E1421" s="1499"/>
      <c r="F1421" s="31" t="s">
        <v>401</v>
      </c>
      <c r="G1421" s="1500" t="s">
        <v>402</v>
      </c>
      <c r="H1421" s="1500"/>
      <c r="I1421" s="31" t="s">
        <v>403</v>
      </c>
      <c r="J1421" s="1501">
        <v>42610.364183217593</v>
      </c>
      <c r="K1421" s="1501"/>
      <c r="L1421" s="1501"/>
      <c r="M1421" s="125"/>
      <c r="N1421" s="125"/>
      <c r="O1421" s="125"/>
      <c r="P1421" s="125"/>
    </row>
    <row r="1422" spans="1:16" ht="18.75" thickBot="1">
      <c r="A1422" s="42" t="s">
        <v>404</v>
      </c>
      <c r="B1422" s="1491" t="s">
        <v>380</v>
      </c>
      <c r="C1422" s="1492"/>
      <c r="D1422" s="1491" t="s">
        <v>380</v>
      </c>
      <c r="E1422" s="1493"/>
      <c r="F1422" s="32"/>
      <c r="G1422" s="31"/>
      <c r="H1422" s="31" t="s">
        <v>405</v>
      </c>
      <c r="I1422" s="31"/>
      <c r="J1422" s="32"/>
      <c r="K1422" s="31"/>
      <c r="L1422" s="31"/>
      <c r="M1422" s="125"/>
      <c r="N1422" s="125"/>
      <c r="O1422" s="125"/>
      <c r="P1422" s="125"/>
    </row>
    <row r="1423" spans="1:16" ht="18.75" thickTop="1">
      <c r="A1423" s="32"/>
      <c r="B1423" s="32"/>
      <c r="C1423" s="32"/>
      <c r="D1423" s="32"/>
      <c r="E1423" s="32"/>
      <c r="F1423" s="31"/>
      <c r="G1423" s="31"/>
      <c r="H1423" s="44" t="s">
        <v>406</v>
      </c>
      <c r="I1423" s="31"/>
      <c r="J1423" s="31"/>
      <c r="K1423" s="32"/>
      <c r="L1423" s="32"/>
      <c r="M1423" s="125"/>
      <c r="N1423" s="125"/>
      <c r="O1423" s="125"/>
      <c r="P1423" s="125"/>
    </row>
    <row r="1424" spans="1:16" ht="18">
      <c r="A1424" s="32"/>
      <c r="B1424" s="32"/>
      <c r="C1424" s="32"/>
      <c r="D1424" s="32"/>
      <c r="E1424" s="32"/>
      <c r="F1424" s="31"/>
      <c r="G1424" s="31"/>
      <c r="H1424" s="32"/>
      <c r="I1424" s="31"/>
      <c r="J1424" s="32"/>
      <c r="K1424" s="32"/>
      <c r="L1424" s="32"/>
      <c r="M1424" s="125"/>
      <c r="N1424" s="125"/>
      <c r="O1424" s="125"/>
      <c r="P1424" s="125"/>
    </row>
    <row r="1425" spans="1:16" ht="18">
      <c r="A1425" s="31" t="s">
        <v>78</v>
      </c>
      <c r="B1425" s="31"/>
      <c r="C1425" s="31"/>
      <c r="D1425" s="31"/>
      <c r="E1425" s="31"/>
      <c r="F1425" s="31"/>
      <c r="G1425" s="31"/>
      <c r="H1425" s="31"/>
      <c r="I1425" s="31"/>
      <c r="J1425" s="31"/>
      <c r="K1425" s="31"/>
      <c r="L1425" s="31"/>
      <c r="M1425" s="125"/>
      <c r="N1425" s="125"/>
      <c r="O1425" s="125"/>
      <c r="P1425" s="125"/>
    </row>
    <row r="1426" spans="1:16" ht="18">
      <c r="A1426" s="31" t="s">
        <v>79</v>
      </c>
      <c r="B1426" s="31"/>
      <c r="C1426" s="31"/>
      <c r="D1426" s="31"/>
      <c r="E1426" s="31"/>
      <c r="F1426" s="31"/>
      <c r="G1426" s="31"/>
      <c r="H1426" s="31"/>
      <c r="I1426" s="31"/>
      <c r="J1426" s="31"/>
      <c r="K1426" s="31"/>
      <c r="L1426" s="31"/>
      <c r="M1426" s="125"/>
      <c r="N1426" s="125"/>
      <c r="O1426" s="125"/>
      <c r="P1426" s="125"/>
    </row>
    <row r="1427" spans="1:16" ht="18">
      <c r="A1427" s="30" t="s">
        <v>220</v>
      </c>
      <c r="B1427" s="31"/>
      <c r="C1427" s="31"/>
      <c r="D1427" s="31"/>
      <c r="E1427" s="31"/>
      <c r="F1427" s="31"/>
      <c r="G1427" s="31"/>
      <c r="H1427" s="31"/>
      <c r="I1427" s="31"/>
      <c r="J1427" s="31"/>
      <c r="K1427" s="31"/>
      <c r="L1427" s="31"/>
      <c r="M1427" s="125"/>
      <c r="N1427" s="125"/>
      <c r="O1427" s="125"/>
      <c r="P1427" s="125"/>
    </row>
    <row r="1428" spans="1:16" ht="18">
      <c r="A1428" s="30" t="s">
        <v>361</v>
      </c>
      <c r="B1428" s="31"/>
      <c r="C1428" s="31"/>
      <c r="D1428" s="31"/>
      <c r="E1428" s="31"/>
      <c r="F1428" s="31"/>
      <c r="G1428" s="31"/>
      <c r="H1428" s="31"/>
      <c r="I1428" s="31"/>
      <c r="J1428" s="31"/>
      <c r="K1428" s="31"/>
      <c r="L1428" s="31"/>
      <c r="M1428" s="125"/>
      <c r="N1428" s="125"/>
      <c r="O1428" s="125"/>
      <c r="P1428" s="125"/>
    </row>
    <row r="1429" spans="1:16" ht="18.75" thickBot="1">
      <c r="A1429" s="31"/>
      <c r="B1429" s="31"/>
      <c r="C1429" s="31"/>
      <c r="D1429" s="31"/>
      <c r="E1429" s="31"/>
      <c r="F1429" s="31"/>
      <c r="G1429" s="31"/>
      <c r="H1429" s="31"/>
      <c r="I1429" s="31"/>
      <c r="J1429" s="31"/>
      <c r="K1429" s="31"/>
      <c r="L1429" s="31"/>
      <c r="M1429" s="125"/>
      <c r="N1429" s="125"/>
      <c r="O1429" s="125"/>
      <c r="P1429" s="125"/>
    </row>
    <row r="1430" spans="1:16" ht="24" thickBot="1">
      <c r="A1430" s="31"/>
      <c r="B1430" s="31"/>
      <c r="C1430" s="72" t="s">
        <v>362</v>
      </c>
      <c r="D1430" s="73"/>
      <c r="E1430" s="73"/>
      <c r="F1430" s="73"/>
      <c r="G1430" s="74"/>
      <c r="H1430" s="48" t="s">
        <v>440</v>
      </c>
      <c r="I1430" s="49"/>
      <c r="J1430" s="31"/>
      <c r="K1430" s="31"/>
      <c r="L1430" s="31"/>
      <c r="M1430" s="125"/>
      <c r="N1430" s="125"/>
      <c r="O1430" s="125"/>
      <c r="P1430" s="125"/>
    </row>
    <row r="1431" spans="1:16" ht="18">
      <c r="A1431" s="31"/>
      <c r="B1431" s="31"/>
      <c r="C1431" s="31"/>
      <c r="D1431" s="31"/>
      <c r="E1431" s="31"/>
      <c r="F1431" s="31"/>
      <c r="G1431" s="31"/>
      <c r="H1431" s="31"/>
      <c r="I1431" s="31"/>
      <c r="J1431" s="31"/>
      <c r="K1431" s="31"/>
      <c r="L1431" s="31"/>
      <c r="M1431" s="125"/>
      <c r="N1431" s="125"/>
      <c r="O1431" s="125"/>
      <c r="P1431" s="125"/>
    </row>
    <row r="1432" spans="1:16" ht="18">
      <c r="A1432" s="30" t="s">
        <v>363</v>
      </c>
      <c r="B1432" s="31"/>
      <c r="C1432" s="31" t="s">
        <v>380</v>
      </c>
      <c r="D1432" s="31"/>
      <c r="E1432" s="31"/>
      <c r="F1432" s="31"/>
      <c r="G1432" s="31" t="s">
        <v>364</v>
      </c>
      <c r="H1432" s="31"/>
      <c r="I1432" s="31" t="s">
        <v>380</v>
      </c>
      <c r="J1432" s="31"/>
      <c r="K1432" s="31"/>
      <c r="L1432" s="31"/>
      <c r="M1432" s="125"/>
      <c r="N1432" s="125"/>
      <c r="O1432" s="125"/>
      <c r="P1432" s="125"/>
    </row>
    <row r="1433" spans="1:16" ht="18.75" thickBot="1">
      <c r="A1433" s="30" t="s">
        <v>365</v>
      </c>
      <c r="B1433" s="31"/>
      <c r="C1433" s="31" t="s">
        <v>380</v>
      </c>
      <c r="D1433" s="31"/>
      <c r="E1433" s="31"/>
      <c r="F1433" s="31"/>
      <c r="G1433" s="31" t="s">
        <v>366</v>
      </c>
      <c r="H1433" s="31"/>
      <c r="I1433" s="31" t="s">
        <v>441</v>
      </c>
      <c r="J1433" s="31"/>
      <c r="K1433" s="31"/>
      <c r="L1433" s="31"/>
      <c r="M1433" s="125"/>
      <c r="N1433" s="125"/>
      <c r="O1433" s="125"/>
      <c r="P1433" s="125"/>
    </row>
    <row r="1434" spans="1:16" ht="17.25" thickTop="1" thickBot="1">
      <c r="A1434" s="50" t="s">
        <v>367</v>
      </c>
      <c r="B1434" s="51"/>
      <c r="C1434" s="52" t="s">
        <v>360</v>
      </c>
      <c r="D1434" s="51"/>
      <c r="E1434" s="52" t="s">
        <v>368</v>
      </c>
      <c r="F1434" s="51"/>
      <c r="G1434" s="52" t="s">
        <v>369</v>
      </c>
      <c r="H1434" s="51"/>
      <c r="I1434" s="52" t="s">
        <v>370</v>
      </c>
      <c r="J1434" s="51"/>
      <c r="K1434" s="52" t="s">
        <v>371</v>
      </c>
      <c r="L1434" s="53"/>
      <c r="M1434" s="125"/>
      <c r="N1434" s="125"/>
      <c r="O1434" s="125"/>
      <c r="P1434" s="125"/>
    </row>
    <row r="1435" spans="1:16" ht="17.25" thickTop="1" thickBot="1">
      <c r="A1435" s="56" t="s">
        <v>372</v>
      </c>
      <c r="B1435" s="57"/>
      <c r="C1435" s="60">
        <v>0</v>
      </c>
      <c r="D1435" s="61"/>
      <c r="E1435" s="60">
        <v>0</v>
      </c>
      <c r="F1435" s="61"/>
      <c r="G1435" s="60">
        <v>0</v>
      </c>
      <c r="H1435" s="61"/>
      <c r="I1435" s="60">
        <v>0</v>
      </c>
      <c r="J1435" s="61"/>
      <c r="K1435" s="60">
        <v>0</v>
      </c>
      <c r="L1435" s="61"/>
      <c r="M1435" s="125"/>
      <c r="N1435" s="125"/>
      <c r="O1435" s="125"/>
      <c r="P1435" s="125"/>
    </row>
    <row r="1436" spans="1:16" ht="17.25" thickTop="1" thickBot="1">
      <c r="A1436" s="56" t="s">
        <v>373</v>
      </c>
      <c r="B1436" s="57"/>
      <c r="C1436" s="60">
        <v>0</v>
      </c>
      <c r="D1436" s="61"/>
      <c r="E1436" s="60">
        <v>0</v>
      </c>
      <c r="F1436" s="61"/>
      <c r="G1436" s="60">
        <v>0</v>
      </c>
      <c r="H1436" s="61"/>
      <c r="I1436" s="60">
        <v>0</v>
      </c>
      <c r="J1436" s="61"/>
      <c r="K1436" s="60">
        <v>0</v>
      </c>
      <c r="L1436" s="61"/>
      <c r="M1436" s="125"/>
      <c r="N1436" s="125"/>
      <c r="O1436" s="125"/>
      <c r="P1436" s="125"/>
    </row>
    <row r="1437" spans="1:16" ht="17.25" thickTop="1" thickBot="1">
      <c r="A1437" s="56" t="s">
        <v>374</v>
      </c>
      <c r="B1437" s="57"/>
      <c r="C1437" s="60">
        <v>0</v>
      </c>
      <c r="D1437" s="61"/>
      <c r="E1437" s="60">
        <v>0</v>
      </c>
      <c r="F1437" s="61"/>
      <c r="G1437" s="60">
        <v>0</v>
      </c>
      <c r="H1437" s="61"/>
      <c r="I1437" s="60">
        <v>0</v>
      </c>
      <c r="J1437" s="61"/>
      <c r="K1437" s="60">
        <v>0</v>
      </c>
      <c r="L1437" s="61"/>
      <c r="M1437" s="125"/>
      <c r="N1437" s="125"/>
      <c r="O1437" s="125"/>
      <c r="P1437" s="125"/>
    </row>
    <row r="1438" spans="1:16" ht="17.25" thickTop="1" thickBot="1">
      <c r="A1438" s="75" t="s">
        <v>375</v>
      </c>
      <c r="B1438" s="76"/>
      <c r="C1438" s="60">
        <v>0</v>
      </c>
      <c r="D1438" s="61"/>
      <c r="E1438" s="60">
        <v>0</v>
      </c>
      <c r="F1438" s="61"/>
      <c r="G1438" s="60">
        <v>0</v>
      </c>
      <c r="H1438" s="61"/>
      <c r="I1438" s="60">
        <v>0</v>
      </c>
      <c r="J1438" s="61"/>
      <c r="K1438" s="60">
        <v>0</v>
      </c>
      <c r="L1438" s="61"/>
      <c r="M1438" s="125"/>
      <c r="N1438" s="125"/>
      <c r="O1438" s="125"/>
      <c r="P1438" s="125"/>
    </row>
    <row r="1439" spans="1:16" ht="17.25" thickTop="1" thickBot="1">
      <c r="A1439" s="32"/>
      <c r="B1439" s="32"/>
      <c r="C1439" s="32"/>
      <c r="D1439" s="32"/>
      <c r="E1439" s="32"/>
      <c r="F1439" s="32"/>
      <c r="G1439" s="32"/>
      <c r="H1439" s="32"/>
      <c r="I1439" s="45"/>
      <c r="J1439" s="45"/>
      <c r="K1439" s="32"/>
      <c r="L1439" s="32"/>
      <c r="M1439" s="125"/>
      <c r="N1439" s="125"/>
      <c r="O1439" s="125"/>
      <c r="P1439" s="125"/>
    </row>
    <row r="1440" spans="1:16" ht="17.25" thickTop="1" thickBot="1">
      <c r="A1440" s="54" t="s">
        <v>376</v>
      </c>
      <c r="B1440" s="55"/>
      <c r="C1440" s="60">
        <v>0</v>
      </c>
      <c r="D1440" s="61"/>
      <c r="E1440" s="60">
        <v>0</v>
      </c>
      <c r="F1440" s="61"/>
      <c r="G1440" s="60">
        <v>0</v>
      </c>
      <c r="H1440" s="61"/>
      <c r="I1440" s="60">
        <v>0</v>
      </c>
      <c r="J1440" s="61"/>
      <c r="K1440" s="60">
        <v>0</v>
      </c>
      <c r="L1440" s="61"/>
      <c r="M1440" s="125"/>
      <c r="N1440" s="125"/>
      <c r="O1440" s="125"/>
      <c r="P1440" s="125"/>
    </row>
    <row r="1441" spans="1:16" ht="17.25" thickTop="1" thickBot="1">
      <c r="A1441" s="56" t="s">
        <v>377</v>
      </c>
      <c r="B1441" s="57"/>
      <c r="C1441" s="60">
        <v>0</v>
      </c>
      <c r="D1441" s="61"/>
      <c r="E1441" s="60">
        <v>0</v>
      </c>
      <c r="F1441" s="61"/>
      <c r="G1441" s="60">
        <v>0</v>
      </c>
      <c r="H1441" s="61"/>
      <c r="I1441" s="60">
        <v>0</v>
      </c>
      <c r="J1441" s="61"/>
      <c r="K1441" s="60">
        <v>0</v>
      </c>
      <c r="L1441" s="61"/>
      <c r="M1441" s="125"/>
      <c r="N1441" s="125"/>
      <c r="O1441" s="125"/>
      <c r="P1441" s="125"/>
    </row>
    <row r="1442" spans="1:16" ht="17.25" thickTop="1" thickBot="1">
      <c r="A1442" s="56" t="s">
        <v>378</v>
      </c>
      <c r="B1442" s="57"/>
      <c r="C1442" s="60">
        <v>0</v>
      </c>
      <c r="D1442" s="61"/>
      <c r="E1442" s="60">
        <v>0</v>
      </c>
      <c r="F1442" s="61"/>
      <c r="G1442" s="60">
        <v>0</v>
      </c>
      <c r="H1442" s="61"/>
      <c r="I1442" s="60">
        <v>0</v>
      </c>
      <c r="J1442" s="61"/>
      <c r="K1442" s="60">
        <v>0</v>
      </c>
      <c r="L1442" s="61"/>
      <c r="M1442" s="125"/>
      <c r="N1442" s="125"/>
      <c r="O1442" s="125"/>
      <c r="P1442" s="125"/>
    </row>
    <row r="1443" spans="1:16" ht="17.25" thickTop="1" thickBot="1">
      <c r="A1443" s="58" t="s">
        <v>379</v>
      </c>
      <c r="B1443" s="59"/>
      <c r="C1443" s="60">
        <v>0</v>
      </c>
      <c r="D1443" s="61"/>
      <c r="E1443" s="60">
        <v>0</v>
      </c>
      <c r="F1443" s="61"/>
      <c r="G1443" s="60">
        <v>0</v>
      </c>
      <c r="H1443" s="61"/>
      <c r="I1443" s="60">
        <v>0</v>
      </c>
      <c r="J1443" s="61"/>
      <c r="K1443" s="60" t="s">
        <v>380</v>
      </c>
      <c r="L1443" s="61"/>
      <c r="M1443" s="125"/>
      <c r="N1443" s="125"/>
      <c r="O1443" s="125"/>
      <c r="P1443" s="125"/>
    </row>
    <row r="1444" spans="1:16" ht="17.25" thickTop="1" thickBot="1">
      <c r="A1444" s="32"/>
      <c r="B1444" s="32"/>
      <c r="C1444" s="32"/>
      <c r="D1444" s="32"/>
      <c r="E1444" s="32"/>
      <c r="F1444" s="32"/>
      <c r="G1444" s="32"/>
      <c r="H1444" s="32"/>
      <c r="I1444" s="32"/>
      <c r="J1444" s="32"/>
      <c r="K1444" s="32"/>
      <c r="L1444" s="32"/>
      <c r="M1444" s="125"/>
      <c r="N1444" s="125"/>
      <c r="O1444" s="125"/>
      <c r="P1444" s="125"/>
    </row>
    <row r="1445" spans="1:16" ht="16.5" thickTop="1">
      <c r="A1445" s="35" t="s">
        <v>381</v>
      </c>
      <c r="B1445" s="36" t="s">
        <v>380</v>
      </c>
      <c r="C1445" s="36" t="s">
        <v>380</v>
      </c>
      <c r="D1445" s="36" t="s">
        <v>380</v>
      </c>
      <c r="E1445" s="36" t="s">
        <v>380</v>
      </c>
      <c r="F1445" s="36" t="s">
        <v>380</v>
      </c>
      <c r="G1445" s="36" t="s">
        <v>380</v>
      </c>
      <c r="H1445" s="36" t="s">
        <v>380</v>
      </c>
      <c r="I1445" s="36" t="s">
        <v>380</v>
      </c>
      <c r="J1445" s="36" t="s">
        <v>380</v>
      </c>
      <c r="K1445" s="36" t="s">
        <v>380</v>
      </c>
      <c r="L1445" s="36" t="s">
        <v>380</v>
      </c>
      <c r="M1445" s="125"/>
      <c r="N1445" s="125"/>
      <c r="O1445" s="125"/>
      <c r="P1445" s="125"/>
    </row>
    <row r="1446" spans="1:16" ht="15.75">
      <c r="A1446" s="37" t="s">
        <v>388</v>
      </c>
      <c r="B1446" s="38" t="s">
        <v>380</v>
      </c>
      <c r="C1446" s="38" t="s">
        <v>380</v>
      </c>
      <c r="D1446" s="38" t="s">
        <v>380</v>
      </c>
      <c r="E1446" s="38" t="s">
        <v>380</v>
      </c>
      <c r="F1446" s="38" t="s">
        <v>380</v>
      </c>
      <c r="G1446" s="38" t="s">
        <v>380</v>
      </c>
      <c r="H1446" s="38" t="s">
        <v>380</v>
      </c>
      <c r="I1446" s="38" t="s">
        <v>380</v>
      </c>
      <c r="J1446" s="38" t="s">
        <v>380</v>
      </c>
      <c r="K1446" s="38" t="s">
        <v>380</v>
      </c>
      <c r="L1446" s="38" t="s">
        <v>380</v>
      </c>
      <c r="M1446" s="125"/>
      <c r="N1446" s="125"/>
      <c r="O1446" s="125"/>
      <c r="P1446" s="125"/>
    </row>
    <row r="1447" spans="1:16" ht="15.75">
      <c r="A1447" s="37" t="s">
        <v>394</v>
      </c>
      <c r="B1447" s="40" t="s">
        <v>380</v>
      </c>
      <c r="C1447" s="40" t="s">
        <v>380</v>
      </c>
      <c r="D1447" s="40" t="s">
        <v>380</v>
      </c>
      <c r="E1447" s="40" t="s">
        <v>380</v>
      </c>
      <c r="F1447" s="40" t="s">
        <v>380</v>
      </c>
      <c r="G1447" s="40" t="s">
        <v>380</v>
      </c>
      <c r="H1447" s="40" t="s">
        <v>380</v>
      </c>
      <c r="I1447" s="40" t="s">
        <v>380</v>
      </c>
      <c r="J1447" s="40" t="s">
        <v>380</v>
      </c>
      <c r="K1447" s="40" t="s">
        <v>380</v>
      </c>
      <c r="L1447" s="40" t="s">
        <v>380</v>
      </c>
      <c r="M1447" s="125"/>
      <c r="N1447" s="125"/>
      <c r="O1447" s="125"/>
      <c r="P1447" s="125"/>
    </row>
    <row r="1448" spans="1:16" ht="15.75">
      <c r="A1448" s="37" t="s">
        <v>397</v>
      </c>
      <c r="B1448" s="41" t="s">
        <v>380</v>
      </c>
      <c r="C1448" s="41" t="s">
        <v>380</v>
      </c>
      <c r="D1448" s="41" t="s">
        <v>380</v>
      </c>
      <c r="E1448" s="41" t="s">
        <v>380</v>
      </c>
      <c r="F1448" s="41" t="s">
        <v>380</v>
      </c>
      <c r="G1448" s="41" t="s">
        <v>380</v>
      </c>
      <c r="H1448" s="41" t="s">
        <v>380</v>
      </c>
      <c r="I1448" s="41" t="s">
        <v>380</v>
      </c>
      <c r="J1448" s="41" t="s">
        <v>380</v>
      </c>
      <c r="K1448" s="41" t="s">
        <v>380</v>
      </c>
      <c r="L1448" s="41" t="s">
        <v>380</v>
      </c>
      <c r="M1448" s="125"/>
      <c r="N1448" s="125"/>
      <c r="O1448" s="125"/>
      <c r="P1448" s="125"/>
    </row>
    <row r="1449" spans="1:16" ht="16.5" thickBot="1">
      <c r="A1449" s="42" t="s">
        <v>343</v>
      </c>
      <c r="B1449" s="41" t="s">
        <v>380</v>
      </c>
      <c r="C1449" s="41" t="s">
        <v>380</v>
      </c>
      <c r="D1449" s="41" t="s">
        <v>380</v>
      </c>
      <c r="E1449" s="41" t="s">
        <v>380</v>
      </c>
      <c r="F1449" s="41" t="s">
        <v>380</v>
      </c>
      <c r="G1449" s="41" t="s">
        <v>380</v>
      </c>
      <c r="H1449" s="41" t="s">
        <v>380</v>
      </c>
      <c r="I1449" s="41" t="s">
        <v>380</v>
      </c>
      <c r="J1449" s="41" t="s">
        <v>380</v>
      </c>
      <c r="K1449" s="41" t="s">
        <v>380</v>
      </c>
      <c r="L1449" s="41" t="s">
        <v>380</v>
      </c>
      <c r="M1449" s="125"/>
      <c r="N1449" s="125"/>
      <c r="O1449" s="125"/>
      <c r="P1449" s="125"/>
    </row>
    <row r="1450" spans="1:16" ht="17.25" thickTop="1" thickBot="1">
      <c r="A1450" s="32"/>
      <c r="B1450" s="32"/>
      <c r="C1450" s="32"/>
      <c r="D1450" s="32"/>
      <c r="E1450" s="32"/>
      <c r="F1450" s="32"/>
      <c r="G1450" s="32"/>
      <c r="H1450" s="32"/>
      <c r="I1450" s="32"/>
      <c r="J1450" s="32"/>
      <c r="K1450" s="32"/>
      <c r="L1450" s="32"/>
      <c r="M1450" s="125"/>
      <c r="N1450" s="125"/>
      <c r="O1450" s="125"/>
      <c r="P1450" s="125"/>
    </row>
    <row r="1451" spans="1:16" ht="19.5" thickTop="1" thickBot="1">
      <c r="A1451" s="35" t="s">
        <v>399</v>
      </c>
      <c r="B1451" s="62" t="s">
        <v>380</v>
      </c>
      <c r="C1451" s="63"/>
      <c r="D1451" s="62" t="s">
        <v>380</v>
      </c>
      <c r="E1451" s="64"/>
      <c r="F1451" s="32"/>
      <c r="G1451" s="32"/>
      <c r="H1451" s="32"/>
      <c r="I1451" s="32"/>
      <c r="J1451" s="32"/>
      <c r="K1451" s="31"/>
      <c r="L1451" s="31"/>
      <c r="M1451" s="125"/>
      <c r="N1451" s="125"/>
      <c r="O1451" s="125"/>
      <c r="P1451" s="125"/>
    </row>
    <row r="1452" spans="1:16" ht="18.75" thickBot="1">
      <c r="A1452" s="37" t="s">
        <v>400</v>
      </c>
      <c r="B1452" s="65" t="s">
        <v>380</v>
      </c>
      <c r="C1452" s="66"/>
      <c r="D1452" s="65" t="s">
        <v>380</v>
      </c>
      <c r="E1452" s="67"/>
      <c r="F1452" s="31" t="s">
        <v>401</v>
      </c>
      <c r="G1452" s="31" t="s">
        <v>402</v>
      </c>
      <c r="H1452" s="31"/>
      <c r="I1452" s="31" t="s">
        <v>403</v>
      </c>
      <c r="J1452" s="68">
        <v>42610.364183217593</v>
      </c>
      <c r="K1452" s="68"/>
      <c r="L1452" s="68"/>
      <c r="M1452" s="125"/>
      <c r="N1452" s="125"/>
      <c r="O1452" s="125"/>
      <c r="P1452" s="125"/>
    </row>
    <row r="1453" spans="1:16" ht="18.75" thickBot="1">
      <c r="A1453" s="42" t="s">
        <v>404</v>
      </c>
      <c r="B1453" s="69" t="s">
        <v>380</v>
      </c>
      <c r="C1453" s="70"/>
      <c r="D1453" s="69" t="s">
        <v>380</v>
      </c>
      <c r="E1453" s="71"/>
      <c r="F1453" s="32"/>
      <c r="G1453" s="31"/>
      <c r="H1453" s="31" t="s">
        <v>405</v>
      </c>
      <c r="I1453" s="31"/>
      <c r="J1453" s="32"/>
      <c r="K1453" s="31"/>
      <c r="L1453" s="31"/>
      <c r="M1453" s="125"/>
      <c r="N1453" s="125"/>
      <c r="O1453" s="125"/>
      <c r="P1453" s="125"/>
    </row>
    <row r="1454" spans="1:16" ht="18.75" thickTop="1">
      <c r="A1454" s="32"/>
      <c r="B1454" s="32"/>
      <c r="C1454" s="32"/>
      <c r="D1454" s="32"/>
      <c r="E1454" s="32"/>
      <c r="F1454" s="31"/>
      <c r="G1454" s="31"/>
      <c r="H1454" s="44" t="s">
        <v>406</v>
      </c>
      <c r="I1454" s="31"/>
      <c r="J1454" s="31"/>
      <c r="K1454" s="32"/>
      <c r="L1454" s="32"/>
      <c r="M1454" s="125"/>
      <c r="N1454" s="125"/>
      <c r="O1454" s="125"/>
      <c r="P1454" s="125"/>
    </row>
  </sheetData>
  <mergeCells count="3130">
    <mergeCell ref="A10:B10"/>
    <mergeCell ref="C10:D10"/>
    <mergeCell ref="E10:F10"/>
    <mergeCell ref="G10:H10"/>
    <mergeCell ref="I10:J10"/>
    <mergeCell ref="K10:L10"/>
    <mergeCell ref="A1:L1"/>
    <mergeCell ref="A2:L2"/>
    <mergeCell ref="C6:G6"/>
    <mergeCell ref="H6:I6"/>
    <mergeCell ref="C8:E8"/>
    <mergeCell ref="I8:K8"/>
    <mergeCell ref="A13:B13"/>
    <mergeCell ref="C13:D13"/>
    <mergeCell ref="E13:F13"/>
    <mergeCell ref="G13:H13"/>
    <mergeCell ref="I13:J13"/>
    <mergeCell ref="K13:L13"/>
    <mergeCell ref="A12:B12"/>
    <mergeCell ref="C12:D12"/>
    <mergeCell ref="E12:F12"/>
    <mergeCell ref="G12:H12"/>
    <mergeCell ref="I12:J12"/>
    <mergeCell ref="K12:L12"/>
    <mergeCell ref="A11:B11"/>
    <mergeCell ref="C11:D11"/>
    <mergeCell ref="E11:F11"/>
    <mergeCell ref="G11:H11"/>
    <mergeCell ref="I11:J11"/>
    <mergeCell ref="K11:L11"/>
    <mergeCell ref="A17:B17"/>
    <mergeCell ref="C17:D17"/>
    <mergeCell ref="E17:F17"/>
    <mergeCell ref="G17:H17"/>
    <mergeCell ref="I17:J17"/>
    <mergeCell ref="K17:L17"/>
    <mergeCell ref="A16:B16"/>
    <mergeCell ref="C16:D16"/>
    <mergeCell ref="E16:F16"/>
    <mergeCell ref="G16:H16"/>
    <mergeCell ref="I16:J16"/>
    <mergeCell ref="K16:L16"/>
    <mergeCell ref="A14:B14"/>
    <mergeCell ref="C14:D14"/>
    <mergeCell ref="E14:F14"/>
    <mergeCell ref="G14:H14"/>
    <mergeCell ref="I14:J14"/>
    <mergeCell ref="K14:L14"/>
    <mergeCell ref="B27:C27"/>
    <mergeCell ref="D27:E27"/>
    <mergeCell ref="B28:C28"/>
    <mergeCell ref="D28:E28"/>
    <mergeCell ref="G28:H28"/>
    <mergeCell ref="J28:L28"/>
    <mergeCell ref="A19:B19"/>
    <mergeCell ref="C19:D19"/>
    <mergeCell ref="E19:F19"/>
    <mergeCell ref="G19:H19"/>
    <mergeCell ref="I19:J19"/>
    <mergeCell ref="K19:L19"/>
    <mergeCell ref="A18:B18"/>
    <mergeCell ref="C18:D18"/>
    <mergeCell ref="E18:F18"/>
    <mergeCell ref="G18:H18"/>
    <mergeCell ref="I18:J18"/>
    <mergeCell ref="K18:L18"/>
    <mergeCell ref="A42:B42"/>
    <mergeCell ref="C42:D42"/>
    <mergeCell ref="E42:F42"/>
    <mergeCell ref="G42:H42"/>
    <mergeCell ref="I42:J42"/>
    <mergeCell ref="K42:L42"/>
    <mergeCell ref="C39:E39"/>
    <mergeCell ref="I39:K39"/>
    <mergeCell ref="A41:B41"/>
    <mergeCell ref="C41:D41"/>
    <mergeCell ref="E41:F41"/>
    <mergeCell ref="G41:H41"/>
    <mergeCell ref="I41:J41"/>
    <mergeCell ref="K41:L41"/>
    <mergeCell ref="B29:C29"/>
    <mergeCell ref="D29:E29"/>
    <mergeCell ref="A32:L32"/>
    <mergeCell ref="A33:L33"/>
    <mergeCell ref="C37:G37"/>
    <mergeCell ref="H37:I37"/>
    <mergeCell ref="A45:B45"/>
    <mergeCell ref="C45:D45"/>
    <mergeCell ref="E45:F45"/>
    <mergeCell ref="G45:H45"/>
    <mergeCell ref="I45:J45"/>
    <mergeCell ref="K45:L45"/>
    <mergeCell ref="A44:B44"/>
    <mergeCell ref="C44:D44"/>
    <mergeCell ref="E44:F44"/>
    <mergeCell ref="G44:H44"/>
    <mergeCell ref="I44:J44"/>
    <mergeCell ref="K44:L44"/>
    <mergeCell ref="A43:B43"/>
    <mergeCell ref="C43:D43"/>
    <mergeCell ref="E43:F43"/>
    <mergeCell ref="G43:H43"/>
    <mergeCell ref="I43:J43"/>
    <mergeCell ref="K43:L43"/>
    <mergeCell ref="A49:B49"/>
    <mergeCell ref="C49:D49"/>
    <mergeCell ref="E49:F49"/>
    <mergeCell ref="G49:H49"/>
    <mergeCell ref="I49:J49"/>
    <mergeCell ref="K49:L49"/>
    <mergeCell ref="A48:B48"/>
    <mergeCell ref="C48:D48"/>
    <mergeCell ref="E48:F48"/>
    <mergeCell ref="G48:H48"/>
    <mergeCell ref="I48:J48"/>
    <mergeCell ref="K48:L48"/>
    <mergeCell ref="A47:B47"/>
    <mergeCell ref="C47:D47"/>
    <mergeCell ref="E47:F47"/>
    <mergeCell ref="G47:H47"/>
    <mergeCell ref="I47:J47"/>
    <mergeCell ref="K47:L47"/>
    <mergeCell ref="B60:C60"/>
    <mergeCell ref="D60:E60"/>
    <mergeCell ref="A63:L63"/>
    <mergeCell ref="A64:L64"/>
    <mergeCell ref="C68:G68"/>
    <mergeCell ref="H68:I68"/>
    <mergeCell ref="B58:C58"/>
    <mergeCell ref="D58:E58"/>
    <mergeCell ref="B59:C59"/>
    <mergeCell ref="D59:E59"/>
    <mergeCell ref="G59:H59"/>
    <mergeCell ref="J59:L59"/>
    <mergeCell ref="A50:B50"/>
    <mergeCell ref="C50:D50"/>
    <mergeCell ref="E50:F50"/>
    <mergeCell ref="G50:H50"/>
    <mergeCell ref="I50:J50"/>
    <mergeCell ref="K50:L50"/>
    <mergeCell ref="A74:B74"/>
    <mergeCell ref="C74:D74"/>
    <mergeCell ref="E74:F74"/>
    <mergeCell ref="G74:H74"/>
    <mergeCell ref="I74:J74"/>
    <mergeCell ref="K74:L74"/>
    <mergeCell ref="A73:B73"/>
    <mergeCell ref="C73:D73"/>
    <mergeCell ref="E73:F73"/>
    <mergeCell ref="G73:H73"/>
    <mergeCell ref="I73:J73"/>
    <mergeCell ref="K73:L73"/>
    <mergeCell ref="C70:E70"/>
    <mergeCell ref="I70:K70"/>
    <mergeCell ref="A72:B72"/>
    <mergeCell ref="C72:D72"/>
    <mergeCell ref="E72:F72"/>
    <mergeCell ref="G72:H72"/>
    <mergeCell ref="I72:J72"/>
    <mergeCell ref="K72:L72"/>
    <mergeCell ref="A78:B78"/>
    <mergeCell ref="C78:D78"/>
    <mergeCell ref="E78:F78"/>
    <mergeCell ref="G78:H78"/>
    <mergeCell ref="I78:J78"/>
    <mergeCell ref="K78:L78"/>
    <mergeCell ref="A76:B76"/>
    <mergeCell ref="C76:D76"/>
    <mergeCell ref="E76:F76"/>
    <mergeCell ref="G76:H76"/>
    <mergeCell ref="I76:J76"/>
    <mergeCell ref="K76:L76"/>
    <mergeCell ref="A75:B75"/>
    <mergeCell ref="C75:D75"/>
    <mergeCell ref="E75:F75"/>
    <mergeCell ref="G75:H75"/>
    <mergeCell ref="I75:J75"/>
    <mergeCell ref="K75:L75"/>
    <mergeCell ref="A81:B81"/>
    <mergeCell ref="C81:D81"/>
    <mergeCell ref="E81:F81"/>
    <mergeCell ref="G81:H81"/>
    <mergeCell ref="I81:J81"/>
    <mergeCell ref="K81:L81"/>
    <mergeCell ref="A80:B80"/>
    <mergeCell ref="C80:D80"/>
    <mergeCell ref="E80:F80"/>
    <mergeCell ref="G80:H80"/>
    <mergeCell ref="I80:J80"/>
    <mergeCell ref="K80:L80"/>
    <mergeCell ref="A79:B79"/>
    <mergeCell ref="C79:D79"/>
    <mergeCell ref="E79:F79"/>
    <mergeCell ref="G79:H79"/>
    <mergeCell ref="I79:J79"/>
    <mergeCell ref="K79:L79"/>
    <mergeCell ref="C101:E101"/>
    <mergeCell ref="I101:K101"/>
    <mergeCell ref="J102:K102"/>
    <mergeCell ref="A103:B103"/>
    <mergeCell ref="C103:D103"/>
    <mergeCell ref="E103:F103"/>
    <mergeCell ref="G103:H103"/>
    <mergeCell ref="I103:J103"/>
    <mergeCell ref="K103:L103"/>
    <mergeCell ref="B91:C91"/>
    <mergeCell ref="D91:E91"/>
    <mergeCell ref="A94:L94"/>
    <mergeCell ref="A95:L95"/>
    <mergeCell ref="C99:G99"/>
    <mergeCell ref="H99:I99"/>
    <mergeCell ref="B89:C89"/>
    <mergeCell ref="D89:E89"/>
    <mergeCell ref="B90:C90"/>
    <mergeCell ref="D90:E90"/>
    <mergeCell ref="G90:H90"/>
    <mergeCell ref="J90:L90"/>
    <mergeCell ref="A106:B106"/>
    <mergeCell ref="C106:D106"/>
    <mergeCell ref="E106:F106"/>
    <mergeCell ref="G106:H106"/>
    <mergeCell ref="I106:J106"/>
    <mergeCell ref="K106:L106"/>
    <mergeCell ref="A105:B105"/>
    <mergeCell ref="C105:D105"/>
    <mergeCell ref="E105:F105"/>
    <mergeCell ref="G105:H105"/>
    <mergeCell ref="I105:J105"/>
    <mergeCell ref="K105:L105"/>
    <mergeCell ref="A104:B104"/>
    <mergeCell ref="C104:D104"/>
    <mergeCell ref="E104:F104"/>
    <mergeCell ref="G104:H104"/>
    <mergeCell ref="I104:J104"/>
    <mergeCell ref="K104:L104"/>
    <mergeCell ref="A110:B110"/>
    <mergeCell ref="C110:D110"/>
    <mergeCell ref="E110:F110"/>
    <mergeCell ref="G110:H110"/>
    <mergeCell ref="I110:J110"/>
    <mergeCell ref="K110:L110"/>
    <mergeCell ref="A109:B109"/>
    <mergeCell ref="C109:D109"/>
    <mergeCell ref="E109:F109"/>
    <mergeCell ref="G109:H109"/>
    <mergeCell ref="I109:J109"/>
    <mergeCell ref="K109:L109"/>
    <mergeCell ref="A107:B107"/>
    <mergeCell ref="C107:D107"/>
    <mergeCell ref="E107:F107"/>
    <mergeCell ref="G107:H107"/>
    <mergeCell ref="I107:J107"/>
    <mergeCell ref="K107:L107"/>
    <mergeCell ref="B120:C120"/>
    <mergeCell ref="D120:E120"/>
    <mergeCell ref="B121:C121"/>
    <mergeCell ref="D121:E121"/>
    <mergeCell ref="G121:H121"/>
    <mergeCell ref="J121:L121"/>
    <mergeCell ref="A112:B112"/>
    <mergeCell ref="C112:D112"/>
    <mergeCell ref="E112:F112"/>
    <mergeCell ref="G112:H112"/>
    <mergeCell ref="I112:J112"/>
    <mergeCell ref="K112:L112"/>
    <mergeCell ref="A111:B111"/>
    <mergeCell ref="C111:D111"/>
    <mergeCell ref="E111:F111"/>
    <mergeCell ref="G111:H111"/>
    <mergeCell ref="I111:J111"/>
    <mergeCell ref="K111:L111"/>
    <mergeCell ref="A135:B135"/>
    <mergeCell ref="C135:D135"/>
    <mergeCell ref="E135:F135"/>
    <mergeCell ref="G135:H135"/>
    <mergeCell ref="I135:J135"/>
    <mergeCell ref="K135:L135"/>
    <mergeCell ref="C132:E132"/>
    <mergeCell ref="I132:K132"/>
    <mergeCell ref="A134:B134"/>
    <mergeCell ref="C134:D134"/>
    <mergeCell ref="E134:F134"/>
    <mergeCell ref="G134:H134"/>
    <mergeCell ref="I134:J134"/>
    <mergeCell ref="K134:L134"/>
    <mergeCell ref="B122:C122"/>
    <mergeCell ref="D122:E122"/>
    <mergeCell ref="A125:L125"/>
    <mergeCell ref="A126:L126"/>
    <mergeCell ref="C130:G130"/>
    <mergeCell ref="H130:I130"/>
    <mergeCell ref="A138:B138"/>
    <mergeCell ref="C138:D138"/>
    <mergeCell ref="E138:F138"/>
    <mergeCell ref="G138:H138"/>
    <mergeCell ref="I138:J138"/>
    <mergeCell ref="K138:L138"/>
    <mergeCell ref="A137:B137"/>
    <mergeCell ref="C137:D137"/>
    <mergeCell ref="E137:F137"/>
    <mergeCell ref="G137:H137"/>
    <mergeCell ref="I137:J137"/>
    <mergeCell ref="K137:L137"/>
    <mergeCell ref="A136:B136"/>
    <mergeCell ref="C136:D136"/>
    <mergeCell ref="E136:F136"/>
    <mergeCell ref="G136:H136"/>
    <mergeCell ref="I136:J136"/>
    <mergeCell ref="K136:L136"/>
    <mergeCell ref="A142:B142"/>
    <mergeCell ref="C142:D142"/>
    <mergeCell ref="E142:F142"/>
    <mergeCell ref="G142:H142"/>
    <mergeCell ref="I142:J142"/>
    <mergeCell ref="K142:L142"/>
    <mergeCell ref="A141:B141"/>
    <mergeCell ref="C141:D141"/>
    <mergeCell ref="E141:F141"/>
    <mergeCell ref="G141:H141"/>
    <mergeCell ref="I141:J141"/>
    <mergeCell ref="K141:L141"/>
    <mergeCell ref="A140:B140"/>
    <mergeCell ref="C140:D140"/>
    <mergeCell ref="E140:F140"/>
    <mergeCell ref="G140:H140"/>
    <mergeCell ref="I140:J140"/>
    <mergeCell ref="K140:L140"/>
    <mergeCell ref="B153:C153"/>
    <mergeCell ref="D153:E153"/>
    <mergeCell ref="A156:L156"/>
    <mergeCell ref="A157:L157"/>
    <mergeCell ref="C161:G161"/>
    <mergeCell ref="H161:I161"/>
    <mergeCell ref="B151:C151"/>
    <mergeCell ref="D151:E151"/>
    <mergeCell ref="B152:C152"/>
    <mergeCell ref="D152:E152"/>
    <mergeCell ref="G152:H152"/>
    <mergeCell ref="J152:L152"/>
    <mergeCell ref="A143:B143"/>
    <mergeCell ref="C143:D143"/>
    <mergeCell ref="E143:F143"/>
    <mergeCell ref="G143:H143"/>
    <mergeCell ref="I143:J143"/>
    <mergeCell ref="K143:L143"/>
    <mergeCell ref="A167:B167"/>
    <mergeCell ref="C167:D167"/>
    <mergeCell ref="E167:F167"/>
    <mergeCell ref="G167:H167"/>
    <mergeCell ref="I167:J167"/>
    <mergeCell ref="K167:L167"/>
    <mergeCell ref="A166:B166"/>
    <mergeCell ref="C166:D166"/>
    <mergeCell ref="E166:F166"/>
    <mergeCell ref="G166:H166"/>
    <mergeCell ref="I166:J166"/>
    <mergeCell ref="K166:L166"/>
    <mergeCell ref="C163:E163"/>
    <mergeCell ref="I163:K163"/>
    <mergeCell ref="A165:B165"/>
    <mergeCell ref="C165:D165"/>
    <mergeCell ref="E165:F165"/>
    <mergeCell ref="G165:H165"/>
    <mergeCell ref="I165:J165"/>
    <mergeCell ref="K165:L165"/>
    <mergeCell ref="A171:B171"/>
    <mergeCell ref="C171:D171"/>
    <mergeCell ref="E171:F171"/>
    <mergeCell ref="G171:H171"/>
    <mergeCell ref="I171:J171"/>
    <mergeCell ref="K171:L171"/>
    <mergeCell ref="A169:B169"/>
    <mergeCell ref="C169:D169"/>
    <mergeCell ref="E169:F169"/>
    <mergeCell ref="G169:H169"/>
    <mergeCell ref="I169:J169"/>
    <mergeCell ref="K169:L169"/>
    <mergeCell ref="A168:B168"/>
    <mergeCell ref="C168:D168"/>
    <mergeCell ref="E168:F168"/>
    <mergeCell ref="G168:H168"/>
    <mergeCell ref="I168:J168"/>
    <mergeCell ref="K168:L168"/>
    <mergeCell ref="A174:B174"/>
    <mergeCell ref="C174:D174"/>
    <mergeCell ref="E174:F174"/>
    <mergeCell ref="G174:H174"/>
    <mergeCell ref="I174:J174"/>
    <mergeCell ref="K174:L174"/>
    <mergeCell ref="A173:B173"/>
    <mergeCell ref="C173:D173"/>
    <mergeCell ref="E173:F173"/>
    <mergeCell ref="G173:H173"/>
    <mergeCell ref="I173:J173"/>
    <mergeCell ref="K173:L173"/>
    <mergeCell ref="A172:B172"/>
    <mergeCell ref="C172:D172"/>
    <mergeCell ref="E172:F172"/>
    <mergeCell ref="G172:H172"/>
    <mergeCell ref="I172:J172"/>
    <mergeCell ref="K172:L172"/>
    <mergeCell ref="C194:E194"/>
    <mergeCell ref="I194:K194"/>
    <mergeCell ref="A196:B196"/>
    <mergeCell ref="C196:D196"/>
    <mergeCell ref="E196:F196"/>
    <mergeCell ref="G196:H196"/>
    <mergeCell ref="I196:J196"/>
    <mergeCell ref="K196:L196"/>
    <mergeCell ref="B184:C184"/>
    <mergeCell ref="D184:E184"/>
    <mergeCell ref="A187:L187"/>
    <mergeCell ref="A188:L188"/>
    <mergeCell ref="C192:G192"/>
    <mergeCell ref="H192:I192"/>
    <mergeCell ref="B182:C182"/>
    <mergeCell ref="D182:E182"/>
    <mergeCell ref="B183:C183"/>
    <mergeCell ref="D183:E183"/>
    <mergeCell ref="G183:H183"/>
    <mergeCell ref="J183:L183"/>
    <mergeCell ref="A199:B199"/>
    <mergeCell ref="C199:D199"/>
    <mergeCell ref="E199:F199"/>
    <mergeCell ref="G199:H199"/>
    <mergeCell ref="I199:J199"/>
    <mergeCell ref="K199:L199"/>
    <mergeCell ref="A198:B198"/>
    <mergeCell ref="C198:D198"/>
    <mergeCell ref="E198:F198"/>
    <mergeCell ref="G198:H198"/>
    <mergeCell ref="I198:J198"/>
    <mergeCell ref="K198:L198"/>
    <mergeCell ref="A197:B197"/>
    <mergeCell ref="C197:D197"/>
    <mergeCell ref="E197:F197"/>
    <mergeCell ref="G197:H197"/>
    <mergeCell ref="I197:J197"/>
    <mergeCell ref="K197:L197"/>
    <mergeCell ref="A203:B203"/>
    <mergeCell ref="C203:D203"/>
    <mergeCell ref="E203:F203"/>
    <mergeCell ref="G203:H203"/>
    <mergeCell ref="I203:J203"/>
    <mergeCell ref="K203:L203"/>
    <mergeCell ref="A202:B202"/>
    <mergeCell ref="C202:D202"/>
    <mergeCell ref="E202:F202"/>
    <mergeCell ref="G202:H202"/>
    <mergeCell ref="I202:J202"/>
    <mergeCell ref="K202:L202"/>
    <mergeCell ref="A200:B200"/>
    <mergeCell ref="C200:D200"/>
    <mergeCell ref="E200:F200"/>
    <mergeCell ref="G200:H200"/>
    <mergeCell ref="I200:J200"/>
    <mergeCell ref="K200:L200"/>
    <mergeCell ref="B213:C213"/>
    <mergeCell ref="D213:E213"/>
    <mergeCell ref="B214:C214"/>
    <mergeCell ref="D214:E214"/>
    <mergeCell ref="G214:H214"/>
    <mergeCell ref="J214:L214"/>
    <mergeCell ref="A205:B205"/>
    <mergeCell ref="C205:D205"/>
    <mergeCell ref="E205:F205"/>
    <mergeCell ref="G205:H205"/>
    <mergeCell ref="I205:J205"/>
    <mergeCell ref="K205:L205"/>
    <mergeCell ref="A204:B204"/>
    <mergeCell ref="C204:D204"/>
    <mergeCell ref="E204:F204"/>
    <mergeCell ref="G204:H204"/>
    <mergeCell ref="I204:J204"/>
    <mergeCell ref="K204:L204"/>
    <mergeCell ref="A228:B228"/>
    <mergeCell ref="C228:D228"/>
    <mergeCell ref="E228:F228"/>
    <mergeCell ref="G228:H228"/>
    <mergeCell ref="I228:J228"/>
    <mergeCell ref="K228:L228"/>
    <mergeCell ref="C225:E225"/>
    <mergeCell ref="I225:K225"/>
    <mergeCell ref="A227:B227"/>
    <mergeCell ref="C227:D227"/>
    <mergeCell ref="E227:F227"/>
    <mergeCell ref="G227:H227"/>
    <mergeCell ref="I227:J227"/>
    <mergeCell ref="K227:L227"/>
    <mergeCell ref="B215:C215"/>
    <mergeCell ref="D215:E215"/>
    <mergeCell ref="A218:L218"/>
    <mergeCell ref="A219:L219"/>
    <mergeCell ref="C223:G223"/>
    <mergeCell ref="H223:I223"/>
    <mergeCell ref="A231:B231"/>
    <mergeCell ref="C231:D231"/>
    <mergeCell ref="E231:F231"/>
    <mergeCell ref="G231:H231"/>
    <mergeCell ref="I231:J231"/>
    <mergeCell ref="K231:L231"/>
    <mergeCell ref="A230:B230"/>
    <mergeCell ref="C230:D230"/>
    <mergeCell ref="E230:F230"/>
    <mergeCell ref="G230:H230"/>
    <mergeCell ref="I230:J230"/>
    <mergeCell ref="K230:L230"/>
    <mergeCell ref="A229:B229"/>
    <mergeCell ref="C229:D229"/>
    <mergeCell ref="E229:F229"/>
    <mergeCell ref="G229:H229"/>
    <mergeCell ref="I229:J229"/>
    <mergeCell ref="K229:L229"/>
    <mergeCell ref="A235:B235"/>
    <mergeCell ref="C235:D235"/>
    <mergeCell ref="E235:F235"/>
    <mergeCell ref="G235:H235"/>
    <mergeCell ref="I235:J235"/>
    <mergeCell ref="K235:L235"/>
    <mergeCell ref="A234:B234"/>
    <mergeCell ref="C234:D234"/>
    <mergeCell ref="E234:F234"/>
    <mergeCell ref="G234:H234"/>
    <mergeCell ref="I234:J234"/>
    <mergeCell ref="K234:L234"/>
    <mergeCell ref="A233:B233"/>
    <mergeCell ref="C233:D233"/>
    <mergeCell ref="E233:F233"/>
    <mergeCell ref="G233:H233"/>
    <mergeCell ref="I233:J233"/>
    <mergeCell ref="K233:L233"/>
    <mergeCell ref="B246:C246"/>
    <mergeCell ref="D246:E246"/>
    <mergeCell ref="A249:L249"/>
    <mergeCell ref="A250:L250"/>
    <mergeCell ref="C254:G254"/>
    <mergeCell ref="H254:I254"/>
    <mergeCell ref="B244:C244"/>
    <mergeCell ref="D244:E244"/>
    <mergeCell ref="B245:C245"/>
    <mergeCell ref="D245:E245"/>
    <mergeCell ref="G245:H245"/>
    <mergeCell ref="J245:L245"/>
    <mergeCell ref="A236:B236"/>
    <mergeCell ref="C236:D236"/>
    <mergeCell ref="E236:F236"/>
    <mergeCell ref="G236:H236"/>
    <mergeCell ref="I236:J236"/>
    <mergeCell ref="K236:L236"/>
    <mergeCell ref="A260:B260"/>
    <mergeCell ref="C260:D260"/>
    <mergeCell ref="E260:F260"/>
    <mergeCell ref="G260:H260"/>
    <mergeCell ref="I260:J260"/>
    <mergeCell ref="K260:L260"/>
    <mergeCell ref="A259:B259"/>
    <mergeCell ref="C259:D259"/>
    <mergeCell ref="E259:F259"/>
    <mergeCell ref="G259:H259"/>
    <mergeCell ref="I259:J259"/>
    <mergeCell ref="K259:L259"/>
    <mergeCell ref="C256:E256"/>
    <mergeCell ref="I256:K256"/>
    <mergeCell ref="A258:B258"/>
    <mergeCell ref="C258:D258"/>
    <mergeCell ref="E258:F258"/>
    <mergeCell ref="G258:H258"/>
    <mergeCell ref="I258:J258"/>
    <mergeCell ref="K258:L258"/>
    <mergeCell ref="A264:B264"/>
    <mergeCell ref="C264:D264"/>
    <mergeCell ref="E264:F264"/>
    <mergeCell ref="G264:H264"/>
    <mergeCell ref="I264:J264"/>
    <mergeCell ref="K264:L264"/>
    <mergeCell ref="A262:B262"/>
    <mergeCell ref="C262:D262"/>
    <mergeCell ref="E262:F262"/>
    <mergeCell ref="G262:H262"/>
    <mergeCell ref="I262:J262"/>
    <mergeCell ref="K262:L262"/>
    <mergeCell ref="A261:B261"/>
    <mergeCell ref="C261:D261"/>
    <mergeCell ref="E261:F261"/>
    <mergeCell ref="G261:H261"/>
    <mergeCell ref="I261:J261"/>
    <mergeCell ref="K261:L261"/>
    <mergeCell ref="A267:B267"/>
    <mergeCell ref="C267:D267"/>
    <mergeCell ref="E267:F267"/>
    <mergeCell ref="G267:H267"/>
    <mergeCell ref="I267:J267"/>
    <mergeCell ref="K267:L267"/>
    <mergeCell ref="A266:B266"/>
    <mergeCell ref="C266:D266"/>
    <mergeCell ref="E266:F266"/>
    <mergeCell ref="G266:H266"/>
    <mergeCell ref="I266:J266"/>
    <mergeCell ref="K266:L266"/>
    <mergeCell ref="A265:B265"/>
    <mergeCell ref="C265:D265"/>
    <mergeCell ref="E265:F265"/>
    <mergeCell ref="G265:H265"/>
    <mergeCell ref="I265:J265"/>
    <mergeCell ref="K265:L265"/>
    <mergeCell ref="C287:E287"/>
    <mergeCell ref="I287:K287"/>
    <mergeCell ref="A289:B289"/>
    <mergeCell ref="C289:D289"/>
    <mergeCell ref="E289:F289"/>
    <mergeCell ref="G289:H289"/>
    <mergeCell ref="I289:J289"/>
    <mergeCell ref="K289:L289"/>
    <mergeCell ref="B277:C277"/>
    <mergeCell ref="D277:E277"/>
    <mergeCell ref="A280:L280"/>
    <mergeCell ref="A281:L281"/>
    <mergeCell ref="C285:G285"/>
    <mergeCell ref="H285:I285"/>
    <mergeCell ref="B275:C275"/>
    <mergeCell ref="D275:E275"/>
    <mergeCell ref="B276:C276"/>
    <mergeCell ref="D276:E276"/>
    <mergeCell ref="G276:H276"/>
    <mergeCell ref="J276:L276"/>
    <mergeCell ref="A292:B292"/>
    <mergeCell ref="C292:D292"/>
    <mergeCell ref="E292:F292"/>
    <mergeCell ref="G292:H292"/>
    <mergeCell ref="I292:J292"/>
    <mergeCell ref="K292:L292"/>
    <mergeCell ref="A291:B291"/>
    <mergeCell ref="C291:D291"/>
    <mergeCell ref="E291:F291"/>
    <mergeCell ref="G291:H291"/>
    <mergeCell ref="I291:J291"/>
    <mergeCell ref="K291:L291"/>
    <mergeCell ref="A290:B290"/>
    <mergeCell ref="C290:D290"/>
    <mergeCell ref="E290:F290"/>
    <mergeCell ref="G290:H290"/>
    <mergeCell ref="I290:J290"/>
    <mergeCell ref="K290:L290"/>
    <mergeCell ref="A296:B296"/>
    <mergeCell ref="C296:D296"/>
    <mergeCell ref="E296:F296"/>
    <mergeCell ref="G296:H296"/>
    <mergeCell ref="I296:J296"/>
    <mergeCell ref="K296:L296"/>
    <mergeCell ref="A295:B295"/>
    <mergeCell ref="C295:D295"/>
    <mergeCell ref="E295:F295"/>
    <mergeCell ref="G295:H295"/>
    <mergeCell ref="I295:J295"/>
    <mergeCell ref="K295:L295"/>
    <mergeCell ref="A293:B293"/>
    <mergeCell ref="C293:D293"/>
    <mergeCell ref="E293:F293"/>
    <mergeCell ref="G293:H293"/>
    <mergeCell ref="I293:J293"/>
    <mergeCell ref="K293:L293"/>
    <mergeCell ref="B306:C306"/>
    <mergeCell ref="D306:E306"/>
    <mergeCell ref="B307:C307"/>
    <mergeCell ref="D307:E307"/>
    <mergeCell ref="G307:H307"/>
    <mergeCell ref="J307:L307"/>
    <mergeCell ref="A298:B298"/>
    <mergeCell ref="C298:D298"/>
    <mergeCell ref="E298:F298"/>
    <mergeCell ref="G298:H298"/>
    <mergeCell ref="I298:J298"/>
    <mergeCell ref="K298:L298"/>
    <mergeCell ref="A297:B297"/>
    <mergeCell ref="C297:D297"/>
    <mergeCell ref="E297:F297"/>
    <mergeCell ref="G297:H297"/>
    <mergeCell ref="I297:J297"/>
    <mergeCell ref="K297:L297"/>
    <mergeCell ref="A321:B321"/>
    <mergeCell ref="C321:D321"/>
    <mergeCell ref="E321:F321"/>
    <mergeCell ref="G321:H321"/>
    <mergeCell ref="I321:J321"/>
    <mergeCell ref="K321:L321"/>
    <mergeCell ref="C318:E318"/>
    <mergeCell ref="I318:K318"/>
    <mergeCell ref="A320:B320"/>
    <mergeCell ref="C320:D320"/>
    <mergeCell ref="E320:F320"/>
    <mergeCell ref="G320:H320"/>
    <mergeCell ref="I320:J320"/>
    <mergeCell ref="K320:L320"/>
    <mergeCell ref="B308:C308"/>
    <mergeCell ref="D308:E308"/>
    <mergeCell ref="A311:L311"/>
    <mergeCell ref="A312:L312"/>
    <mergeCell ref="C316:G316"/>
    <mergeCell ref="H316:I316"/>
    <mergeCell ref="A324:B324"/>
    <mergeCell ref="C324:D324"/>
    <mergeCell ref="E324:F324"/>
    <mergeCell ref="G324:H324"/>
    <mergeCell ref="I324:J324"/>
    <mergeCell ref="K324:L324"/>
    <mergeCell ref="A323:B323"/>
    <mergeCell ref="C323:D323"/>
    <mergeCell ref="E323:F323"/>
    <mergeCell ref="G323:H323"/>
    <mergeCell ref="I323:J323"/>
    <mergeCell ref="K323:L323"/>
    <mergeCell ref="A322:B322"/>
    <mergeCell ref="C322:D322"/>
    <mergeCell ref="E322:F322"/>
    <mergeCell ref="G322:H322"/>
    <mergeCell ref="I322:J322"/>
    <mergeCell ref="K322:L322"/>
    <mergeCell ref="A328:B328"/>
    <mergeCell ref="C328:D328"/>
    <mergeCell ref="E328:F328"/>
    <mergeCell ref="G328:H328"/>
    <mergeCell ref="I328:J328"/>
    <mergeCell ref="K328:L328"/>
    <mergeCell ref="A327:B327"/>
    <mergeCell ref="C327:D327"/>
    <mergeCell ref="E327:F327"/>
    <mergeCell ref="G327:H327"/>
    <mergeCell ref="I327:J327"/>
    <mergeCell ref="K327:L327"/>
    <mergeCell ref="A326:B326"/>
    <mergeCell ref="C326:D326"/>
    <mergeCell ref="E326:F326"/>
    <mergeCell ref="G326:H326"/>
    <mergeCell ref="I326:J326"/>
    <mergeCell ref="K326:L326"/>
    <mergeCell ref="B339:C339"/>
    <mergeCell ref="D339:E339"/>
    <mergeCell ref="A342:L342"/>
    <mergeCell ref="A343:L343"/>
    <mergeCell ref="C347:G347"/>
    <mergeCell ref="H347:I347"/>
    <mergeCell ref="B337:C337"/>
    <mergeCell ref="D337:E337"/>
    <mergeCell ref="B338:C338"/>
    <mergeCell ref="D338:E338"/>
    <mergeCell ref="G338:H338"/>
    <mergeCell ref="J338:L338"/>
    <mergeCell ref="A329:B329"/>
    <mergeCell ref="C329:D329"/>
    <mergeCell ref="E329:F329"/>
    <mergeCell ref="G329:H329"/>
    <mergeCell ref="I329:J329"/>
    <mergeCell ref="K329:L329"/>
    <mergeCell ref="A353:B353"/>
    <mergeCell ref="C353:D353"/>
    <mergeCell ref="E353:F353"/>
    <mergeCell ref="G353:H353"/>
    <mergeCell ref="I353:J353"/>
    <mergeCell ref="K353:L353"/>
    <mergeCell ref="A352:B352"/>
    <mergeCell ref="C352:D352"/>
    <mergeCell ref="E352:F352"/>
    <mergeCell ref="G352:H352"/>
    <mergeCell ref="I352:J352"/>
    <mergeCell ref="K352:L352"/>
    <mergeCell ref="C349:E349"/>
    <mergeCell ref="I349:K349"/>
    <mergeCell ref="A351:B351"/>
    <mergeCell ref="C351:D351"/>
    <mergeCell ref="E351:F351"/>
    <mergeCell ref="G351:H351"/>
    <mergeCell ref="I351:J351"/>
    <mergeCell ref="K351:L351"/>
    <mergeCell ref="A357:B357"/>
    <mergeCell ref="C357:D357"/>
    <mergeCell ref="E357:F357"/>
    <mergeCell ref="G357:H357"/>
    <mergeCell ref="I357:J357"/>
    <mergeCell ref="K357:L357"/>
    <mergeCell ref="A355:B355"/>
    <mergeCell ref="C355:D355"/>
    <mergeCell ref="E355:F355"/>
    <mergeCell ref="G355:H355"/>
    <mergeCell ref="I355:J355"/>
    <mergeCell ref="K355:L355"/>
    <mergeCell ref="A354:B354"/>
    <mergeCell ref="C354:D354"/>
    <mergeCell ref="E354:F354"/>
    <mergeCell ref="G354:H354"/>
    <mergeCell ref="I354:J354"/>
    <mergeCell ref="K354:L354"/>
    <mergeCell ref="A360:B360"/>
    <mergeCell ref="C360:D360"/>
    <mergeCell ref="E360:F360"/>
    <mergeCell ref="G360:H360"/>
    <mergeCell ref="I360:J360"/>
    <mergeCell ref="K360:L360"/>
    <mergeCell ref="A359:B359"/>
    <mergeCell ref="C359:D359"/>
    <mergeCell ref="E359:F359"/>
    <mergeCell ref="G359:H359"/>
    <mergeCell ref="I359:J359"/>
    <mergeCell ref="K359:L359"/>
    <mergeCell ref="A358:B358"/>
    <mergeCell ref="C358:D358"/>
    <mergeCell ref="E358:F358"/>
    <mergeCell ref="G358:H358"/>
    <mergeCell ref="I358:J358"/>
    <mergeCell ref="K358:L358"/>
    <mergeCell ref="C380:E380"/>
    <mergeCell ref="I380:K380"/>
    <mergeCell ref="A382:B382"/>
    <mergeCell ref="C382:D382"/>
    <mergeCell ref="E382:F382"/>
    <mergeCell ref="G382:H382"/>
    <mergeCell ref="I382:J382"/>
    <mergeCell ref="K382:L382"/>
    <mergeCell ref="B370:C370"/>
    <mergeCell ref="D370:E370"/>
    <mergeCell ref="A373:L373"/>
    <mergeCell ref="A374:L374"/>
    <mergeCell ref="C378:G378"/>
    <mergeCell ref="H378:I378"/>
    <mergeCell ref="B368:C368"/>
    <mergeCell ref="D368:E368"/>
    <mergeCell ref="B369:C369"/>
    <mergeCell ref="D369:E369"/>
    <mergeCell ref="G369:H369"/>
    <mergeCell ref="J369:L369"/>
    <mergeCell ref="A385:B385"/>
    <mergeCell ref="C385:D385"/>
    <mergeCell ref="E385:F385"/>
    <mergeCell ref="G385:H385"/>
    <mergeCell ref="I385:J385"/>
    <mergeCell ref="K385:L385"/>
    <mergeCell ref="A384:B384"/>
    <mergeCell ref="C384:D384"/>
    <mergeCell ref="E384:F384"/>
    <mergeCell ref="G384:H384"/>
    <mergeCell ref="I384:J384"/>
    <mergeCell ref="K384:L384"/>
    <mergeCell ref="A383:B383"/>
    <mergeCell ref="C383:D383"/>
    <mergeCell ref="E383:F383"/>
    <mergeCell ref="G383:H383"/>
    <mergeCell ref="I383:J383"/>
    <mergeCell ref="K383:L383"/>
    <mergeCell ref="A389:B389"/>
    <mergeCell ref="C389:D389"/>
    <mergeCell ref="E389:F389"/>
    <mergeCell ref="G389:H389"/>
    <mergeCell ref="I389:J389"/>
    <mergeCell ref="K389:L389"/>
    <mergeCell ref="A388:B388"/>
    <mergeCell ref="C388:D388"/>
    <mergeCell ref="E388:F388"/>
    <mergeCell ref="G388:H388"/>
    <mergeCell ref="I388:J388"/>
    <mergeCell ref="K388:L388"/>
    <mergeCell ref="A386:B386"/>
    <mergeCell ref="C386:D386"/>
    <mergeCell ref="E386:F386"/>
    <mergeCell ref="G386:H386"/>
    <mergeCell ref="I386:J386"/>
    <mergeCell ref="K386:L386"/>
    <mergeCell ref="B399:C399"/>
    <mergeCell ref="D399:E399"/>
    <mergeCell ref="B400:C400"/>
    <mergeCell ref="D400:E400"/>
    <mergeCell ref="G400:H400"/>
    <mergeCell ref="J400:L400"/>
    <mergeCell ref="A391:B391"/>
    <mergeCell ref="C391:D391"/>
    <mergeCell ref="E391:F391"/>
    <mergeCell ref="G391:H391"/>
    <mergeCell ref="I391:J391"/>
    <mergeCell ref="K391:L391"/>
    <mergeCell ref="A390:B390"/>
    <mergeCell ref="C390:D390"/>
    <mergeCell ref="E390:F390"/>
    <mergeCell ref="G390:H390"/>
    <mergeCell ref="I390:J390"/>
    <mergeCell ref="K390:L390"/>
    <mergeCell ref="A414:B414"/>
    <mergeCell ref="C414:D414"/>
    <mergeCell ref="E414:F414"/>
    <mergeCell ref="G414:H414"/>
    <mergeCell ref="I414:J414"/>
    <mergeCell ref="K414:L414"/>
    <mergeCell ref="C411:E411"/>
    <mergeCell ref="I411:K411"/>
    <mergeCell ref="A413:B413"/>
    <mergeCell ref="C413:D413"/>
    <mergeCell ref="E413:F413"/>
    <mergeCell ref="G413:H413"/>
    <mergeCell ref="I413:J413"/>
    <mergeCell ref="K413:L413"/>
    <mergeCell ref="B401:C401"/>
    <mergeCell ref="D401:E401"/>
    <mergeCell ref="A404:L404"/>
    <mergeCell ref="A405:L405"/>
    <mergeCell ref="C409:G409"/>
    <mergeCell ref="H409:I409"/>
    <mergeCell ref="A417:B417"/>
    <mergeCell ref="C417:D417"/>
    <mergeCell ref="E417:F417"/>
    <mergeCell ref="G417:H417"/>
    <mergeCell ref="I417:J417"/>
    <mergeCell ref="K417:L417"/>
    <mergeCell ref="A416:B416"/>
    <mergeCell ref="C416:D416"/>
    <mergeCell ref="E416:F416"/>
    <mergeCell ref="G416:H416"/>
    <mergeCell ref="I416:J416"/>
    <mergeCell ref="K416:L416"/>
    <mergeCell ref="A415:B415"/>
    <mergeCell ref="C415:D415"/>
    <mergeCell ref="E415:F415"/>
    <mergeCell ref="G415:H415"/>
    <mergeCell ref="I415:J415"/>
    <mergeCell ref="K415:L415"/>
    <mergeCell ref="A421:B421"/>
    <mergeCell ref="C421:D421"/>
    <mergeCell ref="E421:F421"/>
    <mergeCell ref="G421:H421"/>
    <mergeCell ref="I421:J421"/>
    <mergeCell ref="K421:L421"/>
    <mergeCell ref="A420:B420"/>
    <mergeCell ref="C420:D420"/>
    <mergeCell ref="E420:F420"/>
    <mergeCell ref="G420:H420"/>
    <mergeCell ref="I420:J420"/>
    <mergeCell ref="K420:L420"/>
    <mergeCell ref="A419:B419"/>
    <mergeCell ref="C419:D419"/>
    <mergeCell ref="E419:F419"/>
    <mergeCell ref="G419:H419"/>
    <mergeCell ref="I419:J419"/>
    <mergeCell ref="K419:L419"/>
    <mergeCell ref="B432:C432"/>
    <mergeCell ref="D432:E432"/>
    <mergeCell ref="A435:L435"/>
    <mergeCell ref="A436:L436"/>
    <mergeCell ref="C440:G440"/>
    <mergeCell ref="H440:I440"/>
    <mergeCell ref="B430:C430"/>
    <mergeCell ref="D430:E430"/>
    <mergeCell ref="B431:C431"/>
    <mergeCell ref="D431:E431"/>
    <mergeCell ref="G431:H431"/>
    <mergeCell ref="J431:L431"/>
    <mergeCell ref="A422:B422"/>
    <mergeCell ref="C422:D422"/>
    <mergeCell ref="E422:F422"/>
    <mergeCell ref="G422:H422"/>
    <mergeCell ref="I422:J422"/>
    <mergeCell ref="K422:L422"/>
    <mergeCell ref="A446:B446"/>
    <mergeCell ref="C446:D446"/>
    <mergeCell ref="E446:F446"/>
    <mergeCell ref="G446:H446"/>
    <mergeCell ref="I446:J446"/>
    <mergeCell ref="K446:L446"/>
    <mergeCell ref="A445:B445"/>
    <mergeCell ref="C445:D445"/>
    <mergeCell ref="E445:F445"/>
    <mergeCell ref="G445:H445"/>
    <mergeCell ref="I445:J445"/>
    <mergeCell ref="K445:L445"/>
    <mergeCell ref="C442:E442"/>
    <mergeCell ref="I442:K442"/>
    <mergeCell ref="A444:B444"/>
    <mergeCell ref="C444:D444"/>
    <mergeCell ref="E444:F444"/>
    <mergeCell ref="G444:H444"/>
    <mergeCell ref="I444:J444"/>
    <mergeCell ref="K444:L444"/>
    <mergeCell ref="A450:B450"/>
    <mergeCell ref="C450:D450"/>
    <mergeCell ref="E450:F450"/>
    <mergeCell ref="G450:H450"/>
    <mergeCell ref="I450:J450"/>
    <mergeCell ref="K450:L450"/>
    <mergeCell ref="A448:B448"/>
    <mergeCell ref="C448:D448"/>
    <mergeCell ref="E448:F448"/>
    <mergeCell ref="G448:H448"/>
    <mergeCell ref="I448:J448"/>
    <mergeCell ref="K448:L448"/>
    <mergeCell ref="A447:B447"/>
    <mergeCell ref="C447:D447"/>
    <mergeCell ref="E447:F447"/>
    <mergeCell ref="G447:H447"/>
    <mergeCell ref="I447:J447"/>
    <mergeCell ref="K447:L447"/>
    <mergeCell ref="A453:B453"/>
    <mergeCell ref="C453:D453"/>
    <mergeCell ref="E453:F453"/>
    <mergeCell ref="G453:H453"/>
    <mergeCell ref="I453:J453"/>
    <mergeCell ref="K453:L453"/>
    <mergeCell ref="A452:B452"/>
    <mergeCell ref="C452:D452"/>
    <mergeCell ref="E452:F452"/>
    <mergeCell ref="G452:H452"/>
    <mergeCell ref="I452:J452"/>
    <mergeCell ref="K452:L452"/>
    <mergeCell ref="A451:B451"/>
    <mergeCell ref="C451:D451"/>
    <mergeCell ref="E451:F451"/>
    <mergeCell ref="G451:H451"/>
    <mergeCell ref="I451:J451"/>
    <mergeCell ref="K451:L451"/>
    <mergeCell ref="C473:E473"/>
    <mergeCell ref="I473:K473"/>
    <mergeCell ref="A475:B475"/>
    <mergeCell ref="C475:D475"/>
    <mergeCell ref="E475:F475"/>
    <mergeCell ref="G475:H475"/>
    <mergeCell ref="I475:J475"/>
    <mergeCell ref="K475:L475"/>
    <mergeCell ref="B463:C463"/>
    <mergeCell ref="D463:E463"/>
    <mergeCell ref="A466:L466"/>
    <mergeCell ref="A467:L467"/>
    <mergeCell ref="C471:G471"/>
    <mergeCell ref="H471:I471"/>
    <mergeCell ref="B461:C461"/>
    <mergeCell ref="D461:E461"/>
    <mergeCell ref="B462:C462"/>
    <mergeCell ref="D462:E462"/>
    <mergeCell ref="G462:H462"/>
    <mergeCell ref="J462:L462"/>
    <mergeCell ref="A478:B478"/>
    <mergeCell ref="C478:D478"/>
    <mergeCell ref="E478:F478"/>
    <mergeCell ref="G478:H478"/>
    <mergeCell ref="I478:J478"/>
    <mergeCell ref="K478:L478"/>
    <mergeCell ref="A477:B477"/>
    <mergeCell ref="C477:D477"/>
    <mergeCell ref="E477:F477"/>
    <mergeCell ref="G477:H477"/>
    <mergeCell ref="I477:J477"/>
    <mergeCell ref="K477:L477"/>
    <mergeCell ref="A476:B476"/>
    <mergeCell ref="C476:D476"/>
    <mergeCell ref="E476:F476"/>
    <mergeCell ref="G476:H476"/>
    <mergeCell ref="I476:J476"/>
    <mergeCell ref="K476:L476"/>
    <mergeCell ref="A482:B482"/>
    <mergeCell ref="C482:D482"/>
    <mergeCell ref="E482:F482"/>
    <mergeCell ref="G482:H482"/>
    <mergeCell ref="I482:J482"/>
    <mergeCell ref="K482:L482"/>
    <mergeCell ref="A481:B481"/>
    <mergeCell ref="C481:D481"/>
    <mergeCell ref="E481:F481"/>
    <mergeCell ref="G481:H481"/>
    <mergeCell ref="I481:J481"/>
    <mergeCell ref="K481:L481"/>
    <mergeCell ref="A479:B479"/>
    <mergeCell ref="C479:D479"/>
    <mergeCell ref="E479:F479"/>
    <mergeCell ref="G479:H479"/>
    <mergeCell ref="I479:J479"/>
    <mergeCell ref="K479:L479"/>
    <mergeCell ref="B492:C492"/>
    <mergeCell ref="D492:E492"/>
    <mergeCell ref="B493:C493"/>
    <mergeCell ref="D493:E493"/>
    <mergeCell ref="G493:H493"/>
    <mergeCell ref="J493:L493"/>
    <mergeCell ref="A484:B484"/>
    <mergeCell ref="C484:D484"/>
    <mergeCell ref="E484:F484"/>
    <mergeCell ref="G484:H484"/>
    <mergeCell ref="I484:J484"/>
    <mergeCell ref="K484:L484"/>
    <mergeCell ref="A483:B483"/>
    <mergeCell ref="C483:D483"/>
    <mergeCell ref="E483:F483"/>
    <mergeCell ref="G483:H483"/>
    <mergeCell ref="I483:J483"/>
    <mergeCell ref="K483:L483"/>
    <mergeCell ref="A507:B507"/>
    <mergeCell ref="C507:D507"/>
    <mergeCell ref="E507:F507"/>
    <mergeCell ref="G507:H507"/>
    <mergeCell ref="I507:J507"/>
    <mergeCell ref="K507:L507"/>
    <mergeCell ref="C504:E504"/>
    <mergeCell ref="I504:K504"/>
    <mergeCell ref="A506:B506"/>
    <mergeCell ref="C506:D506"/>
    <mergeCell ref="E506:F506"/>
    <mergeCell ref="G506:H506"/>
    <mergeCell ref="I506:J506"/>
    <mergeCell ref="K506:L506"/>
    <mergeCell ref="B494:C494"/>
    <mergeCell ref="D494:E494"/>
    <mergeCell ref="A497:L497"/>
    <mergeCell ref="A498:L498"/>
    <mergeCell ref="C502:G502"/>
    <mergeCell ref="H502:I502"/>
    <mergeCell ref="A510:B510"/>
    <mergeCell ref="C510:D510"/>
    <mergeCell ref="E510:F510"/>
    <mergeCell ref="G510:H510"/>
    <mergeCell ref="I510:J510"/>
    <mergeCell ref="K510:L510"/>
    <mergeCell ref="A509:B509"/>
    <mergeCell ref="C509:D509"/>
    <mergeCell ref="E509:F509"/>
    <mergeCell ref="G509:H509"/>
    <mergeCell ref="I509:J509"/>
    <mergeCell ref="K509:L509"/>
    <mergeCell ref="A508:B508"/>
    <mergeCell ref="C508:D508"/>
    <mergeCell ref="E508:F508"/>
    <mergeCell ref="G508:H508"/>
    <mergeCell ref="I508:J508"/>
    <mergeCell ref="K508:L508"/>
    <mergeCell ref="A514:B514"/>
    <mergeCell ref="C514:D514"/>
    <mergeCell ref="E514:F514"/>
    <mergeCell ref="G514:H514"/>
    <mergeCell ref="I514:J514"/>
    <mergeCell ref="K514:L514"/>
    <mergeCell ref="A513:B513"/>
    <mergeCell ref="C513:D513"/>
    <mergeCell ref="E513:F513"/>
    <mergeCell ref="G513:H513"/>
    <mergeCell ref="I513:J513"/>
    <mergeCell ref="K513:L513"/>
    <mergeCell ref="A512:B512"/>
    <mergeCell ref="C512:D512"/>
    <mergeCell ref="E512:F512"/>
    <mergeCell ref="G512:H512"/>
    <mergeCell ref="I512:J512"/>
    <mergeCell ref="K512:L512"/>
    <mergeCell ref="B525:C525"/>
    <mergeCell ref="D525:E525"/>
    <mergeCell ref="A528:L528"/>
    <mergeCell ref="A529:L529"/>
    <mergeCell ref="C533:G533"/>
    <mergeCell ref="H533:I533"/>
    <mergeCell ref="B523:C523"/>
    <mergeCell ref="D523:E523"/>
    <mergeCell ref="B524:C524"/>
    <mergeCell ref="D524:E524"/>
    <mergeCell ref="G524:H524"/>
    <mergeCell ref="J524:L524"/>
    <mergeCell ref="A515:B515"/>
    <mergeCell ref="C515:D515"/>
    <mergeCell ref="E515:F515"/>
    <mergeCell ref="G515:H515"/>
    <mergeCell ref="I515:J515"/>
    <mergeCell ref="K515:L515"/>
    <mergeCell ref="A539:B539"/>
    <mergeCell ref="C539:D539"/>
    <mergeCell ref="E539:F539"/>
    <mergeCell ref="G539:H539"/>
    <mergeCell ref="I539:J539"/>
    <mergeCell ref="K539:L539"/>
    <mergeCell ref="A538:B538"/>
    <mergeCell ref="C538:D538"/>
    <mergeCell ref="E538:F538"/>
    <mergeCell ref="G538:H538"/>
    <mergeCell ref="I538:J538"/>
    <mergeCell ref="K538:L538"/>
    <mergeCell ref="C535:E535"/>
    <mergeCell ref="I535:K535"/>
    <mergeCell ref="A537:B537"/>
    <mergeCell ref="C537:D537"/>
    <mergeCell ref="E537:F537"/>
    <mergeCell ref="G537:H537"/>
    <mergeCell ref="I537:J537"/>
    <mergeCell ref="K537:L537"/>
    <mergeCell ref="A543:B543"/>
    <mergeCell ref="C543:D543"/>
    <mergeCell ref="E543:F543"/>
    <mergeCell ref="G543:H543"/>
    <mergeCell ref="I543:J543"/>
    <mergeCell ref="K543:L543"/>
    <mergeCell ref="A541:B541"/>
    <mergeCell ref="C541:D541"/>
    <mergeCell ref="E541:F541"/>
    <mergeCell ref="G541:H541"/>
    <mergeCell ref="I541:J541"/>
    <mergeCell ref="K541:L541"/>
    <mergeCell ref="A540:B540"/>
    <mergeCell ref="C540:D540"/>
    <mergeCell ref="E540:F540"/>
    <mergeCell ref="G540:H540"/>
    <mergeCell ref="I540:J540"/>
    <mergeCell ref="K540:L540"/>
    <mergeCell ref="A546:B546"/>
    <mergeCell ref="C546:D546"/>
    <mergeCell ref="E546:F546"/>
    <mergeCell ref="G546:H546"/>
    <mergeCell ref="I546:J546"/>
    <mergeCell ref="K546:L546"/>
    <mergeCell ref="A545:B545"/>
    <mergeCell ref="C545:D545"/>
    <mergeCell ref="E545:F545"/>
    <mergeCell ref="G545:H545"/>
    <mergeCell ref="I545:J545"/>
    <mergeCell ref="K545:L545"/>
    <mergeCell ref="A544:B544"/>
    <mergeCell ref="C544:D544"/>
    <mergeCell ref="E544:F544"/>
    <mergeCell ref="G544:H544"/>
    <mergeCell ref="I544:J544"/>
    <mergeCell ref="K544:L544"/>
    <mergeCell ref="C566:E566"/>
    <mergeCell ref="I566:K566"/>
    <mergeCell ref="A568:B568"/>
    <mergeCell ref="C568:D568"/>
    <mergeCell ref="E568:F568"/>
    <mergeCell ref="G568:H568"/>
    <mergeCell ref="I568:J568"/>
    <mergeCell ref="K568:L568"/>
    <mergeCell ref="B556:C556"/>
    <mergeCell ref="D556:E556"/>
    <mergeCell ref="A559:L559"/>
    <mergeCell ref="A560:L560"/>
    <mergeCell ref="C564:G564"/>
    <mergeCell ref="H564:I564"/>
    <mergeCell ref="B554:C554"/>
    <mergeCell ref="D554:E554"/>
    <mergeCell ref="B555:C555"/>
    <mergeCell ref="D555:E555"/>
    <mergeCell ref="G555:H555"/>
    <mergeCell ref="J555:L555"/>
    <mergeCell ref="A571:B571"/>
    <mergeCell ref="C571:D571"/>
    <mergeCell ref="E571:F571"/>
    <mergeCell ref="G571:H571"/>
    <mergeCell ref="I571:J571"/>
    <mergeCell ref="K571:L571"/>
    <mergeCell ref="A570:B570"/>
    <mergeCell ref="C570:D570"/>
    <mergeCell ref="E570:F570"/>
    <mergeCell ref="G570:H570"/>
    <mergeCell ref="I570:J570"/>
    <mergeCell ref="K570:L570"/>
    <mergeCell ref="A569:B569"/>
    <mergeCell ref="C569:D569"/>
    <mergeCell ref="E569:F569"/>
    <mergeCell ref="G569:H569"/>
    <mergeCell ref="I569:J569"/>
    <mergeCell ref="K569:L569"/>
    <mergeCell ref="A575:B575"/>
    <mergeCell ref="C575:D575"/>
    <mergeCell ref="E575:F575"/>
    <mergeCell ref="G575:H575"/>
    <mergeCell ref="I575:J575"/>
    <mergeCell ref="K575:L575"/>
    <mergeCell ref="A574:B574"/>
    <mergeCell ref="C574:D574"/>
    <mergeCell ref="E574:F574"/>
    <mergeCell ref="G574:H574"/>
    <mergeCell ref="I574:J574"/>
    <mergeCell ref="K574:L574"/>
    <mergeCell ref="A572:B572"/>
    <mergeCell ref="C572:D572"/>
    <mergeCell ref="E572:F572"/>
    <mergeCell ref="G572:H572"/>
    <mergeCell ref="I572:J572"/>
    <mergeCell ref="K572:L572"/>
    <mergeCell ref="B585:C585"/>
    <mergeCell ref="D585:E585"/>
    <mergeCell ref="B586:C586"/>
    <mergeCell ref="D586:E586"/>
    <mergeCell ref="G586:H586"/>
    <mergeCell ref="J586:L586"/>
    <mergeCell ref="A577:B577"/>
    <mergeCell ref="C577:D577"/>
    <mergeCell ref="E577:F577"/>
    <mergeCell ref="G577:H577"/>
    <mergeCell ref="I577:J577"/>
    <mergeCell ref="K577:L577"/>
    <mergeCell ref="A576:B576"/>
    <mergeCell ref="C576:D576"/>
    <mergeCell ref="E576:F576"/>
    <mergeCell ref="G576:H576"/>
    <mergeCell ref="I576:J576"/>
    <mergeCell ref="K576:L576"/>
    <mergeCell ref="A600:B600"/>
    <mergeCell ref="C600:D600"/>
    <mergeCell ref="E600:F600"/>
    <mergeCell ref="G600:H600"/>
    <mergeCell ref="I600:J600"/>
    <mergeCell ref="K600:L600"/>
    <mergeCell ref="C597:E597"/>
    <mergeCell ref="I597:K597"/>
    <mergeCell ref="A599:B599"/>
    <mergeCell ref="C599:D599"/>
    <mergeCell ref="E599:F599"/>
    <mergeCell ref="G599:H599"/>
    <mergeCell ref="I599:J599"/>
    <mergeCell ref="K599:L599"/>
    <mergeCell ref="B587:C587"/>
    <mergeCell ref="D587:E587"/>
    <mergeCell ref="A590:L590"/>
    <mergeCell ref="A591:L591"/>
    <mergeCell ref="C595:G595"/>
    <mergeCell ref="H595:I595"/>
    <mergeCell ref="A603:B603"/>
    <mergeCell ref="C603:D603"/>
    <mergeCell ref="E603:F603"/>
    <mergeCell ref="G603:H603"/>
    <mergeCell ref="I603:J603"/>
    <mergeCell ref="K603:L603"/>
    <mergeCell ref="A602:B602"/>
    <mergeCell ref="C602:D602"/>
    <mergeCell ref="E602:F602"/>
    <mergeCell ref="G602:H602"/>
    <mergeCell ref="I602:J602"/>
    <mergeCell ref="K602:L602"/>
    <mergeCell ref="A601:B601"/>
    <mergeCell ref="C601:D601"/>
    <mergeCell ref="E601:F601"/>
    <mergeCell ref="G601:H601"/>
    <mergeCell ref="I601:J601"/>
    <mergeCell ref="K601:L601"/>
    <mergeCell ref="A607:B607"/>
    <mergeCell ref="C607:D607"/>
    <mergeCell ref="E607:F607"/>
    <mergeCell ref="G607:H607"/>
    <mergeCell ref="I607:J607"/>
    <mergeCell ref="K607:L607"/>
    <mergeCell ref="A606:B606"/>
    <mergeCell ref="C606:D606"/>
    <mergeCell ref="E606:F606"/>
    <mergeCell ref="G606:H606"/>
    <mergeCell ref="I606:J606"/>
    <mergeCell ref="K606:L606"/>
    <mergeCell ref="A605:B605"/>
    <mergeCell ref="C605:D605"/>
    <mergeCell ref="E605:F605"/>
    <mergeCell ref="G605:H605"/>
    <mergeCell ref="I605:J605"/>
    <mergeCell ref="K605:L605"/>
    <mergeCell ref="B618:C618"/>
    <mergeCell ref="D618:E618"/>
    <mergeCell ref="A621:L621"/>
    <mergeCell ref="A622:L622"/>
    <mergeCell ref="C626:G626"/>
    <mergeCell ref="H626:I626"/>
    <mergeCell ref="B616:C616"/>
    <mergeCell ref="D616:E616"/>
    <mergeCell ref="B617:C617"/>
    <mergeCell ref="D617:E617"/>
    <mergeCell ref="G617:H617"/>
    <mergeCell ref="J617:L617"/>
    <mergeCell ref="A608:B608"/>
    <mergeCell ref="C608:D608"/>
    <mergeCell ref="E608:F608"/>
    <mergeCell ref="G608:H608"/>
    <mergeCell ref="I608:J608"/>
    <mergeCell ref="K608:L608"/>
    <mergeCell ref="A632:B632"/>
    <mergeCell ref="C632:D632"/>
    <mergeCell ref="E632:F632"/>
    <mergeCell ref="G632:H632"/>
    <mergeCell ref="I632:J632"/>
    <mergeCell ref="K632:L632"/>
    <mergeCell ref="A631:B631"/>
    <mergeCell ref="C631:D631"/>
    <mergeCell ref="E631:F631"/>
    <mergeCell ref="G631:H631"/>
    <mergeCell ref="I631:J631"/>
    <mergeCell ref="K631:L631"/>
    <mergeCell ref="C628:E628"/>
    <mergeCell ref="I628:K628"/>
    <mergeCell ref="A630:B630"/>
    <mergeCell ref="C630:D630"/>
    <mergeCell ref="E630:F630"/>
    <mergeCell ref="G630:H630"/>
    <mergeCell ref="I630:J630"/>
    <mergeCell ref="K630:L630"/>
    <mergeCell ref="A636:B636"/>
    <mergeCell ref="C636:D636"/>
    <mergeCell ref="E636:F636"/>
    <mergeCell ref="G636:H636"/>
    <mergeCell ref="I636:J636"/>
    <mergeCell ref="K636:L636"/>
    <mergeCell ref="A634:B634"/>
    <mergeCell ref="C634:D634"/>
    <mergeCell ref="E634:F634"/>
    <mergeCell ref="G634:H634"/>
    <mergeCell ref="I634:J634"/>
    <mergeCell ref="K634:L634"/>
    <mergeCell ref="A633:B633"/>
    <mergeCell ref="C633:D633"/>
    <mergeCell ref="E633:F633"/>
    <mergeCell ref="G633:H633"/>
    <mergeCell ref="I633:J633"/>
    <mergeCell ref="K633:L633"/>
    <mergeCell ref="A639:B639"/>
    <mergeCell ref="C639:D639"/>
    <mergeCell ref="E639:F639"/>
    <mergeCell ref="G639:H639"/>
    <mergeCell ref="I639:J639"/>
    <mergeCell ref="K639:L639"/>
    <mergeCell ref="A638:B638"/>
    <mergeCell ref="C638:D638"/>
    <mergeCell ref="E638:F638"/>
    <mergeCell ref="G638:H638"/>
    <mergeCell ref="I638:J638"/>
    <mergeCell ref="K638:L638"/>
    <mergeCell ref="A637:B637"/>
    <mergeCell ref="C637:D637"/>
    <mergeCell ref="E637:F637"/>
    <mergeCell ref="G637:H637"/>
    <mergeCell ref="I637:J637"/>
    <mergeCell ref="K637:L637"/>
    <mergeCell ref="C659:E659"/>
    <mergeCell ref="I659:K659"/>
    <mergeCell ref="A661:B661"/>
    <mergeCell ref="C661:D661"/>
    <mergeCell ref="E661:F661"/>
    <mergeCell ref="G661:H661"/>
    <mergeCell ref="I661:J661"/>
    <mergeCell ref="K661:L661"/>
    <mergeCell ref="B649:C649"/>
    <mergeCell ref="D649:E649"/>
    <mergeCell ref="A652:L652"/>
    <mergeCell ref="A653:L653"/>
    <mergeCell ref="C657:G657"/>
    <mergeCell ref="H657:I657"/>
    <mergeCell ref="B647:C647"/>
    <mergeCell ref="D647:E647"/>
    <mergeCell ref="B648:C648"/>
    <mergeCell ref="D648:E648"/>
    <mergeCell ref="G648:H648"/>
    <mergeCell ref="J648:L648"/>
    <mergeCell ref="A664:B664"/>
    <mergeCell ref="C664:D664"/>
    <mergeCell ref="E664:F664"/>
    <mergeCell ref="G664:H664"/>
    <mergeCell ref="I664:J664"/>
    <mergeCell ref="K664:L664"/>
    <mergeCell ref="A663:B663"/>
    <mergeCell ref="C663:D663"/>
    <mergeCell ref="E663:F663"/>
    <mergeCell ref="G663:H663"/>
    <mergeCell ref="I663:J663"/>
    <mergeCell ref="K663:L663"/>
    <mergeCell ref="A662:B662"/>
    <mergeCell ref="C662:D662"/>
    <mergeCell ref="E662:F662"/>
    <mergeCell ref="G662:H662"/>
    <mergeCell ref="I662:J662"/>
    <mergeCell ref="K662:L662"/>
    <mergeCell ref="A668:B668"/>
    <mergeCell ref="C668:D668"/>
    <mergeCell ref="E668:F668"/>
    <mergeCell ref="G668:H668"/>
    <mergeCell ref="I668:J668"/>
    <mergeCell ref="K668:L668"/>
    <mergeCell ref="A667:B667"/>
    <mergeCell ref="C667:D667"/>
    <mergeCell ref="E667:F667"/>
    <mergeCell ref="G667:H667"/>
    <mergeCell ref="I667:J667"/>
    <mergeCell ref="K667:L667"/>
    <mergeCell ref="A665:B665"/>
    <mergeCell ref="C665:D665"/>
    <mergeCell ref="E665:F665"/>
    <mergeCell ref="G665:H665"/>
    <mergeCell ref="I665:J665"/>
    <mergeCell ref="K665:L665"/>
    <mergeCell ref="B678:C678"/>
    <mergeCell ref="D678:E678"/>
    <mergeCell ref="B679:C679"/>
    <mergeCell ref="D679:E679"/>
    <mergeCell ref="G679:H679"/>
    <mergeCell ref="J679:L679"/>
    <mergeCell ref="A670:B670"/>
    <mergeCell ref="C670:D670"/>
    <mergeCell ref="E670:F670"/>
    <mergeCell ref="G670:H670"/>
    <mergeCell ref="I670:J670"/>
    <mergeCell ref="K670:L670"/>
    <mergeCell ref="A669:B669"/>
    <mergeCell ref="C669:D669"/>
    <mergeCell ref="E669:F669"/>
    <mergeCell ref="G669:H669"/>
    <mergeCell ref="I669:J669"/>
    <mergeCell ref="K669:L669"/>
    <mergeCell ref="A693:B693"/>
    <mergeCell ref="C693:D693"/>
    <mergeCell ref="E693:F693"/>
    <mergeCell ref="G693:H693"/>
    <mergeCell ref="I693:J693"/>
    <mergeCell ref="K693:L693"/>
    <mergeCell ref="C690:E690"/>
    <mergeCell ref="I690:K690"/>
    <mergeCell ref="A692:B692"/>
    <mergeCell ref="C692:D692"/>
    <mergeCell ref="E692:F692"/>
    <mergeCell ref="G692:H692"/>
    <mergeCell ref="I692:J692"/>
    <mergeCell ref="K692:L692"/>
    <mergeCell ref="B680:C680"/>
    <mergeCell ref="D680:E680"/>
    <mergeCell ref="A683:L683"/>
    <mergeCell ref="A684:L684"/>
    <mergeCell ref="C688:G688"/>
    <mergeCell ref="H688:I688"/>
    <mergeCell ref="A696:B696"/>
    <mergeCell ref="C696:D696"/>
    <mergeCell ref="E696:F696"/>
    <mergeCell ref="G696:H696"/>
    <mergeCell ref="I696:J696"/>
    <mergeCell ref="K696:L696"/>
    <mergeCell ref="A695:B695"/>
    <mergeCell ref="C695:D695"/>
    <mergeCell ref="E695:F695"/>
    <mergeCell ref="G695:H695"/>
    <mergeCell ref="I695:J695"/>
    <mergeCell ref="K695:L695"/>
    <mergeCell ref="A694:B694"/>
    <mergeCell ref="C694:D694"/>
    <mergeCell ref="E694:F694"/>
    <mergeCell ref="G694:H694"/>
    <mergeCell ref="I694:J694"/>
    <mergeCell ref="K694:L694"/>
    <mergeCell ref="A700:B700"/>
    <mergeCell ref="C700:D700"/>
    <mergeCell ref="E700:F700"/>
    <mergeCell ref="G700:H700"/>
    <mergeCell ref="I700:J700"/>
    <mergeCell ref="K700:L700"/>
    <mergeCell ref="A699:B699"/>
    <mergeCell ref="C699:D699"/>
    <mergeCell ref="E699:F699"/>
    <mergeCell ref="G699:H699"/>
    <mergeCell ref="I699:J699"/>
    <mergeCell ref="K699:L699"/>
    <mergeCell ref="A698:B698"/>
    <mergeCell ref="C698:D698"/>
    <mergeCell ref="E698:F698"/>
    <mergeCell ref="G698:H698"/>
    <mergeCell ref="I698:J698"/>
    <mergeCell ref="K698:L698"/>
    <mergeCell ref="B711:C711"/>
    <mergeCell ref="D711:E711"/>
    <mergeCell ref="A712:L712"/>
    <mergeCell ref="A713:L713"/>
    <mergeCell ref="C717:G717"/>
    <mergeCell ref="H717:I717"/>
    <mergeCell ref="B709:C709"/>
    <mergeCell ref="D709:E709"/>
    <mergeCell ref="B710:C710"/>
    <mergeCell ref="D710:E710"/>
    <mergeCell ref="G710:H710"/>
    <mergeCell ref="J710:L710"/>
    <mergeCell ref="A701:B701"/>
    <mergeCell ref="C701:D701"/>
    <mergeCell ref="E701:F701"/>
    <mergeCell ref="G701:H701"/>
    <mergeCell ref="I701:J701"/>
    <mergeCell ref="K701:L701"/>
    <mergeCell ref="A723:B723"/>
    <mergeCell ref="C723:D723"/>
    <mergeCell ref="E723:F723"/>
    <mergeCell ref="G723:H723"/>
    <mergeCell ref="I723:J723"/>
    <mergeCell ref="K723:L723"/>
    <mergeCell ref="A722:B722"/>
    <mergeCell ref="C722:D722"/>
    <mergeCell ref="E722:F722"/>
    <mergeCell ref="G722:H722"/>
    <mergeCell ref="I722:J722"/>
    <mergeCell ref="K722:L722"/>
    <mergeCell ref="C719:E719"/>
    <mergeCell ref="I719:K719"/>
    <mergeCell ref="A721:B721"/>
    <mergeCell ref="C721:D721"/>
    <mergeCell ref="E721:F721"/>
    <mergeCell ref="G721:H721"/>
    <mergeCell ref="I721:J721"/>
    <mergeCell ref="K721:L721"/>
    <mergeCell ref="A727:B727"/>
    <mergeCell ref="C727:D727"/>
    <mergeCell ref="E727:F727"/>
    <mergeCell ref="G727:H727"/>
    <mergeCell ref="I727:J727"/>
    <mergeCell ref="K727:L727"/>
    <mergeCell ref="A725:B725"/>
    <mergeCell ref="C725:D725"/>
    <mergeCell ref="E725:F725"/>
    <mergeCell ref="G725:H725"/>
    <mergeCell ref="I725:J725"/>
    <mergeCell ref="K725:L725"/>
    <mergeCell ref="A724:B724"/>
    <mergeCell ref="C724:D724"/>
    <mergeCell ref="E724:F724"/>
    <mergeCell ref="G724:H724"/>
    <mergeCell ref="I724:J724"/>
    <mergeCell ref="K724:L724"/>
    <mergeCell ref="A730:B730"/>
    <mergeCell ref="C730:D730"/>
    <mergeCell ref="E730:F730"/>
    <mergeCell ref="G730:H730"/>
    <mergeCell ref="I730:J730"/>
    <mergeCell ref="K730:L730"/>
    <mergeCell ref="A729:B729"/>
    <mergeCell ref="C729:D729"/>
    <mergeCell ref="E729:F729"/>
    <mergeCell ref="G729:H729"/>
    <mergeCell ref="I729:J729"/>
    <mergeCell ref="K729:L729"/>
    <mergeCell ref="A728:B728"/>
    <mergeCell ref="C728:D728"/>
    <mergeCell ref="E728:F728"/>
    <mergeCell ref="G728:H728"/>
    <mergeCell ref="I728:J728"/>
    <mergeCell ref="K728:L728"/>
    <mergeCell ref="C750:E750"/>
    <mergeCell ref="I750:K750"/>
    <mergeCell ref="A752:B752"/>
    <mergeCell ref="C752:D752"/>
    <mergeCell ref="E752:F752"/>
    <mergeCell ref="G752:H752"/>
    <mergeCell ref="I752:J752"/>
    <mergeCell ref="K752:L752"/>
    <mergeCell ref="B740:C740"/>
    <mergeCell ref="D740:E740"/>
    <mergeCell ref="A743:L743"/>
    <mergeCell ref="A744:L744"/>
    <mergeCell ref="C748:G748"/>
    <mergeCell ref="H748:I748"/>
    <mergeCell ref="B738:C738"/>
    <mergeCell ref="D738:E738"/>
    <mergeCell ref="B739:C739"/>
    <mergeCell ref="D739:E739"/>
    <mergeCell ref="G739:H739"/>
    <mergeCell ref="J739:L739"/>
    <mergeCell ref="A755:B755"/>
    <mergeCell ref="C755:D755"/>
    <mergeCell ref="E755:F755"/>
    <mergeCell ref="G755:H755"/>
    <mergeCell ref="I755:J755"/>
    <mergeCell ref="K755:L755"/>
    <mergeCell ref="A754:B754"/>
    <mergeCell ref="C754:D754"/>
    <mergeCell ref="E754:F754"/>
    <mergeCell ref="G754:H754"/>
    <mergeCell ref="I754:J754"/>
    <mergeCell ref="K754:L754"/>
    <mergeCell ref="A753:B753"/>
    <mergeCell ref="C753:D753"/>
    <mergeCell ref="E753:F753"/>
    <mergeCell ref="G753:H753"/>
    <mergeCell ref="I753:J753"/>
    <mergeCell ref="K753:L753"/>
    <mergeCell ref="A759:B759"/>
    <mergeCell ref="C759:D759"/>
    <mergeCell ref="E759:F759"/>
    <mergeCell ref="G759:H759"/>
    <mergeCell ref="I759:J759"/>
    <mergeCell ref="K759:L759"/>
    <mergeCell ref="A758:B758"/>
    <mergeCell ref="C758:D758"/>
    <mergeCell ref="E758:F758"/>
    <mergeCell ref="G758:H758"/>
    <mergeCell ref="I758:J758"/>
    <mergeCell ref="K758:L758"/>
    <mergeCell ref="A756:B756"/>
    <mergeCell ref="C756:D756"/>
    <mergeCell ref="E756:F756"/>
    <mergeCell ref="G756:H756"/>
    <mergeCell ref="I756:J756"/>
    <mergeCell ref="K756:L756"/>
    <mergeCell ref="B769:C769"/>
    <mergeCell ref="D769:E769"/>
    <mergeCell ref="B770:C770"/>
    <mergeCell ref="D770:E770"/>
    <mergeCell ref="G770:H770"/>
    <mergeCell ref="J770:L770"/>
    <mergeCell ref="A761:B761"/>
    <mergeCell ref="C761:D761"/>
    <mergeCell ref="E761:F761"/>
    <mergeCell ref="G761:H761"/>
    <mergeCell ref="I761:J761"/>
    <mergeCell ref="K761:L761"/>
    <mergeCell ref="A760:B760"/>
    <mergeCell ref="C760:D760"/>
    <mergeCell ref="E760:F760"/>
    <mergeCell ref="G760:H760"/>
    <mergeCell ref="I760:J760"/>
    <mergeCell ref="K760:L760"/>
    <mergeCell ref="A784:B784"/>
    <mergeCell ref="C784:D784"/>
    <mergeCell ref="E784:F784"/>
    <mergeCell ref="G784:H784"/>
    <mergeCell ref="I784:J784"/>
    <mergeCell ref="K784:L784"/>
    <mergeCell ref="C781:E781"/>
    <mergeCell ref="I781:K781"/>
    <mergeCell ref="A783:B783"/>
    <mergeCell ref="C783:D783"/>
    <mergeCell ref="E783:F783"/>
    <mergeCell ref="G783:H783"/>
    <mergeCell ref="I783:J783"/>
    <mergeCell ref="K783:L783"/>
    <mergeCell ref="B771:C771"/>
    <mergeCell ref="D771:E771"/>
    <mergeCell ref="A774:L774"/>
    <mergeCell ref="A775:L775"/>
    <mergeCell ref="C779:G779"/>
    <mergeCell ref="H779:I779"/>
    <mergeCell ref="A787:B787"/>
    <mergeCell ref="C787:D787"/>
    <mergeCell ref="E787:F787"/>
    <mergeCell ref="G787:H787"/>
    <mergeCell ref="I787:J787"/>
    <mergeCell ref="K787:L787"/>
    <mergeCell ref="A786:B786"/>
    <mergeCell ref="C786:D786"/>
    <mergeCell ref="E786:F786"/>
    <mergeCell ref="G786:H786"/>
    <mergeCell ref="I786:J786"/>
    <mergeCell ref="K786:L786"/>
    <mergeCell ref="A785:B785"/>
    <mergeCell ref="C785:D785"/>
    <mergeCell ref="E785:F785"/>
    <mergeCell ref="G785:H785"/>
    <mergeCell ref="I785:J785"/>
    <mergeCell ref="K785:L785"/>
    <mergeCell ref="A791:B791"/>
    <mergeCell ref="C791:D791"/>
    <mergeCell ref="E791:F791"/>
    <mergeCell ref="G791:H791"/>
    <mergeCell ref="I791:J791"/>
    <mergeCell ref="K791:L791"/>
    <mergeCell ref="A790:B790"/>
    <mergeCell ref="C790:D790"/>
    <mergeCell ref="E790:F790"/>
    <mergeCell ref="G790:H790"/>
    <mergeCell ref="I790:J790"/>
    <mergeCell ref="K790:L790"/>
    <mergeCell ref="A789:B789"/>
    <mergeCell ref="C789:D789"/>
    <mergeCell ref="E789:F789"/>
    <mergeCell ref="G789:H789"/>
    <mergeCell ref="I789:J789"/>
    <mergeCell ref="K789:L789"/>
    <mergeCell ref="B802:C802"/>
    <mergeCell ref="D802:E802"/>
    <mergeCell ref="A805:L805"/>
    <mergeCell ref="A806:L806"/>
    <mergeCell ref="C810:G810"/>
    <mergeCell ref="H810:I810"/>
    <mergeCell ref="B800:C800"/>
    <mergeCell ref="D800:E800"/>
    <mergeCell ref="B801:C801"/>
    <mergeCell ref="D801:E801"/>
    <mergeCell ref="G801:H801"/>
    <mergeCell ref="J801:L801"/>
    <mergeCell ref="A792:B792"/>
    <mergeCell ref="C792:D792"/>
    <mergeCell ref="E792:F792"/>
    <mergeCell ref="G792:H792"/>
    <mergeCell ref="I792:J792"/>
    <mergeCell ref="K792:L792"/>
    <mergeCell ref="A816:B816"/>
    <mergeCell ref="C816:D816"/>
    <mergeCell ref="E816:F816"/>
    <mergeCell ref="G816:H816"/>
    <mergeCell ref="I816:J816"/>
    <mergeCell ref="K816:L816"/>
    <mergeCell ref="A815:B815"/>
    <mergeCell ref="C815:D815"/>
    <mergeCell ref="E815:F815"/>
    <mergeCell ref="G815:H815"/>
    <mergeCell ref="I815:J815"/>
    <mergeCell ref="K815:L815"/>
    <mergeCell ref="C812:E812"/>
    <mergeCell ref="I812:K812"/>
    <mergeCell ref="J813:K813"/>
    <mergeCell ref="A814:B814"/>
    <mergeCell ref="C814:D814"/>
    <mergeCell ref="E814:F814"/>
    <mergeCell ref="G814:H814"/>
    <mergeCell ref="I814:J814"/>
    <mergeCell ref="K814:L814"/>
    <mergeCell ref="A820:B820"/>
    <mergeCell ref="C820:D820"/>
    <mergeCell ref="E820:F820"/>
    <mergeCell ref="G820:H820"/>
    <mergeCell ref="I820:J820"/>
    <mergeCell ref="K820:L820"/>
    <mergeCell ref="A818:B818"/>
    <mergeCell ref="C818:D818"/>
    <mergeCell ref="E818:F818"/>
    <mergeCell ref="G818:H818"/>
    <mergeCell ref="I818:J818"/>
    <mergeCell ref="K818:L818"/>
    <mergeCell ref="A817:B817"/>
    <mergeCell ref="C817:D817"/>
    <mergeCell ref="E817:F817"/>
    <mergeCell ref="G817:H817"/>
    <mergeCell ref="I817:J817"/>
    <mergeCell ref="K817:L817"/>
    <mergeCell ref="A823:B823"/>
    <mergeCell ref="C823:D823"/>
    <mergeCell ref="E823:F823"/>
    <mergeCell ref="G823:H823"/>
    <mergeCell ref="I823:J823"/>
    <mergeCell ref="K823:L823"/>
    <mergeCell ref="A822:B822"/>
    <mergeCell ref="C822:D822"/>
    <mergeCell ref="E822:F822"/>
    <mergeCell ref="G822:H822"/>
    <mergeCell ref="I822:J822"/>
    <mergeCell ref="K822:L822"/>
    <mergeCell ref="A821:B821"/>
    <mergeCell ref="C821:D821"/>
    <mergeCell ref="E821:F821"/>
    <mergeCell ref="G821:H821"/>
    <mergeCell ref="I821:J821"/>
    <mergeCell ref="K821:L821"/>
    <mergeCell ref="C843:E843"/>
    <mergeCell ref="I843:K843"/>
    <mergeCell ref="A845:B845"/>
    <mergeCell ref="C845:D845"/>
    <mergeCell ref="E845:F845"/>
    <mergeCell ref="G845:H845"/>
    <mergeCell ref="I845:J845"/>
    <mergeCell ref="K845:L845"/>
    <mergeCell ref="B833:C833"/>
    <mergeCell ref="D833:E833"/>
    <mergeCell ref="A836:L836"/>
    <mergeCell ref="A837:L837"/>
    <mergeCell ref="C841:G841"/>
    <mergeCell ref="H841:I841"/>
    <mergeCell ref="B831:C831"/>
    <mergeCell ref="D831:E831"/>
    <mergeCell ref="B832:C832"/>
    <mergeCell ref="D832:E832"/>
    <mergeCell ref="G832:H832"/>
    <mergeCell ref="J832:L832"/>
    <mergeCell ref="A848:B848"/>
    <mergeCell ref="C848:D848"/>
    <mergeCell ref="E848:F848"/>
    <mergeCell ref="G848:H848"/>
    <mergeCell ref="I848:J848"/>
    <mergeCell ref="K848:L848"/>
    <mergeCell ref="A847:B847"/>
    <mergeCell ref="C847:D847"/>
    <mergeCell ref="E847:F847"/>
    <mergeCell ref="G847:H847"/>
    <mergeCell ref="I847:J847"/>
    <mergeCell ref="K847:L847"/>
    <mergeCell ref="A846:B846"/>
    <mergeCell ref="C846:D846"/>
    <mergeCell ref="E846:F846"/>
    <mergeCell ref="G846:H846"/>
    <mergeCell ref="I846:J846"/>
    <mergeCell ref="K846:L846"/>
    <mergeCell ref="A852:B852"/>
    <mergeCell ref="C852:D852"/>
    <mergeCell ref="E852:F852"/>
    <mergeCell ref="G852:H852"/>
    <mergeCell ref="I852:J852"/>
    <mergeCell ref="K852:L852"/>
    <mergeCell ref="A851:B851"/>
    <mergeCell ref="C851:D851"/>
    <mergeCell ref="E851:F851"/>
    <mergeCell ref="G851:H851"/>
    <mergeCell ref="I851:J851"/>
    <mergeCell ref="K851:L851"/>
    <mergeCell ref="A849:B849"/>
    <mergeCell ref="C849:D849"/>
    <mergeCell ref="E849:F849"/>
    <mergeCell ref="G849:H849"/>
    <mergeCell ref="I849:J849"/>
    <mergeCell ref="K849:L849"/>
    <mergeCell ref="B862:C862"/>
    <mergeCell ref="D862:E862"/>
    <mergeCell ref="B863:C863"/>
    <mergeCell ref="D863:E863"/>
    <mergeCell ref="G863:H863"/>
    <mergeCell ref="J863:L863"/>
    <mergeCell ref="A854:B854"/>
    <mergeCell ref="C854:D854"/>
    <mergeCell ref="E854:F854"/>
    <mergeCell ref="G854:H854"/>
    <mergeCell ref="I854:J854"/>
    <mergeCell ref="K854:L854"/>
    <mergeCell ref="A853:B853"/>
    <mergeCell ref="C853:D853"/>
    <mergeCell ref="E853:F853"/>
    <mergeCell ref="G853:H853"/>
    <mergeCell ref="I853:J853"/>
    <mergeCell ref="K853:L853"/>
    <mergeCell ref="A877:B877"/>
    <mergeCell ref="C877:D877"/>
    <mergeCell ref="E877:F877"/>
    <mergeCell ref="G877:H877"/>
    <mergeCell ref="I877:J877"/>
    <mergeCell ref="K877:L877"/>
    <mergeCell ref="C874:E874"/>
    <mergeCell ref="I874:K874"/>
    <mergeCell ref="A876:B876"/>
    <mergeCell ref="C876:D876"/>
    <mergeCell ref="E876:F876"/>
    <mergeCell ref="G876:H876"/>
    <mergeCell ref="I876:J876"/>
    <mergeCell ref="K876:L876"/>
    <mergeCell ref="B864:C864"/>
    <mergeCell ref="D864:E864"/>
    <mergeCell ref="A867:L867"/>
    <mergeCell ref="A868:L868"/>
    <mergeCell ref="C872:G872"/>
    <mergeCell ref="H872:I872"/>
    <mergeCell ref="A880:B880"/>
    <mergeCell ref="C880:D880"/>
    <mergeCell ref="E880:F880"/>
    <mergeCell ref="G880:H880"/>
    <mergeCell ref="I880:J880"/>
    <mergeCell ref="K880:L880"/>
    <mergeCell ref="A879:B879"/>
    <mergeCell ref="C879:D879"/>
    <mergeCell ref="E879:F879"/>
    <mergeCell ref="G879:H879"/>
    <mergeCell ref="I879:J879"/>
    <mergeCell ref="K879:L879"/>
    <mergeCell ref="A878:B878"/>
    <mergeCell ref="C878:D878"/>
    <mergeCell ref="E878:F878"/>
    <mergeCell ref="G878:H878"/>
    <mergeCell ref="I878:J878"/>
    <mergeCell ref="K878:L878"/>
    <mergeCell ref="A884:B884"/>
    <mergeCell ref="C884:D884"/>
    <mergeCell ref="E884:F884"/>
    <mergeCell ref="G884:H884"/>
    <mergeCell ref="I884:J884"/>
    <mergeCell ref="K884:L884"/>
    <mergeCell ref="A883:B883"/>
    <mergeCell ref="C883:D883"/>
    <mergeCell ref="E883:F883"/>
    <mergeCell ref="G883:H883"/>
    <mergeCell ref="I883:J883"/>
    <mergeCell ref="K883:L883"/>
    <mergeCell ref="A882:B882"/>
    <mergeCell ref="C882:D882"/>
    <mergeCell ref="E882:F882"/>
    <mergeCell ref="G882:H882"/>
    <mergeCell ref="I882:J882"/>
    <mergeCell ref="K882:L882"/>
    <mergeCell ref="B895:C895"/>
    <mergeCell ref="D895:E895"/>
    <mergeCell ref="A898:L898"/>
    <mergeCell ref="A899:L899"/>
    <mergeCell ref="C903:G903"/>
    <mergeCell ref="H903:I903"/>
    <mergeCell ref="B893:C893"/>
    <mergeCell ref="D893:E893"/>
    <mergeCell ref="B894:C894"/>
    <mergeCell ref="D894:E894"/>
    <mergeCell ref="G894:H894"/>
    <mergeCell ref="J894:L894"/>
    <mergeCell ref="A885:B885"/>
    <mergeCell ref="C885:D885"/>
    <mergeCell ref="E885:F885"/>
    <mergeCell ref="G885:H885"/>
    <mergeCell ref="I885:J885"/>
    <mergeCell ref="K885:L885"/>
    <mergeCell ref="A909:B909"/>
    <mergeCell ref="C909:D909"/>
    <mergeCell ref="E909:F909"/>
    <mergeCell ref="G909:H909"/>
    <mergeCell ref="I909:J909"/>
    <mergeCell ref="K909:L909"/>
    <mergeCell ref="A908:B908"/>
    <mergeCell ref="C908:D908"/>
    <mergeCell ref="E908:F908"/>
    <mergeCell ref="G908:H908"/>
    <mergeCell ref="I908:J908"/>
    <mergeCell ref="K908:L908"/>
    <mergeCell ref="C905:E905"/>
    <mergeCell ref="I905:K905"/>
    <mergeCell ref="A907:B907"/>
    <mergeCell ref="C907:D907"/>
    <mergeCell ref="E907:F907"/>
    <mergeCell ref="G907:H907"/>
    <mergeCell ref="I907:J907"/>
    <mergeCell ref="K907:L907"/>
    <mergeCell ref="A913:B913"/>
    <mergeCell ref="C913:D913"/>
    <mergeCell ref="E913:F913"/>
    <mergeCell ref="G913:H913"/>
    <mergeCell ref="I913:J913"/>
    <mergeCell ref="K913:L913"/>
    <mergeCell ref="A911:B911"/>
    <mergeCell ref="C911:D911"/>
    <mergeCell ref="E911:F911"/>
    <mergeCell ref="G911:H911"/>
    <mergeCell ref="I911:J911"/>
    <mergeCell ref="K911:L911"/>
    <mergeCell ref="A910:B910"/>
    <mergeCell ref="C910:D910"/>
    <mergeCell ref="E910:F910"/>
    <mergeCell ref="G910:H910"/>
    <mergeCell ref="I910:J910"/>
    <mergeCell ref="K910:L910"/>
    <mergeCell ref="A916:B916"/>
    <mergeCell ref="C916:D916"/>
    <mergeCell ref="E916:F916"/>
    <mergeCell ref="G916:H916"/>
    <mergeCell ref="I916:J916"/>
    <mergeCell ref="K916:L916"/>
    <mergeCell ref="A915:B915"/>
    <mergeCell ref="C915:D915"/>
    <mergeCell ref="E915:F915"/>
    <mergeCell ref="G915:H915"/>
    <mergeCell ref="I915:J915"/>
    <mergeCell ref="K915:L915"/>
    <mergeCell ref="A914:B914"/>
    <mergeCell ref="C914:D914"/>
    <mergeCell ref="E914:F914"/>
    <mergeCell ref="G914:H914"/>
    <mergeCell ref="I914:J914"/>
    <mergeCell ref="K914:L914"/>
    <mergeCell ref="C936:E936"/>
    <mergeCell ref="I936:K936"/>
    <mergeCell ref="A938:B938"/>
    <mergeCell ref="C938:D938"/>
    <mergeCell ref="E938:F938"/>
    <mergeCell ref="G938:H938"/>
    <mergeCell ref="I938:J938"/>
    <mergeCell ref="K938:L938"/>
    <mergeCell ref="B926:C926"/>
    <mergeCell ref="D926:E926"/>
    <mergeCell ref="A929:L929"/>
    <mergeCell ref="A930:L930"/>
    <mergeCell ref="C934:G934"/>
    <mergeCell ref="H934:I934"/>
    <mergeCell ref="B924:C924"/>
    <mergeCell ref="D924:E924"/>
    <mergeCell ref="B925:C925"/>
    <mergeCell ref="D925:E925"/>
    <mergeCell ref="G925:H925"/>
    <mergeCell ref="J925:L925"/>
    <mergeCell ref="A941:B941"/>
    <mergeCell ref="C941:D941"/>
    <mergeCell ref="E941:F941"/>
    <mergeCell ref="G941:H941"/>
    <mergeCell ref="I941:J941"/>
    <mergeCell ref="K941:L941"/>
    <mergeCell ref="A940:B940"/>
    <mergeCell ref="C940:D940"/>
    <mergeCell ref="E940:F940"/>
    <mergeCell ref="G940:H940"/>
    <mergeCell ref="I940:J940"/>
    <mergeCell ref="K940:L940"/>
    <mergeCell ref="A939:B939"/>
    <mergeCell ref="C939:D939"/>
    <mergeCell ref="E939:F939"/>
    <mergeCell ref="G939:H939"/>
    <mergeCell ref="I939:J939"/>
    <mergeCell ref="K939:L939"/>
    <mergeCell ref="A945:B945"/>
    <mergeCell ref="C945:D945"/>
    <mergeCell ref="E945:F945"/>
    <mergeCell ref="G945:H945"/>
    <mergeCell ref="I945:J945"/>
    <mergeCell ref="K945:L945"/>
    <mergeCell ref="A944:B944"/>
    <mergeCell ref="C944:D944"/>
    <mergeCell ref="E944:F944"/>
    <mergeCell ref="G944:H944"/>
    <mergeCell ref="I944:J944"/>
    <mergeCell ref="K944:L944"/>
    <mergeCell ref="A942:B942"/>
    <mergeCell ref="C942:D942"/>
    <mergeCell ref="E942:F942"/>
    <mergeCell ref="G942:H942"/>
    <mergeCell ref="I942:J942"/>
    <mergeCell ref="K942:L942"/>
    <mergeCell ref="B955:C955"/>
    <mergeCell ref="D955:E955"/>
    <mergeCell ref="B956:C956"/>
    <mergeCell ref="D956:E956"/>
    <mergeCell ref="G956:H956"/>
    <mergeCell ref="J956:L956"/>
    <mergeCell ref="A947:B947"/>
    <mergeCell ref="C947:D947"/>
    <mergeCell ref="E947:F947"/>
    <mergeCell ref="G947:H947"/>
    <mergeCell ref="I947:J947"/>
    <mergeCell ref="K947:L947"/>
    <mergeCell ref="A946:B946"/>
    <mergeCell ref="C946:D946"/>
    <mergeCell ref="E946:F946"/>
    <mergeCell ref="G946:H946"/>
    <mergeCell ref="I946:J946"/>
    <mergeCell ref="K946:L946"/>
    <mergeCell ref="A970:B970"/>
    <mergeCell ref="C970:D970"/>
    <mergeCell ref="E970:F970"/>
    <mergeCell ref="G970:H970"/>
    <mergeCell ref="I970:J970"/>
    <mergeCell ref="K970:L970"/>
    <mergeCell ref="C967:E967"/>
    <mergeCell ref="I967:K967"/>
    <mergeCell ref="A969:B969"/>
    <mergeCell ref="C969:D969"/>
    <mergeCell ref="E969:F969"/>
    <mergeCell ref="G969:H969"/>
    <mergeCell ref="I969:J969"/>
    <mergeCell ref="K969:L969"/>
    <mergeCell ref="B957:C957"/>
    <mergeCell ref="D957:E957"/>
    <mergeCell ref="A960:L960"/>
    <mergeCell ref="A961:L961"/>
    <mergeCell ref="C965:G965"/>
    <mergeCell ref="H965:I965"/>
    <mergeCell ref="A973:B973"/>
    <mergeCell ref="C973:D973"/>
    <mergeCell ref="E973:F973"/>
    <mergeCell ref="G973:H973"/>
    <mergeCell ref="I973:J973"/>
    <mergeCell ref="K973:L973"/>
    <mergeCell ref="A972:B972"/>
    <mergeCell ref="C972:D972"/>
    <mergeCell ref="E972:F972"/>
    <mergeCell ref="G972:H972"/>
    <mergeCell ref="I972:J972"/>
    <mergeCell ref="K972:L972"/>
    <mergeCell ref="A971:B971"/>
    <mergeCell ref="C971:D971"/>
    <mergeCell ref="E971:F971"/>
    <mergeCell ref="G971:H971"/>
    <mergeCell ref="I971:J971"/>
    <mergeCell ref="K971:L971"/>
    <mergeCell ref="A977:B977"/>
    <mergeCell ref="C977:D977"/>
    <mergeCell ref="E977:F977"/>
    <mergeCell ref="G977:H977"/>
    <mergeCell ref="I977:J977"/>
    <mergeCell ref="K977:L977"/>
    <mergeCell ref="A976:B976"/>
    <mergeCell ref="C976:D976"/>
    <mergeCell ref="E976:F976"/>
    <mergeCell ref="G976:H976"/>
    <mergeCell ref="I976:J976"/>
    <mergeCell ref="K976:L976"/>
    <mergeCell ref="A975:B975"/>
    <mergeCell ref="C975:D975"/>
    <mergeCell ref="E975:F975"/>
    <mergeCell ref="G975:H975"/>
    <mergeCell ref="I975:J975"/>
    <mergeCell ref="K975:L975"/>
    <mergeCell ref="B988:C988"/>
    <mergeCell ref="D988:E988"/>
    <mergeCell ref="A991:L991"/>
    <mergeCell ref="A992:L992"/>
    <mergeCell ref="C996:G996"/>
    <mergeCell ref="H996:I996"/>
    <mergeCell ref="B986:C986"/>
    <mergeCell ref="D986:E986"/>
    <mergeCell ref="B987:C987"/>
    <mergeCell ref="D987:E987"/>
    <mergeCell ref="G987:H987"/>
    <mergeCell ref="J987:L987"/>
    <mergeCell ref="A978:B978"/>
    <mergeCell ref="C978:D978"/>
    <mergeCell ref="E978:F978"/>
    <mergeCell ref="G978:H978"/>
    <mergeCell ref="I978:J978"/>
    <mergeCell ref="K978:L978"/>
    <mergeCell ref="A1002:B1002"/>
    <mergeCell ref="C1002:D1002"/>
    <mergeCell ref="E1002:F1002"/>
    <mergeCell ref="G1002:H1002"/>
    <mergeCell ref="I1002:J1002"/>
    <mergeCell ref="K1002:L1002"/>
    <mergeCell ref="A1001:B1001"/>
    <mergeCell ref="C1001:D1001"/>
    <mergeCell ref="E1001:F1001"/>
    <mergeCell ref="G1001:H1001"/>
    <mergeCell ref="I1001:J1001"/>
    <mergeCell ref="K1001:L1001"/>
    <mergeCell ref="C998:E998"/>
    <mergeCell ref="I998:K998"/>
    <mergeCell ref="A1000:B1000"/>
    <mergeCell ref="C1000:D1000"/>
    <mergeCell ref="E1000:F1000"/>
    <mergeCell ref="G1000:H1000"/>
    <mergeCell ref="I1000:J1000"/>
    <mergeCell ref="K1000:L1000"/>
    <mergeCell ref="A1006:B1006"/>
    <mergeCell ref="C1006:D1006"/>
    <mergeCell ref="E1006:F1006"/>
    <mergeCell ref="G1006:H1006"/>
    <mergeCell ref="I1006:J1006"/>
    <mergeCell ref="K1006:L1006"/>
    <mergeCell ref="A1004:B1004"/>
    <mergeCell ref="C1004:D1004"/>
    <mergeCell ref="E1004:F1004"/>
    <mergeCell ref="G1004:H1004"/>
    <mergeCell ref="I1004:J1004"/>
    <mergeCell ref="K1004:L1004"/>
    <mergeCell ref="A1003:B1003"/>
    <mergeCell ref="C1003:D1003"/>
    <mergeCell ref="E1003:F1003"/>
    <mergeCell ref="G1003:H1003"/>
    <mergeCell ref="I1003:J1003"/>
    <mergeCell ref="K1003:L1003"/>
    <mergeCell ref="A1009:B1009"/>
    <mergeCell ref="C1009:D1009"/>
    <mergeCell ref="E1009:F1009"/>
    <mergeCell ref="G1009:H1009"/>
    <mergeCell ref="I1009:J1009"/>
    <mergeCell ref="K1009:L1009"/>
    <mergeCell ref="A1008:B1008"/>
    <mergeCell ref="C1008:D1008"/>
    <mergeCell ref="E1008:F1008"/>
    <mergeCell ref="G1008:H1008"/>
    <mergeCell ref="I1008:J1008"/>
    <mergeCell ref="K1008:L1008"/>
    <mergeCell ref="A1007:B1007"/>
    <mergeCell ref="C1007:D1007"/>
    <mergeCell ref="E1007:F1007"/>
    <mergeCell ref="G1007:H1007"/>
    <mergeCell ref="I1007:J1007"/>
    <mergeCell ref="K1007:L1007"/>
    <mergeCell ref="C1029:E1029"/>
    <mergeCell ref="I1029:K1029"/>
    <mergeCell ref="A1031:B1031"/>
    <mergeCell ref="C1031:D1031"/>
    <mergeCell ref="E1031:F1031"/>
    <mergeCell ref="G1031:H1031"/>
    <mergeCell ref="I1031:J1031"/>
    <mergeCell ref="K1031:L1031"/>
    <mergeCell ref="B1019:C1019"/>
    <mergeCell ref="D1019:E1019"/>
    <mergeCell ref="A1022:L1022"/>
    <mergeCell ref="A1023:L1023"/>
    <mergeCell ref="C1027:G1027"/>
    <mergeCell ref="H1027:I1027"/>
    <mergeCell ref="B1017:C1017"/>
    <mergeCell ref="D1017:E1017"/>
    <mergeCell ref="B1018:C1018"/>
    <mergeCell ref="D1018:E1018"/>
    <mergeCell ref="G1018:H1018"/>
    <mergeCell ref="J1018:L1018"/>
    <mergeCell ref="A1034:B1034"/>
    <mergeCell ref="C1034:D1034"/>
    <mergeCell ref="E1034:F1034"/>
    <mergeCell ref="G1034:H1034"/>
    <mergeCell ref="I1034:J1034"/>
    <mergeCell ref="K1034:L1034"/>
    <mergeCell ref="A1033:B1033"/>
    <mergeCell ref="C1033:D1033"/>
    <mergeCell ref="E1033:F1033"/>
    <mergeCell ref="G1033:H1033"/>
    <mergeCell ref="I1033:J1033"/>
    <mergeCell ref="K1033:L1033"/>
    <mergeCell ref="A1032:B1032"/>
    <mergeCell ref="C1032:D1032"/>
    <mergeCell ref="E1032:F1032"/>
    <mergeCell ref="G1032:H1032"/>
    <mergeCell ref="I1032:J1032"/>
    <mergeCell ref="K1032:L1032"/>
    <mergeCell ref="A1038:B1038"/>
    <mergeCell ref="C1038:D1038"/>
    <mergeCell ref="E1038:F1038"/>
    <mergeCell ref="G1038:H1038"/>
    <mergeCell ref="I1038:J1038"/>
    <mergeCell ref="K1038:L1038"/>
    <mergeCell ref="A1037:B1037"/>
    <mergeCell ref="C1037:D1037"/>
    <mergeCell ref="E1037:F1037"/>
    <mergeCell ref="G1037:H1037"/>
    <mergeCell ref="I1037:J1037"/>
    <mergeCell ref="K1037:L1037"/>
    <mergeCell ref="A1035:B1035"/>
    <mergeCell ref="C1035:D1035"/>
    <mergeCell ref="E1035:F1035"/>
    <mergeCell ref="G1035:H1035"/>
    <mergeCell ref="I1035:J1035"/>
    <mergeCell ref="K1035:L1035"/>
    <mergeCell ref="B1048:C1048"/>
    <mergeCell ref="D1048:E1048"/>
    <mergeCell ref="B1049:C1049"/>
    <mergeCell ref="D1049:E1049"/>
    <mergeCell ref="G1049:H1049"/>
    <mergeCell ref="J1049:L1049"/>
    <mergeCell ref="A1040:B1040"/>
    <mergeCell ref="C1040:D1040"/>
    <mergeCell ref="E1040:F1040"/>
    <mergeCell ref="G1040:H1040"/>
    <mergeCell ref="I1040:J1040"/>
    <mergeCell ref="K1040:L1040"/>
    <mergeCell ref="A1039:B1039"/>
    <mergeCell ref="C1039:D1039"/>
    <mergeCell ref="E1039:F1039"/>
    <mergeCell ref="G1039:H1039"/>
    <mergeCell ref="I1039:J1039"/>
    <mergeCell ref="K1039:L1039"/>
    <mergeCell ref="A1063:B1063"/>
    <mergeCell ref="C1063:D1063"/>
    <mergeCell ref="E1063:F1063"/>
    <mergeCell ref="G1063:H1063"/>
    <mergeCell ref="I1063:J1063"/>
    <mergeCell ref="K1063:L1063"/>
    <mergeCell ref="C1060:E1060"/>
    <mergeCell ref="I1060:K1060"/>
    <mergeCell ref="A1062:B1062"/>
    <mergeCell ref="C1062:D1062"/>
    <mergeCell ref="E1062:F1062"/>
    <mergeCell ref="G1062:H1062"/>
    <mergeCell ref="I1062:J1062"/>
    <mergeCell ref="K1062:L1062"/>
    <mergeCell ref="B1050:C1050"/>
    <mergeCell ref="D1050:E1050"/>
    <mergeCell ref="A1053:L1053"/>
    <mergeCell ref="A1054:L1054"/>
    <mergeCell ref="C1058:G1058"/>
    <mergeCell ref="H1058:I1058"/>
    <mergeCell ref="A1066:B1066"/>
    <mergeCell ref="C1066:D1066"/>
    <mergeCell ref="E1066:F1066"/>
    <mergeCell ref="G1066:H1066"/>
    <mergeCell ref="I1066:J1066"/>
    <mergeCell ref="K1066:L1066"/>
    <mergeCell ref="A1065:B1065"/>
    <mergeCell ref="C1065:D1065"/>
    <mergeCell ref="E1065:F1065"/>
    <mergeCell ref="G1065:H1065"/>
    <mergeCell ref="I1065:J1065"/>
    <mergeCell ref="K1065:L1065"/>
    <mergeCell ref="A1064:B1064"/>
    <mergeCell ref="C1064:D1064"/>
    <mergeCell ref="E1064:F1064"/>
    <mergeCell ref="G1064:H1064"/>
    <mergeCell ref="I1064:J1064"/>
    <mergeCell ref="K1064:L1064"/>
    <mergeCell ref="A1070:B1070"/>
    <mergeCell ref="C1070:D1070"/>
    <mergeCell ref="E1070:F1070"/>
    <mergeCell ref="G1070:H1070"/>
    <mergeCell ref="I1070:J1070"/>
    <mergeCell ref="K1070:L1070"/>
    <mergeCell ref="A1069:B1069"/>
    <mergeCell ref="C1069:D1069"/>
    <mergeCell ref="E1069:F1069"/>
    <mergeCell ref="G1069:H1069"/>
    <mergeCell ref="I1069:J1069"/>
    <mergeCell ref="K1069:L1069"/>
    <mergeCell ref="A1068:B1068"/>
    <mergeCell ref="C1068:D1068"/>
    <mergeCell ref="E1068:F1068"/>
    <mergeCell ref="G1068:H1068"/>
    <mergeCell ref="I1068:J1068"/>
    <mergeCell ref="K1068:L1068"/>
    <mergeCell ref="B1081:C1081"/>
    <mergeCell ref="D1081:E1081"/>
    <mergeCell ref="A1084:L1084"/>
    <mergeCell ref="A1085:L1085"/>
    <mergeCell ref="C1089:G1089"/>
    <mergeCell ref="H1089:I1089"/>
    <mergeCell ref="B1079:C1079"/>
    <mergeCell ref="D1079:E1079"/>
    <mergeCell ref="B1080:C1080"/>
    <mergeCell ref="D1080:E1080"/>
    <mergeCell ref="G1080:H1080"/>
    <mergeCell ref="J1080:L1080"/>
    <mergeCell ref="A1071:B1071"/>
    <mergeCell ref="C1071:D1071"/>
    <mergeCell ref="E1071:F1071"/>
    <mergeCell ref="G1071:H1071"/>
    <mergeCell ref="I1071:J1071"/>
    <mergeCell ref="K1071:L1071"/>
    <mergeCell ref="A1095:B1095"/>
    <mergeCell ref="C1095:D1095"/>
    <mergeCell ref="E1095:F1095"/>
    <mergeCell ref="G1095:H1095"/>
    <mergeCell ref="I1095:J1095"/>
    <mergeCell ref="K1095:L1095"/>
    <mergeCell ref="A1094:B1094"/>
    <mergeCell ref="C1094:D1094"/>
    <mergeCell ref="E1094:F1094"/>
    <mergeCell ref="G1094:H1094"/>
    <mergeCell ref="I1094:J1094"/>
    <mergeCell ref="K1094:L1094"/>
    <mergeCell ref="C1091:E1091"/>
    <mergeCell ref="I1091:K1091"/>
    <mergeCell ref="A1093:B1093"/>
    <mergeCell ref="C1093:D1093"/>
    <mergeCell ref="E1093:F1093"/>
    <mergeCell ref="G1093:H1093"/>
    <mergeCell ref="I1093:J1093"/>
    <mergeCell ref="K1093:L1093"/>
    <mergeCell ref="A1099:B1099"/>
    <mergeCell ref="C1099:D1099"/>
    <mergeCell ref="E1099:F1099"/>
    <mergeCell ref="G1099:H1099"/>
    <mergeCell ref="I1099:J1099"/>
    <mergeCell ref="K1099:L1099"/>
    <mergeCell ref="A1097:B1097"/>
    <mergeCell ref="C1097:D1097"/>
    <mergeCell ref="E1097:F1097"/>
    <mergeCell ref="G1097:H1097"/>
    <mergeCell ref="I1097:J1097"/>
    <mergeCell ref="K1097:L1097"/>
    <mergeCell ref="A1096:B1096"/>
    <mergeCell ref="C1096:D1096"/>
    <mergeCell ref="E1096:F1096"/>
    <mergeCell ref="G1096:H1096"/>
    <mergeCell ref="I1096:J1096"/>
    <mergeCell ref="K1096:L1096"/>
    <mergeCell ref="A1102:B1102"/>
    <mergeCell ref="C1102:D1102"/>
    <mergeCell ref="E1102:F1102"/>
    <mergeCell ref="G1102:H1102"/>
    <mergeCell ref="I1102:J1102"/>
    <mergeCell ref="K1102:L1102"/>
    <mergeCell ref="A1101:B1101"/>
    <mergeCell ref="C1101:D1101"/>
    <mergeCell ref="E1101:F1101"/>
    <mergeCell ref="G1101:H1101"/>
    <mergeCell ref="I1101:J1101"/>
    <mergeCell ref="K1101:L1101"/>
    <mergeCell ref="A1100:B1100"/>
    <mergeCell ref="C1100:D1100"/>
    <mergeCell ref="E1100:F1100"/>
    <mergeCell ref="G1100:H1100"/>
    <mergeCell ref="I1100:J1100"/>
    <mergeCell ref="K1100:L1100"/>
    <mergeCell ref="C1122:E1122"/>
    <mergeCell ref="I1122:K1122"/>
    <mergeCell ref="A1124:B1124"/>
    <mergeCell ref="C1124:D1124"/>
    <mergeCell ref="E1124:F1124"/>
    <mergeCell ref="G1124:H1124"/>
    <mergeCell ref="I1124:J1124"/>
    <mergeCell ref="K1124:L1124"/>
    <mergeCell ref="B1112:C1112"/>
    <mergeCell ref="D1112:E1112"/>
    <mergeCell ref="A1115:L1115"/>
    <mergeCell ref="A1116:L1116"/>
    <mergeCell ref="C1120:G1120"/>
    <mergeCell ref="H1120:I1120"/>
    <mergeCell ref="B1110:C1110"/>
    <mergeCell ref="D1110:E1110"/>
    <mergeCell ref="B1111:C1111"/>
    <mergeCell ref="D1111:E1111"/>
    <mergeCell ref="G1111:H1111"/>
    <mergeCell ref="J1111:L1111"/>
    <mergeCell ref="A1127:B1127"/>
    <mergeCell ref="C1127:D1127"/>
    <mergeCell ref="E1127:F1127"/>
    <mergeCell ref="G1127:H1127"/>
    <mergeCell ref="I1127:J1127"/>
    <mergeCell ref="K1127:L1127"/>
    <mergeCell ref="A1126:B1126"/>
    <mergeCell ref="C1126:D1126"/>
    <mergeCell ref="E1126:F1126"/>
    <mergeCell ref="G1126:H1126"/>
    <mergeCell ref="I1126:J1126"/>
    <mergeCell ref="K1126:L1126"/>
    <mergeCell ref="A1125:B1125"/>
    <mergeCell ref="C1125:D1125"/>
    <mergeCell ref="E1125:F1125"/>
    <mergeCell ref="G1125:H1125"/>
    <mergeCell ref="I1125:J1125"/>
    <mergeCell ref="K1125:L1125"/>
    <mergeCell ref="A1131:B1131"/>
    <mergeCell ref="C1131:D1131"/>
    <mergeCell ref="E1131:F1131"/>
    <mergeCell ref="G1131:H1131"/>
    <mergeCell ref="I1131:J1131"/>
    <mergeCell ref="K1131:L1131"/>
    <mergeCell ref="A1130:B1130"/>
    <mergeCell ref="C1130:D1130"/>
    <mergeCell ref="E1130:F1130"/>
    <mergeCell ref="G1130:H1130"/>
    <mergeCell ref="I1130:J1130"/>
    <mergeCell ref="K1130:L1130"/>
    <mergeCell ref="A1128:B1128"/>
    <mergeCell ref="C1128:D1128"/>
    <mergeCell ref="E1128:F1128"/>
    <mergeCell ref="G1128:H1128"/>
    <mergeCell ref="I1128:J1128"/>
    <mergeCell ref="K1128:L1128"/>
    <mergeCell ref="B1141:C1141"/>
    <mergeCell ref="D1141:E1141"/>
    <mergeCell ref="B1142:C1142"/>
    <mergeCell ref="D1142:E1142"/>
    <mergeCell ref="G1142:H1142"/>
    <mergeCell ref="J1142:L1142"/>
    <mergeCell ref="A1133:B1133"/>
    <mergeCell ref="C1133:D1133"/>
    <mergeCell ref="E1133:F1133"/>
    <mergeCell ref="G1133:H1133"/>
    <mergeCell ref="I1133:J1133"/>
    <mergeCell ref="K1133:L1133"/>
    <mergeCell ref="A1132:B1132"/>
    <mergeCell ref="C1132:D1132"/>
    <mergeCell ref="E1132:F1132"/>
    <mergeCell ref="G1132:H1132"/>
    <mergeCell ref="I1132:J1132"/>
    <mergeCell ref="K1132:L1132"/>
    <mergeCell ref="A1156:B1156"/>
    <mergeCell ref="C1156:D1156"/>
    <mergeCell ref="E1156:F1156"/>
    <mergeCell ref="G1156:H1156"/>
    <mergeCell ref="I1156:J1156"/>
    <mergeCell ref="K1156:L1156"/>
    <mergeCell ref="C1153:E1153"/>
    <mergeCell ref="I1153:K1153"/>
    <mergeCell ref="A1155:B1155"/>
    <mergeCell ref="C1155:D1155"/>
    <mergeCell ref="E1155:F1155"/>
    <mergeCell ref="G1155:H1155"/>
    <mergeCell ref="I1155:J1155"/>
    <mergeCell ref="K1155:L1155"/>
    <mergeCell ref="B1143:C1143"/>
    <mergeCell ref="D1143:E1143"/>
    <mergeCell ref="A1146:L1146"/>
    <mergeCell ref="A1147:L1147"/>
    <mergeCell ref="C1151:G1151"/>
    <mergeCell ref="H1151:I1151"/>
    <mergeCell ref="A1159:B1159"/>
    <mergeCell ref="C1159:D1159"/>
    <mergeCell ref="E1159:F1159"/>
    <mergeCell ref="G1159:H1159"/>
    <mergeCell ref="I1159:J1159"/>
    <mergeCell ref="K1159:L1159"/>
    <mergeCell ref="A1158:B1158"/>
    <mergeCell ref="C1158:D1158"/>
    <mergeCell ref="E1158:F1158"/>
    <mergeCell ref="G1158:H1158"/>
    <mergeCell ref="I1158:J1158"/>
    <mergeCell ref="K1158:L1158"/>
    <mergeCell ref="A1157:B1157"/>
    <mergeCell ref="C1157:D1157"/>
    <mergeCell ref="E1157:F1157"/>
    <mergeCell ref="G1157:H1157"/>
    <mergeCell ref="I1157:J1157"/>
    <mergeCell ref="K1157:L1157"/>
    <mergeCell ref="A1163:B1163"/>
    <mergeCell ref="C1163:D1163"/>
    <mergeCell ref="E1163:F1163"/>
    <mergeCell ref="G1163:H1163"/>
    <mergeCell ref="I1163:J1163"/>
    <mergeCell ref="K1163:L1163"/>
    <mergeCell ref="A1162:B1162"/>
    <mergeCell ref="C1162:D1162"/>
    <mergeCell ref="E1162:F1162"/>
    <mergeCell ref="G1162:H1162"/>
    <mergeCell ref="I1162:J1162"/>
    <mergeCell ref="K1162:L1162"/>
    <mergeCell ref="A1161:B1161"/>
    <mergeCell ref="C1161:D1161"/>
    <mergeCell ref="E1161:F1161"/>
    <mergeCell ref="G1161:H1161"/>
    <mergeCell ref="I1161:J1161"/>
    <mergeCell ref="K1161:L1161"/>
    <mergeCell ref="B1174:C1174"/>
    <mergeCell ref="D1174:E1174"/>
    <mergeCell ref="A1177:L1177"/>
    <mergeCell ref="A1178:L1178"/>
    <mergeCell ref="C1182:G1182"/>
    <mergeCell ref="H1182:I1182"/>
    <mergeCell ref="B1172:C1172"/>
    <mergeCell ref="D1172:E1172"/>
    <mergeCell ref="B1173:C1173"/>
    <mergeCell ref="D1173:E1173"/>
    <mergeCell ref="G1173:H1173"/>
    <mergeCell ref="J1173:L1173"/>
    <mergeCell ref="A1164:B1164"/>
    <mergeCell ref="C1164:D1164"/>
    <mergeCell ref="E1164:F1164"/>
    <mergeCell ref="G1164:H1164"/>
    <mergeCell ref="I1164:J1164"/>
    <mergeCell ref="K1164:L1164"/>
    <mergeCell ref="A1188:B1188"/>
    <mergeCell ref="C1188:D1188"/>
    <mergeCell ref="E1188:F1188"/>
    <mergeCell ref="G1188:H1188"/>
    <mergeCell ref="I1188:J1188"/>
    <mergeCell ref="K1188:L1188"/>
    <mergeCell ref="A1187:B1187"/>
    <mergeCell ref="C1187:D1187"/>
    <mergeCell ref="E1187:F1187"/>
    <mergeCell ref="G1187:H1187"/>
    <mergeCell ref="I1187:J1187"/>
    <mergeCell ref="K1187:L1187"/>
    <mergeCell ref="C1184:E1184"/>
    <mergeCell ref="I1184:K1184"/>
    <mergeCell ref="A1186:B1186"/>
    <mergeCell ref="C1186:D1186"/>
    <mergeCell ref="E1186:F1186"/>
    <mergeCell ref="G1186:H1186"/>
    <mergeCell ref="I1186:J1186"/>
    <mergeCell ref="K1186:L1186"/>
    <mergeCell ref="A1192:B1192"/>
    <mergeCell ref="C1192:D1192"/>
    <mergeCell ref="E1192:F1192"/>
    <mergeCell ref="G1192:H1192"/>
    <mergeCell ref="I1192:J1192"/>
    <mergeCell ref="K1192:L1192"/>
    <mergeCell ref="A1190:B1190"/>
    <mergeCell ref="C1190:D1190"/>
    <mergeCell ref="E1190:F1190"/>
    <mergeCell ref="G1190:H1190"/>
    <mergeCell ref="I1190:J1190"/>
    <mergeCell ref="K1190:L1190"/>
    <mergeCell ref="A1189:B1189"/>
    <mergeCell ref="C1189:D1189"/>
    <mergeCell ref="E1189:F1189"/>
    <mergeCell ref="G1189:H1189"/>
    <mergeCell ref="I1189:J1189"/>
    <mergeCell ref="K1189:L1189"/>
    <mergeCell ref="A1195:B1195"/>
    <mergeCell ref="C1195:D1195"/>
    <mergeCell ref="E1195:F1195"/>
    <mergeCell ref="G1195:H1195"/>
    <mergeCell ref="I1195:J1195"/>
    <mergeCell ref="K1195:L1195"/>
    <mergeCell ref="A1194:B1194"/>
    <mergeCell ref="C1194:D1194"/>
    <mergeCell ref="E1194:F1194"/>
    <mergeCell ref="G1194:H1194"/>
    <mergeCell ref="I1194:J1194"/>
    <mergeCell ref="K1194:L1194"/>
    <mergeCell ref="A1193:B1193"/>
    <mergeCell ref="C1193:D1193"/>
    <mergeCell ref="E1193:F1193"/>
    <mergeCell ref="G1193:H1193"/>
    <mergeCell ref="I1193:J1193"/>
    <mergeCell ref="K1193:L1193"/>
    <mergeCell ref="C1215:E1215"/>
    <mergeCell ref="I1215:K1215"/>
    <mergeCell ref="A1217:B1217"/>
    <mergeCell ref="C1217:D1217"/>
    <mergeCell ref="E1217:F1217"/>
    <mergeCell ref="G1217:H1217"/>
    <mergeCell ref="I1217:J1217"/>
    <mergeCell ref="K1217:L1217"/>
    <mergeCell ref="B1205:C1205"/>
    <mergeCell ref="D1205:E1205"/>
    <mergeCell ref="A1208:L1208"/>
    <mergeCell ref="A1209:L1209"/>
    <mergeCell ref="C1213:G1213"/>
    <mergeCell ref="H1213:I1213"/>
    <mergeCell ref="B1203:C1203"/>
    <mergeCell ref="D1203:E1203"/>
    <mergeCell ref="B1204:C1204"/>
    <mergeCell ref="D1204:E1204"/>
    <mergeCell ref="G1204:H1204"/>
    <mergeCell ref="J1204:L1204"/>
    <mergeCell ref="A1220:B1220"/>
    <mergeCell ref="C1220:D1220"/>
    <mergeCell ref="E1220:F1220"/>
    <mergeCell ref="G1220:H1220"/>
    <mergeCell ref="I1220:J1220"/>
    <mergeCell ref="K1220:L1220"/>
    <mergeCell ref="A1219:B1219"/>
    <mergeCell ref="C1219:D1219"/>
    <mergeCell ref="E1219:F1219"/>
    <mergeCell ref="G1219:H1219"/>
    <mergeCell ref="I1219:J1219"/>
    <mergeCell ref="K1219:L1219"/>
    <mergeCell ref="A1218:B1218"/>
    <mergeCell ref="C1218:D1218"/>
    <mergeCell ref="E1218:F1218"/>
    <mergeCell ref="G1218:H1218"/>
    <mergeCell ref="I1218:J1218"/>
    <mergeCell ref="K1218:L1218"/>
    <mergeCell ref="A1224:B1224"/>
    <mergeCell ref="C1224:D1224"/>
    <mergeCell ref="E1224:F1224"/>
    <mergeCell ref="G1224:H1224"/>
    <mergeCell ref="I1224:J1224"/>
    <mergeCell ref="K1224:L1224"/>
    <mergeCell ref="A1223:B1223"/>
    <mergeCell ref="C1223:D1223"/>
    <mergeCell ref="E1223:F1223"/>
    <mergeCell ref="G1223:H1223"/>
    <mergeCell ref="I1223:J1223"/>
    <mergeCell ref="K1223:L1223"/>
    <mergeCell ref="A1221:B1221"/>
    <mergeCell ref="C1221:D1221"/>
    <mergeCell ref="E1221:F1221"/>
    <mergeCell ref="G1221:H1221"/>
    <mergeCell ref="I1221:J1221"/>
    <mergeCell ref="K1221:L1221"/>
    <mergeCell ref="B1234:C1234"/>
    <mergeCell ref="D1234:E1234"/>
    <mergeCell ref="B1235:C1235"/>
    <mergeCell ref="D1235:E1235"/>
    <mergeCell ref="G1235:H1235"/>
    <mergeCell ref="J1235:L1235"/>
    <mergeCell ref="A1226:B1226"/>
    <mergeCell ref="C1226:D1226"/>
    <mergeCell ref="E1226:F1226"/>
    <mergeCell ref="G1226:H1226"/>
    <mergeCell ref="I1226:J1226"/>
    <mergeCell ref="K1226:L1226"/>
    <mergeCell ref="A1225:B1225"/>
    <mergeCell ref="C1225:D1225"/>
    <mergeCell ref="E1225:F1225"/>
    <mergeCell ref="G1225:H1225"/>
    <mergeCell ref="I1225:J1225"/>
    <mergeCell ref="K1225:L1225"/>
    <mergeCell ref="A1249:B1249"/>
    <mergeCell ref="C1249:D1249"/>
    <mergeCell ref="E1249:F1249"/>
    <mergeCell ref="G1249:H1249"/>
    <mergeCell ref="I1249:J1249"/>
    <mergeCell ref="K1249:L1249"/>
    <mergeCell ref="C1246:E1246"/>
    <mergeCell ref="I1246:K1246"/>
    <mergeCell ref="A1248:B1248"/>
    <mergeCell ref="C1248:D1248"/>
    <mergeCell ref="E1248:F1248"/>
    <mergeCell ref="G1248:H1248"/>
    <mergeCell ref="I1248:J1248"/>
    <mergeCell ref="K1248:L1248"/>
    <mergeCell ref="B1236:C1236"/>
    <mergeCell ref="D1236:E1236"/>
    <mergeCell ref="A1239:L1239"/>
    <mergeCell ref="A1240:L1240"/>
    <mergeCell ref="C1244:G1244"/>
    <mergeCell ref="H1244:I1244"/>
    <mergeCell ref="A1252:B1252"/>
    <mergeCell ref="C1252:D1252"/>
    <mergeCell ref="E1252:F1252"/>
    <mergeCell ref="G1252:H1252"/>
    <mergeCell ref="I1252:J1252"/>
    <mergeCell ref="K1252:L1252"/>
    <mergeCell ref="A1251:B1251"/>
    <mergeCell ref="C1251:D1251"/>
    <mergeCell ref="E1251:F1251"/>
    <mergeCell ref="G1251:H1251"/>
    <mergeCell ref="I1251:J1251"/>
    <mergeCell ref="K1251:L1251"/>
    <mergeCell ref="A1250:B1250"/>
    <mergeCell ref="C1250:D1250"/>
    <mergeCell ref="E1250:F1250"/>
    <mergeCell ref="G1250:H1250"/>
    <mergeCell ref="I1250:J1250"/>
    <mergeCell ref="K1250:L1250"/>
    <mergeCell ref="A1256:B1256"/>
    <mergeCell ref="C1256:D1256"/>
    <mergeCell ref="E1256:F1256"/>
    <mergeCell ref="G1256:H1256"/>
    <mergeCell ref="I1256:J1256"/>
    <mergeCell ref="K1256:L1256"/>
    <mergeCell ref="A1255:B1255"/>
    <mergeCell ref="C1255:D1255"/>
    <mergeCell ref="E1255:F1255"/>
    <mergeCell ref="G1255:H1255"/>
    <mergeCell ref="I1255:J1255"/>
    <mergeCell ref="K1255:L1255"/>
    <mergeCell ref="A1254:B1254"/>
    <mergeCell ref="C1254:D1254"/>
    <mergeCell ref="E1254:F1254"/>
    <mergeCell ref="G1254:H1254"/>
    <mergeCell ref="I1254:J1254"/>
    <mergeCell ref="K1254:L1254"/>
    <mergeCell ref="B1267:C1267"/>
    <mergeCell ref="D1267:E1267"/>
    <mergeCell ref="A1270:L1270"/>
    <mergeCell ref="A1271:L1271"/>
    <mergeCell ref="C1275:G1275"/>
    <mergeCell ref="H1275:I1275"/>
    <mergeCell ref="B1265:C1265"/>
    <mergeCell ref="D1265:E1265"/>
    <mergeCell ref="B1266:C1266"/>
    <mergeCell ref="D1266:E1266"/>
    <mergeCell ref="G1266:H1266"/>
    <mergeCell ref="J1266:L1266"/>
    <mergeCell ref="A1257:B1257"/>
    <mergeCell ref="C1257:D1257"/>
    <mergeCell ref="E1257:F1257"/>
    <mergeCell ref="G1257:H1257"/>
    <mergeCell ref="I1257:J1257"/>
    <mergeCell ref="K1257:L1257"/>
    <mergeCell ref="A1281:B1281"/>
    <mergeCell ref="C1281:D1281"/>
    <mergeCell ref="E1281:F1281"/>
    <mergeCell ref="G1281:H1281"/>
    <mergeCell ref="I1281:J1281"/>
    <mergeCell ref="K1281:L1281"/>
    <mergeCell ref="A1280:B1280"/>
    <mergeCell ref="C1280:D1280"/>
    <mergeCell ref="E1280:F1280"/>
    <mergeCell ref="G1280:H1280"/>
    <mergeCell ref="I1280:J1280"/>
    <mergeCell ref="K1280:L1280"/>
    <mergeCell ref="C1277:E1277"/>
    <mergeCell ref="I1277:K1277"/>
    <mergeCell ref="A1279:B1279"/>
    <mergeCell ref="C1279:D1279"/>
    <mergeCell ref="E1279:F1279"/>
    <mergeCell ref="G1279:H1279"/>
    <mergeCell ref="I1279:J1279"/>
    <mergeCell ref="K1279:L1279"/>
    <mergeCell ref="A1285:B1285"/>
    <mergeCell ref="C1285:D1285"/>
    <mergeCell ref="E1285:F1285"/>
    <mergeCell ref="G1285:H1285"/>
    <mergeCell ref="I1285:J1285"/>
    <mergeCell ref="K1285:L1285"/>
    <mergeCell ref="A1283:B1283"/>
    <mergeCell ref="C1283:D1283"/>
    <mergeCell ref="E1283:F1283"/>
    <mergeCell ref="G1283:H1283"/>
    <mergeCell ref="I1283:J1283"/>
    <mergeCell ref="K1283:L1283"/>
    <mergeCell ref="A1282:B1282"/>
    <mergeCell ref="C1282:D1282"/>
    <mergeCell ref="E1282:F1282"/>
    <mergeCell ref="G1282:H1282"/>
    <mergeCell ref="I1282:J1282"/>
    <mergeCell ref="K1282:L1282"/>
    <mergeCell ref="A1288:B1288"/>
    <mergeCell ref="C1288:D1288"/>
    <mergeCell ref="E1288:F1288"/>
    <mergeCell ref="G1288:H1288"/>
    <mergeCell ref="I1288:J1288"/>
    <mergeCell ref="K1288:L1288"/>
    <mergeCell ref="A1287:B1287"/>
    <mergeCell ref="C1287:D1287"/>
    <mergeCell ref="E1287:F1287"/>
    <mergeCell ref="G1287:H1287"/>
    <mergeCell ref="I1287:J1287"/>
    <mergeCell ref="K1287:L1287"/>
    <mergeCell ref="A1286:B1286"/>
    <mergeCell ref="C1286:D1286"/>
    <mergeCell ref="E1286:F1286"/>
    <mergeCell ref="G1286:H1286"/>
    <mergeCell ref="I1286:J1286"/>
    <mergeCell ref="K1286:L1286"/>
    <mergeCell ref="C1308:E1308"/>
    <mergeCell ref="I1308:K1308"/>
    <mergeCell ref="A1310:B1310"/>
    <mergeCell ref="C1310:D1310"/>
    <mergeCell ref="E1310:F1310"/>
    <mergeCell ref="G1310:H1310"/>
    <mergeCell ref="I1310:J1310"/>
    <mergeCell ref="K1310:L1310"/>
    <mergeCell ref="B1298:C1298"/>
    <mergeCell ref="D1298:E1298"/>
    <mergeCell ref="A1301:L1301"/>
    <mergeCell ref="A1302:L1302"/>
    <mergeCell ref="C1306:G1306"/>
    <mergeCell ref="H1306:I1306"/>
    <mergeCell ref="B1296:C1296"/>
    <mergeCell ref="D1296:E1296"/>
    <mergeCell ref="B1297:C1297"/>
    <mergeCell ref="D1297:E1297"/>
    <mergeCell ref="G1297:H1297"/>
    <mergeCell ref="J1297:L1297"/>
    <mergeCell ref="A1313:B1313"/>
    <mergeCell ref="C1313:D1313"/>
    <mergeCell ref="E1313:F1313"/>
    <mergeCell ref="G1313:H1313"/>
    <mergeCell ref="I1313:J1313"/>
    <mergeCell ref="K1313:L1313"/>
    <mergeCell ref="A1312:B1312"/>
    <mergeCell ref="C1312:D1312"/>
    <mergeCell ref="E1312:F1312"/>
    <mergeCell ref="G1312:H1312"/>
    <mergeCell ref="I1312:J1312"/>
    <mergeCell ref="K1312:L1312"/>
    <mergeCell ref="A1311:B1311"/>
    <mergeCell ref="C1311:D1311"/>
    <mergeCell ref="E1311:F1311"/>
    <mergeCell ref="G1311:H1311"/>
    <mergeCell ref="I1311:J1311"/>
    <mergeCell ref="K1311:L1311"/>
    <mergeCell ref="A1317:B1317"/>
    <mergeCell ref="C1317:D1317"/>
    <mergeCell ref="E1317:F1317"/>
    <mergeCell ref="G1317:H1317"/>
    <mergeCell ref="I1317:J1317"/>
    <mergeCell ref="K1317:L1317"/>
    <mergeCell ref="A1316:B1316"/>
    <mergeCell ref="C1316:D1316"/>
    <mergeCell ref="E1316:F1316"/>
    <mergeCell ref="G1316:H1316"/>
    <mergeCell ref="I1316:J1316"/>
    <mergeCell ref="K1316:L1316"/>
    <mergeCell ref="A1314:B1314"/>
    <mergeCell ref="C1314:D1314"/>
    <mergeCell ref="E1314:F1314"/>
    <mergeCell ref="G1314:H1314"/>
    <mergeCell ref="I1314:J1314"/>
    <mergeCell ref="K1314:L1314"/>
    <mergeCell ref="B1327:C1327"/>
    <mergeCell ref="D1327:E1327"/>
    <mergeCell ref="B1328:C1328"/>
    <mergeCell ref="D1328:E1328"/>
    <mergeCell ref="G1328:H1328"/>
    <mergeCell ref="J1328:L1328"/>
    <mergeCell ref="A1319:B1319"/>
    <mergeCell ref="C1319:D1319"/>
    <mergeCell ref="E1319:F1319"/>
    <mergeCell ref="G1319:H1319"/>
    <mergeCell ref="I1319:J1319"/>
    <mergeCell ref="K1319:L1319"/>
    <mergeCell ref="A1318:B1318"/>
    <mergeCell ref="C1318:D1318"/>
    <mergeCell ref="E1318:F1318"/>
    <mergeCell ref="G1318:H1318"/>
    <mergeCell ref="I1318:J1318"/>
    <mergeCell ref="K1318:L1318"/>
    <mergeCell ref="A1342:B1342"/>
    <mergeCell ref="C1342:D1342"/>
    <mergeCell ref="E1342:F1342"/>
    <mergeCell ref="G1342:H1342"/>
    <mergeCell ref="I1342:J1342"/>
    <mergeCell ref="K1342:L1342"/>
    <mergeCell ref="C1339:E1339"/>
    <mergeCell ref="I1339:K1339"/>
    <mergeCell ref="A1341:B1341"/>
    <mergeCell ref="C1341:D1341"/>
    <mergeCell ref="E1341:F1341"/>
    <mergeCell ref="G1341:H1341"/>
    <mergeCell ref="I1341:J1341"/>
    <mergeCell ref="K1341:L1341"/>
    <mergeCell ref="B1329:C1329"/>
    <mergeCell ref="D1329:E1329"/>
    <mergeCell ref="A1332:L1332"/>
    <mergeCell ref="A1333:L1333"/>
    <mergeCell ref="C1337:G1337"/>
    <mergeCell ref="H1337:I1337"/>
    <mergeCell ref="A1345:B1345"/>
    <mergeCell ref="C1345:D1345"/>
    <mergeCell ref="E1345:F1345"/>
    <mergeCell ref="G1345:H1345"/>
    <mergeCell ref="I1345:J1345"/>
    <mergeCell ref="K1345:L1345"/>
    <mergeCell ref="A1344:B1344"/>
    <mergeCell ref="C1344:D1344"/>
    <mergeCell ref="E1344:F1344"/>
    <mergeCell ref="G1344:H1344"/>
    <mergeCell ref="I1344:J1344"/>
    <mergeCell ref="K1344:L1344"/>
    <mergeCell ref="A1343:B1343"/>
    <mergeCell ref="C1343:D1343"/>
    <mergeCell ref="E1343:F1343"/>
    <mergeCell ref="G1343:H1343"/>
    <mergeCell ref="I1343:J1343"/>
    <mergeCell ref="K1343:L1343"/>
    <mergeCell ref="A1349:B1349"/>
    <mergeCell ref="C1349:D1349"/>
    <mergeCell ref="E1349:F1349"/>
    <mergeCell ref="G1349:H1349"/>
    <mergeCell ref="I1349:J1349"/>
    <mergeCell ref="K1349:L1349"/>
    <mergeCell ref="A1348:B1348"/>
    <mergeCell ref="C1348:D1348"/>
    <mergeCell ref="E1348:F1348"/>
    <mergeCell ref="G1348:H1348"/>
    <mergeCell ref="I1348:J1348"/>
    <mergeCell ref="K1348:L1348"/>
    <mergeCell ref="A1347:B1347"/>
    <mergeCell ref="C1347:D1347"/>
    <mergeCell ref="E1347:F1347"/>
    <mergeCell ref="G1347:H1347"/>
    <mergeCell ref="I1347:J1347"/>
    <mergeCell ref="K1347:L1347"/>
    <mergeCell ref="B1360:C1360"/>
    <mergeCell ref="D1360:E1360"/>
    <mergeCell ref="A1363:L1363"/>
    <mergeCell ref="A1364:L1364"/>
    <mergeCell ref="C1368:G1368"/>
    <mergeCell ref="H1368:I1368"/>
    <mergeCell ref="B1358:C1358"/>
    <mergeCell ref="D1358:E1358"/>
    <mergeCell ref="B1359:C1359"/>
    <mergeCell ref="D1359:E1359"/>
    <mergeCell ref="G1359:H1359"/>
    <mergeCell ref="J1359:L1359"/>
    <mergeCell ref="A1350:B1350"/>
    <mergeCell ref="C1350:D1350"/>
    <mergeCell ref="E1350:F1350"/>
    <mergeCell ref="G1350:H1350"/>
    <mergeCell ref="I1350:J1350"/>
    <mergeCell ref="K1350:L1350"/>
    <mergeCell ref="A1374:B1374"/>
    <mergeCell ref="C1374:D1374"/>
    <mergeCell ref="E1374:F1374"/>
    <mergeCell ref="G1374:H1374"/>
    <mergeCell ref="I1374:J1374"/>
    <mergeCell ref="K1374:L1374"/>
    <mergeCell ref="A1373:B1373"/>
    <mergeCell ref="C1373:D1373"/>
    <mergeCell ref="E1373:F1373"/>
    <mergeCell ref="G1373:H1373"/>
    <mergeCell ref="I1373:J1373"/>
    <mergeCell ref="K1373:L1373"/>
    <mergeCell ref="C1370:E1370"/>
    <mergeCell ref="I1370:K1370"/>
    <mergeCell ref="A1372:B1372"/>
    <mergeCell ref="C1372:D1372"/>
    <mergeCell ref="E1372:F1372"/>
    <mergeCell ref="G1372:H1372"/>
    <mergeCell ref="I1372:J1372"/>
    <mergeCell ref="K1372:L1372"/>
    <mergeCell ref="A1378:B1378"/>
    <mergeCell ref="C1378:D1378"/>
    <mergeCell ref="E1378:F1378"/>
    <mergeCell ref="G1378:H1378"/>
    <mergeCell ref="I1378:J1378"/>
    <mergeCell ref="K1378:L1378"/>
    <mergeCell ref="A1376:B1376"/>
    <mergeCell ref="C1376:D1376"/>
    <mergeCell ref="E1376:F1376"/>
    <mergeCell ref="G1376:H1376"/>
    <mergeCell ref="I1376:J1376"/>
    <mergeCell ref="K1376:L1376"/>
    <mergeCell ref="A1375:B1375"/>
    <mergeCell ref="C1375:D1375"/>
    <mergeCell ref="E1375:F1375"/>
    <mergeCell ref="G1375:H1375"/>
    <mergeCell ref="I1375:J1375"/>
    <mergeCell ref="K1375:L1375"/>
    <mergeCell ref="A1381:B1381"/>
    <mergeCell ref="C1381:D1381"/>
    <mergeCell ref="E1381:F1381"/>
    <mergeCell ref="G1381:H1381"/>
    <mergeCell ref="I1381:J1381"/>
    <mergeCell ref="K1381:L1381"/>
    <mergeCell ref="A1380:B1380"/>
    <mergeCell ref="C1380:D1380"/>
    <mergeCell ref="E1380:F1380"/>
    <mergeCell ref="G1380:H1380"/>
    <mergeCell ref="I1380:J1380"/>
    <mergeCell ref="K1380:L1380"/>
    <mergeCell ref="A1379:B1379"/>
    <mergeCell ref="C1379:D1379"/>
    <mergeCell ref="E1379:F1379"/>
    <mergeCell ref="G1379:H1379"/>
    <mergeCell ref="I1379:J1379"/>
    <mergeCell ref="K1379:L1379"/>
    <mergeCell ref="C1401:E1401"/>
    <mergeCell ref="I1401:K1401"/>
    <mergeCell ref="A1403:B1403"/>
    <mergeCell ref="C1403:D1403"/>
    <mergeCell ref="E1403:F1403"/>
    <mergeCell ref="G1403:H1403"/>
    <mergeCell ref="I1403:J1403"/>
    <mergeCell ref="K1403:L1403"/>
    <mergeCell ref="B1391:C1391"/>
    <mergeCell ref="D1391:E1391"/>
    <mergeCell ref="A1394:L1394"/>
    <mergeCell ref="A1395:L1395"/>
    <mergeCell ref="C1399:G1399"/>
    <mergeCell ref="H1399:I1399"/>
    <mergeCell ref="B1389:C1389"/>
    <mergeCell ref="D1389:E1389"/>
    <mergeCell ref="B1390:C1390"/>
    <mergeCell ref="D1390:E1390"/>
    <mergeCell ref="G1390:H1390"/>
    <mergeCell ref="J1390:L1390"/>
    <mergeCell ref="A1406:B1406"/>
    <mergeCell ref="C1406:D1406"/>
    <mergeCell ref="E1406:F1406"/>
    <mergeCell ref="G1406:H1406"/>
    <mergeCell ref="I1406:J1406"/>
    <mergeCell ref="K1406:L1406"/>
    <mergeCell ref="A1405:B1405"/>
    <mergeCell ref="C1405:D1405"/>
    <mergeCell ref="E1405:F1405"/>
    <mergeCell ref="G1405:H1405"/>
    <mergeCell ref="I1405:J1405"/>
    <mergeCell ref="K1405:L1405"/>
    <mergeCell ref="A1404:B1404"/>
    <mergeCell ref="C1404:D1404"/>
    <mergeCell ref="E1404:F1404"/>
    <mergeCell ref="G1404:H1404"/>
    <mergeCell ref="I1404:J1404"/>
    <mergeCell ref="K1404:L1404"/>
    <mergeCell ref="A1410:B1410"/>
    <mergeCell ref="C1410:D1410"/>
    <mergeCell ref="E1410:F1410"/>
    <mergeCell ref="G1410:H1410"/>
    <mergeCell ref="I1410:J1410"/>
    <mergeCell ref="K1410:L1410"/>
    <mergeCell ref="A1409:B1409"/>
    <mergeCell ref="C1409:D1409"/>
    <mergeCell ref="E1409:F1409"/>
    <mergeCell ref="G1409:H1409"/>
    <mergeCell ref="I1409:J1409"/>
    <mergeCell ref="K1409:L1409"/>
    <mergeCell ref="A1407:B1407"/>
    <mergeCell ref="C1407:D1407"/>
    <mergeCell ref="E1407:F1407"/>
    <mergeCell ref="G1407:H1407"/>
    <mergeCell ref="I1407:J1407"/>
    <mergeCell ref="K1407:L1407"/>
    <mergeCell ref="B1422:C1422"/>
    <mergeCell ref="D1422:E1422"/>
    <mergeCell ref="B1420:C1420"/>
    <mergeCell ref="D1420:E1420"/>
    <mergeCell ref="B1421:C1421"/>
    <mergeCell ref="D1421:E1421"/>
    <mergeCell ref="G1421:H1421"/>
    <mergeCell ref="J1421:L1421"/>
    <mergeCell ref="A1412:B1412"/>
    <mergeCell ref="C1412:D1412"/>
    <mergeCell ref="E1412:F1412"/>
    <mergeCell ref="G1412:H1412"/>
    <mergeCell ref="I1412:J1412"/>
    <mergeCell ref="K1412:L1412"/>
    <mergeCell ref="A1411:B1411"/>
    <mergeCell ref="C1411:D1411"/>
    <mergeCell ref="E1411:F1411"/>
    <mergeCell ref="G1411:H1411"/>
    <mergeCell ref="I1411:J1411"/>
    <mergeCell ref="K1411:L1411"/>
  </mergeCells>
  <conditionalFormatting sqref="I1:I5 D1:G5 B23:L23 A27:G29 D7:G22 D30:G31 H21:K22 H24:K25 D46 L1:L22 L24:L41 J26:J41 H1:H20 H26:H41 F32:F41 D32:D41 H46 L46 F46 J46 L50:L72 J50:J72 H50:H72 F50:F72 C30:C165 D50:D72 L77 J77 H77 F77 D77 D81:D165 H81:H293 I290:L290 I79:J79 C167:D292 E204:G204 G294:H514 K512:L512 L81:L289 L359:L507 D712:G716 C1423:C1454 B734:L734 G732:K733 G735:K736 H1036 I719:K719 F1036 G1028:G1057 G997:G1026 F1098 G1090:G1119 J788 F819 G811:G840 B886:B906 B917:B937 H943 F1067 E1059:E1078 J1067 H1067 H1160 J1222 F1227:F1243 D1222 D294:D711 G32:G203 G205:G293 F81:F109 E32:E109 E110:F203 E205:F514 E515:G711 I7:I20 I26:I78 I80:I103 I510:I716 A1:A26 A30:A1454 B1:C22 B24:G26 B30:B720 D1413:D1454 D718:D720 F718:F720 H515:H720 J81:J103 I104:J289 I291:J509 J510:J718 J720 L509:L511 L513:L720 F1413:F1454 H1413:H1454 B726 F1400:F1403 G1400:G1454 B1413:B1454 D726 F726 H726 J726 L726 L1413:L1454 E718:E733 E735:E737 J1413:J1454 I749:I778 E1423:E1454 F1408 D1408 L1408 J1408 H1408 I1400:I1454 C1392:C1419 B1408 D1400:D1403 E1400:E1419 F1382:F1398 D1382:D1398 B1382:B1402 L1382:L1402 L1351:L1371 E1392:E1398 H1382:H1403 J1382:J1403 F1369:F1372 G1369:G1398 C1361:C1388 H1377 J1377 B1377 D1377 F1377 L1377 J1351:J1372 H1351:H1372 D1369:D1372 E1369:E1388 B1351:B1371 I1369:I1398 J1346 H1346 F1346 D1346 B1346 L1320:L1340 G1338:G1367 E1361:E1367 D1351:D1367 F1351:F1367 H1320:H1341 E1338:E1357 I1338:I1367 D1338:D1341 L1346 F1338:F1341 D1320:D1336 F1320:F1336 B1320:B1340 J1320:J1341 F1307:F1310 C1330:C1357 G1307:G1336 E1330:E1336 F1315 D1315 L1315 J1315 H1315 I1307:I1336 C1299:C1326 B1315 D1307:D1310 E1307:E1326 F1289:F1305 D1289:D1305 B1289:B1309 L1289:L1309 L1258:L1278 E1299:E1305 H1289:H1310 J1289:J1310 F1276:F1279 G1276:G1305 C1268:C1295 H1284 J1284 B1284 D1284 F1284 L1284 J1258:J1279 H1258:H1279 D1276:D1279 E1276:E1295 B1258:B1278 I1276:I1305 J1253 H1253 F1253 D1253 B1253 L1227:L1247 G1245:G1274 E1268:E1274 D1258:D1274 F1258:F1274 H1227:H1248 E1245:E1264 I1245:I1274 D1245:D1248 L1253 F1245:F1248 D1227:D1243 L1222 B1227:B1247 J1227:J1248 C1237:C1264 E1237:E1243 F1222 F1196:F1212 H1222 F1214:F1217 C1206:C1233 B1222 B1196:B1216 G1214:G1243 E1214:E1233 D1214:D1217 D1196:D1212 I1214:I1243 L1196:L1216 L1165:L1185 E1206:E1212 J1196:J1217 H1196:H1217 C1175:C1202 H1191 J1191 B1191 D1191 F1191 L1191 F1183:F1186 H1165:H1186 G1183:G1212 D1183:D1186 E1183:E1202 B1165:B1185 J1165:J1186 I1183:I1212 D1160 B1160 E1152:E1171 F1160 L1134:L1154 H1134:H1155 E1175:E1181 D1165:D1181 F1165:F1181 J1160 G1152:G1181 I1152:I1181 D1152:D1155 L1160 F1152:F1155 D1134:D1150 F1134:F1150 B1134:B1154 J1134:J1155 C1144:C1171 F1121:F1124 G1121:G1150 E1144:E1150 F1129 D1129 L1129 J1129 H1129 I1121:I1150 C1113:C1140 B1129 D1121:D1124 E1121:E1140 F1103:F1119 D1103:D1119 B1103:B1123 L1103:L1123 L1072:L1092 E1113:E1119 H1103:H1124 J1103:J1124 C1082:C1109 H1098 J1098 B1098 D1098 F1090:F1093 L1098 J1072:J1093 H1072:H1093 E1090:E1109 D1090:D1093 B1072:B1092 I1090:I1119 G1059:G1088 D1041:D1057 D1067 B1067 L1041:L1061 H1041:H1062 E1082:E1088 F1072:F1088 D1072:D1088 I1059:I1088 D1059:D1062 L1067 F1059:F1062 F1041:F1057 B1041:B1061 J1041:J1062 C1051:C1078 D1028:D1031 E1051:E1057 B1010:B1030 D1036 L1036 J1036 I1028:I1057 C1020:C1047 B1036 F1028:F1031 E1028:E1047 F1010:F1026 D1010:D1026 L1010:L1030 L979:L999 E1020:E1026 H1010:H1031 J1010:J1031 C989:C1016 H1005 J1005 B1005 D1005 F1005 L1005 B979:B999 D997:D1000 F997:F1000 H979:H1000 E997:E1016 J1:K20 K26:K289 K291:L358 K359:K511 K513:K718 K720:K731 K737:K1454 J979:J1000 I997:I1026 J974 H974 F974 D974 B974 L948:L968 G966:G995 E989:E995 F979:F995 D966:D968 D979:D995 E966:E985 I966:I995 H948:H968 L974 F948:F964 D948:D964 F966:F968 B948:B968 J948:J968 C958:C985 F935:F938 E958:E964 F943 D943 L943 J943 G935:G964 C927:C954 B943 D935:D938 F917:F933 F904:F907 D917:D933 I935:I964 E935:E954 E927:E933 H917:H938 J917:J938 C896:C923 H912 J912 B912 D912 F912 L917:L937 L886:L906 L912 J886:J907 H886:H907 D904:D907 E904:E923 G904:G933 I904:I933 J881 H881 F881 D881 B881 L855:L875 G873:G902 E896:E902 D886:D902 F886:F902 H855:H876 I873:I902 D873:D876 L881 F873:F876 E873:E892 D855:D871 F855:F871 B855:B875 J855:J876 F842:F845 C865:C892 G842:G871 E865:E871 F850 D850 L850 J850 H850 I842:I871 C834:C861 B850 D842:D845 E842:E861 F824:F840 D824:D840 B824:B844 L824:L844 L793:L813 E834:E840 H824:H845 J824:J845 C803:C830 H819 J819 B819 D819 L819 B793:B813 H793:H814 D811:D814 F811:F814 E811:E830 J793:J814 I811:I840 E780:E799 H788 F788 D788 B788 L762:L782 G780:G809 E803:E809 D793:D809 H762:H783 F793:F809 I780:I809 D780:D783 L788 F780:F783 D762:D778 F762:F778 B762:B782 J762:J783 E749:E768 C772:C799 G749:G778 E772:E778 F757 D757 L757 J757 H757 C741:C768 D749:D751 B757 B731:B733 B738:B751 C294:C733 B735:C737 J731 J737:J751 H731 H737:H751 F749:F751 D731:D733 D735:D747 F731:F733 F735:F747 E741:E747 G718:G731 G737:G747 I718 I720:I731 I737:I747 L731:L733 L735:L751">
    <cfRule type="cellIs" dxfId="1899" priority="42" operator="equal">
      <formula>"فراغ"</formula>
    </cfRule>
  </conditionalFormatting>
  <conditionalFormatting sqref="L1:L41 L46 L50:L72 L77 H56 F149 F180 G521 J56 I211 I242 I273 J210:J211 J241:J242 I365:I366 D242:E242 E273 E397 E428 E459 D490:E490 D521:E521 D335:E335 B273 B335 B366:C366 B428 J397 J428 J459 J490 L81:L289 L356:L507 H767 F860 F891 G1232 J767 I922 I953 I984 J921:J922 J952:J953 I1076:I1077 D953:E953 E984 E1108 E1139 E1170 D1201:E1201 D1232:E1232 D1046:E1046 B984 B1046 B1077:C1077 B1139 J1108 J1139 J1170 J1201 K1:K289 K290:L355 K356:K1454 L509:L720 L726 L1413:L1454 L1408 L1382:L1402 L1377 L1351:L1371 L1346 L1320:L1340 L1315 L1289:L1309 L1284 L1258:L1278 L1253 L1227:L1247 L1222 L1196:L1216 L1191 L1165:L1185 L1160 L1134:L1154 L1129 L1103:L1123 L1098 L1072:L1092 L1067 L1041:L1061 L1036 L1010:L1030 L1005 L979:L999 L974 L948:L968 L943 L917:L937 L912 L886:L906 L881 L855:L875 L850 L824:L844 L819 L793:L813 L788 L762:L782 L757 L731:L751">
    <cfRule type="containsText" dxfId="1898" priority="41" operator="containsText" text="فراغ">
      <formula>NOT(ISERROR(SEARCH("فراغ",B1)))</formula>
    </cfRule>
  </conditionalFormatting>
  <conditionalFormatting sqref="I290:J290">
    <cfRule type="containsText" dxfId="1897" priority="40" operator="containsText" text="فراغ">
      <formula>NOT(ISERROR(SEARCH("فراغ",I290)))</formula>
    </cfRule>
  </conditionalFormatting>
  <conditionalFormatting sqref="I79:J79">
    <cfRule type="containsText" dxfId="1896" priority="39" operator="containsText" text="فراغ">
      <formula>NOT(ISERROR(SEARCH("فراغ",I79)))</formula>
    </cfRule>
  </conditionalFormatting>
  <conditionalFormatting sqref="I106:J106">
    <cfRule type="containsText" dxfId="1895" priority="38" operator="containsText" text="فراغ">
      <formula>NOT(ISERROR(SEARCH("فراغ",I106)))</formula>
    </cfRule>
  </conditionalFormatting>
  <conditionalFormatting sqref="I107:J107">
    <cfRule type="containsText" dxfId="1894" priority="37" operator="containsText" text="فراغ">
      <formula>NOT(ISERROR(SEARCH("فراغ",I107)))</formula>
    </cfRule>
  </conditionalFormatting>
  <conditionalFormatting sqref="C166:D166">
    <cfRule type="cellIs" dxfId="1893" priority="36" operator="equal">
      <formula>"فراغ"</formula>
    </cfRule>
  </conditionalFormatting>
  <conditionalFormatting sqref="I168:J169">
    <cfRule type="containsText" dxfId="1892" priority="35" operator="containsText" text="فراغ">
      <formula>NOT(ISERROR(SEARCH("فراغ",I168)))</formula>
    </cfRule>
  </conditionalFormatting>
  <conditionalFormatting sqref="C204:D204">
    <cfRule type="containsText" dxfId="1891" priority="34" operator="containsText" text="فراغ">
      <formula>NOT(ISERROR(SEARCH("فراغ",C204)))</formula>
    </cfRule>
  </conditionalFormatting>
  <conditionalFormatting sqref="I200:J200">
    <cfRule type="containsText" dxfId="1890" priority="33" operator="containsText" text="فراغ">
      <formula>NOT(ISERROR(SEARCH("فراغ",I200)))</formula>
    </cfRule>
  </conditionalFormatting>
  <conditionalFormatting sqref="G204:H204">
    <cfRule type="containsText" dxfId="1889" priority="32" operator="containsText" text="فراغ">
      <formula>NOT(ISERROR(SEARCH("فراغ",G204)))</formula>
    </cfRule>
  </conditionalFormatting>
  <conditionalFormatting sqref="G233:H233">
    <cfRule type="containsText" dxfId="1888" priority="31" operator="containsText" text="فراغ">
      <formula>NOT(ISERROR(SEARCH("فراغ",G233)))</formula>
    </cfRule>
  </conditionalFormatting>
  <conditionalFormatting sqref="C261:D261">
    <cfRule type="containsText" dxfId="1887" priority="30" operator="containsText" text="فراغ">
      <formula>NOT(ISERROR(SEARCH("فراغ",C261)))</formula>
    </cfRule>
  </conditionalFormatting>
  <conditionalFormatting sqref="C323:D324">
    <cfRule type="containsText" dxfId="1886" priority="29" operator="containsText" text="فراغ">
      <formula>NOT(ISERROR(SEARCH("فراغ",C323)))</formula>
    </cfRule>
  </conditionalFormatting>
  <conditionalFormatting sqref="I355:J355">
    <cfRule type="containsText" dxfId="1885" priority="28" operator="containsText" text="فراغ">
      <formula>NOT(ISERROR(SEARCH("فراغ",I355)))</formula>
    </cfRule>
  </conditionalFormatting>
  <conditionalFormatting sqref="K358:L358">
    <cfRule type="containsText" dxfId="1884" priority="27" operator="containsText" text="فراغ">
      <formula>NOT(ISERROR(SEARCH("فراغ",K358)))</formula>
    </cfRule>
  </conditionalFormatting>
  <conditionalFormatting sqref="E513:F513">
    <cfRule type="containsText" dxfId="1883" priority="26" operator="containsText" text="فراغ">
      <formula>NOT(ISERROR(SEARCH("فراغ",E513)))</formula>
    </cfRule>
  </conditionalFormatting>
  <conditionalFormatting sqref="G508:H508">
    <cfRule type="containsText" dxfId="1882" priority="25" operator="containsText" text="فراغ">
      <formula>NOT(ISERROR(SEARCH("فراغ",G508)))</formula>
    </cfRule>
  </conditionalFormatting>
  <conditionalFormatting sqref="I508:J508">
    <cfRule type="containsText" dxfId="1881" priority="24" operator="containsText" text="فراغ">
      <formula>NOT(ISERROR(SEARCH("فراغ",I508)))</formula>
    </cfRule>
  </conditionalFormatting>
  <conditionalFormatting sqref="C169:D169">
    <cfRule type="cellIs" dxfId="1880" priority="23" operator="equal">
      <formula>"فراغ"</formula>
    </cfRule>
  </conditionalFormatting>
  <conditionalFormatting sqref="C166:D166">
    <cfRule type="cellIs" dxfId="1879" priority="22" operator="equal">
      <formula>"فراغ"</formula>
    </cfRule>
  </conditionalFormatting>
  <conditionalFormatting sqref="C166:D166">
    <cfRule type="cellIs" dxfId="1878" priority="21" operator="equal">
      <formula>"فراغ"</formula>
    </cfRule>
  </conditionalFormatting>
  <conditionalFormatting sqref="I1001">
    <cfRule type="containsText" dxfId="1877" priority="20" operator="containsText" text="فراغ">
      <formula>NOT(ISERROR(SEARCH("فراغ",I1001)))</formula>
    </cfRule>
  </conditionalFormatting>
  <conditionalFormatting sqref="I790">
    <cfRule type="containsText" dxfId="1876" priority="19" operator="containsText" text="فراغ">
      <formula>NOT(ISERROR(SEARCH("فراغ",I790)))</formula>
    </cfRule>
  </conditionalFormatting>
  <conditionalFormatting sqref="I817">
    <cfRule type="containsText" dxfId="1875" priority="18" operator="containsText" text="فراغ">
      <formula>NOT(ISERROR(SEARCH("فراغ",I817)))</formula>
    </cfRule>
  </conditionalFormatting>
  <conditionalFormatting sqref="I818">
    <cfRule type="containsText" dxfId="1874" priority="17" operator="containsText" text="فراغ">
      <formula>NOT(ISERROR(SEARCH("فراغ",I818)))</formula>
    </cfRule>
  </conditionalFormatting>
  <conditionalFormatting sqref="C877">
    <cfRule type="cellIs" dxfId="1873" priority="16" operator="equal">
      <formula>"فراغ"</formula>
    </cfRule>
  </conditionalFormatting>
  <conditionalFormatting sqref="I879:I880">
    <cfRule type="containsText" dxfId="1872" priority="15" operator="containsText" text="فراغ">
      <formula>NOT(ISERROR(SEARCH("فراغ",I879)))</formula>
    </cfRule>
  </conditionalFormatting>
  <conditionalFormatting sqref="C915">
    <cfRule type="containsText" dxfId="1871" priority="14" operator="containsText" text="فراغ">
      <formula>NOT(ISERROR(SEARCH("فراغ",C915)))</formula>
    </cfRule>
  </conditionalFormatting>
  <conditionalFormatting sqref="I911">
    <cfRule type="containsText" dxfId="1870" priority="13" operator="containsText" text="فراغ">
      <formula>NOT(ISERROR(SEARCH("فراغ",I911)))</formula>
    </cfRule>
  </conditionalFormatting>
  <conditionalFormatting sqref="G915">
    <cfRule type="containsText" dxfId="1869" priority="12" operator="containsText" text="فراغ">
      <formula>NOT(ISERROR(SEARCH("فراغ",G915)))</formula>
    </cfRule>
  </conditionalFormatting>
  <conditionalFormatting sqref="G944">
    <cfRule type="containsText" dxfId="1868" priority="11" operator="containsText" text="فراغ">
      <formula>NOT(ISERROR(SEARCH("فراغ",G944)))</formula>
    </cfRule>
  </conditionalFormatting>
  <conditionalFormatting sqref="C972">
    <cfRule type="containsText" dxfId="1867" priority="10" operator="containsText" text="فراغ">
      <formula>NOT(ISERROR(SEARCH("فراغ",C972)))</formula>
    </cfRule>
  </conditionalFormatting>
  <conditionalFormatting sqref="C1034:C1035">
    <cfRule type="containsText" dxfId="1866" priority="9" operator="containsText" text="فراغ">
      <formula>NOT(ISERROR(SEARCH("فراغ",C1034)))</formula>
    </cfRule>
  </conditionalFormatting>
  <conditionalFormatting sqref="I1066">
    <cfRule type="containsText" dxfId="1865" priority="8" operator="containsText" text="فراغ">
      <formula>NOT(ISERROR(SEARCH("فراغ",I1066)))</formula>
    </cfRule>
  </conditionalFormatting>
  <conditionalFormatting sqref="K1069">
    <cfRule type="containsText" dxfId="1864" priority="7" operator="containsText" text="فراغ">
      <formula>NOT(ISERROR(SEARCH("فراغ",K1069)))</formula>
    </cfRule>
  </conditionalFormatting>
  <conditionalFormatting sqref="E1224">
    <cfRule type="containsText" dxfId="1863" priority="6" operator="containsText" text="فراغ">
      <formula>NOT(ISERROR(SEARCH("فراغ",E1224)))</formula>
    </cfRule>
  </conditionalFormatting>
  <conditionalFormatting sqref="G1219">
    <cfRule type="containsText" dxfId="1862" priority="5" operator="containsText" text="فراغ">
      <formula>NOT(ISERROR(SEARCH("فراغ",G1219)))</formula>
    </cfRule>
  </conditionalFormatting>
  <conditionalFormatting sqref="I1219">
    <cfRule type="containsText" dxfId="1861" priority="4" operator="containsText" text="فراغ">
      <formula>NOT(ISERROR(SEARCH("فراغ",I1219)))</formula>
    </cfRule>
  </conditionalFormatting>
  <conditionalFormatting sqref="C880">
    <cfRule type="cellIs" dxfId="1860" priority="3" operator="equal">
      <formula>"فراغ"</formula>
    </cfRule>
  </conditionalFormatting>
  <conditionalFormatting sqref="C877">
    <cfRule type="cellIs" dxfId="1859" priority="2" operator="equal">
      <formula>"فراغ"</formula>
    </cfRule>
  </conditionalFormatting>
  <conditionalFormatting sqref="C877">
    <cfRule type="cellIs" dxfId="1858" priority="1" operator="equal">
      <formula>"فراغ"</formula>
    </cfRule>
  </conditionalFormatting>
  <hyperlinks>
    <hyperlink ref="L6" location="الرجوع!A1" display="الرجوع!A1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3"/>
  <dimension ref="A1:O17"/>
  <sheetViews>
    <sheetView showGridLines="0" rightToLeft="1" workbookViewId="0"/>
  </sheetViews>
  <sheetFormatPr baseColWidth="10" defaultRowHeight="15"/>
  <cols>
    <col min="1" max="1" width="11.42578125" style="183" customWidth="1"/>
    <col min="2" max="2" width="3.5703125" style="183" customWidth="1"/>
    <col min="3" max="8" width="11.42578125" style="183"/>
    <col min="9" max="9" width="13.28515625" style="183" customWidth="1"/>
    <col min="10" max="16384" width="11.42578125" style="183"/>
  </cols>
  <sheetData>
    <row r="1" spans="1:15" ht="15.75" thickBot="1">
      <c r="A1" s="186" t="s">
        <v>781</v>
      </c>
    </row>
    <row r="2" spans="1:15" ht="15.75" thickTop="1">
      <c r="A2" s="188"/>
      <c r="B2" s="190"/>
      <c r="C2" s="191"/>
      <c r="D2" s="192"/>
      <c r="E2" s="191"/>
      <c r="F2" s="192"/>
      <c r="G2" s="192"/>
      <c r="H2" s="192"/>
      <c r="I2" s="193"/>
    </row>
    <row r="3" spans="1:15" ht="18.75">
      <c r="B3" s="194"/>
      <c r="C3" s="195"/>
      <c r="D3" s="195"/>
      <c r="E3" s="195"/>
      <c r="F3" s="195"/>
      <c r="G3" s="195"/>
      <c r="H3" s="195"/>
      <c r="I3" s="196"/>
      <c r="L3" s="189"/>
    </row>
    <row r="4" spans="1:15">
      <c r="B4" s="194"/>
      <c r="C4" s="195"/>
      <c r="D4" s="195"/>
      <c r="E4" s="195"/>
      <c r="F4" s="195"/>
      <c r="G4" s="195"/>
      <c r="H4" s="195"/>
      <c r="I4" s="196"/>
    </row>
    <row r="5" spans="1:15">
      <c r="A5" s="186"/>
      <c r="B5" s="194"/>
      <c r="C5" s="197"/>
      <c r="D5" s="195"/>
      <c r="E5" s="198"/>
      <c r="F5" s="195"/>
      <c r="G5" s="195"/>
      <c r="H5" s="195"/>
      <c r="I5" s="196"/>
    </row>
    <row r="6" spans="1:15">
      <c r="A6" s="186"/>
      <c r="B6" s="194"/>
      <c r="C6" s="195"/>
      <c r="D6" s="195"/>
      <c r="E6" s="195"/>
      <c r="F6" s="195"/>
      <c r="G6" s="195"/>
      <c r="H6" s="195"/>
      <c r="I6" s="196"/>
      <c r="M6" s="186"/>
    </row>
    <row r="7" spans="1:15">
      <c r="B7" s="194"/>
      <c r="C7" s="195"/>
      <c r="D7" s="195"/>
      <c r="E7" s="195"/>
      <c r="F7" s="195"/>
      <c r="G7" s="195"/>
      <c r="H7" s="195"/>
      <c r="I7" s="196"/>
    </row>
    <row r="8" spans="1:15" ht="18.75">
      <c r="B8" s="194"/>
      <c r="C8" s="197"/>
      <c r="D8" s="195"/>
      <c r="E8" s="197"/>
      <c r="F8" s="195"/>
      <c r="G8" s="195"/>
      <c r="H8" s="195"/>
      <c r="I8" s="196"/>
      <c r="O8" s="189"/>
    </row>
    <row r="9" spans="1:15" ht="18.75">
      <c r="A9" s="188"/>
      <c r="B9" s="194"/>
      <c r="C9" s="195"/>
      <c r="D9" s="195"/>
      <c r="E9" s="195"/>
      <c r="F9" s="195"/>
      <c r="G9" s="197"/>
      <c r="H9" s="195"/>
      <c r="I9" s="196"/>
      <c r="N9" s="189"/>
      <c r="O9" s="189"/>
    </row>
    <row r="10" spans="1:15" ht="18.75">
      <c r="B10" s="194"/>
      <c r="C10" s="195"/>
      <c r="D10" s="195"/>
      <c r="E10" s="195"/>
      <c r="F10" s="195"/>
      <c r="G10" s="195"/>
      <c r="H10" s="195"/>
      <c r="I10" s="196"/>
      <c r="O10" s="189"/>
    </row>
    <row r="11" spans="1:15" ht="18.75">
      <c r="A11" s="186"/>
      <c r="B11" s="194"/>
      <c r="C11" s="197"/>
      <c r="D11" s="195"/>
      <c r="E11" s="195"/>
      <c r="F11" s="195"/>
      <c r="G11" s="195"/>
      <c r="H11" s="195"/>
      <c r="I11" s="196"/>
      <c r="O11" s="189"/>
    </row>
    <row r="12" spans="1:15">
      <c r="B12" s="194"/>
      <c r="C12" s="195"/>
      <c r="D12" s="195"/>
      <c r="E12" s="195"/>
      <c r="F12" s="195"/>
      <c r="G12" s="195"/>
      <c r="H12" s="195"/>
      <c r="I12" s="196"/>
    </row>
    <row r="13" spans="1:15">
      <c r="B13" s="194"/>
      <c r="C13" s="195"/>
      <c r="D13" s="195"/>
      <c r="E13" s="195"/>
      <c r="F13" s="195"/>
      <c r="G13" s="195"/>
      <c r="H13" s="195"/>
      <c r="I13" s="196"/>
    </row>
    <row r="14" spans="1:15">
      <c r="A14" s="186"/>
      <c r="B14" s="194"/>
      <c r="C14" s="197"/>
      <c r="D14" s="195"/>
      <c r="E14" s="195"/>
      <c r="F14" s="195"/>
      <c r="G14" s="195"/>
      <c r="H14" s="195"/>
      <c r="I14" s="196"/>
    </row>
    <row r="15" spans="1:15">
      <c r="B15" s="194"/>
      <c r="C15" s="195"/>
      <c r="D15" s="195"/>
      <c r="E15" s="195"/>
      <c r="F15" s="195"/>
      <c r="G15" s="195"/>
      <c r="H15" s="195"/>
      <c r="I15" s="196"/>
    </row>
    <row r="16" spans="1:15" ht="15.75" thickBot="1">
      <c r="B16" s="199"/>
      <c r="C16" s="200"/>
      <c r="D16" s="200"/>
      <c r="E16" s="200"/>
      <c r="F16" s="200"/>
      <c r="G16" s="200"/>
      <c r="H16" s="200"/>
      <c r="I16" s="201"/>
    </row>
    <row r="17" ht="15.75" thickTop="1"/>
  </sheetData>
  <hyperlinks>
    <hyperlink ref="A1" location="نعداد!A1" display="نعداد!A1"/>
  </hyperlinks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5"/>
  <dimension ref="A1:M65"/>
  <sheetViews>
    <sheetView showZeros="0" rightToLeft="1" topLeftCell="A28" workbookViewId="0"/>
  </sheetViews>
  <sheetFormatPr baseColWidth="10" defaultRowHeight="15"/>
  <cols>
    <col min="1" max="1" width="7.42578125" customWidth="1"/>
    <col min="2" max="2" width="22.5703125" customWidth="1"/>
    <col min="3" max="3" width="18.140625" customWidth="1"/>
    <col min="4" max="4" width="17" customWidth="1"/>
    <col min="5" max="5" width="20.7109375" customWidth="1"/>
  </cols>
  <sheetData>
    <row r="1" spans="1:13" ht="18">
      <c r="B1" s="1559" t="s">
        <v>207</v>
      </c>
      <c r="C1" s="1559"/>
      <c r="D1" s="1559"/>
      <c r="E1" s="1559"/>
      <c r="F1" s="167"/>
    </row>
    <row r="2" spans="1:13" ht="18">
      <c r="B2" s="1559" t="s">
        <v>215</v>
      </c>
      <c r="C2" s="1559"/>
      <c r="D2" s="1559"/>
      <c r="E2" s="167"/>
      <c r="F2" s="167"/>
    </row>
    <row r="3" spans="1:13" ht="18">
      <c r="B3" s="3"/>
      <c r="C3" s="4"/>
      <c r="D3" s="4"/>
      <c r="E3" s="4"/>
      <c r="F3" s="4"/>
    </row>
    <row r="4" spans="1:13" ht="18">
      <c r="B4" s="3" t="s">
        <v>203</v>
      </c>
      <c r="C4" s="4"/>
      <c r="D4" s="4"/>
      <c r="E4" s="4"/>
      <c r="F4" s="4">
        <v>0</v>
      </c>
      <c r="K4" s="1560" t="s">
        <v>608</v>
      </c>
      <c r="L4" s="1561"/>
      <c r="M4" s="1561"/>
    </row>
    <row r="5" spans="1:13" ht="18.75" thickBot="1">
      <c r="B5" s="3" t="s">
        <v>148</v>
      </c>
      <c r="C5" s="4"/>
      <c r="D5" s="4"/>
      <c r="E5" s="4"/>
      <c r="F5" s="4"/>
    </row>
    <row r="6" spans="1:13" ht="36" thickBot="1">
      <c r="C6" s="14"/>
      <c r="D6" s="780" t="s">
        <v>1972</v>
      </c>
      <c r="I6" s="184" t="s">
        <v>496</v>
      </c>
      <c r="J6" s="24">
        <v>1</v>
      </c>
      <c r="K6" s="286" t="s">
        <v>272</v>
      </c>
      <c r="L6" s="280"/>
      <c r="M6" s="282" t="s">
        <v>262</v>
      </c>
    </row>
    <row r="7" spans="1:13" ht="21" thickBot="1">
      <c r="A7" s="157"/>
      <c r="J7" s="24">
        <v>2</v>
      </c>
      <c r="K7" s="363" t="s">
        <v>274</v>
      </c>
      <c r="L7" s="287"/>
      <c r="M7" s="282" t="s">
        <v>262</v>
      </c>
    </row>
    <row r="8" spans="1:13" ht="21" thickBot="1">
      <c r="B8" s="1557" t="s">
        <v>667</v>
      </c>
      <c r="C8" s="1557"/>
      <c r="D8" s="273">
        <f>VLOOKUP($F$9,etat!$A$9:$N$7163,7,FALSE)</f>
        <v>0</v>
      </c>
      <c r="F8" s="3" t="s">
        <v>666</v>
      </c>
      <c r="J8" s="24">
        <v>3</v>
      </c>
      <c r="K8" s="286" t="s">
        <v>427</v>
      </c>
      <c r="L8" s="287"/>
      <c r="M8" s="282" t="s">
        <v>262</v>
      </c>
    </row>
    <row r="9" spans="1:13" ht="23.25" customHeight="1" thickBot="1">
      <c r="B9" s="1557" t="s">
        <v>665</v>
      </c>
      <c r="C9" s="1557"/>
      <c r="D9" s="1558">
        <f>VLOOKUP($F$9,etat!$A$9:$N$7608,2,FALSE)</f>
        <v>0</v>
      </c>
      <c r="E9" s="1558"/>
      <c r="F9" s="271">
        <v>620</v>
      </c>
      <c r="J9" s="24">
        <v>4</v>
      </c>
      <c r="K9" s="286" t="s">
        <v>1943</v>
      </c>
      <c r="L9" s="287"/>
      <c r="M9" s="282" t="s">
        <v>262</v>
      </c>
    </row>
    <row r="10" spans="1:13" ht="21" thickBot="1">
      <c r="B10" s="1557" t="s">
        <v>664</v>
      </c>
      <c r="C10" s="1557"/>
      <c r="D10" s="165">
        <f>VLOOKUP($F$9,etat!$A$9:$N$7163,5,FALSE)</f>
        <v>0</v>
      </c>
      <c r="E10" s="3" t="str">
        <f>IF([4]شطب!$O$88&lt;&gt;"",VLOOKUP([4]شطب!$O$88,[4]f2!$A$8:$O$521,11,FALSE),"")</f>
        <v/>
      </c>
      <c r="J10" s="24">
        <v>5</v>
      </c>
      <c r="K10" s="286" t="s">
        <v>1220</v>
      </c>
      <c r="L10" s="287"/>
      <c r="M10" s="282" t="s">
        <v>262</v>
      </c>
    </row>
    <row r="11" spans="1:13" ht="21" thickBot="1">
      <c r="B11" s="1562" t="s">
        <v>663</v>
      </c>
      <c r="C11" s="1562"/>
      <c r="D11" s="1091">
        <v>45361</v>
      </c>
      <c r="J11" s="24">
        <v>6</v>
      </c>
      <c r="K11" s="286" t="s">
        <v>1219</v>
      </c>
      <c r="L11" s="287"/>
      <c r="M11" s="282" t="s">
        <v>262</v>
      </c>
    </row>
    <row r="12" spans="1:13" ht="21" thickBot="1">
      <c r="B12" s="1557" t="s">
        <v>1560</v>
      </c>
      <c r="C12" s="1557"/>
      <c r="D12" s="165">
        <v>45719</v>
      </c>
      <c r="J12" s="24">
        <v>7</v>
      </c>
      <c r="K12" s="286" t="s">
        <v>808</v>
      </c>
      <c r="L12" s="287"/>
      <c r="M12" s="282" t="s">
        <v>270</v>
      </c>
    </row>
    <row r="13" spans="1:13" ht="21" thickBot="1">
      <c r="A13" s="157"/>
      <c r="J13" s="24">
        <v>8</v>
      </c>
      <c r="K13" s="286" t="s">
        <v>955</v>
      </c>
      <c r="L13" s="287"/>
      <c r="M13" s="282" t="s">
        <v>270</v>
      </c>
    </row>
    <row r="14" spans="1:13" ht="21" customHeight="1" thickTop="1" thickBot="1">
      <c r="A14" s="164" t="s">
        <v>258</v>
      </c>
      <c r="B14" s="162" t="s">
        <v>662</v>
      </c>
      <c r="C14" s="162" t="s">
        <v>661</v>
      </c>
      <c r="D14" s="162" t="s">
        <v>660</v>
      </c>
      <c r="E14" s="164" t="s">
        <v>659</v>
      </c>
      <c r="G14" s="163" t="s">
        <v>608</v>
      </c>
      <c r="J14" s="24">
        <v>9</v>
      </c>
      <c r="K14" s="286" t="s">
        <v>1250</v>
      </c>
      <c r="L14" s="287"/>
      <c r="M14" s="282" t="s">
        <v>270</v>
      </c>
    </row>
    <row r="15" spans="1:13" ht="21" customHeight="1" thickTop="1" thickBot="1">
      <c r="A15" s="160">
        <v>1</v>
      </c>
      <c r="B15" s="162" t="str">
        <f>VLOOKUP(G15,J5:M58,2,FALSE)</f>
        <v>خشعي فتيحة</v>
      </c>
      <c r="C15" s="291" t="str">
        <f t="shared" ref="C15:C28" si="0">VLOOKUP(G15,J6:M58,4,FALSE)</f>
        <v>رياضيات</v>
      </c>
      <c r="D15" s="162"/>
      <c r="E15" s="160"/>
      <c r="G15" s="155">
        <v>2</v>
      </c>
      <c r="J15" s="24">
        <v>10</v>
      </c>
      <c r="K15" s="286" t="s">
        <v>1221</v>
      </c>
      <c r="L15" s="491"/>
      <c r="M15" s="282" t="s">
        <v>270</v>
      </c>
    </row>
    <row r="16" spans="1:13" ht="21" customHeight="1" thickTop="1" thickBot="1">
      <c r="A16" s="162">
        <v>2</v>
      </c>
      <c r="B16" s="162" t="str">
        <f t="shared" ref="B16:B28" si="1">VLOOKUP(G16,J7:L59,2,FALSE)</f>
        <v>توات الطيب</v>
      </c>
      <c r="C16" s="291" t="str">
        <f t="shared" si="0"/>
        <v>فيزياء</v>
      </c>
      <c r="D16" s="162"/>
      <c r="E16" s="160"/>
      <c r="G16" s="155">
        <v>10</v>
      </c>
      <c r="J16" s="24">
        <v>11</v>
      </c>
      <c r="K16" s="512" t="s">
        <v>941</v>
      </c>
      <c r="L16" s="287"/>
      <c r="M16" s="282" t="s">
        <v>270</v>
      </c>
    </row>
    <row r="17" spans="1:13" ht="21" customHeight="1" thickTop="1" thickBot="1">
      <c r="A17" s="162">
        <v>3</v>
      </c>
      <c r="B17" s="162" t="str">
        <f t="shared" si="1"/>
        <v>مغربي عمر</v>
      </c>
      <c r="C17" s="291" t="str">
        <f t="shared" si="0"/>
        <v>ع طبيعية</v>
      </c>
      <c r="D17" s="162"/>
      <c r="E17" s="160"/>
      <c r="G17" s="155">
        <v>12</v>
      </c>
      <c r="J17" s="24">
        <v>12</v>
      </c>
      <c r="K17" s="512" t="s">
        <v>811</v>
      </c>
      <c r="L17" s="287"/>
      <c r="M17" s="282" t="s">
        <v>408</v>
      </c>
    </row>
    <row r="18" spans="1:13" ht="21" customHeight="1" thickTop="1" thickBot="1">
      <c r="A18" s="160">
        <v>4</v>
      </c>
      <c r="B18" s="162" t="str">
        <f t="shared" si="1"/>
        <v>حريرنبيل</v>
      </c>
      <c r="C18" s="291" t="str">
        <f t="shared" si="0"/>
        <v>ع اسلامية</v>
      </c>
      <c r="D18" s="161"/>
      <c r="E18" s="160"/>
      <c r="G18" s="155">
        <v>19</v>
      </c>
      <c r="J18" s="24">
        <v>13</v>
      </c>
      <c r="K18" s="286" t="s">
        <v>1222</v>
      </c>
      <c r="L18" s="287"/>
      <c r="M18" s="282" t="s">
        <v>408</v>
      </c>
    </row>
    <row r="19" spans="1:13" ht="21" customHeight="1" thickTop="1" thickBot="1">
      <c r="A19" s="160">
        <v>5</v>
      </c>
      <c r="B19" s="162" t="str">
        <f t="shared" si="1"/>
        <v>بويعقوب زينة</v>
      </c>
      <c r="C19" s="291" t="str">
        <f t="shared" si="0"/>
        <v>أدب عربي</v>
      </c>
      <c r="D19" s="161"/>
      <c r="E19" s="160"/>
      <c r="G19" s="155">
        <v>28</v>
      </c>
      <c r="J19" s="24">
        <v>14</v>
      </c>
      <c r="K19" s="286" t="s">
        <v>812</v>
      </c>
      <c r="L19" s="491"/>
      <c r="M19" s="282" t="s">
        <v>408</v>
      </c>
    </row>
    <row r="20" spans="1:13" ht="21" customHeight="1" thickTop="1" thickBot="1">
      <c r="A20" s="160">
        <v>6</v>
      </c>
      <c r="B20" s="162" t="str">
        <f t="shared" si="1"/>
        <v>بونية كلثوم</v>
      </c>
      <c r="C20" s="291" t="str">
        <f t="shared" si="0"/>
        <v>ت/ج</v>
      </c>
      <c r="D20" s="161"/>
      <c r="E20" s="160"/>
      <c r="G20" s="155">
        <v>31</v>
      </c>
      <c r="J20" s="24">
        <v>15</v>
      </c>
      <c r="K20" s="286" t="s">
        <v>1944</v>
      </c>
      <c r="L20" s="287"/>
      <c r="M20" s="282" t="s">
        <v>408</v>
      </c>
    </row>
    <row r="21" spans="1:13" ht="21" customHeight="1" thickTop="1" thickBot="1">
      <c r="A21" s="160">
        <v>7</v>
      </c>
      <c r="B21" s="162" t="str">
        <f t="shared" si="1"/>
        <v>رافة مروة</v>
      </c>
      <c r="C21" s="291" t="str">
        <f t="shared" si="0"/>
        <v>فرنسية</v>
      </c>
      <c r="D21" s="161"/>
      <c r="E21" s="160"/>
      <c r="G21" s="155">
        <v>38</v>
      </c>
      <c r="J21" s="24">
        <v>16</v>
      </c>
      <c r="K21" s="286" t="s">
        <v>1964</v>
      </c>
      <c r="L21" s="287"/>
      <c r="M21" s="282" t="s">
        <v>408</v>
      </c>
    </row>
    <row r="22" spans="1:13" ht="21" customHeight="1" thickTop="1" thickBot="1">
      <c r="A22" s="160">
        <v>8</v>
      </c>
      <c r="B22" s="162" t="str">
        <f t="shared" si="1"/>
        <v>بار بن عمر حسيبة</v>
      </c>
      <c r="C22" s="291" t="str">
        <f t="shared" si="0"/>
        <v>انجليزية</v>
      </c>
      <c r="D22" s="161"/>
      <c r="E22" s="160"/>
      <c r="G22" s="155">
        <v>42</v>
      </c>
      <c r="J22" s="24">
        <v>17</v>
      </c>
      <c r="K22" s="286" t="s">
        <v>283</v>
      </c>
      <c r="L22" s="287"/>
      <c r="M22" s="282" t="s">
        <v>1207</v>
      </c>
    </row>
    <row r="23" spans="1:13" ht="21" customHeight="1" thickTop="1" thickBot="1">
      <c r="A23" s="160">
        <v>9</v>
      </c>
      <c r="B23" s="291" t="str">
        <f t="shared" si="1"/>
        <v>سعدوني عبدالقادر</v>
      </c>
      <c r="C23" s="291" t="str">
        <f t="shared" si="0"/>
        <v>معلوماتية</v>
      </c>
      <c r="D23" s="933"/>
      <c r="E23" s="494"/>
      <c r="G23" s="155">
        <v>53</v>
      </c>
      <c r="J23" s="24">
        <v>18</v>
      </c>
      <c r="K23" s="284" t="s">
        <v>1965</v>
      </c>
      <c r="L23" s="285"/>
      <c r="M23" s="282" t="s">
        <v>1207</v>
      </c>
    </row>
    <row r="24" spans="1:13" ht="21" customHeight="1" thickTop="1" thickBot="1">
      <c r="A24" s="161">
        <v>10</v>
      </c>
      <c r="B24" s="291" t="str">
        <f t="shared" si="1"/>
        <v>بنابي الغوثي</v>
      </c>
      <c r="C24" s="291" t="str">
        <f t="shared" si="0"/>
        <v>ت بدنية</v>
      </c>
      <c r="D24" s="493"/>
      <c r="E24" s="494"/>
      <c r="G24" s="155">
        <v>50</v>
      </c>
      <c r="J24" s="24">
        <v>19</v>
      </c>
      <c r="K24" s="510" t="s">
        <v>1509</v>
      </c>
      <c r="L24" s="490"/>
      <c r="M24" s="282" t="s">
        <v>1207</v>
      </c>
    </row>
    <row r="25" spans="1:13" ht="21" customHeight="1" thickTop="1" thickBot="1">
      <c r="A25" s="161">
        <v>11</v>
      </c>
      <c r="B25" s="292" t="e">
        <f t="shared" si="1"/>
        <v>#N/A</v>
      </c>
      <c r="C25" s="292" t="e">
        <f t="shared" si="0"/>
        <v>#N/A</v>
      </c>
      <c r="D25" s="493"/>
      <c r="E25" s="494"/>
      <c r="G25" s="155"/>
      <c r="J25" s="24">
        <v>20</v>
      </c>
      <c r="K25" s="286" t="s">
        <v>942</v>
      </c>
      <c r="L25" s="490"/>
      <c r="M25" s="282" t="s">
        <v>279</v>
      </c>
    </row>
    <row r="26" spans="1:13" ht="21" customHeight="1" thickTop="1" thickBot="1">
      <c r="A26" s="161">
        <v>12</v>
      </c>
      <c r="B26" s="292" t="e">
        <f t="shared" si="1"/>
        <v>#N/A</v>
      </c>
      <c r="C26" s="292" t="e">
        <f t="shared" si="0"/>
        <v>#N/A</v>
      </c>
      <c r="D26" s="493"/>
      <c r="E26" s="494"/>
      <c r="G26" s="155"/>
      <c r="J26" s="24">
        <v>21</v>
      </c>
      <c r="K26" s="510" t="s">
        <v>278</v>
      </c>
      <c r="L26" s="287"/>
      <c r="M26" s="282" t="s">
        <v>279</v>
      </c>
    </row>
    <row r="27" spans="1:13" ht="21" customHeight="1" thickTop="1" thickBot="1">
      <c r="A27" s="161">
        <v>13</v>
      </c>
      <c r="B27" s="292" t="e">
        <f t="shared" si="1"/>
        <v>#N/A</v>
      </c>
      <c r="C27" s="292" t="e">
        <f t="shared" si="0"/>
        <v>#N/A</v>
      </c>
      <c r="D27" s="493"/>
      <c r="E27" s="494"/>
      <c r="G27" s="155">
        <v>0</v>
      </c>
      <c r="J27" s="24">
        <v>22</v>
      </c>
      <c r="K27" s="286" t="s">
        <v>2247</v>
      </c>
      <c r="L27" s="491"/>
      <c r="M27" s="282" t="s">
        <v>279</v>
      </c>
    </row>
    <row r="28" spans="1:13" ht="21" customHeight="1" thickTop="1" thickBot="1">
      <c r="A28" s="160">
        <v>14</v>
      </c>
      <c r="B28" s="292" t="e">
        <f t="shared" si="1"/>
        <v>#N/A</v>
      </c>
      <c r="C28" s="292" t="e">
        <f t="shared" si="0"/>
        <v>#N/A</v>
      </c>
      <c r="D28" s="161"/>
      <c r="E28" s="160"/>
      <c r="G28" s="155">
        <v>0</v>
      </c>
      <c r="J28" s="24">
        <v>23</v>
      </c>
      <c r="K28" s="512" t="s">
        <v>1205</v>
      </c>
      <c r="L28" s="491"/>
      <c r="M28" s="282" t="s">
        <v>1202</v>
      </c>
    </row>
    <row r="29" spans="1:13" ht="21" customHeight="1" thickTop="1" thickBot="1">
      <c r="A29" s="159"/>
      <c r="J29" s="24">
        <v>24</v>
      </c>
      <c r="K29" s="512" t="s">
        <v>286</v>
      </c>
      <c r="L29" s="489"/>
      <c r="M29" s="282" t="s">
        <v>1202</v>
      </c>
    </row>
    <row r="30" spans="1:13" ht="21" customHeight="1" thickBot="1">
      <c r="D30" s="272" t="s">
        <v>658</v>
      </c>
      <c r="E30" s="165">
        <v>45768</v>
      </c>
      <c r="J30" s="24">
        <v>25</v>
      </c>
      <c r="K30" s="512" t="s">
        <v>287</v>
      </c>
      <c r="L30" s="491"/>
      <c r="M30" s="282" t="s">
        <v>1202</v>
      </c>
    </row>
    <row r="31" spans="1:13" ht="21" customHeight="1" thickBot="1">
      <c r="J31" s="24">
        <v>26</v>
      </c>
      <c r="K31" s="508" t="s">
        <v>284</v>
      </c>
      <c r="L31" s="491"/>
      <c r="M31" s="282" t="s">
        <v>1202</v>
      </c>
    </row>
    <row r="32" spans="1:13" ht="21" customHeight="1" thickBot="1">
      <c r="A32" s="779" t="s">
        <v>210</v>
      </c>
      <c r="B32" s="779"/>
      <c r="C32" s="272" t="s">
        <v>657</v>
      </c>
      <c r="D32" s="158"/>
      <c r="E32" s="158" t="s">
        <v>656</v>
      </c>
      <c r="J32" s="24">
        <v>27</v>
      </c>
      <c r="K32" s="512" t="s">
        <v>1228</v>
      </c>
      <c r="L32" s="491"/>
      <c r="M32" s="282" t="s">
        <v>1202</v>
      </c>
    </row>
    <row r="33" spans="1:13" ht="21" customHeight="1" thickBot="1">
      <c r="C33" s="158"/>
      <c r="D33" s="158"/>
      <c r="E33" s="158"/>
      <c r="J33" s="24">
        <v>28</v>
      </c>
      <c r="K33" s="512" t="s">
        <v>1510</v>
      </c>
      <c r="L33" s="287"/>
      <c r="M33" s="282" t="s">
        <v>1202</v>
      </c>
    </row>
    <row r="34" spans="1:13" ht="21" customHeight="1" thickBot="1">
      <c r="A34" s="157"/>
      <c r="J34" s="24">
        <v>29</v>
      </c>
      <c r="K34" s="286" t="s">
        <v>271</v>
      </c>
      <c r="L34" s="491"/>
      <c r="M34" s="282" t="s">
        <v>1229</v>
      </c>
    </row>
    <row r="35" spans="1:13" ht="21" customHeight="1" thickBot="1">
      <c r="J35" s="24">
        <v>30</v>
      </c>
      <c r="K35" s="363" t="s">
        <v>944</v>
      </c>
      <c r="L35" s="287"/>
      <c r="M35" s="282" t="s">
        <v>1229</v>
      </c>
    </row>
    <row r="36" spans="1:13" ht="21" customHeight="1" thickBot="1">
      <c r="J36" s="24">
        <v>31</v>
      </c>
      <c r="K36" s="286" t="s">
        <v>1218</v>
      </c>
      <c r="L36" s="287"/>
      <c r="M36" s="282" t="s">
        <v>1229</v>
      </c>
    </row>
    <row r="37" spans="1:13" ht="21" customHeight="1" thickBot="1">
      <c r="J37" s="24">
        <v>32</v>
      </c>
      <c r="K37" s="286" t="s">
        <v>1230</v>
      </c>
      <c r="L37" s="287"/>
      <c r="M37" s="282" t="s">
        <v>1229</v>
      </c>
    </row>
    <row r="38" spans="1:13" ht="21" customHeight="1" thickBot="1">
      <c r="J38" s="24">
        <v>33</v>
      </c>
      <c r="K38" s="286" t="s">
        <v>1945</v>
      </c>
      <c r="L38" s="287"/>
      <c r="M38" s="282" t="s">
        <v>1229</v>
      </c>
    </row>
    <row r="39" spans="1:13" ht="21" customHeight="1" thickBot="1">
      <c r="J39" s="24">
        <v>34</v>
      </c>
      <c r="K39" s="286" t="s">
        <v>396</v>
      </c>
      <c r="L39" s="287"/>
      <c r="M39" s="282" t="s">
        <v>290</v>
      </c>
    </row>
    <row r="40" spans="1:13" ht="21" customHeight="1" thickBot="1">
      <c r="J40" s="24">
        <v>35</v>
      </c>
      <c r="K40" s="286" t="s">
        <v>291</v>
      </c>
      <c r="L40" s="491"/>
      <c r="M40" s="282" t="s">
        <v>290</v>
      </c>
    </row>
    <row r="41" spans="1:13" ht="21" customHeight="1" thickBot="1">
      <c r="J41" s="24">
        <v>36</v>
      </c>
      <c r="K41" s="512" t="s">
        <v>2100</v>
      </c>
      <c r="L41" s="491"/>
      <c r="M41" s="282" t="s">
        <v>290</v>
      </c>
    </row>
    <row r="42" spans="1:13" ht="21" customHeight="1" thickBot="1">
      <c r="J42" s="24">
        <v>37</v>
      </c>
      <c r="K42" s="512" t="s">
        <v>1958</v>
      </c>
      <c r="L42" s="491"/>
      <c r="M42" s="282" t="s">
        <v>290</v>
      </c>
    </row>
    <row r="43" spans="1:13" s="1109" customFormat="1" ht="21" customHeight="1" thickBot="1">
      <c r="J43" s="24">
        <v>38</v>
      </c>
      <c r="K43" s="512" t="s">
        <v>2274</v>
      </c>
      <c r="L43" s="513"/>
      <c r="M43" s="282" t="s">
        <v>290</v>
      </c>
    </row>
    <row r="44" spans="1:13" ht="21" customHeight="1" thickBot="1">
      <c r="J44" s="24">
        <v>39</v>
      </c>
      <c r="K44" s="512" t="s">
        <v>1536</v>
      </c>
      <c r="L44" s="287"/>
      <c r="M44" s="282" t="s">
        <v>290</v>
      </c>
    </row>
    <row r="45" spans="1:13" ht="16.5" thickBot="1">
      <c r="J45" s="24">
        <v>40</v>
      </c>
      <c r="K45" s="286" t="s">
        <v>296</v>
      </c>
      <c r="L45" s="287"/>
      <c r="M45" s="282" t="s">
        <v>1206</v>
      </c>
    </row>
    <row r="46" spans="1:13" ht="16.5" thickBot="1">
      <c r="J46" s="24">
        <v>41</v>
      </c>
      <c r="K46" s="286" t="s">
        <v>1946</v>
      </c>
      <c r="L46" s="287"/>
      <c r="M46" s="282" t="s">
        <v>1206</v>
      </c>
    </row>
    <row r="47" spans="1:13" ht="16.5" thickBot="1">
      <c r="J47" s="24">
        <v>42</v>
      </c>
      <c r="K47" s="286" t="s">
        <v>640</v>
      </c>
      <c r="L47" s="287"/>
      <c r="M47" s="282" t="s">
        <v>1206</v>
      </c>
    </row>
    <row r="48" spans="1:13" ht="21.75" customHeight="1" thickBot="1">
      <c r="J48" s="24">
        <v>43</v>
      </c>
      <c r="K48" s="286" t="s">
        <v>1537</v>
      </c>
      <c r="L48" s="287"/>
      <c r="M48" s="282" t="s">
        <v>1206</v>
      </c>
    </row>
    <row r="49" spans="10:13" ht="16.5" thickBot="1">
      <c r="J49" s="24">
        <v>44</v>
      </c>
      <c r="K49" s="286" t="s">
        <v>1232</v>
      </c>
      <c r="L49" s="287"/>
      <c r="M49" s="282" t="s">
        <v>1206</v>
      </c>
    </row>
    <row r="50" spans="10:13" ht="16.5" thickBot="1">
      <c r="J50" s="24">
        <v>45</v>
      </c>
      <c r="K50" s="286" t="s">
        <v>1502</v>
      </c>
      <c r="L50" s="287"/>
      <c r="M50" s="282" t="s">
        <v>1959</v>
      </c>
    </row>
    <row r="51" spans="10:13" ht="16.5" thickBot="1">
      <c r="J51" s="24">
        <v>46</v>
      </c>
      <c r="K51" s="286" t="s">
        <v>2097</v>
      </c>
      <c r="L51" s="287"/>
      <c r="M51" s="282" t="s">
        <v>1959</v>
      </c>
    </row>
    <row r="52" spans="10:13" ht="16.5" thickBot="1">
      <c r="J52" s="24">
        <v>47</v>
      </c>
      <c r="K52" s="286" t="s">
        <v>1947</v>
      </c>
      <c r="L52" s="287"/>
      <c r="M52" s="282" t="s">
        <v>1960</v>
      </c>
    </row>
    <row r="53" spans="10:13" ht="16.5" thickBot="1">
      <c r="J53" s="24">
        <v>48</v>
      </c>
      <c r="K53" s="286" t="s">
        <v>1236</v>
      </c>
      <c r="L53" s="287"/>
      <c r="M53" s="282" t="s">
        <v>1238</v>
      </c>
    </row>
    <row r="54" spans="10:13" ht="16.5" thickBot="1">
      <c r="J54" s="24">
        <v>49</v>
      </c>
      <c r="K54" s="286" t="s">
        <v>309</v>
      </c>
      <c r="L54" s="287"/>
      <c r="M54" s="282" t="s">
        <v>1961</v>
      </c>
    </row>
    <row r="55" spans="10:13" ht="16.5" thickBot="1">
      <c r="J55" s="24">
        <v>50</v>
      </c>
      <c r="K55" s="286" t="s">
        <v>314</v>
      </c>
      <c r="L55" s="287"/>
      <c r="M55" s="282" t="s">
        <v>387</v>
      </c>
    </row>
    <row r="56" spans="10:13" ht="16.5" thickBot="1">
      <c r="J56" s="24">
        <v>51</v>
      </c>
      <c r="K56" s="286" t="s">
        <v>1239</v>
      </c>
      <c r="L56" s="287"/>
      <c r="M56" s="282" t="s">
        <v>387</v>
      </c>
    </row>
    <row r="57" spans="10:13" ht="16.5" thickBot="1">
      <c r="J57" s="24">
        <v>52</v>
      </c>
      <c r="K57" s="284" t="s">
        <v>1240</v>
      </c>
      <c r="L57" s="285"/>
      <c r="M57" s="282" t="s">
        <v>387</v>
      </c>
    </row>
    <row r="58" spans="10:13" ht="16.5" thickBot="1">
      <c r="J58" s="24">
        <v>53</v>
      </c>
      <c r="K58" s="284" t="s">
        <v>1237</v>
      </c>
      <c r="L58" s="492" t="s">
        <v>497</v>
      </c>
      <c r="M58" s="282" t="s">
        <v>1238</v>
      </c>
    </row>
    <row r="59" spans="10:13" ht="16.5" thickBot="1">
      <c r="J59" s="24">
        <v>54</v>
      </c>
      <c r="K59" s="286" t="s">
        <v>1250</v>
      </c>
      <c r="L59" s="492" t="s">
        <v>497</v>
      </c>
      <c r="M59" s="282" t="s">
        <v>1961</v>
      </c>
    </row>
    <row r="60" spans="10:13" ht="16.5" thickBot="1">
      <c r="J60" s="24">
        <v>55</v>
      </c>
      <c r="K60" s="284" t="s">
        <v>497</v>
      </c>
      <c r="L60" s="492" t="s">
        <v>497</v>
      </c>
      <c r="M60" s="282" t="s">
        <v>497</v>
      </c>
    </row>
    <row r="61" spans="10:13" ht="16.5" thickBot="1">
      <c r="J61" s="24">
        <v>56</v>
      </c>
      <c r="K61" s="284" t="s">
        <v>497</v>
      </c>
      <c r="L61" s="492" t="s">
        <v>497</v>
      </c>
      <c r="M61" s="24" t="s">
        <v>497</v>
      </c>
    </row>
    <row r="65" spans="12:12">
      <c r="L65" s="773" t="s">
        <v>494</v>
      </c>
    </row>
  </sheetData>
  <mergeCells count="9">
    <mergeCell ref="B12:C12"/>
    <mergeCell ref="D9:E9"/>
    <mergeCell ref="B1:E1"/>
    <mergeCell ref="B2:D2"/>
    <mergeCell ref="K4:M4"/>
    <mergeCell ref="B8:C8"/>
    <mergeCell ref="B9:C9"/>
    <mergeCell ref="B10:C10"/>
    <mergeCell ref="B11:C11"/>
  </mergeCells>
  <hyperlinks>
    <hyperlink ref="I6" location="الرجوع!A1" display="الرجوع!A1"/>
  </hyperlinks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6"/>
  <dimension ref="A1:U1199"/>
  <sheetViews>
    <sheetView showZeros="0" rightToLeft="1" workbookViewId="0">
      <selection activeCell="E19" sqref="E19"/>
    </sheetView>
  </sheetViews>
  <sheetFormatPr baseColWidth="10" defaultRowHeight="15.75"/>
  <cols>
    <col min="1" max="1" width="22.85546875" style="582" customWidth="1"/>
    <col min="2" max="8" width="9.140625" style="611" customWidth="1"/>
    <col min="9" max="9" width="8" style="611" customWidth="1"/>
    <col min="10" max="10" width="10" style="611" customWidth="1"/>
    <col min="11" max="13" width="11.42578125" style="582"/>
    <col min="14" max="14" width="8.5703125" style="583" customWidth="1"/>
    <col min="15" max="15" width="11.42578125" style="583"/>
    <col min="16" max="16" width="13.5703125" style="583" customWidth="1"/>
    <col min="17" max="19" width="11.42578125" style="582"/>
  </cols>
  <sheetData>
    <row r="1" spans="1:16" ht="16.5" thickBot="1">
      <c r="A1" s="1586">
        <f ca="1">NOW()</f>
        <v>45944.941684375</v>
      </c>
      <c r="B1" s="1587"/>
      <c r="C1" s="1587"/>
      <c r="D1" s="1587"/>
      <c r="E1" s="1587"/>
      <c r="F1" s="1587"/>
      <c r="G1" s="1587"/>
      <c r="H1" s="1587"/>
      <c r="I1" s="582"/>
      <c r="J1" s="582"/>
      <c r="N1" s="609"/>
    </row>
    <row r="2" spans="1:16" ht="16.5" thickBot="1">
      <c r="A2" s="1588" t="s">
        <v>728</v>
      </c>
      <c r="B2" s="1589"/>
      <c r="C2" s="1589"/>
      <c r="D2" s="1589"/>
      <c r="E2" s="1589"/>
      <c r="F2" s="1589"/>
      <c r="G2" s="1589"/>
      <c r="H2" s="1590"/>
      <c r="I2" s="582"/>
      <c r="J2" s="582"/>
    </row>
    <row r="3" spans="1:16">
      <c r="A3" s="610" t="s">
        <v>729</v>
      </c>
      <c r="B3" s="1582" t="s">
        <v>730</v>
      </c>
      <c r="C3" s="1583"/>
      <c r="D3" s="1582" t="s">
        <v>731</v>
      </c>
      <c r="E3" s="1583"/>
      <c r="F3" s="1584" t="s">
        <v>732</v>
      </c>
      <c r="G3" s="1585"/>
      <c r="H3" s="1591" t="s">
        <v>1853</v>
      </c>
      <c r="L3" s="1593" t="s">
        <v>1854</v>
      </c>
      <c r="M3" s="1593"/>
      <c r="N3" s="1594" t="s">
        <v>733</v>
      </c>
      <c r="O3" s="582"/>
      <c r="P3" s="612" t="s">
        <v>1855</v>
      </c>
    </row>
    <row r="4" spans="1:16">
      <c r="A4" s="613" t="s">
        <v>310</v>
      </c>
      <c r="B4" s="613" t="s">
        <v>311</v>
      </c>
      <c r="C4" s="613" t="s">
        <v>734</v>
      </c>
      <c r="D4" s="614" t="s">
        <v>311</v>
      </c>
      <c r="E4" s="614" t="s">
        <v>734</v>
      </c>
      <c r="F4" s="613" t="s">
        <v>311</v>
      </c>
      <c r="G4" s="613" t="s">
        <v>734</v>
      </c>
      <c r="H4" s="1592"/>
      <c r="L4" s="613" t="s">
        <v>311</v>
      </c>
      <c r="M4" s="613" t="s">
        <v>734</v>
      </c>
      <c r="N4" s="1595" t="s">
        <v>735</v>
      </c>
      <c r="O4" s="582"/>
      <c r="P4" s="582"/>
    </row>
    <row r="5" spans="1:16">
      <c r="A5" s="615" t="s">
        <v>10</v>
      </c>
      <c r="B5" s="606">
        <f>COUNTIFS($G$112:$G$993,"1ج م ع1",$H$112:$H$993,"ن/داخلي")</f>
        <v>0</v>
      </c>
      <c r="C5" s="606">
        <f>COUNTIFS($G$112:$G$993,"1ج م ع1",$H$112:$H$993,"ن/داخلية")</f>
        <v>6</v>
      </c>
      <c r="D5" s="606">
        <f>COUNTIFS($G$112:$G$993,"1ج م ع1",$H$112:$H$993,"خارجي")</f>
        <v>14</v>
      </c>
      <c r="E5" s="606">
        <f>COUNTIFS($G$112:$G$993,"1ج م ع1",$H$112:$H$993,"خارجية")</f>
        <v>19</v>
      </c>
      <c r="F5" s="606">
        <f t="shared" ref="F5:G8" si="0">SUM(+B5+D5)</f>
        <v>14</v>
      </c>
      <c r="G5" s="606">
        <f t="shared" si="0"/>
        <v>25</v>
      </c>
      <c r="H5" s="616">
        <f>SUM(G5+F5)</f>
        <v>39</v>
      </c>
      <c r="L5" s="606">
        <f>COUNTIFS($G$110:$G$781,"1ج م ع1",$K$110:$K$781,"م1")</f>
        <v>0</v>
      </c>
      <c r="M5" s="606">
        <f>COUNTIFS($G$110:$G$781,"1ج م ع1",$K$110:$K$781,"م")</f>
        <v>5</v>
      </c>
      <c r="N5" s="617">
        <f>SUM(M5+L5)</f>
        <v>5</v>
      </c>
      <c r="O5" s="582"/>
      <c r="P5" s="582"/>
    </row>
    <row r="6" spans="1:16">
      <c r="A6" s="615" t="s">
        <v>11</v>
      </c>
      <c r="B6" s="606">
        <f>COUNTIFS($G$112:$G$993,"1ج م ع2",$H$112:$H$993,"ن/داخلي")</f>
        <v>0</v>
      </c>
      <c r="C6" s="606">
        <f>COUNTIFS($G$112:$G$993,"1ج م ع2",$H$112:$H$993,"ن/داخلية")</f>
        <v>6</v>
      </c>
      <c r="D6" s="606">
        <f>COUNTIFS($G$112:$G$993,"1ج م ع2",$H$112:$H$993,"خارجي")</f>
        <v>14</v>
      </c>
      <c r="E6" s="606">
        <f>COUNTIFS($G$112:$G$993,"1ج م ع2",$H$112:$H$993,"خارجية")</f>
        <v>19</v>
      </c>
      <c r="F6" s="606">
        <f t="shared" si="0"/>
        <v>14</v>
      </c>
      <c r="G6" s="606">
        <f t="shared" si="0"/>
        <v>25</v>
      </c>
      <c r="H6" s="616">
        <f>SUM(F6:G6)</f>
        <v>39</v>
      </c>
      <c r="L6" s="606">
        <f>COUNTIFS($G$110:$G$781,"1ج م ع2",$K$110:$K$781,"م1")</f>
        <v>0</v>
      </c>
      <c r="M6" s="606">
        <f>COUNTIFS($G$110:$G$781,"1ج م ع2",$K$110:$K$781,"م")</f>
        <v>0</v>
      </c>
      <c r="N6" s="617">
        <f>SUM(L6:M6)</f>
        <v>0</v>
      </c>
      <c r="O6" s="582"/>
      <c r="P6" s="582"/>
    </row>
    <row r="7" spans="1:16">
      <c r="A7" s="615" t="s">
        <v>8</v>
      </c>
      <c r="B7" s="606">
        <f>COUNTIFS($G$112:$G$993,"1ج م ع3",$H$112:$H$993,"ن/داخلي")</f>
        <v>1</v>
      </c>
      <c r="C7" s="606">
        <f>COUNTIFS($G$112:$G$993,"1ج م ع3",$H$112:$H$993,"ن/داخلية")</f>
        <v>5</v>
      </c>
      <c r="D7" s="606">
        <f>COUNTIFS($G$112:$G$993,"1ج م ع3",$H$112:$H$993,"خارجي")</f>
        <v>14</v>
      </c>
      <c r="E7" s="606">
        <f>COUNTIFS($G$112:$G$993,"1ج م ع3",$H$112:$H$993,"خارجية")</f>
        <v>19</v>
      </c>
      <c r="F7" s="606">
        <f t="shared" si="0"/>
        <v>15</v>
      </c>
      <c r="G7" s="606">
        <f t="shared" si="0"/>
        <v>24</v>
      </c>
      <c r="H7" s="616">
        <f>SUM(F7:G7)</f>
        <v>39</v>
      </c>
      <c r="L7" s="606">
        <f>COUNTIFS($G$110:$G$781,"1ج م ع3",$K$110:$K$781,"م1")</f>
        <v>1</v>
      </c>
      <c r="M7" s="606">
        <f>COUNTIFS($G$110:$G$781,"1ج م ع3",$K$110:$K$781,"م")</f>
        <v>2</v>
      </c>
      <c r="N7" s="617">
        <f>SUM(L7:M7)</f>
        <v>3</v>
      </c>
      <c r="O7" s="582"/>
      <c r="P7" s="582"/>
    </row>
    <row r="8" spans="1:16">
      <c r="A8" s="615" t="s">
        <v>525</v>
      </c>
      <c r="B8" s="606">
        <f>COUNTIFS($G$112:$G$993,"1ج م ع4",$H$112:$H$993,"ن/داخلي")</f>
        <v>1</v>
      </c>
      <c r="C8" s="606">
        <f>COUNTIFS($G$112:$G$993,"1ج م ع4",$H$112:$H$993,"ن/داخلية")</f>
        <v>6</v>
      </c>
      <c r="D8" s="606">
        <f>COUNTIFS($G$112:$G$993,"1ج م ع4",$H$112:$H$993,"خارجي")</f>
        <v>13</v>
      </c>
      <c r="E8" s="606">
        <f>COUNTIFS($G$112:$G$993,"1ج م ع4",$H$112:$H$993,"خارجية")</f>
        <v>19</v>
      </c>
      <c r="F8" s="606">
        <f t="shared" si="0"/>
        <v>14</v>
      </c>
      <c r="G8" s="606">
        <f t="shared" si="0"/>
        <v>25</v>
      </c>
      <c r="H8" s="616">
        <f>SUM(F8:G8)</f>
        <v>39</v>
      </c>
      <c r="L8" s="606">
        <f>COUNTIFS($G$110:$G$781,"1ج م ع4",$K$110:$K$781,"م1")</f>
        <v>0</v>
      </c>
      <c r="M8" s="606">
        <f>COUNTIFS($G$110:$G$781,"1ج م ع4",$K$110:$K$781,"م")</f>
        <v>4</v>
      </c>
      <c r="N8" s="617">
        <f>SUM(L8:M8)</f>
        <v>4</v>
      </c>
      <c r="O8" s="582"/>
      <c r="P8" s="582"/>
    </row>
    <row r="9" spans="1:16">
      <c r="A9" s="618" t="s">
        <v>1856</v>
      </c>
      <c r="B9" s="619">
        <f t="shared" ref="B9:G9" si="1">SUM(B5:B8)</f>
        <v>2</v>
      </c>
      <c r="C9" s="619">
        <f t="shared" si="1"/>
        <v>23</v>
      </c>
      <c r="D9" s="619">
        <f t="shared" si="1"/>
        <v>55</v>
      </c>
      <c r="E9" s="619">
        <f t="shared" si="1"/>
        <v>76</v>
      </c>
      <c r="F9" s="619">
        <f t="shared" si="1"/>
        <v>57</v>
      </c>
      <c r="G9" s="619">
        <f t="shared" si="1"/>
        <v>99</v>
      </c>
      <c r="H9" s="1596">
        <f>SUM(F9:G9)</f>
        <v>156</v>
      </c>
      <c r="L9" s="619">
        <f>SUM(L5:L8)</f>
        <v>1</v>
      </c>
      <c r="M9" s="619">
        <f>SUM(M5:M8)</f>
        <v>11</v>
      </c>
      <c r="N9" s="1572">
        <f>SUM(L9:M9)</f>
        <v>12</v>
      </c>
      <c r="O9" s="582"/>
      <c r="P9" s="582"/>
    </row>
    <row r="10" spans="1:16">
      <c r="A10" s="620" t="s">
        <v>736</v>
      </c>
      <c r="B10" s="621">
        <f>SUM(B9:C9)</f>
        <v>25</v>
      </c>
      <c r="C10" s="622"/>
      <c r="D10" s="1574">
        <f>SUM(D9:E9)</f>
        <v>131</v>
      </c>
      <c r="E10" s="1574"/>
      <c r="F10" s="1574">
        <f>SUM(F9:G9)</f>
        <v>156</v>
      </c>
      <c r="G10" s="1574"/>
      <c r="H10" s="1596"/>
      <c r="L10" s="1574">
        <f>SUM(L9:M9)</f>
        <v>12</v>
      </c>
      <c r="M10" s="1574"/>
      <c r="N10" s="1572"/>
      <c r="O10" s="582"/>
      <c r="P10" s="582"/>
    </row>
    <row r="11" spans="1:16">
      <c r="A11" s="615" t="s">
        <v>35</v>
      </c>
      <c r="B11" s="606">
        <f>COUNTIFS($G$112:$G$993,"1ج م ا1",$H$112:$H$993,"ن/داخلي")</f>
        <v>1</v>
      </c>
      <c r="C11" s="606">
        <f>COUNTIFS($G$112:$G$993,"1ج م ا1",$H$112:$H$993,"ن/داخلية")</f>
        <v>4</v>
      </c>
      <c r="D11" s="606">
        <f>COUNTIFS($G$112:$G$993,"1ج م ا1",$H$112:$H$993,"خارجي")</f>
        <v>13</v>
      </c>
      <c r="E11" s="606">
        <f>COUNTIFS($G$112:$G$993,"1ج م ا1",$H$112:$H$993,"خارجية")</f>
        <v>18</v>
      </c>
      <c r="F11" s="606">
        <f t="shared" ref="F11:G13" si="2">SUM(+B11+D11)</f>
        <v>14</v>
      </c>
      <c r="G11" s="606">
        <f t="shared" si="2"/>
        <v>22</v>
      </c>
      <c r="H11" s="616">
        <f>SUM(F11:G11)</f>
        <v>36</v>
      </c>
      <c r="L11" s="606">
        <f>COUNTIFS($G$110:$G$781,"1ج م ا1",$K$110:$K$781,"م1")</f>
        <v>0</v>
      </c>
      <c r="M11" s="606">
        <f>COUNTIFS($G$110:$G$781,"1ج م ا1",$K$110:$K$781,"م")</f>
        <v>0</v>
      </c>
      <c r="N11" s="617">
        <f>SUM(L11:M11)</f>
        <v>0</v>
      </c>
      <c r="O11" s="582"/>
      <c r="P11" s="582"/>
    </row>
    <row r="12" spans="1:16">
      <c r="A12" s="615" t="s">
        <v>39</v>
      </c>
      <c r="B12" s="606">
        <f>COUNTIFS($G$112:$G$993,"1ج م ا2",$H$112:$H$993,"ن/داخلي")</f>
        <v>0</v>
      </c>
      <c r="C12" s="606">
        <f>COUNTIFS($G$112:$G$993,"1ج م ا2",$H$112:$H$993,"ن/داخلية")</f>
        <v>5</v>
      </c>
      <c r="D12" s="606">
        <f>COUNTIFS($G$112:$G$993,"1ج م ا2",$H$112:$H$993,"خارجي")</f>
        <v>14</v>
      </c>
      <c r="E12" s="606">
        <f>COUNTIFS($G$112:$G$993,"1ج م ا2",$H$112:$H$993,"خارجية")</f>
        <v>17</v>
      </c>
      <c r="F12" s="606">
        <f t="shared" si="2"/>
        <v>14</v>
      </c>
      <c r="G12" s="606">
        <f t="shared" si="2"/>
        <v>22</v>
      </c>
      <c r="H12" s="616">
        <f>SUM(F12:G12)</f>
        <v>36</v>
      </c>
      <c r="L12" s="606">
        <f>COUNTIFS($G$110:$G$781,"1ج م ا2",$K$110:$K$781,"م1")</f>
        <v>0</v>
      </c>
      <c r="M12" s="606">
        <f>COUNTIFS($G$110:$G$781,"1ج م ا2",$K$110:$K$781,"م")</f>
        <v>0</v>
      </c>
      <c r="N12" s="617">
        <f>SUM(L12:M12)</f>
        <v>0</v>
      </c>
      <c r="O12" s="582"/>
      <c r="P12" s="582"/>
    </row>
    <row r="13" spans="1:16">
      <c r="A13" s="623" t="s">
        <v>1857</v>
      </c>
      <c r="B13" s="619">
        <f>SUM(B11:B12)</f>
        <v>1</v>
      </c>
      <c r="C13" s="619">
        <f>SUM(C11:C12)</f>
        <v>9</v>
      </c>
      <c r="D13" s="619">
        <f>SUM(D11:D12)</f>
        <v>27</v>
      </c>
      <c r="E13" s="619">
        <f>SUM(E11:E12)</f>
        <v>35</v>
      </c>
      <c r="F13" s="619">
        <f t="shared" si="2"/>
        <v>28</v>
      </c>
      <c r="G13" s="619">
        <f t="shared" si="2"/>
        <v>44</v>
      </c>
      <c r="H13" s="1597">
        <f>SUM(H11:H12)</f>
        <v>72</v>
      </c>
      <c r="L13" s="619">
        <f>SUM(L11:L12)</f>
        <v>0</v>
      </c>
      <c r="M13" s="619">
        <f>SUM(M11:M12)</f>
        <v>0</v>
      </c>
      <c r="N13" s="1572">
        <f>SUM(N11:N12)</f>
        <v>0</v>
      </c>
    </row>
    <row r="14" spans="1:16">
      <c r="A14" s="620" t="s">
        <v>736</v>
      </c>
      <c r="B14" s="1574">
        <f>SUM(B13:C13)</f>
        <v>10</v>
      </c>
      <c r="C14" s="1574"/>
      <c r="D14" s="1574">
        <f>SUM(D13:E13)</f>
        <v>62</v>
      </c>
      <c r="E14" s="1574"/>
      <c r="F14" s="1574">
        <f>SUM(F13:G13)</f>
        <v>72</v>
      </c>
      <c r="G14" s="1574"/>
      <c r="H14" s="1598"/>
      <c r="L14" s="1574">
        <f>SUM(L13:M13)</f>
        <v>0</v>
      </c>
      <c r="M14" s="1574"/>
      <c r="N14" s="1572"/>
    </row>
    <row r="15" spans="1:16">
      <c r="A15" s="623" t="s">
        <v>1858</v>
      </c>
      <c r="B15" s="619">
        <f t="shared" ref="B15:H15" si="3">SUM(B13,B9)</f>
        <v>3</v>
      </c>
      <c r="C15" s="619">
        <f t="shared" si="3"/>
        <v>32</v>
      </c>
      <c r="D15" s="619">
        <f t="shared" si="3"/>
        <v>82</v>
      </c>
      <c r="E15" s="619">
        <f t="shared" si="3"/>
        <v>111</v>
      </c>
      <c r="F15" s="619">
        <f t="shared" si="3"/>
        <v>85</v>
      </c>
      <c r="G15" s="619">
        <f t="shared" si="3"/>
        <v>143</v>
      </c>
      <c r="H15" s="1596">
        <f t="shared" si="3"/>
        <v>228</v>
      </c>
      <c r="L15" s="624">
        <f>SUM(L13,L9:L10)</f>
        <v>13</v>
      </c>
      <c r="M15" s="624">
        <f>SUM(M13,M9)</f>
        <v>11</v>
      </c>
      <c r="N15" s="1572">
        <f>SUM(N13,N9)</f>
        <v>12</v>
      </c>
    </row>
    <row r="16" spans="1:16">
      <c r="A16" s="620" t="s">
        <v>736</v>
      </c>
      <c r="B16" s="1574">
        <f>SUM(B15:C15)</f>
        <v>35</v>
      </c>
      <c r="C16" s="1574"/>
      <c r="D16" s="1574">
        <f>SUM(D15:E15)</f>
        <v>193</v>
      </c>
      <c r="E16" s="1574"/>
      <c r="F16" s="1574">
        <f>SUM(F15:G15)</f>
        <v>228</v>
      </c>
      <c r="G16" s="1574"/>
      <c r="H16" s="1596"/>
      <c r="L16" s="1574">
        <f>SUM(L15:M15)</f>
        <v>24</v>
      </c>
      <c r="M16" s="1574"/>
      <c r="N16" s="1572"/>
    </row>
    <row r="17" spans="1:16">
      <c r="A17" s="625" t="s">
        <v>6</v>
      </c>
      <c r="B17" s="606">
        <f>COUNTIFS($G$112:$G$993,"2ت ر",$H$112:$H$993,"ن/داخلي")</f>
        <v>0</v>
      </c>
      <c r="C17" s="606">
        <f>COUNTIFS($G$112:$G$993,"2ت ر",$H$112:$H$993,"ن/داخلية")</f>
        <v>0</v>
      </c>
      <c r="D17" s="606">
        <f>COUNTIFS($G$112:$G$993,"2ت ر",$H$112:$H$993,"خارجي")</f>
        <v>4</v>
      </c>
      <c r="E17" s="606">
        <f>COUNTIFS($G$112:$G$993,"2ت ر",$H$112:$H$993,"خارجية")</f>
        <v>9</v>
      </c>
      <c r="F17" s="606">
        <f t="shared" ref="F17:F26" si="4">SUM(+B17+D17)</f>
        <v>4</v>
      </c>
      <c r="G17" s="606">
        <f t="shared" ref="G17:G26" si="5">SUM(+C17+E17)</f>
        <v>9</v>
      </c>
      <c r="H17" s="616">
        <f t="shared" ref="H17:H26" si="6">SUM(F17:G17)</f>
        <v>13</v>
      </c>
      <c r="L17" s="624">
        <f>COUNTIFS($G$110:$G$781,"2ت ر",$K$110:$K$781,"م1")</f>
        <v>0</v>
      </c>
      <c r="M17" s="624">
        <f>COUNTIFS($G$110:$G$781,"2ت ر",$K$110:$K$781,"م")</f>
        <v>0</v>
      </c>
      <c r="N17" s="617">
        <f t="shared" ref="N17:N26" si="7">SUM(L17:M17)</f>
        <v>0</v>
      </c>
    </row>
    <row r="18" spans="1:16">
      <c r="A18" s="625" t="s">
        <v>2</v>
      </c>
      <c r="B18" s="606">
        <f>COUNTIFS($G$112:$G$993,"2ع ت1",$H$112:$H$993,"ن/داخلي")</f>
        <v>0</v>
      </c>
      <c r="C18" s="606">
        <f>COUNTIFS($G$112:$G$993,"2ع ت1",$H$112:$H$993,"ن/داخلية")</f>
        <v>5</v>
      </c>
      <c r="D18" s="606">
        <f>COUNTIFS($G$112:$G$993,"2ع ت1",$H$112:$H$993,"خارجي")</f>
        <v>8</v>
      </c>
      <c r="E18" s="606">
        <f>COUNTIFS($G$112:$G$993,"2ع ت1",$H$112:$H$993,"خارجية")</f>
        <v>15</v>
      </c>
      <c r="F18" s="606">
        <f t="shared" si="4"/>
        <v>8</v>
      </c>
      <c r="G18" s="606">
        <f t="shared" si="5"/>
        <v>20</v>
      </c>
      <c r="H18" s="616">
        <f t="shared" si="6"/>
        <v>28</v>
      </c>
      <c r="L18" s="606">
        <f>COUNTIFS($G$110:$G$781,"2ع ت1",$K$110:$K$781,"م1")</f>
        <v>0</v>
      </c>
      <c r="M18" s="606">
        <f>COUNTIFS($G$110:$G$781,"2ع ت1",$K$110:$K$781,"م")</f>
        <v>0</v>
      </c>
      <c r="N18" s="617">
        <f t="shared" si="7"/>
        <v>0</v>
      </c>
      <c r="O18" s="582"/>
      <c r="P18" s="582"/>
    </row>
    <row r="19" spans="1:16">
      <c r="A19" s="625" t="s">
        <v>3</v>
      </c>
      <c r="B19" s="606">
        <f>COUNTIFS($G$112:$G$993,"2ع ت2",$H$112:$H$993,"ن/داخلي")</f>
        <v>1</v>
      </c>
      <c r="C19" s="606">
        <f>COUNTIFS($G$112:$G$993,"2ع ت2",$H$112:$H$993,"ن/داخلية")</f>
        <v>5</v>
      </c>
      <c r="D19" s="606">
        <f>COUNTIFS($G$112:$G$993,"2ع ت2",$H$112:$H$993,"خارجي")</f>
        <v>7</v>
      </c>
      <c r="E19" s="606">
        <f>COUNTIFS($G$112:$G$993,"2ع ت2",$H$112:$H$993,"خارجية")</f>
        <v>15</v>
      </c>
      <c r="F19" s="606">
        <f t="shared" si="4"/>
        <v>8</v>
      </c>
      <c r="G19" s="606">
        <f t="shared" si="5"/>
        <v>20</v>
      </c>
      <c r="H19" s="616">
        <f t="shared" si="6"/>
        <v>28</v>
      </c>
      <c r="L19" s="606">
        <f>COUNTIFS($G$110:$G$781,"2ع ت2",$K$110:$K$781,"م1")</f>
        <v>2</v>
      </c>
      <c r="M19" s="606">
        <f>COUNTIFS($G$110:$G$781,"2ع ت2",$K$110:$K$781,"م")</f>
        <v>4</v>
      </c>
      <c r="N19" s="617">
        <f t="shared" si="7"/>
        <v>6</v>
      </c>
      <c r="O19" s="582"/>
      <c r="P19" s="582"/>
    </row>
    <row r="20" spans="1:16">
      <c r="A20" s="625" t="s">
        <v>563</v>
      </c>
      <c r="B20" s="606">
        <f>COUNTIFS($G$112:$G$993,"2ع ت3",$H$112:$H$993,"ن/داخلي")</f>
        <v>0</v>
      </c>
      <c r="C20" s="606">
        <f>COUNTIFS($G$112:$G$993,"2ع ت3",$H$112:$H$993,"ن/داخلية")</f>
        <v>1</v>
      </c>
      <c r="D20" s="606">
        <f>COUNTIFS($G$112:$G$993,"2ع ت3",$H$112:$H$993,"خارجي")</f>
        <v>10</v>
      </c>
      <c r="E20" s="606" t="s">
        <v>2093</v>
      </c>
      <c r="F20" s="606">
        <f t="shared" si="4"/>
        <v>10</v>
      </c>
      <c r="G20" s="606" t="e">
        <f t="shared" si="5"/>
        <v>#VALUE!</v>
      </c>
      <c r="H20" s="616" t="e">
        <f t="shared" si="6"/>
        <v>#VALUE!</v>
      </c>
      <c r="L20" s="606">
        <f>COUNTIFS($G$110:$G$781,"2ع ت3",$K$110:$K$781,"م1")</f>
        <v>0</v>
      </c>
      <c r="M20" s="606">
        <f>COUNTIFS($G$110:$G$781,"2ع ت3",$K$110:$K$781,"م")</f>
        <v>5</v>
      </c>
      <c r="N20" s="617">
        <f t="shared" si="7"/>
        <v>5</v>
      </c>
      <c r="O20" s="582"/>
      <c r="P20" s="582"/>
    </row>
    <row r="21" spans="1:16">
      <c r="A21" s="625" t="s">
        <v>566</v>
      </c>
      <c r="B21" s="606">
        <f>COUNTIFS($G$112:$G$993,"2ت ا ق1",$H$112:$H$993,"ن/داخلي")</f>
        <v>1</v>
      </c>
      <c r="C21" s="606">
        <f>COUNTIFS($G$112:$G$993,"2ت ا ق1",$H$112:$H$993,"ن/داخلية")</f>
        <v>2</v>
      </c>
      <c r="D21" s="606">
        <f>COUNTIFS($G$112:$G$993,"2ت ا ق1",$H$112:$H$993,"خارجي")</f>
        <v>10</v>
      </c>
      <c r="E21" s="606">
        <f>COUNTIFS($G$112:$G$993,"2ت ا ق1",$H$112:$H$993,"خارجية")</f>
        <v>7</v>
      </c>
      <c r="F21" s="606">
        <f t="shared" si="4"/>
        <v>11</v>
      </c>
      <c r="G21" s="606">
        <f t="shared" si="5"/>
        <v>9</v>
      </c>
      <c r="H21" s="616">
        <f t="shared" si="6"/>
        <v>20</v>
      </c>
      <c r="L21" s="606">
        <f>COUNTIFS($G$110:$G$781,"2ت ا ق1",$K$110:$K$781,"م1")</f>
        <v>1</v>
      </c>
      <c r="M21" s="606">
        <f>COUNTIFS($G$110:$G$781,"2ت ا ق1",$K$110:$K$781,"م")</f>
        <v>4</v>
      </c>
      <c r="N21" s="617">
        <f t="shared" si="7"/>
        <v>5</v>
      </c>
      <c r="O21" s="582"/>
      <c r="P21" s="582"/>
    </row>
    <row r="22" spans="1:16">
      <c r="A22" s="625" t="s">
        <v>567</v>
      </c>
      <c r="B22" s="606">
        <f>COUNTIFS($G$112:$G$993,"2ت ا ق2",$H$112:$H$993,"ن/داخلي")</f>
        <v>0</v>
      </c>
      <c r="C22" s="606">
        <f>COUNTIFS($G$112:$G$993,"2ت ا ق2",$H$112:$H$993,"ن/داخلية")</f>
        <v>2</v>
      </c>
      <c r="D22" s="606">
        <f>COUNTIFS($G$112:$G$993,"2ت ا ق2",$H$112:$H$993,"خارجي")</f>
        <v>10</v>
      </c>
      <c r="E22" s="606">
        <f>COUNTIFS($G$112:$G$993,"2ت ا ق2",$H$112:$H$993,"خارجية")</f>
        <v>8</v>
      </c>
      <c r="F22" s="606">
        <f t="shared" si="4"/>
        <v>10</v>
      </c>
      <c r="G22" s="606">
        <f t="shared" si="5"/>
        <v>10</v>
      </c>
      <c r="H22" s="616">
        <f t="shared" si="6"/>
        <v>20</v>
      </c>
      <c r="L22" s="606">
        <f>COUNTIFS($G$110:$G$781,"2ت ا ق2",$K$110:$K$781,"م1")</f>
        <v>0</v>
      </c>
      <c r="M22" s="606">
        <f>COUNTIFS($G$110:$G$781,"2ت ا ق2",$K$110:$K$781,"م")</f>
        <v>0</v>
      </c>
      <c r="N22" s="617">
        <f t="shared" si="7"/>
        <v>0</v>
      </c>
      <c r="O22" s="582"/>
      <c r="P22" s="582"/>
    </row>
    <row r="23" spans="1:16">
      <c r="A23" s="625" t="s">
        <v>1498</v>
      </c>
      <c r="B23" s="606">
        <f>COUNTIFS($G$112:$G$993,"2أ ف1",$H$112:$H$993,"ن/داخلي")</f>
        <v>2</v>
      </c>
      <c r="C23" s="606">
        <f>COUNTIFS($G$112:$G$993,"2أ ف1",$H$112:$H$993,"ن/داخلية")</f>
        <v>2</v>
      </c>
      <c r="D23" s="606">
        <f>COUNTIFS($G$112:$G$993,"2أ ف1",$H$112:$H$993,"خارجي")</f>
        <v>12</v>
      </c>
      <c r="E23" s="606">
        <f>COUNTIFS($G$112:$G$993,"2أ ف1",$H$112:$H$993,"خارجية")</f>
        <v>11</v>
      </c>
      <c r="F23" s="606">
        <f t="shared" si="4"/>
        <v>14</v>
      </c>
      <c r="G23" s="606">
        <f t="shared" si="5"/>
        <v>13</v>
      </c>
      <c r="H23" s="616">
        <f t="shared" si="6"/>
        <v>27</v>
      </c>
      <c r="L23" s="606">
        <f>COUNTIFS($G$110:$G$781,"2أ ف1",$K$110:$K$781,"م1")</f>
        <v>3</v>
      </c>
      <c r="M23" s="606">
        <f>COUNTIFS($G$110:$G$781,"2أ ف1",$K$110:$K$781,"م")</f>
        <v>5</v>
      </c>
      <c r="N23" s="617">
        <f t="shared" si="7"/>
        <v>8</v>
      </c>
      <c r="O23" s="582"/>
      <c r="P23" s="582"/>
    </row>
    <row r="24" spans="1:16">
      <c r="A24" s="625" t="s">
        <v>1499</v>
      </c>
      <c r="B24" s="606">
        <f>COUNTIFS($G$112:$G$993,"2أ ف2",$H$112:$H$993,"ن/داخلي")</f>
        <v>2</v>
      </c>
      <c r="C24" s="606">
        <f>COUNTIFS($G$112:$G$993,"2أ ف2",$H$112:$H$993,"ن/داخلية")</f>
        <v>2</v>
      </c>
      <c r="D24" s="606">
        <f>COUNTIFS($G$112:$G$993,"2أ ف2",$H$112:$H$993,"خارجي")</f>
        <v>13</v>
      </c>
      <c r="E24" s="606">
        <f>COUNTIFS($G$112:$G$993,"2أ ف2",$H$112:$H$993,"خارجية")</f>
        <v>10</v>
      </c>
      <c r="F24" s="606">
        <f t="shared" si="4"/>
        <v>15</v>
      </c>
      <c r="G24" s="606">
        <f t="shared" si="5"/>
        <v>12</v>
      </c>
      <c r="H24" s="616">
        <f t="shared" si="6"/>
        <v>27</v>
      </c>
      <c r="L24" s="606">
        <f>COUNTIFS($G$110:$G$781,"2أ ف2",$K$110:$K$781,"م1")</f>
        <v>0</v>
      </c>
      <c r="M24" s="606">
        <f>COUNTIFS($G$110:$G$781,"2أ ف2",$K$110:$K$781,"م")</f>
        <v>4</v>
      </c>
      <c r="N24" s="617">
        <f t="shared" si="7"/>
        <v>4</v>
      </c>
      <c r="O24" s="582"/>
      <c r="P24" s="582"/>
    </row>
    <row r="25" spans="1:16">
      <c r="A25" s="625" t="s">
        <v>1859</v>
      </c>
      <c r="B25" s="606">
        <f>COUNTIFS($G$112:$G$993,"2أ ف3",$H$112:$H$993,"ن/داخلي")</f>
        <v>1</v>
      </c>
      <c r="C25" s="606">
        <f>COUNTIFS($G$112:$G$993,"2أ ف3",$H$112:$H$993,"ن/داخلية")</f>
        <v>2</v>
      </c>
      <c r="D25" s="606">
        <f>COUNTIFS($G$112:$G$993,"2أ ف3",$H$112:$H$993,"خارجي")</f>
        <v>13</v>
      </c>
      <c r="E25" s="606">
        <f>COUNTIFS($G$112:$G$993,"2أ ف3",$H$112:$H$993,"خارجية")</f>
        <v>11</v>
      </c>
      <c r="F25" s="606">
        <f t="shared" si="4"/>
        <v>14</v>
      </c>
      <c r="G25" s="606">
        <f t="shared" si="5"/>
        <v>13</v>
      </c>
      <c r="H25" s="616">
        <f t="shared" si="6"/>
        <v>27</v>
      </c>
      <c r="L25" s="606">
        <f>COUNTIFS($G$110:$G$781,"2أ ف3",$K$110:$K$781,"م1")</f>
        <v>1</v>
      </c>
      <c r="M25" s="606">
        <f>COUNTIFS($G$110:$G$781,"2أ ف3",$K$110:$K$781,"م")</f>
        <v>3</v>
      </c>
      <c r="N25" s="617">
        <f t="shared" si="7"/>
        <v>4</v>
      </c>
      <c r="O25" s="582"/>
      <c r="P25" s="582"/>
    </row>
    <row r="26" spans="1:16">
      <c r="A26" s="625" t="s">
        <v>4</v>
      </c>
      <c r="B26" s="606">
        <f>COUNTIFS($G$112:$G$993,"2ل أ",$H$112:$H$993,"ن/داخلي")</f>
        <v>0</v>
      </c>
      <c r="C26" s="606">
        <f>COUNTIFS($G$112:$G$993,"2ل أ",$H$112:$H$993,"ن/داخلية")</f>
        <v>4</v>
      </c>
      <c r="D26" s="606">
        <f>COUNTIFS($G$112:$G$993,"2ل أ",$H$112:$H$993,"خارجي")</f>
        <v>7</v>
      </c>
      <c r="E26" s="606">
        <f>COUNTIFS($G$112:$G$993,"2ل أ",$H$112:$H$993,"خارجية")</f>
        <v>8</v>
      </c>
      <c r="F26" s="606">
        <f t="shared" si="4"/>
        <v>7</v>
      </c>
      <c r="G26" s="606">
        <f t="shared" si="5"/>
        <v>12</v>
      </c>
      <c r="H26" s="616">
        <f t="shared" si="6"/>
        <v>19</v>
      </c>
      <c r="L26" s="606">
        <f>COUNTIFS($G$110:$G$781,"2ل أ",$K$110:$K$781,"م1")</f>
        <v>0</v>
      </c>
      <c r="M26" s="606">
        <f>COUNTIFS($G$110:$G$781,"2ل أ",$K$110:$K$781,"م")</f>
        <v>0</v>
      </c>
      <c r="N26" s="617">
        <f t="shared" si="7"/>
        <v>0</v>
      </c>
      <c r="O26" s="582"/>
      <c r="P26" s="582"/>
    </row>
    <row r="27" spans="1:16">
      <c r="A27" s="626" t="s">
        <v>1860</v>
      </c>
      <c r="B27" s="619">
        <f>SUM(B17:B26)</f>
        <v>7</v>
      </c>
      <c r="C27" s="619">
        <f t="shared" ref="C27" si="8">SUM(C17:C26)</f>
        <v>25</v>
      </c>
      <c r="D27" s="619">
        <f>SUM(D17:D26)</f>
        <v>94</v>
      </c>
      <c r="E27" s="619">
        <f>SUM(E17:E26)</f>
        <v>94</v>
      </c>
      <c r="F27" s="619">
        <f>SUM(F17:F26)</f>
        <v>101</v>
      </c>
      <c r="G27" s="619" t="e">
        <f>SUM(G17:G26)</f>
        <v>#VALUE!</v>
      </c>
      <c r="H27" s="1596" t="e">
        <f>SUM(G27+F27)</f>
        <v>#VALUE!</v>
      </c>
      <c r="L27" s="619">
        <f>SUM(L17:L26)</f>
        <v>7</v>
      </c>
      <c r="M27" s="619">
        <f>SUM(M17:M26)</f>
        <v>25</v>
      </c>
      <c r="N27" s="1572">
        <f>SUM(M27+L27)</f>
        <v>32</v>
      </c>
      <c r="O27" s="582"/>
      <c r="P27" s="582"/>
    </row>
    <row r="28" spans="1:16">
      <c r="A28" s="620" t="s">
        <v>736</v>
      </c>
      <c r="B28" s="1574">
        <f>SUM(B27:C27)</f>
        <v>32</v>
      </c>
      <c r="C28" s="1574"/>
      <c r="D28" s="1574">
        <f>SUM(D27:E27)</f>
        <v>188</v>
      </c>
      <c r="E28" s="1574"/>
      <c r="F28" s="1574" t="e">
        <f>SUM(F27:G27)</f>
        <v>#VALUE!</v>
      </c>
      <c r="G28" s="1574"/>
      <c r="H28" s="1596"/>
      <c r="L28" s="1574">
        <f>SUM(L27:M27)</f>
        <v>32</v>
      </c>
      <c r="M28" s="1574"/>
      <c r="N28" s="1572">
        <f>N27</f>
        <v>32</v>
      </c>
      <c r="O28" s="582"/>
      <c r="P28" s="582"/>
    </row>
    <row r="29" spans="1:16">
      <c r="A29" s="625" t="s">
        <v>500</v>
      </c>
      <c r="B29" s="606">
        <f>COUNTIFS($G$112:$G$993,"3ت ر",$H$112:$H$993,"ن/داخلي")</f>
        <v>0</v>
      </c>
      <c r="C29" s="606">
        <f>COUNTIFS($G$112:$G$993,"3ت ر",$H$112:$H$993,"ن/داخلية")</f>
        <v>0</v>
      </c>
      <c r="D29" s="606">
        <f>COUNTIFS($G$112:$G$993,"3ت ر",$H$112:$H$993,"خارجي")</f>
        <v>8</v>
      </c>
      <c r="E29" s="606">
        <f>COUNTIFS($G$112:$G$993,"3ت ر",$H$112:$H$993,"خارجية")</f>
        <v>7</v>
      </c>
      <c r="F29" s="606">
        <f t="shared" ref="F29:G37" si="9">SUM(+B29+D29)</f>
        <v>8</v>
      </c>
      <c r="G29" s="606">
        <f t="shared" si="9"/>
        <v>7</v>
      </c>
      <c r="H29" s="616">
        <f t="shared" ref="H29:H37" si="10">SUM(F29:G29)</f>
        <v>15</v>
      </c>
      <c r="L29" s="624">
        <f>COUNTIFS($G$110:$G$781,"3ت ر",$K$110:$K$781,"م1")</f>
        <v>0</v>
      </c>
      <c r="M29" s="624">
        <f>COUNTIFS($G$110:$G$781,"3ت ر",$K$110:$K$781,"م")</f>
        <v>1</v>
      </c>
      <c r="N29" s="617">
        <f t="shared" ref="N29:N37" si="11">SUM(L29:M29)</f>
        <v>1</v>
      </c>
      <c r="O29" s="582"/>
      <c r="P29" s="582"/>
    </row>
    <row r="30" spans="1:16">
      <c r="A30" s="625" t="s">
        <v>0</v>
      </c>
      <c r="B30" s="606">
        <f>COUNTIFS($G$112:$G$993,"3ع ت1",$H$112:$H$993,"ن/داخلي")</f>
        <v>0</v>
      </c>
      <c r="C30" s="606">
        <f>COUNTIFS($G$112:$G$993,"3ع ت1",$H$112:$H$993,"ن/داخلية")</f>
        <v>6</v>
      </c>
      <c r="D30" s="606">
        <f>COUNTIFS($G$112:$G$993,"3ع ت1",$H$112:$H$993,"خارجي")</f>
        <v>11</v>
      </c>
      <c r="E30" s="606">
        <f>COUNTIFS($G$112:$G$993,"3ع ت1",$H$112:$H$993,"خارجية")</f>
        <v>17</v>
      </c>
      <c r="F30" s="606">
        <f t="shared" si="9"/>
        <v>11</v>
      </c>
      <c r="G30" s="606">
        <f t="shared" si="9"/>
        <v>23</v>
      </c>
      <c r="H30" s="616">
        <f t="shared" si="10"/>
        <v>34</v>
      </c>
      <c r="L30" s="606">
        <f>COUNTIFS($G$110:$G$781,"3ع ت1",$K$110:$K$781,"م1")</f>
        <v>0</v>
      </c>
      <c r="M30" s="606">
        <f>COUNTIFS($G$110:$G$781,"3ع ت1",$K$110:$K$781,"م")</f>
        <v>4</v>
      </c>
      <c r="N30" s="617">
        <f t="shared" si="11"/>
        <v>4</v>
      </c>
      <c r="O30" s="582"/>
      <c r="P30" s="582"/>
    </row>
    <row r="31" spans="1:16">
      <c r="A31" s="625" t="s">
        <v>1</v>
      </c>
      <c r="B31" s="606">
        <f>COUNTIFS($G$112:$G$993,"3ع ت2",$H$112:$H$993,"ن/داخلي")</f>
        <v>1</v>
      </c>
      <c r="C31" s="606">
        <f>COUNTIFS($G$112:$G$993,"3ع ت2",$H$112:$H$993,"ن/داخلية")</f>
        <v>5</v>
      </c>
      <c r="D31" s="606">
        <f>COUNTIFS($G$112:$G$993,"3ع ت2",$H$112:$H$993,"خارجي")</f>
        <v>15</v>
      </c>
      <c r="E31" s="606">
        <f>COUNTIFS($G$112:$G$993,"3ع ت2",$H$112:$H$993,"خارجية")</f>
        <v>13</v>
      </c>
      <c r="F31" s="606">
        <f t="shared" si="9"/>
        <v>16</v>
      </c>
      <c r="G31" s="606">
        <f t="shared" si="9"/>
        <v>18</v>
      </c>
      <c r="H31" s="616">
        <f t="shared" si="10"/>
        <v>34</v>
      </c>
      <c r="L31" s="606">
        <f>COUNTIFS($G$110:$G$781,"3ع ت2",$K$110:$K$781,"م1")</f>
        <v>2</v>
      </c>
      <c r="M31" s="606">
        <f>COUNTIFS($G$110:$G$781,"3ع ت2",$K$110:$K$781,"م")</f>
        <v>4</v>
      </c>
      <c r="N31" s="617">
        <f t="shared" si="11"/>
        <v>6</v>
      </c>
      <c r="O31" s="582"/>
      <c r="P31" s="582"/>
    </row>
    <row r="32" spans="1:16">
      <c r="A32" s="625" t="s">
        <v>548</v>
      </c>
      <c r="B32" s="606">
        <f>COUNTIFS($G$112:$G$993,"3ع ت3",$H$112:$H$993,"ن/داخلي")</f>
        <v>0</v>
      </c>
      <c r="C32" s="606">
        <f>COUNTIFS($G$112:$G$993,"3ع ت3",$H$112:$H$993,"ن/داخلية")</f>
        <v>2</v>
      </c>
      <c r="D32" s="606">
        <f>COUNTIFS($G$112:$G$993,"3ع ت3",$H$112:$H$993,"خارجي")</f>
        <v>14</v>
      </c>
      <c r="E32" s="606">
        <f>COUNTIFS($G$112:$G$993,"3ع ت3",$H$112:$H$993,"خارجية")</f>
        <v>18</v>
      </c>
      <c r="F32" s="606">
        <f t="shared" si="9"/>
        <v>14</v>
      </c>
      <c r="G32" s="606">
        <f t="shared" ref="G32" si="12">SUM(+C32+E32)</f>
        <v>20</v>
      </c>
      <c r="H32" s="616">
        <f t="shared" si="10"/>
        <v>34</v>
      </c>
      <c r="L32" s="606">
        <f>COUNTIFS($G$110:$G$781,"3ع ت3",$K$110:$K$781,"م1")</f>
        <v>1</v>
      </c>
      <c r="M32" s="606">
        <f>COUNTIFS($G$110:$G$781,"3ع ت3",$K$110:$K$781,"م")</f>
        <v>4</v>
      </c>
      <c r="N32" s="617">
        <f t="shared" si="11"/>
        <v>5</v>
      </c>
      <c r="O32" s="582"/>
      <c r="P32" s="582"/>
    </row>
    <row r="33" spans="1:16">
      <c r="A33" s="625" t="s">
        <v>1861</v>
      </c>
      <c r="B33" s="606">
        <f>COUNTIFS($G$112:$G$993,"3ت ا ق1",$H$112:$H$993,"ن/داخلي")</f>
        <v>0</v>
      </c>
      <c r="C33" s="606">
        <f>COUNTIFS($G$112:$G$993,"3ت ا ق1",$H$112:$H$993,"ن/داخلية")</f>
        <v>4</v>
      </c>
      <c r="D33" s="606">
        <f>COUNTIFS($G$112:$G$993,"3ت ا ق1",$H$112:$H$993,"خارجي")</f>
        <v>12</v>
      </c>
      <c r="E33" s="606">
        <f>COUNTIFS($G$112:$G$993,"3ت ا ق1",$H$112:$H$993,"خارجية")</f>
        <v>7</v>
      </c>
      <c r="F33" s="606">
        <f t="shared" si="9"/>
        <v>12</v>
      </c>
      <c r="G33" s="606">
        <f t="shared" si="9"/>
        <v>11</v>
      </c>
      <c r="H33" s="616">
        <f t="shared" si="10"/>
        <v>23</v>
      </c>
      <c r="L33" s="606">
        <f>COUNTIFS($G$110:$G$781,"3ت ا ق1",$K$110:$K$781,"م1")</f>
        <v>0</v>
      </c>
      <c r="M33" s="606">
        <f>COUNTIFS($G$110:$G$781,"3ت ا ق1",$K$110:$K$781,"م")</f>
        <v>6</v>
      </c>
      <c r="N33" s="617">
        <f t="shared" si="11"/>
        <v>6</v>
      </c>
      <c r="O33" s="582"/>
      <c r="P33" s="582"/>
    </row>
    <row r="34" spans="1:16">
      <c r="A34" s="625" t="s">
        <v>1862</v>
      </c>
      <c r="B34" s="606">
        <f>COUNTIFS($G$112:$G$993,"3ت ا ق2",$H$112:$H$993,"ن/داخلي")</f>
        <v>1</v>
      </c>
      <c r="C34" s="606">
        <f>COUNTIFS($G$112:$G$993,"3ت ا ق2",$H$112:$H$993,"ن/داخلية")</f>
        <v>5</v>
      </c>
      <c r="D34" s="606">
        <f>COUNTIFS($G$112:$G$993,"3ت ا ق2",$H$112:$H$993,"خارجي")</f>
        <v>8</v>
      </c>
      <c r="E34" s="606">
        <f>COUNTIFS($G$112:$G$993,"3ت ا ق2",$H$112:$H$993,"خارجية")</f>
        <v>9</v>
      </c>
      <c r="F34" s="606">
        <f t="shared" si="9"/>
        <v>9</v>
      </c>
      <c r="G34" s="606">
        <f t="shared" si="9"/>
        <v>14</v>
      </c>
      <c r="H34" s="616">
        <f t="shared" si="10"/>
        <v>23</v>
      </c>
      <c r="L34" s="606">
        <f>COUNTIFS($G$110:$G$781,"3ت ا ق2",$K$110:$K$781,"م1")</f>
        <v>0</v>
      </c>
      <c r="M34" s="606">
        <f>COUNTIFS($G$110:$G$781,"3ت ا ق2",$K$110:$K$781,"م")</f>
        <v>6</v>
      </c>
      <c r="N34" s="617">
        <f t="shared" si="11"/>
        <v>6</v>
      </c>
      <c r="O34" s="582"/>
      <c r="P34" s="582"/>
    </row>
    <row r="35" spans="1:16">
      <c r="A35" s="625" t="s">
        <v>1863</v>
      </c>
      <c r="B35" s="606">
        <f>COUNTIFS($G$112:$G$993,"3آ ف1",$H$112:$H$993,"ن/داخلي")</f>
        <v>2</v>
      </c>
      <c r="C35" s="606">
        <f>COUNTIFS($G$112:$G$993,"3آ ف1",$H$112:$H$993,"ن/داخلية")</f>
        <v>2</v>
      </c>
      <c r="D35" s="606">
        <f>COUNTIFS($G$112:$G$993,"3آ ف1",$H$112:$H$993,"خارجي")</f>
        <v>9</v>
      </c>
      <c r="E35" s="606">
        <f>COUNTIFS($G$112:$G$993,"3آ ف1",$H$112:$H$993,"خارجية")</f>
        <v>11</v>
      </c>
      <c r="F35" s="606">
        <f t="shared" si="9"/>
        <v>11</v>
      </c>
      <c r="G35" s="606">
        <f t="shared" si="9"/>
        <v>13</v>
      </c>
      <c r="H35" s="616">
        <f t="shared" si="10"/>
        <v>24</v>
      </c>
      <c r="L35" s="606">
        <f>COUNTIFS($G$110:$G$781,"3آ ف",$H$110:$H$781,"ن/داخلي")</f>
        <v>0</v>
      </c>
      <c r="M35" s="606">
        <f>COUNTIFS($G$110:$G$781,"3آ ف",$K$110:$K$781,"م")</f>
        <v>0</v>
      </c>
      <c r="N35" s="617">
        <f t="shared" si="11"/>
        <v>0</v>
      </c>
      <c r="O35" s="582"/>
      <c r="P35" s="582"/>
    </row>
    <row r="36" spans="1:16">
      <c r="A36" s="625" t="s">
        <v>1864</v>
      </c>
      <c r="B36" s="606">
        <f>COUNTIFS($G$112:$G$993,"3آ ف2",$H$112:$H$993,"ن/داخلي")</f>
        <v>0</v>
      </c>
      <c r="C36" s="606">
        <f>COUNTIFS($G$112:$G$993,"3آ ف2",$H$112:$H$993,"ن/داخلية")</f>
        <v>5</v>
      </c>
      <c r="D36" s="606">
        <f>COUNTIFS($G$112:$G$993,"3آ ف2",$H$112:$H$993,"خارجي")</f>
        <v>5</v>
      </c>
      <c r="E36" s="606">
        <f>COUNTIFS($G$112:$G$993,"3آ ف2",$H$112:$H$993,"خارجية")</f>
        <v>14</v>
      </c>
      <c r="F36" s="606">
        <f t="shared" si="9"/>
        <v>5</v>
      </c>
      <c r="G36" s="606">
        <f t="shared" ref="G36" si="13">SUM(+C36+E36)</f>
        <v>19</v>
      </c>
      <c r="H36" s="616">
        <f t="shared" si="10"/>
        <v>24</v>
      </c>
      <c r="L36" s="606">
        <f>COUNTIFS($G$110:$G$781,"3آ ف2",$H$110:$H$781,"ن/داخلي")</f>
        <v>0</v>
      </c>
      <c r="M36" s="606">
        <f>COUNTIFS($G$110:$G$781,"3آ ف2",$K$110:$K$781,"م")</f>
        <v>2</v>
      </c>
      <c r="N36" s="617">
        <f t="shared" si="11"/>
        <v>2</v>
      </c>
      <c r="O36" s="582"/>
      <c r="P36" s="582"/>
    </row>
    <row r="37" spans="1:16">
      <c r="A37" s="625" t="s">
        <v>9</v>
      </c>
      <c r="B37" s="606">
        <f>COUNTIFS($G$112:$G$993,"3ل أ",$H$112:$H$993,"ن/داخلي")</f>
        <v>3</v>
      </c>
      <c r="C37" s="606">
        <f>COUNTIFS($G$112:$G$993,"3ل أ",$H$112:$H$993,"ن/داخلية")</f>
        <v>7</v>
      </c>
      <c r="D37" s="606">
        <f>COUNTIFS($G$112:$G$993,"3ل أ",$H$112:$H$993,"خارجي")</f>
        <v>6</v>
      </c>
      <c r="E37" s="606">
        <f>COUNTIFS($G$112:$G$993,"3ل أ",$H$112:$H$993,"خارجية")</f>
        <v>10</v>
      </c>
      <c r="F37" s="606">
        <f t="shared" si="9"/>
        <v>9</v>
      </c>
      <c r="G37" s="606">
        <f t="shared" si="9"/>
        <v>17</v>
      </c>
      <c r="H37" s="616">
        <f t="shared" si="10"/>
        <v>26</v>
      </c>
      <c r="L37" s="606">
        <f>COUNTIFS($G$110:$G$781,"3ل أ",$H$110:$H$781,"ن/داخلي")</f>
        <v>3</v>
      </c>
      <c r="M37" s="606">
        <f>COUNTIFS($G$110:$G$781,"3ل أ",$K$110:$K$781,"م")</f>
        <v>6</v>
      </c>
      <c r="N37" s="617">
        <f t="shared" si="11"/>
        <v>9</v>
      </c>
      <c r="O37" s="582"/>
      <c r="P37" s="582"/>
    </row>
    <row r="38" spans="1:16">
      <c r="A38" s="626" t="s">
        <v>1865</v>
      </c>
      <c r="B38" s="619">
        <f>SUM(B29:B37)</f>
        <v>7</v>
      </c>
      <c r="C38" s="619">
        <f t="shared" ref="C38:H38" si="14">SUM(C29:C37)</f>
        <v>36</v>
      </c>
      <c r="D38" s="619">
        <f t="shared" si="14"/>
        <v>88</v>
      </c>
      <c r="E38" s="619">
        <f t="shared" si="14"/>
        <v>106</v>
      </c>
      <c r="F38" s="619">
        <f t="shared" si="14"/>
        <v>95</v>
      </c>
      <c r="G38" s="619">
        <f t="shared" si="14"/>
        <v>142</v>
      </c>
      <c r="H38" s="1596">
        <f t="shared" si="14"/>
        <v>237</v>
      </c>
      <c r="L38" s="619">
        <f>SUM(L29:L37)</f>
        <v>6</v>
      </c>
      <c r="M38" s="619">
        <f>SUM(M29:M37)</f>
        <v>33</v>
      </c>
      <c r="N38" s="1572">
        <f>SUM(N29:N37)</f>
        <v>39</v>
      </c>
      <c r="O38" s="582"/>
      <c r="P38" s="582"/>
    </row>
    <row r="39" spans="1:16" ht="16.5" thickBot="1">
      <c r="A39" s="627" t="s">
        <v>736</v>
      </c>
      <c r="B39" s="1573">
        <f>SUM(B38:C38)</f>
        <v>43</v>
      </c>
      <c r="C39" s="1573"/>
      <c r="D39" s="1573">
        <f>SUM(D38:E38)</f>
        <v>194</v>
      </c>
      <c r="E39" s="1573"/>
      <c r="F39" s="1573">
        <f>SUM(F38:G38)</f>
        <v>237</v>
      </c>
      <c r="G39" s="1573"/>
      <c r="H39" s="1599"/>
      <c r="L39" s="1574">
        <f>SUM(L38:M38)</f>
        <v>39</v>
      </c>
      <c r="M39" s="1574"/>
      <c r="N39" s="1572"/>
      <c r="O39" s="582"/>
      <c r="P39" s="582"/>
    </row>
    <row r="40" spans="1:16" ht="16.5" thickBot="1">
      <c r="A40" s="628"/>
      <c r="B40" s="628"/>
      <c r="C40" s="628"/>
      <c r="D40" s="628"/>
      <c r="E40" s="628"/>
      <c r="F40" s="175"/>
      <c r="G40" s="175"/>
      <c r="H40" s="175"/>
      <c r="L40" s="629"/>
      <c r="M40" s="629"/>
      <c r="N40" s="175"/>
      <c r="O40" s="582"/>
      <c r="P40" s="582"/>
    </row>
    <row r="41" spans="1:16">
      <c r="A41" s="1567" t="s">
        <v>1866</v>
      </c>
      <c r="B41" s="619">
        <f t="shared" ref="B41:H41" si="15">SUM(B38,B27,B15)</f>
        <v>17</v>
      </c>
      <c r="C41" s="619">
        <f t="shared" si="15"/>
        <v>93</v>
      </c>
      <c r="D41" s="619">
        <f t="shared" si="15"/>
        <v>264</v>
      </c>
      <c r="E41" s="619">
        <f t="shared" si="15"/>
        <v>311</v>
      </c>
      <c r="F41" s="619">
        <f t="shared" si="15"/>
        <v>281</v>
      </c>
      <c r="G41" s="619" t="e">
        <f t="shared" si="15"/>
        <v>#VALUE!</v>
      </c>
      <c r="H41" s="1569" t="e">
        <f t="shared" si="15"/>
        <v>#VALUE!</v>
      </c>
      <c r="L41" s="619">
        <f>SUM(L38,L27,L15)</f>
        <v>26</v>
      </c>
      <c r="M41" s="619">
        <f>SUM(M38,M27,M15)</f>
        <v>69</v>
      </c>
      <c r="N41" s="1572">
        <f>SUM(N38,N27,N15)</f>
        <v>83</v>
      </c>
      <c r="O41" s="582"/>
      <c r="P41" s="582"/>
    </row>
    <row r="42" spans="1:16" ht="16.5" thickBot="1">
      <c r="A42" s="1568"/>
      <c r="B42" s="1573">
        <f>SUM(B41:C41)</f>
        <v>110</v>
      </c>
      <c r="C42" s="1573"/>
      <c r="D42" s="1573">
        <f>SUM(D41:E41)</f>
        <v>575</v>
      </c>
      <c r="E42" s="1573"/>
      <c r="F42" s="1573" t="e">
        <f>SUM(F41:G41)</f>
        <v>#VALUE!</v>
      </c>
      <c r="G42" s="1573"/>
      <c r="H42" s="1570"/>
      <c r="L42" s="1574">
        <f>SUM(L41:M41)</f>
        <v>95</v>
      </c>
      <c r="M42" s="1574"/>
      <c r="N42" s="1572"/>
      <c r="O42" s="582"/>
      <c r="P42" s="582"/>
    </row>
    <row r="43" spans="1:16" ht="15">
      <c r="B43" s="582"/>
      <c r="C43" s="582"/>
      <c r="D43" s="582"/>
      <c r="E43" s="582"/>
      <c r="F43" s="582"/>
      <c r="G43" s="582"/>
      <c r="H43" s="582"/>
      <c r="I43" s="582"/>
      <c r="J43" s="582"/>
    </row>
    <row r="44" spans="1:16" ht="18.75" thickBot="1">
      <c r="A44" s="1575" t="s">
        <v>737</v>
      </c>
      <c r="B44" s="1575"/>
      <c r="H44" s="630"/>
      <c r="I44" s="582"/>
      <c r="J44" s="582"/>
    </row>
    <row r="45" spans="1:16" ht="16.5" thickBot="1">
      <c r="A45" s="1576" t="s">
        <v>739</v>
      </c>
      <c r="B45" s="1577"/>
      <c r="C45" s="1580" t="s">
        <v>1854</v>
      </c>
      <c r="D45" s="1581"/>
      <c r="E45" s="1580" t="s">
        <v>738</v>
      </c>
      <c r="F45" s="1581"/>
      <c r="G45" s="1580" t="s">
        <v>302</v>
      </c>
      <c r="H45" s="1581"/>
      <c r="I45" s="582"/>
      <c r="J45" s="582"/>
      <c r="K45" s="583"/>
      <c r="L45" s="583"/>
    </row>
    <row r="46" spans="1:16" ht="16.5" thickBot="1">
      <c r="A46" s="1578"/>
      <c r="B46" s="1579"/>
      <c r="C46" s="1600">
        <f>L42</f>
        <v>95</v>
      </c>
      <c r="D46" s="1601"/>
      <c r="E46" s="1600">
        <f>B42-C46</f>
        <v>15</v>
      </c>
      <c r="F46" s="1601"/>
      <c r="G46" s="1600">
        <f>C46+E46</f>
        <v>110</v>
      </c>
      <c r="H46" s="1601"/>
      <c r="I46" s="582"/>
      <c r="J46" s="582"/>
      <c r="K46" s="583"/>
      <c r="L46" s="583"/>
    </row>
    <row r="47" spans="1:16">
      <c r="A47" s="631"/>
      <c r="B47" s="631"/>
      <c r="C47" s="631"/>
      <c r="D47" s="632"/>
      <c r="E47" s="632"/>
      <c r="F47" s="631"/>
      <c r="G47" s="631"/>
      <c r="I47" s="630"/>
      <c r="J47" s="582"/>
      <c r="K47" s="583"/>
      <c r="L47" s="583"/>
    </row>
    <row r="48" spans="1:16">
      <c r="A48" s="633"/>
      <c r="B48" s="633"/>
      <c r="C48" s="633"/>
      <c r="D48" s="633"/>
      <c r="E48" s="633"/>
      <c r="F48" s="585" t="s">
        <v>90</v>
      </c>
      <c r="G48" s="1571">
        <f ca="1">NOW()</f>
        <v>45944.941684375</v>
      </c>
      <c r="H48" s="1571"/>
      <c r="I48" s="585"/>
      <c r="J48" s="634"/>
      <c r="K48" s="583"/>
      <c r="L48" s="583"/>
    </row>
    <row r="49" spans="1:10" ht="18">
      <c r="A49" s="635" t="s">
        <v>1867</v>
      </c>
      <c r="B49" s="636"/>
      <c r="C49" s="636"/>
      <c r="D49" s="636"/>
      <c r="E49" s="636"/>
      <c r="F49" s="637"/>
      <c r="G49" s="636"/>
      <c r="H49" s="636"/>
      <c r="I49" s="177"/>
      <c r="J49" s="582"/>
    </row>
    <row r="50" spans="1:10">
      <c r="A50" s="177"/>
      <c r="B50" s="177"/>
      <c r="C50" s="177"/>
      <c r="D50" s="177"/>
      <c r="E50" s="177"/>
      <c r="F50" s="585"/>
      <c r="G50" s="177"/>
      <c r="H50" s="177"/>
      <c r="I50" s="177"/>
      <c r="J50" s="582"/>
    </row>
    <row r="51" spans="1:10">
      <c r="A51" s="177"/>
      <c r="B51" s="177"/>
      <c r="C51" s="177"/>
      <c r="D51" s="177"/>
      <c r="E51" s="177"/>
      <c r="F51" s="585"/>
      <c r="G51" s="177"/>
      <c r="H51" s="177"/>
      <c r="I51" s="177"/>
      <c r="J51" s="582"/>
    </row>
    <row r="52" spans="1:10">
      <c r="A52" s="177"/>
      <c r="B52" s="177"/>
      <c r="C52" s="177"/>
      <c r="D52" s="177"/>
      <c r="E52" s="177"/>
      <c r="F52" s="585"/>
      <c r="G52" s="177"/>
      <c r="H52" s="177"/>
      <c r="I52" s="177"/>
      <c r="J52" s="582"/>
    </row>
    <row r="53" spans="1:10">
      <c r="A53" s="177"/>
      <c r="B53" s="177"/>
      <c r="C53" s="177"/>
      <c r="D53" s="177"/>
      <c r="E53" s="177"/>
      <c r="F53" s="585"/>
      <c r="G53" s="177"/>
      <c r="H53" s="177"/>
      <c r="I53" s="177"/>
      <c r="J53" s="582"/>
    </row>
    <row r="54" spans="1:10">
      <c r="A54" s="1602">
        <f>[5]Etat!$A$1</f>
        <v>0</v>
      </c>
      <c r="B54" s="1602"/>
      <c r="C54" s="1602"/>
      <c r="D54" s="1602"/>
      <c r="E54" s="1602"/>
      <c r="F54" s="1602"/>
      <c r="G54" s="1602"/>
      <c r="H54" s="1602"/>
      <c r="I54" s="638"/>
      <c r="J54" s="582"/>
    </row>
    <row r="55" spans="1:10">
      <c r="A55" s="1602">
        <f>[5]Etat!$A$2</f>
        <v>0</v>
      </c>
      <c r="B55" s="1602"/>
      <c r="C55" s="1602"/>
      <c r="D55" s="1602"/>
      <c r="E55" s="1602"/>
      <c r="F55" s="1602"/>
      <c r="G55" s="1602"/>
      <c r="H55" s="1602"/>
      <c r="I55" s="638"/>
      <c r="J55" s="582"/>
    </row>
    <row r="56" spans="1:10">
      <c r="A56" s="96" t="str">
        <f>[5]Etat!$A$3</f>
        <v xml:space="preserve"> مـديـريـة  الـتـربـية  لـولايــة سـيدي  بـلـعـباس</v>
      </c>
      <c r="B56" s="639"/>
      <c r="C56" s="639"/>
      <c r="D56" s="639"/>
      <c r="E56" s="639"/>
      <c r="F56" s="80" t="str">
        <f>[5]Etat!$P$3</f>
        <v>السنة الدراسية :2023/2022</v>
      </c>
      <c r="G56" s="640"/>
      <c r="H56" s="640"/>
      <c r="I56" s="640"/>
      <c r="J56" s="582"/>
    </row>
    <row r="57" spans="1:10">
      <c r="A57" s="96" t="str">
        <f>[5]Etat!$A$4</f>
        <v>ثانوية بوخـلـدة عـبد الـقادر سفيزف</v>
      </c>
      <c r="B57" s="639"/>
      <c r="C57" s="639"/>
      <c r="D57" s="639"/>
      <c r="E57" s="639"/>
      <c r="F57" s="641"/>
      <c r="G57" s="639"/>
      <c r="H57" s="639"/>
      <c r="I57" s="639"/>
      <c r="J57" s="582"/>
    </row>
    <row r="58" spans="1:10">
      <c r="A58" s="639"/>
      <c r="B58" s="639"/>
      <c r="C58" s="639"/>
      <c r="D58" s="639"/>
      <c r="E58" s="639"/>
      <c r="F58" s="641"/>
      <c r="G58" s="639"/>
      <c r="H58" s="639"/>
      <c r="I58" s="639"/>
      <c r="J58" s="582"/>
    </row>
    <row r="59" spans="1:10">
      <c r="A59" s="1603" t="s">
        <v>742</v>
      </c>
      <c r="B59" s="1603"/>
      <c r="C59" s="1603"/>
      <c r="D59" s="1604">
        <v>44396</v>
      </c>
      <c r="E59" s="1604"/>
      <c r="H59" s="642"/>
      <c r="I59" s="642"/>
      <c r="J59" s="582"/>
    </row>
    <row r="60" spans="1:10" ht="16.5" thickBot="1">
      <c r="A60" s="642"/>
      <c r="B60" s="642"/>
      <c r="C60" s="642"/>
      <c r="D60" s="642"/>
      <c r="E60" s="642"/>
      <c r="F60" s="643"/>
      <c r="G60" s="642"/>
      <c r="H60" s="642"/>
      <c r="I60" s="642"/>
      <c r="J60" s="582"/>
    </row>
    <row r="61" spans="1:10" ht="16.5" thickBot="1">
      <c r="A61" s="1605" t="s">
        <v>743</v>
      </c>
      <c r="B61" s="1606"/>
      <c r="C61" s="1606"/>
      <c r="D61" s="1606"/>
      <c r="E61" s="1606"/>
      <c r="F61" s="1606"/>
      <c r="G61" s="1606"/>
      <c r="H61" s="1606"/>
      <c r="I61" s="582"/>
      <c r="J61" s="582"/>
    </row>
    <row r="62" spans="1:10">
      <c r="A62" s="178" t="s">
        <v>744</v>
      </c>
      <c r="B62" s="1607" t="s">
        <v>730</v>
      </c>
      <c r="C62" s="1608"/>
      <c r="D62" s="1607" t="s">
        <v>731</v>
      </c>
      <c r="E62" s="1608"/>
      <c r="F62" s="1609" t="s">
        <v>732</v>
      </c>
      <c r="G62" s="1610"/>
      <c r="H62" s="1611" t="s">
        <v>736</v>
      </c>
      <c r="I62" s="582"/>
      <c r="J62" s="582"/>
    </row>
    <row r="63" spans="1:10">
      <c r="A63" s="613" t="s">
        <v>745</v>
      </c>
      <c r="B63" s="613" t="s">
        <v>311</v>
      </c>
      <c r="C63" s="613" t="s">
        <v>734</v>
      </c>
      <c r="D63" s="614" t="s">
        <v>311</v>
      </c>
      <c r="E63" s="614" t="s">
        <v>734</v>
      </c>
      <c r="F63" s="613" t="s">
        <v>311</v>
      </c>
      <c r="G63" s="613" t="s">
        <v>734</v>
      </c>
      <c r="H63" s="1612"/>
      <c r="I63" s="582"/>
      <c r="J63" s="582"/>
    </row>
    <row r="64" spans="1:10">
      <c r="A64" s="179" t="s">
        <v>746</v>
      </c>
      <c r="B64" s="176">
        <f>B15</f>
        <v>3</v>
      </c>
      <c r="C64" s="176">
        <f>C15</f>
        <v>32</v>
      </c>
      <c r="D64" s="176">
        <f>D15</f>
        <v>82</v>
      </c>
      <c r="E64" s="644">
        <f>E15</f>
        <v>111</v>
      </c>
      <c r="F64" s="176">
        <f t="shared" ref="F64:G66" si="16">D64+B64</f>
        <v>85</v>
      </c>
      <c r="G64" s="176">
        <f t="shared" si="16"/>
        <v>143</v>
      </c>
      <c r="H64" s="180">
        <f>SUM(G64+F64)</f>
        <v>228</v>
      </c>
      <c r="I64" s="582"/>
      <c r="J64" s="582"/>
    </row>
    <row r="65" spans="1:10">
      <c r="A65" s="179" t="s">
        <v>747</v>
      </c>
      <c r="B65" s="176">
        <f>B27</f>
        <v>7</v>
      </c>
      <c r="C65" s="176">
        <f>C27</f>
        <v>25</v>
      </c>
      <c r="D65" s="176">
        <f>D27</f>
        <v>94</v>
      </c>
      <c r="E65" s="644">
        <f>E27</f>
        <v>94</v>
      </c>
      <c r="F65" s="176">
        <f t="shared" si="16"/>
        <v>101</v>
      </c>
      <c r="G65" s="176">
        <f t="shared" si="16"/>
        <v>119</v>
      </c>
      <c r="H65" s="180">
        <f>G65+F65</f>
        <v>220</v>
      </c>
      <c r="I65" s="582"/>
      <c r="J65" s="582"/>
    </row>
    <row r="66" spans="1:10" ht="16.5" thickBot="1">
      <c r="A66" s="179" t="s">
        <v>748</v>
      </c>
      <c r="B66" s="176">
        <f>B38</f>
        <v>7</v>
      </c>
      <c r="C66" s="176">
        <f>C38</f>
        <v>36</v>
      </c>
      <c r="D66" s="176">
        <f>D38</f>
        <v>88</v>
      </c>
      <c r="E66" s="644">
        <f>E38</f>
        <v>106</v>
      </c>
      <c r="F66" s="176">
        <f t="shared" si="16"/>
        <v>95</v>
      </c>
      <c r="G66" s="176">
        <f t="shared" si="16"/>
        <v>142</v>
      </c>
      <c r="H66" s="180">
        <f>SUM(G66+F66)</f>
        <v>237</v>
      </c>
      <c r="I66" s="582"/>
      <c r="J66" s="582"/>
    </row>
    <row r="67" spans="1:10">
      <c r="A67" s="645" t="s">
        <v>736</v>
      </c>
      <c r="B67" s="176">
        <f>B66+B65+B64</f>
        <v>17</v>
      </c>
      <c r="C67" s="176">
        <f>C66+C65+C64</f>
        <v>93</v>
      </c>
      <c r="D67" s="176">
        <f>D66+D65+D64</f>
        <v>264</v>
      </c>
      <c r="E67" s="644">
        <f>E64+E65+E66</f>
        <v>311</v>
      </c>
      <c r="F67" s="176">
        <f>F66+F65+F64</f>
        <v>281</v>
      </c>
      <c r="G67" s="176">
        <f>G66+G65+G64</f>
        <v>404</v>
      </c>
      <c r="H67" s="1569">
        <f>SUM(H64+H65+H66)</f>
        <v>685</v>
      </c>
      <c r="I67" s="582"/>
      <c r="J67" s="582"/>
    </row>
    <row r="68" spans="1:10" ht="16.5" thickBot="1">
      <c r="A68" s="646" t="s">
        <v>1866</v>
      </c>
      <c r="B68" s="1574">
        <f>SUM(B67+C67)</f>
        <v>110</v>
      </c>
      <c r="C68" s="1574"/>
      <c r="D68" s="1574">
        <f>D67+E67</f>
        <v>575</v>
      </c>
      <c r="E68" s="1574"/>
      <c r="F68" s="1574">
        <f>SUM(G67+F67)</f>
        <v>685</v>
      </c>
      <c r="G68" s="1574"/>
      <c r="H68" s="1570"/>
      <c r="I68" s="582"/>
      <c r="J68" s="582"/>
    </row>
    <row r="69" spans="1:10" ht="15">
      <c r="A69" s="647"/>
      <c r="B69" s="647"/>
      <c r="C69" s="647"/>
      <c r="D69" s="647"/>
      <c r="E69" s="648"/>
      <c r="F69" s="647"/>
      <c r="G69" s="647"/>
      <c r="H69" s="647"/>
      <c r="I69" s="582"/>
      <c r="J69" s="582"/>
    </row>
    <row r="70" spans="1:10" ht="15">
      <c r="A70" s="647"/>
      <c r="B70" s="647"/>
      <c r="C70" s="647"/>
      <c r="D70" s="647"/>
      <c r="E70" s="648"/>
      <c r="F70" s="647"/>
      <c r="G70" s="647"/>
      <c r="H70" s="647"/>
      <c r="I70" s="582"/>
      <c r="J70" s="582"/>
    </row>
    <row r="71" spans="1:10" thickBot="1">
      <c r="A71" s="647"/>
      <c r="B71" s="647"/>
      <c r="C71" s="647"/>
      <c r="D71" s="647"/>
      <c r="E71" s="648"/>
      <c r="F71" s="647"/>
      <c r="G71" s="647"/>
      <c r="H71" s="647"/>
      <c r="I71" s="582"/>
      <c r="J71" s="582"/>
    </row>
    <row r="72" spans="1:10" ht="16.5" thickBot="1">
      <c r="A72" s="1605" t="s">
        <v>749</v>
      </c>
      <c r="B72" s="1606"/>
      <c r="C72" s="1606"/>
      <c r="D72" s="1606"/>
      <c r="E72" s="1606"/>
      <c r="F72" s="1606"/>
      <c r="G72" s="1606"/>
      <c r="H72" s="1613"/>
      <c r="I72" s="582"/>
      <c r="J72" s="582"/>
    </row>
    <row r="73" spans="1:10">
      <c r="A73" s="649" t="s">
        <v>750</v>
      </c>
      <c r="B73" s="1607" t="s">
        <v>730</v>
      </c>
      <c r="C73" s="1608"/>
      <c r="D73" s="1607" t="s">
        <v>731</v>
      </c>
      <c r="E73" s="1608"/>
      <c r="F73" s="1609" t="s">
        <v>732</v>
      </c>
      <c r="G73" s="1610"/>
      <c r="H73" s="1611" t="s">
        <v>736</v>
      </c>
      <c r="I73" s="582"/>
      <c r="J73" s="582"/>
    </row>
    <row r="74" spans="1:10">
      <c r="A74" s="613" t="s">
        <v>751</v>
      </c>
      <c r="B74" s="613" t="s">
        <v>311</v>
      </c>
      <c r="C74" s="613" t="s">
        <v>734</v>
      </c>
      <c r="D74" s="614" t="s">
        <v>311</v>
      </c>
      <c r="E74" s="614" t="s">
        <v>734</v>
      </c>
      <c r="F74" s="613" t="s">
        <v>311</v>
      </c>
      <c r="G74" s="613" t="s">
        <v>734</v>
      </c>
      <c r="H74" s="1612"/>
      <c r="I74" s="582"/>
      <c r="J74" s="582"/>
    </row>
    <row r="75" spans="1:10">
      <c r="A75" s="650" t="s">
        <v>1868</v>
      </c>
      <c r="B75" s="624">
        <v>0</v>
      </c>
      <c r="C75" s="624">
        <v>0</v>
      </c>
      <c r="D75" s="624">
        <v>0</v>
      </c>
      <c r="E75" s="624">
        <v>0</v>
      </c>
      <c r="F75" s="176">
        <f>D75+B75</f>
        <v>0</v>
      </c>
      <c r="G75" s="176">
        <f>E75+C75</f>
        <v>0</v>
      </c>
      <c r="H75" s="651">
        <f>SUM(G75+F75)</f>
        <v>0</v>
      </c>
      <c r="I75" s="582"/>
      <c r="J75" s="582"/>
    </row>
    <row r="76" spans="1:10">
      <c r="A76" s="650" t="s">
        <v>1869</v>
      </c>
      <c r="B76" s="210">
        <f>COUNTIF($G$112:$G$993,"ذن/د ج")</f>
        <v>0</v>
      </c>
      <c r="C76" s="210">
        <f>COUNTIF($G$112:$G$993,"ان/د ج")</f>
        <v>0</v>
      </c>
      <c r="D76" s="210">
        <f>COUNTIF($G$112:$G$993," ذخ ج")</f>
        <v>0</v>
      </c>
      <c r="E76" s="652">
        <f>COUNTIF($G$112:$G$993,"اخ ج")</f>
        <v>0</v>
      </c>
      <c r="F76" s="176">
        <f t="shared" ref="F76:G78" si="17">D76+B76</f>
        <v>0</v>
      </c>
      <c r="G76" s="176">
        <f t="shared" si="17"/>
        <v>0</v>
      </c>
      <c r="H76" s="651">
        <f>SUM(G76+F76)</f>
        <v>0</v>
      </c>
      <c r="I76" s="582"/>
      <c r="J76" s="582"/>
    </row>
    <row r="77" spans="1:10">
      <c r="A77" s="650" t="s">
        <v>752</v>
      </c>
      <c r="B77" s="176">
        <f t="shared" ref="B77:D77" si="18">SUM(B75:B76)</f>
        <v>0</v>
      </c>
      <c r="C77" s="176">
        <f t="shared" si="18"/>
        <v>0</v>
      </c>
      <c r="D77" s="176">
        <f t="shared" si="18"/>
        <v>0</v>
      </c>
      <c r="E77" s="644">
        <f>SUM(E75:E76)</f>
        <v>0</v>
      </c>
      <c r="F77" s="176">
        <f t="shared" si="17"/>
        <v>0</v>
      </c>
      <c r="G77" s="176">
        <f t="shared" si="17"/>
        <v>0</v>
      </c>
      <c r="H77" s="651">
        <f>SUM(G77+F77)</f>
        <v>0</v>
      </c>
      <c r="I77" s="582"/>
      <c r="J77" s="582"/>
    </row>
    <row r="78" spans="1:10" ht="16.5" thickBot="1">
      <c r="A78" s="650" t="s">
        <v>1870</v>
      </c>
      <c r="B78" s="210">
        <f>COUNTIF($G$112:$G$993,"ذن/د ش")</f>
        <v>0</v>
      </c>
      <c r="C78" s="210">
        <f>COUNTIF($G$112:$G$993,"ان/د ش")</f>
        <v>0</v>
      </c>
      <c r="D78" s="210">
        <f>COUNTIF($G$112:$G$993,"ذخ ش")</f>
        <v>0</v>
      </c>
      <c r="E78" s="652">
        <f>COUNTIF($G$112:$G$993,"اخ ش")</f>
        <v>0</v>
      </c>
      <c r="F78" s="176">
        <f t="shared" si="17"/>
        <v>0</v>
      </c>
      <c r="G78" s="176">
        <f t="shared" si="17"/>
        <v>0</v>
      </c>
      <c r="H78" s="651">
        <f>G78+F78</f>
        <v>0</v>
      </c>
      <c r="I78" s="582"/>
      <c r="J78" s="582"/>
    </row>
    <row r="79" spans="1:10">
      <c r="A79" s="1614" t="s">
        <v>752</v>
      </c>
      <c r="B79" s="176">
        <f>SUM(B77-B78)</f>
        <v>0</v>
      </c>
      <c r="C79" s="176">
        <f>SUM(C77-C78)</f>
        <v>0</v>
      </c>
      <c r="D79" s="644">
        <f>SUM(D77-D78)</f>
        <v>0</v>
      </c>
      <c r="E79" s="644"/>
      <c r="F79" s="644">
        <f>SUM(E77-E78)</f>
        <v>0</v>
      </c>
      <c r="G79" s="176">
        <f>SUM(F77-F78)</f>
        <v>0</v>
      </c>
      <c r="H79" s="1569">
        <f>SUM(G77-G78)</f>
        <v>0</v>
      </c>
      <c r="I79" s="582"/>
      <c r="J79" s="582"/>
    </row>
    <row r="80" spans="1:10" ht="16.5" thickBot="1">
      <c r="A80" s="1614"/>
      <c r="B80" s="1574">
        <f>B79+C79</f>
        <v>0</v>
      </c>
      <c r="C80" s="1574"/>
      <c r="D80" s="1574">
        <f>D79+F79</f>
        <v>0</v>
      </c>
      <c r="E80" s="1574"/>
      <c r="F80" s="1574"/>
      <c r="G80" s="1574">
        <f>G79+H79</f>
        <v>0</v>
      </c>
      <c r="H80" s="1570"/>
      <c r="I80" s="582"/>
      <c r="J80" s="582"/>
    </row>
    <row r="81" spans="1:21" ht="15">
      <c r="A81" s="647"/>
      <c r="B81" s="647"/>
      <c r="C81" s="647"/>
      <c r="D81" s="647"/>
      <c r="E81" s="647"/>
      <c r="F81" s="653"/>
      <c r="G81" s="647"/>
      <c r="H81" s="647"/>
      <c r="I81" s="582"/>
      <c r="J81" s="582"/>
    </row>
    <row r="82" spans="1:21">
      <c r="A82" s="177"/>
      <c r="B82" s="177"/>
      <c r="C82" s="177"/>
      <c r="D82" s="177" t="s">
        <v>753</v>
      </c>
      <c r="E82" s="177"/>
      <c r="F82" s="585"/>
      <c r="G82" s="1571">
        <v>44396</v>
      </c>
      <c r="H82" s="1571"/>
      <c r="I82" s="177"/>
      <c r="J82" s="582"/>
    </row>
    <row r="83" spans="1:21" ht="18">
      <c r="A83" s="635" t="s">
        <v>1867</v>
      </c>
      <c r="B83" s="636"/>
      <c r="C83" s="636"/>
      <c r="D83" s="636"/>
      <c r="E83" s="636"/>
      <c r="F83" s="637"/>
      <c r="G83" s="636"/>
      <c r="H83" s="636"/>
      <c r="I83" s="177"/>
      <c r="J83" s="582"/>
    </row>
    <row r="84" spans="1:21">
      <c r="A84" s="611"/>
      <c r="F84" s="654"/>
      <c r="J84" s="582"/>
    </row>
    <row r="85" spans="1:21">
      <c r="A85" s="611"/>
      <c r="J85" s="582"/>
    </row>
    <row r="86" spans="1:21">
      <c r="A86" s="611"/>
      <c r="J86" s="582"/>
    </row>
    <row r="87" spans="1:21">
      <c r="A87" s="611"/>
      <c r="J87" s="582"/>
    </row>
    <row r="95" spans="1:21" ht="20.25">
      <c r="M95" s="1563" t="s">
        <v>338</v>
      </c>
      <c r="N95" s="1563"/>
      <c r="O95" s="1563"/>
      <c r="P95" s="1563"/>
      <c r="Q95" s="1563"/>
      <c r="R95" s="1563"/>
      <c r="S95" s="1563"/>
      <c r="T95" s="1563"/>
      <c r="U95" s="1563"/>
    </row>
    <row r="96" spans="1:21">
      <c r="T96" s="156" t="s">
        <v>754</v>
      </c>
      <c r="U96" s="156" t="s">
        <v>755</v>
      </c>
    </row>
    <row r="97" spans="1:21">
      <c r="T97" s="156">
        <v>5</v>
      </c>
      <c r="U97" s="156">
        <v>6</v>
      </c>
    </row>
    <row r="98" spans="1:21">
      <c r="T98" s="141" t="s">
        <v>756</v>
      </c>
      <c r="U98" s="141" t="s">
        <v>757</v>
      </c>
    </row>
    <row r="99" spans="1:21">
      <c r="T99" s="141" t="s">
        <v>758</v>
      </c>
      <c r="U99" s="141" t="s">
        <v>759</v>
      </c>
    </row>
    <row r="100" spans="1:21">
      <c r="T100" s="141" t="s">
        <v>760</v>
      </c>
      <c r="U100" s="141" t="s">
        <v>761</v>
      </c>
    </row>
    <row r="101" spans="1:21">
      <c r="T101" s="141" t="s">
        <v>762</v>
      </c>
      <c r="U101" s="141" t="s">
        <v>763</v>
      </c>
    </row>
    <row r="102" spans="1:21">
      <c r="T102" s="141" t="s">
        <v>762</v>
      </c>
      <c r="U102" s="141" t="s">
        <v>763</v>
      </c>
    </row>
    <row r="103" spans="1:21">
      <c r="T103" s="141" t="s">
        <v>764</v>
      </c>
      <c r="U103" s="141" t="s">
        <v>765</v>
      </c>
    </row>
    <row r="104" spans="1:21">
      <c r="T104" s="141" t="s">
        <v>766</v>
      </c>
      <c r="U104" s="141" t="s">
        <v>767</v>
      </c>
    </row>
    <row r="105" spans="1:21" ht="18">
      <c r="A105" s="655" t="s">
        <v>78</v>
      </c>
      <c r="B105" s="656"/>
      <c r="C105" s="655"/>
      <c r="D105" s="655"/>
      <c r="F105" s="655"/>
      <c r="G105" s="655"/>
      <c r="H105" s="655"/>
      <c r="I105" s="655"/>
      <c r="O105" s="657"/>
    </row>
    <row r="106" spans="1:21" ht="18">
      <c r="A106" s="655" t="s">
        <v>79</v>
      </c>
      <c r="B106" s="656"/>
      <c r="C106" s="655"/>
      <c r="D106" s="658"/>
      <c r="F106" s="655"/>
      <c r="G106" s="655"/>
      <c r="H106" s="655"/>
      <c r="I106" s="655"/>
      <c r="O106" s="657"/>
    </row>
    <row r="107" spans="1:21">
      <c r="A107" s="659" t="s">
        <v>220</v>
      </c>
      <c r="C107" s="659"/>
      <c r="D107" s="659"/>
      <c r="E107" s="659"/>
      <c r="F107" s="659"/>
      <c r="G107" s="656"/>
      <c r="H107" s="660"/>
      <c r="I107" s="660"/>
      <c r="O107" s="181"/>
    </row>
    <row r="108" spans="1:21">
      <c r="A108" s="659" t="s">
        <v>1871</v>
      </c>
      <c r="C108" s="659"/>
      <c r="D108" s="659"/>
      <c r="E108" s="659"/>
      <c r="F108" s="659"/>
      <c r="G108" s="656"/>
      <c r="H108" s="660"/>
      <c r="I108" s="661"/>
      <c r="O108" s="181"/>
    </row>
    <row r="109" spans="1:21">
      <c r="A109" s="662" t="s">
        <v>81</v>
      </c>
      <c r="B109" s="656"/>
      <c r="C109" s="663"/>
      <c r="E109" s="664"/>
      <c r="F109" s="664"/>
      <c r="G109" s="664"/>
      <c r="H109" s="664"/>
      <c r="I109" s="661"/>
      <c r="O109" s="665"/>
    </row>
    <row r="110" spans="1:21">
      <c r="B110" s="658"/>
      <c r="C110" s="658"/>
      <c r="D110" s="666"/>
      <c r="E110" s="658"/>
      <c r="F110" s="658"/>
      <c r="G110" s="658"/>
      <c r="H110" s="658"/>
      <c r="I110" s="658"/>
      <c r="O110" s="667"/>
    </row>
    <row r="111" spans="1:21" s="697" customFormat="1" ht="20.25">
      <c r="B111" s="668" t="s">
        <v>1872</v>
      </c>
      <c r="C111" s="668" t="s">
        <v>84</v>
      </c>
      <c r="D111" s="668" t="s">
        <v>499</v>
      </c>
      <c r="E111" s="668"/>
      <c r="F111" s="668"/>
      <c r="G111" s="668" t="s">
        <v>5</v>
      </c>
      <c r="H111" s="668" t="s">
        <v>7</v>
      </c>
      <c r="I111" s="668" t="s">
        <v>642</v>
      </c>
      <c r="J111" s="668" t="s">
        <v>834</v>
      </c>
      <c r="K111" s="668" t="s">
        <v>780</v>
      </c>
      <c r="M111" s="669"/>
      <c r="N111" s="698"/>
      <c r="O111" s="670"/>
      <c r="P111" s="698"/>
    </row>
    <row r="112" spans="1:21" s="697" customFormat="1">
      <c r="A112" s="268">
        <v>1</v>
      </c>
      <c r="B112" s="586" t="s">
        <v>95</v>
      </c>
      <c r="C112" s="586" t="s">
        <v>30</v>
      </c>
      <c r="D112" s="278">
        <v>38808</v>
      </c>
      <c r="E112" s="262" t="s">
        <v>90</v>
      </c>
      <c r="F112" s="276" t="s">
        <v>500</v>
      </c>
      <c r="G112" s="276" t="str">
        <f>F112</f>
        <v>3ت ر</v>
      </c>
      <c r="H112" s="241" t="s">
        <v>91</v>
      </c>
      <c r="I112" s="141"/>
      <c r="J112" s="671"/>
      <c r="K112" s="671" t="s">
        <v>628</v>
      </c>
      <c r="L112" s="203"/>
      <c r="M112" s="672"/>
      <c r="N112" s="698"/>
      <c r="O112" s="169"/>
      <c r="P112" s="698"/>
    </row>
    <row r="113" spans="1:16" s="697" customFormat="1">
      <c r="A113" s="268">
        <v>2</v>
      </c>
      <c r="B113" s="586" t="s">
        <v>1526</v>
      </c>
      <c r="C113" s="586" t="s">
        <v>1047</v>
      </c>
      <c r="D113" s="278">
        <v>38670</v>
      </c>
      <c r="E113" s="262" t="s">
        <v>104</v>
      </c>
      <c r="F113" s="276" t="s">
        <v>500</v>
      </c>
      <c r="G113" s="276" t="str">
        <f t="shared" ref="G113:G176" si="19">F113</f>
        <v>3ت ر</v>
      </c>
      <c r="H113" s="242" t="s">
        <v>96</v>
      </c>
      <c r="I113" s="141"/>
      <c r="J113" s="417"/>
      <c r="K113" s="417"/>
      <c r="N113" s="698"/>
      <c r="O113" s="169"/>
      <c r="P113" s="698"/>
    </row>
    <row r="114" spans="1:16" s="697" customFormat="1">
      <c r="A114" s="268">
        <v>3</v>
      </c>
      <c r="B114" s="586" t="s">
        <v>186</v>
      </c>
      <c r="C114" s="586" t="s">
        <v>196</v>
      </c>
      <c r="D114" s="278">
        <v>38733</v>
      </c>
      <c r="E114" s="216" t="s">
        <v>104</v>
      </c>
      <c r="F114" s="276" t="s">
        <v>500</v>
      </c>
      <c r="G114" s="276" t="str">
        <f t="shared" si="19"/>
        <v>3ت ر</v>
      </c>
      <c r="H114" s="242" t="s">
        <v>96</v>
      </c>
      <c r="I114" s="141"/>
      <c r="J114" s="417"/>
      <c r="K114" s="417"/>
      <c r="L114" s="203"/>
      <c r="M114" s="672"/>
      <c r="N114" s="698"/>
      <c r="O114" s="169"/>
      <c r="P114" s="698"/>
    </row>
    <row r="115" spans="1:16" s="697" customFormat="1">
      <c r="A115" s="268">
        <v>4</v>
      </c>
      <c r="B115" s="586" t="s">
        <v>990</v>
      </c>
      <c r="C115" s="586" t="s">
        <v>991</v>
      </c>
      <c r="D115" s="278">
        <v>38762</v>
      </c>
      <c r="E115" s="262" t="s">
        <v>90</v>
      </c>
      <c r="F115" s="276" t="s">
        <v>500</v>
      </c>
      <c r="G115" s="276" t="str">
        <f t="shared" si="19"/>
        <v>3ت ر</v>
      </c>
      <c r="H115" s="242" t="s">
        <v>96</v>
      </c>
      <c r="I115" s="141"/>
      <c r="J115" s="417"/>
      <c r="K115" s="417"/>
      <c r="L115" s="203"/>
      <c r="M115" s="672"/>
      <c r="N115" s="698"/>
      <c r="O115" s="169"/>
      <c r="P115" s="698"/>
    </row>
    <row r="116" spans="1:16" s="697" customFormat="1" ht="47.25">
      <c r="A116" s="268">
        <v>5</v>
      </c>
      <c r="B116" s="586" t="s">
        <v>164</v>
      </c>
      <c r="C116" s="586" t="s">
        <v>963</v>
      </c>
      <c r="D116" s="278">
        <v>38695</v>
      </c>
      <c r="E116" s="262" t="s">
        <v>90</v>
      </c>
      <c r="F116" s="276" t="s">
        <v>500</v>
      </c>
      <c r="G116" s="276" t="str">
        <f t="shared" si="19"/>
        <v>3ت ر</v>
      </c>
      <c r="H116" s="242" t="s">
        <v>96</v>
      </c>
      <c r="I116" s="141"/>
      <c r="J116" s="417"/>
      <c r="K116" s="417"/>
      <c r="L116" s="203"/>
      <c r="M116" s="672"/>
      <c r="N116" s="698"/>
      <c r="O116" s="169"/>
      <c r="P116" s="698"/>
    </row>
    <row r="117" spans="1:16" s="697" customFormat="1">
      <c r="A117" s="268">
        <v>6</v>
      </c>
      <c r="B117" s="586" t="s">
        <v>1086</v>
      </c>
      <c r="C117" s="586" t="s">
        <v>101</v>
      </c>
      <c r="D117" s="278">
        <v>38517</v>
      </c>
      <c r="E117" s="262" t="s">
        <v>90</v>
      </c>
      <c r="F117" s="276" t="s">
        <v>500</v>
      </c>
      <c r="G117" s="276" t="str">
        <f t="shared" si="19"/>
        <v>3ت ر</v>
      </c>
      <c r="H117" s="242" t="s">
        <v>96</v>
      </c>
      <c r="I117" s="141"/>
      <c r="J117" s="417"/>
      <c r="K117" s="417"/>
      <c r="L117" s="203"/>
      <c r="M117" s="672"/>
      <c r="N117" s="698"/>
      <c r="O117" s="169"/>
      <c r="P117" s="698"/>
    </row>
    <row r="118" spans="1:16" s="697" customFormat="1">
      <c r="A118" s="268">
        <v>7</v>
      </c>
      <c r="B118" s="586" t="s">
        <v>130</v>
      </c>
      <c r="C118" s="586" t="s">
        <v>967</v>
      </c>
      <c r="D118" s="278">
        <v>38781</v>
      </c>
      <c r="E118" s="247" t="s">
        <v>90</v>
      </c>
      <c r="F118" s="276" t="s">
        <v>500</v>
      </c>
      <c r="G118" s="276" t="str">
        <f t="shared" si="19"/>
        <v>3ت ر</v>
      </c>
      <c r="H118" s="242" t="s">
        <v>96</v>
      </c>
      <c r="I118" s="141"/>
      <c r="J118" s="417"/>
      <c r="K118" s="417"/>
      <c r="L118" s="203"/>
      <c r="M118" s="672"/>
      <c r="N118" s="698"/>
      <c r="O118" s="698"/>
      <c r="P118" s="698"/>
    </row>
    <row r="119" spans="1:16" s="697" customFormat="1">
      <c r="A119" s="268">
        <v>8</v>
      </c>
      <c r="B119" s="586" t="s">
        <v>1055</v>
      </c>
      <c r="C119" s="586" t="s">
        <v>1056</v>
      </c>
      <c r="D119" s="278">
        <v>38683</v>
      </c>
      <c r="E119" s="266" t="s">
        <v>90</v>
      </c>
      <c r="F119" s="276" t="s">
        <v>500</v>
      </c>
      <c r="G119" s="276" t="str">
        <f t="shared" si="19"/>
        <v>3ت ر</v>
      </c>
      <c r="H119" s="242" t="s">
        <v>96</v>
      </c>
      <c r="I119" s="141"/>
      <c r="J119" s="699"/>
      <c r="K119" s="699"/>
      <c r="L119" s="203"/>
      <c r="M119" s="672"/>
      <c r="N119" s="698"/>
      <c r="O119" s="698"/>
      <c r="P119" s="698"/>
    </row>
    <row r="120" spans="1:16" s="697" customFormat="1">
      <c r="A120" s="268">
        <v>9</v>
      </c>
      <c r="B120" s="586" t="s">
        <v>526</v>
      </c>
      <c r="C120" s="586" t="s">
        <v>970</v>
      </c>
      <c r="D120" s="278">
        <v>38858</v>
      </c>
      <c r="E120" s="267" t="s">
        <v>104</v>
      </c>
      <c r="F120" s="276" t="s">
        <v>500</v>
      </c>
      <c r="G120" s="276" t="str">
        <f t="shared" si="19"/>
        <v>3ت ر</v>
      </c>
      <c r="H120" s="241" t="s">
        <v>91</v>
      </c>
      <c r="I120" s="141"/>
      <c r="J120" s="671"/>
      <c r="K120" s="671"/>
      <c r="L120" s="203"/>
      <c r="M120" s="672"/>
      <c r="N120" s="698"/>
      <c r="O120" s="698"/>
      <c r="P120" s="698"/>
    </row>
    <row r="121" spans="1:16" s="697" customFormat="1">
      <c r="A121" s="268">
        <v>10</v>
      </c>
      <c r="B121" s="586" t="s">
        <v>867</v>
      </c>
      <c r="C121" s="586" t="s">
        <v>868</v>
      </c>
      <c r="D121" s="278">
        <v>38234</v>
      </c>
      <c r="E121" s="216" t="s">
        <v>90</v>
      </c>
      <c r="F121" s="276" t="s">
        <v>500</v>
      </c>
      <c r="G121" s="276" t="str">
        <f t="shared" si="19"/>
        <v>3ت ر</v>
      </c>
      <c r="H121" s="241" t="s">
        <v>91</v>
      </c>
      <c r="I121" s="141"/>
      <c r="J121" s="417"/>
      <c r="K121" s="417"/>
      <c r="L121" s="203"/>
      <c r="M121" s="672"/>
      <c r="N121" s="698"/>
      <c r="O121" s="698"/>
      <c r="P121" s="698"/>
    </row>
    <row r="122" spans="1:16" s="697" customFormat="1">
      <c r="A122" s="268">
        <v>11</v>
      </c>
      <c r="B122" s="586" t="s">
        <v>44</v>
      </c>
      <c r="C122" s="586" t="s">
        <v>956</v>
      </c>
      <c r="D122" s="278">
        <v>38616</v>
      </c>
      <c r="E122" s="258" t="s">
        <v>90</v>
      </c>
      <c r="F122" s="276" t="s">
        <v>500</v>
      </c>
      <c r="G122" s="276" t="str">
        <f t="shared" si="19"/>
        <v>3ت ر</v>
      </c>
      <c r="H122" s="241" t="s">
        <v>91</v>
      </c>
      <c r="I122" s="141"/>
      <c r="J122" s="417"/>
      <c r="K122" s="417"/>
      <c r="L122" s="203"/>
      <c r="M122" s="672"/>
      <c r="N122" s="698"/>
      <c r="O122" s="698"/>
      <c r="P122" s="698"/>
    </row>
    <row r="123" spans="1:16" s="697" customFormat="1">
      <c r="A123" s="268">
        <v>12</v>
      </c>
      <c r="B123" s="586" t="s">
        <v>60</v>
      </c>
      <c r="C123" s="586" t="s">
        <v>980</v>
      </c>
      <c r="D123" s="278">
        <v>38481</v>
      </c>
      <c r="E123" s="262" t="s">
        <v>90</v>
      </c>
      <c r="F123" s="276" t="s">
        <v>500</v>
      </c>
      <c r="G123" s="276" t="str">
        <f t="shared" si="19"/>
        <v>3ت ر</v>
      </c>
      <c r="H123" s="241" t="s">
        <v>91</v>
      </c>
      <c r="I123" s="141"/>
      <c r="J123" s="417"/>
      <c r="K123" s="417"/>
      <c r="L123" s="203"/>
      <c r="M123" s="672"/>
      <c r="N123" s="698"/>
      <c r="O123" s="698"/>
      <c r="P123" s="698"/>
    </row>
    <row r="124" spans="1:16" s="697" customFormat="1" ht="31.5">
      <c r="A124" s="268">
        <v>13</v>
      </c>
      <c r="B124" s="586" t="s">
        <v>1015</v>
      </c>
      <c r="C124" s="586" t="s">
        <v>912</v>
      </c>
      <c r="D124" s="278">
        <v>38835</v>
      </c>
      <c r="E124" s="262" t="s">
        <v>90</v>
      </c>
      <c r="F124" s="276" t="s">
        <v>500</v>
      </c>
      <c r="G124" s="276" t="str">
        <f t="shared" si="19"/>
        <v>3ت ر</v>
      </c>
      <c r="H124" s="242" t="s">
        <v>96</v>
      </c>
      <c r="I124" s="141"/>
      <c r="J124" s="699"/>
      <c r="K124" s="699"/>
      <c r="L124" s="203"/>
      <c r="M124" s="672"/>
      <c r="N124" s="698"/>
      <c r="O124" s="698"/>
      <c r="P124" s="698"/>
    </row>
    <row r="125" spans="1:16" s="697" customFormat="1" ht="31.5">
      <c r="A125" s="268">
        <v>14</v>
      </c>
      <c r="B125" s="586" t="s">
        <v>185</v>
      </c>
      <c r="C125" s="586" t="s">
        <v>1017</v>
      </c>
      <c r="D125" s="278">
        <v>38577</v>
      </c>
      <c r="E125" s="262" t="s">
        <v>795</v>
      </c>
      <c r="F125" s="276" t="s">
        <v>500</v>
      </c>
      <c r="G125" s="276" t="str">
        <f t="shared" si="19"/>
        <v>3ت ر</v>
      </c>
      <c r="H125" s="241" t="s">
        <v>91</v>
      </c>
      <c r="I125" s="141"/>
      <c r="J125" s="417"/>
      <c r="K125" s="417"/>
      <c r="L125" s="203"/>
      <c r="M125" s="672"/>
      <c r="N125" s="698"/>
      <c r="O125" s="698"/>
      <c r="P125" s="698"/>
    </row>
    <row r="126" spans="1:16" s="697" customFormat="1">
      <c r="A126" s="268">
        <v>15</v>
      </c>
      <c r="B126" s="586" t="s">
        <v>156</v>
      </c>
      <c r="C126" s="586" t="s">
        <v>67</v>
      </c>
      <c r="D126" s="278">
        <v>38585</v>
      </c>
      <c r="E126" s="262" t="s">
        <v>104</v>
      </c>
      <c r="F126" s="276" t="s">
        <v>500</v>
      </c>
      <c r="G126" s="276" t="str">
        <f t="shared" si="19"/>
        <v>3ت ر</v>
      </c>
      <c r="H126" s="241" t="s">
        <v>91</v>
      </c>
      <c r="I126" s="141"/>
      <c r="J126" s="417"/>
      <c r="K126" s="417"/>
      <c r="L126" s="203"/>
      <c r="M126" s="672"/>
      <c r="N126" s="698"/>
      <c r="O126" s="698"/>
      <c r="P126" s="698"/>
    </row>
    <row r="127" spans="1:16" s="697" customFormat="1" ht="31.5">
      <c r="A127" s="268">
        <v>16</v>
      </c>
      <c r="B127" s="586" t="s">
        <v>66</v>
      </c>
      <c r="C127" s="586" t="s">
        <v>1019</v>
      </c>
      <c r="D127" s="278">
        <v>38609</v>
      </c>
      <c r="E127" s="402" t="s">
        <v>104</v>
      </c>
      <c r="F127" s="276" t="s">
        <v>1454</v>
      </c>
      <c r="G127" s="276" t="str">
        <f t="shared" si="19"/>
        <v>3ت ا ق1</v>
      </c>
      <c r="H127" s="240" t="s">
        <v>1458</v>
      </c>
      <c r="I127" s="141"/>
      <c r="J127" s="673"/>
      <c r="K127" s="673"/>
      <c r="L127" s="203"/>
      <c r="M127" s="672"/>
      <c r="N127" s="698"/>
      <c r="O127" s="698"/>
      <c r="P127" s="698"/>
    </row>
    <row r="128" spans="1:16" s="697" customFormat="1">
      <c r="A128" s="268">
        <v>17</v>
      </c>
      <c r="B128" s="586" t="s">
        <v>143</v>
      </c>
      <c r="C128" s="586" t="s">
        <v>689</v>
      </c>
      <c r="D128" s="278">
        <v>37715</v>
      </c>
      <c r="E128" s="237" t="s">
        <v>104</v>
      </c>
      <c r="F128" s="276" t="s">
        <v>1454</v>
      </c>
      <c r="G128" s="276" t="str">
        <f t="shared" si="19"/>
        <v>3ت ا ق1</v>
      </c>
      <c r="H128" s="240" t="s">
        <v>1458</v>
      </c>
      <c r="I128" s="141"/>
      <c r="J128" s="671"/>
      <c r="K128" s="671" t="s">
        <v>628</v>
      </c>
      <c r="L128" s="203"/>
      <c r="M128" s="672"/>
      <c r="N128" s="698"/>
      <c r="O128" s="698"/>
      <c r="P128" s="698"/>
    </row>
    <row r="129" spans="1:21" s="697" customFormat="1" ht="20.25">
      <c r="A129" s="268">
        <v>18</v>
      </c>
      <c r="B129" s="586" t="s">
        <v>695</v>
      </c>
      <c r="C129" s="586" t="s">
        <v>873</v>
      </c>
      <c r="D129" s="278">
        <v>38032</v>
      </c>
      <c r="E129" s="403" t="s">
        <v>90</v>
      </c>
      <c r="F129" s="276" t="s">
        <v>1454</v>
      </c>
      <c r="G129" s="276" t="str">
        <f t="shared" si="19"/>
        <v>3ت ا ق1</v>
      </c>
      <c r="H129" s="240" t="s">
        <v>1458</v>
      </c>
      <c r="I129" s="141"/>
      <c r="J129" s="671"/>
      <c r="K129" s="671" t="s">
        <v>628</v>
      </c>
      <c r="L129" s="203"/>
      <c r="M129" s="1563" t="s">
        <v>338</v>
      </c>
      <c r="N129" s="1563"/>
      <c r="O129" s="1563"/>
      <c r="P129" s="1563"/>
      <c r="Q129" s="1563"/>
      <c r="R129" s="1563"/>
      <c r="S129" s="1563"/>
      <c r="T129" s="1563"/>
      <c r="U129" s="1563"/>
    </row>
    <row r="130" spans="1:21" s="697" customFormat="1">
      <c r="A130" s="268">
        <v>19</v>
      </c>
      <c r="B130" s="586" t="s">
        <v>14</v>
      </c>
      <c r="C130" s="586" t="s">
        <v>36</v>
      </c>
      <c r="D130" s="278">
        <v>38405</v>
      </c>
      <c r="E130" s="262" t="s">
        <v>90</v>
      </c>
      <c r="F130" s="276" t="s">
        <v>1454</v>
      </c>
      <c r="G130" s="276" t="str">
        <f t="shared" si="19"/>
        <v>3ت ا ق1</v>
      </c>
      <c r="H130" s="240" t="s">
        <v>1458</v>
      </c>
      <c r="I130" s="141"/>
      <c r="J130" s="671"/>
      <c r="K130" s="671" t="s">
        <v>628</v>
      </c>
      <c r="L130" s="203"/>
      <c r="M130" s="672"/>
      <c r="N130" s="698"/>
      <c r="O130" s="698"/>
      <c r="P130" s="698"/>
      <c r="T130" s="156" t="s">
        <v>754</v>
      </c>
      <c r="U130" s="156" t="s">
        <v>755</v>
      </c>
    </row>
    <row r="131" spans="1:21" s="697" customFormat="1">
      <c r="A131" s="268">
        <v>20</v>
      </c>
      <c r="B131" s="586" t="s">
        <v>181</v>
      </c>
      <c r="C131" s="586" t="s">
        <v>191</v>
      </c>
      <c r="D131" s="278">
        <v>38367</v>
      </c>
      <c r="E131" s="262" t="s">
        <v>90</v>
      </c>
      <c r="F131" s="276" t="s">
        <v>1454</v>
      </c>
      <c r="G131" s="276" t="str">
        <f t="shared" si="19"/>
        <v>3ت ا ق1</v>
      </c>
      <c r="H131" s="242" t="s">
        <v>96</v>
      </c>
      <c r="I131" s="141"/>
      <c r="J131" s="417"/>
      <c r="K131" s="417"/>
      <c r="L131" s="203"/>
      <c r="M131" s="672"/>
      <c r="N131" s="698"/>
      <c r="O131" s="698"/>
      <c r="P131" s="698"/>
      <c r="T131" s="156">
        <v>5</v>
      </c>
      <c r="U131" s="156">
        <v>6</v>
      </c>
    </row>
    <row r="132" spans="1:21" s="697" customFormat="1">
      <c r="A132" s="268">
        <v>21</v>
      </c>
      <c r="B132" s="586" t="s">
        <v>895</v>
      </c>
      <c r="C132" s="586" t="s">
        <v>146</v>
      </c>
      <c r="D132" s="278">
        <v>38362</v>
      </c>
      <c r="E132" s="247" t="s">
        <v>90</v>
      </c>
      <c r="F132" s="276" t="s">
        <v>1454</v>
      </c>
      <c r="G132" s="276" t="str">
        <f t="shared" si="19"/>
        <v>3ت ا ق1</v>
      </c>
      <c r="H132" s="242" t="s">
        <v>96</v>
      </c>
      <c r="I132" s="141"/>
      <c r="J132" s="417"/>
      <c r="K132" s="417"/>
      <c r="L132" s="203"/>
      <c r="M132" s="672"/>
      <c r="N132" s="698"/>
      <c r="O132" s="698"/>
      <c r="P132" s="698"/>
      <c r="T132" s="141" t="s">
        <v>756</v>
      </c>
      <c r="U132" s="141" t="s">
        <v>757</v>
      </c>
    </row>
    <row r="133" spans="1:21" s="697" customFormat="1" ht="31.5">
      <c r="A133" s="268">
        <v>22</v>
      </c>
      <c r="B133" s="586" t="s">
        <v>517</v>
      </c>
      <c r="C133" s="586" t="s">
        <v>994</v>
      </c>
      <c r="D133" s="278">
        <v>38750</v>
      </c>
      <c r="E133" s="262" t="s">
        <v>104</v>
      </c>
      <c r="F133" s="276" t="s">
        <v>1454</v>
      </c>
      <c r="G133" s="276" t="str">
        <f t="shared" si="19"/>
        <v>3ت ا ق1</v>
      </c>
      <c r="H133" s="242" t="s">
        <v>96</v>
      </c>
      <c r="I133" s="141"/>
      <c r="J133" s="417"/>
      <c r="K133" s="417"/>
      <c r="L133" s="203"/>
      <c r="M133" s="672"/>
      <c r="N133" s="698"/>
      <c r="O133" s="698"/>
      <c r="P133" s="698"/>
      <c r="T133" s="141" t="s">
        <v>758</v>
      </c>
      <c r="U133" s="141" t="s">
        <v>759</v>
      </c>
    </row>
    <row r="134" spans="1:21" s="697" customFormat="1">
      <c r="A134" s="268">
        <v>23</v>
      </c>
      <c r="B134" s="586" t="s">
        <v>1508</v>
      </c>
      <c r="C134" s="586" t="s">
        <v>21</v>
      </c>
      <c r="D134" s="278">
        <v>38643</v>
      </c>
      <c r="E134" s="262" t="s">
        <v>90</v>
      </c>
      <c r="F134" s="276" t="s">
        <v>1454</v>
      </c>
      <c r="G134" s="276" t="str">
        <f t="shared" si="19"/>
        <v>3ت ا ق1</v>
      </c>
      <c r="H134" s="241" t="s">
        <v>91</v>
      </c>
      <c r="I134" s="141"/>
      <c r="J134" s="417"/>
      <c r="K134" s="417"/>
      <c r="L134" s="700"/>
      <c r="M134" s="701"/>
      <c r="N134" s="698"/>
      <c r="O134" s="698"/>
      <c r="P134" s="698"/>
      <c r="T134" s="141" t="s">
        <v>760</v>
      </c>
      <c r="U134" s="141" t="s">
        <v>761</v>
      </c>
    </row>
    <row r="135" spans="1:21" s="697" customFormat="1" ht="31.5">
      <c r="A135" s="268">
        <v>24</v>
      </c>
      <c r="B135" s="586" t="s">
        <v>172</v>
      </c>
      <c r="C135" s="586" t="s">
        <v>997</v>
      </c>
      <c r="D135" s="278">
        <v>38280</v>
      </c>
      <c r="E135" s="262" t="s">
        <v>104</v>
      </c>
      <c r="F135" s="276" t="s">
        <v>1454</v>
      </c>
      <c r="G135" s="276" t="str">
        <f t="shared" si="19"/>
        <v>3ت ا ق1</v>
      </c>
      <c r="H135" s="242" t="s">
        <v>96</v>
      </c>
      <c r="I135" s="141"/>
      <c r="J135" s="417"/>
      <c r="K135" s="404"/>
      <c r="L135" s="203"/>
      <c r="M135" s="672"/>
      <c r="N135" s="698"/>
      <c r="O135" s="698"/>
      <c r="P135" s="698"/>
      <c r="T135" s="141" t="s">
        <v>762</v>
      </c>
      <c r="U135" s="141" t="s">
        <v>763</v>
      </c>
    </row>
    <row r="136" spans="1:21" s="697" customFormat="1" ht="31.5">
      <c r="A136" s="268">
        <v>25</v>
      </c>
      <c r="B136" s="586" t="s">
        <v>860</v>
      </c>
      <c r="C136" s="586" t="s">
        <v>861</v>
      </c>
      <c r="D136" s="278">
        <v>38206</v>
      </c>
      <c r="E136" s="216" t="s">
        <v>862</v>
      </c>
      <c r="F136" s="276" t="s">
        <v>1454</v>
      </c>
      <c r="G136" s="276" t="str">
        <f t="shared" si="19"/>
        <v>3ت ا ق1</v>
      </c>
      <c r="H136" s="241" t="s">
        <v>91</v>
      </c>
      <c r="I136" s="141"/>
      <c r="J136" s="404"/>
      <c r="K136" s="417"/>
      <c r="L136" s="700"/>
      <c r="M136" s="701"/>
      <c r="N136" s="698"/>
      <c r="O136" s="698"/>
      <c r="P136" s="698"/>
      <c r="T136" s="141" t="s">
        <v>762</v>
      </c>
      <c r="U136" s="141" t="s">
        <v>763</v>
      </c>
    </row>
    <row r="137" spans="1:21" s="697" customFormat="1">
      <c r="A137" s="268">
        <v>26</v>
      </c>
      <c r="B137" s="586" t="s">
        <v>57</v>
      </c>
      <c r="C137" s="586" t="s">
        <v>901</v>
      </c>
      <c r="D137" s="278">
        <v>38303</v>
      </c>
      <c r="E137" s="216" t="s">
        <v>90</v>
      </c>
      <c r="F137" s="276" t="s">
        <v>1454</v>
      </c>
      <c r="G137" s="276" t="str">
        <f t="shared" si="19"/>
        <v>3ت ا ق1</v>
      </c>
      <c r="H137" s="242" t="s">
        <v>96</v>
      </c>
      <c r="I137" s="141"/>
      <c r="J137" s="417"/>
      <c r="K137" s="417"/>
      <c r="L137" s="700"/>
      <c r="M137" s="701"/>
      <c r="N137" s="698"/>
      <c r="O137" s="698"/>
      <c r="P137" s="698"/>
      <c r="T137" s="141" t="s">
        <v>764</v>
      </c>
      <c r="U137" s="141" t="s">
        <v>765</v>
      </c>
    </row>
    <row r="138" spans="1:21" s="697" customFormat="1">
      <c r="A138" s="268">
        <v>27</v>
      </c>
      <c r="B138" s="586" t="s">
        <v>1032</v>
      </c>
      <c r="C138" s="586" t="s">
        <v>142</v>
      </c>
      <c r="D138" s="278">
        <v>37923</v>
      </c>
      <c r="E138" s="263" t="s">
        <v>90</v>
      </c>
      <c r="F138" s="276" t="s">
        <v>1454</v>
      </c>
      <c r="G138" s="276" t="str">
        <f t="shared" si="19"/>
        <v>3ت ا ق1</v>
      </c>
      <c r="H138" s="241" t="s">
        <v>91</v>
      </c>
      <c r="I138" s="141"/>
      <c r="J138" s="674"/>
      <c r="K138" s="674"/>
      <c r="L138" s="203"/>
      <c r="M138" s="672"/>
      <c r="N138" s="698"/>
      <c r="O138" s="698"/>
      <c r="P138" s="698"/>
      <c r="T138" s="141" t="s">
        <v>766</v>
      </c>
      <c r="U138" s="141" t="s">
        <v>767</v>
      </c>
    </row>
    <row r="139" spans="1:21" s="697" customFormat="1">
      <c r="A139" s="268">
        <v>28</v>
      </c>
      <c r="B139" s="586" t="s">
        <v>675</v>
      </c>
      <c r="C139" s="586" t="s">
        <v>785</v>
      </c>
      <c r="D139" s="278">
        <v>37864</v>
      </c>
      <c r="E139" s="405" t="s">
        <v>104</v>
      </c>
      <c r="F139" s="276" t="s">
        <v>1454</v>
      </c>
      <c r="G139" s="276" t="str">
        <f t="shared" si="19"/>
        <v>3ت ا ق1</v>
      </c>
      <c r="H139" s="242" t="s">
        <v>96</v>
      </c>
      <c r="I139" s="141"/>
      <c r="J139" s="675"/>
      <c r="K139" s="676"/>
      <c r="L139" s="203"/>
      <c r="M139" s="672"/>
      <c r="N139" s="698"/>
      <c r="O139" s="698"/>
      <c r="P139" s="698"/>
    </row>
    <row r="140" spans="1:21" s="697" customFormat="1">
      <c r="A140" s="268">
        <v>29</v>
      </c>
      <c r="B140" s="586" t="s">
        <v>1087</v>
      </c>
      <c r="C140" s="586" t="s">
        <v>1088</v>
      </c>
      <c r="D140" s="278">
        <v>37609</v>
      </c>
      <c r="E140" s="262" t="s">
        <v>1187</v>
      </c>
      <c r="F140" s="276" t="s">
        <v>1454</v>
      </c>
      <c r="G140" s="276" t="str">
        <f t="shared" si="19"/>
        <v>3ت ا ق1</v>
      </c>
      <c r="H140" s="242" t="s">
        <v>96</v>
      </c>
      <c r="I140" s="141"/>
      <c r="J140" s="417"/>
      <c r="K140" s="417"/>
      <c r="L140" s="203"/>
      <c r="M140" s="672"/>
      <c r="N140" s="698"/>
      <c r="O140" s="698"/>
      <c r="P140" s="698"/>
    </row>
    <row r="141" spans="1:21" s="697" customFormat="1">
      <c r="A141" s="268">
        <v>30</v>
      </c>
      <c r="B141" s="586" t="s">
        <v>122</v>
      </c>
      <c r="C141" s="586" t="s">
        <v>1057</v>
      </c>
      <c r="D141" s="278">
        <v>38703</v>
      </c>
      <c r="E141" s="262" t="s">
        <v>90</v>
      </c>
      <c r="F141" s="276" t="s">
        <v>1454</v>
      </c>
      <c r="G141" s="276" t="str">
        <f t="shared" si="19"/>
        <v>3ت ا ق1</v>
      </c>
      <c r="H141" s="242" t="s">
        <v>96</v>
      </c>
      <c r="I141" s="141"/>
      <c r="J141" s="417"/>
      <c r="K141" s="677"/>
      <c r="L141" s="700"/>
      <c r="M141" s="701"/>
      <c r="N141" s="698"/>
      <c r="O141" s="698"/>
      <c r="P141" s="698"/>
    </row>
    <row r="142" spans="1:21" s="697" customFormat="1" ht="31.5">
      <c r="A142" s="268">
        <v>31</v>
      </c>
      <c r="B142" s="586" t="s">
        <v>972</v>
      </c>
      <c r="C142" s="586" t="s">
        <v>973</v>
      </c>
      <c r="D142" s="278">
        <v>38887</v>
      </c>
      <c r="E142" s="262" t="s">
        <v>104</v>
      </c>
      <c r="F142" s="276" t="s">
        <v>1454</v>
      </c>
      <c r="G142" s="276" t="str">
        <f t="shared" si="19"/>
        <v>3ت ا ق1</v>
      </c>
      <c r="H142" s="242" t="s">
        <v>96</v>
      </c>
      <c r="I142" s="141"/>
      <c r="J142" s="677"/>
      <c r="K142" s="417"/>
      <c r="L142" s="203"/>
      <c r="M142" s="672"/>
      <c r="N142" s="698"/>
      <c r="O142" s="698"/>
      <c r="P142" s="698"/>
    </row>
    <row r="143" spans="1:21" s="697" customFormat="1">
      <c r="A143" s="268">
        <v>32</v>
      </c>
      <c r="B143" s="586" t="s">
        <v>14</v>
      </c>
      <c r="C143" s="586" t="s">
        <v>880</v>
      </c>
      <c r="D143" s="278">
        <v>38383</v>
      </c>
      <c r="E143" s="262" t="s">
        <v>104</v>
      </c>
      <c r="F143" s="276" t="s">
        <v>1454</v>
      </c>
      <c r="G143" s="276" t="str">
        <f t="shared" si="19"/>
        <v>3ت ا ق1</v>
      </c>
      <c r="H143" s="242" t="s">
        <v>96</v>
      </c>
      <c r="I143" s="141"/>
      <c r="J143" s="417"/>
      <c r="K143" s="417"/>
      <c r="L143" s="678"/>
      <c r="M143" s="679"/>
      <c r="N143" s="698"/>
      <c r="O143" s="667"/>
      <c r="P143" s="698"/>
    </row>
    <row r="144" spans="1:21" s="697" customFormat="1" ht="32.25">
      <c r="A144" s="268">
        <v>33</v>
      </c>
      <c r="B144" s="586" t="s">
        <v>957</v>
      </c>
      <c r="C144" s="586" t="s">
        <v>120</v>
      </c>
      <c r="D144" s="278">
        <v>37841</v>
      </c>
      <c r="E144" s="266" t="s">
        <v>90</v>
      </c>
      <c r="F144" s="276" t="s">
        <v>1454</v>
      </c>
      <c r="G144" s="276" t="str">
        <f t="shared" si="19"/>
        <v>3ت ا ق1</v>
      </c>
      <c r="H144" s="241" t="s">
        <v>91</v>
      </c>
      <c r="I144" s="141"/>
      <c r="J144" s="417"/>
      <c r="K144" s="417"/>
      <c r="L144" s="203"/>
      <c r="M144" s="672"/>
      <c r="N144" s="698"/>
      <c r="O144" s="670"/>
      <c r="P144" s="698"/>
    </row>
    <row r="145" spans="1:16" s="697" customFormat="1">
      <c r="A145" s="268">
        <v>34</v>
      </c>
      <c r="B145" s="586" t="s">
        <v>682</v>
      </c>
      <c r="C145" s="586" t="s">
        <v>869</v>
      </c>
      <c r="D145" s="278">
        <v>38252</v>
      </c>
      <c r="E145" s="266" t="s">
        <v>104</v>
      </c>
      <c r="F145" s="276" t="s">
        <v>1454</v>
      </c>
      <c r="G145" s="276" t="str">
        <f t="shared" si="19"/>
        <v>3ت ا ق1</v>
      </c>
      <c r="H145" s="241" t="s">
        <v>91</v>
      </c>
      <c r="I145" s="141"/>
      <c r="J145" s="417"/>
      <c r="K145" s="417"/>
      <c r="L145" s="203"/>
      <c r="M145" s="672"/>
      <c r="N145" s="698"/>
      <c r="O145" s="169"/>
      <c r="P145" s="698"/>
    </row>
    <row r="146" spans="1:16" s="697" customFormat="1">
      <c r="A146" s="268">
        <v>35</v>
      </c>
      <c r="B146" s="586" t="s">
        <v>1008</v>
      </c>
      <c r="C146" s="586" t="s">
        <v>149</v>
      </c>
      <c r="D146" s="278">
        <v>38333</v>
      </c>
      <c r="E146" s="262" t="s">
        <v>90</v>
      </c>
      <c r="F146" s="276" t="s">
        <v>1454</v>
      </c>
      <c r="G146" s="276" t="str">
        <f t="shared" si="19"/>
        <v>3ت ا ق1</v>
      </c>
      <c r="H146" s="242" t="s">
        <v>96</v>
      </c>
      <c r="I146" s="141"/>
      <c r="J146" s="417"/>
      <c r="K146" s="671"/>
      <c r="L146" s="203"/>
      <c r="M146" s="672"/>
      <c r="N146" s="698"/>
      <c r="O146" s="169"/>
      <c r="P146" s="698"/>
    </row>
    <row r="147" spans="1:16" s="697" customFormat="1">
      <c r="A147" s="268">
        <v>36</v>
      </c>
      <c r="B147" s="586" t="s">
        <v>24</v>
      </c>
      <c r="C147" s="586" t="s">
        <v>38</v>
      </c>
      <c r="D147" s="278">
        <v>38414</v>
      </c>
      <c r="E147" s="262" t="s">
        <v>104</v>
      </c>
      <c r="F147" s="276" t="s">
        <v>1454</v>
      </c>
      <c r="G147" s="276" t="str">
        <f t="shared" si="19"/>
        <v>3ت ا ق1</v>
      </c>
      <c r="H147" s="241" t="s">
        <v>91</v>
      </c>
      <c r="I147" s="141"/>
      <c r="J147" s="671"/>
      <c r="K147" s="671" t="s">
        <v>628</v>
      </c>
      <c r="L147" s="203"/>
      <c r="M147" s="672"/>
      <c r="N147" s="698"/>
      <c r="O147" s="169"/>
      <c r="P147" s="698"/>
    </row>
    <row r="148" spans="1:16" s="697" customFormat="1">
      <c r="A148" s="268">
        <v>37</v>
      </c>
      <c r="B148" s="586" t="s">
        <v>1010</v>
      </c>
      <c r="C148" s="586" t="s">
        <v>901</v>
      </c>
      <c r="D148" s="278">
        <v>38582</v>
      </c>
      <c r="E148" s="266" t="s">
        <v>90</v>
      </c>
      <c r="F148" s="276" t="s">
        <v>1454</v>
      </c>
      <c r="G148" s="276" t="str">
        <f t="shared" si="19"/>
        <v>3ت ا ق1</v>
      </c>
      <c r="H148" s="242" t="s">
        <v>96</v>
      </c>
      <c r="I148" s="141"/>
      <c r="J148" s="671"/>
      <c r="K148" s="671" t="s">
        <v>628</v>
      </c>
      <c r="L148" s="203"/>
      <c r="M148" s="672"/>
      <c r="N148" s="698"/>
      <c r="O148" s="169"/>
      <c r="P148" s="698"/>
    </row>
    <row r="149" spans="1:16" s="697" customFormat="1">
      <c r="A149" s="268">
        <v>38</v>
      </c>
      <c r="B149" s="586" t="s">
        <v>190</v>
      </c>
      <c r="C149" s="586" t="s">
        <v>27</v>
      </c>
      <c r="D149" s="278">
        <v>38516</v>
      </c>
      <c r="E149" s="262" t="s">
        <v>90</v>
      </c>
      <c r="F149" s="276" t="s">
        <v>1454</v>
      </c>
      <c r="G149" s="276" t="str">
        <f t="shared" si="19"/>
        <v>3ت ا ق1</v>
      </c>
      <c r="H149" s="241" t="s">
        <v>91</v>
      </c>
      <c r="I149" s="141"/>
      <c r="J149" s="671"/>
      <c r="K149" s="671" t="s">
        <v>628</v>
      </c>
      <c r="L149" s="203"/>
      <c r="M149" s="672"/>
      <c r="N149" s="698"/>
      <c r="O149" s="169"/>
      <c r="P149" s="698"/>
    </row>
    <row r="150" spans="1:16" s="697" customFormat="1">
      <c r="A150" s="268">
        <v>39</v>
      </c>
      <c r="B150" s="586" t="s">
        <v>65</v>
      </c>
      <c r="C150" s="586" t="s">
        <v>21</v>
      </c>
      <c r="D150" s="278">
        <v>37950</v>
      </c>
      <c r="E150" s="262" t="s">
        <v>104</v>
      </c>
      <c r="F150" s="276" t="s">
        <v>1455</v>
      </c>
      <c r="G150" s="276" t="str">
        <f t="shared" si="19"/>
        <v>3ت ا ق2</v>
      </c>
      <c r="H150" s="240" t="s">
        <v>1458</v>
      </c>
      <c r="I150" s="141"/>
      <c r="J150" s="671"/>
      <c r="K150" s="671" t="s">
        <v>628</v>
      </c>
      <c r="L150" s="203"/>
      <c r="M150" s="672"/>
      <c r="N150" s="698"/>
      <c r="O150" s="169"/>
      <c r="P150" s="698"/>
    </row>
    <row r="151" spans="1:16" s="697" customFormat="1">
      <c r="A151" s="268">
        <v>40</v>
      </c>
      <c r="B151" s="586" t="s">
        <v>42</v>
      </c>
      <c r="C151" s="586" t="s">
        <v>1020</v>
      </c>
      <c r="D151" s="278">
        <v>38524</v>
      </c>
      <c r="E151" s="406" t="s">
        <v>104</v>
      </c>
      <c r="F151" s="276" t="s">
        <v>1455</v>
      </c>
      <c r="G151" s="276" t="str">
        <f t="shared" si="19"/>
        <v>3ت ا ق2</v>
      </c>
      <c r="H151" s="240" t="s">
        <v>1458</v>
      </c>
      <c r="I151" s="141"/>
      <c r="J151" s="671"/>
      <c r="K151" s="671"/>
      <c r="L151" s="203"/>
      <c r="M151" s="672"/>
      <c r="N151" s="698"/>
      <c r="O151" s="169"/>
      <c r="P151" s="698"/>
    </row>
    <row r="152" spans="1:16" s="697" customFormat="1">
      <c r="A152" s="268">
        <v>41</v>
      </c>
      <c r="B152" s="586" t="s">
        <v>14</v>
      </c>
      <c r="C152" s="586" t="s">
        <v>146</v>
      </c>
      <c r="D152" s="278">
        <v>38517</v>
      </c>
      <c r="E152" s="262" t="s">
        <v>90</v>
      </c>
      <c r="F152" s="276" t="s">
        <v>1455</v>
      </c>
      <c r="G152" s="276" t="str">
        <f t="shared" si="19"/>
        <v>3ت ا ق2</v>
      </c>
      <c r="H152" s="240" t="s">
        <v>1459</v>
      </c>
      <c r="I152" s="141"/>
      <c r="J152" s="417"/>
      <c r="K152" s="417"/>
      <c r="L152" s="203"/>
      <c r="M152" s="672"/>
      <c r="N152" s="698"/>
      <c r="O152" s="169"/>
      <c r="P152" s="698"/>
    </row>
    <row r="153" spans="1:16" s="697" customFormat="1">
      <c r="A153" s="268">
        <v>42</v>
      </c>
      <c r="B153" s="586" t="s">
        <v>20</v>
      </c>
      <c r="C153" s="586" t="s">
        <v>69</v>
      </c>
      <c r="D153" s="278">
        <v>38603</v>
      </c>
      <c r="E153" s="406" t="s">
        <v>90</v>
      </c>
      <c r="F153" s="276" t="s">
        <v>1455</v>
      </c>
      <c r="G153" s="276" t="str">
        <f t="shared" si="19"/>
        <v>3ت ا ق2</v>
      </c>
      <c r="H153" s="240" t="s">
        <v>1458</v>
      </c>
      <c r="I153" s="141"/>
      <c r="J153" s="671"/>
      <c r="K153" s="676"/>
      <c r="L153" s="203"/>
      <c r="M153" s="672"/>
      <c r="N153" s="698"/>
      <c r="O153" s="698"/>
      <c r="P153" s="698"/>
    </row>
    <row r="154" spans="1:16" s="697" customFormat="1">
      <c r="A154" s="268">
        <v>43</v>
      </c>
      <c r="B154" s="586" t="s">
        <v>62</v>
      </c>
      <c r="C154" s="586" t="s">
        <v>115</v>
      </c>
      <c r="D154" s="278">
        <v>37899</v>
      </c>
      <c r="E154" s="216" t="s">
        <v>90</v>
      </c>
      <c r="F154" s="276" t="s">
        <v>1455</v>
      </c>
      <c r="G154" s="276" t="str">
        <f t="shared" si="19"/>
        <v>3ت ا ق2</v>
      </c>
      <c r="H154" s="240" t="s">
        <v>1458</v>
      </c>
      <c r="I154" s="141"/>
      <c r="J154" s="676"/>
      <c r="K154" s="417"/>
      <c r="L154" s="203"/>
      <c r="M154" s="672"/>
      <c r="N154" s="698"/>
      <c r="O154" s="698"/>
      <c r="P154" s="698"/>
    </row>
    <row r="155" spans="1:16" s="697" customFormat="1">
      <c r="A155" s="268">
        <v>44</v>
      </c>
      <c r="B155" s="586" t="s">
        <v>679</v>
      </c>
      <c r="C155" s="586" t="s">
        <v>874</v>
      </c>
      <c r="D155" s="278">
        <v>38207</v>
      </c>
      <c r="E155" s="262" t="s">
        <v>104</v>
      </c>
      <c r="F155" s="276" t="s">
        <v>1455</v>
      </c>
      <c r="G155" s="276" t="str">
        <f t="shared" si="19"/>
        <v>3ت ا ق2</v>
      </c>
      <c r="H155" s="240" t="s">
        <v>1458</v>
      </c>
      <c r="I155" s="141"/>
      <c r="J155" s="417"/>
      <c r="K155" s="417"/>
      <c r="L155" s="700"/>
      <c r="M155" s="701"/>
      <c r="N155" s="698"/>
      <c r="O155" s="698"/>
      <c r="P155" s="698"/>
    </row>
    <row r="156" spans="1:16" s="697" customFormat="1">
      <c r="A156" s="268">
        <v>45</v>
      </c>
      <c r="B156" s="586" t="s">
        <v>876</v>
      </c>
      <c r="C156" s="586" t="s">
        <v>27</v>
      </c>
      <c r="D156" s="278">
        <v>37983</v>
      </c>
      <c r="E156" s="258" t="s">
        <v>877</v>
      </c>
      <c r="F156" s="276" t="s">
        <v>1455</v>
      </c>
      <c r="G156" s="276" t="str">
        <f t="shared" si="19"/>
        <v>3ت ا ق2</v>
      </c>
      <c r="H156" s="241" t="s">
        <v>91</v>
      </c>
      <c r="I156" s="141"/>
      <c r="J156" s="417"/>
      <c r="K156" s="417"/>
      <c r="L156" s="203"/>
      <c r="M156" s="672"/>
      <c r="N156" s="698"/>
      <c r="O156" s="698"/>
      <c r="P156" s="698"/>
    </row>
    <row r="157" spans="1:16" s="697" customFormat="1" ht="31.5">
      <c r="A157" s="268">
        <v>46</v>
      </c>
      <c r="B157" s="586" t="s">
        <v>600</v>
      </c>
      <c r="C157" s="586" t="s">
        <v>1022</v>
      </c>
      <c r="D157" s="278">
        <v>38782</v>
      </c>
      <c r="E157" s="402" t="s">
        <v>104</v>
      </c>
      <c r="F157" s="276" t="s">
        <v>1455</v>
      </c>
      <c r="G157" s="276" t="str">
        <f t="shared" si="19"/>
        <v>3ت ا ق2</v>
      </c>
      <c r="H157" s="242" t="s">
        <v>96</v>
      </c>
      <c r="I157" s="141"/>
      <c r="J157" s="677"/>
      <c r="K157" s="677"/>
      <c r="L157" s="203"/>
      <c r="M157" s="672"/>
      <c r="N157" s="698"/>
      <c r="O157" s="698"/>
      <c r="P157" s="698"/>
    </row>
    <row r="158" spans="1:16" s="697" customFormat="1" ht="31.5">
      <c r="A158" s="268">
        <v>47</v>
      </c>
      <c r="B158" s="586" t="s">
        <v>514</v>
      </c>
      <c r="C158" s="586" t="s">
        <v>878</v>
      </c>
      <c r="D158" s="278">
        <v>37892</v>
      </c>
      <c r="E158" s="262" t="s">
        <v>104</v>
      </c>
      <c r="F158" s="276" t="s">
        <v>1455</v>
      </c>
      <c r="G158" s="276" t="str">
        <f t="shared" si="19"/>
        <v>3ت ا ق2</v>
      </c>
      <c r="H158" s="242" t="s">
        <v>96</v>
      </c>
      <c r="I158" s="141"/>
      <c r="J158" s="417"/>
      <c r="K158" s="417"/>
      <c r="L158" s="203"/>
      <c r="M158" s="672"/>
      <c r="N158" s="698"/>
      <c r="O158" s="698"/>
      <c r="P158" s="698"/>
    </row>
    <row r="159" spans="1:16" s="697" customFormat="1">
      <c r="A159" s="268">
        <v>48</v>
      </c>
      <c r="B159" s="586" t="s">
        <v>137</v>
      </c>
      <c r="C159" s="586" t="s">
        <v>77</v>
      </c>
      <c r="D159" s="278">
        <v>38452</v>
      </c>
      <c r="E159" s="247" t="s">
        <v>104</v>
      </c>
      <c r="F159" s="276" t="s">
        <v>1455</v>
      </c>
      <c r="G159" s="276" t="str">
        <f t="shared" si="19"/>
        <v>3ت ا ق2</v>
      </c>
      <c r="H159" s="242" t="s">
        <v>96</v>
      </c>
      <c r="I159" s="141"/>
      <c r="J159" s="417"/>
      <c r="K159" s="417"/>
      <c r="L159" s="203"/>
      <c r="M159" s="672"/>
      <c r="N159" s="698"/>
      <c r="O159" s="698"/>
      <c r="P159" s="698"/>
    </row>
    <row r="160" spans="1:16" s="697" customFormat="1" ht="31.5">
      <c r="A160" s="268">
        <v>49</v>
      </c>
      <c r="B160" s="586" t="s">
        <v>1078</v>
      </c>
      <c r="C160" s="586" t="s">
        <v>1079</v>
      </c>
      <c r="D160" s="278">
        <v>38681</v>
      </c>
      <c r="E160" s="262" t="s">
        <v>1186</v>
      </c>
      <c r="F160" s="276" t="s">
        <v>1455</v>
      </c>
      <c r="G160" s="276" t="str">
        <f t="shared" si="19"/>
        <v>3ت ا ق2</v>
      </c>
      <c r="H160" s="241" t="s">
        <v>91</v>
      </c>
      <c r="I160" s="141"/>
      <c r="J160" s="404"/>
      <c r="K160" s="404"/>
      <c r="L160" s="203"/>
      <c r="M160" s="672"/>
      <c r="N160" s="698"/>
      <c r="O160" s="698"/>
      <c r="P160" s="698"/>
    </row>
    <row r="161" spans="1:16" s="697" customFormat="1" ht="31.5">
      <c r="A161" s="268">
        <v>50</v>
      </c>
      <c r="B161" s="586" t="s">
        <v>17</v>
      </c>
      <c r="C161" s="586" t="s">
        <v>998</v>
      </c>
      <c r="D161" s="278">
        <v>38146</v>
      </c>
      <c r="E161" s="263" t="s">
        <v>104</v>
      </c>
      <c r="F161" s="276" t="s">
        <v>1455</v>
      </c>
      <c r="G161" s="276" t="str">
        <f t="shared" si="19"/>
        <v>3ت ا ق2</v>
      </c>
      <c r="H161" s="241" t="s">
        <v>91</v>
      </c>
      <c r="I161" s="141"/>
      <c r="J161" s="417"/>
      <c r="K161" s="671"/>
      <c r="L161" s="203"/>
      <c r="M161" s="672"/>
      <c r="N161" s="698"/>
      <c r="O161" s="698"/>
      <c r="P161" s="698"/>
    </row>
    <row r="162" spans="1:16" s="697" customFormat="1">
      <c r="A162" s="268">
        <v>51</v>
      </c>
      <c r="B162" s="586" t="s">
        <v>883</v>
      </c>
      <c r="C162" s="586" t="s">
        <v>884</v>
      </c>
      <c r="D162" s="278">
        <v>38074</v>
      </c>
      <c r="E162" s="266" t="s">
        <v>104</v>
      </c>
      <c r="F162" s="276" t="s">
        <v>1455</v>
      </c>
      <c r="G162" s="276" t="str">
        <f t="shared" si="19"/>
        <v>3ت ا ق2</v>
      </c>
      <c r="H162" s="241" t="s">
        <v>91</v>
      </c>
      <c r="I162" s="141"/>
      <c r="J162" s="404"/>
      <c r="K162" s="417"/>
      <c r="L162" s="203"/>
      <c r="M162" s="672"/>
      <c r="N162" s="698"/>
      <c r="O162" s="698"/>
      <c r="P162" s="698"/>
    </row>
    <row r="163" spans="1:16" s="697" customFormat="1">
      <c r="A163" s="268">
        <v>52</v>
      </c>
      <c r="B163" s="586" t="s">
        <v>685</v>
      </c>
      <c r="C163" s="586" t="s">
        <v>686</v>
      </c>
      <c r="D163" s="278">
        <v>37965</v>
      </c>
      <c r="E163" s="237" t="s">
        <v>90</v>
      </c>
      <c r="F163" s="276" t="s">
        <v>1455</v>
      </c>
      <c r="G163" s="276" t="str">
        <f t="shared" si="19"/>
        <v>3ت ا ق2</v>
      </c>
      <c r="H163" s="242" t="s">
        <v>96</v>
      </c>
      <c r="I163" s="141"/>
      <c r="J163" s="680"/>
      <c r="K163" s="677"/>
      <c r="L163" s="203"/>
      <c r="M163" s="672"/>
      <c r="N163" s="698"/>
      <c r="O163" s="698"/>
      <c r="P163" s="698"/>
    </row>
    <row r="164" spans="1:16" s="697" customFormat="1">
      <c r="A164" s="268">
        <v>53</v>
      </c>
      <c r="B164" s="586" t="s">
        <v>197</v>
      </c>
      <c r="C164" s="586" t="s">
        <v>888</v>
      </c>
      <c r="D164" s="278">
        <v>38415</v>
      </c>
      <c r="E164" s="262" t="s">
        <v>90</v>
      </c>
      <c r="F164" s="276" t="s">
        <v>1455</v>
      </c>
      <c r="G164" s="276" t="str">
        <f t="shared" si="19"/>
        <v>3ت ا ق2</v>
      </c>
      <c r="H164" s="241" t="s">
        <v>91</v>
      </c>
      <c r="I164" s="141"/>
      <c r="J164" s="677"/>
      <c r="K164" s="404"/>
      <c r="L164" s="203"/>
      <c r="M164" s="672"/>
      <c r="N164" s="698"/>
      <c r="O164" s="698"/>
      <c r="P164" s="698"/>
    </row>
    <row r="165" spans="1:16" s="697" customFormat="1" ht="31.5">
      <c r="A165" s="268">
        <v>54</v>
      </c>
      <c r="B165" s="586" t="s">
        <v>978</v>
      </c>
      <c r="C165" s="586" t="s">
        <v>1183</v>
      </c>
      <c r="D165" s="278">
        <v>38094</v>
      </c>
      <c r="E165" s="263" t="s">
        <v>90</v>
      </c>
      <c r="F165" s="276" t="s">
        <v>1455</v>
      </c>
      <c r="G165" s="276" t="str">
        <f t="shared" si="19"/>
        <v>3ت ا ق2</v>
      </c>
      <c r="H165" s="242" t="s">
        <v>96</v>
      </c>
      <c r="I165" s="141"/>
      <c r="J165" s="404"/>
      <c r="K165" s="417"/>
      <c r="L165" s="700"/>
      <c r="M165" s="701"/>
      <c r="N165" s="698"/>
      <c r="O165" s="698"/>
      <c r="P165" s="698"/>
    </row>
    <row r="166" spans="1:16" s="697" customFormat="1" ht="31.5">
      <c r="A166" s="268">
        <v>55</v>
      </c>
      <c r="B166" s="586" t="s">
        <v>784</v>
      </c>
      <c r="C166" s="586" t="s">
        <v>979</v>
      </c>
      <c r="D166" s="278">
        <v>38229</v>
      </c>
      <c r="E166" s="262" t="s">
        <v>90</v>
      </c>
      <c r="F166" s="276" t="s">
        <v>1455</v>
      </c>
      <c r="G166" s="276" t="str">
        <f t="shared" si="19"/>
        <v>3ت ا ق2</v>
      </c>
      <c r="H166" s="242" t="s">
        <v>96</v>
      </c>
      <c r="I166" s="141"/>
      <c r="J166" s="417"/>
      <c r="K166" s="417"/>
      <c r="L166" s="203"/>
      <c r="M166" s="672"/>
      <c r="N166" s="698"/>
      <c r="O166" s="698"/>
      <c r="P166" s="698"/>
    </row>
    <row r="167" spans="1:16" s="697" customFormat="1" ht="47.25">
      <c r="A167" s="268">
        <v>56</v>
      </c>
      <c r="B167" s="586" t="s">
        <v>691</v>
      </c>
      <c r="C167" s="586" t="s">
        <v>796</v>
      </c>
      <c r="D167" s="278">
        <v>38084</v>
      </c>
      <c r="E167" s="237" t="s">
        <v>104</v>
      </c>
      <c r="F167" s="276" t="s">
        <v>1455</v>
      </c>
      <c r="G167" s="276" t="str">
        <f t="shared" si="19"/>
        <v>3ت ا ق2</v>
      </c>
      <c r="H167" s="241" t="s">
        <v>91</v>
      </c>
      <c r="I167" s="141"/>
      <c r="J167" s="417"/>
      <c r="K167" s="671" t="s">
        <v>628</v>
      </c>
      <c r="L167" s="203"/>
      <c r="M167" s="672"/>
      <c r="N167" s="698"/>
      <c r="O167" s="698"/>
      <c r="P167" s="698"/>
    </row>
    <row r="168" spans="1:16" s="697" customFormat="1" ht="31.5">
      <c r="A168" s="268">
        <v>57</v>
      </c>
      <c r="B168" s="586" t="s">
        <v>898</v>
      </c>
      <c r="C168" s="586" t="s">
        <v>899</v>
      </c>
      <c r="D168" s="278">
        <v>38153</v>
      </c>
      <c r="E168" s="247" t="s">
        <v>90</v>
      </c>
      <c r="F168" s="276" t="s">
        <v>1455</v>
      </c>
      <c r="G168" s="276" t="str">
        <f t="shared" si="19"/>
        <v>3ت ا ق2</v>
      </c>
      <c r="H168" s="241" t="s">
        <v>91</v>
      </c>
      <c r="I168" s="141"/>
      <c r="J168" s="671"/>
      <c r="K168" s="671" t="s">
        <v>628</v>
      </c>
      <c r="L168" s="203"/>
      <c r="M168" s="672"/>
      <c r="N168" s="698"/>
      <c r="O168" s="698"/>
      <c r="P168" s="698"/>
    </row>
    <row r="169" spans="1:16" s="697" customFormat="1" ht="31.5">
      <c r="A169" s="268">
        <v>58</v>
      </c>
      <c r="B169" s="586" t="s">
        <v>530</v>
      </c>
      <c r="C169" s="586" t="s">
        <v>871</v>
      </c>
      <c r="D169" s="278">
        <v>38183</v>
      </c>
      <c r="E169" s="247" t="s">
        <v>90</v>
      </c>
      <c r="F169" s="276" t="s">
        <v>1455</v>
      </c>
      <c r="G169" s="276" t="str">
        <f t="shared" si="19"/>
        <v>3ت ا ق2</v>
      </c>
      <c r="H169" s="242" t="s">
        <v>96</v>
      </c>
      <c r="I169" s="141"/>
      <c r="J169" s="671"/>
      <c r="K169" s="671" t="s">
        <v>628</v>
      </c>
      <c r="L169" s="203"/>
      <c r="M169" s="672"/>
      <c r="N169" s="698"/>
      <c r="O169" s="698"/>
      <c r="P169" s="698"/>
    </row>
    <row r="170" spans="1:16" s="697" customFormat="1">
      <c r="A170" s="268">
        <v>59</v>
      </c>
      <c r="B170" s="586" t="s">
        <v>703</v>
      </c>
      <c r="C170" s="586" t="s">
        <v>1093</v>
      </c>
      <c r="D170" s="278">
        <v>38672</v>
      </c>
      <c r="E170" s="266" t="s">
        <v>90</v>
      </c>
      <c r="F170" s="276" t="s">
        <v>1455</v>
      </c>
      <c r="G170" s="276" t="str">
        <f t="shared" si="19"/>
        <v>3ت ا ق2</v>
      </c>
      <c r="H170" s="241" t="s">
        <v>91</v>
      </c>
      <c r="I170" s="141"/>
      <c r="J170" s="671"/>
      <c r="K170" s="671" t="s">
        <v>628</v>
      </c>
      <c r="L170" s="203"/>
      <c r="M170" s="672"/>
      <c r="N170" s="698"/>
      <c r="O170" s="698"/>
      <c r="P170" s="698"/>
    </row>
    <row r="171" spans="1:16" s="697" customFormat="1" ht="31.5">
      <c r="A171" s="268">
        <v>60</v>
      </c>
      <c r="B171" s="586" t="s">
        <v>1013</v>
      </c>
      <c r="C171" s="586" t="s">
        <v>48</v>
      </c>
      <c r="D171" s="278">
        <v>38207</v>
      </c>
      <c r="E171" s="266" t="s">
        <v>90</v>
      </c>
      <c r="F171" s="276" t="s">
        <v>1455</v>
      </c>
      <c r="G171" s="276" t="str">
        <f t="shared" si="19"/>
        <v>3ت ا ق2</v>
      </c>
      <c r="H171" s="241" t="s">
        <v>91</v>
      </c>
      <c r="I171" s="141"/>
      <c r="J171" s="671"/>
      <c r="K171" s="671"/>
      <c r="L171" s="203"/>
      <c r="M171" s="672"/>
      <c r="N171" s="698"/>
      <c r="O171" s="698"/>
      <c r="P171" s="698"/>
    </row>
    <row r="172" spans="1:16" s="697" customFormat="1" ht="31.5">
      <c r="A172" s="268">
        <v>61</v>
      </c>
      <c r="B172" s="586" t="s">
        <v>185</v>
      </c>
      <c r="C172" s="586" t="s">
        <v>1044</v>
      </c>
      <c r="D172" s="278">
        <v>38679</v>
      </c>
      <c r="E172" s="402" t="s">
        <v>104</v>
      </c>
      <c r="F172" s="276" t="s">
        <v>1455</v>
      </c>
      <c r="G172" s="276" t="str">
        <f t="shared" si="19"/>
        <v>3ت ا ق2</v>
      </c>
      <c r="H172" s="242" t="s">
        <v>96</v>
      </c>
      <c r="I172" s="141"/>
      <c r="J172" s="671"/>
      <c r="K172" s="671" t="s">
        <v>628</v>
      </c>
      <c r="L172" s="203"/>
      <c r="M172" s="672"/>
      <c r="N172" s="698"/>
      <c r="O172" s="698"/>
      <c r="P172" s="698"/>
    </row>
    <row r="173" spans="1:16" s="697" customFormat="1">
      <c r="A173" s="268">
        <v>62</v>
      </c>
      <c r="B173" s="586" t="s">
        <v>31</v>
      </c>
      <c r="C173" s="586" t="s">
        <v>853</v>
      </c>
      <c r="D173" s="278">
        <v>38031</v>
      </c>
      <c r="E173" s="216" t="s">
        <v>90</v>
      </c>
      <c r="F173" s="275" t="s">
        <v>0</v>
      </c>
      <c r="G173" s="276" t="str">
        <f t="shared" si="19"/>
        <v>3ع ت1</v>
      </c>
      <c r="H173" s="240" t="s">
        <v>1458</v>
      </c>
      <c r="I173" s="141"/>
      <c r="J173" s="671"/>
      <c r="K173" s="417"/>
      <c r="L173" s="203"/>
      <c r="M173" s="672"/>
      <c r="N173" s="698"/>
      <c r="O173" s="698"/>
      <c r="P173" s="698"/>
    </row>
    <row r="174" spans="1:16" s="697" customFormat="1">
      <c r="A174" s="268">
        <v>63</v>
      </c>
      <c r="B174" s="586" t="s">
        <v>872</v>
      </c>
      <c r="C174" s="586" t="s">
        <v>157</v>
      </c>
      <c r="D174" s="278">
        <v>38236</v>
      </c>
      <c r="E174" s="262" t="s">
        <v>90</v>
      </c>
      <c r="F174" s="275" t="s">
        <v>0</v>
      </c>
      <c r="G174" s="276" t="str">
        <f t="shared" si="19"/>
        <v>3ع ت1</v>
      </c>
      <c r="H174" s="240" t="s">
        <v>1458</v>
      </c>
      <c r="I174" s="141"/>
      <c r="J174" s="417"/>
      <c r="K174" s="404"/>
      <c r="L174" s="203"/>
      <c r="M174" s="672"/>
      <c r="N174" s="698"/>
      <c r="O174" s="698"/>
      <c r="P174" s="698"/>
    </row>
    <row r="175" spans="1:16" s="697" customFormat="1" ht="31.5">
      <c r="A175" s="268">
        <v>64</v>
      </c>
      <c r="B175" s="586" t="s">
        <v>959</v>
      </c>
      <c r="C175" s="586" t="s">
        <v>120</v>
      </c>
      <c r="D175" s="278">
        <v>38371</v>
      </c>
      <c r="E175" s="267" t="s">
        <v>104</v>
      </c>
      <c r="F175" s="275" t="s">
        <v>0</v>
      </c>
      <c r="G175" s="276" t="str">
        <f t="shared" si="19"/>
        <v>3ع ت1</v>
      </c>
      <c r="H175" s="240" t="s">
        <v>1458</v>
      </c>
      <c r="I175" s="141"/>
      <c r="J175" s="404"/>
      <c r="K175" s="674"/>
      <c r="L175" s="678"/>
      <c r="M175" s="679"/>
      <c r="N175" s="698"/>
      <c r="O175" s="698"/>
      <c r="P175" s="698"/>
    </row>
    <row r="176" spans="1:16" s="697" customFormat="1">
      <c r="A176" s="268">
        <v>65</v>
      </c>
      <c r="B176" s="586" t="s">
        <v>49</v>
      </c>
      <c r="C176" s="586" t="s">
        <v>30</v>
      </c>
      <c r="D176" s="278">
        <v>38035</v>
      </c>
      <c r="E176" s="247" t="s">
        <v>104</v>
      </c>
      <c r="F176" s="275" t="s">
        <v>0</v>
      </c>
      <c r="G176" s="276" t="str">
        <f t="shared" si="19"/>
        <v>3ع ت1</v>
      </c>
      <c r="H176" s="240" t="s">
        <v>1458</v>
      </c>
      <c r="I176" s="141"/>
      <c r="J176" s="674"/>
      <c r="K176" s="404"/>
      <c r="L176" s="203"/>
      <c r="M176" s="672"/>
      <c r="N176" s="698"/>
      <c r="O176" s="698"/>
      <c r="P176" s="698"/>
    </row>
    <row r="177" spans="1:16" s="697" customFormat="1">
      <c r="A177" s="268">
        <v>66</v>
      </c>
      <c r="B177" s="586" t="s">
        <v>890</v>
      </c>
      <c r="C177" s="586" t="s">
        <v>175</v>
      </c>
      <c r="D177" s="278">
        <v>38207</v>
      </c>
      <c r="E177" s="262" t="s">
        <v>891</v>
      </c>
      <c r="F177" s="275" t="s">
        <v>0</v>
      </c>
      <c r="G177" s="276" t="str">
        <f t="shared" ref="G177:G240" si="20">F177</f>
        <v>3ع ت1</v>
      </c>
      <c r="H177" s="240" t="s">
        <v>1458</v>
      </c>
      <c r="I177" s="141"/>
      <c r="J177" s="404"/>
      <c r="K177" s="404"/>
      <c r="L177" s="203"/>
      <c r="M177" s="672"/>
      <c r="N177" s="698"/>
      <c r="O177" s="698"/>
      <c r="P177" s="698"/>
    </row>
    <row r="178" spans="1:16" s="697" customFormat="1">
      <c r="A178" s="268">
        <v>67</v>
      </c>
      <c r="B178" s="586" t="s">
        <v>58</v>
      </c>
      <c r="C178" s="586" t="s">
        <v>1075</v>
      </c>
      <c r="D178" s="278">
        <v>38622</v>
      </c>
      <c r="E178" s="247" t="s">
        <v>90</v>
      </c>
      <c r="F178" s="275" t="s">
        <v>0</v>
      </c>
      <c r="G178" s="276" t="str">
        <f t="shared" si="20"/>
        <v>3ع ت1</v>
      </c>
      <c r="H178" s="240" t="s">
        <v>1458</v>
      </c>
      <c r="I178" s="141"/>
      <c r="J178" s="404"/>
      <c r="K178" s="404"/>
      <c r="L178" s="203"/>
      <c r="M178" s="672"/>
      <c r="N178" s="698"/>
      <c r="O178" s="698"/>
      <c r="P178" s="698"/>
    </row>
    <row r="179" spans="1:16" s="697" customFormat="1">
      <c r="A179" s="268">
        <v>68</v>
      </c>
      <c r="B179" s="586" t="s">
        <v>114</v>
      </c>
      <c r="C179" s="586" t="s">
        <v>537</v>
      </c>
      <c r="D179" s="278">
        <v>38368</v>
      </c>
      <c r="E179" s="407" t="s">
        <v>90</v>
      </c>
      <c r="F179" s="275" t="s">
        <v>0</v>
      </c>
      <c r="G179" s="276" t="str">
        <f t="shared" si="20"/>
        <v>3ع ت1</v>
      </c>
      <c r="H179" s="241" t="s">
        <v>91</v>
      </c>
      <c r="I179" s="141"/>
      <c r="J179" s="404"/>
      <c r="K179" s="404"/>
      <c r="L179" s="203"/>
      <c r="M179" s="672"/>
      <c r="N179" s="698"/>
      <c r="O179" s="698"/>
      <c r="P179" s="698"/>
    </row>
    <row r="180" spans="1:16" s="697" customFormat="1" ht="31.5">
      <c r="A180" s="268">
        <v>69</v>
      </c>
      <c r="B180" s="586" t="s">
        <v>879</v>
      </c>
      <c r="C180" s="586" t="s">
        <v>597</v>
      </c>
      <c r="D180" s="278">
        <v>38402</v>
      </c>
      <c r="E180" s="216" t="s">
        <v>90</v>
      </c>
      <c r="F180" s="275" t="s">
        <v>0</v>
      </c>
      <c r="G180" s="276" t="str">
        <f t="shared" si="20"/>
        <v>3ع ت1</v>
      </c>
      <c r="H180" s="242" t="s">
        <v>96</v>
      </c>
      <c r="I180" s="141"/>
      <c r="J180" s="404"/>
      <c r="K180" s="417"/>
      <c r="L180" s="203"/>
      <c r="M180" s="672"/>
      <c r="N180" s="698"/>
      <c r="O180" s="698"/>
      <c r="P180" s="698"/>
    </row>
    <row r="181" spans="1:16" s="697" customFormat="1">
      <c r="A181" s="268">
        <v>70</v>
      </c>
      <c r="B181" s="586" t="s">
        <v>962</v>
      </c>
      <c r="C181" s="586" t="s">
        <v>27</v>
      </c>
      <c r="D181" s="278">
        <v>38486</v>
      </c>
      <c r="E181" s="267" t="s">
        <v>104</v>
      </c>
      <c r="F181" s="275" t="s">
        <v>0</v>
      </c>
      <c r="G181" s="276" t="str">
        <f t="shared" si="20"/>
        <v>3ع ت1</v>
      </c>
      <c r="H181" s="241" t="s">
        <v>91</v>
      </c>
      <c r="I181" s="141"/>
      <c r="J181" s="404"/>
      <c r="K181" s="417"/>
      <c r="L181" s="203"/>
      <c r="M181" s="672"/>
      <c r="N181" s="698"/>
      <c r="O181" s="698"/>
      <c r="P181" s="698"/>
    </row>
    <row r="182" spans="1:16" s="697" customFormat="1">
      <c r="A182" s="268">
        <v>71</v>
      </c>
      <c r="B182" s="586" t="s">
        <v>783</v>
      </c>
      <c r="C182" s="586" t="s">
        <v>522</v>
      </c>
      <c r="D182" s="278">
        <v>38537</v>
      </c>
      <c r="E182" s="247" t="s">
        <v>90</v>
      </c>
      <c r="F182" s="275" t="s">
        <v>0</v>
      </c>
      <c r="G182" s="276" t="str">
        <f t="shared" si="20"/>
        <v>3ع ت1</v>
      </c>
      <c r="H182" s="242" t="s">
        <v>96</v>
      </c>
      <c r="I182" s="141"/>
      <c r="J182" s="404"/>
      <c r="K182" s="417"/>
      <c r="L182" s="700"/>
      <c r="M182" s="701"/>
      <c r="N182" s="698"/>
      <c r="O182" s="698"/>
      <c r="P182" s="698"/>
    </row>
    <row r="183" spans="1:16" s="697" customFormat="1" ht="31.5">
      <c r="A183" s="268">
        <v>72</v>
      </c>
      <c r="B183" s="586" t="s">
        <v>168</v>
      </c>
      <c r="C183" s="586" t="s">
        <v>964</v>
      </c>
      <c r="D183" s="278">
        <v>38359</v>
      </c>
      <c r="E183" s="588" t="s">
        <v>104</v>
      </c>
      <c r="F183" s="275" t="s">
        <v>0</v>
      </c>
      <c r="G183" s="276" t="str">
        <f t="shared" si="20"/>
        <v>3ع ت1</v>
      </c>
      <c r="H183" s="242" t="s">
        <v>96</v>
      </c>
      <c r="I183" s="141"/>
      <c r="J183" s="417"/>
      <c r="K183" s="404"/>
      <c r="L183" s="700"/>
      <c r="M183" s="701"/>
      <c r="N183" s="698"/>
      <c r="O183" s="698"/>
      <c r="P183" s="698"/>
    </row>
    <row r="184" spans="1:16" s="697" customFormat="1">
      <c r="A184" s="268">
        <v>73</v>
      </c>
      <c r="B184" s="586" t="s">
        <v>965</v>
      </c>
      <c r="C184" s="586" t="s">
        <v>884</v>
      </c>
      <c r="D184" s="278">
        <v>38424</v>
      </c>
      <c r="E184" s="742" t="s">
        <v>90</v>
      </c>
      <c r="F184" s="275" t="s">
        <v>0</v>
      </c>
      <c r="G184" s="276" t="str">
        <f t="shared" si="20"/>
        <v>3ع ت1</v>
      </c>
      <c r="H184" s="241" t="s">
        <v>91</v>
      </c>
      <c r="I184" s="141"/>
      <c r="J184" s="417"/>
      <c r="K184" s="417"/>
      <c r="L184" s="203"/>
      <c r="M184" s="672"/>
      <c r="N184" s="698"/>
      <c r="O184" s="698"/>
      <c r="P184" s="698"/>
    </row>
    <row r="185" spans="1:16" s="697" customFormat="1">
      <c r="A185" s="268">
        <v>74</v>
      </c>
      <c r="B185" s="586" t="s">
        <v>1084</v>
      </c>
      <c r="C185" s="586" t="s">
        <v>1085</v>
      </c>
      <c r="D185" s="278">
        <v>38644</v>
      </c>
      <c r="E185" s="266" t="s">
        <v>90</v>
      </c>
      <c r="F185" s="275" t="s">
        <v>0</v>
      </c>
      <c r="G185" s="276" t="str">
        <f t="shared" si="20"/>
        <v>3ع ت1</v>
      </c>
      <c r="H185" s="241" t="s">
        <v>91</v>
      </c>
      <c r="I185" s="141"/>
      <c r="J185" s="417"/>
      <c r="K185" s="417"/>
      <c r="L185" s="203"/>
      <c r="M185" s="672"/>
      <c r="N185" s="698"/>
      <c r="O185" s="698"/>
      <c r="P185" s="698"/>
    </row>
    <row r="186" spans="1:16" s="697" customFormat="1">
      <c r="A186" s="268">
        <v>75</v>
      </c>
      <c r="B186" s="586" t="s">
        <v>1050</v>
      </c>
      <c r="C186" s="586" t="s">
        <v>1051</v>
      </c>
      <c r="D186" s="278">
        <v>38596</v>
      </c>
      <c r="E186" s="266" t="s">
        <v>104</v>
      </c>
      <c r="F186" s="275" t="s">
        <v>0</v>
      </c>
      <c r="G186" s="276" t="str">
        <f t="shared" si="20"/>
        <v>3ع ت1</v>
      </c>
      <c r="H186" s="242" t="s">
        <v>96</v>
      </c>
      <c r="I186" s="141"/>
      <c r="J186" s="417"/>
      <c r="K186" s="417"/>
      <c r="L186" s="203"/>
      <c r="M186" s="672"/>
      <c r="N186" s="698"/>
      <c r="O186" s="698"/>
      <c r="P186" s="698"/>
    </row>
    <row r="187" spans="1:16" s="697" customFormat="1">
      <c r="A187" s="268">
        <v>76</v>
      </c>
      <c r="B187" s="586" t="s">
        <v>171</v>
      </c>
      <c r="C187" s="586" t="s">
        <v>189</v>
      </c>
      <c r="D187" s="278">
        <v>38165</v>
      </c>
      <c r="E187" s="247" t="s">
        <v>90</v>
      </c>
      <c r="F187" s="275" t="s">
        <v>0</v>
      </c>
      <c r="G187" s="276" t="str">
        <f t="shared" si="20"/>
        <v>3ع ت1</v>
      </c>
      <c r="H187" s="242" t="s">
        <v>96</v>
      </c>
      <c r="I187" s="141"/>
      <c r="J187" s="417"/>
      <c r="K187" s="417"/>
      <c r="L187" s="203"/>
      <c r="M187" s="672"/>
      <c r="N187" s="698"/>
      <c r="O187" s="698"/>
      <c r="P187" s="698"/>
    </row>
    <row r="188" spans="1:16" s="697" customFormat="1" ht="31.5">
      <c r="A188" s="268">
        <v>77</v>
      </c>
      <c r="B188" s="586" t="s">
        <v>968</v>
      </c>
      <c r="C188" s="586" t="s">
        <v>969</v>
      </c>
      <c r="D188" s="278">
        <v>38498</v>
      </c>
      <c r="E188" s="266" t="s">
        <v>104</v>
      </c>
      <c r="F188" s="275" t="s">
        <v>0</v>
      </c>
      <c r="G188" s="276" t="str">
        <f t="shared" si="20"/>
        <v>3ع ت1</v>
      </c>
      <c r="H188" s="242" t="s">
        <v>96</v>
      </c>
      <c r="I188" s="141"/>
      <c r="J188" s="417"/>
      <c r="K188" s="404"/>
      <c r="L188" s="203"/>
      <c r="M188" s="672"/>
      <c r="N188" s="698"/>
      <c r="O188" s="698"/>
      <c r="P188" s="698"/>
    </row>
    <row r="189" spans="1:16" s="697" customFormat="1">
      <c r="A189" s="268">
        <v>78</v>
      </c>
      <c r="B189" s="586" t="s">
        <v>162</v>
      </c>
      <c r="C189" s="586" t="s">
        <v>1034</v>
      </c>
      <c r="D189" s="278">
        <v>38317</v>
      </c>
      <c r="E189" s="408" t="s">
        <v>90</v>
      </c>
      <c r="F189" s="275" t="s">
        <v>0</v>
      </c>
      <c r="G189" s="276" t="str">
        <f t="shared" si="20"/>
        <v>3ع ت1</v>
      </c>
      <c r="H189" s="241" t="s">
        <v>91</v>
      </c>
      <c r="I189" s="141"/>
      <c r="J189" s="404"/>
      <c r="K189" s="417"/>
      <c r="L189" s="681"/>
      <c r="M189" s="682"/>
      <c r="N189" s="698"/>
      <c r="O189" s="698"/>
      <c r="P189" s="698"/>
    </row>
    <row r="190" spans="1:16" s="697" customFormat="1" ht="47.25">
      <c r="A190" s="268">
        <v>79</v>
      </c>
      <c r="B190" s="586" t="s">
        <v>526</v>
      </c>
      <c r="C190" s="586" t="s">
        <v>1035</v>
      </c>
      <c r="D190" s="278">
        <v>38601</v>
      </c>
      <c r="E190" s="262" t="s">
        <v>104</v>
      </c>
      <c r="F190" s="275" t="s">
        <v>0</v>
      </c>
      <c r="G190" s="276" t="str">
        <f t="shared" si="20"/>
        <v>3ع ت1</v>
      </c>
      <c r="H190" s="241" t="s">
        <v>91</v>
      </c>
      <c r="I190" s="141"/>
      <c r="J190" s="417"/>
      <c r="K190" s="417"/>
      <c r="L190" s="681"/>
      <c r="M190" s="682"/>
      <c r="N190" s="698"/>
      <c r="O190" s="698"/>
      <c r="P190" s="698"/>
    </row>
    <row r="191" spans="1:16" s="697" customFormat="1">
      <c r="A191" s="268">
        <v>80</v>
      </c>
      <c r="B191" s="586" t="s">
        <v>975</v>
      </c>
      <c r="C191" s="586" t="s">
        <v>139</v>
      </c>
      <c r="D191" s="278">
        <v>38524</v>
      </c>
      <c r="E191" s="263" t="s">
        <v>90</v>
      </c>
      <c r="F191" s="275" t="s">
        <v>0</v>
      </c>
      <c r="G191" s="276" t="str">
        <f t="shared" si="20"/>
        <v>3ع ت1</v>
      </c>
      <c r="H191" s="241" t="s">
        <v>91</v>
      </c>
      <c r="I191" s="141"/>
      <c r="J191" s="417"/>
      <c r="K191" s="417"/>
      <c r="L191" s="681"/>
      <c r="M191" s="682"/>
      <c r="N191" s="698"/>
      <c r="O191" s="698"/>
      <c r="P191" s="698"/>
    </row>
    <row r="192" spans="1:16" s="697" customFormat="1" ht="31.5">
      <c r="A192" s="268">
        <v>81</v>
      </c>
      <c r="B192" s="586" t="s">
        <v>179</v>
      </c>
      <c r="C192" s="586" t="s">
        <v>976</v>
      </c>
      <c r="D192" s="278">
        <v>38826</v>
      </c>
      <c r="E192" s="262" t="s">
        <v>90</v>
      </c>
      <c r="F192" s="275" t="s">
        <v>0</v>
      </c>
      <c r="G192" s="276" t="str">
        <f t="shared" si="20"/>
        <v>3ع ت1</v>
      </c>
      <c r="H192" s="241" t="s">
        <v>91</v>
      </c>
      <c r="I192" s="141"/>
      <c r="J192" s="417"/>
      <c r="K192" s="404"/>
      <c r="L192" s="678"/>
      <c r="M192" s="679"/>
      <c r="N192" s="698"/>
      <c r="O192" s="698"/>
      <c r="P192" s="698"/>
    </row>
    <row r="193" spans="1:16" s="697" customFormat="1">
      <c r="A193" s="268">
        <v>82</v>
      </c>
      <c r="B193" s="586" t="s">
        <v>1008</v>
      </c>
      <c r="C193" s="586" t="s">
        <v>139</v>
      </c>
      <c r="D193" s="278">
        <v>38541</v>
      </c>
      <c r="E193" s="262" t="s">
        <v>104</v>
      </c>
      <c r="F193" s="275" t="s">
        <v>0</v>
      </c>
      <c r="G193" s="276" t="str">
        <f t="shared" si="20"/>
        <v>3ع ت1</v>
      </c>
      <c r="H193" s="241" t="s">
        <v>91</v>
      </c>
      <c r="I193" s="141"/>
      <c r="J193" s="417"/>
      <c r="K193" s="417"/>
      <c r="L193" s="681"/>
      <c r="M193" s="682"/>
      <c r="N193" s="698"/>
      <c r="O193" s="698"/>
      <c r="P193" s="698"/>
    </row>
    <row r="194" spans="1:16" s="697" customFormat="1" ht="31.5">
      <c r="A194" s="268">
        <v>83</v>
      </c>
      <c r="B194" s="586" t="s">
        <v>1063</v>
      </c>
      <c r="C194" s="586" t="s">
        <v>1064</v>
      </c>
      <c r="D194" s="278">
        <v>38456</v>
      </c>
      <c r="E194" s="266" t="s">
        <v>1184</v>
      </c>
      <c r="F194" s="275" t="s">
        <v>0</v>
      </c>
      <c r="G194" s="276" t="str">
        <f t="shared" si="20"/>
        <v>3ع ت1</v>
      </c>
      <c r="H194" s="241" t="s">
        <v>91</v>
      </c>
      <c r="I194" s="141"/>
      <c r="J194" s="404"/>
      <c r="K194" s="417"/>
      <c r="L194" s="681"/>
      <c r="M194" s="682"/>
      <c r="N194" s="698"/>
      <c r="O194" s="698"/>
      <c r="P194" s="698"/>
    </row>
    <row r="195" spans="1:16" s="697" customFormat="1">
      <c r="A195" s="268">
        <v>84</v>
      </c>
      <c r="B195" s="586" t="s">
        <v>180</v>
      </c>
      <c r="C195" s="586" t="s">
        <v>118</v>
      </c>
      <c r="D195" s="278">
        <v>38732</v>
      </c>
      <c r="E195" s="258" t="s">
        <v>90</v>
      </c>
      <c r="F195" s="275" t="s">
        <v>0</v>
      </c>
      <c r="G195" s="276" t="str">
        <f t="shared" si="20"/>
        <v>3ع ت1</v>
      </c>
      <c r="H195" s="242" t="s">
        <v>96</v>
      </c>
      <c r="I195" s="141"/>
      <c r="J195" s="417"/>
      <c r="K195" s="676"/>
      <c r="L195" s="681"/>
      <c r="M195" s="682"/>
      <c r="N195" s="698"/>
      <c r="O195" s="698"/>
      <c r="P195" s="698"/>
    </row>
    <row r="196" spans="1:16" s="697" customFormat="1" ht="31.5">
      <c r="A196" s="268">
        <v>85</v>
      </c>
      <c r="B196" s="586" t="s">
        <v>1040</v>
      </c>
      <c r="C196" s="586" t="s">
        <v>1069</v>
      </c>
      <c r="D196" s="278">
        <v>38545</v>
      </c>
      <c r="E196" s="262" t="s">
        <v>104</v>
      </c>
      <c r="F196" s="275" t="s">
        <v>0</v>
      </c>
      <c r="G196" s="276" t="str">
        <f t="shared" si="20"/>
        <v>3ع ت1</v>
      </c>
      <c r="H196" s="242" t="s">
        <v>96</v>
      </c>
      <c r="I196" s="141"/>
      <c r="J196" s="417"/>
      <c r="K196" s="404"/>
      <c r="L196" s="678"/>
      <c r="M196" s="679"/>
      <c r="N196" s="698"/>
      <c r="O196" s="698"/>
      <c r="P196" s="698"/>
    </row>
    <row r="197" spans="1:16" s="697" customFormat="1">
      <c r="A197" s="268">
        <v>86</v>
      </c>
      <c r="B197" s="586" t="s">
        <v>1040</v>
      </c>
      <c r="C197" s="586" t="s">
        <v>33</v>
      </c>
      <c r="D197" s="278">
        <v>38545</v>
      </c>
      <c r="E197" s="262" t="s">
        <v>104</v>
      </c>
      <c r="F197" s="275" t="s">
        <v>0</v>
      </c>
      <c r="G197" s="276" t="str">
        <f t="shared" si="20"/>
        <v>3ع ت1</v>
      </c>
      <c r="H197" s="241" t="s">
        <v>91</v>
      </c>
      <c r="I197" s="141"/>
      <c r="J197" s="417"/>
      <c r="K197" s="404"/>
      <c r="L197" s="681"/>
      <c r="M197" s="682"/>
      <c r="N197" s="698"/>
      <c r="O197" s="698"/>
      <c r="P197" s="698"/>
    </row>
    <row r="198" spans="1:16" s="697" customFormat="1" ht="31.5">
      <c r="A198" s="268">
        <v>87</v>
      </c>
      <c r="B198" s="586" t="s">
        <v>75</v>
      </c>
      <c r="C198" s="586" t="s">
        <v>981</v>
      </c>
      <c r="D198" s="278">
        <v>38465</v>
      </c>
      <c r="E198" s="262" t="s">
        <v>1180</v>
      </c>
      <c r="F198" s="275" t="s">
        <v>0</v>
      </c>
      <c r="G198" s="276" t="str">
        <f t="shared" si="20"/>
        <v>3ع ت1</v>
      </c>
      <c r="H198" s="241" t="s">
        <v>91</v>
      </c>
      <c r="I198" s="141"/>
      <c r="J198" s="676"/>
      <c r="K198" s="404"/>
      <c r="L198" s="678"/>
      <c r="M198" s="679"/>
      <c r="N198" s="698"/>
      <c r="O198" s="698"/>
      <c r="P198" s="698"/>
    </row>
    <row r="199" spans="1:16" s="697" customFormat="1">
      <c r="A199" s="268">
        <v>88</v>
      </c>
      <c r="B199" s="586" t="s">
        <v>147</v>
      </c>
      <c r="C199" s="586" t="s">
        <v>1094</v>
      </c>
      <c r="D199" s="278">
        <v>38424</v>
      </c>
      <c r="E199" s="262" t="s">
        <v>104</v>
      </c>
      <c r="F199" s="275" t="s">
        <v>0</v>
      </c>
      <c r="G199" s="276" t="str">
        <f t="shared" si="20"/>
        <v>3ع ت1</v>
      </c>
      <c r="H199" s="241" t="s">
        <v>91</v>
      </c>
      <c r="I199" s="141"/>
      <c r="J199" s="404"/>
      <c r="K199" s="671" t="s">
        <v>628</v>
      </c>
      <c r="L199" s="681"/>
      <c r="M199" s="682"/>
      <c r="N199" s="698"/>
      <c r="O199" s="698"/>
      <c r="P199" s="698"/>
    </row>
    <row r="200" spans="1:16" s="697" customFormat="1" ht="31.5">
      <c r="A200" s="268">
        <v>89</v>
      </c>
      <c r="B200" s="586" t="s">
        <v>184</v>
      </c>
      <c r="C200" s="586" t="s">
        <v>1072</v>
      </c>
      <c r="D200" s="278">
        <v>38737</v>
      </c>
      <c r="E200" s="262" t="s">
        <v>90</v>
      </c>
      <c r="F200" s="275" t="s">
        <v>0</v>
      </c>
      <c r="G200" s="276" t="str">
        <f t="shared" si="20"/>
        <v>3ع ت1</v>
      </c>
      <c r="H200" s="242" t="s">
        <v>96</v>
      </c>
      <c r="I200" s="141"/>
      <c r="J200" s="404"/>
      <c r="K200" s="671" t="s">
        <v>628</v>
      </c>
      <c r="L200" s="681"/>
      <c r="M200" s="682"/>
      <c r="N200" s="698"/>
      <c r="O200" s="698"/>
      <c r="P200" s="698"/>
    </row>
    <row r="201" spans="1:16" s="697" customFormat="1">
      <c r="A201" s="268">
        <v>90</v>
      </c>
      <c r="B201" s="586" t="s">
        <v>889</v>
      </c>
      <c r="C201" s="586" t="s">
        <v>69</v>
      </c>
      <c r="D201" s="278">
        <v>38548</v>
      </c>
      <c r="E201" s="216" t="s">
        <v>90</v>
      </c>
      <c r="F201" s="275" t="s">
        <v>0</v>
      </c>
      <c r="G201" s="276" t="str">
        <f t="shared" si="20"/>
        <v>3ع ت1</v>
      </c>
      <c r="H201" s="241" t="s">
        <v>91</v>
      </c>
      <c r="I201" s="141"/>
      <c r="J201" s="417"/>
      <c r="K201" s="671" t="s">
        <v>628</v>
      </c>
      <c r="L201" s="678"/>
      <c r="M201" s="679"/>
      <c r="N201" s="698"/>
      <c r="O201" s="698"/>
      <c r="P201" s="698"/>
    </row>
    <row r="202" spans="1:16" s="697" customFormat="1" ht="31.5">
      <c r="A202" s="268">
        <v>91</v>
      </c>
      <c r="B202" s="586" t="s">
        <v>1042</v>
      </c>
      <c r="C202" s="586" t="s">
        <v>1043</v>
      </c>
      <c r="D202" s="278">
        <v>38550</v>
      </c>
      <c r="E202" s="262" t="s">
        <v>104</v>
      </c>
      <c r="F202" s="275" t="s">
        <v>0</v>
      </c>
      <c r="G202" s="276" t="str">
        <f t="shared" si="20"/>
        <v>3ع ت1</v>
      </c>
      <c r="H202" s="241" t="s">
        <v>91</v>
      </c>
      <c r="I202" s="141"/>
      <c r="J202" s="671"/>
      <c r="K202" s="671" t="s">
        <v>628</v>
      </c>
      <c r="L202" s="681"/>
      <c r="M202" s="682"/>
      <c r="N202" s="698"/>
      <c r="O202" s="698"/>
      <c r="P202" s="698"/>
    </row>
    <row r="203" spans="1:16" s="697" customFormat="1" ht="31.5">
      <c r="A203" s="268">
        <v>92</v>
      </c>
      <c r="B203" s="586" t="s">
        <v>1016</v>
      </c>
      <c r="C203" s="586" t="s">
        <v>120</v>
      </c>
      <c r="D203" s="278">
        <v>38747</v>
      </c>
      <c r="E203" s="402" t="s">
        <v>90</v>
      </c>
      <c r="F203" s="275" t="s">
        <v>0</v>
      </c>
      <c r="G203" s="276" t="str">
        <f t="shared" si="20"/>
        <v>3ع ت1</v>
      </c>
      <c r="H203" s="241" t="s">
        <v>91</v>
      </c>
      <c r="I203" s="141"/>
      <c r="J203" s="671"/>
      <c r="K203" s="671"/>
      <c r="L203" s="681"/>
      <c r="M203" s="682"/>
      <c r="N203" s="698"/>
      <c r="O203" s="698"/>
      <c r="P203" s="698"/>
    </row>
    <row r="204" spans="1:16" s="697" customFormat="1" ht="31.5">
      <c r="A204" s="268">
        <v>93</v>
      </c>
      <c r="B204" s="586" t="s">
        <v>984</v>
      </c>
      <c r="C204" s="586" t="s">
        <v>985</v>
      </c>
      <c r="D204" s="278">
        <v>38507</v>
      </c>
      <c r="E204" s="743" t="s">
        <v>104</v>
      </c>
      <c r="F204" s="275" t="s">
        <v>0</v>
      </c>
      <c r="G204" s="276" t="str">
        <f t="shared" si="20"/>
        <v>3ع ت1</v>
      </c>
      <c r="H204" s="242" t="s">
        <v>96</v>
      </c>
      <c r="I204" s="141"/>
      <c r="J204" s="671"/>
      <c r="K204" s="417"/>
      <c r="L204" s="678"/>
      <c r="M204" s="679"/>
      <c r="N204" s="698"/>
      <c r="O204" s="698"/>
      <c r="P204" s="698"/>
    </row>
    <row r="205" spans="1:16" s="697" customFormat="1" ht="31.5">
      <c r="A205" s="268">
        <v>94</v>
      </c>
      <c r="B205" s="586" t="s">
        <v>156</v>
      </c>
      <c r="C205" s="586" t="s">
        <v>1045</v>
      </c>
      <c r="D205" s="278">
        <v>38628</v>
      </c>
      <c r="E205" s="262" t="s">
        <v>90</v>
      </c>
      <c r="F205" s="275" t="s">
        <v>0</v>
      </c>
      <c r="G205" s="276" t="str">
        <f t="shared" si="20"/>
        <v>3ع ت1</v>
      </c>
      <c r="H205" s="242" t="s">
        <v>96</v>
      </c>
      <c r="I205" s="141"/>
      <c r="J205" s="671"/>
      <c r="K205" s="404"/>
      <c r="L205" s="678"/>
      <c r="M205" s="679"/>
      <c r="N205" s="698"/>
      <c r="O205" s="698"/>
      <c r="P205" s="698"/>
    </row>
    <row r="206" spans="1:16" s="697" customFormat="1" ht="31.5">
      <c r="A206" s="268">
        <v>95</v>
      </c>
      <c r="B206" s="586" t="s">
        <v>158</v>
      </c>
      <c r="C206" s="586" t="s">
        <v>986</v>
      </c>
      <c r="D206" s="278">
        <v>38517</v>
      </c>
      <c r="E206" s="247" t="s">
        <v>90</v>
      </c>
      <c r="F206" s="275" t="s">
        <v>0</v>
      </c>
      <c r="G206" s="276" t="str">
        <f t="shared" si="20"/>
        <v>3ع ت1</v>
      </c>
      <c r="H206" s="241" t="s">
        <v>91</v>
      </c>
      <c r="I206" s="141"/>
      <c r="J206" s="671"/>
      <c r="K206" s="417"/>
      <c r="L206" s="700"/>
      <c r="M206" s="701"/>
      <c r="N206" s="698"/>
      <c r="O206" s="698"/>
      <c r="P206" s="698"/>
    </row>
    <row r="207" spans="1:16" s="697" customFormat="1">
      <c r="A207" s="268">
        <v>96</v>
      </c>
      <c r="B207" s="586" t="s">
        <v>600</v>
      </c>
      <c r="C207" s="586" t="s">
        <v>958</v>
      </c>
      <c r="D207" s="278">
        <v>38618</v>
      </c>
      <c r="E207" s="248" t="s">
        <v>90</v>
      </c>
      <c r="F207" s="275" t="s">
        <v>1</v>
      </c>
      <c r="G207" s="276" t="str">
        <f t="shared" si="20"/>
        <v>3ع ت2</v>
      </c>
      <c r="H207" s="240" t="s">
        <v>1458</v>
      </c>
      <c r="I207" s="141"/>
      <c r="J207" s="417"/>
      <c r="K207" s="404"/>
      <c r="L207" s="700"/>
      <c r="M207" s="701"/>
      <c r="N207" s="698"/>
      <c r="O207" s="698"/>
      <c r="P207" s="698"/>
    </row>
    <row r="208" spans="1:16" s="697" customFormat="1">
      <c r="A208" s="268">
        <v>97</v>
      </c>
      <c r="B208" s="586" t="s">
        <v>531</v>
      </c>
      <c r="C208" s="586" t="s">
        <v>174</v>
      </c>
      <c r="D208" s="278">
        <v>38498</v>
      </c>
      <c r="E208" s="248" t="s">
        <v>109</v>
      </c>
      <c r="F208" s="275" t="s">
        <v>1</v>
      </c>
      <c r="G208" s="276" t="str">
        <f t="shared" si="20"/>
        <v>3ع ت2</v>
      </c>
      <c r="H208" s="240" t="s">
        <v>1458</v>
      </c>
      <c r="I208" s="141"/>
      <c r="J208" s="404"/>
      <c r="K208" s="417"/>
      <c r="L208" s="700"/>
      <c r="M208" s="701"/>
      <c r="N208" s="698"/>
      <c r="O208" s="698"/>
      <c r="P208" s="698"/>
    </row>
    <row r="209" spans="1:21" s="697" customFormat="1">
      <c r="A209" s="268">
        <v>98</v>
      </c>
      <c r="B209" s="586" t="s">
        <v>49</v>
      </c>
      <c r="C209" s="586" t="s">
        <v>960</v>
      </c>
      <c r="D209" s="278">
        <v>38134</v>
      </c>
      <c r="E209" s="247" t="s">
        <v>90</v>
      </c>
      <c r="F209" s="275" t="s">
        <v>1</v>
      </c>
      <c r="G209" s="276" t="str">
        <f t="shared" si="20"/>
        <v>3ع ت2</v>
      </c>
      <c r="H209" s="240" t="s">
        <v>1458</v>
      </c>
      <c r="I209" s="141"/>
      <c r="J209" s="417"/>
      <c r="K209" s="417"/>
      <c r="L209" s="678"/>
      <c r="M209" s="679"/>
      <c r="N209" s="698"/>
      <c r="O209" s="698"/>
      <c r="P209" s="698"/>
    </row>
    <row r="210" spans="1:21" s="697" customFormat="1">
      <c r="A210" s="268">
        <v>99</v>
      </c>
      <c r="B210" s="586" t="s">
        <v>875</v>
      </c>
      <c r="C210" s="586" t="s">
        <v>117</v>
      </c>
      <c r="D210" s="278">
        <v>38131</v>
      </c>
      <c r="E210" s="262" t="s">
        <v>104</v>
      </c>
      <c r="F210" s="275" t="s">
        <v>1</v>
      </c>
      <c r="G210" s="276" t="str">
        <f t="shared" si="20"/>
        <v>3ع ت2</v>
      </c>
      <c r="H210" s="240" t="s">
        <v>1458</v>
      </c>
      <c r="I210" s="141"/>
      <c r="J210" s="404"/>
      <c r="K210" s="417"/>
      <c r="L210" s="678"/>
      <c r="M210" s="679"/>
      <c r="N210" s="698"/>
      <c r="O210" s="698"/>
      <c r="P210" s="698"/>
    </row>
    <row r="211" spans="1:21" s="697" customFormat="1">
      <c r="A211" s="268">
        <v>100</v>
      </c>
      <c r="B211" s="586" t="s">
        <v>58</v>
      </c>
      <c r="C211" s="586" t="s">
        <v>47</v>
      </c>
      <c r="D211" s="278">
        <v>38625</v>
      </c>
      <c r="E211" s="247" t="s">
        <v>90</v>
      </c>
      <c r="F211" s="275" t="s">
        <v>1</v>
      </c>
      <c r="G211" s="276" t="str">
        <f t="shared" si="20"/>
        <v>3ع ت2</v>
      </c>
      <c r="H211" s="240" t="s">
        <v>1458</v>
      </c>
      <c r="I211" s="141"/>
      <c r="J211" s="417"/>
      <c r="K211" s="417"/>
      <c r="L211" s="681"/>
      <c r="M211" s="682"/>
      <c r="N211" s="698"/>
      <c r="O211" s="698"/>
      <c r="P211" s="698"/>
    </row>
    <row r="212" spans="1:21" s="697" customFormat="1">
      <c r="A212" s="268">
        <v>101</v>
      </c>
      <c r="B212" s="586" t="s">
        <v>1016</v>
      </c>
      <c r="C212" s="586" t="s">
        <v>77</v>
      </c>
      <c r="D212" s="278">
        <v>38740</v>
      </c>
      <c r="E212" s="402" t="s">
        <v>90</v>
      </c>
      <c r="F212" s="275" t="s">
        <v>1</v>
      </c>
      <c r="G212" s="276" t="str">
        <f t="shared" si="20"/>
        <v>3ع ت2</v>
      </c>
      <c r="H212" s="240" t="s">
        <v>1459</v>
      </c>
      <c r="I212" s="141"/>
      <c r="J212" s="417"/>
      <c r="K212" s="417"/>
      <c r="L212" s="681"/>
      <c r="M212" s="682"/>
      <c r="N212" s="698"/>
      <c r="O212" s="698"/>
      <c r="P212" s="698"/>
    </row>
    <row r="213" spans="1:21" s="697" customFormat="1" ht="31.5">
      <c r="A213" s="268">
        <v>102</v>
      </c>
      <c r="B213" s="586" t="s">
        <v>893</v>
      </c>
      <c r="C213" s="586" t="s">
        <v>894</v>
      </c>
      <c r="D213" s="278">
        <v>38282</v>
      </c>
      <c r="E213" s="266" t="s">
        <v>104</v>
      </c>
      <c r="F213" s="275" t="s">
        <v>1</v>
      </c>
      <c r="G213" s="276" t="str">
        <f t="shared" si="20"/>
        <v>3ع ت2</v>
      </c>
      <c r="H213" s="242" t="s">
        <v>96</v>
      </c>
      <c r="I213" s="141"/>
      <c r="J213" s="417"/>
      <c r="K213" s="404"/>
      <c r="L213" s="700"/>
      <c r="M213" s="701"/>
      <c r="N213" s="698"/>
      <c r="O213" s="698"/>
      <c r="P213" s="698"/>
    </row>
    <row r="214" spans="1:21" s="697" customFormat="1">
      <c r="A214" s="268">
        <v>103</v>
      </c>
      <c r="B214" s="586" t="s">
        <v>1027</v>
      </c>
      <c r="C214" s="586" t="s">
        <v>94</v>
      </c>
      <c r="D214" s="278">
        <v>38562</v>
      </c>
      <c r="E214" s="247" t="s">
        <v>90</v>
      </c>
      <c r="F214" s="275" t="s">
        <v>1</v>
      </c>
      <c r="G214" s="276" t="str">
        <f t="shared" si="20"/>
        <v>3ع ت2</v>
      </c>
      <c r="H214" s="242" t="s">
        <v>96</v>
      </c>
      <c r="I214" s="141"/>
      <c r="J214" s="404"/>
      <c r="K214" s="404"/>
      <c r="L214" s="700"/>
      <c r="M214" s="701"/>
      <c r="N214" s="698"/>
      <c r="O214" s="698"/>
      <c r="P214" s="698"/>
    </row>
    <row r="215" spans="1:21" s="697" customFormat="1" ht="31.5">
      <c r="A215" s="268">
        <v>104</v>
      </c>
      <c r="B215" s="586" t="s">
        <v>45</v>
      </c>
      <c r="C215" s="586" t="s">
        <v>857</v>
      </c>
      <c r="D215" s="278">
        <v>38416</v>
      </c>
      <c r="E215" s="216" t="s">
        <v>90</v>
      </c>
      <c r="F215" s="275" t="s">
        <v>1</v>
      </c>
      <c r="G215" s="276" t="str">
        <f t="shared" si="20"/>
        <v>3ع ت2</v>
      </c>
      <c r="H215" s="242" t="s">
        <v>96</v>
      </c>
      <c r="I215" s="141"/>
      <c r="J215" s="417"/>
      <c r="K215" s="404"/>
      <c r="L215" s="678"/>
      <c r="M215" s="679"/>
      <c r="N215" s="698"/>
      <c r="O215" s="698"/>
      <c r="P215" s="698"/>
    </row>
    <row r="216" spans="1:21" s="697" customFormat="1" ht="20.25">
      <c r="A216" s="268">
        <v>105</v>
      </c>
      <c r="B216" s="586" t="s">
        <v>533</v>
      </c>
      <c r="C216" s="586" t="s">
        <v>914</v>
      </c>
      <c r="D216" s="278">
        <v>38358</v>
      </c>
      <c r="E216" s="263" t="s">
        <v>90</v>
      </c>
      <c r="F216" s="275" t="s">
        <v>1</v>
      </c>
      <c r="G216" s="276" t="str">
        <f t="shared" si="20"/>
        <v>3ع ت2</v>
      </c>
      <c r="H216" s="242" t="s">
        <v>96</v>
      </c>
      <c r="I216" s="141"/>
      <c r="J216" s="417"/>
      <c r="K216" s="404"/>
      <c r="L216" s="678"/>
      <c r="M216" s="1563" t="s">
        <v>338</v>
      </c>
      <c r="N216" s="1563"/>
      <c r="O216" s="1563"/>
      <c r="P216" s="1563"/>
      <c r="Q216" s="1563"/>
      <c r="R216" s="1563"/>
      <c r="S216" s="1563"/>
      <c r="T216" s="1563"/>
      <c r="U216" s="1563"/>
    </row>
    <row r="217" spans="1:21" s="697" customFormat="1">
      <c r="A217" s="268">
        <v>106</v>
      </c>
      <c r="B217" s="586" t="s">
        <v>182</v>
      </c>
      <c r="C217" s="586" t="s">
        <v>1049</v>
      </c>
      <c r="D217" s="278">
        <v>38630</v>
      </c>
      <c r="E217" s="587" t="s">
        <v>104</v>
      </c>
      <c r="F217" s="275" t="s">
        <v>1</v>
      </c>
      <c r="G217" s="276" t="str">
        <f t="shared" si="20"/>
        <v>3ع ت2</v>
      </c>
      <c r="H217" s="241" t="s">
        <v>91</v>
      </c>
      <c r="I217" s="141"/>
      <c r="J217" s="417"/>
      <c r="K217" s="417"/>
      <c r="L217" s="681"/>
      <c r="M217" s="682"/>
      <c r="N217" s="698"/>
      <c r="O217" s="698"/>
      <c r="P217" s="698"/>
      <c r="T217" s="156" t="s">
        <v>754</v>
      </c>
      <c r="U217" s="156" t="s">
        <v>755</v>
      </c>
    </row>
    <row r="218" spans="1:21" s="697" customFormat="1">
      <c r="A218" s="268">
        <v>107</v>
      </c>
      <c r="B218" s="586" t="s">
        <v>164</v>
      </c>
      <c r="C218" s="586" t="s">
        <v>131</v>
      </c>
      <c r="D218" s="278">
        <v>38806</v>
      </c>
      <c r="E218" s="266" t="s">
        <v>104</v>
      </c>
      <c r="F218" s="275" t="s">
        <v>1</v>
      </c>
      <c r="G218" s="276" t="str">
        <f t="shared" si="20"/>
        <v>3ع ت2</v>
      </c>
      <c r="H218" s="242" t="s">
        <v>96</v>
      </c>
      <c r="I218" s="141"/>
      <c r="J218" s="404"/>
      <c r="K218" s="417"/>
      <c r="L218" s="678"/>
      <c r="M218" s="679"/>
      <c r="N218" s="698"/>
      <c r="O218" s="698"/>
      <c r="P218" s="698"/>
      <c r="T218" s="156">
        <v>5</v>
      </c>
      <c r="U218" s="156">
        <v>6</v>
      </c>
    </row>
    <row r="219" spans="1:21" s="697" customFormat="1" ht="31.5">
      <c r="A219" s="268">
        <v>108</v>
      </c>
      <c r="B219" s="586" t="s">
        <v>93</v>
      </c>
      <c r="C219" s="586" t="s">
        <v>1081</v>
      </c>
      <c r="D219" s="278">
        <v>38470</v>
      </c>
      <c r="E219" s="262" t="s">
        <v>104</v>
      </c>
      <c r="F219" s="275" t="s">
        <v>1</v>
      </c>
      <c r="G219" s="276" t="str">
        <f t="shared" si="20"/>
        <v>3ع ت2</v>
      </c>
      <c r="H219" s="242" t="s">
        <v>96</v>
      </c>
      <c r="I219" s="141"/>
      <c r="J219" s="404"/>
      <c r="K219" s="417"/>
      <c r="L219" s="678"/>
      <c r="M219" s="679"/>
      <c r="N219" s="698"/>
      <c r="O219" s="698"/>
      <c r="P219" s="698"/>
      <c r="T219" s="141" t="s">
        <v>756</v>
      </c>
      <c r="U219" s="141" t="s">
        <v>757</v>
      </c>
    </row>
    <row r="220" spans="1:21" s="697" customFormat="1">
      <c r="A220" s="268">
        <v>109</v>
      </c>
      <c r="B220" s="586" t="s">
        <v>1029</v>
      </c>
      <c r="C220" s="586" t="s">
        <v>914</v>
      </c>
      <c r="D220" s="278">
        <v>38516</v>
      </c>
      <c r="E220" s="262" t="s">
        <v>104</v>
      </c>
      <c r="F220" s="275" t="s">
        <v>1</v>
      </c>
      <c r="G220" s="276" t="str">
        <f t="shared" si="20"/>
        <v>3ع ت2</v>
      </c>
      <c r="H220" s="242" t="s">
        <v>96</v>
      </c>
      <c r="I220" s="141"/>
      <c r="J220" s="404"/>
      <c r="K220" s="417"/>
      <c r="L220" s="681"/>
      <c r="M220" s="682"/>
      <c r="N220" s="698"/>
      <c r="O220" s="698"/>
      <c r="P220" s="698"/>
      <c r="T220" s="141" t="s">
        <v>758</v>
      </c>
      <c r="U220" s="141" t="s">
        <v>759</v>
      </c>
    </row>
    <row r="221" spans="1:21" s="697" customFormat="1" ht="31.5">
      <c r="A221" s="268">
        <v>110</v>
      </c>
      <c r="B221" s="586" t="s">
        <v>29</v>
      </c>
      <c r="C221" s="586" t="s">
        <v>673</v>
      </c>
      <c r="D221" s="278">
        <v>38400</v>
      </c>
      <c r="E221" s="262" t="s">
        <v>104</v>
      </c>
      <c r="F221" s="275" t="s">
        <v>1</v>
      </c>
      <c r="G221" s="276" t="str">
        <f t="shared" si="20"/>
        <v>3ع ت2</v>
      </c>
      <c r="H221" s="242" t="s">
        <v>96</v>
      </c>
      <c r="I221" s="141"/>
      <c r="J221" s="404"/>
      <c r="K221" s="417"/>
      <c r="L221" s="678"/>
      <c r="M221" s="679"/>
      <c r="N221" s="698"/>
      <c r="O221" s="698"/>
      <c r="P221" s="698"/>
      <c r="T221" s="141" t="s">
        <v>760</v>
      </c>
      <c r="U221" s="141" t="s">
        <v>761</v>
      </c>
    </row>
    <row r="222" spans="1:21" s="697" customFormat="1">
      <c r="A222" s="268">
        <v>111</v>
      </c>
      <c r="B222" s="586" t="s">
        <v>995</v>
      </c>
      <c r="C222" s="586" t="s">
        <v>112</v>
      </c>
      <c r="D222" s="278">
        <v>38736</v>
      </c>
      <c r="E222" s="263" t="s">
        <v>90</v>
      </c>
      <c r="F222" s="275" t="s">
        <v>1</v>
      </c>
      <c r="G222" s="276" t="str">
        <f t="shared" si="20"/>
        <v>3ع ت2</v>
      </c>
      <c r="H222" s="242" t="s">
        <v>96</v>
      </c>
      <c r="I222" s="141"/>
      <c r="J222" s="417"/>
      <c r="K222" s="417"/>
      <c r="L222" s="678"/>
      <c r="M222" s="679"/>
      <c r="N222" s="698"/>
      <c r="O222" s="698"/>
      <c r="P222" s="698"/>
      <c r="T222" s="141" t="s">
        <v>762</v>
      </c>
      <c r="U222" s="141" t="s">
        <v>763</v>
      </c>
    </row>
    <row r="223" spans="1:21" s="697" customFormat="1">
      <c r="A223" s="268">
        <v>112</v>
      </c>
      <c r="B223" s="586" t="s">
        <v>116</v>
      </c>
      <c r="C223" s="586" t="s">
        <v>77</v>
      </c>
      <c r="D223" s="278">
        <v>38176</v>
      </c>
      <c r="E223" s="247" t="s">
        <v>90</v>
      </c>
      <c r="F223" s="275" t="s">
        <v>1</v>
      </c>
      <c r="G223" s="276" t="str">
        <f t="shared" si="20"/>
        <v>3ع ت2</v>
      </c>
      <c r="H223" s="242" t="s">
        <v>96</v>
      </c>
      <c r="I223" s="141"/>
      <c r="J223" s="417"/>
      <c r="K223" s="417"/>
      <c r="L223" s="681"/>
      <c r="M223" s="682"/>
      <c r="N223" s="698"/>
      <c r="O223" s="698"/>
      <c r="P223" s="698"/>
      <c r="T223" s="141" t="s">
        <v>762</v>
      </c>
      <c r="U223" s="141" t="s">
        <v>763</v>
      </c>
    </row>
    <row r="224" spans="1:21" s="697" customFormat="1">
      <c r="A224" s="268">
        <v>113</v>
      </c>
      <c r="B224" s="586" t="s">
        <v>516</v>
      </c>
      <c r="C224" s="586" t="s">
        <v>966</v>
      </c>
      <c r="D224" s="278">
        <v>38637</v>
      </c>
      <c r="E224" s="247" t="s">
        <v>90</v>
      </c>
      <c r="F224" s="275" t="s">
        <v>1</v>
      </c>
      <c r="G224" s="276" t="str">
        <f t="shared" si="20"/>
        <v>3ع ت2</v>
      </c>
      <c r="H224" s="241" t="s">
        <v>91</v>
      </c>
      <c r="I224" s="141"/>
      <c r="J224" s="417"/>
      <c r="K224" s="675"/>
      <c r="L224" s="678"/>
      <c r="M224" s="679"/>
      <c r="N224" s="698"/>
      <c r="O224" s="698"/>
      <c r="P224" s="698"/>
      <c r="T224" s="141" t="s">
        <v>764</v>
      </c>
      <c r="U224" s="141" t="s">
        <v>765</v>
      </c>
    </row>
    <row r="225" spans="1:21" s="697" customFormat="1" ht="31.5">
      <c r="A225" s="268">
        <v>114</v>
      </c>
      <c r="B225" s="586" t="s">
        <v>170</v>
      </c>
      <c r="C225" s="586" t="s">
        <v>863</v>
      </c>
      <c r="D225" s="278">
        <v>38164</v>
      </c>
      <c r="E225" s="267" t="s">
        <v>104</v>
      </c>
      <c r="F225" s="275" t="s">
        <v>1</v>
      </c>
      <c r="G225" s="276" t="str">
        <f t="shared" si="20"/>
        <v>3ع ت2</v>
      </c>
      <c r="H225" s="242" t="s">
        <v>96</v>
      </c>
      <c r="I225" s="141"/>
      <c r="J225" s="417"/>
      <c r="K225" s="675"/>
      <c r="L225" s="678"/>
      <c r="M225" s="679"/>
      <c r="N225" s="698"/>
      <c r="O225" s="698"/>
      <c r="P225" s="698"/>
      <c r="T225" s="141" t="s">
        <v>766</v>
      </c>
      <c r="U225" s="141" t="s">
        <v>767</v>
      </c>
    </row>
    <row r="226" spans="1:21" s="697" customFormat="1" ht="31.5">
      <c r="A226" s="268">
        <v>115</v>
      </c>
      <c r="B226" s="586" t="s">
        <v>1000</v>
      </c>
      <c r="C226" s="586" t="s">
        <v>1001</v>
      </c>
      <c r="D226" s="278">
        <v>38583</v>
      </c>
      <c r="E226" s="263" t="s">
        <v>90</v>
      </c>
      <c r="F226" s="275" t="s">
        <v>1</v>
      </c>
      <c r="G226" s="276" t="str">
        <f t="shared" si="20"/>
        <v>3ع ت2</v>
      </c>
      <c r="H226" s="241" t="s">
        <v>91</v>
      </c>
      <c r="I226" s="141"/>
      <c r="J226" s="417"/>
      <c r="K226" s="417"/>
      <c r="L226" s="681">
        <v>0</v>
      </c>
      <c r="M226" s="682">
        <v>0</v>
      </c>
      <c r="N226" s="698"/>
      <c r="O226" s="698"/>
      <c r="P226" s="698"/>
    </row>
    <row r="227" spans="1:21" s="697" customFormat="1" ht="31.5">
      <c r="A227" s="268">
        <v>116</v>
      </c>
      <c r="B227" s="586" t="s">
        <v>72</v>
      </c>
      <c r="C227" s="586" t="s">
        <v>1002</v>
      </c>
      <c r="D227" s="278">
        <v>38346</v>
      </c>
      <c r="E227" s="262" t="s">
        <v>90</v>
      </c>
      <c r="F227" s="275" t="s">
        <v>1</v>
      </c>
      <c r="G227" s="276" t="str">
        <f t="shared" si="20"/>
        <v>3ع ت2</v>
      </c>
      <c r="H227" s="242" t="s">
        <v>96</v>
      </c>
      <c r="I227" s="141"/>
      <c r="J227" s="417"/>
      <c r="K227" s="417"/>
      <c r="L227" s="203"/>
      <c r="M227" s="672"/>
      <c r="N227" s="698"/>
      <c r="O227" s="698"/>
      <c r="P227" s="698"/>
    </row>
    <row r="228" spans="1:21" s="697" customFormat="1">
      <c r="A228" s="268">
        <v>117</v>
      </c>
      <c r="B228" s="586" t="s">
        <v>1059</v>
      </c>
      <c r="C228" s="586" t="s">
        <v>37</v>
      </c>
      <c r="D228" s="278">
        <v>38664</v>
      </c>
      <c r="E228" s="262" t="s">
        <v>90</v>
      </c>
      <c r="F228" s="275" t="s">
        <v>1</v>
      </c>
      <c r="G228" s="276" t="str">
        <f t="shared" si="20"/>
        <v>3ع ت2</v>
      </c>
      <c r="H228" s="241" t="s">
        <v>91</v>
      </c>
      <c r="I228" s="141"/>
      <c r="J228" s="676"/>
      <c r="K228" s="683"/>
      <c r="L228" s="203"/>
      <c r="M228" s="672"/>
      <c r="N228" s="698"/>
      <c r="O228" s="698"/>
      <c r="P228" s="698"/>
    </row>
    <row r="229" spans="1:21" s="697" customFormat="1">
      <c r="A229" s="268">
        <v>118</v>
      </c>
      <c r="B229" s="586" t="s">
        <v>167</v>
      </c>
      <c r="C229" s="586" t="s">
        <v>105</v>
      </c>
      <c r="D229" s="278">
        <v>38117</v>
      </c>
      <c r="E229" s="263" t="s">
        <v>90</v>
      </c>
      <c r="F229" s="275" t="s">
        <v>1</v>
      </c>
      <c r="G229" s="276" t="str">
        <f t="shared" si="20"/>
        <v>3ع ت2</v>
      </c>
      <c r="H229" s="242" t="s">
        <v>96</v>
      </c>
      <c r="I229" s="141"/>
      <c r="J229" s="676"/>
      <c r="K229" s="417"/>
      <c r="L229" s="203"/>
      <c r="M229" s="672"/>
      <c r="N229" s="698"/>
      <c r="O229" s="698"/>
      <c r="P229" s="698"/>
    </row>
    <row r="230" spans="1:21" s="697" customFormat="1">
      <c r="A230" s="268">
        <v>119</v>
      </c>
      <c r="B230" s="586" t="s">
        <v>14</v>
      </c>
      <c r="C230" s="586" t="s">
        <v>991</v>
      </c>
      <c r="D230" s="278">
        <v>38546</v>
      </c>
      <c r="E230" s="262" t="s">
        <v>90</v>
      </c>
      <c r="F230" s="275" t="s">
        <v>1</v>
      </c>
      <c r="G230" s="276" t="str">
        <f t="shared" si="20"/>
        <v>3ع ت2</v>
      </c>
      <c r="H230" s="242" t="s">
        <v>96</v>
      </c>
      <c r="I230" s="141"/>
      <c r="J230" s="404"/>
      <c r="K230" s="417"/>
      <c r="L230" s="203"/>
      <c r="M230" s="672"/>
      <c r="N230" s="698"/>
      <c r="O230" s="698"/>
      <c r="P230" s="698"/>
    </row>
    <row r="231" spans="1:21" s="697" customFormat="1">
      <c r="A231" s="268">
        <v>120</v>
      </c>
      <c r="B231" s="586" t="s">
        <v>1005</v>
      </c>
      <c r="C231" s="586" t="s">
        <v>1006</v>
      </c>
      <c r="D231" s="278">
        <v>38920</v>
      </c>
      <c r="E231" s="262" t="s">
        <v>90</v>
      </c>
      <c r="F231" s="275" t="s">
        <v>1</v>
      </c>
      <c r="G231" s="276" t="str">
        <f t="shared" si="20"/>
        <v>3ع ت2</v>
      </c>
      <c r="H231" s="242" t="s">
        <v>96</v>
      </c>
      <c r="I231" s="141"/>
      <c r="J231" s="417"/>
      <c r="K231" s="404"/>
      <c r="L231" s="203"/>
      <c r="M231" s="672"/>
      <c r="N231" s="698"/>
      <c r="O231" s="698"/>
      <c r="P231" s="698"/>
    </row>
    <row r="232" spans="1:21" s="697" customFormat="1">
      <c r="A232" s="268">
        <v>121</v>
      </c>
      <c r="B232" s="586" t="s">
        <v>599</v>
      </c>
      <c r="C232" s="586" t="s">
        <v>32</v>
      </c>
      <c r="D232" s="278">
        <v>38858</v>
      </c>
      <c r="E232" s="262" t="s">
        <v>104</v>
      </c>
      <c r="F232" s="275" t="s">
        <v>1</v>
      </c>
      <c r="G232" s="276" t="str">
        <f t="shared" si="20"/>
        <v>3ع ت2</v>
      </c>
      <c r="H232" s="241" t="s">
        <v>91</v>
      </c>
      <c r="I232" s="141"/>
      <c r="J232" s="674"/>
      <c r="K232" s="417"/>
      <c r="L232" s="203"/>
      <c r="M232" s="672"/>
      <c r="N232" s="698"/>
      <c r="O232" s="698"/>
      <c r="P232" s="698"/>
    </row>
    <row r="233" spans="1:21" s="697" customFormat="1" ht="31.5">
      <c r="A233" s="268">
        <v>122</v>
      </c>
      <c r="B233" s="586" t="s">
        <v>906</v>
      </c>
      <c r="C233" s="586" t="s">
        <v>1252</v>
      </c>
      <c r="D233" s="278">
        <v>38799</v>
      </c>
      <c r="E233" s="262" t="s">
        <v>90</v>
      </c>
      <c r="F233" s="275" t="s">
        <v>1</v>
      </c>
      <c r="G233" s="276" t="str">
        <f t="shared" si="20"/>
        <v>3ع ت2</v>
      </c>
      <c r="H233" s="241" t="s">
        <v>91</v>
      </c>
      <c r="I233" s="141"/>
      <c r="J233" s="404"/>
      <c r="K233" s="417"/>
      <c r="L233" s="203"/>
      <c r="M233" s="672"/>
      <c r="N233" s="698"/>
      <c r="O233" s="698"/>
      <c r="P233" s="698"/>
    </row>
    <row r="234" spans="1:21" s="697" customFormat="1">
      <c r="A234" s="268">
        <v>123</v>
      </c>
      <c r="B234" s="586" t="s">
        <v>18</v>
      </c>
      <c r="C234" s="586" t="s">
        <v>34</v>
      </c>
      <c r="D234" s="278">
        <v>38553</v>
      </c>
      <c r="E234" s="262" t="s">
        <v>104</v>
      </c>
      <c r="F234" s="275" t="s">
        <v>1</v>
      </c>
      <c r="G234" s="276" t="str">
        <f t="shared" si="20"/>
        <v>3ع ت2</v>
      </c>
      <c r="H234" s="241" t="s">
        <v>91</v>
      </c>
      <c r="I234" s="141"/>
      <c r="J234" s="404"/>
      <c r="K234" s="417"/>
      <c r="L234" s="203"/>
      <c r="M234" s="672"/>
      <c r="N234" s="698"/>
      <c r="O234" s="667"/>
      <c r="P234" s="698"/>
    </row>
    <row r="235" spans="1:21" s="697" customFormat="1" ht="32.25">
      <c r="A235" s="268">
        <v>124</v>
      </c>
      <c r="B235" s="586" t="s">
        <v>935</v>
      </c>
      <c r="C235" s="586" t="s">
        <v>120</v>
      </c>
      <c r="D235" s="278">
        <v>37630</v>
      </c>
      <c r="E235" s="744" t="s">
        <v>104</v>
      </c>
      <c r="F235" s="275" t="s">
        <v>1</v>
      </c>
      <c r="G235" s="276" t="str">
        <f t="shared" si="20"/>
        <v>3ع ت2</v>
      </c>
      <c r="H235" s="241" t="s">
        <v>91</v>
      </c>
      <c r="I235" s="141"/>
      <c r="J235" s="417"/>
      <c r="K235" s="671" t="s">
        <v>628</v>
      </c>
      <c r="L235" s="203"/>
      <c r="M235" s="672"/>
      <c r="N235" s="698"/>
      <c r="O235" s="670"/>
      <c r="P235" s="698"/>
    </row>
    <row r="236" spans="1:21" s="697" customFormat="1">
      <c r="A236" s="268">
        <v>125</v>
      </c>
      <c r="B236" s="586" t="s">
        <v>1068</v>
      </c>
      <c r="C236" s="586" t="s">
        <v>37</v>
      </c>
      <c r="D236" s="278">
        <v>38694</v>
      </c>
      <c r="E236" s="262" t="s">
        <v>104</v>
      </c>
      <c r="F236" s="275" t="s">
        <v>1</v>
      </c>
      <c r="G236" s="276" t="str">
        <f t="shared" si="20"/>
        <v>3ع ت2</v>
      </c>
      <c r="H236" s="241" t="s">
        <v>91</v>
      </c>
      <c r="I236" s="141"/>
      <c r="J236" s="417"/>
      <c r="K236" s="671" t="s">
        <v>1873</v>
      </c>
      <c r="L236" s="203"/>
      <c r="M236" s="672"/>
      <c r="N236" s="698"/>
      <c r="O236" s="169"/>
      <c r="P236" s="698"/>
    </row>
    <row r="237" spans="1:21" s="697" customFormat="1">
      <c r="A237" s="268">
        <v>126</v>
      </c>
      <c r="B237" s="586" t="s">
        <v>677</v>
      </c>
      <c r="C237" s="586" t="s">
        <v>1041</v>
      </c>
      <c r="D237" s="278">
        <v>38596</v>
      </c>
      <c r="E237" s="402" t="s">
        <v>90</v>
      </c>
      <c r="F237" s="275" t="s">
        <v>1</v>
      </c>
      <c r="G237" s="276" t="str">
        <f t="shared" si="20"/>
        <v>3ع ت2</v>
      </c>
      <c r="H237" s="241" t="s">
        <v>91</v>
      </c>
      <c r="I237" s="141"/>
      <c r="J237" s="404"/>
      <c r="K237" s="671" t="s">
        <v>628</v>
      </c>
      <c r="L237" s="203"/>
      <c r="M237" s="672"/>
      <c r="N237" s="698"/>
      <c r="O237" s="169"/>
      <c r="P237" s="698"/>
    </row>
    <row r="238" spans="1:21" s="697" customFormat="1">
      <c r="A238" s="268">
        <v>127</v>
      </c>
      <c r="B238" s="586" t="s">
        <v>155</v>
      </c>
      <c r="C238" s="586" t="s">
        <v>982</v>
      </c>
      <c r="D238" s="278">
        <v>38847</v>
      </c>
      <c r="E238" s="266" t="s">
        <v>90</v>
      </c>
      <c r="F238" s="275" t="s">
        <v>1</v>
      </c>
      <c r="G238" s="276" t="str">
        <f t="shared" si="20"/>
        <v>3ع ت2</v>
      </c>
      <c r="H238" s="241" t="s">
        <v>91</v>
      </c>
      <c r="I238" s="141"/>
      <c r="J238" s="417"/>
      <c r="K238" s="671" t="s">
        <v>1873</v>
      </c>
      <c r="L238" s="203"/>
      <c r="M238" s="672"/>
      <c r="N238" s="698"/>
      <c r="O238" s="169"/>
      <c r="P238" s="698"/>
    </row>
    <row r="239" spans="1:21" s="697" customFormat="1">
      <c r="A239" s="268">
        <v>128</v>
      </c>
      <c r="B239" s="586" t="s">
        <v>983</v>
      </c>
      <c r="C239" s="586" t="s">
        <v>515</v>
      </c>
      <c r="D239" s="278">
        <v>38864</v>
      </c>
      <c r="E239" s="407" t="s">
        <v>90</v>
      </c>
      <c r="F239" s="275" t="s">
        <v>1</v>
      </c>
      <c r="G239" s="276" t="str">
        <f t="shared" si="20"/>
        <v>3ع ت2</v>
      </c>
      <c r="H239" s="241" t="s">
        <v>91</v>
      </c>
      <c r="I239" s="141"/>
      <c r="J239" s="417"/>
      <c r="K239" s="671" t="s">
        <v>628</v>
      </c>
      <c r="L239" s="203"/>
      <c r="M239" s="672"/>
      <c r="N239" s="698"/>
      <c r="O239" s="169"/>
      <c r="P239" s="698"/>
    </row>
    <row r="240" spans="1:21" s="697" customFormat="1">
      <c r="A240" s="268">
        <v>129</v>
      </c>
      <c r="B240" s="586" t="s">
        <v>1046</v>
      </c>
      <c r="C240" s="586" t="s">
        <v>698</v>
      </c>
      <c r="D240" s="278">
        <v>38507</v>
      </c>
      <c r="E240" s="262" t="s">
        <v>90</v>
      </c>
      <c r="F240" s="275" t="s">
        <v>1</v>
      </c>
      <c r="G240" s="276" t="str">
        <f t="shared" si="20"/>
        <v>3ع ت2</v>
      </c>
      <c r="H240" s="241" t="s">
        <v>91</v>
      </c>
      <c r="I240" s="141"/>
      <c r="J240" s="671"/>
      <c r="K240" s="671" t="s">
        <v>628</v>
      </c>
      <c r="L240" s="203"/>
      <c r="M240" s="672"/>
      <c r="N240" s="698"/>
      <c r="O240" s="169"/>
      <c r="P240" s="698"/>
    </row>
    <row r="241" spans="1:16" s="697" customFormat="1">
      <c r="A241" s="268">
        <v>130</v>
      </c>
      <c r="B241" s="586" t="s">
        <v>854</v>
      </c>
      <c r="C241" s="586" t="s">
        <v>855</v>
      </c>
      <c r="D241" s="278">
        <v>38282</v>
      </c>
      <c r="E241" s="718" t="s">
        <v>90</v>
      </c>
      <c r="F241" s="275" t="s">
        <v>548</v>
      </c>
      <c r="G241" s="276" t="str">
        <f t="shared" ref="G241:G304" si="21">F241</f>
        <v>3ع ت3</v>
      </c>
      <c r="H241" s="240" t="s">
        <v>1458</v>
      </c>
      <c r="I241" s="141"/>
      <c r="J241" s="671"/>
      <c r="K241" s="671" t="s">
        <v>628</v>
      </c>
      <c r="L241" s="203"/>
      <c r="M241" s="672"/>
      <c r="N241" s="698"/>
      <c r="O241" s="169"/>
      <c r="P241" s="698"/>
    </row>
    <row r="242" spans="1:16" s="697" customFormat="1">
      <c r="A242" s="268">
        <v>131</v>
      </c>
      <c r="B242" s="586" t="s">
        <v>44</v>
      </c>
      <c r="C242" s="586" t="s">
        <v>870</v>
      </c>
      <c r="D242" s="278">
        <v>38555</v>
      </c>
      <c r="E242" s="216" t="s">
        <v>90</v>
      </c>
      <c r="F242" s="275" t="s">
        <v>548</v>
      </c>
      <c r="G242" s="276" t="str">
        <f t="shared" si="21"/>
        <v>3ع ت3</v>
      </c>
      <c r="H242" s="240" t="s">
        <v>1458</v>
      </c>
      <c r="I242" s="141"/>
      <c r="J242" s="671"/>
      <c r="K242" s="671" t="s">
        <v>628</v>
      </c>
      <c r="L242" s="203"/>
      <c r="M242" s="672"/>
      <c r="N242" s="698"/>
      <c r="O242" s="698"/>
      <c r="P242" s="698"/>
    </row>
    <row r="243" spans="1:16" s="697" customFormat="1" ht="31.5">
      <c r="A243" s="268">
        <v>132</v>
      </c>
      <c r="B243" s="586" t="s">
        <v>988</v>
      </c>
      <c r="C243" s="586" t="s">
        <v>989</v>
      </c>
      <c r="D243" s="278">
        <v>38850</v>
      </c>
      <c r="E243" s="262" t="s">
        <v>90</v>
      </c>
      <c r="F243" s="275" t="s">
        <v>548</v>
      </c>
      <c r="G243" s="276" t="str">
        <f t="shared" si="21"/>
        <v>3ع ت3</v>
      </c>
      <c r="H243" s="241" t="s">
        <v>91</v>
      </c>
      <c r="I243" s="141"/>
      <c r="J243" s="671"/>
      <c r="K243" s="417"/>
      <c r="L243" s="203"/>
      <c r="M243" s="672"/>
      <c r="N243" s="698"/>
      <c r="O243" s="698"/>
      <c r="P243" s="698"/>
    </row>
    <row r="244" spans="1:16" s="697" customFormat="1">
      <c r="A244" s="268">
        <v>133</v>
      </c>
      <c r="B244" s="586" t="s">
        <v>1076</v>
      </c>
      <c r="C244" s="586" t="s">
        <v>1060</v>
      </c>
      <c r="D244" s="278">
        <v>38144</v>
      </c>
      <c r="E244" s="247" t="s">
        <v>1185</v>
      </c>
      <c r="F244" s="275" t="s">
        <v>548</v>
      </c>
      <c r="G244" s="276" t="str">
        <f t="shared" si="21"/>
        <v>3ع ت3</v>
      </c>
      <c r="H244" s="241" t="s">
        <v>91</v>
      </c>
      <c r="I244" s="141"/>
      <c r="J244" s="671"/>
      <c r="K244" s="404"/>
      <c r="L244" s="700"/>
      <c r="M244" s="701"/>
      <c r="N244" s="698"/>
      <c r="O244" s="698"/>
      <c r="P244" s="698"/>
    </row>
    <row r="245" spans="1:16" s="697" customFormat="1">
      <c r="A245" s="268">
        <v>134</v>
      </c>
      <c r="B245" s="586" t="s">
        <v>1023</v>
      </c>
      <c r="C245" s="586" t="s">
        <v>144</v>
      </c>
      <c r="D245" s="278">
        <v>38951</v>
      </c>
      <c r="E245" s="216" t="s">
        <v>90</v>
      </c>
      <c r="F245" s="275" t="s">
        <v>548</v>
      </c>
      <c r="G245" s="276" t="str">
        <f t="shared" si="21"/>
        <v>3ع ت3</v>
      </c>
      <c r="H245" s="242" t="s">
        <v>96</v>
      </c>
      <c r="I245" s="141"/>
      <c r="J245" s="671"/>
      <c r="K245" s="417"/>
      <c r="L245" s="203"/>
      <c r="M245" s="672"/>
      <c r="N245" s="698"/>
      <c r="O245" s="698"/>
      <c r="P245" s="698"/>
    </row>
    <row r="246" spans="1:16" s="697" customFormat="1" ht="31.5">
      <c r="A246" s="268">
        <v>135</v>
      </c>
      <c r="B246" s="586" t="s">
        <v>783</v>
      </c>
      <c r="C246" s="586" t="s">
        <v>1253</v>
      </c>
      <c r="D246" s="278">
        <v>38465</v>
      </c>
      <c r="E246" s="247" t="s">
        <v>90</v>
      </c>
      <c r="F246" s="275" t="s">
        <v>548</v>
      </c>
      <c r="G246" s="276" t="str">
        <f t="shared" si="21"/>
        <v>3ع ت3</v>
      </c>
      <c r="H246" s="242" t="s">
        <v>96</v>
      </c>
      <c r="I246" s="141"/>
      <c r="J246" s="671"/>
      <c r="K246" s="417"/>
      <c r="L246" s="203"/>
      <c r="M246" s="672"/>
      <c r="N246" s="698"/>
      <c r="O246" s="698"/>
      <c r="P246" s="698"/>
    </row>
    <row r="247" spans="1:16" s="697" customFormat="1" ht="31.5">
      <c r="A247" s="268">
        <v>136</v>
      </c>
      <c r="B247" s="586" t="s">
        <v>1025</v>
      </c>
      <c r="C247" s="586" t="s">
        <v>1026</v>
      </c>
      <c r="D247" s="278">
        <v>38505</v>
      </c>
      <c r="E247" s="263" t="s">
        <v>90</v>
      </c>
      <c r="F247" s="275" t="s">
        <v>548</v>
      </c>
      <c r="G247" s="276" t="str">
        <f t="shared" si="21"/>
        <v>3ع ت3</v>
      </c>
      <c r="H247" s="241" t="s">
        <v>91</v>
      </c>
      <c r="I247" s="141"/>
      <c r="J247" s="671"/>
      <c r="K247" s="248"/>
      <c r="L247" s="203"/>
      <c r="M247" s="672"/>
      <c r="N247" s="698"/>
      <c r="O247" s="698"/>
      <c r="P247" s="698"/>
    </row>
    <row r="248" spans="1:16" s="697" customFormat="1" ht="31.5">
      <c r="A248" s="268">
        <v>137</v>
      </c>
      <c r="B248" s="586" t="s">
        <v>150</v>
      </c>
      <c r="C248" s="586" t="s">
        <v>1048</v>
      </c>
      <c r="D248" s="278">
        <v>38542</v>
      </c>
      <c r="E248" s="262" t="s">
        <v>104</v>
      </c>
      <c r="F248" s="275" t="s">
        <v>548</v>
      </c>
      <c r="G248" s="276" t="str">
        <f t="shared" si="21"/>
        <v>3ع ت3</v>
      </c>
      <c r="H248" s="241" t="s">
        <v>91</v>
      </c>
      <c r="I248" s="141"/>
      <c r="J248" s="417"/>
      <c r="K248" s="417"/>
      <c r="L248" s="203"/>
      <c r="M248" s="672"/>
      <c r="N248" s="698"/>
      <c r="O248" s="698"/>
      <c r="P248" s="698"/>
    </row>
    <row r="249" spans="1:16" s="697" customFormat="1" ht="47.25">
      <c r="A249" s="268">
        <v>138</v>
      </c>
      <c r="B249" s="586" t="s">
        <v>992</v>
      </c>
      <c r="C249" s="586" t="s">
        <v>993</v>
      </c>
      <c r="D249" s="278">
        <v>38924</v>
      </c>
      <c r="E249" s="262" t="s">
        <v>90</v>
      </c>
      <c r="F249" s="275" t="s">
        <v>548</v>
      </c>
      <c r="G249" s="276" t="str">
        <f t="shared" si="21"/>
        <v>3ع ت3</v>
      </c>
      <c r="H249" s="242" t="s">
        <v>96</v>
      </c>
      <c r="I249" s="141"/>
      <c r="J249" s="404"/>
      <c r="K249" s="404"/>
      <c r="L249" s="203"/>
      <c r="M249" s="672"/>
      <c r="N249" s="698"/>
      <c r="O249" s="698"/>
      <c r="P249" s="698"/>
    </row>
    <row r="250" spans="1:16" s="697" customFormat="1">
      <c r="A250" s="268">
        <v>139</v>
      </c>
      <c r="B250" s="586" t="s">
        <v>29</v>
      </c>
      <c r="C250" s="586" t="s">
        <v>53</v>
      </c>
      <c r="D250" s="278">
        <v>38486</v>
      </c>
      <c r="E250" s="262" t="s">
        <v>90</v>
      </c>
      <c r="F250" s="275" t="s">
        <v>548</v>
      </c>
      <c r="G250" s="276" t="str">
        <f t="shared" si="21"/>
        <v>3ع ت3</v>
      </c>
      <c r="H250" s="241" t="s">
        <v>91</v>
      </c>
      <c r="I250" s="141"/>
      <c r="J250" s="417"/>
      <c r="K250" s="417"/>
      <c r="L250" s="203"/>
      <c r="M250" s="672"/>
      <c r="N250" s="698"/>
      <c r="O250" s="698"/>
      <c r="P250" s="698"/>
    </row>
    <row r="251" spans="1:16" s="697" customFormat="1" ht="31.5">
      <c r="A251" s="268">
        <v>140</v>
      </c>
      <c r="B251" s="586" t="s">
        <v>995</v>
      </c>
      <c r="C251" s="586" t="s">
        <v>1181</v>
      </c>
      <c r="D251" s="278">
        <v>38841</v>
      </c>
      <c r="E251" s="262" t="s">
        <v>90</v>
      </c>
      <c r="F251" s="275" t="s">
        <v>548</v>
      </c>
      <c r="G251" s="276" t="str">
        <f t="shared" si="21"/>
        <v>3ع ت3</v>
      </c>
      <c r="H251" s="241" t="s">
        <v>91</v>
      </c>
      <c r="I251" s="141"/>
      <c r="J251" s="417"/>
      <c r="K251" s="417"/>
      <c r="L251" s="203"/>
      <c r="M251" s="672"/>
      <c r="N251" s="698"/>
      <c r="O251" s="698"/>
      <c r="P251" s="698"/>
    </row>
    <row r="252" spans="1:16" s="697" customFormat="1" ht="31.5">
      <c r="A252" s="268">
        <v>141</v>
      </c>
      <c r="B252" s="586" t="s">
        <v>1182</v>
      </c>
      <c r="C252" s="586" t="s">
        <v>101</v>
      </c>
      <c r="D252" s="278">
        <v>38884</v>
      </c>
      <c r="E252" s="262" t="s">
        <v>90</v>
      </c>
      <c r="F252" s="275" t="s">
        <v>548</v>
      </c>
      <c r="G252" s="276" t="str">
        <f t="shared" si="21"/>
        <v>3ع ت3</v>
      </c>
      <c r="H252" s="242" t="s">
        <v>96</v>
      </c>
      <c r="I252" s="141"/>
      <c r="J252" s="248"/>
      <c r="K252" s="417"/>
      <c r="L252" s="678"/>
      <c r="M252" s="679"/>
      <c r="N252" s="698"/>
      <c r="O252" s="698"/>
      <c r="P252" s="698"/>
    </row>
    <row r="253" spans="1:16" s="697" customFormat="1">
      <c r="A253" s="268">
        <v>142</v>
      </c>
      <c r="B253" s="586" t="s">
        <v>116</v>
      </c>
      <c r="C253" s="586" t="s">
        <v>174</v>
      </c>
      <c r="D253" s="278">
        <v>38343</v>
      </c>
      <c r="E253" s="408" t="s">
        <v>90</v>
      </c>
      <c r="F253" s="275" t="s">
        <v>548</v>
      </c>
      <c r="G253" s="276" t="str">
        <f t="shared" si="21"/>
        <v>3ع ت3</v>
      </c>
      <c r="H253" s="241" t="s">
        <v>91</v>
      </c>
      <c r="I253" s="141"/>
      <c r="J253" s="417"/>
      <c r="K253" s="417"/>
      <c r="L253" s="203"/>
      <c r="M253" s="672"/>
      <c r="N253" s="698"/>
      <c r="O253" s="698"/>
      <c r="P253" s="698"/>
    </row>
    <row r="254" spans="1:16" s="697" customFormat="1">
      <c r="A254" s="268">
        <v>143</v>
      </c>
      <c r="B254" s="586" t="s">
        <v>996</v>
      </c>
      <c r="C254" s="586" t="s">
        <v>785</v>
      </c>
      <c r="D254" s="278">
        <v>38478</v>
      </c>
      <c r="E254" s="262" t="s">
        <v>104</v>
      </c>
      <c r="F254" s="275" t="s">
        <v>548</v>
      </c>
      <c r="G254" s="276" t="str">
        <f t="shared" si="21"/>
        <v>3ع ت3</v>
      </c>
      <c r="H254" s="242" t="s">
        <v>96</v>
      </c>
      <c r="I254" s="141"/>
      <c r="J254" s="404"/>
      <c r="K254" s="417"/>
      <c r="L254" s="203"/>
      <c r="M254" s="672"/>
      <c r="N254" s="698"/>
      <c r="O254" s="698"/>
      <c r="P254" s="698"/>
    </row>
    <row r="255" spans="1:16" s="697" customFormat="1">
      <c r="A255" s="268">
        <v>144</v>
      </c>
      <c r="B255" s="586" t="s">
        <v>681</v>
      </c>
      <c r="C255" s="586" t="s">
        <v>971</v>
      </c>
      <c r="D255" s="278">
        <v>38737</v>
      </c>
      <c r="E255" s="263" t="s">
        <v>852</v>
      </c>
      <c r="F255" s="275" t="s">
        <v>548</v>
      </c>
      <c r="G255" s="276" t="str">
        <f t="shared" si="21"/>
        <v>3ع ت3</v>
      </c>
      <c r="H255" s="242" t="s">
        <v>96</v>
      </c>
      <c r="I255" s="141"/>
      <c r="J255" s="417"/>
      <c r="K255" s="404"/>
      <c r="L255" s="203"/>
      <c r="M255" s="672"/>
      <c r="N255" s="698"/>
      <c r="O255" s="698"/>
      <c r="P255" s="698"/>
    </row>
    <row r="256" spans="1:16" s="697" customFormat="1" ht="31.5">
      <c r="A256" s="268">
        <v>145</v>
      </c>
      <c r="B256" s="586" t="s">
        <v>864</v>
      </c>
      <c r="C256" s="586" t="s">
        <v>865</v>
      </c>
      <c r="D256" s="278">
        <v>38424</v>
      </c>
      <c r="E256" s="247" t="s">
        <v>90</v>
      </c>
      <c r="F256" s="275" t="s">
        <v>548</v>
      </c>
      <c r="G256" s="276" t="str">
        <f t="shared" si="21"/>
        <v>3ع ت3</v>
      </c>
      <c r="H256" s="242" t="s">
        <v>96</v>
      </c>
      <c r="I256" s="141"/>
      <c r="J256" s="417"/>
      <c r="K256" s="404"/>
      <c r="L256" s="203"/>
      <c r="M256" s="672"/>
      <c r="N256" s="698"/>
      <c r="O256" s="698"/>
      <c r="P256" s="698"/>
    </row>
    <row r="257" spans="1:16" s="697" customFormat="1" ht="47.25">
      <c r="A257" s="268">
        <v>146</v>
      </c>
      <c r="B257" s="586" t="s">
        <v>886</v>
      </c>
      <c r="C257" s="586" t="s">
        <v>887</v>
      </c>
      <c r="D257" s="278">
        <v>38685</v>
      </c>
      <c r="E257" s="262" t="s">
        <v>90</v>
      </c>
      <c r="F257" s="275" t="s">
        <v>548</v>
      </c>
      <c r="G257" s="276" t="str">
        <f t="shared" si="21"/>
        <v>3ع ت3</v>
      </c>
      <c r="H257" s="241" t="s">
        <v>91</v>
      </c>
      <c r="I257" s="141"/>
      <c r="J257" s="417"/>
      <c r="K257" s="404"/>
      <c r="L257" s="203"/>
      <c r="M257" s="672"/>
      <c r="N257" s="698"/>
      <c r="O257" s="698"/>
      <c r="P257" s="698"/>
    </row>
    <row r="258" spans="1:16" s="697" customFormat="1">
      <c r="A258" s="268">
        <v>147</v>
      </c>
      <c r="B258" s="586" t="s">
        <v>59</v>
      </c>
      <c r="C258" s="586" t="s">
        <v>1003</v>
      </c>
      <c r="D258" s="278">
        <v>38817</v>
      </c>
      <c r="E258" s="262" t="s">
        <v>90</v>
      </c>
      <c r="F258" s="275" t="s">
        <v>548</v>
      </c>
      <c r="G258" s="276" t="str">
        <f t="shared" si="21"/>
        <v>3ع ت3</v>
      </c>
      <c r="H258" s="242" t="s">
        <v>96</v>
      </c>
      <c r="I258" s="141"/>
      <c r="J258" s="417"/>
      <c r="K258" s="404"/>
      <c r="L258" s="700"/>
      <c r="M258" s="701"/>
      <c r="N258" s="698"/>
      <c r="O258" s="698"/>
      <c r="P258" s="698"/>
    </row>
    <row r="259" spans="1:16" s="697" customFormat="1" ht="47.25">
      <c r="A259" s="268">
        <v>148</v>
      </c>
      <c r="B259" s="586" t="s">
        <v>687</v>
      </c>
      <c r="C259" s="586" t="s">
        <v>1036</v>
      </c>
      <c r="D259" s="278">
        <v>38793</v>
      </c>
      <c r="E259" s="262" t="s">
        <v>90</v>
      </c>
      <c r="F259" s="275" t="s">
        <v>548</v>
      </c>
      <c r="G259" s="276" t="str">
        <f t="shared" si="21"/>
        <v>3ع ت3</v>
      </c>
      <c r="H259" s="241" t="s">
        <v>91</v>
      </c>
      <c r="I259" s="141"/>
      <c r="J259" s="417"/>
      <c r="K259" s="677"/>
      <c r="L259" s="203"/>
      <c r="M259" s="672"/>
      <c r="N259" s="698"/>
      <c r="O259" s="698"/>
      <c r="P259" s="698"/>
    </row>
    <row r="260" spans="1:16" s="697" customFormat="1">
      <c r="A260" s="268">
        <v>149</v>
      </c>
      <c r="B260" s="586" t="s">
        <v>788</v>
      </c>
      <c r="C260" s="586" t="s">
        <v>971</v>
      </c>
      <c r="D260" s="278">
        <v>38398</v>
      </c>
      <c r="E260" s="263" t="s">
        <v>90</v>
      </c>
      <c r="F260" s="275" t="s">
        <v>548</v>
      </c>
      <c r="G260" s="276" t="str">
        <f t="shared" si="21"/>
        <v>3ع ت3</v>
      </c>
      <c r="H260" s="242" t="s">
        <v>96</v>
      </c>
      <c r="I260" s="141"/>
      <c r="J260" s="404"/>
      <c r="K260" s="404"/>
      <c r="L260" s="678"/>
      <c r="M260" s="679"/>
      <c r="N260" s="698"/>
      <c r="O260" s="698"/>
      <c r="P260" s="698"/>
    </row>
    <row r="261" spans="1:16" s="697" customFormat="1">
      <c r="A261" s="268">
        <v>150</v>
      </c>
      <c r="B261" s="586" t="s">
        <v>14</v>
      </c>
      <c r="C261" s="586" t="s">
        <v>149</v>
      </c>
      <c r="D261" s="278">
        <v>38844</v>
      </c>
      <c r="E261" s="742" t="s">
        <v>104</v>
      </c>
      <c r="F261" s="275" t="s">
        <v>548</v>
      </c>
      <c r="G261" s="276" t="str">
        <f t="shared" si="21"/>
        <v>3ع ت3</v>
      </c>
      <c r="H261" s="242" t="s">
        <v>96</v>
      </c>
      <c r="I261" s="141"/>
      <c r="J261" s="404"/>
      <c r="K261" s="417"/>
      <c r="L261" s="678"/>
      <c r="M261" s="679"/>
      <c r="N261" s="698"/>
      <c r="O261" s="698"/>
      <c r="P261" s="698"/>
    </row>
    <row r="262" spans="1:16" s="697" customFormat="1">
      <c r="A262" s="268">
        <v>151</v>
      </c>
      <c r="B262" s="586" t="s">
        <v>192</v>
      </c>
      <c r="C262" s="586" t="s">
        <v>33</v>
      </c>
      <c r="D262" s="278">
        <v>38667</v>
      </c>
      <c r="E262" s="247" t="s">
        <v>202</v>
      </c>
      <c r="F262" s="275" t="s">
        <v>548</v>
      </c>
      <c r="G262" s="276" t="str">
        <f t="shared" si="21"/>
        <v>3ع ت3</v>
      </c>
      <c r="H262" s="241" t="s">
        <v>91</v>
      </c>
      <c r="I262" s="141"/>
      <c r="J262" s="404"/>
      <c r="K262" s="417"/>
      <c r="L262" s="678"/>
      <c r="M262" s="679"/>
      <c r="N262" s="698"/>
      <c r="O262" s="698"/>
      <c r="P262" s="698"/>
    </row>
    <row r="263" spans="1:16" s="697" customFormat="1" ht="47.25">
      <c r="A263" s="268">
        <v>152</v>
      </c>
      <c r="B263" s="586" t="s">
        <v>177</v>
      </c>
      <c r="C263" s="586" t="s">
        <v>1037</v>
      </c>
      <c r="D263" s="278">
        <v>38619</v>
      </c>
      <c r="E263" s="216" t="s">
        <v>90</v>
      </c>
      <c r="F263" s="275" t="s">
        <v>548</v>
      </c>
      <c r="G263" s="276" t="str">
        <f t="shared" si="21"/>
        <v>3ع ت3</v>
      </c>
      <c r="H263" s="241" t="s">
        <v>91</v>
      </c>
      <c r="I263" s="141"/>
      <c r="J263" s="404"/>
      <c r="K263" s="404"/>
      <c r="L263" s="203"/>
      <c r="M263" s="672"/>
      <c r="N263" s="698"/>
      <c r="O263" s="698"/>
      <c r="P263" s="698"/>
    </row>
    <row r="264" spans="1:16" s="697" customFormat="1">
      <c r="A264" s="268">
        <v>153</v>
      </c>
      <c r="B264" s="586" t="s">
        <v>977</v>
      </c>
      <c r="C264" s="586" t="s">
        <v>1254</v>
      </c>
      <c r="D264" s="278">
        <v>38680</v>
      </c>
      <c r="E264" s="262" t="s">
        <v>90</v>
      </c>
      <c r="F264" s="275" t="s">
        <v>548</v>
      </c>
      <c r="G264" s="276" t="str">
        <f t="shared" si="21"/>
        <v>3ع ت3</v>
      </c>
      <c r="H264" s="242" t="s">
        <v>96</v>
      </c>
      <c r="I264" s="141"/>
      <c r="J264" s="677"/>
      <c r="K264" s="671"/>
      <c r="L264" s="203"/>
      <c r="M264" s="672"/>
      <c r="N264" s="698"/>
      <c r="O264" s="698"/>
      <c r="P264" s="698"/>
    </row>
    <row r="265" spans="1:16" s="697" customFormat="1">
      <c r="A265" s="268">
        <v>154</v>
      </c>
      <c r="B265" s="586" t="s">
        <v>977</v>
      </c>
      <c r="C265" s="586" t="s">
        <v>117</v>
      </c>
      <c r="D265" s="278">
        <v>38528</v>
      </c>
      <c r="E265" s="262" t="s">
        <v>90</v>
      </c>
      <c r="F265" s="275" t="s">
        <v>548</v>
      </c>
      <c r="G265" s="276" t="str">
        <f t="shared" si="21"/>
        <v>3ع ت3</v>
      </c>
      <c r="H265" s="241" t="s">
        <v>91</v>
      </c>
      <c r="I265" s="141"/>
      <c r="J265" s="677"/>
      <c r="K265" s="671"/>
      <c r="L265" s="203"/>
      <c r="M265" s="672"/>
      <c r="N265" s="698"/>
      <c r="O265" s="698"/>
      <c r="P265" s="698"/>
    </row>
    <row r="266" spans="1:16" s="697" customFormat="1">
      <c r="A266" s="268">
        <v>155</v>
      </c>
      <c r="B266" s="586" t="s">
        <v>896</v>
      </c>
      <c r="C266" s="586" t="s">
        <v>15</v>
      </c>
      <c r="D266" s="278">
        <v>37836</v>
      </c>
      <c r="E266" s="745" t="s">
        <v>897</v>
      </c>
      <c r="F266" s="275" t="s">
        <v>548</v>
      </c>
      <c r="G266" s="276" t="str">
        <f t="shared" si="21"/>
        <v>3ع ت3</v>
      </c>
      <c r="H266" s="241" t="s">
        <v>91</v>
      </c>
      <c r="I266" s="141"/>
      <c r="J266" s="404"/>
      <c r="K266" s="677"/>
      <c r="L266" s="203"/>
      <c r="M266" s="672"/>
      <c r="N266" s="698"/>
      <c r="O266" s="698"/>
      <c r="P266" s="698"/>
    </row>
    <row r="267" spans="1:16" s="697" customFormat="1">
      <c r="A267" s="268">
        <v>156</v>
      </c>
      <c r="B267" s="586" t="s">
        <v>1009</v>
      </c>
      <c r="C267" s="586" t="s">
        <v>67</v>
      </c>
      <c r="D267" s="278">
        <v>38835</v>
      </c>
      <c r="E267" s="266" t="s">
        <v>104</v>
      </c>
      <c r="F267" s="275" t="s">
        <v>548</v>
      </c>
      <c r="G267" s="276" t="str">
        <f t="shared" si="21"/>
        <v>3ع ت3</v>
      </c>
      <c r="H267" s="241" t="s">
        <v>91</v>
      </c>
      <c r="I267" s="141"/>
      <c r="J267" s="417"/>
      <c r="K267" s="417"/>
      <c r="L267" s="203"/>
      <c r="M267" s="672"/>
      <c r="N267" s="698"/>
      <c r="O267" s="698"/>
      <c r="P267" s="698"/>
    </row>
    <row r="268" spans="1:16" s="697" customFormat="1">
      <c r="A268" s="268">
        <v>157</v>
      </c>
      <c r="B268" s="586" t="s">
        <v>1065</v>
      </c>
      <c r="C268" s="586" t="s">
        <v>1066</v>
      </c>
      <c r="D268" s="278">
        <v>38625</v>
      </c>
      <c r="E268" s="267" t="s">
        <v>90</v>
      </c>
      <c r="F268" s="275" t="s">
        <v>548</v>
      </c>
      <c r="G268" s="276" t="str">
        <f t="shared" si="21"/>
        <v>3ع ت3</v>
      </c>
      <c r="H268" s="241" t="s">
        <v>91</v>
      </c>
      <c r="I268" s="141"/>
      <c r="J268" s="417"/>
      <c r="K268" s="417"/>
      <c r="L268" s="203"/>
      <c r="M268" s="672"/>
      <c r="N268" s="698"/>
      <c r="O268" s="698"/>
      <c r="P268" s="698"/>
    </row>
    <row r="269" spans="1:16" s="697" customFormat="1" ht="31.5">
      <c r="A269" s="268">
        <v>158</v>
      </c>
      <c r="B269" s="586" t="s">
        <v>534</v>
      </c>
      <c r="C269" s="586" t="s">
        <v>1067</v>
      </c>
      <c r="D269" s="278">
        <v>38614</v>
      </c>
      <c r="E269" s="247" t="s">
        <v>90</v>
      </c>
      <c r="F269" s="275" t="s">
        <v>548</v>
      </c>
      <c r="G269" s="276" t="str">
        <f t="shared" si="21"/>
        <v>3ع ت3</v>
      </c>
      <c r="H269" s="241" t="s">
        <v>91</v>
      </c>
      <c r="I269" s="141"/>
      <c r="J269" s="671"/>
      <c r="K269" s="677"/>
      <c r="L269" s="700"/>
      <c r="M269" s="701"/>
      <c r="N269" s="698"/>
      <c r="O269" s="698"/>
      <c r="P269" s="698"/>
    </row>
    <row r="270" spans="1:16" s="697" customFormat="1">
      <c r="A270" s="268">
        <v>159</v>
      </c>
      <c r="B270" s="586" t="s">
        <v>1011</v>
      </c>
      <c r="C270" s="586" t="s">
        <v>1012</v>
      </c>
      <c r="D270" s="278">
        <v>38571</v>
      </c>
      <c r="E270" s="262" t="s">
        <v>104</v>
      </c>
      <c r="F270" s="275" t="s">
        <v>548</v>
      </c>
      <c r="G270" s="276" t="str">
        <f t="shared" si="21"/>
        <v>3ع ت3</v>
      </c>
      <c r="H270" s="241" t="s">
        <v>91</v>
      </c>
      <c r="I270" s="141"/>
      <c r="J270" s="671"/>
      <c r="K270" s="671" t="s">
        <v>1873</v>
      </c>
      <c r="L270" s="203"/>
      <c r="M270" s="672"/>
      <c r="N270" s="698"/>
      <c r="O270" s="698"/>
      <c r="P270" s="698"/>
    </row>
    <row r="271" spans="1:16" s="697" customFormat="1">
      <c r="A271" s="268">
        <v>160</v>
      </c>
      <c r="B271" s="586" t="s">
        <v>692</v>
      </c>
      <c r="C271" s="586" t="s">
        <v>1014</v>
      </c>
      <c r="D271" s="278">
        <v>38800</v>
      </c>
      <c r="E271" s="262" t="s">
        <v>90</v>
      </c>
      <c r="F271" s="275" t="s">
        <v>548</v>
      </c>
      <c r="G271" s="276" t="str">
        <f t="shared" si="21"/>
        <v>3ع ت3</v>
      </c>
      <c r="H271" s="241" t="s">
        <v>91</v>
      </c>
      <c r="I271" s="141"/>
      <c r="J271" s="677"/>
      <c r="K271" s="671" t="s">
        <v>628</v>
      </c>
      <c r="L271" s="203"/>
      <c r="M271" s="672"/>
      <c r="N271" s="698"/>
      <c r="O271" s="698"/>
      <c r="P271" s="698"/>
    </row>
    <row r="272" spans="1:16" s="697" customFormat="1">
      <c r="A272" s="268">
        <v>161</v>
      </c>
      <c r="B272" s="586" t="s">
        <v>46</v>
      </c>
      <c r="C272" s="586" t="s">
        <v>76</v>
      </c>
      <c r="D272" s="278">
        <v>38654</v>
      </c>
      <c r="E272" s="247" t="s">
        <v>90</v>
      </c>
      <c r="F272" s="275" t="s">
        <v>548</v>
      </c>
      <c r="G272" s="276" t="str">
        <f t="shared" si="21"/>
        <v>3ع ت3</v>
      </c>
      <c r="H272" s="242" t="s">
        <v>96</v>
      </c>
      <c r="I272" s="141"/>
      <c r="J272" s="417"/>
      <c r="K272" s="671" t="s">
        <v>628</v>
      </c>
      <c r="L272" s="203"/>
      <c r="M272" s="672"/>
      <c r="N272" s="698"/>
      <c r="O272" s="698"/>
      <c r="P272" s="698"/>
    </row>
    <row r="273" spans="1:16" s="697" customFormat="1">
      <c r="A273" s="268">
        <v>162</v>
      </c>
      <c r="B273" s="586" t="s">
        <v>184</v>
      </c>
      <c r="C273" s="586" t="s">
        <v>118</v>
      </c>
      <c r="D273" s="278">
        <v>38538</v>
      </c>
      <c r="E273" s="408" t="s">
        <v>104</v>
      </c>
      <c r="F273" s="275" t="s">
        <v>548</v>
      </c>
      <c r="G273" s="276" t="str">
        <f t="shared" si="21"/>
        <v>3ع ت3</v>
      </c>
      <c r="H273" s="242" t="s">
        <v>96</v>
      </c>
      <c r="I273" s="141"/>
      <c r="J273" s="417"/>
      <c r="K273" s="677"/>
      <c r="L273" s="203"/>
      <c r="M273" s="672"/>
      <c r="N273" s="698"/>
      <c r="O273" s="698"/>
      <c r="P273" s="698"/>
    </row>
    <row r="274" spans="1:16" s="697" customFormat="1" ht="31.5">
      <c r="A274" s="268">
        <v>163</v>
      </c>
      <c r="B274" s="586" t="s">
        <v>185</v>
      </c>
      <c r="C274" s="586" t="s">
        <v>1095</v>
      </c>
      <c r="D274" s="278">
        <v>38478</v>
      </c>
      <c r="E274" s="262" t="s">
        <v>90</v>
      </c>
      <c r="F274" s="275" t="s">
        <v>548</v>
      </c>
      <c r="G274" s="276" t="str">
        <f t="shared" si="21"/>
        <v>3ع ت3</v>
      </c>
      <c r="H274" s="242" t="s">
        <v>96</v>
      </c>
      <c r="I274" s="141"/>
      <c r="J274" s="677"/>
      <c r="K274" s="417"/>
      <c r="L274" s="203"/>
      <c r="M274" s="672"/>
      <c r="N274" s="698"/>
      <c r="O274" s="698"/>
      <c r="P274" s="698"/>
    </row>
    <row r="275" spans="1:16" s="697" customFormat="1">
      <c r="A275" s="268">
        <v>164</v>
      </c>
      <c r="B275" s="586" t="s">
        <v>1148</v>
      </c>
      <c r="C275" s="586" t="s">
        <v>112</v>
      </c>
      <c r="D275" s="278">
        <v>38063</v>
      </c>
      <c r="E275" s="410" t="s">
        <v>90</v>
      </c>
      <c r="F275" s="276" t="s">
        <v>554</v>
      </c>
      <c r="G275" s="276" t="str">
        <f t="shared" si="21"/>
        <v>3آ ف1</v>
      </c>
      <c r="H275" s="240" t="s">
        <v>1459</v>
      </c>
      <c r="I275" s="141"/>
      <c r="J275" s="671"/>
      <c r="K275" s="417"/>
      <c r="L275" s="203"/>
      <c r="M275" s="672"/>
      <c r="N275" s="698"/>
      <c r="O275" s="698"/>
      <c r="P275" s="698"/>
    </row>
    <row r="276" spans="1:16" s="697" customFormat="1">
      <c r="A276" s="268">
        <v>165</v>
      </c>
      <c r="B276" s="586" t="s">
        <v>199</v>
      </c>
      <c r="C276" s="586" t="s">
        <v>789</v>
      </c>
      <c r="D276" s="278">
        <v>38565</v>
      </c>
      <c r="E276" s="266" t="s">
        <v>104</v>
      </c>
      <c r="F276" s="276" t="s">
        <v>554</v>
      </c>
      <c r="G276" s="276" t="str">
        <f t="shared" si="21"/>
        <v>3آ ف1</v>
      </c>
      <c r="H276" s="240" t="s">
        <v>1459</v>
      </c>
      <c r="I276" s="141"/>
      <c r="J276" s="671"/>
      <c r="K276" s="417"/>
      <c r="L276" s="203"/>
      <c r="M276" s="672"/>
      <c r="N276" s="698"/>
      <c r="O276" s="698"/>
      <c r="P276" s="698"/>
    </row>
    <row r="277" spans="1:16" s="697" customFormat="1">
      <c r="A277" s="268">
        <v>166</v>
      </c>
      <c r="B277" s="586" t="s">
        <v>697</v>
      </c>
      <c r="C277" s="586" t="s">
        <v>138</v>
      </c>
      <c r="D277" s="278">
        <v>38766</v>
      </c>
      <c r="E277" s="248" t="s">
        <v>90</v>
      </c>
      <c r="F277" s="276" t="s">
        <v>554</v>
      </c>
      <c r="G277" s="276" t="str">
        <f t="shared" si="21"/>
        <v>3آ ف1</v>
      </c>
      <c r="H277" s="240" t="s">
        <v>1458</v>
      </c>
      <c r="I277" s="141"/>
      <c r="J277" s="671"/>
      <c r="K277" s="417"/>
      <c r="L277" s="203"/>
      <c r="M277" s="672"/>
      <c r="N277" s="698"/>
      <c r="O277" s="698"/>
      <c r="P277" s="698"/>
    </row>
    <row r="278" spans="1:16" s="697" customFormat="1">
      <c r="A278" s="268">
        <v>167</v>
      </c>
      <c r="B278" s="586" t="s">
        <v>677</v>
      </c>
      <c r="C278" s="586" t="s">
        <v>142</v>
      </c>
      <c r="D278" s="278">
        <v>38666</v>
      </c>
      <c r="E278" s="248" t="s">
        <v>90</v>
      </c>
      <c r="F278" s="276" t="s">
        <v>554</v>
      </c>
      <c r="G278" s="276" t="str">
        <f t="shared" si="21"/>
        <v>3آ ف1</v>
      </c>
      <c r="H278" s="240" t="s">
        <v>1458</v>
      </c>
      <c r="I278" s="141"/>
      <c r="J278" s="677"/>
      <c r="K278" s="677"/>
      <c r="L278" s="203"/>
      <c r="M278" s="672"/>
      <c r="N278" s="698"/>
      <c r="O278" s="698"/>
      <c r="P278" s="698"/>
    </row>
    <row r="279" spans="1:16" s="697" customFormat="1">
      <c r="A279" s="268">
        <v>168</v>
      </c>
      <c r="B279" s="586" t="s">
        <v>114</v>
      </c>
      <c r="C279" s="586" t="s">
        <v>174</v>
      </c>
      <c r="D279" s="278">
        <v>37724</v>
      </c>
      <c r="E279" s="247" t="s">
        <v>90</v>
      </c>
      <c r="F279" s="276" t="s">
        <v>554</v>
      </c>
      <c r="G279" s="276" t="str">
        <f t="shared" si="21"/>
        <v>3آ ف1</v>
      </c>
      <c r="H279" s="241" t="s">
        <v>91</v>
      </c>
      <c r="I279" s="141"/>
      <c r="J279" s="417"/>
      <c r="K279" s="417"/>
      <c r="L279" s="203"/>
      <c r="M279" s="672"/>
      <c r="N279" s="698"/>
      <c r="O279" s="698"/>
      <c r="P279" s="698"/>
    </row>
    <row r="280" spans="1:16" s="697" customFormat="1">
      <c r="A280" s="268">
        <v>169</v>
      </c>
      <c r="B280" s="586" t="s">
        <v>1024</v>
      </c>
      <c r="C280" s="586" t="s">
        <v>1161</v>
      </c>
      <c r="D280" s="278">
        <v>38337</v>
      </c>
      <c r="E280" s="248" t="s">
        <v>90</v>
      </c>
      <c r="F280" s="276" t="s">
        <v>554</v>
      </c>
      <c r="G280" s="276" t="str">
        <f t="shared" si="21"/>
        <v>3آ ف1</v>
      </c>
      <c r="H280" s="241" t="s">
        <v>91</v>
      </c>
      <c r="I280" s="141"/>
      <c r="J280" s="417"/>
      <c r="K280" s="677"/>
      <c r="L280" s="203"/>
      <c r="M280" s="672"/>
      <c r="N280" s="698"/>
      <c r="O280" s="698"/>
      <c r="P280" s="698"/>
    </row>
    <row r="281" spans="1:16" s="697" customFormat="1">
      <c r="A281" s="268">
        <v>170</v>
      </c>
      <c r="B281" s="586" t="s">
        <v>1097</v>
      </c>
      <c r="C281" s="586" t="s">
        <v>174</v>
      </c>
      <c r="D281" s="278">
        <v>38333</v>
      </c>
      <c r="E281" s="265" t="s">
        <v>90</v>
      </c>
      <c r="F281" s="276" t="s">
        <v>554</v>
      </c>
      <c r="G281" s="276" t="str">
        <f t="shared" si="21"/>
        <v>3آ ف1</v>
      </c>
      <c r="H281" s="241" t="s">
        <v>91</v>
      </c>
      <c r="I281" s="141"/>
      <c r="J281" s="417"/>
      <c r="K281" s="417"/>
      <c r="L281" s="203"/>
      <c r="M281" s="672"/>
      <c r="N281" s="698"/>
      <c r="O281" s="698"/>
      <c r="P281" s="698"/>
    </row>
    <row r="282" spans="1:16" s="697" customFormat="1">
      <c r="A282" s="268">
        <v>171</v>
      </c>
      <c r="B282" s="586" t="s">
        <v>1101</v>
      </c>
      <c r="C282" s="586" t="s">
        <v>1034</v>
      </c>
      <c r="D282" s="278">
        <v>38464</v>
      </c>
      <c r="E282" s="404" t="s">
        <v>90</v>
      </c>
      <c r="F282" s="276" t="s">
        <v>554</v>
      </c>
      <c r="G282" s="276" t="str">
        <f t="shared" si="21"/>
        <v>3آ ف1</v>
      </c>
      <c r="H282" s="241" t="s">
        <v>91</v>
      </c>
      <c r="I282" s="141"/>
      <c r="J282" s="417"/>
      <c r="K282" s="677"/>
      <c r="L282" s="203"/>
      <c r="M282" s="672"/>
      <c r="N282" s="698"/>
      <c r="O282" s="698"/>
      <c r="P282" s="698"/>
    </row>
    <row r="283" spans="1:16" s="697" customFormat="1">
      <c r="A283" s="268">
        <v>172</v>
      </c>
      <c r="B283" s="586" t="s">
        <v>1140</v>
      </c>
      <c r="C283" s="586" t="s">
        <v>1255</v>
      </c>
      <c r="D283" s="278">
        <v>38301</v>
      </c>
      <c r="E283" s="410" t="s">
        <v>358</v>
      </c>
      <c r="F283" s="276" t="s">
        <v>554</v>
      </c>
      <c r="G283" s="276" t="str">
        <f t="shared" si="21"/>
        <v>3آ ف1</v>
      </c>
      <c r="H283" s="241" t="s">
        <v>91</v>
      </c>
      <c r="I283" s="141"/>
      <c r="J283" s="677"/>
      <c r="K283" s="677"/>
      <c r="L283" s="203"/>
      <c r="M283" s="672"/>
      <c r="N283" s="698"/>
      <c r="O283" s="698"/>
      <c r="P283" s="698"/>
    </row>
    <row r="284" spans="1:16" s="697" customFormat="1">
      <c r="A284" s="268">
        <v>173</v>
      </c>
      <c r="B284" s="586" t="s">
        <v>1125</v>
      </c>
      <c r="C284" s="586" t="s">
        <v>118</v>
      </c>
      <c r="D284" s="278">
        <v>38253</v>
      </c>
      <c r="E284" s="405" t="s">
        <v>104</v>
      </c>
      <c r="F284" s="276" t="s">
        <v>554</v>
      </c>
      <c r="G284" s="276" t="str">
        <f t="shared" si="21"/>
        <v>3آ ف1</v>
      </c>
      <c r="H284" s="242" t="s">
        <v>96</v>
      </c>
      <c r="I284" s="141"/>
      <c r="J284" s="417"/>
      <c r="K284" s="417"/>
      <c r="L284" s="203"/>
      <c r="M284" s="672"/>
      <c r="N284" s="698"/>
      <c r="O284" s="698"/>
      <c r="P284" s="698"/>
    </row>
    <row r="285" spans="1:16" s="697" customFormat="1">
      <c r="A285" s="268">
        <v>174</v>
      </c>
      <c r="B285" s="586" t="s">
        <v>1126</v>
      </c>
      <c r="C285" s="586" t="s">
        <v>1127</v>
      </c>
      <c r="D285" s="278">
        <v>38194</v>
      </c>
      <c r="E285" s="262" t="s">
        <v>104</v>
      </c>
      <c r="F285" s="276" t="s">
        <v>554</v>
      </c>
      <c r="G285" s="276" t="str">
        <f t="shared" si="21"/>
        <v>3آ ف1</v>
      </c>
      <c r="H285" s="241" t="s">
        <v>91</v>
      </c>
      <c r="I285" s="141"/>
      <c r="J285" s="677"/>
      <c r="K285" s="677"/>
      <c r="L285" s="203"/>
      <c r="M285" s="672"/>
      <c r="N285" s="698"/>
      <c r="O285" s="698"/>
      <c r="P285" s="698"/>
    </row>
    <row r="286" spans="1:16" s="697" customFormat="1">
      <c r="A286" s="268">
        <v>175</v>
      </c>
      <c r="B286" s="586" t="s">
        <v>516</v>
      </c>
      <c r="C286" s="586" t="s">
        <v>1145</v>
      </c>
      <c r="D286" s="278">
        <v>38689</v>
      </c>
      <c r="E286" s="248" t="s">
        <v>90</v>
      </c>
      <c r="F286" s="276" t="s">
        <v>554</v>
      </c>
      <c r="G286" s="276" t="str">
        <f t="shared" si="21"/>
        <v>3آ ف1</v>
      </c>
      <c r="H286" s="242" t="s">
        <v>96</v>
      </c>
      <c r="I286" s="141"/>
      <c r="J286" s="417"/>
      <c r="K286" s="417"/>
      <c r="L286" s="684"/>
      <c r="M286" s="685"/>
      <c r="N286" s="698"/>
      <c r="O286" s="698"/>
      <c r="P286" s="698"/>
    </row>
    <row r="287" spans="1:16" s="697" customFormat="1" ht="31.5">
      <c r="A287" s="268">
        <v>176</v>
      </c>
      <c r="B287" s="586" t="s">
        <v>516</v>
      </c>
      <c r="C287" s="586" t="s">
        <v>1164</v>
      </c>
      <c r="D287" s="278">
        <v>37937</v>
      </c>
      <c r="E287" s="248" t="s">
        <v>90</v>
      </c>
      <c r="F287" s="276" t="s">
        <v>554</v>
      </c>
      <c r="G287" s="276" t="str">
        <f t="shared" si="21"/>
        <v>3آ ف1</v>
      </c>
      <c r="H287" s="241" t="s">
        <v>91</v>
      </c>
      <c r="I287" s="141"/>
      <c r="J287" s="677"/>
      <c r="K287" s="417"/>
      <c r="L287" s="702"/>
      <c r="M287" s="703"/>
      <c r="N287" s="698"/>
      <c r="O287" s="698"/>
      <c r="P287" s="698"/>
    </row>
    <row r="288" spans="1:16" s="697" customFormat="1" ht="31.5">
      <c r="A288" s="268">
        <v>177</v>
      </c>
      <c r="B288" s="586" t="s">
        <v>684</v>
      </c>
      <c r="C288" s="586" t="s">
        <v>1131</v>
      </c>
      <c r="D288" s="278">
        <v>38836</v>
      </c>
      <c r="E288" s="405" t="s">
        <v>90</v>
      </c>
      <c r="F288" s="276" t="s">
        <v>554</v>
      </c>
      <c r="G288" s="276" t="str">
        <f t="shared" si="21"/>
        <v>3آ ف1</v>
      </c>
      <c r="H288" s="242" t="s">
        <v>96</v>
      </c>
      <c r="I288" s="141"/>
      <c r="J288" s="677"/>
      <c r="K288" s="671"/>
      <c r="L288" s="702"/>
      <c r="M288" s="703"/>
      <c r="N288" s="698"/>
      <c r="O288" s="698"/>
      <c r="P288" s="698"/>
    </row>
    <row r="289" spans="1:16" s="697" customFormat="1">
      <c r="A289" s="268">
        <v>178</v>
      </c>
      <c r="B289" s="586" t="s">
        <v>1217</v>
      </c>
      <c r="C289" s="586" t="s">
        <v>139</v>
      </c>
      <c r="D289" s="278">
        <v>38748</v>
      </c>
      <c r="E289" s="405" t="s">
        <v>104</v>
      </c>
      <c r="F289" s="276" t="s">
        <v>554</v>
      </c>
      <c r="G289" s="276" t="str">
        <f t="shared" si="21"/>
        <v>3آ ف1</v>
      </c>
      <c r="H289" s="241" t="s">
        <v>91</v>
      </c>
      <c r="I289" s="141"/>
      <c r="J289" s="417"/>
      <c r="K289" s="671"/>
      <c r="L289" s="702"/>
      <c r="M289" s="703"/>
      <c r="N289" s="698"/>
      <c r="O289" s="698"/>
      <c r="P289" s="698"/>
    </row>
    <row r="290" spans="1:16" s="697" customFormat="1">
      <c r="A290" s="268">
        <v>179</v>
      </c>
      <c r="B290" s="586" t="s">
        <v>42</v>
      </c>
      <c r="C290" s="586" t="s">
        <v>74</v>
      </c>
      <c r="D290" s="278">
        <v>37961</v>
      </c>
      <c r="E290" s="408" t="s">
        <v>90</v>
      </c>
      <c r="F290" s="276" t="s">
        <v>554</v>
      </c>
      <c r="G290" s="276" t="str">
        <f t="shared" si="21"/>
        <v>3آ ف1</v>
      </c>
      <c r="H290" s="242" t="s">
        <v>96</v>
      </c>
      <c r="I290" s="141"/>
      <c r="J290" s="677"/>
      <c r="K290" s="671"/>
      <c r="L290" s="702"/>
      <c r="M290" s="703"/>
      <c r="N290" s="698"/>
      <c r="O290" s="698"/>
      <c r="P290" s="698"/>
    </row>
    <row r="291" spans="1:16" s="697" customFormat="1">
      <c r="A291" s="268">
        <v>180</v>
      </c>
      <c r="B291" s="586" t="s">
        <v>1152</v>
      </c>
      <c r="C291" s="586" t="s">
        <v>920</v>
      </c>
      <c r="D291" s="278">
        <v>38637</v>
      </c>
      <c r="E291" s="410" t="s">
        <v>1190</v>
      </c>
      <c r="F291" s="276" t="s">
        <v>554</v>
      </c>
      <c r="G291" s="276" t="str">
        <f t="shared" si="21"/>
        <v>3آ ف1</v>
      </c>
      <c r="H291" s="241" t="s">
        <v>91</v>
      </c>
      <c r="I291" s="141"/>
      <c r="J291" s="417"/>
      <c r="K291" s="404"/>
      <c r="L291" s="702"/>
      <c r="M291" s="703"/>
      <c r="N291" s="698"/>
      <c r="O291" s="698"/>
      <c r="P291" s="698"/>
    </row>
    <row r="292" spans="1:16" s="697" customFormat="1" ht="31.5">
      <c r="A292" s="268">
        <v>181</v>
      </c>
      <c r="B292" s="586" t="s">
        <v>903</v>
      </c>
      <c r="C292" s="586" t="s">
        <v>911</v>
      </c>
      <c r="D292" s="278">
        <v>38526</v>
      </c>
      <c r="E292" s="258" t="s">
        <v>90</v>
      </c>
      <c r="F292" s="276" t="s">
        <v>554</v>
      </c>
      <c r="G292" s="276" t="str">
        <f t="shared" si="21"/>
        <v>3آ ف1</v>
      </c>
      <c r="H292" s="242" t="s">
        <v>96</v>
      </c>
      <c r="I292" s="141"/>
      <c r="J292" s="417"/>
      <c r="K292" s="404"/>
      <c r="L292" s="684"/>
      <c r="M292" s="685"/>
      <c r="N292" s="698"/>
      <c r="O292" s="698"/>
      <c r="P292" s="698"/>
    </row>
    <row r="293" spans="1:16" s="697" customFormat="1" ht="31.5">
      <c r="A293" s="268">
        <v>182</v>
      </c>
      <c r="B293" s="586" t="s">
        <v>14</v>
      </c>
      <c r="C293" s="586" t="s">
        <v>974</v>
      </c>
      <c r="D293" s="278">
        <v>38139</v>
      </c>
      <c r="E293" s="262" t="s">
        <v>104</v>
      </c>
      <c r="F293" s="276" t="s">
        <v>554</v>
      </c>
      <c r="G293" s="276" t="str">
        <f t="shared" si="21"/>
        <v>3آ ف1</v>
      </c>
      <c r="H293" s="241" t="s">
        <v>91</v>
      </c>
      <c r="I293" s="141"/>
      <c r="J293" s="604"/>
      <c r="K293" s="404"/>
      <c r="L293" s="678"/>
      <c r="M293" s="679"/>
      <c r="N293" s="698"/>
      <c r="O293" s="698"/>
      <c r="P293" s="698"/>
    </row>
    <row r="294" spans="1:16" s="697" customFormat="1">
      <c r="A294" s="268">
        <v>183</v>
      </c>
      <c r="B294" s="586" t="s">
        <v>20</v>
      </c>
      <c r="C294" s="586" t="s">
        <v>1112</v>
      </c>
      <c r="D294" s="278">
        <v>38400</v>
      </c>
      <c r="E294" s="265" t="s">
        <v>90</v>
      </c>
      <c r="F294" s="276" t="s">
        <v>554</v>
      </c>
      <c r="G294" s="276" t="str">
        <f t="shared" si="21"/>
        <v>3آ ف1</v>
      </c>
      <c r="H294" s="242" t="s">
        <v>96</v>
      </c>
      <c r="I294" s="141"/>
      <c r="J294" s="231"/>
      <c r="K294" s="404"/>
      <c r="L294" s="678"/>
      <c r="M294" s="679"/>
      <c r="N294" s="698"/>
      <c r="O294" s="698"/>
      <c r="P294" s="698"/>
    </row>
    <row r="295" spans="1:16" s="697" customFormat="1" ht="31.5">
      <c r="A295" s="268">
        <v>184</v>
      </c>
      <c r="B295" s="586" t="s">
        <v>44</v>
      </c>
      <c r="C295" s="586" t="s">
        <v>1038</v>
      </c>
      <c r="D295" s="278">
        <v>37995</v>
      </c>
      <c r="E295" s="262" t="s">
        <v>104</v>
      </c>
      <c r="F295" s="276" t="s">
        <v>554</v>
      </c>
      <c r="G295" s="276" t="str">
        <f t="shared" si="21"/>
        <v>3آ ف1</v>
      </c>
      <c r="H295" s="241" t="s">
        <v>91</v>
      </c>
      <c r="I295" s="141"/>
      <c r="J295" s="231"/>
      <c r="K295" s="404"/>
      <c r="L295" s="684"/>
      <c r="M295" s="685"/>
      <c r="N295" s="698"/>
      <c r="O295" s="698"/>
      <c r="P295" s="698"/>
    </row>
    <row r="296" spans="1:16" s="697" customFormat="1">
      <c r="A296" s="268">
        <v>185</v>
      </c>
      <c r="B296" s="586" t="s">
        <v>1008</v>
      </c>
      <c r="C296" s="586" t="s">
        <v>77</v>
      </c>
      <c r="D296" s="278">
        <v>37801</v>
      </c>
      <c r="E296" s="410" t="s">
        <v>90</v>
      </c>
      <c r="F296" s="276" t="s">
        <v>554</v>
      </c>
      <c r="G296" s="276" t="str">
        <f t="shared" si="21"/>
        <v>3آ ف1</v>
      </c>
      <c r="H296" s="242" t="s">
        <v>96</v>
      </c>
      <c r="I296" s="141"/>
      <c r="J296" s="231"/>
      <c r="K296" s="404"/>
      <c r="L296" s="704"/>
      <c r="M296" s="705"/>
      <c r="N296" s="698"/>
      <c r="O296" s="698"/>
      <c r="P296" s="698"/>
    </row>
    <row r="297" spans="1:16" s="697" customFormat="1" ht="31.5">
      <c r="A297" s="268">
        <v>186</v>
      </c>
      <c r="B297" s="586" t="s">
        <v>701</v>
      </c>
      <c r="C297" s="586" t="s">
        <v>702</v>
      </c>
      <c r="D297" s="278">
        <v>37569</v>
      </c>
      <c r="E297" s="216" t="s">
        <v>90</v>
      </c>
      <c r="F297" s="276" t="s">
        <v>554</v>
      </c>
      <c r="G297" s="276" t="str">
        <f t="shared" si="21"/>
        <v>3آ ف1</v>
      </c>
      <c r="H297" s="242" t="s">
        <v>96</v>
      </c>
      <c r="I297" s="141"/>
      <c r="J297" s="231"/>
      <c r="K297" s="417"/>
      <c r="L297" s="678"/>
      <c r="M297" s="679"/>
      <c r="N297" s="698"/>
      <c r="O297" s="698"/>
      <c r="P297" s="698"/>
    </row>
    <row r="298" spans="1:16" s="697" customFormat="1" ht="31.5">
      <c r="A298" s="268">
        <v>187</v>
      </c>
      <c r="B298" s="586" t="s">
        <v>703</v>
      </c>
      <c r="C298" s="586" t="s">
        <v>704</v>
      </c>
      <c r="D298" s="278">
        <v>37827</v>
      </c>
      <c r="E298" s="216" t="s">
        <v>90</v>
      </c>
      <c r="F298" s="276" t="s">
        <v>554</v>
      </c>
      <c r="G298" s="276" t="str">
        <f t="shared" si="21"/>
        <v>3آ ف1</v>
      </c>
      <c r="H298" s="242" t="s">
        <v>96</v>
      </c>
      <c r="I298" s="141"/>
      <c r="J298" s="231"/>
      <c r="K298" s="404"/>
      <c r="L298" s="684"/>
      <c r="M298" s="685"/>
      <c r="N298" s="698"/>
      <c r="O298" s="698"/>
      <c r="P298" s="698"/>
    </row>
    <row r="299" spans="1:16" s="697" customFormat="1">
      <c r="A299" s="268">
        <v>188</v>
      </c>
      <c r="B299" s="586" t="s">
        <v>1121</v>
      </c>
      <c r="C299" s="586" t="s">
        <v>64</v>
      </c>
      <c r="D299" s="278">
        <v>38515</v>
      </c>
      <c r="E299" s="405" t="s">
        <v>90</v>
      </c>
      <c r="F299" s="276" t="s">
        <v>555</v>
      </c>
      <c r="G299" s="276" t="str">
        <f t="shared" si="21"/>
        <v>3آ ف2</v>
      </c>
      <c r="H299" s="240" t="s">
        <v>1458</v>
      </c>
      <c r="I299" s="141"/>
      <c r="J299" s="231"/>
      <c r="K299" s="404"/>
      <c r="L299" s="704"/>
      <c r="M299" s="705"/>
      <c r="N299" s="698"/>
      <c r="O299" s="698"/>
      <c r="P299" s="698"/>
    </row>
    <row r="300" spans="1:16" s="697" customFormat="1">
      <c r="A300" s="268">
        <v>189</v>
      </c>
      <c r="B300" s="586" t="s">
        <v>56</v>
      </c>
      <c r="C300" s="586" t="s">
        <v>38</v>
      </c>
      <c r="D300" s="278">
        <v>38437</v>
      </c>
      <c r="E300" s="258" t="s">
        <v>90</v>
      </c>
      <c r="F300" s="276" t="s">
        <v>555</v>
      </c>
      <c r="G300" s="276" t="str">
        <f t="shared" si="21"/>
        <v>3آ ف2</v>
      </c>
      <c r="H300" s="240" t="s">
        <v>1458</v>
      </c>
      <c r="I300" s="141"/>
      <c r="J300" s="231"/>
      <c r="K300" s="404"/>
      <c r="L300" s="704"/>
      <c r="M300" s="705"/>
      <c r="N300" s="698"/>
      <c r="O300" s="698"/>
      <c r="P300" s="698"/>
    </row>
    <row r="301" spans="1:16" s="697" customFormat="1">
      <c r="A301" s="268">
        <v>190</v>
      </c>
      <c r="B301" s="586" t="s">
        <v>62</v>
      </c>
      <c r="C301" s="586" t="s">
        <v>23</v>
      </c>
      <c r="D301" s="278">
        <v>38589</v>
      </c>
      <c r="E301" s="405" t="s">
        <v>90</v>
      </c>
      <c r="F301" s="276" t="s">
        <v>555</v>
      </c>
      <c r="G301" s="276" t="str">
        <f t="shared" si="21"/>
        <v>3آ ف2</v>
      </c>
      <c r="H301" s="240" t="s">
        <v>1458</v>
      </c>
      <c r="I301" s="141"/>
      <c r="J301" s="231"/>
      <c r="K301" s="404"/>
      <c r="L301" s="704"/>
      <c r="M301" s="705"/>
      <c r="N301" s="698"/>
      <c r="O301" s="698"/>
      <c r="P301" s="698"/>
    </row>
    <row r="302" spans="1:16" s="697" customFormat="1">
      <c r="A302" s="268">
        <v>191</v>
      </c>
      <c r="B302" s="586" t="s">
        <v>63</v>
      </c>
      <c r="C302" s="586" t="s">
        <v>53</v>
      </c>
      <c r="D302" s="278">
        <v>38539</v>
      </c>
      <c r="E302" s="405" t="s">
        <v>90</v>
      </c>
      <c r="F302" s="276" t="s">
        <v>555</v>
      </c>
      <c r="G302" s="276" t="str">
        <f t="shared" si="21"/>
        <v>3آ ف2</v>
      </c>
      <c r="H302" s="240" t="s">
        <v>1458</v>
      </c>
      <c r="I302" s="141"/>
      <c r="J302" s="231"/>
      <c r="K302" s="671" t="s">
        <v>628</v>
      </c>
      <c r="L302" s="704"/>
      <c r="M302" s="705"/>
      <c r="N302" s="698"/>
      <c r="O302" s="698"/>
      <c r="P302" s="698"/>
    </row>
    <row r="303" spans="1:16" s="697" customFormat="1">
      <c r="A303" s="268">
        <v>192</v>
      </c>
      <c r="B303" s="586" t="s">
        <v>532</v>
      </c>
      <c r="C303" s="586" t="s">
        <v>26</v>
      </c>
      <c r="D303" s="278">
        <v>38539</v>
      </c>
      <c r="E303" s="405" t="s">
        <v>104</v>
      </c>
      <c r="F303" s="276" t="s">
        <v>555</v>
      </c>
      <c r="G303" s="276" t="str">
        <f t="shared" si="21"/>
        <v>3آ ف2</v>
      </c>
      <c r="H303" s="240" t="s">
        <v>1458</v>
      </c>
      <c r="I303" s="141"/>
      <c r="J303" s="231"/>
      <c r="K303" s="671" t="s">
        <v>628</v>
      </c>
      <c r="L303" s="678"/>
      <c r="M303" s="679"/>
      <c r="N303" s="698"/>
      <c r="O303" s="698"/>
      <c r="P303" s="698"/>
    </row>
    <row r="304" spans="1:16" s="697" customFormat="1">
      <c r="A304" s="268">
        <v>193</v>
      </c>
      <c r="B304" s="586" t="s">
        <v>114</v>
      </c>
      <c r="C304" s="586" t="s">
        <v>515</v>
      </c>
      <c r="D304" s="278">
        <v>38843</v>
      </c>
      <c r="E304" s="263" t="s">
        <v>90</v>
      </c>
      <c r="F304" s="276" t="s">
        <v>555</v>
      </c>
      <c r="G304" s="276" t="str">
        <f t="shared" si="21"/>
        <v>3آ ف2</v>
      </c>
      <c r="H304" s="241" t="s">
        <v>91</v>
      </c>
      <c r="I304" s="141"/>
      <c r="J304" s="231"/>
      <c r="K304" s="671"/>
      <c r="L304" s="704"/>
      <c r="M304" s="705"/>
      <c r="N304" s="698"/>
      <c r="O304" s="698"/>
      <c r="P304" s="698"/>
    </row>
    <row r="305" spans="1:16" s="697" customFormat="1" ht="31.5">
      <c r="A305" s="268">
        <v>194</v>
      </c>
      <c r="B305" s="586" t="s">
        <v>114</v>
      </c>
      <c r="C305" s="586" t="s">
        <v>700</v>
      </c>
      <c r="D305" s="278">
        <v>37888</v>
      </c>
      <c r="E305" s="215" t="s">
        <v>104</v>
      </c>
      <c r="F305" s="276" t="s">
        <v>555</v>
      </c>
      <c r="G305" s="276" t="str">
        <f t="shared" ref="G305:G368" si="22">F305</f>
        <v>3آ ف2</v>
      </c>
      <c r="H305" s="242" t="s">
        <v>96</v>
      </c>
      <c r="I305" s="141"/>
      <c r="J305" s="231"/>
      <c r="K305" s="671"/>
      <c r="L305" s="704"/>
      <c r="M305" s="705"/>
      <c r="N305" s="698"/>
      <c r="O305" s="698"/>
      <c r="P305" s="698"/>
    </row>
    <row r="306" spans="1:16" s="697" customFormat="1" ht="31.5">
      <c r="A306" s="268">
        <v>195</v>
      </c>
      <c r="B306" s="586" t="s">
        <v>1097</v>
      </c>
      <c r="C306" s="586" t="s">
        <v>1136</v>
      </c>
      <c r="D306" s="278">
        <v>38588</v>
      </c>
      <c r="E306" s="410" t="s">
        <v>104</v>
      </c>
      <c r="F306" s="276" t="s">
        <v>555</v>
      </c>
      <c r="G306" s="276" t="str">
        <f t="shared" si="22"/>
        <v>3آ ف2</v>
      </c>
      <c r="H306" s="242" t="s">
        <v>96</v>
      </c>
      <c r="I306" s="141"/>
      <c r="J306" s="259"/>
      <c r="K306" s="417"/>
      <c r="L306" s="678"/>
      <c r="M306" s="679"/>
      <c r="N306" s="698"/>
      <c r="O306" s="698"/>
      <c r="P306" s="698"/>
    </row>
    <row r="307" spans="1:16" s="697" customFormat="1">
      <c r="A307" s="268">
        <v>196</v>
      </c>
      <c r="B307" s="586" t="s">
        <v>688</v>
      </c>
      <c r="C307" s="586" t="s">
        <v>1100</v>
      </c>
      <c r="D307" s="278">
        <v>37837</v>
      </c>
      <c r="E307" s="265" t="s">
        <v>90</v>
      </c>
      <c r="F307" s="276" t="s">
        <v>555</v>
      </c>
      <c r="G307" s="276" t="str">
        <f t="shared" si="22"/>
        <v>3آ ف2</v>
      </c>
      <c r="H307" s="241" t="s">
        <v>91</v>
      </c>
      <c r="I307" s="141"/>
      <c r="J307" s="259"/>
      <c r="K307" s="404"/>
      <c r="L307" s="704"/>
      <c r="M307" s="705"/>
      <c r="N307" s="698"/>
      <c r="O307" s="698"/>
      <c r="P307" s="698"/>
    </row>
    <row r="308" spans="1:16" s="697" customFormat="1" ht="31.5">
      <c r="A308" s="268">
        <v>197</v>
      </c>
      <c r="B308" s="586" t="s">
        <v>1138</v>
      </c>
      <c r="C308" s="586" t="s">
        <v>1139</v>
      </c>
      <c r="D308" s="278">
        <v>38776</v>
      </c>
      <c r="E308" s="410" t="s">
        <v>104</v>
      </c>
      <c r="F308" s="276" t="s">
        <v>555</v>
      </c>
      <c r="G308" s="276" t="str">
        <f t="shared" si="22"/>
        <v>3آ ف2</v>
      </c>
      <c r="H308" s="241" t="s">
        <v>91</v>
      </c>
      <c r="I308" s="141"/>
      <c r="J308" s="259"/>
      <c r="K308" s="404"/>
      <c r="L308" s="684"/>
      <c r="M308" s="685"/>
      <c r="N308" s="698"/>
      <c r="O308" s="698"/>
      <c r="P308" s="698"/>
    </row>
    <row r="309" spans="1:16" s="697" customFormat="1">
      <c r="A309" s="268">
        <v>198</v>
      </c>
      <c r="B309" s="586" t="s">
        <v>900</v>
      </c>
      <c r="C309" s="586" t="s">
        <v>139</v>
      </c>
      <c r="D309" s="278">
        <v>37800</v>
      </c>
      <c r="E309" s="266" t="s">
        <v>90</v>
      </c>
      <c r="F309" s="276" t="s">
        <v>555</v>
      </c>
      <c r="G309" s="276" t="str">
        <f t="shared" si="22"/>
        <v>3آ ف2</v>
      </c>
      <c r="H309" s="241" t="s">
        <v>91</v>
      </c>
      <c r="I309" s="141"/>
      <c r="J309" s="259"/>
      <c r="K309" s="404"/>
      <c r="L309" s="704"/>
      <c r="M309" s="705"/>
      <c r="N309" s="698"/>
      <c r="O309" s="698"/>
      <c r="P309" s="698"/>
    </row>
    <row r="310" spans="1:16" s="697" customFormat="1" ht="31.5">
      <c r="A310" s="268">
        <v>199</v>
      </c>
      <c r="B310" s="586" t="s">
        <v>1104</v>
      </c>
      <c r="C310" s="586" t="s">
        <v>1105</v>
      </c>
      <c r="D310" s="278">
        <v>38565</v>
      </c>
      <c r="E310" s="262" t="s">
        <v>90</v>
      </c>
      <c r="F310" s="276" t="s">
        <v>555</v>
      </c>
      <c r="G310" s="276" t="str">
        <f t="shared" si="22"/>
        <v>3آ ف2</v>
      </c>
      <c r="H310" s="241" t="s">
        <v>91</v>
      </c>
      <c r="I310" s="141"/>
      <c r="J310" s="259"/>
      <c r="K310" s="417"/>
      <c r="L310" s="704"/>
      <c r="M310" s="705"/>
      <c r="N310" s="698"/>
      <c r="O310" s="698"/>
      <c r="P310" s="698"/>
    </row>
    <row r="311" spans="1:16" s="697" customFormat="1" ht="47.25">
      <c r="A311" s="268">
        <v>200</v>
      </c>
      <c r="B311" s="586" t="s">
        <v>516</v>
      </c>
      <c r="C311" s="586" t="s">
        <v>1106</v>
      </c>
      <c r="D311" s="278">
        <v>38528</v>
      </c>
      <c r="E311" s="237" t="s">
        <v>90</v>
      </c>
      <c r="F311" s="276" t="s">
        <v>555</v>
      </c>
      <c r="G311" s="276" t="str">
        <f t="shared" si="22"/>
        <v>3آ ف2</v>
      </c>
      <c r="H311" s="241" t="s">
        <v>91</v>
      </c>
      <c r="I311" s="141"/>
      <c r="J311" s="259"/>
      <c r="K311" s="404"/>
      <c r="L311" s="704"/>
      <c r="M311" s="705"/>
      <c r="N311" s="698"/>
      <c r="O311" s="698"/>
      <c r="P311" s="698"/>
    </row>
    <row r="312" spans="1:16" s="697" customFormat="1" ht="47.25">
      <c r="A312" s="268">
        <v>201</v>
      </c>
      <c r="B312" s="586" t="s">
        <v>516</v>
      </c>
      <c r="C312" s="586" t="s">
        <v>1128</v>
      </c>
      <c r="D312" s="278">
        <v>38702</v>
      </c>
      <c r="E312" s="405" t="s">
        <v>90</v>
      </c>
      <c r="F312" s="276" t="s">
        <v>555</v>
      </c>
      <c r="G312" s="276" t="str">
        <f t="shared" si="22"/>
        <v>3آ ف2</v>
      </c>
      <c r="H312" s="242" t="s">
        <v>96</v>
      </c>
      <c r="I312" s="141"/>
      <c r="J312" s="259"/>
      <c r="K312" s="404"/>
      <c r="L312" s="203"/>
      <c r="M312" s="672"/>
      <c r="N312" s="698"/>
      <c r="O312" s="698"/>
      <c r="P312" s="698"/>
    </row>
    <row r="313" spans="1:16" s="697" customFormat="1" ht="31.5">
      <c r="A313" s="268">
        <v>202</v>
      </c>
      <c r="B313" s="586" t="s">
        <v>173</v>
      </c>
      <c r="C313" s="586" t="s">
        <v>1149</v>
      </c>
      <c r="D313" s="278">
        <v>38692</v>
      </c>
      <c r="E313" s="410" t="s">
        <v>104</v>
      </c>
      <c r="F313" s="276" t="s">
        <v>555</v>
      </c>
      <c r="G313" s="276" t="str">
        <f t="shared" si="22"/>
        <v>3آ ف2</v>
      </c>
      <c r="H313" s="241" t="s">
        <v>91</v>
      </c>
      <c r="I313" s="141"/>
      <c r="J313" s="259"/>
      <c r="K313" s="404"/>
      <c r="L313" s="684"/>
      <c r="M313" s="685"/>
      <c r="N313" s="698"/>
      <c r="O313" s="698"/>
      <c r="P313" s="698"/>
    </row>
    <row r="314" spans="1:16" s="697" customFormat="1">
      <c r="A314" s="268">
        <v>203</v>
      </c>
      <c r="B314" s="586" t="s">
        <v>162</v>
      </c>
      <c r="C314" s="586" t="s">
        <v>690</v>
      </c>
      <c r="D314" s="278">
        <v>38424</v>
      </c>
      <c r="E314" s="410" t="s">
        <v>90</v>
      </c>
      <c r="F314" s="276" t="s">
        <v>555</v>
      </c>
      <c r="G314" s="276" t="str">
        <f t="shared" si="22"/>
        <v>3آ ف2</v>
      </c>
      <c r="H314" s="241" t="s">
        <v>91</v>
      </c>
      <c r="I314" s="141"/>
      <c r="J314" s="259"/>
      <c r="K314" s="404"/>
      <c r="L314" s="704"/>
      <c r="M314" s="705"/>
      <c r="N314" s="698"/>
      <c r="O314" s="698"/>
      <c r="P314" s="698"/>
    </row>
    <row r="315" spans="1:16" s="697" customFormat="1">
      <c r="A315" s="268">
        <v>204</v>
      </c>
      <c r="B315" s="586" t="s">
        <v>1108</v>
      </c>
      <c r="C315" s="586" t="s">
        <v>1109</v>
      </c>
      <c r="D315" s="278">
        <v>37886</v>
      </c>
      <c r="E315" s="237" t="s">
        <v>90</v>
      </c>
      <c r="F315" s="276" t="s">
        <v>555</v>
      </c>
      <c r="G315" s="276" t="str">
        <f t="shared" si="22"/>
        <v>3آ ف2</v>
      </c>
      <c r="H315" s="241" t="s">
        <v>91</v>
      </c>
      <c r="I315" s="141"/>
      <c r="J315" s="259"/>
      <c r="K315" s="404"/>
      <c r="L315" s="704"/>
      <c r="M315" s="705"/>
      <c r="N315" s="698"/>
      <c r="O315" s="698"/>
      <c r="P315" s="698"/>
    </row>
    <row r="316" spans="1:16" s="697" customFormat="1">
      <c r="A316" s="268">
        <v>205</v>
      </c>
      <c r="B316" s="586" t="s">
        <v>1004</v>
      </c>
      <c r="C316" s="586" t="s">
        <v>21</v>
      </c>
      <c r="D316" s="278">
        <v>37567</v>
      </c>
      <c r="E316" s="263" t="s">
        <v>90</v>
      </c>
      <c r="F316" s="276" t="s">
        <v>555</v>
      </c>
      <c r="G316" s="276" t="str">
        <f t="shared" si="22"/>
        <v>3آ ف2</v>
      </c>
      <c r="H316" s="241" t="s">
        <v>91</v>
      </c>
      <c r="I316" s="141"/>
      <c r="J316" s="259"/>
      <c r="K316" s="404"/>
      <c r="L316" s="704"/>
      <c r="M316" s="705"/>
      <c r="N316" s="698"/>
      <c r="O316" s="698"/>
      <c r="P316" s="698"/>
    </row>
    <row r="317" spans="1:16" s="697" customFormat="1" ht="31.5">
      <c r="A317" s="268">
        <v>206</v>
      </c>
      <c r="B317" s="586" t="s">
        <v>1153</v>
      </c>
      <c r="C317" s="586" t="s">
        <v>1154</v>
      </c>
      <c r="D317" s="278">
        <v>38182</v>
      </c>
      <c r="E317" s="410" t="s">
        <v>1191</v>
      </c>
      <c r="F317" s="276" t="s">
        <v>555</v>
      </c>
      <c r="G317" s="276" t="str">
        <f t="shared" si="22"/>
        <v>3آ ف2</v>
      </c>
      <c r="H317" s="242" t="s">
        <v>96</v>
      </c>
      <c r="I317" s="141"/>
      <c r="J317" s="259"/>
      <c r="K317" s="404"/>
      <c r="L317" s="678"/>
      <c r="M317" s="679"/>
      <c r="N317" s="698"/>
      <c r="O317" s="698"/>
      <c r="P317" s="698"/>
    </row>
    <row r="318" spans="1:16" s="697" customFormat="1">
      <c r="A318" s="268">
        <v>207</v>
      </c>
      <c r="B318" s="586" t="s">
        <v>910</v>
      </c>
      <c r="C318" s="586" t="s">
        <v>142</v>
      </c>
      <c r="D318" s="278">
        <v>38062</v>
      </c>
      <c r="E318" s="267" t="s">
        <v>90</v>
      </c>
      <c r="F318" s="276" t="s">
        <v>555</v>
      </c>
      <c r="G318" s="276" t="str">
        <f t="shared" si="22"/>
        <v>3آ ف2</v>
      </c>
      <c r="H318" s="241" t="s">
        <v>91</v>
      </c>
      <c r="I318" s="141"/>
      <c r="J318" s="259"/>
      <c r="K318" s="417"/>
      <c r="L318" s="678"/>
      <c r="M318" s="679"/>
      <c r="N318" s="698"/>
      <c r="O318" s="698"/>
      <c r="P318" s="698"/>
    </row>
    <row r="319" spans="1:16" s="697" customFormat="1">
      <c r="A319" s="268">
        <v>208</v>
      </c>
      <c r="B319" s="586" t="s">
        <v>903</v>
      </c>
      <c r="C319" s="586" t="s">
        <v>904</v>
      </c>
      <c r="D319" s="278">
        <v>37517</v>
      </c>
      <c r="E319" s="266" t="s">
        <v>104</v>
      </c>
      <c r="F319" s="276" t="s">
        <v>555</v>
      </c>
      <c r="G319" s="276" t="str">
        <f t="shared" si="22"/>
        <v>3آ ف2</v>
      </c>
      <c r="H319" s="241" t="s">
        <v>91</v>
      </c>
      <c r="I319" s="141"/>
      <c r="J319" s="259"/>
      <c r="K319" s="404"/>
      <c r="L319" s="704"/>
      <c r="M319" s="705"/>
      <c r="N319" s="698"/>
      <c r="O319" s="698"/>
      <c r="P319" s="698"/>
    </row>
    <row r="320" spans="1:16" s="697" customFormat="1">
      <c r="A320" s="268">
        <v>209</v>
      </c>
      <c r="B320" s="586" t="s">
        <v>835</v>
      </c>
      <c r="C320" s="586" t="s">
        <v>920</v>
      </c>
      <c r="D320" s="278">
        <v>38155</v>
      </c>
      <c r="E320" s="410" t="s">
        <v>90</v>
      </c>
      <c r="F320" s="276" t="s">
        <v>555</v>
      </c>
      <c r="G320" s="276" t="str">
        <f t="shared" si="22"/>
        <v>3آ ف2</v>
      </c>
      <c r="H320" s="241" t="s">
        <v>91</v>
      </c>
      <c r="I320" s="141"/>
      <c r="J320" s="259"/>
      <c r="K320" s="404"/>
      <c r="L320" s="704"/>
      <c r="M320" s="705"/>
      <c r="N320" s="698"/>
      <c r="O320" s="698"/>
      <c r="P320" s="698"/>
    </row>
    <row r="321" spans="1:21" s="697" customFormat="1">
      <c r="A321" s="268">
        <v>210</v>
      </c>
      <c r="B321" s="586" t="s">
        <v>1156</v>
      </c>
      <c r="C321" s="586" t="s">
        <v>1012</v>
      </c>
      <c r="D321" s="278">
        <v>38204</v>
      </c>
      <c r="E321" s="411" t="s">
        <v>104</v>
      </c>
      <c r="F321" s="276" t="s">
        <v>555</v>
      </c>
      <c r="G321" s="276" t="str">
        <f t="shared" si="22"/>
        <v>3آ ف2</v>
      </c>
      <c r="H321" s="241" t="s">
        <v>91</v>
      </c>
      <c r="I321" s="141"/>
      <c r="J321" s="259"/>
      <c r="K321" s="404"/>
      <c r="L321" s="678"/>
      <c r="M321" s="679"/>
      <c r="N321" s="698"/>
      <c r="O321" s="698"/>
      <c r="P321" s="698"/>
    </row>
    <row r="322" spans="1:21" s="697" customFormat="1">
      <c r="A322" s="268">
        <v>211</v>
      </c>
      <c r="B322" s="586" t="s">
        <v>24</v>
      </c>
      <c r="C322" s="586" t="s">
        <v>939</v>
      </c>
      <c r="D322" s="278">
        <v>37754</v>
      </c>
      <c r="E322" s="405" t="s">
        <v>90</v>
      </c>
      <c r="F322" s="276" t="s">
        <v>555</v>
      </c>
      <c r="G322" s="276" t="str">
        <f t="shared" si="22"/>
        <v>3آ ف2</v>
      </c>
      <c r="H322" s="242" t="s">
        <v>96</v>
      </c>
      <c r="I322" s="141"/>
      <c r="J322" s="259"/>
      <c r="K322" s="404"/>
      <c r="L322" s="704"/>
      <c r="M322" s="705"/>
      <c r="N322" s="698"/>
      <c r="O322" s="698"/>
      <c r="P322" s="698"/>
    </row>
    <row r="323" spans="1:21" s="697" customFormat="1" ht="31.5">
      <c r="A323" s="268">
        <v>212</v>
      </c>
      <c r="B323" s="586" t="s">
        <v>68</v>
      </c>
      <c r="C323" s="586" t="s">
        <v>120</v>
      </c>
      <c r="D323" s="278">
        <v>38606</v>
      </c>
      <c r="E323" s="405" t="s">
        <v>90</v>
      </c>
      <c r="F323" s="275" t="s">
        <v>9</v>
      </c>
      <c r="G323" s="276" t="str">
        <f t="shared" si="22"/>
        <v>3ل أ</v>
      </c>
      <c r="H323" s="240" t="s">
        <v>1458</v>
      </c>
      <c r="I323" s="141"/>
      <c r="J323" s="259"/>
      <c r="K323" s="671" t="s">
        <v>628</v>
      </c>
      <c r="L323" s="706"/>
      <c r="M323" s="707"/>
      <c r="N323" s="698"/>
      <c r="O323" s="698"/>
      <c r="P323" s="698"/>
    </row>
    <row r="324" spans="1:21" s="697" customFormat="1" ht="31.5">
      <c r="A324" s="268">
        <v>213</v>
      </c>
      <c r="B324" s="586" t="s">
        <v>1143</v>
      </c>
      <c r="C324" s="586" t="s">
        <v>1144</v>
      </c>
      <c r="D324" s="278">
        <v>38473</v>
      </c>
      <c r="E324" s="410" t="s">
        <v>90</v>
      </c>
      <c r="F324" s="275" t="s">
        <v>9</v>
      </c>
      <c r="G324" s="276" t="str">
        <f t="shared" si="22"/>
        <v>3ل أ</v>
      </c>
      <c r="H324" s="240" t="s">
        <v>1459</v>
      </c>
      <c r="I324" s="141"/>
      <c r="J324" s="259"/>
      <c r="K324" s="671" t="s">
        <v>628</v>
      </c>
      <c r="L324" s="203"/>
      <c r="M324" s="672"/>
      <c r="N324" s="698"/>
      <c r="O324" s="698"/>
      <c r="P324" s="698"/>
    </row>
    <row r="325" spans="1:21" s="697" customFormat="1" ht="31.5">
      <c r="A325" s="268">
        <v>214</v>
      </c>
      <c r="B325" s="586" t="s">
        <v>55</v>
      </c>
      <c r="C325" s="586" t="s">
        <v>885</v>
      </c>
      <c r="D325" s="278">
        <v>37824</v>
      </c>
      <c r="E325" s="262" t="s">
        <v>104</v>
      </c>
      <c r="F325" s="275" t="s">
        <v>9</v>
      </c>
      <c r="G325" s="276" t="str">
        <f t="shared" si="22"/>
        <v>3ل أ</v>
      </c>
      <c r="H325" s="240" t="s">
        <v>1458</v>
      </c>
      <c r="I325" s="141"/>
      <c r="J325" s="259"/>
      <c r="K325" s="671" t="s">
        <v>628</v>
      </c>
      <c r="L325" s="203"/>
      <c r="M325" s="672"/>
      <c r="N325" s="698"/>
      <c r="O325" s="698"/>
      <c r="P325" s="698"/>
    </row>
    <row r="326" spans="1:21" s="697" customFormat="1">
      <c r="A326" s="268">
        <v>215</v>
      </c>
      <c r="B326" s="586" t="s">
        <v>44</v>
      </c>
      <c r="C326" s="586" t="s">
        <v>67</v>
      </c>
      <c r="D326" s="278">
        <v>37763</v>
      </c>
      <c r="E326" s="267" t="s">
        <v>90</v>
      </c>
      <c r="F326" s="275" t="s">
        <v>9</v>
      </c>
      <c r="G326" s="276" t="str">
        <f t="shared" si="22"/>
        <v>3ل أ</v>
      </c>
      <c r="H326" s="240" t="s">
        <v>1458</v>
      </c>
      <c r="I326" s="141"/>
      <c r="J326" s="259"/>
      <c r="K326" s="671"/>
      <c r="L326" s="203"/>
      <c r="M326" s="672"/>
      <c r="N326" s="698"/>
      <c r="O326" s="698"/>
      <c r="P326" s="698"/>
    </row>
    <row r="327" spans="1:21" s="697" customFormat="1">
      <c r="A327" s="268">
        <v>216</v>
      </c>
      <c r="B327" s="586" t="s">
        <v>351</v>
      </c>
      <c r="C327" s="586" t="s">
        <v>139</v>
      </c>
      <c r="D327" s="278">
        <v>38806</v>
      </c>
      <c r="E327" s="248" t="s">
        <v>90</v>
      </c>
      <c r="F327" s="275" t="s">
        <v>9</v>
      </c>
      <c r="G327" s="276" t="str">
        <f t="shared" si="22"/>
        <v>3ل أ</v>
      </c>
      <c r="H327" s="240" t="s">
        <v>1458</v>
      </c>
      <c r="I327" s="141"/>
      <c r="J327" s="259"/>
      <c r="K327" s="417"/>
      <c r="L327" s="203"/>
      <c r="M327" s="672"/>
      <c r="N327" s="698"/>
      <c r="O327" s="698"/>
      <c r="P327" s="698"/>
    </row>
    <row r="328" spans="1:21" s="697" customFormat="1">
      <c r="A328" s="268">
        <v>217</v>
      </c>
      <c r="B328" s="586" t="s">
        <v>508</v>
      </c>
      <c r="C328" s="586" t="s">
        <v>61</v>
      </c>
      <c r="D328" s="278">
        <v>38604</v>
      </c>
      <c r="E328" s="248" t="s">
        <v>104</v>
      </c>
      <c r="F328" s="275" t="s">
        <v>9</v>
      </c>
      <c r="G328" s="276" t="str">
        <f t="shared" si="22"/>
        <v>3ل أ</v>
      </c>
      <c r="H328" s="240" t="s">
        <v>1458</v>
      </c>
      <c r="I328" s="141"/>
      <c r="J328" s="259"/>
      <c r="K328" s="404"/>
      <c r="L328" s="203"/>
      <c r="M328" s="672"/>
      <c r="N328" s="698"/>
      <c r="O328" s="698"/>
      <c r="P328" s="698"/>
    </row>
    <row r="329" spans="1:21" s="697" customFormat="1">
      <c r="A329" s="268">
        <v>218</v>
      </c>
      <c r="B329" s="586" t="s">
        <v>63</v>
      </c>
      <c r="C329" s="586" t="s">
        <v>1074</v>
      </c>
      <c r="D329" s="278">
        <v>38391</v>
      </c>
      <c r="E329" s="248" t="s">
        <v>104</v>
      </c>
      <c r="F329" s="275" t="s">
        <v>9</v>
      </c>
      <c r="G329" s="276" t="str">
        <f t="shared" si="22"/>
        <v>3ل أ</v>
      </c>
      <c r="H329" s="240" t="s">
        <v>1458</v>
      </c>
      <c r="I329" s="141"/>
      <c r="J329" s="259"/>
      <c r="K329" s="404"/>
      <c r="L329" s="702"/>
      <c r="M329" s="703"/>
      <c r="N329" s="698"/>
      <c r="O329" s="698"/>
      <c r="P329" s="698"/>
    </row>
    <row r="330" spans="1:21" s="697" customFormat="1" ht="31.5">
      <c r="A330" s="268">
        <v>219</v>
      </c>
      <c r="B330" s="586" t="s">
        <v>679</v>
      </c>
      <c r="C330" s="586" t="s">
        <v>908</v>
      </c>
      <c r="D330" s="278">
        <v>38315</v>
      </c>
      <c r="E330" s="258" t="s">
        <v>90</v>
      </c>
      <c r="F330" s="275" t="s">
        <v>9</v>
      </c>
      <c r="G330" s="276" t="str">
        <f t="shared" si="22"/>
        <v>3ل أ</v>
      </c>
      <c r="H330" s="240" t="s">
        <v>1458</v>
      </c>
      <c r="I330" s="141"/>
      <c r="J330" s="259"/>
      <c r="K330" s="404"/>
      <c r="L330" s="203"/>
      <c r="M330" s="672"/>
      <c r="N330" s="698"/>
      <c r="O330" s="698"/>
      <c r="P330" s="698"/>
    </row>
    <row r="331" spans="1:21" s="697" customFormat="1" ht="20.25">
      <c r="A331" s="268">
        <v>220</v>
      </c>
      <c r="B331" s="586" t="s">
        <v>679</v>
      </c>
      <c r="C331" s="586" t="s">
        <v>94</v>
      </c>
      <c r="D331" s="247">
        <v>38717</v>
      </c>
      <c r="E331" s="247" t="s">
        <v>90</v>
      </c>
      <c r="F331" s="275" t="s">
        <v>9</v>
      </c>
      <c r="G331" s="276" t="str">
        <f t="shared" si="22"/>
        <v>3ل أ</v>
      </c>
      <c r="H331" s="240" t="s">
        <v>1459</v>
      </c>
      <c r="I331" s="141"/>
      <c r="J331" s="259"/>
      <c r="K331" s="404"/>
      <c r="L331" s="203"/>
      <c r="M331" s="1563" t="s">
        <v>338</v>
      </c>
      <c r="N331" s="1563"/>
      <c r="O331" s="1563"/>
      <c r="P331" s="1563"/>
      <c r="Q331" s="1563"/>
      <c r="R331" s="1563"/>
      <c r="S331" s="1563"/>
      <c r="T331" s="1563"/>
      <c r="U331" s="1563"/>
    </row>
    <row r="332" spans="1:21" s="697" customFormat="1" ht="31.5">
      <c r="A332" s="268">
        <v>221</v>
      </c>
      <c r="B332" s="586" t="s">
        <v>155</v>
      </c>
      <c r="C332" s="586" t="s">
        <v>1159</v>
      </c>
      <c r="D332" s="278">
        <v>38605</v>
      </c>
      <c r="E332" s="410" t="s">
        <v>90</v>
      </c>
      <c r="F332" s="275" t="s">
        <v>9</v>
      </c>
      <c r="G332" s="276" t="str">
        <f t="shared" si="22"/>
        <v>3ل أ</v>
      </c>
      <c r="H332" s="240" t="s">
        <v>1459</v>
      </c>
      <c r="I332" s="141"/>
      <c r="J332" s="259"/>
      <c r="K332" s="404"/>
      <c r="L332" s="203"/>
      <c r="M332" s="672"/>
      <c r="N332" s="698"/>
      <c r="O332" s="698"/>
      <c r="P332" s="698"/>
      <c r="T332" s="156" t="s">
        <v>754</v>
      </c>
      <c r="U332" s="156" t="s">
        <v>755</v>
      </c>
    </row>
    <row r="333" spans="1:21" s="697" customFormat="1">
      <c r="A333" s="268">
        <v>222</v>
      </c>
      <c r="B333" s="586" t="s">
        <v>186</v>
      </c>
      <c r="C333" s="586" t="s">
        <v>53</v>
      </c>
      <c r="D333" s="278">
        <v>38833</v>
      </c>
      <c r="E333" s="248" t="s">
        <v>90</v>
      </c>
      <c r="F333" s="275" t="s">
        <v>9</v>
      </c>
      <c r="G333" s="276" t="str">
        <f t="shared" si="22"/>
        <v>3ل أ</v>
      </c>
      <c r="H333" s="241" t="s">
        <v>91</v>
      </c>
      <c r="I333" s="141"/>
      <c r="J333" s="259"/>
      <c r="K333" s="404"/>
      <c r="L333" s="684"/>
      <c r="M333" s="685"/>
      <c r="N333" s="698"/>
      <c r="O333" s="698"/>
      <c r="P333" s="698"/>
      <c r="T333" s="156">
        <v>5</v>
      </c>
      <c r="U333" s="156">
        <v>6</v>
      </c>
    </row>
    <row r="334" spans="1:21" s="697" customFormat="1" ht="31.5">
      <c r="A334" s="268">
        <v>223</v>
      </c>
      <c r="B334" s="586" t="s">
        <v>1163</v>
      </c>
      <c r="C334" s="586" t="s">
        <v>1022</v>
      </c>
      <c r="D334" s="278">
        <v>38249</v>
      </c>
      <c r="E334" s="405" t="s">
        <v>90</v>
      </c>
      <c r="F334" s="275" t="s">
        <v>9</v>
      </c>
      <c r="G334" s="276" t="str">
        <f t="shared" si="22"/>
        <v>3ل أ</v>
      </c>
      <c r="H334" s="242" t="s">
        <v>96</v>
      </c>
      <c r="I334" s="141"/>
      <c r="J334" s="259"/>
      <c r="K334" s="404"/>
      <c r="L334" s="704"/>
      <c r="M334" s="705"/>
      <c r="N334" s="698"/>
      <c r="O334" s="698"/>
      <c r="P334" s="698"/>
      <c r="T334" s="141" t="s">
        <v>756</v>
      </c>
      <c r="U334" s="141" t="s">
        <v>757</v>
      </c>
    </row>
    <row r="335" spans="1:21" s="697" customFormat="1" ht="31.5">
      <c r="A335" s="268">
        <v>224</v>
      </c>
      <c r="B335" s="586" t="s">
        <v>116</v>
      </c>
      <c r="C335" s="586" t="s">
        <v>1256</v>
      </c>
      <c r="D335" s="278">
        <v>37774</v>
      </c>
      <c r="E335" s="248" t="s">
        <v>104</v>
      </c>
      <c r="F335" s="275" t="s">
        <v>9</v>
      </c>
      <c r="G335" s="276" t="str">
        <f t="shared" si="22"/>
        <v>3ل أ</v>
      </c>
      <c r="H335" s="241" t="s">
        <v>91</v>
      </c>
      <c r="I335" s="141"/>
      <c r="J335" s="259"/>
      <c r="K335" s="417"/>
      <c r="L335" s="203"/>
      <c r="M335" s="672"/>
      <c r="N335" s="698"/>
      <c r="O335" s="698"/>
      <c r="P335" s="698"/>
      <c r="T335" s="141" t="s">
        <v>758</v>
      </c>
      <c r="U335" s="141" t="s">
        <v>759</v>
      </c>
    </row>
    <row r="336" spans="1:21" s="697" customFormat="1">
      <c r="A336" s="268">
        <v>225</v>
      </c>
      <c r="B336" s="586" t="s">
        <v>1082</v>
      </c>
      <c r="C336" s="586" t="s">
        <v>1083</v>
      </c>
      <c r="D336" s="278">
        <v>38551</v>
      </c>
      <c r="E336" s="262" t="s">
        <v>90</v>
      </c>
      <c r="F336" s="275" t="s">
        <v>9</v>
      </c>
      <c r="G336" s="276" t="str">
        <f t="shared" si="22"/>
        <v>3ل أ</v>
      </c>
      <c r="H336" s="241" t="s">
        <v>91</v>
      </c>
      <c r="I336" s="141"/>
      <c r="J336" s="259"/>
      <c r="K336" s="417"/>
      <c r="L336" s="203"/>
      <c r="M336" s="672"/>
      <c r="N336" s="698"/>
      <c r="O336" s="698"/>
      <c r="P336" s="698"/>
      <c r="T336" s="141" t="s">
        <v>760</v>
      </c>
      <c r="U336" s="141" t="s">
        <v>761</v>
      </c>
    </row>
    <row r="337" spans="1:21" s="697" customFormat="1" ht="31.5">
      <c r="A337" s="268">
        <v>226</v>
      </c>
      <c r="B337" s="586" t="s">
        <v>1129</v>
      </c>
      <c r="C337" s="586" t="s">
        <v>1130</v>
      </c>
      <c r="D337" s="278">
        <v>38195</v>
      </c>
      <c r="E337" s="405" t="s">
        <v>90</v>
      </c>
      <c r="F337" s="275" t="s">
        <v>9</v>
      </c>
      <c r="G337" s="276" t="str">
        <f t="shared" si="22"/>
        <v>3ل أ</v>
      </c>
      <c r="H337" s="242" t="s">
        <v>96</v>
      </c>
      <c r="I337" s="141"/>
      <c r="J337" s="259"/>
      <c r="K337" s="404"/>
      <c r="L337" s="203"/>
      <c r="M337" s="672"/>
      <c r="N337" s="698"/>
      <c r="O337" s="698"/>
      <c r="P337" s="698"/>
      <c r="T337" s="141" t="s">
        <v>762</v>
      </c>
      <c r="U337" s="141" t="s">
        <v>763</v>
      </c>
    </row>
    <row r="338" spans="1:21" s="697" customFormat="1" ht="31.5">
      <c r="A338" s="268">
        <v>227</v>
      </c>
      <c r="B338" s="586" t="s">
        <v>918</v>
      </c>
      <c r="C338" s="586" t="s">
        <v>676</v>
      </c>
      <c r="D338" s="278">
        <v>37670</v>
      </c>
      <c r="E338" s="587" t="s">
        <v>90</v>
      </c>
      <c r="F338" s="275" t="s">
        <v>9</v>
      </c>
      <c r="G338" s="276" t="str">
        <f t="shared" si="22"/>
        <v>3ل أ</v>
      </c>
      <c r="H338" s="241" t="s">
        <v>91</v>
      </c>
      <c r="I338" s="141"/>
      <c r="J338" s="259"/>
      <c r="K338" s="404"/>
      <c r="L338" s="203"/>
      <c r="M338" s="672"/>
      <c r="N338" s="698"/>
      <c r="O338" s="698"/>
      <c r="P338" s="698"/>
      <c r="T338" s="141" t="s">
        <v>762</v>
      </c>
      <c r="U338" s="141" t="s">
        <v>763</v>
      </c>
    </row>
    <row r="339" spans="1:21" s="697" customFormat="1" ht="31.5">
      <c r="A339" s="268">
        <v>228</v>
      </c>
      <c r="B339" s="586" t="s">
        <v>1146</v>
      </c>
      <c r="C339" s="586" t="s">
        <v>1147</v>
      </c>
      <c r="D339" s="278">
        <v>37809</v>
      </c>
      <c r="E339" s="410" t="s">
        <v>104</v>
      </c>
      <c r="F339" s="275" t="s">
        <v>9</v>
      </c>
      <c r="G339" s="276" t="str">
        <f t="shared" si="22"/>
        <v>3ل أ</v>
      </c>
      <c r="H339" s="242" t="s">
        <v>96</v>
      </c>
      <c r="I339" s="141"/>
      <c r="J339" s="259"/>
      <c r="K339" s="404"/>
      <c r="L339" s="203"/>
      <c r="M339" s="672"/>
      <c r="N339" s="698"/>
      <c r="O339" s="698"/>
      <c r="P339" s="698"/>
      <c r="T339" s="141" t="s">
        <v>764</v>
      </c>
      <c r="U339" s="141" t="s">
        <v>765</v>
      </c>
    </row>
    <row r="340" spans="1:21" s="697" customFormat="1">
      <c r="A340" s="268">
        <v>229</v>
      </c>
      <c r="B340" s="586" t="s">
        <v>674</v>
      </c>
      <c r="C340" s="586" t="s">
        <v>1031</v>
      </c>
      <c r="D340" s="278">
        <v>38774</v>
      </c>
      <c r="E340" s="262" t="s">
        <v>104</v>
      </c>
      <c r="F340" s="275" t="s">
        <v>9</v>
      </c>
      <c r="G340" s="276" t="str">
        <f t="shared" si="22"/>
        <v>3ل أ</v>
      </c>
      <c r="H340" s="241" t="s">
        <v>91</v>
      </c>
      <c r="I340" s="141"/>
      <c r="J340" s="231"/>
      <c r="K340" s="671" t="s">
        <v>628</v>
      </c>
      <c r="L340" s="203"/>
      <c r="M340" s="672"/>
      <c r="N340" s="698"/>
      <c r="O340" s="698"/>
      <c r="P340" s="698"/>
      <c r="T340" s="141" t="s">
        <v>766</v>
      </c>
      <c r="U340" s="141" t="s">
        <v>767</v>
      </c>
    </row>
    <row r="341" spans="1:21" s="697" customFormat="1">
      <c r="A341" s="268">
        <v>230</v>
      </c>
      <c r="B341" s="586" t="s">
        <v>72</v>
      </c>
      <c r="C341" s="586" t="s">
        <v>520</v>
      </c>
      <c r="D341" s="278">
        <v>38591</v>
      </c>
      <c r="E341" s="266" t="s">
        <v>104</v>
      </c>
      <c r="F341" s="275" t="s">
        <v>9</v>
      </c>
      <c r="G341" s="276" t="str">
        <f t="shared" si="22"/>
        <v>3ل أ</v>
      </c>
      <c r="H341" s="241" t="s">
        <v>91</v>
      </c>
      <c r="I341" s="141"/>
      <c r="J341" s="231"/>
      <c r="K341" s="671" t="s">
        <v>1873</v>
      </c>
      <c r="L341" s="203"/>
      <c r="M341" s="672"/>
      <c r="N341" s="698"/>
      <c r="O341" s="698"/>
      <c r="P341" s="698"/>
    </row>
    <row r="342" spans="1:21" s="697" customFormat="1" ht="31.5">
      <c r="A342" s="268">
        <v>231</v>
      </c>
      <c r="B342" s="586" t="s">
        <v>1257</v>
      </c>
      <c r="C342" s="586" t="s">
        <v>1258</v>
      </c>
      <c r="D342" s="247">
        <v>38181</v>
      </c>
      <c r="E342" s="405" t="s">
        <v>90</v>
      </c>
      <c r="F342" s="275" t="s">
        <v>9</v>
      </c>
      <c r="G342" s="276" t="str">
        <f t="shared" si="22"/>
        <v>3ل أ</v>
      </c>
      <c r="H342" s="242" t="s">
        <v>96</v>
      </c>
      <c r="I342" s="141"/>
      <c r="J342" s="231"/>
      <c r="K342" s="671" t="s">
        <v>628</v>
      </c>
      <c r="L342" s="203"/>
      <c r="M342" s="672"/>
      <c r="N342" s="698"/>
      <c r="O342" s="667"/>
      <c r="P342" s="698"/>
    </row>
    <row r="343" spans="1:21" s="697" customFormat="1" ht="32.25">
      <c r="A343" s="268">
        <v>232</v>
      </c>
      <c r="B343" s="586" t="s">
        <v>1259</v>
      </c>
      <c r="C343" s="586" t="s">
        <v>139</v>
      </c>
      <c r="D343" s="278">
        <v>38059</v>
      </c>
      <c r="E343" s="405" t="s">
        <v>90</v>
      </c>
      <c r="F343" s="275" t="s">
        <v>9</v>
      </c>
      <c r="G343" s="276" t="str">
        <f t="shared" si="22"/>
        <v>3ل أ</v>
      </c>
      <c r="H343" s="241" t="s">
        <v>91</v>
      </c>
      <c r="I343" s="141"/>
      <c r="J343" s="231"/>
      <c r="K343" s="671"/>
      <c r="L343" s="203"/>
      <c r="M343" s="672"/>
      <c r="N343" s="698"/>
      <c r="O343" s="670"/>
      <c r="P343" s="698"/>
    </row>
    <row r="344" spans="1:21" s="697" customFormat="1" ht="20.25">
      <c r="A344" s="268">
        <v>233</v>
      </c>
      <c r="B344" s="586" t="s">
        <v>100</v>
      </c>
      <c r="C344" s="586" t="s">
        <v>999</v>
      </c>
      <c r="D344" s="278">
        <v>38763</v>
      </c>
      <c r="E344" s="405" t="s">
        <v>90</v>
      </c>
      <c r="F344" s="275" t="s">
        <v>9</v>
      </c>
      <c r="G344" s="276" t="str">
        <f t="shared" si="22"/>
        <v>3ل أ</v>
      </c>
      <c r="H344" s="241" t="s">
        <v>91</v>
      </c>
      <c r="I344" s="141"/>
      <c r="J344" s="231"/>
      <c r="K344" s="671" t="s">
        <v>628</v>
      </c>
      <c r="L344" s="203"/>
      <c r="M344" s="672"/>
      <c r="N344" s="698"/>
      <c r="O344" s="670"/>
      <c r="P344" s="698"/>
    </row>
    <row r="345" spans="1:21" s="697" customFormat="1" ht="31.5">
      <c r="A345" s="268">
        <v>234</v>
      </c>
      <c r="B345" s="586" t="s">
        <v>937</v>
      </c>
      <c r="C345" s="586" t="s">
        <v>938</v>
      </c>
      <c r="D345" s="278">
        <v>38213</v>
      </c>
      <c r="E345" s="266" t="s">
        <v>90</v>
      </c>
      <c r="F345" s="275" t="s">
        <v>9</v>
      </c>
      <c r="G345" s="276" t="str">
        <f t="shared" si="22"/>
        <v>3ل أ</v>
      </c>
      <c r="H345" s="242" t="s">
        <v>96</v>
      </c>
      <c r="I345" s="141"/>
      <c r="J345" s="231"/>
      <c r="K345" s="671"/>
      <c r="L345" s="203"/>
      <c r="M345" s="672"/>
      <c r="N345" s="698"/>
      <c r="O345" s="169"/>
      <c r="P345" s="698"/>
    </row>
    <row r="346" spans="1:21" s="697" customFormat="1">
      <c r="A346" s="268">
        <v>235</v>
      </c>
      <c r="B346" s="586" t="s">
        <v>126</v>
      </c>
      <c r="C346" s="586" t="s">
        <v>907</v>
      </c>
      <c r="D346" s="278">
        <v>38392</v>
      </c>
      <c r="E346" s="247" t="s">
        <v>90</v>
      </c>
      <c r="F346" s="275" t="s">
        <v>9</v>
      </c>
      <c r="G346" s="276" t="str">
        <f t="shared" si="22"/>
        <v>3ل أ</v>
      </c>
      <c r="H346" s="241" t="s">
        <v>91</v>
      </c>
      <c r="I346" s="141"/>
      <c r="J346" s="231"/>
      <c r="K346" s="404"/>
      <c r="L346" s="203"/>
      <c r="M346" s="672"/>
      <c r="N346" s="698"/>
      <c r="O346" s="169"/>
      <c r="P346" s="698"/>
    </row>
    <row r="347" spans="1:21" s="697" customFormat="1">
      <c r="A347" s="268">
        <v>236</v>
      </c>
      <c r="B347" s="586" t="s">
        <v>1070</v>
      </c>
      <c r="C347" s="586" t="s">
        <v>1071</v>
      </c>
      <c r="D347" s="278">
        <v>38632</v>
      </c>
      <c r="E347" s="266" t="s">
        <v>90</v>
      </c>
      <c r="F347" s="275" t="s">
        <v>9</v>
      </c>
      <c r="G347" s="276" t="str">
        <f t="shared" si="22"/>
        <v>3ل أ</v>
      </c>
      <c r="H347" s="241" t="s">
        <v>91</v>
      </c>
      <c r="I347" s="141"/>
      <c r="J347" s="231"/>
      <c r="K347" s="404"/>
      <c r="L347" s="203"/>
      <c r="M347" s="672"/>
      <c r="N347" s="698"/>
      <c r="O347" s="169"/>
      <c r="P347" s="698"/>
    </row>
    <row r="348" spans="1:21" s="697" customFormat="1">
      <c r="A348" s="268">
        <v>237</v>
      </c>
      <c r="B348" s="586" t="s">
        <v>705</v>
      </c>
      <c r="C348" s="586" t="s">
        <v>706</v>
      </c>
      <c r="D348" s="278">
        <v>37928</v>
      </c>
      <c r="E348" s="247" t="s">
        <v>90</v>
      </c>
      <c r="F348" s="275" t="s">
        <v>9</v>
      </c>
      <c r="G348" s="276" t="str">
        <f t="shared" si="22"/>
        <v>3ل أ</v>
      </c>
      <c r="H348" s="242" t="s">
        <v>96</v>
      </c>
      <c r="I348" s="141"/>
      <c r="J348" s="231"/>
      <c r="K348" s="404"/>
      <c r="L348" s="203"/>
      <c r="M348" s="672"/>
      <c r="N348" s="698"/>
      <c r="O348" s="169"/>
      <c r="P348" s="698"/>
    </row>
    <row r="349" spans="1:21" s="697" customFormat="1" ht="31.5">
      <c r="A349" s="268">
        <v>238</v>
      </c>
      <c r="B349" s="586" t="s">
        <v>1347</v>
      </c>
      <c r="C349" s="586" t="s">
        <v>1442</v>
      </c>
      <c r="D349" s="278">
        <v>39039</v>
      </c>
      <c r="E349" s="589" t="s">
        <v>90</v>
      </c>
      <c r="F349" s="276" t="s">
        <v>6</v>
      </c>
      <c r="G349" s="276" t="str">
        <f t="shared" si="22"/>
        <v>2ت ر</v>
      </c>
      <c r="H349" s="242" t="s">
        <v>96</v>
      </c>
      <c r="I349" s="141"/>
      <c r="J349" s="231"/>
      <c r="K349" s="404"/>
      <c r="L349" s="203"/>
      <c r="M349" s="672"/>
      <c r="N349" s="698"/>
      <c r="O349" s="169"/>
      <c r="P349" s="698"/>
    </row>
    <row r="350" spans="1:21" s="697" customFormat="1">
      <c r="A350" s="268">
        <v>239</v>
      </c>
      <c r="B350" s="586" t="s">
        <v>1301</v>
      </c>
      <c r="C350" s="586" t="s">
        <v>1302</v>
      </c>
      <c r="D350" s="278">
        <v>39028</v>
      </c>
      <c r="E350" s="590" t="s">
        <v>90</v>
      </c>
      <c r="F350" s="276" t="s">
        <v>6</v>
      </c>
      <c r="G350" s="276" t="str">
        <f t="shared" si="22"/>
        <v>2ت ر</v>
      </c>
      <c r="H350" s="241" t="s">
        <v>91</v>
      </c>
      <c r="I350" s="141"/>
      <c r="J350" s="231"/>
      <c r="K350" s="404"/>
      <c r="L350" s="203"/>
      <c r="M350" s="672"/>
      <c r="N350" s="698"/>
      <c r="O350" s="169"/>
      <c r="P350" s="698"/>
    </row>
    <row r="351" spans="1:21" s="697" customFormat="1">
      <c r="A351" s="268">
        <v>240</v>
      </c>
      <c r="B351" s="586" t="s">
        <v>895</v>
      </c>
      <c r="C351" s="586" t="s">
        <v>1303</v>
      </c>
      <c r="D351" s="278">
        <v>39026</v>
      </c>
      <c r="E351" s="590" t="s">
        <v>90</v>
      </c>
      <c r="F351" s="276" t="s">
        <v>6</v>
      </c>
      <c r="G351" s="276" t="str">
        <f t="shared" si="22"/>
        <v>2ت ر</v>
      </c>
      <c r="H351" s="241" t="s">
        <v>91</v>
      </c>
      <c r="I351" s="141"/>
      <c r="J351" s="231"/>
      <c r="K351" s="404"/>
      <c r="L351" s="203"/>
      <c r="M351" s="672"/>
      <c r="N351" s="698"/>
      <c r="O351" s="698"/>
      <c r="P351" s="698"/>
    </row>
    <row r="352" spans="1:21" s="697" customFormat="1" ht="31.5">
      <c r="A352" s="268">
        <v>241</v>
      </c>
      <c r="B352" s="586" t="s">
        <v>858</v>
      </c>
      <c r="C352" s="586" t="s">
        <v>1330</v>
      </c>
      <c r="D352" s="278">
        <v>39045</v>
      </c>
      <c r="E352" s="590" t="s">
        <v>90</v>
      </c>
      <c r="F352" s="276" t="s">
        <v>6</v>
      </c>
      <c r="G352" s="276" t="str">
        <f t="shared" si="22"/>
        <v>2ت ر</v>
      </c>
      <c r="H352" s="241" t="s">
        <v>91</v>
      </c>
      <c r="I352" s="141"/>
      <c r="J352" s="708"/>
      <c r="K352" s="404"/>
      <c r="L352" s="203"/>
      <c r="M352" s="672"/>
      <c r="N352" s="698"/>
      <c r="O352" s="698"/>
      <c r="P352" s="698"/>
    </row>
    <row r="353" spans="1:16" s="697" customFormat="1" ht="31.5">
      <c r="A353" s="268">
        <v>242</v>
      </c>
      <c r="B353" s="586" t="s">
        <v>1356</v>
      </c>
      <c r="C353" s="586" t="s">
        <v>1357</v>
      </c>
      <c r="D353" s="278">
        <v>39330</v>
      </c>
      <c r="E353" s="591" t="s">
        <v>133</v>
      </c>
      <c r="F353" s="276" t="s">
        <v>6</v>
      </c>
      <c r="G353" s="276" t="str">
        <f t="shared" si="22"/>
        <v>2ت ر</v>
      </c>
      <c r="H353" s="242" t="s">
        <v>96</v>
      </c>
      <c r="I353" s="141"/>
      <c r="J353" s="231"/>
      <c r="K353" s="404"/>
      <c r="L353" s="203"/>
      <c r="M353" s="672"/>
      <c r="N353" s="698"/>
      <c r="O353" s="698"/>
      <c r="P353" s="698"/>
    </row>
    <row r="354" spans="1:16" s="697" customFormat="1" ht="31.5">
      <c r="A354" s="268">
        <v>243</v>
      </c>
      <c r="B354" s="586" t="s">
        <v>200</v>
      </c>
      <c r="C354" s="586" t="s">
        <v>1331</v>
      </c>
      <c r="D354" s="278">
        <v>39045</v>
      </c>
      <c r="E354" s="591" t="s">
        <v>90</v>
      </c>
      <c r="F354" s="276" t="s">
        <v>6</v>
      </c>
      <c r="G354" s="276" t="str">
        <f t="shared" si="22"/>
        <v>2ت ر</v>
      </c>
      <c r="H354" s="242" t="s">
        <v>96</v>
      </c>
      <c r="I354" s="141"/>
      <c r="J354" s="231"/>
      <c r="K354" s="404"/>
      <c r="L354" s="203"/>
      <c r="M354" s="672"/>
      <c r="N354" s="698"/>
      <c r="O354" s="698"/>
      <c r="P354" s="698"/>
    </row>
    <row r="355" spans="1:16" s="697" customFormat="1">
      <c r="A355" s="268">
        <v>244</v>
      </c>
      <c r="B355" s="586" t="s">
        <v>1483</v>
      </c>
      <c r="C355" s="586" t="s">
        <v>163</v>
      </c>
      <c r="D355" s="278">
        <v>38832</v>
      </c>
      <c r="E355" s="590" t="s">
        <v>104</v>
      </c>
      <c r="F355" s="276" t="s">
        <v>6</v>
      </c>
      <c r="G355" s="276" t="str">
        <f t="shared" si="22"/>
        <v>2ت ر</v>
      </c>
      <c r="H355" s="241" t="s">
        <v>91</v>
      </c>
      <c r="I355" s="141"/>
      <c r="J355" s="231"/>
      <c r="K355" s="417"/>
      <c r="L355" s="203"/>
      <c r="M355" s="672"/>
      <c r="N355" s="698"/>
      <c r="O355" s="698"/>
      <c r="P355" s="698"/>
    </row>
    <row r="356" spans="1:16" s="697" customFormat="1">
      <c r="A356" s="268">
        <v>245</v>
      </c>
      <c r="B356" s="586" t="s">
        <v>124</v>
      </c>
      <c r="C356" s="586" t="s">
        <v>1338</v>
      </c>
      <c r="D356" s="278">
        <v>39076</v>
      </c>
      <c r="E356" s="592" t="s">
        <v>90</v>
      </c>
      <c r="F356" s="276" t="s">
        <v>6</v>
      </c>
      <c r="G356" s="276" t="str">
        <f t="shared" si="22"/>
        <v>2ت ر</v>
      </c>
      <c r="H356" s="241" t="s">
        <v>91</v>
      </c>
      <c r="I356" s="141"/>
      <c r="J356" s="231"/>
      <c r="K356" s="404"/>
      <c r="L356" s="684"/>
      <c r="M356" s="685"/>
      <c r="N356" s="698"/>
      <c r="O356" s="698"/>
      <c r="P356" s="698"/>
    </row>
    <row r="357" spans="1:16" s="697" customFormat="1" ht="31.5">
      <c r="A357" s="268">
        <v>246</v>
      </c>
      <c r="B357" s="586" t="s">
        <v>1469</v>
      </c>
      <c r="C357" s="586" t="s">
        <v>1470</v>
      </c>
      <c r="D357" s="278">
        <v>38556</v>
      </c>
      <c r="E357" s="590" t="s">
        <v>1471</v>
      </c>
      <c r="F357" s="276" t="s">
        <v>6</v>
      </c>
      <c r="G357" s="276" t="str">
        <f t="shared" si="22"/>
        <v>2ت ر</v>
      </c>
      <c r="H357" s="241" t="s">
        <v>91</v>
      </c>
      <c r="I357" s="141"/>
      <c r="J357" s="231"/>
      <c r="K357" s="404"/>
      <c r="L357" s="678"/>
      <c r="M357" s="679"/>
      <c r="N357" s="698"/>
      <c r="O357" s="698"/>
      <c r="P357" s="698"/>
    </row>
    <row r="358" spans="1:16" s="697" customFormat="1">
      <c r="A358" s="268">
        <v>247</v>
      </c>
      <c r="B358" s="586" t="s">
        <v>1339</v>
      </c>
      <c r="C358" s="586" t="s">
        <v>1340</v>
      </c>
      <c r="D358" s="278">
        <v>38954</v>
      </c>
      <c r="E358" s="590" t="s">
        <v>133</v>
      </c>
      <c r="F358" s="276" t="s">
        <v>6</v>
      </c>
      <c r="G358" s="276" t="str">
        <f t="shared" si="22"/>
        <v>2ت ر</v>
      </c>
      <c r="H358" s="241" t="s">
        <v>91</v>
      </c>
      <c r="I358" s="141"/>
      <c r="J358" s="231"/>
      <c r="K358" s="404"/>
      <c r="L358" s="678"/>
      <c r="M358" s="679"/>
      <c r="N358" s="698"/>
      <c r="O358" s="698"/>
      <c r="P358" s="698"/>
    </row>
    <row r="359" spans="1:16" s="697" customFormat="1">
      <c r="A359" s="268">
        <v>248</v>
      </c>
      <c r="B359" s="586" t="s">
        <v>1393</v>
      </c>
      <c r="C359" s="586" t="s">
        <v>1303</v>
      </c>
      <c r="D359" s="278">
        <v>38653</v>
      </c>
      <c r="E359" s="590" t="s">
        <v>797</v>
      </c>
      <c r="F359" s="276" t="s">
        <v>6</v>
      </c>
      <c r="G359" s="276" t="str">
        <f t="shared" si="22"/>
        <v>2ت ر</v>
      </c>
      <c r="H359" s="241" t="s">
        <v>91</v>
      </c>
      <c r="I359" s="141"/>
      <c r="J359" s="231"/>
      <c r="K359" s="404"/>
      <c r="L359" s="702"/>
      <c r="M359" s="703"/>
      <c r="N359" s="698"/>
      <c r="O359" s="698"/>
      <c r="P359" s="698"/>
    </row>
    <row r="360" spans="1:16" s="697" customFormat="1">
      <c r="A360" s="268">
        <v>249</v>
      </c>
      <c r="B360" s="586" t="s">
        <v>905</v>
      </c>
      <c r="C360" s="586" t="s">
        <v>1314</v>
      </c>
      <c r="D360" s="278">
        <v>38931</v>
      </c>
      <c r="E360" s="591" t="s">
        <v>104</v>
      </c>
      <c r="F360" s="276" t="s">
        <v>6</v>
      </c>
      <c r="G360" s="276" t="str">
        <f t="shared" si="22"/>
        <v>2ت ر</v>
      </c>
      <c r="H360" s="242" t="s">
        <v>96</v>
      </c>
      <c r="I360" s="141"/>
      <c r="J360" s="231"/>
      <c r="K360" s="404"/>
      <c r="L360" s="203"/>
      <c r="M360" s="672"/>
      <c r="N360" s="698"/>
      <c r="O360" s="698"/>
      <c r="P360" s="698"/>
    </row>
    <row r="361" spans="1:16" s="697" customFormat="1">
      <c r="A361" s="268">
        <v>250</v>
      </c>
      <c r="B361" s="586" t="s">
        <v>1557</v>
      </c>
      <c r="C361" s="586" t="s">
        <v>690</v>
      </c>
      <c r="D361" s="278">
        <v>38185</v>
      </c>
      <c r="E361" s="593" t="s">
        <v>178</v>
      </c>
      <c r="F361" s="276" t="s">
        <v>6</v>
      </c>
      <c r="G361" s="276" t="str">
        <f t="shared" si="22"/>
        <v>2ت ر</v>
      </c>
      <c r="H361" s="241" t="s">
        <v>91</v>
      </c>
      <c r="I361" s="141"/>
      <c r="J361" s="231"/>
      <c r="K361" s="404"/>
      <c r="L361" s="704"/>
      <c r="M361" s="705"/>
      <c r="N361" s="698"/>
      <c r="O361" s="698"/>
      <c r="P361" s="698"/>
    </row>
    <row r="362" spans="1:16" s="697" customFormat="1" ht="31.5">
      <c r="A362" s="268">
        <v>251</v>
      </c>
      <c r="B362" s="586" t="s">
        <v>40</v>
      </c>
      <c r="C362" s="586" t="s">
        <v>1531</v>
      </c>
      <c r="D362" s="278">
        <v>38624</v>
      </c>
      <c r="E362" s="590" t="s">
        <v>104</v>
      </c>
      <c r="F362" s="276" t="s">
        <v>1171</v>
      </c>
      <c r="G362" s="276" t="str">
        <f t="shared" si="22"/>
        <v>2ت ا ق1</v>
      </c>
      <c r="H362" s="240" t="s">
        <v>1459</v>
      </c>
      <c r="I362" s="141"/>
      <c r="J362" s="231"/>
      <c r="K362" s="404"/>
      <c r="L362" s="678"/>
      <c r="M362" s="679"/>
      <c r="N362" s="698"/>
      <c r="O362" s="698"/>
      <c r="P362" s="698"/>
    </row>
    <row r="363" spans="1:16" s="697" customFormat="1">
      <c r="A363" s="268">
        <v>252</v>
      </c>
      <c r="B363" s="586" t="s">
        <v>68</v>
      </c>
      <c r="C363" s="586" t="s">
        <v>1018</v>
      </c>
      <c r="D363" s="278">
        <v>38334</v>
      </c>
      <c r="E363" s="594" t="s">
        <v>90</v>
      </c>
      <c r="F363" s="239" t="s">
        <v>1171</v>
      </c>
      <c r="G363" s="276" t="str">
        <f t="shared" si="22"/>
        <v>2ت ا ق1</v>
      </c>
      <c r="H363" s="240" t="s">
        <v>1458</v>
      </c>
      <c r="I363" s="141"/>
      <c r="J363" s="231"/>
      <c r="K363" s="404"/>
      <c r="L363" s="684"/>
      <c r="M363" s="685"/>
      <c r="N363" s="698"/>
      <c r="O363" s="698"/>
      <c r="P363" s="698"/>
    </row>
    <row r="364" spans="1:16" s="697" customFormat="1">
      <c r="A364" s="268">
        <v>253</v>
      </c>
      <c r="B364" s="586" t="s">
        <v>351</v>
      </c>
      <c r="C364" s="586" t="s">
        <v>36</v>
      </c>
      <c r="D364" s="278">
        <v>38921</v>
      </c>
      <c r="E364" s="322" t="s">
        <v>104</v>
      </c>
      <c r="F364" s="276" t="s">
        <v>1171</v>
      </c>
      <c r="G364" s="276" t="str">
        <f t="shared" si="22"/>
        <v>2ت ا ق1</v>
      </c>
      <c r="H364" s="240" t="s">
        <v>1458</v>
      </c>
      <c r="I364" s="141"/>
      <c r="J364" s="231"/>
      <c r="K364" s="404"/>
      <c r="L364" s="686"/>
      <c r="M364" s="687"/>
      <c r="N364" s="698"/>
      <c r="O364" s="698"/>
      <c r="P364" s="698"/>
    </row>
    <row r="365" spans="1:16" s="697" customFormat="1">
      <c r="A365" s="268">
        <v>254</v>
      </c>
      <c r="B365" s="586" t="s">
        <v>988</v>
      </c>
      <c r="C365" s="586" t="s">
        <v>1375</v>
      </c>
      <c r="D365" s="278">
        <v>39088</v>
      </c>
      <c r="E365" s="590" t="s">
        <v>90</v>
      </c>
      <c r="F365" s="239" t="s">
        <v>1171</v>
      </c>
      <c r="G365" s="276" t="str">
        <f t="shared" si="22"/>
        <v>2ت ا ق1</v>
      </c>
      <c r="H365" s="241" t="s">
        <v>91</v>
      </c>
      <c r="I365" s="141"/>
      <c r="J365" s="231"/>
      <c r="K365" s="404"/>
      <c r="L365" s="684"/>
      <c r="M365" s="685"/>
      <c r="N365" s="698"/>
      <c r="O365" s="698"/>
      <c r="P365" s="698"/>
    </row>
    <row r="366" spans="1:16" s="697" customFormat="1">
      <c r="A366" s="268">
        <v>255</v>
      </c>
      <c r="B366" s="586" t="s">
        <v>1349</v>
      </c>
      <c r="C366" s="586" t="s">
        <v>1350</v>
      </c>
      <c r="D366" s="278">
        <v>39164</v>
      </c>
      <c r="E366" s="590" t="s">
        <v>90</v>
      </c>
      <c r="F366" s="239" t="s">
        <v>1171</v>
      </c>
      <c r="G366" s="276" t="str">
        <f t="shared" si="22"/>
        <v>2ت ا ق1</v>
      </c>
      <c r="H366" s="241" t="s">
        <v>91</v>
      </c>
      <c r="I366" s="141"/>
      <c r="J366" s="231"/>
      <c r="K366" s="404"/>
      <c r="L366" s="678"/>
      <c r="M366" s="679"/>
      <c r="N366" s="698"/>
      <c r="O366" s="698"/>
      <c r="P366" s="698"/>
    </row>
    <row r="367" spans="1:16" s="697" customFormat="1">
      <c r="A367" s="268">
        <v>256</v>
      </c>
      <c r="B367" s="586" t="s">
        <v>1028</v>
      </c>
      <c r="C367" s="586" t="s">
        <v>101</v>
      </c>
      <c r="D367" s="278">
        <v>38425</v>
      </c>
      <c r="E367" s="412" t="s">
        <v>133</v>
      </c>
      <c r="F367" s="239" t="s">
        <v>1171</v>
      </c>
      <c r="G367" s="276" t="str">
        <f t="shared" si="22"/>
        <v>2ت ا ق1</v>
      </c>
      <c r="H367" s="242" t="s">
        <v>96</v>
      </c>
      <c r="I367" s="141"/>
      <c r="J367" s="231"/>
      <c r="K367" s="404"/>
      <c r="L367" s="704"/>
      <c r="M367" s="705"/>
      <c r="N367" s="698"/>
      <c r="O367" s="698"/>
      <c r="P367" s="698"/>
    </row>
    <row r="368" spans="1:16" s="697" customFormat="1" ht="31.5">
      <c r="A368" s="268">
        <v>257</v>
      </c>
      <c r="B368" s="586" t="s">
        <v>1381</v>
      </c>
      <c r="C368" s="586" t="s">
        <v>1382</v>
      </c>
      <c r="D368" s="278">
        <v>39038</v>
      </c>
      <c r="E368" s="590" t="s">
        <v>90</v>
      </c>
      <c r="F368" s="239" t="s">
        <v>1171</v>
      </c>
      <c r="G368" s="276" t="str">
        <f t="shared" si="22"/>
        <v>2ت ا ق1</v>
      </c>
      <c r="H368" s="242" t="s">
        <v>96</v>
      </c>
      <c r="I368" s="141"/>
      <c r="J368" s="231"/>
      <c r="K368" s="404"/>
      <c r="L368" s="704"/>
      <c r="M368" s="705"/>
      <c r="N368" s="698"/>
      <c r="O368" s="698"/>
      <c r="P368" s="698"/>
    </row>
    <row r="369" spans="1:16" s="697" customFormat="1">
      <c r="A369" s="268">
        <v>258</v>
      </c>
      <c r="B369" s="586" t="s">
        <v>1308</v>
      </c>
      <c r="C369" s="586" t="s">
        <v>1296</v>
      </c>
      <c r="D369" s="278">
        <v>39049</v>
      </c>
      <c r="E369" s="592" t="s">
        <v>90</v>
      </c>
      <c r="F369" s="239" t="s">
        <v>1171</v>
      </c>
      <c r="G369" s="276" t="str">
        <f t="shared" ref="G369:G432" si="23">F369</f>
        <v>2ت ا ق1</v>
      </c>
      <c r="H369" s="241" t="s">
        <v>91</v>
      </c>
      <c r="I369" s="141"/>
      <c r="J369" s="231"/>
      <c r="K369" s="404"/>
      <c r="L369" s="704"/>
      <c r="M369" s="705"/>
      <c r="N369" s="698"/>
      <c r="O369" s="698"/>
      <c r="P369" s="698"/>
    </row>
    <row r="370" spans="1:16" s="697" customFormat="1">
      <c r="A370" s="268">
        <v>259</v>
      </c>
      <c r="B370" s="586" t="s">
        <v>1276</v>
      </c>
      <c r="C370" s="586" t="s">
        <v>1277</v>
      </c>
      <c r="D370" s="278">
        <v>38952</v>
      </c>
      <c r="E370" s="595" t="s">
        <v>90</v>
      </c>
      <c r="F370" s="239" t="s">
        <v>1171</v>
      </c>
      <c r="G370" s="276" t="str">
        <f t="shared" si="23"/>
        <v>2ت ا ق1</v>
      </c>
      <c r="H370" s="242" t="s">
        <v>96</v>
      </c>
      <c r="I370" s="141"/>
      <c r="J370" s="231"/>
      <c r="K370" s="404"/>
      <c r="L370" s="704"/>
      <c r="M370" s="705"/>
      <c r="N370" s="698"/>
      <c r="O370" s="698"/>
      <c r="P370" s="698"/>
    </row>
    <row r="371" spans="1:16" s="697" customFormat="1" ht="31.5">
      <c r="A371" s="268">
        <v>260</v>
      </c>
      <c r="B371" s="586" t="s">
        <v>536</v>
      </c>
      <c r="C371" s="586" t="s">
        <v>1392</v>
      </c>
      <c r="D371" s="278">
        <v>39037</v>
      </c>
      <c r="E371" s="591" t="s">
        <v>90</v>
      </c>
      <c r="F371" s="239" t="s">
        <v>1171</v>
      </c>
      <c r="G371" s="276" t="str">
        <f t="shared" si="23"/>
        <v>2ت ا ق1</v>
      </c>
      <c r="H371" s="242" t="s">
        <v>96</v>
      </c>
      <c r="I371" s="141"/>
      <c r="J371" s="231"/>
      <c r="K371" s="404"/>
      <c r="L371" s="704"/>
      <c r="M371" s="705"/>
      <c r="N371" s="698"/>
      <c r="O371" s="698"/>
      <c r="P371" s="698"/>
    </row>
    <row r="372" spans="1:16" s="697" customFormat="1" ht="31.5">
      <c r="A372" s="268">
        <v>261</v>
      </c>
      <c r="B372" s="586" t="s">
        <v>882</v>
      </c>
      <c r="C372" s="586" t="s">
        <v>1030</v>
      </c>
      <c r="D372" s="278">
        <v>38526</v>
      </c>
      <c r="E372" s="263" t="s">
        <v>90</v>
      </c>
      <c r="F372" s="239" t="s">
        <v>1171</v>
      </c>
      <c r="G372" s="276" t="str">
        <f t="shared" si="23"/>
        <v>2ت ا ق1</v>
      </c>
      <c r="H372" s="241" t="s">
        <v>91</v>
      </c>
      <c r="I372" s="141"/>
      <c r="J372" s="231"/>
      <c r="K372" s="404"/>
      <c r="L372" s="704"/>
      <c r="M372" s="705"/>
      <c r="N372" s="698"/>
      <c r="O372" s="698"/>
      <c r="P372" s="698"/>
    </row>
    <row r="373" spans="1:16" s="697" customFormat="1" ht="31.5">
      <c r="A373" s="268">
        <v>262</v>
      </c>
      <c r="B373" s="586" t="s">
        <v>1282</v>
      </c>
      <c r="C373" s="586" t="s">
        <v>1283</v>
      </c>
      <c r="D373" s="278">
        <v>39178</v>
      </c>
      <c r="E373" s="595" t="s">
        <v>90</v>
      </c>
      <c r="F373" s="239" t="s">
        <v>1171</v>
      </c>
      <c r="G373" s="276" t="str">
        <f t="shared" si="23"/>
        <v>2ت ا ق1</v>
      </c>
      <c r="H373" s="242" t="s">
        <v>96</v>
      </c>
      <c r="I373" s="141"/>
      <c r="J373" s="231"/>
      <c r="K373" s="671" t="s">
        <v>628</v>
      </c>
      <c r="L373" s="704"/>
      <c r="M373" s="705"/>
      <c r="N373" s="698"/>
      <c r="O373" s="698"/>
      <c r="P373" s="698"/>
    </row>
    <row r="374" spans="1:16" s="697" customFormat="1" ht="31.5">
      <c r="A374" s="268">
        <v>263</v>
      </c>
      <c r="B374" s="586" t="s">
        <v>672</v>
      </c>
      <c r="C374" s="586" t="s">
        <v>1432</v>
      </c>
      <c r="D374" s="278">
        <v>38967</v>
      </c>
      <c r="E374" s="589" t="s">
        <v>104</v>
      </c>
      <c r="F374" s="239" t="s">
        <v>1171</v>
      </c>
      <c r="G374" s="276" t="str">
        <f t="shared" si="23"/>
        <v>2ت ا ق1</v>
      </c>
      <c r="H374" s="241" t="s">
        <v>91</v>
      </c>
      <c r="I374" s="141"/>
      <c r="J374" s="231"/>
      <c r="K374" s="671" t="s">
        <v>628</v>
      </c>
      <c r="L374" s="678"/>
      <c r="M374" s="679"/>
      <c r="N374" s="698"/>
      <c r="O374" s="698"/>
      <c r="P374" s="698"/>
    </row>
    <row r="375" spans="1:16" s="697" customFormat="1">
      <c r="A375" s="268">
        <v>264</v>
      </c>
      <c r="B375" s="586" t="s">
        <v>687</v>
      </c>
      <c r="C375" s="586" t="s">
        <v>1168</v>
      </c>
      <c r="D375" s="278">
        <v>38180</v>
      </c>
      <c r="E375" s="322" t="s">
        <v>90</v>
      </c>
      <c r="F375" s="239" t="s">
        <v>1171</v>
      </c>
      <c r="G375" s="276" t="str">
        <f t="shared" si="23"/>
        <v>2ت ا ق1</v>
      </c>
      <c r="H375" s="242" t="s">
        <v>96</v>
      </c>
      <c r="I375" s="141"/>
      <c r="J375" s="231"/>
      <c r="K375" s="671" t="s">
        <v>628</v>
      </c>
      <c r="L375" s="704"/>
      <c r="M375" s="705"/>
      <c r="N375" s="698"/>
      <c r="O375" s="698"/>
      <c r="P375" s="698"/>
    </row>
    <row r="376" spans="1:16" s="697" customFormat="1" ht="31.5">
      <c r="A376" s="268">
        <v>265</v>
      </c>
      <c r="B376" s="586" t="s">
        <v>1484</v>
      </c>
      <c r="C376" s="586" t="s">
        <v>1485</v>
      </c>
      <c r="D376" s="278">
        <v>38895</v>
      </c>
      <c r="E376" s="589" t="s">
        <v>133</v>
      </c>
      <c r="F376" s="239" t="s">
        <v>1171</v>
      </c>
      <c r="G376" s="276" t="str">
        <f t="shared" si="23"/>
        <v>2ت ا ق1</v>
      </c>
      <c r="H376" s="242" t="s">
        <v>96</v>
      </c>
      <c r="I376" s="141"/>
      <c r="J376" s="231"/>
      <c r="K376" s="671" t="s">
        <v>628</v>
      </c>
      <c r="L376" s="678"/>
      <c r="M376" s="679"/>
      <c r="N376" s="698"/>
      <c r="O376" s="698"/>
      <c r="P376" s="698"/>
    </row>
    <row r="377" spans="1:16" s="697" customFormat="1">
      <c r="A377" s="268">
        <v>266</v>
      </c>
      <c r="B377" s="586" t="s">
        <v>798</v>
      </c>
      <c r="C377" s="586" t="s">
        <v>1337</v>
      </c>
      <c r="D377" s="278">
        <v>38867</v>
      </c>
      <c r="E377" s="589" t="s">
        <v>90</v>
      </c>
      <c r="F377" s="239" t="s">
        <v>1171</v>
      </c>
      <c r="G377" s="276" t="str">
        <f t="shared" si="23"/>
        <v>2ت ا ق1</v>
      </c>
      <c r="H377" s="241" t="s">
        <v>91</v>
      </c>
      <c r="I377" s="141"/>
      <c r="J377" s="231"/>
      <c r="K377" s="671" t="s">
        <v>1873</v>
      </c>
      <c r="L377" s="704"/>
      <c r="M377" s="705"/>
      <c r="N377" s="698"/>
      <c r="O377" s="698"/>
      <c r="P377" s="698"/>
    </row>
    <row r="378" spans="1:16" s="697" customFormat="1" ht="31.5">
      <c r="A378" s="268">
        <v>267</v>
      </c>
      <c r="B378" s="586" t="s">
        <v>1369</v>
      </c>
      <c r="C378" s="586" t="s">
        <v>1370</v>
      </c>
      <c r="D378" s="278">
        <v>39172</v>
      </c>
      <c r="E378" s="591" t="s">
        <v>104</v>
      </c>
      <c r="F378" s="239" t="s">
        <v>1171</v>
      </c>
      <c r="G378" s="276" t="str">
        <f t="shared" si="23"/>
        <v>2ت ا ق1</v>
      </c>
      <c r="H378" s="242" t="s">
        <v>96</v>
      </c>
      <c r="I378" s="141"/>
      <c r="J378" s="231"/>
      <c r="K378" s="671"/>
      <c r="L378" s="684"/>
      <c r="M378" s="685"/>
      <c r="N378" s="698"/>
      <c r="O378" s="698"/>
      <c r="P378" s="698"/>
    </row>
    <row r="379" spans="1:16" s="697" customFormat="1" ht="31.5">
      <c r="A379" s="268">
        <v>268</v>
      </c>
      <c r="B379" s="586" t="s">
        <v>691</v>
      </c>
      <c r="C379" s="586" t="s">
        <v>1061</v>
      </c>
      <c r="D379" s="278">
        <v>38684</v>
      </c>
      <c r="E379" s="596" t="s">
        <v>897</v>
      </c>
      <c r="F379" s="239" t="s">
        <v>1171</v>
      </c>
      <c r="G379" s="276" t="str">
        <f t="shared" si="23"/>
        <v>2ت ا ق1</v>
      </c>
      <c r="H379" s="242" t="s">
        <v>96</v>
      </c>
      <c r="I379" s="141"/>
      <c r="J379" s="231"/>
      <c r="K379" s="404"/>
      <c r="L379" s="709"/>
      <c r="M379" s="710"/>
      <c r="N379" s="698"/>
      <c r="O379" s="698"/>
      <c r="P379" s="698"/>
    </row>
    <row r="380" spans="1:16" s="697" customFormat="1">
      <c r="A380" s="268">
        <v>269</v>
      </c>
      <c r="B380" s="586" t="s">
        <v>1374</v>
      </c>
      <c r="C380" s="586" t="s">
        <v>707</v>
      </c>
      <c r="D380" s="278">
        <v>39152</v>
      </c>
      <c r="E380" s="589" t="s">
        <v>90</v>
      </c>
      <c r="F380" s="239" t="s">
        <v>1171</v>
      </c>
      <c r="G380" s="276" t="str">
        <f t="shared" si="23"/>
        <v>2ت ا ق1</v>
      </c>
      <c r="H380" s="242" t="s">
        <v>96</v>
      </c>
      <c r="I380" s="141"/>
      <c r="J380" s="231"/>
      <c r="K380" s="404"/>
      <c r="L380" s="678"/>
      <c r="M380" s="679"/>
      <c r="N380" s="698"/>
      <c r="O380" s="698"/>
      <c r="P380" s="698"/>
    </row>
    <row r="381" spans="1:16" s="697" customFormat="1">
      <c r="A381" s="268">
        <v>270</v>
      </c>
      <c r="B381" s="586" t="s">
        <v>155</v>
      </c>
      <c r="C381" s="586" t="s">
        <v>1400</v>
      </c>
      <c r="D381" s="278">
        <v>38868</v>
      </c>
      <c r="E381" s="590" t="s">
        <v>104</v>
      </c>
      <c r="F381" s="239" t="s">
        <v>1171</v>
      </c>
      <c r="G381" s="276" t="str">
        <f t="shared" si="23"/>
        <v>2ت ا ق1</v>
      </c>
      <c r="H381" s="241" t="s">
        <v>91</v>
      </c>
      <c r="I381" s="141"/>
      <c r="J381" s="231"/>
      <c r="K381" s="404"/>
      <c r="L381" s="678"/>
      <c r="M381" s="679"/>
      <c r="N381" s="698"/>
      <c r="O381" s="698"/>
      <c r="P381" s="698"/>
    </row>
    <row r="382" spans="1:16" s="697" customFormat="1">
      <c r="A382" s="268">
        <v>271</v>
      </c>
      <c r="B382" s="586" t="s">
        <v>95</v>
      </c>
      <c r="C382" s="586" t="s">
        <v>920</v>
      </c>
      <c r="D382" s="278">
        <v>37662</v>
      </c>
      <c r="E382" s="414" t="s">
        <v>90</v>
      </c>
      <c r="F382" s="239" t="s">
        <v>1172</v>
      </c>
      <c r="G382" s="276" t="str">
        <f t="shared" si="23"/>
        <v>2ت ا ق2</v>
      </c>
      <c r="H382" s="240" t="s">
        <v>1458</v>
      </c>
      <c r="I382" s="141"/>
      <c r="J382" s="231"/>
      <c r="K382" s="404"/>
      <c r="L382" s="684"/>
      <c r="M382" s="685"/>
      <c r="N382" s="698"/>
      <c r="O382" s="698"/>
      <c r="P382" s="698"/>
    </row>
    <row r="383" spans="1:16" s="697" customFormat="1">
      <c r="A383" s="268">
        <v>272</v>
      </c>
      <c r="B383" s="586" t="s">
        <v>167</v>
      </c>
      <c r="C383" s="586" t="s">
        <v>1321</v>
      </c>
      <c r="D383" s="278">
        <v>38894</v>
      </c>
      <c r="E383" s="590" t="s">
        <v>1468</v>
      </c>
      <c r="F383" s="239" t="s">
        <v>1172</v>
      </c>
      <c r="G383" s="276" t="str">
        <f t="shared" si="23"/>
        <v>2ت ا ق2</v>
      </c>
      <c r="H383" s="240" t="s">
        <v>1458</v>
      </c>
      <c r="I383" s="141"/>
      <c r="J383" s="231"/>
      <c r="K383" s="404"/>
      <c r="L383" s="704"/>
      <c r="M383" s="705"/>
      <c r="N383" s="698"/>
      <c r="O383" s="698"/>
      <c r="P383" s="698"/>
    </row>
    <row r="384" spans="1:16" s="697" customFormat="1">
      <c r="A384" s="268">
        <v>273</v>
      </c>
      <c r="B384" s="586" t="s">
        <v>114</v>
      </c>
      <c r="C384" s="586" t="s">
        <v>1265</v>
      </c>
      <c r="D384" s="278">
        <v>39081</v>
      </c>
      <c r="E384" s="592" t="s">
        <v>90</v>
      </c>
      <c r="F384" s="239" t="s">
        <v>1172</v>
      </c>
      <c r="G384" s="276" t="str">
        <f t="shared" si="23"/>
        <v>2ت ا ق2</v>
      </c>
      <c r="H384" s="241" t="s">
        <v>91</v>
      </c>
      <c r="I384" s="141"/>
      <c r="J384" s="231"/>
      <c r="K384" s="404"/>
      <c r="L384" s="704"/>
      <c r="M384" s="705"/>
      <c r="N384" s="698"/>
      <c r="O384" s="698"/>
      <c r="P384" s="698"/>
    </row>
    <row r="385" spans="1:16" s="697" customFormat="1">
      <c r="A385" s="268">
        <v>274</v>
      </c>
      <c r="B385" s="586" t="s">
        <v>514</v>
      </c>
      <c r="C385" s="586" t="s">
        <v>1379</v>
      </c>
      <c r="D385" s="278">
        <v>38909</v>
      </c>
      <c r="E385" s="597" t="s">
        <v>104</v>
      </c>
      <c r="F385" s="239" t="s">
        <v>1172</v>
      </c>
      <c r="G385" s="276" t="str">
        <f t="shared" si="23"/>
        <v>2ت ا ق2</v>
      </c>
      <c r="H385" s="241" t="s">
        <v>91</v>
      </c>
      <c r="I385" s="141"/>
      <c r="J385" s="231"/>
      <c r="K385" s="404"/>
      <c r="L385" s="203"/>
      <c r="M385" s="672"/>
      <c r="N385" s="698"/>
      <c r="O385" s="698"/>
      <c r="P385" s="698"/>
    </row>
    <row r="386" spans="1:16" s="697" customFormat="1">
      <c r="A386" s="268">
        <v>275</v>
      </c>
      <c r="B386" s="586" t="s">
        <v>1024</v>
      </c>
      <c r="C386" s="586" t="s">
        <v>27</v>
      </c>
      <c r="D386" s="278">
        <v>38263</v>
      </c>
      <c r="E386" s="408" t="s">
        <v>90</v>
      </c>
      <c r="F386" s="239" t="s">
        <v>1172</v>
      </c>
      <c r="G386" s="276" t="str">
        <f t="shared" si="23"/>
        <v>2ت ا ق2</v>
      </c>
      <c r="H386" s="241" t="s">
        <v>91</v>
      </c>
      <c r="I386" s="141"/>
      <c r="J386" s="231"/>
      <c r="K386" s="404"/>
      <c r="L386" s="203"/>
      <c r="M386" s="672"/>
      <c r="N386" s="698"/>
      <c r="O386" s="698"/>
      <c r="P386" s="698"/>
    </row>
    <row r="387" spans="1:16" s="697" customFormat="1" ht="47.25">
      <c r="A387" s="268">
        <v>276</v>
      </c>
      <c r="B387" s="586" t="s">
        <v>1304</v>
      </c>
      <c r="C387" s="586" t="s">
        <v>1305</v>
      </c>
      <c r="D387" s="278">
        <v>38917</v>
      </c>
      <c r="E387" s="591" t="s">
        <v>104</v>
      </c>
      <c r="F387" s="239" t="s">
        <v>1172</v>
      </c>
      <c r="G387" s="276" t="str">
        <f t="shared" si="23"/>
        <v>2ت ا ق2</v>
      </c>
      <c r="H387" s="242" t="s">
        <v>96</v>
      </c>
      <c r="I387" s="141"/>
      <c r="J387" s="231"/>
      <c r="K387" s="404"/>
      <c r="L387" s="203"/>
      <c r="M387" s="672"/>
      <c r="N387" s="698"/>
      <c r="O387" s="698"/>
      <c r="P387" s="698"/>
    </row>
    <row r="388" spans="1:16" s="697" customFormat="1" ht="31.5">
      <c r="A388" s="268">
        <v>277</v>
      </c>
      <c r="B388" s="586" t="s">
        <v>990</v>
      </c>
      <c r="C388" s="586" t="s">
        <v>1269</v>
      </c>
      <c r="D388" s="278">
        <v>38948</v>
      </c>
      <c r="E388" s="591" t="s">
        <v>90</v>
      </c>
      <c r="F388" s="239" t="s">
        <v>1172</v>
      </c>
      <c r="G388" s="276" t="str">
        <f t="shared" si="23"/>
        <v>2ت ا ق2</v>
      </c>
      <c r="H388" s="242" t="s">
        <v>96</v>
      </c>
      <c r="I388" s="141"/>
      <c r="J388" s="231"/>
      <c r="K388" s="404"/>
      <c r="L388" s="203"/>
      <c r="M388" s="672"/>
      <c r="N388" s="698"/>
      <c r="O388" s="698"/>
      <c r="P388" s="698"/>
    </row>
    <row r="389" spans="1:16" s="697" customFormat="1">
      <c r="A389" s="268">
        <v>278</v>
      </c>
      <c r="B389" s="586" t="s">
        <v>1270</v>
      </c>
      <c r="C389" s="586" t="s">
        <v>1271</v>
      </c>
      <c r="D389" s="278">
        <v>39012</v>
      </c>
      <c r="E389" s="590" t="s">
        <v>90</v>
      </c>
      <c r="F389" s="239" t="s">
        <v>1172</v>
      </c>
      <c r="G389" s="276" t="str">
        <f t="shared" si="23"/>
        <v>2ت ا ق2</v>
      </c>
      <c r="H389" s="241" t="s">
        <v>91</v>
      </c>
      <c r="I389" s="141"/>
      <c r="J389" s="231"/>
      <c r="K389" s="404"/>
      <c r="L389" s="700" t="s">
        <v>1874</v>
      </c>
      <c r="M389" s="701" t="s">
        <v>1874</v>
      </c>
      <c r="N389" s="698"/>
      <c r="O389" s="698"/>
      <c r="P389" s="698"/>
    </row>
    <row r="390" spans="1:16" s="697" customFormat="1" ht="31.5">
      <c r="A390" s="268">
        <v>279</v>
      </c>
      <c r="B390" s="586" t="s">
        <v>1306</v>
      </c>
      <c r="C390" s="586" t="s">
        <v>1331</v>
      </c>
      <c r="D390" s="278">
        <v>38912</v>
      </c>
      <c r="E390" s="591" t="s">
        <v>90</v>
      </c>
      <c r="F390" s="239" t="s">
        <v>1172</v>
      </c>
      <c r="G390" s="276" t="str">
        <f t="shared" si="23"/>
        <v>2ت ا ق2</v>
      </c>
      <c r="H390" s="242" t="s">
        <v>96</v>
      </c>
      <c r="I390" s="141"/>
      <c r="J390" s="231"/>
      <c r="K390" s="404"/>
      <c r="L390" s="203"/>
      <c r="M390" s="672"/>
      <c r="N390" s="698"/>
      <c r="O390" s="698"/>
      <c r="P390" s="698"/>
    </row>
    <row r="391" spans="1:16" s="697" customFormat="1">
      <c r="A391" s="268">
        <v>280</v>
      </c>
      <c r="B391" s="586" t="s">
        <v>143</v>
      </c>
      <c r="C391" s="586" t="s">
        <v>117</v>
      </c>
      <c r="D391" s="278">
        <v>38459</v>
      </c>
      <c r="E391" s="412" t="s">
        <v>90</v>
      </c>
      <c r="F391" s="239" t="s">
        <v>1172</v>
      </c>
      <c r="G391" s="276" t="str">
        <f t="shared" si="23"/>
        <v>2ت ا ق2</v>
      </c>
      <c r="H391" s="241" t="s">
        <v>91</v>
      </c>
      <c r="I391" s="141"/>
      <c r="J391" s="231"/>
      <c r="K391" s="404"/>
      <c r="L391" s="203"/>
      <c r="M391" s="672"/>
      <c r="N391" s="698"/>
      <c r="O391" s="698"/>
      <c r="P391" s="698"/>
    </row>
    <row r="392" spans="1:16" s="697" customFormat="1" ht="31.5">
      <c r="A392" s="268">
        <v>281</v>
      </c>
      <c r="B392" s="586" t="s">
        <v>951</v>
      </c>
      <c r="C392" s="586" t="s">
        <v>1033</v>
      </c>
      <c r="D392" s="278">
        <v>38155</v>
      </c>
      <c r="E392" s="412" t="s">
        <v>104</v>
      </c>
      <c r="F392" s="239" t="s">
        <v>1172</v>
      </c>
      <c r="G392" s="276" t="str">
        <f t="shared" si="23"/>
        <v>2ت ا ق2</v>
      </c>
      <c r="H392" s="241" t="s">
        <v>91</v>
      </c>
      <c r="I392" s="141"/>
      <c r="J392" s="231"/>
      <c r="K392" s="404"/>
      <c r="L392" s="700" t="s">
        <v>1874</v>
      </c>
      <c r="M392" s="701" t="s">
        <v>1874</v>
      </c>
      <c r="N392" s="698"/>
      <c r="O392" s="698"/>
      <c r="P392" s="698"/>
    </row>
    <row r="393" spans="1:16" s="697" customFormat="1" ht="31.5">
      <c r="A393" s="268">
        <v>282</v>
      </c>
      <c r="B393" s="586" t="s">
        <v>1089</v>
      </c>
      <c r="C393" s="586" t="s">
        <v>1090</v>
      </c>
      <c r="D393" s="278">
        <v>38685</v>
      </c>
      <c r="E393" s="262" t="s">
        <v>1188</v>
      </c>
      <c r="F393" s="239" t="s">
        <v>1172</v>
      </c>
      <c r="G393" s="276" t="str">
        <f t="shared" si="23"/>
        <v>2ت ا ق2</v>
      </c>
      <c r="H393" s="242" t="s">
        <v>96</v>
      </c>
      <c r="I393" s="141"/>
      <c r="J393" s="231"/>
      <c r="K393" s="404"/>
      <c r="L393" s="203"/>
      <c r="M393" s="672"/>
      <c r="N393" s="698"/>
      <c r="O393" s="698"/>
      <c r="P393" s="698"/>
    </row>
    <row r="394" spans="1:16" s="697" customFormat="1">
      <c r="A394" s="268">
        <v>283</v>
      </c>
      <c r="B394" s="586" t="s">
        <v>599</v>
      </c>
      <c r="C394" s="586" t="s">
        <v>1062</v>
      </c>
      <c r="D394" s="278">
        <v>37827</v>
      </c>
      <c r="E394" s="262" t="s">
        <v>104</v>
      </c>
      <c r="F394" s="239" t="s">
        <v>1172</v>
      </c>
      <c r="G394" s="276" t="str">
        <f t="shared" si="23"/>
        <v>2ت ا ق2</v>
      </c>
      <c r="H394" s="242" t="s">
        <v>96</v>
      </c>
      <c r="I394" s="141"/>
      <c r="J394" s="231"/>
      <c r="K394" s="404"/>
      <c r="L394" s="203"/>
      <c r="M394" s="672"/>
      <c r="N394" s="698"/>
      <c r="O394" s="698"/>
      <c r="P394" s="698"/>
    </row>
    <row r="395" spans="1:16" s="697" customFormat="1">
      <c r="A395" s="268">
        <v>284</v>
      </c>
      <c r="B395" s="586" t="s">
        <v>1008</v>
      </c>
      <c r="C395" s="586" t="s">
        <v>1039</v>
      </c>
      <c r="D395" s="278">
        <v>38215</v>
      </c>
      <c r="E395" s="262" t="s">
        <v>90</v>
      </c>
      <c r="F395" s="239" t="s">
        <v>1172</v>
      </c>
      <c r="G395" s="276" t="str">
        <f t="shared" si="23"/>
        <v>2ت ا ق2</v>
      </c>
      <c r="H395" s="242" t="s">
        <v>96</v>
      </c>
      <c r="I395" s="141"/>
      <c r="J395" s="231"/>
      <c r="K395" s="404"/>
      <c r="L395" s="203"/>
      <c r="M395" s="672"/>
      <c r="N395" s="698"/>
      <c r="O395" s="698"/>
      <c r="P395" s="698"/>
    </row>
    <row r="396" spans="1:16" s="697" customFormat="1" ht="31.5">
      <c r="A396" s="268">
        <v>285</v>
      </c>
      <c r="B396" s="586" t="s">
        <v>1213</v>
      </c>
      <c r="C396" s="586" t="s">
        <v>1214</v>
      </c>
      <c r="D396" s="278">
        <v>38741</v>
      </c>
      <c r="E396" s="262" t="s">
        <v>104</v>
      </c>
      <c r="F396" s="239" t="s">
        <v>1172</v>
      </c>
      <c r="G396" s="276" t="str">
        <f t="shared" si="23"/>
        <v>2ت ا ق2</v>
      </c>
      <c r="H396" s="242" t="s">
        <v>96</v>
      </c>
      <c r="I396" s="141"/>
      <c r="J396" s="231"/>
      <c r="K396" s="404"/>
      <c r="L396" s="203"/>
      <c r="M396" s="672"/>
      <c r="N396" s="698"/>
      <c r="O396" s="698"/>
      <c r="P396" s="698"/>
    </row>
    <row r="397" spans="1:16" s="697" customFormat="1">
      <c r="A397" s="268">
        <v>286</v>
      </c>
      <c r="B397" s="586" t="s">
        <v>701</v>
      </c>
      <c r="C397" s="586" t="s">
        <v>1102</v>
      </c>
      <c r="D397" s="278">
        <v>38842</v>
      </c>
      <c r="E397" s="595" t="s">
        <v>90</v>
      </c>
      <c r="F397" s="239" t="s">
        <v>1172</v>
      </c>
      <c r="G397" s="276" t="str">
        <f t="shared" si="23"/>
        <v>2ت ا ق2</v>
      </c>
      <c r="H397" s="242" t="s">
        <v>96</v>
      </c>
      <c r="I397" s="141"/>
      <c r="J397" s="231"/>
      <c r="K397" s="404"/>
      <c r="L397" s="203"/>
      <c r="M397" s="672"/>
      <c r="N397" s="698"/>
      <c r="O397" s="698"/>
      <c r="P397" s="698"/>
    </row>
    <row r="398" spans="1:16" s="697" customFormat="1" ht="31.5">
      <c r="A398" s="268">
        <v>287</v>
      </c>
      <c r="B398" s="586" t="s">
        <v>1315</v>
      </c>
      <c r="C398" s="586" t="s">
        <v>1316</v>
      </c>
      <c r="D398" s="278">
        <v>39431</v>
      </c>
      <c r="E398" s="266" t="s">
        <v>90</v>
      </c>
      <c r="F398" s="239" t="s">
        <v>1172</v>
      </c>
      <c r="G398" s="276" t="str">
        <f t="shared" si="23"/>
        <v>2ت ا ق2</v>
      </c>
      <c r="H398" s="242" t="s">
        <v>96</v>
      </c>
      <c r="I398" s="141"/>
      <c r="J398" s="231"/>
      <c r="K398" s="404"/>
      <c r="L398" s="203"/>
      <c r="M398" s="672"/>
      <c r="N398" s="698"/>
      <c r="O398" s="698"/>
      <c r="P398" s="698"/>
    </row>
    <row r="399" spans="1:16" s="697" customFormat="1" ht="31.5">
      <c r="A399" s="268">
        <v>288</v>
      </c>
      <c r="B399" s="586" t="s">
        <v>1288</v>
      </c>
      <c r="C399" s="586" t="s">
        <v>1289</v>
      </c>
      <c r="D399" s="278">
        <v>38870</v>
      </c>
      <c r="E399" s="590" t="s">
        <v>90</v>
      </c>
      <c r="F399" s="239" t="s">
        <v>1172</v>
      </c>
      <c r="G399" s="276" t="str">
        <f t="shared" si="23"/>
        <v>2ت ا ق2</v>
      </c>
      <c r="H399" s="241" t="s">
        <v>91</v>
      </c>
      <c r="I399" s="141"/>
      <c r="J399" s="231"/>
      <c r="K399" s="404"/>
      <c r="L399" s="203"/>
      <c r="M399" s="672"/>
      <c r="N399" s="698"/>
      <c r="O399" s="698"/>
      <c r="P399" s="698"/>
    </row>
    <row r="400" spans="1:16" s="697" customFormat="1" ht="31.5">
      <c r="A400" s="268">
        <v>289</v>
      </c>
      <c r="B400" s="586" t="s">
        <v>699</v>
      </c>
      <c r="C400" s="586" t="s">
        <v>1345</v>
      </c>
      <c r="D400" s="278">
        <v>39311</v>
      </c>
      <c r="E400" s="595" t="s">
        <v>90</v>
      </c>
      <c r="F400" s="239" t="s">
        <v>1172</v>
      </c>
      <c r="G400" s="276" t="str">
        <f t="shared" si="23"/>
        <v>2ت ا ق2</v>
      </c>
      <c r="H400" s="241" t="s">
        <v>91</v>
      </c>
      <c r="I400" s="141"/>
      <c r="J400" s="231"/>
      <c r="K400" s="671"/>
      <c r="L400" s="203"/>
      <c r="M400" s="672"/>
      <c r="N400" s="698"/>
      <c r="O400" s="698"/>
      <c r="P400" s="698"/>
    </row>
    <row r="401" spans="1:16" s="697" customFormat="1" ht="31.5">
      <c r="A401" s="268">
        <v>290</v>
      </c>
      <c r="B401" s="586" t="s">
        <v>987</v>
      </c>
      <c r="C401" s="586" t="s">
        <v>1073</v>
      </c>
      <c r="D401" s="278">
        <v>38558</v>
      </c>
      <c r="E401" s="263" t="s">
        <v>90</v>
      </c>
      <c r="F401" s="239" t="s">
        <v>1172</v>
      </c>
      <c r="G401" s="276" t="str">
        <f t="shared" si="23"/>
        <v>2ت ا ق2</v>
      </c>
      <c r="H401" s="242" t="s">
        <v>96</v>
      </c>
      <c r="I401" s="141"/>
      <c r="J401" s="231"/>
      <c r="K401" s="404"/>
      <c r="L401" s="203"/>
      <c r="M401" s="672"/>
      <c r="N401" s="698"/>
      <c r="O401" s="698"/>
      <c r="P401" s="698"/>
    </row>
    <row r="402" spans="1:16" s="697" customFormat="1">
      <c r="A402" s="268">
        <v>291</v>
      </c>
      <c r="B402" s="586" t="s">
        <v>1260</v>
      </c>
      <c r="C402" s="586" t="s">
        <v>920</v>
      </c>
      <c r="D402" s="278">
        <v>38883</v>
      </c>
      <c r="E402" s="266" t="s">
        <v>90</v>
      </c>
      <c r="F402" s="277" t="s">
        <v>2</v>
      </c>
      <c r="G402" s="276" t="str">
        <f t="shared" si="23"/>
        <v>2ع ت1</v>
      </c>
      <c r="H402" s="240" t="s">
        <v>1458</v>
      </c>
      <c r="I402" s="141"/>
      <c r="J402" s="231"/>
      <c r="K402" s="404"/>
      <c r="L402" s="203"/>
      <c r="M402" s="672"/>
      <c r="N402" s="698"/>
      <c r="O402" s="698"/>
      <c r="P402" s="698"/>
    </row>
    <row r="403" spans="1:16" s="697" customFormat="1">
      <c r="A403" s="268">
        <v>292</v>
      </c>
      <c r="B403" s="586" t="s">
        <v>1261</v>
      </c>
      <c r="C403" s="586" t="s">
        <v>1262</v>
      </c>
      <c r="D403" s="278">
        <v>39035</v>
      </c>
      <c r="E403" s="590" t="s">
        <v>104</v>
      </c>
      <c r="F403" s="277" t="s">
        <v>2</v>
      </c>
      <c r="G403" s="276" t="str">
        <f t="shared" si="23"/>
        <v>2ع ت1</v>
      </c>
      <c r="H403" s="240" t="s">
        <v>1458</v>
      </c>
      <c r="I403" s="141"/>
      <c r="J403" s="231"/>
      <c r="K403" s="404"/>
      <c r="L403" s="203"/>
      <c r="M403" s="672"/>
      <c r="N403" s="698"/>
      <c r="O403" s="698"/>
      <c r="P403" s="698"/>
    </row>
    <row r="404" spans="1:16" s="697" customFormat="1">
      <c r="A404" s="268">
        <v>293</v>
      </c>
      <c r="B404" s="586" t="s">
        <v>55</v>
      </c>
      <c r="C404" s="586" t="s">
        <v>1262</v>
      </c>
      <c r="D404" s="278">
        <v>38956</v>
      </c>
      <c r="E404" s="590" t="s">
        <v>90</v>
      </c>
      <c r="F404" s="277" t="s">
        <v>2</v>
      </c>
      <c r="G404" s="276" t="str">
        <f t="shared" si="23"/>
        <v>2ع ت1</v>
      </c>
      <c r="H404" s="240" t="s">
        <v>1458</v>
      </c>
      <c r="I404" s="141"/>
      <c r="J404" s="231"/>
      <c r="K404" s="671"/>
      <c r="L404" s="203"/>
      <c r="M404" s="672"/>
      <c r="N404" s="698"/>
      <c r="O404" s="698"/>
      <c r="P404" s="698"/>
    </row>
    <row r="405" spans="1:16" s="697" customFormat="1">
      <c r="A405" s="268">
        <v>294</v>
      </c>
      <c r="B405" s="586" t="s">
        <v>1263</v>
      </c>
      <c r="C405" s="586" t="s">
        <v>1264</v>
      </c>
      <c r="D405" s="278">
        <v>38828</v>
      </c>
      <c r="E405" s="413" t="s">
        <v>90</v>
      </c>
      <c r="F405" s="277" t="s">
        <v>2</v>
      </c>
      <c r="G405" s="276" t="str">
        <f t="shared" si="23"/>
        <v>2ع ت1</v>
      </c>
      <c r="H405" s="240" t="s">
        <v>1458</v>
      </c>
      <c r="I405" s="141"/>
      <c r="J405" s="231"/>
      <c r="K405" s="404"/>
      <c r="L405" s="203"/>
      <c r="M405" s="672"/>
      <c r="N405" s="698"/>
      <c r="O405" s="698"/>
      <c r="P405" s="698"/>
    </row>
    <row r="406" spans="1:16" s="697" customFormat="1">
      <c r="A406" s="268">
        <v>295</v>
      </c>
      <c r="B406" s="586" t="s">
        <v>1297</v>
      </c>
      <c r="C406" s="586" t="s">
        <v>1298</v>
      </c>
      <c r="D406" s="278">
        <v>38909</v>
      </c>
      <c r="E406" s="592" t="s">
        <v>90</v>
      </c>
      <c r="F406" s="277" t="s">
        <v>2</v>
      </c>
      <c r="G406" s="276" t="str">
        <f t="shared" si="23"/>
        <v>2ع ت1</v>
      </c>
      <c r="H406" s="240" t="s">
        <v>1458</v>
      </c>
      <c r="I406" s="141"/>
      <c r="J406" s="231"/>
      <c r="K406" s="417"/>
      <c r="L406" s="203"/>
      <c r="M406" s="672"/>
      <c r="N406" s="698"/>
      <c r="O406" s="698"/>
      <c r="P406" s="698"/>
    </row>
    <row r="407" spans="1:16" s="697" customFormat="1">
      <c r="A407" s="268">
        <v>296</v>
      </c>
      <c r="B407" s="586" t="s">
        <v>1299</v>
      </c>
      <c r="C407" s="586" t="s">
        <v>1300</v>
      </c>
      <c r="D407" s="278">
        <v>38978</v>
      </c>
      <c r="E407" s="412" t="s">
        <v>104</v>
      </c>
      <c r="F407" s="277" t="s">
        <v>2</v>
      </c>
      <c r="G407" s="276" t="str">
        <f t="shared" si="23"/>
        <v>2ع ت1</v>
      </c>
      <c r="H407" s="241" t="s">
        <v>91</v>
      </c>
      <c r="I407" s="141"/>
      <c r="J407" s="231"/>
      <c r="K407" s="404"/>
      <c r="L407" s="203"/>
      <c r="M407" s="672"/>
      <c r="N407" s="698"/>
      <c r="O407" s="698"/>
      <c r="P407" s="698"/>
    </row>
    <row r="408" spans="1:16" s="697" customFormat="1">
      <c r="A408" s="268">
        <v>297</v>
      </c>
      <c r="B408" s="586" t="s">
        <v>186</v>
      </c>
      <c r="C408" s="586" t="s">
        <v>1380</v>
      </c>
      <c r="D408" s="278">
        <v>38920</v>
      </c>
      <c r="E408" s="591" t="s">
        <v>90</v>
      </c>
      <c r="F408" s="277" t="s">
        <v>2</v>
      </c>
      <c r="G408" s="276" t="str">
        <f t="shared" si="23"/>
        <v>2ع ت1</v>
      </c>
      <c r="H408" s="242" t="s">
        <v>96</v>
      </c>
      <c r="I408" s="141"/>
      <c r="J408" s="231"/>
      <c r="K408" s="404"/>
      <c r="L408" s="678" t="s">
        <v>1875</v>
      </c>
      <c r="M408" s="679" t="s">
        <v>1875</v>
      </c>
      <c r="N408" s="698"/>
      <c r="O408" s="698"/>
      <c r="P408" s="698"/>
    </row>
    <row r="409" spans="1:16" s="697" customFormat="1" ht="47.25">
      <c r="A409" s="268">
        <v>298</v>
      </c>
      <c r="B409" s="586" t="s">
        <v>1266</v>
      </c>
      <c r="C409" s="586" t="s">
        <v>1267</v>
      </c>
      <c r="D409" s="278">
        <v>39168</v>
      </c>
      <c r="E409" s="590" t="s">
        <v>1268</v>
      </c>
      <c r="F409" s="277" t="s">
        <v>2</v>
      </c>
      <c r="G409" s="276" t="str">
        <f t="shared" si="23"/>
        <v>2ع ت1</v>
      </c>
      <c r="H409" s="241" t="s">
        <v>91</v>
      </c>
      <c r="I409" s="141"/>
      <c r="J409" s="231"/>
      <c r="K409" s="404"/>
      <c r="L409" s="203"/>
      <c r="M409" s="672"/>
      <c r="N409" s="698"/>
      <c r="O409" s="698"/>
      <c r="P409" s="698"/>
    </row>
    <row r="410" spans="1:16" s="697" customFormat="1">
      <c r="A410" s="268">
        <v>299</v>
      </c>
      <c r="B410" s="586" t="s">
        <v>1272</v>
      </c>
      <c r="C410" s="586" t="s">
        <v>1273</v>
      </c>
      <c r="D410" s="278">
        <v>38962</v>
      </c>
      <c r="E410" s="590" t="s">
        <v>90</v>
      </c>
      <c r="F410" s="277" t="s">
        <v>2</v>
      </c>
      <c r="G410" s="276" t="str">
        <f t="shared" si="23"/>
        <v>2ع ت1</v>
      </c>
      <c r="H410" s="241" t="s">
        <v>91</v>
      </c>
      <c r="I410" s="141"/>
      <c r="J410" s="231"/>
      <c r="K410" s="404"/>
      <c r="L410" s="203"/>
      <c r="M410" s="672"/>
      <c r="N410" s="698"/>
      <c r="O410" s="698"/>
      <c r="P410" s="698"/>
    </row>
    <row r="411" spans="1:16" s="697" customFormat="1">
      <c r="A411" s="268">
        <v>300</v>
      </c>
      <c r="B411" s="586" t="s">
        <v>52</v>
      </c>
      <c r="C411" s="586" t="s">
        <v>523</v>
      </c>
      <c r="D411" s="278">
        <v>38481</v>
      </c>
      <c r="E411" s="412" t="s">
        <v>1479</v>
      </c>
      <c r="F411" s="277" t="s">
        <v>2</v>
      </c>
      <c r="G411" s="276" t="str">
        <f t="shared" si="23"/>
        <v>2ع ت1</v>
      </c>
      <c r="H411" s="242" t="s">
        <v>96</v>
      </c>
      <c r="I411" s="141"/>
      <c r="J411" s="231"/>
      <c r="K411" s="404"/>
      <c r="L411" s="678" t="s">
        <v>1875</v>
      </c>
      <c r="M411" s="679" t="s">
        <v>1875</v>
      </c>
      <c r="N411" s="698"/>
      <c r="O411" s="698"/>
      <c r="P411" s="698"/>
    </row>
    <row r="412" spans="1:16" s="697" customFormat="1">
      <c r="A412" s="268">
        <v>301</v>
      </c>
      <c r="B412" s="586" t="s">
        <v>1306</v>
      </c>
      <c r="C412" s="586" t="s">
        <v>1307</v>
      </c>
      <c r="D412" s="278">
        <v>38858</v>
      </c>
      <c r="E412" s="590" t="s">
        <v>104</v>
      </c>
      <c r="F412" s="277" t="s">
        <v>2</v>
      </c>
      <c r="G412" s="276" t="str">
        <f t="shared" si="23"/>
        <v>2ع ت1</v>
      </c>
      <c r="H412" s="241" t="s">
        <v>91</v>
      </c>
      <c r="I412" s="141"/>
      <c r="J412" s="231"/>
      <c r="K412" s="404"/>
      <c r="L412" s="678"/>
      <c r="M412" s="679"/>
      <c r="N412" s="698"/>
      <c r="O412" s="698"/>
      <c r="P412" s="698"/>
    </row>
    <row r="413" spans="1:16" s="697" customFormat="1" ht="31.5">
      <c r="A413" s="268">
        <v>302</v>
      </c>
      <c r="B413" s="586" t="s">
        <v>1388</v>
      </c>
      <c r="C413" s="586" t="s">
        <v>1389</v>
      </c>
      <c r="D413" s="278">
        <v>38893</v>
      </c>
      <c r="E413" s="595" t="s">
        <v>104</v>
      </c>
      <c r="F413" s="277" t="s">
        <v>2</v>
      </c>
      <c r="G413" s="276" t="str">
        <f t="shared" si="23"/>
        <v>2ع ت1</v>
      </c>
      <c r="H413" s="242" t="s">
        <v>96</v>
      </c>
      <c r="I413" s="141"/>
      <c r="J413" s="231"/>
      <c r="K413" s="404"/>
      <c r="L413" s="203"/>
      <c r="M413" s="672"/>
      <c r="N413" s="698"/>
      <c r="O413" s="698"/>
      <c r="P413" s="698"/>
    </row>
    <row r="414" spans="1:16" s="697" customFormat="1">
      <c r="A414" s="268">
        <v>303</v>
      </c>
      <c r="B414" s="586" t="s">
        <v>529</v>
      </c>
      <c r="C414" s="586" t="s">
        <v>1278</v>
      </c>
      <c r="D414" s="278">
        <v>38867</v>
      </c>
      <c r="E414" s="591" t="s">
        <v>90</v>
      </c>
      <c r="F414" s="277" t="s">
        <v>2</v>
      </c>
      <c r="G414" s="276" t="str">
        <f t="shared" si="23"/>
        <v>2ع ت1</v>
      </c>
      <c r="H414" s="242" t="s">
        <v>96</v>
      </c>
      <c r="I414" s="141"/>
      <c r="J414" s="231"/>
      <c r="K414" s="404"/>
      <c r="L414" s="704"/>
      <c r="M414" s="705"/>
      <c r="N414" s="698"/>
      <c r="O414" s="698"/>
      <c r="P414" s="698"/>
    </row>
    <row r="415" spans="1:16" s="697" customFormat="1">
      <c r="A415" s="268">
        <v>304</v>
      </c>
      <c r="B415" s="586" t="s">
        <v>1517</v>
      </c>
      <c r="C415" s="586" t="s">
        <v>43</v>
      </c>
      <c r="D415" s="278">
        <v>38862</v>
      </c>
      <c r="E415" s="590" t="s">
        <v>90</v>
      </c>
      <c r="F415" s="277" t="s">
        <v>2</v>
      </c>
      <c r="G415" s="276" t="str">
        <f t="shared" si="23"/>
        <v>2ع ت1</v>
      </c>
      <c r="H415" s="241" t="s">
        <v>91</v>
      </c>
      <c r="I415" s="141"/>
      <c r="J415" s="231"/>
      <c r="K415" s="404"/>
      <c r="L415" s="704"/>
      <c r="M415" s="705"/>
      <c r="N415" s="698"/>
      <c r="O415" s="698"/>
      <c r="P415" s="698"/>
    </row>
    <row r="416" spans="1:16" s="697" customFormat="1">
      <c r="A416" s="268">
        <v>305</v>
      </c>
      <c r="B416" s="586" t="s">
        <v>130</v>
      </c>
      <c r="C416" s="586" t="s">
        <v>1281</v>
      </c>
      <c r="D416" s="278">
        <v>38988</v>
      </c>
      <c r="E416" s="590" t="s">
        <v>90</v>
      </c>
      <c r="F416" s="277" t="s">
        <v>2</v>
      </c>
      <c r="G416" s="276" t="str">
        <f t="shared" si="23"/>
        <v>2ع ت1</v>
      </c>
      <c r="H416" s="241" t="s">
        <v>91</v>
      </c>
      <c r="I416" s="141"/>
      <c r="J416" s="231"/>
      <c r="K416" s="404"/>
      <c r="L416" s="700" t="s">
        <v>1874</v>
      </c>
      <c r="M416" s="701" t="s">
        <v>1874</v>
      </c>
      <c r="N416" s="698"/>
      <c r="O416" s="698"/>
      <c r="P416" s="698"/>
    </row>
    <row r="417" spans="1:16" s="697" customFormat="1">
      <c r="A417" s="268">
        <v>306</v>
      </c>
      <c r="B417" s="586" t="s">
        <v>1336</v>
      </c>
      <c r="C417" s="586" t="s">
        <v>1449</v>
      </c>
      <c r="D417" s="278">
        <v>39147</v>
      </c>
      <c r="E417" s="589" t="s">
        <v>104</v>
      </c>
      <c r="F417" s="277" t="s">
        <v>2</v>
      </c>
      <c r="G417" s="276" t="str">
        <f t="shared" si="23"/>
        <v>2ع ت1</v>
      </c>
      <c r="H417" s="242" t="s">
        <v>96</v>
      </c>
      <c r="I417" s="141"/>
      <c r="J417" s="231"/>
      <c r="K417" s="404"/>
      <c r="L417" s="203"/>
      <c r="M417" s="672"/>
      <c r="N417" s="698"/>
      <c r="O417" s="698"/>
      <c r="P417" s="698"/>
    </row>
    <row r="418" spans="1:16" s="697" customFormat="1">
      <c r="A418" s="268">
        <v>307</v>
      </c>
      <c r="B418" s="586" t="s">
        <v>1512</v>
      </c>
      <c r="C418" s="586" t="s">
        <v>15</v>
      </c>
      <c r="D418" s="278">
        <v>38886</v>
      </c>
      <c r="E418" s="598" t="s">
        <v>104</v>
      </c>
      <c r="F418" s="277" t="s">
        <v>2</v>
      </c>
      <c r="G418" s="276" t="str">
        <f t="shared" si="23"/>
        <v>2ع ت1</v>
      </c>
      <c r="H418" s="241" t="s">
        <v>91</v>
      </c>
      <c r="I418" s="141"/>
      <c r="J418" s="231"/>
      <c r="K418" s="404"/>
      <c r="L418" s="203"/>
      <c r="M418" s="672"/>
      <c r="N418" s="698"/>
      <c r="O418" s="698"/>
      <c r="P418" s="698"/>
    </row>
    <row r="419" spans="1:16" s="697" customFormat="1">
      <c r="A419" s="268">
        <v>308</v>
      </c>
      <c r="B419" s="586" t="s">
        <v>152</v>
      </c>
      <c r="C419" s="586" t="s">
        <v>706</v>
      </c>
      <c r="D419" s="278">
        <v>39050</v>
      </c>
      <c r="E419" s="593" t="s">
        <v>90</v>
      </c>
      <c r="F419" s="277" t="s">
        <v>2</v>
      </c>
      <c r="G419" s="276" t="str">
        <f t="shared" si="23"/>
        <v>2ع ت1</v>
      </c>
      <c r="H419" s="242" t="s">
        <v>96</v>
      </c>
      <c r="I419" s="141"/>
      <c r="J419" s="231"/>
      <c r="K419" s="404"/>
      <c r="L419" s="203"/>
      <c r="M419" s="672"/>
      <c r="N419" s="698"/>
      <c r="O419" s="698"/>
      <c r="P419" s="698"/>
    </row>
    <row r="420" spans="1:16" s="697" customFormat="1" ht="31.5">
      <c r="A420" s="268">
        <v>309</v>
      </c>
      <c r="B420" s="586" t="s">
        <v>1284</v>
      </c>
      <c r="C420" s="586" t="s">
        <v>1285</v>
      </c>
      <c r="D420" s="278">
        <v>38926</v>
      </c>
      <c r="E420" s="595" t="s">
        <v>90</v>
      </c>
      <c r="F420" s="277" t="s">
        <v>2</v>
      </c>
      <c r="G420" s="276" t="str">
        <f t="shared" si="23"/>
        <v>2ع ت1</v>
      </c>
      <c r="H420" s="242" t="s">
        <v>96</v>
      </c>
      <c r="I420" s="141"/>
      <c r="J420" s="231"/>
      <c r="K420" s="404"/>
      <c r="L420" s="700" t="s">
        <v>1874</v>
      </c>
      <c r="M420" s="701" t="s">
        <v>1874</v>
      </c>
      <c r="N420" s="698"/>
      <c r="O420" s="698"/>
      <c r="P420" s="698"/>
    </row>
    <row r="421" spans="1:16" s="697" customFormat="1" ht="31.5">
      <c r="A421" s="268">
        <v>310</v>
      </c>
      <c r="B421" s="586" t="s">
        <v>1110</v>
      </c>
      <c r="C421" s="586" t="s">
        <v>1021</v>
      </c>
      <c r="D421" s="278">
        <v>38482</v>
      </c>
      <c r="E421" s="598" t="s">
        <v>104</v>
      </c>
      <c r="F421" s="277" t="s">
        <v>2</v>
      </c>
      <c r="G421" s="276" t="str">
        <f t="shared" si="23"/>
        <v>2ع ت1</v>
      </c>
      <c r="H421" s="242" t="s">
        <v>96</v>
      </c>
      <c r="I421" s="141"/>
      <c r="J421" s="231"/>
      <c r="K421" s="404"/>
      <c r="L421" s="700" t="s">
        <v>1874</v>
      </c>
      <c r="M421" s="701" t="s">
        <v>1874</v>
      </c>
      <c r="N421" s="698"/>
      <c r="O421" s="698"/>
      <c r="P421" s="698"/>
    </row>
    <row r="422" spans="1:16" s="697" customFormat="1" ht="31.5">
      <c r="A422" s="268">
        <v>311</v>
      </c>
      <c r="B422" s="586" t="s">
        <v>1309</v>
      </c>
      <c r="C422" s="586" t="s">
        <v>1310</v>
      </c>
      <c r="D422" s="278">
        <v>39265</v>
      </c>
      <c r="E422" s="590" t="s">
        <v>104</v>
      </c>
      <c r="F422" s="277" t="s">
        <v>2</v>
      </c>
      <c r="G422" s="276" t="str">
        <f t="shared" si="23"/>
        <v>2ع ت1</v>
      </c>
      <c r="H422" s="241" t="s">
        <v>91</v>
      </c>
      <c r="I422" s="141"/>
      <c r="J422" s="231"/>
      <c r="K422" s="404"/>
      <c r="L422" s="203"/>
      <c r="M422" s="672"/>
      <c r="N422" s="698"/>
      <c r="O422" s="698"/>
      <c r="P422" s="698"/>
    </row>
    <row r="423" spans="1:16" s="697" customFormat="1">
      <c r="A423" s="268">
        <v>312</v>
      </c>
      <c r="B423" s="586" t="s">
        <v>1286</v>
      </c>
      <c r="C423" s="586" t="s">
        <v>1287</v>
      </c>
      <c r="D423" s="278">
        <v>38963</v>
      </c>
      <c r="E423" s="590" t="s">
        <v>90</v>
      </c>
      <c r="F423" s="277" t="s">
        <v>2</v>
      </c>
      <c r="G423" s="276" t="str">
        <f t="shared" si="23"/>
        <v>2ع ت1</v>
      </c>
      <c r="H423" s="241" t="s">
        <v>91</v>
      </c>
      <c r="I423" s="141"/>
      <c r="J423" s="231"/>
      <c r="K423" s="404"/>
      <c r="L423" s="203"/>
      <c r="M423" s="672"/>
      <c r="N423" s="698"/>
      <c r="O423" s="698"/>
      <c r="P423" s="698"/>
    </row>
    <row r="424" spans="1:16" s="697" customFormat="1">
      <c r="A424" s="268">
        <v>313</v>
      </c>
      <c r="B424" s="586" t="s">
        <v>14</v>
      </c>
      <c r="C424" s="586" t="s">
        <v>1273</v>
      </c>
      <c r="D424" s="278">
        <v>38977</v>
      </c>
      <c r="E424" s="590" t="s">
        <v>90</v>
      </c>
      <c r="F424" s="277" t="s">
        <v>2</v>
      </c>
      <c r="G424" s="276" t="str">
        <f t="shared" si="23"/>
        <v>2ع ت1</v>
      </c>
      <c r="H424" s="241" t="s">
        <v>91</v>
      </c>
      <c r="I424" s="141"/>
      <c r="J424" s="231"/>
      <c r="K424" s="404"/>
      <c r="L424" s="203"/>
      <c r="M424" s="672"/>
      <c r="N424" s="698"/>
      <c r="O424" s="698"/>
      <c r="P424" s="698"/>
    </row>
    <row r="425" spans="1:16" s="697" customFormat="1">
      <c r="A425" s="268">
        <v>314</v>
      </c>
      <c r="B425" s="586" t="s">
        <v>1311</v>
      </c>
      <c r="C425" s="586" t="s">
        <v>1312</v>
      </c>
      <c r="D425" s="278">
        <v>39082</v>
      </c>
      <c r="E425" s="591" t="s">
        <v>90</v>
      </c>
      <c r="F425" s="277" t="s">
        <v>2</v>
      </c>
      <c r="G425" s="276" t="str">
        <f t="shared" si="23"/>
        <v>2ع ت1</v>
      </c>
      <c r="H425" s="241" t="s">
        <v>91</v>
      </c>
      <c r="I425" s="141"/>
      <c r="J425" s="231"/>
      <c r="K425" s="404"/>
      <c r="L425" s="203"/>
      <c r="M425" s="672"/>
      <c r="N425" s="698"/>
      <c r="O425" s="698"/>
      <c r="P425" s="698"/>
    </row>
    <row r="426" spans="1:16" s="697" customFormat="1">
      <c r="A426" s="268">
        <v>315</v>
      </c>
      <c r="B426" s="586" t="s">
        <v>1318</v>
      </c>
      <c r="C426" s="586" t="s">
        <v>1319</v>
      </c>
      <c r="D426" s="278">
        <v>39023</v>
      </c>
      <c r="E426" s="590" t="s">
        <v>104</v>
      </c>
      <c r="F426" s="277" t="s">
        <v>2</v>
      </c>
      <c r="G426" s="276" t="str">
        <f t="shared" si="23"/>
        <v>2ع ت1</v>
      </c>
      <c r="H426" s="241" t="s">
        <v>91</v>
      </c>
      <c r="I426" s="141"/>
      <c r="J426" s="231"/>
      <c r="K426" s="404"/>
      <c r="L426" s="203"/>
      <c r="M426" s="672"/>
      <c r="N426" s="698"/>
      <c r="O426" s="698"/>
      <c r="P426" s="698"/>
    </row>
    <row r="427" spans="1:16" s="697" customFormat="1" ht="31.5">
      <c r="A427" s="268">
        <v>316</v>
      </c>
      <c r="B427" s="586" t="s">
        <v>1290</v>
      </c>
      <c r="C427" s="586" t="s">
        <v>1291</v>
      </c>
      <c r="D427" s="278">
        <v>38874</v>
      </c>
      <c r="E427" s="590" t="s">
        <v>104</v>
      </c>
      <c r="F427" s="277" t="s">
        <v>2</v>
      </c>
      <c r="G427" s="276" t="str">
        <f t="shared" si="23"/>
        <v>2ع ت1</v>
      </c>
      <c r="H427" s="241" t="s">
        <v>91</v>
      </c>
      <c r="I427" s="141"/>
      <c r="J427" s="231"/>
      <c r="K427" s="404"/>
      <c r="L427" s="203"/>
      <c r="M427" s="672"/>
      <c r="N427" s="698"/>
      <c r="O427" s="698"/>
      <c r="P427" s="698"/>
    </row>
    <row r="428" spans="1:16" s="697" customFormat="1">
      <c r="A428" s="268">
        <v>317</v>
      </c>
      <c r="B428" s="586" t="s">
        <v>46</v>
      </c>
      <c r="C428" s="586" t="s">
        <v>1320</v>
      </c>
      <c r="D428" s="278">
        <v>38798</v>
      </c>
      <c r="E428" s="590" t="s">
        <v>90</v>
      </c>
      <c r="F428" s="277" t="s">
        <v>2</v>
      </c>
      <c r="G428" s="276" t="str">
        <f t="shared" si="23"/>
        <v>2ع ت1</v>
      </c>
      <c r="H428" s="241" t="s">
        <v>91</v>
      </c>
      <c r="I428" s="141"/>
      <c r="J428" s="231"/>
      <c r="K428" s="404"/>
      <c r="L428" s="678"/>
      <c r="M428" s="679"/>
      <c r="N428" s="698"/>
      <c r="O428" s="698"/>
      <c r="P428" s="698"/>
    </row>
    <row r="429" spans="1:16" s="697" customFormat="1">
      <c r="A429" s="268">
        <v>318</v>
      </c>
      <c r="B429" s="586" t="s">
        <v>1292</v>
      </c>
      <c r="C429" s="586" t="s">
        <v>1293</v>
      </c>
      <c r="D429" s="278">
        <v>39098</v>
      </c>
      <c r="E429" s="590" t="s">
        <v>90</v>
      </c>
      <c r="F429" s="277" t="s">
        <v>2</v>
      </c>
      <c r="G429" s="276" t="str">
        <f t="shared" si="23"/>
        <v>2ع ت1</v>
      </c>
      <c r="H429" s="241" t="s">
        <v>91</v>
      </c>
      <c r="I429" s="141"/>
      <c r="J429" s="231"/>
      <c r="K429" s="404"/>
      <c r="L429" s="700"/>
      <c r="M429" s="701"/>
      <c r="N429" s="698"/>
      <c r="O429" s="698"/>
      <c r="P429" s="698"/>
    </row>
    <row r="430" spans="1:16" s="697" customFormat="1">
      <c r="A430" s="268">
        <v>319</v>
      </c>
      <c r="B430" s="586" t="s">
        <v>524</v>
      </c>
      <c r="C430" s="586" t="s">
        <v>1058</v>
      </c>
      <c r="D430" s="278">
        <v>38838</v>
      </c>
      <c r="E430" s="262" t="s">
        <v>133</v>
      </c>
      <c r="F430" s="277" t="s">
        <v>3</v>
      </c>
      <c r="G430" s="276" t="str">
        <f t="shared" si="23"/>
        <v>2ع ت2</v>
      </c>
      <c r="H430" s="240" t="s">
        <v>1459</v>
      </c>
      <c r="I430" s="141"/>
      <c r="J430" s="231"/>
      <c r="K430" s="404"/>
      <c r="L430" s="203"/>
      <c r="M430" s="672"/>
      <c r="N430" s="698"/>
      <c r="O430" s="698"/>
      <c r="P430" s="698"/>
    </row>
    <row r="431" spans="1:16" s="697" customFormat="1">
      <c r="A431" s="268">
        <v>320</v>
      </c>
      <c r="B431" s="586" t="s">
        <v>695</v>
      </c>
      <c r="C431" s="586" t="s">
        <v>1401</v>
      </c>
      <c r="D431" s="278">
        <v>38844</v>
      </c>
      <c r="E431" s="589" t="s">
        <v>90</v>
      </c>
      <c r="F431" s="277" t="s">
        <v>3</v>
      </c>
      <c r="G431" s="276" t="str">
        <f t="shared" si="23"/>
        <v>2ع ت2</v>
      </c>
      <c r="H431" s="240" t="s">
        <v>1458</v>
      </c>
      <c r="I431" s="141"/>
      <c r="J431" s="231"/>
      <c r="K431" s="404"/>
      <c r="L431" s="203"/>
      <c r="M431" s="672"/>
      <c r="N431" s="698"/>
      <c r="O431" s="698"/>
      <c r="P431" s="698"/>
    </row>
    <row r="432" spans="1:16" s="697" customFormat="1">
      <c r="A432" s="268">
        <v>321</v>
      </c>
      <c r="B432" s="586" t="s">
        <v>56</v>
      </c>
      <c r="C432" s="586" t="s">
        <v>1275</v>
      </c>
      <c r="D432" s="278">
        <v>38835</v>
      </c>
      <c r="E432" s="590" t="s">
        <v>90</v>
      </c>
      <c r="F432" s="277" t="s">
        <v>3</v>
      </c>
      <c r="G432" s="276" t="str">
        <f t="shared" si="23"/>
        <v>2ع ت2</v>
      </c>
      <c r="H432" s="240" t="s">
        <v>1458</v>
      </c>
      <c r="I432" s="141"/>
      <c r="J432" s="231"/>
      <c r="K432" s="404"/>
      <c r="L432" s="203"/>
      <c r="M432" s="672"/>
      <c r="N432" s="698"/>
      <c r="O432" s="698"/>
      <c r="P432" s="698"/>
    </row>
    <row r="433" spans="1:21" s="697" customFormat="1">
      <c r="A433" s="268">
        <v>322</v>
      </c>
      <c r="B433" s="586" t="s">
        <v>1322</v>
      </c>
      <c r="C433" s="586" t="s">
        <v>1323</v>
      </c>
      <c r="D433" s="278">
        <v>39060</v>
      </c>
      <c r="E433" s="590" t="s">
        <v>90</v>
      </c>
      <c r="F433" s="277" t="s">
        <v>3</v>
      </c>
      <c r="G433" s="276" t="str">
        <f t="shared" ref="G433:G496" si="24">F433</f>
        <v>2ع ت2</v>
      </c>
      <c r="H433" s="240" t="s">
        <v>1458</v>
      </c>
      <c r="I433" s="141"/>
      <c r="J433" s="231"/>
      <c r="K433" s="671" t="s">
        <v>1873</v>
      </c>
      <c r="L433" s="203"/>
      <c r="M433" s="672"/>
      <c r="N433" s="698"/>
      <c r="O433" s="698"/>
      <c r="P433" s="698"/>
    </row>
    <row r="434" spans="1:21" s="697" customFormat="1">
      <c r="A434" s="268">
        <v>323</v>
      </c>
      <c r="B434" s="586" t="s">
        <v>1295</v>
      </c>
      <c r="C434" s="586" t="s">
        <v>1296</v>
      </c>
      <c r="D434" s="278">
        <v>39165</v>
      </c>
      <c r="E434" s="590" t="s">
        <v>104</v>
      </c>
      <c r="F434" s="277" t="s">
        <v>3</v>
      </c>
      <c r="G434" s="276" t="str">
        <f t="shared" si="24"/>
        <v>2ع ت2</v>
      </c>
      <c r="H434" s="240" t="s">
        <v>1458</v>
      </c>
      <c r="I434" s="141"/>
      <c r="J434" s="231"/>
      <c r="K434" s="671"/>
      <c r="L434" s="203"/>
      <c r="M434" s="672"/>
      <c r="N434" s="698"/>
      <c r="O434" s="698"/>
      <c r="P434" s="698"/>
    </row>
    <row r="435" spans="1:21" s="697" customFormat="1" ht="31.5">
      <c r="A435" s="268">
        <v>324</v>
      </c>
      <c r="B435" s="586" t="s">
        <v>62</v>
      </c>
      <c r="C435" s="586" t="s">
        <v>1324</v>
      </c>
      <c r="D435" s="278">
        <v>39096</v>
      </c>
      <c r="E435" s="590" t="s">
        <v>90</v>
      </c>
      <c r="F435" s="277" t="s">
        <v>3</v>
      </c>
      <c r="G435" s="276" t="str">
        <f t="shared" si="24"/>
        <v>2ع ت2</v>
      </c>
      <c r="H435" s="240" t="s">
        <v>1458</v>
      </c>
      <c r="I435" s="141"/>
      <c r="J435" s="231"/>
      <c r="K435" s="671" t="s">
        <v>628</v>
      </c>
      <c r="L435" s="203"/>
      <c r="M435" s="672"/>
      <c r="N435" s="698"/>
      <c r="O435" s="698"/>
      <c r="P435" s="698"/>
    </row>
    <row r="436" spans="1:21" s="697" customFormat="1" ht="31.5">
      <c r="A436" s="268">
        <v>325</v>
      </c>
      <c r="B436" s="586" t="s">
        <v>1325</v>
      </c>
      <c r="C436" s="586" t="s">
        <v>1326</v>
      </c>
      <c r="D436" s="278">
        <v>38864</v>
      </c>
      <c r="E436" s="590" t="s">
        <v>104</v>
      </c>
      <c r="F436" s="277" t="s">
        <v>3</v>
      </c>
      <c r="G436" s="276" t="str">
        <f t="shared" si="24"/>
        <v>2ع ت2</v>
      </c>
      <c r="H436" s="241" t="s">
        <v>91</v>
      </c>
      <c r="I436" s="141"/>
      <c r="J436" s="231"/>
      <c r="K436" s="671" t="s">
        <v>628</v>
      </c>
      <c r="L436" s="203"/>
      <c r="M436" s="672"/>
      <c r="N436" s="698"/>
      <c r="O436" s="698"/>
      <c r="P436" s="698"/>
    </row>
    <row r="437" spans="1:21" s="697" customFormat="1">
      <c r="A437" s="268">
        <v>326</v>
      </c>
      <c r="B437" s="586" t="s">
        <v>1327</v>
      </c>
      <c r="C437" s="586" t="s">
        <v>1328</v>
      </c>
      <c r="D437" s="278">
        <v>38940</v>
      </c>
      <c r="E437" s="591" t="s">
        <v>90</v>
      </c>
      <c r="F437" s="277" t="s">
        <v>3</v>
      </c>
      <c r="G437" s="276" t="str">
        <f t="shared" si="24"/>
        <v>2ع ت2</v>
      </c>
      <c r="H437" s="242" t="s">
        <v>96</v>
      </c>
      <c r="I437" s="141"/>
      <c r="J437" s="231"/>
      <c r="K437" s="671" t="s">
        <v>628</v>
      </c>
      <c r="L437" s="203"/>
      <c r="M437" s="672"/>
      <c r="N437" s="698"/>
      <c r="O437" s="698"/>
      <c r="P437" s="698"/>
    </row>
    <row r="438" spans="1:21" s="697" customFormat="1">
      <c r="A438" s="268">
        <v>327</v>
      </c>
      <c r="B438" s="586" t="s">
        <v>1215</v>
      </c>
      <c r="C438" s="586" t="s">
        <v>1516</v>
      </c>
      <c r="D438" s="278">
        <v>38802</v>
      </c>
      <c r="E438" s="590" t="s">
        <v>90</v>
      </c>
      <c r="F438" s="277" t="s">
        <v>3</v>
      </c>
      <c r="G438" s="276" t="str">
        <f t="shared" si="24"/>
        <v>2ع ت2</v>
      </c>
      <c r="H438" s="241" t="s">
        <v>91</v>
      </c>
      <c r="I438" s="141"/>
      <c r="J438" s="231"/>
      <c r="K438" s="671" t="s">
        <v>1873</v>
      </c>
      <c r="L438" s="203"/>
      <c r="M438" s="672"/>
      <c r="N438" s="698"/>
      <c r="O438" s="698"/>
      <c r="P438" s="698"/>
    </row>
    <row r="439" spans="1:21" s="697" customFormat="1" ht="31.5">
      <c r="A439" s="268">
        <v>328</v>
      </c>
      <c r="B439" s="586" t="s">
        <v>137</v>
      </c>
      <c r="C439" s="586" t="s">
        <v>1383</v>
      </c>
      <c r="D439" s="278">
        <v>39097</v>
      </c>
      <c r="E439" s="590" t="s">
        <v>90</v>
      </c>
      <c r="F439" s="277" t="s">
        <v>3</v>
      </c>
      <c r="G439" s="276" t="str">
        <f t="shared" si="24"/>
        <v>2ع ت2</v>
      </c>
      <c r="H439" s="241" t="s">
        <v>91</v>
      </c>
      <c r="I439" s="141"/>
      <c r="J439" s="231"/>
      <c r="K439" s="671" t="s">
        <v>628</v>
      </c>
      <c r="L439" s="700"/>
      <c r="M439" s="701"/>
      <c r="N439" s="698"/>
      <c r="O439" s="698"/>
      <c r="P439" s="698"/>
    </row>
    <row r="440" spans="1:21" s="697" customFormat="1" ht="31.5">
      <c r="A440" s="268">
        <v>329</v>
      </c>
      <c r="B440" s="586" t="s">
        <v>1384</v>
      </c>
      <c r="C440" s="586" t="s">
        <v>1280</v>
      </c>
      <c r="D440" s="278">
        <v>38915</v>
      </c>
      <c r="E440" s="590" t="s">
        <v>1385</v>
      </c>
      <c r="F440" s="277" t="s">
        <v>3</v>
      </c>
      <c r="G440" s="276" t="str">
        <f t="shared" si="24"/>
        <v>2ع ت2</v>
      </c>
      <c r="H440" s="241" t="s">
        <v>91</v>
      </c>
      <c r="I440" s="141"/>
      <c r="J440" s="231"/>
      <c r="K440" s="404"/>
      <c r="L440" s="700"/>
      <c r="M440" s="701"/>
      <c r="N440" s="698"/>
      <c r="O440" s="698"/>
      <c r="P440" s="698"/>
    </row>
    <row r="441" spans="1:21" s="697" customFormat="1" ht="31.5">
      <c r="A441" s="268">
        <v>330</v>
      </c>
      <c r="B441" s="586" t="s">
        <v>1386</v>
      </c>
      <c r="C441" s="586" t="s">
        <v>1387</v>
      </c>
      <c r="D441" s="278">
        <v>39075</v>
      </c>
      <c r="E441" s="590" t="s">
        <v>90</v>
      </c>
      <c r="F441" s="277" t="s">
        <v>3</v>
      </c>
      <c r="G441" s="276" t="str">
        <f t="shared" si="24"/>
        <v>2ع ت2</v>
      </c>
      <c r="H441" s="241" t="s">
        <v>91</v>
      </c>
      <c r="I441" s="141"/>
      <c r="J441" s="231"/>
      <c r="K441" s="671"/>
      <c r="L441" s="203"/>
      <c r="M441" s="672"/>
      <c r="N441" s="698"/>
      <c r="O441" s="698"/>
      <c r="P441" s="698"/>
    </row>
    <row r="442" spans="1:21" s="697" customFormat="1" ht="31.5">
      <c r="A442" s="268">
        <v>331</v>
      </c>
      <c r="B442" s="586" t="s">
        <v>1332</v>
      </c>
      <c r="C442" s="586" t="s">
        <v>1333</v>
      </c>
      <c r="D442" s="278">
        <v>38863</v>
      </c>
      <c r="E442" s="595" t="s">
        <v>104</v>
      </c>
      <c r="F442" s="277" t="s">
        <v>3</v>
      </c>
      <c r="G442" s="276" t="str">
        <f t="shared" si="24"/>
        <v>2ع ت2</v>
      </c>
      <c r="H442" s="242" t="s">
        <v>96</v>
      </c>
      <c r="I442" s="141"/>
      <c r="J442" s="231"/>
      <c r="K442" s="671"/>
      <c r="L442" s="203"/>
      <c r="M442" s="672"/>
      <c r="N442" s="698"/>
      <c r="O442" s="698"/>
      <c r="P442" s="698"/>
    </row>
    <row r="443" spans="1:21" s="697" customFormat="1">
      <c r="A443" s="268">
        <v>332</v>
      </c>
      <c r="B443" s="586" t="s">
        <v>1390</v>
      </c>
      <c r="C443" s="586" t="s">
        <v>1391</v>
      </c>
      <c r="D443" s="278">
        <v>38813</v>
      </c>
      <c r="E443" s="592" t="s">
        <v>90</v>
      </c>
      <c r="F443" s="277" t="s">
        <v>3</v>
      </c>
      <c r="G443" s="276" t="str">
        <f t="shared" si="24"/>
        <v>2ع ت2</v>
      </c>
      <c r="H443" s="242" t="s">
        <v>96</v>
      </c>
      <c r="I443" s="141"/>
      <c r="J443" s="231"/>
      <c r="K443" s="671"/>
      <c r="L443" s="203"/>
      <c r="M443" s="672"/>
      <c r="N443" s="698"/>
      <c r="O443" s="698"/>
      <c r="P443" s="698"/>
    </row>
    <row r="444" spans="1:21" s="697" customFormat="1">
      <c r="A444" s="268">
        <v>333</v>
      </c>
      <c r="B444" s="586" t="s">
        <v>1279</v>
      </c>
      <c r="C444" s="586" t="s">
        <v>1280</v>
      </c>
      <c r="D444" s="278">
        <v>39128</v>
      </c>
      <c r="E444" s="597" t="s">
        <v>90</v>
      </c>
      <c r="F444" s="277" t="s">
        <v>3</v>
      </c>
      <c r="G444" s="276" t="str">
        <f t="shared" si="24"/>
        <v>2ع ت2</v>
      </c>
      <c r="H444" s="241" t="s">
        <v>91</v>
      </c>
      <c r="I444" s="141"/>
      <c r="J444" s="231"/>
      <c r="K444" s="671"/>
      <c r="L444" s="203"/>
      <c r="M444" s="672"/>
      <c r="N444" s="698"/>
      <c r="O444" s="698"/>
      <c r="P444" s="698"/>
    </row>
    <row r="445" spans="1:21" s="697" customFormat="1" ht="31.5">
      <c r="A445" s="268">
        <v>334</v>
      </c>
      <c r="B445" s="586" t="s">
        <v>968</v>
      </c>
      <c r="C445" s="586" t="s">
        <v>1334</v>
      </c>
      <c r="D445" s="278">
        <v>38897</v>
      </c>
      <c r="E445" s="592" t="s">
        <v>104</v>
      </c>
      <c r="F445" s="277" t="s">
        <v>3</v>
      </c>
      <c r="G445" s="276" t="str">
        <f t="shared" si="24"/>
        <v>2ع ت2</v>
      </c>
      <c r="H445" s="241" t="s">
        <v>91</v>
      </c>
      <c r="I445" s="141"/>
      <c r="J445" s="231"/>
      <c r="K445" s="671"/>
      <c r="L445" s="203"/>
      <c r="M445" s="672"/>
      <c r="N445" s="698"/>
      <c r="O445" s="667"/>
      <c r="P445" s="698"/>
    </row>
    <row r="446" spans="1:21" s="697" customFormat="1" ht="32.25">
      <c r="A446" s="268">
        <v>335</v>
      </c>
      <c r="B446" s="586" t="s">
        <v>1133</v>
      </c>
      <c r="C446" s="586" t="s">
        <v>1335</v>
      </c>
      <c r="D446" s="278">
        <v>39110</v>
      </c>
      <c r="E446" s="590" t="s">
        <v>90</v>
      </c>
      <c r="F446" s="277" t="s">
        <v>3</v>
      </c>
      <c r="G446" s="276" t="str">
        <f t="shared" si="24"/>
        <v>2ع ت2</v>
      </c>
      <c r="H446" s="242" t="s">
        <v>96</v>
      </c>
      <c r="I446" s="141"/>
      <c r="J446" s="231"/>
      <c r="K446" s="404"/>
      <c r="L446" s="203"/>
      <c r="M446" s="672"/>
      <c r="N446" s="698"/>
      <c r="O446" s="670"/>
      <c r="P446" s="698"/>
    </row>
    <row r="447" spans="1:21" s="697" customFormat="1" ht="20.25">
      <c r="A447" s="268">
        <v>336</v>
      </c>
      <c r="B447" s="586" t="s">
        <v>1336</v>
      </c>
      <c r="C447" s="586" t="s">
        <v>1337</v>
      </c>
      <c r="D447" s="278">
        <v>38964</v>
      </c>
      <c r="E447" s="590" t="s">
        <v>90</v>
      </c>
      <c r="F447" s="277" t="s">
        <v>3</v>
      </c>
      <c r="G447" s="276" t="str">
        <f t="shared" si="24"/>
        <v>2ع ت2</v>
      </c>
      <c r="H447" s="241" t="s">
        <v>91</v>
      </c>
      <c r="I447" s="141"/>
      <c r="J447" s="231"/>
      <c r="K447" s="404"/>
      <c r="L447" s="203"/>
      <c r="M447" s="1563" t="s">
        <v>338</v>
      </c>
      <c r="N447" s="1563"/>
      <c r="O447" s="1563"/>
      <c r="P447" s="1563"/>
      <c r="Q447" s="1563"/>
      <c r="R447" s="1563"/>
      <c r="S447" s="1563"/>
      <c r="T447" s="1563"/>
      <c r="U447" s="1563"/>
    </row>
    <row r="448" spans="1:21" s="697" customFormat="1" ht="31.5">
      <c r="A448" s="268">
        <v>337</v>
      </c>
      <c r="B448" s="586" t="s">
        <v>140</v>
      </c>
      <c r="C448" s="586" t="s">
        <v>1494</v>
      </c>
      <c r="D448" s="278">
        <v>39181</v>
      </c>
      <c r="E448" s="591" t="s">
        <v>90</v>
      </c>
      <c r="F448" s="277" t="s">
        <v>3</v>
      </c>
      <c r="G448" s="276" t="str">
        <f t="shared" si="24"/>
        <v>2ع ت2</v>
      </c>
      <c r="H448" s="241" t="s">
        <v>91</v>
      </c>
      <c r="I448" s="141"/>
      <c r="J448" s="231"/>
      <c r="K448" s="671"/>
      <c r="L448" s="700" t="s">
        <v>1874</v>
      </c>
      <c r="M448" s="701" t="s">
        <v>1874</v>
      </c>
      <c r="N448" s="698"/>
      <c r="O448" s="169"/>
      <c r="P448" s="698"/>
      <c r="T448" s="156" t="s">
        <v>754</v>
      </c>
      <c r="U448" s="156" t="s">
        <v>755</v>
      </c>
    </row>
    <row r="449" spans="1:21" s="697" customFormat="1">
      <c r="A449" s="268">
        <v>338</v>
      </c>
      <c r="B449" s="586" t="s">
        <v>165</v>
      </c>
      <c r="C449" s="586" t="s">
        <v>1450</v>
      </c>
      <c r="D449" s="278">
        <v>38767</v>
      </c>
      <c r="E449" s="419" t="s">
        <v>90</v>
      </c>
      <c r="F449" s="277" t="s">
        <v>3</v>
      </c>
      <c r="G449" s="276" t="str">
        <f t="shared" si="24"/>
        <v>2ع ت2</v>
      </c>
      <c r="H449" s="241" t="s">
        <v>91</v>
      </c>
      <c r="I449" s="141"/>
      <c r="J449" s="231"/>
      <c r="K449" s="404"/>
      <c r="L449" s="203"/>
      <c r="M449" s="672"/>
      <c r="N449" s="698"/>
      <c r="O449" s="169"/>
      <c r="P449" s="698"/>
      <c r="T449" s="156">
        <v>5</v>
      </c>
      <c r="U449" s="156">
        <v>6</v>
      </c>
    </row>
    <row r="450" spans="1:21" s="697" customFormat="1">
      <c r="A450" s="268">
        <v>339</v>
      </c>
      <c r="B450" s="586" t="s">
        <v>179</v>
      </c>
      <c r="C450" s="586" t="s">
        <v>1060</v>
      </c>
      <c r="D450" s="278">
        <v>38632</v>
      </c>
      <c r="E450" s="412" t="s">
        <v>90</v>
      </c>
      <c r="F450" s="277" t="s">
        <v>3</v>
      </c>
      <c r="G450" s="276" t="str">
        <f t="shared" si="24"/>
        <v>2ع ت2</v>
      </c>
      <c r="H450" s="241" t="s">
        <v>91</v>
      </c>
      <c r="I450" s="141"/>
      <c r="J450" s="231"/>
      <c r="K450" s="404"/>
      <c r="L450" s="203"/>
      <c r="M450" s="672"/>
      <c r="N450" s="698"/>
      <c r="O450" s="169"/>
      <c r="P450" s="698"/>
      <c r="T450" s="141" t="s">
        <v>756</v>
      </c>
      <c r="U450" s="141" t="s">
        <v>757</v>
      </c>
    </row>
    <row r="451" spans="1:21" s="697" customFormat="1">
      <c r="A451" s="268">
        <v>340</v>
      </c>
      <c r="B451" s="586" t="s">
        <v>127</v>
      </c>
      <c r="C451" s="586" t="s">
        <v>1394</v>
      </c>
      <c r="D451" s="278">
        <v>39125</v>
      </c>
      <c r="E451" s="590" t="s">
        <v>104</v>
      </c>
      <c r="F451" s="277" t="s">
        <v>3</v>
      </c>
      <c r="G451" s="276" t="str">
        <f t="shared" si="24"/>
        <v>2ع ت2</v>
      </c>
      <c r="H451" s="241" t="s">
        <v>91</v>
      </c>
      <c r="I451" s="141"/>
      <c r="J451" s="231"/>
      <c r="K451" s="404"/>
      <c r="L451" s="203"/>
      <c r="M451" s="672"/>
      <c r="N451" s="698"/>
      <c r="O451" s="169"/>
      <c r="P451" s="698"/>
      <c r="T451" s="141" t="s">
        <v>758</v>
      </c>
      <c r="U451" s="141" t="s">
        <v>759</v>
      </c>
    </row>
    <row r="452" spans="1:21" s="697" customFormat="1" ht="31.5">
      <c r="A452" s="268">
        <v>341</v>
      </c>
      <c r="B452" s="586" t="s">
        <v>892</v>
      </c>
      <c r="C452" s="586" t="s">
        <v>1395</v>
      </c>
      <c r="D452" s="278">
        <v>39003</v>
      </c>
      <c r="E452" s="591" t="s">
        <v>90</v>
      </c>
      <c r="F452" s="277" t="s">
        <v>3</v>
      </c>
      <c r="G452" s="276" t="str">
        <f t="shared" si="24"/>
        <v>2ع ت2</v>
      </c>
      <c r="H452" s="242" t="s">
        <v>96</v>
      </c>
      <c r="I452" s="141"/>
      <c r="J452" s="231"/>
      <c r="K452" s="404"/>
      <c r="L452" s="700" t="s">
        <v>1874</v>
      </c>
      <c r="M452" s="701" t="s">
        <v>1874</v>
      </c>
      <c r="N452" s="698"/>
      <c r="O452" s="169"/>
      <c r="P452" s="698"/>
      <c r="T452" s="141" t="s">
        <v>760</v>
      </c>
      <c r="U452" s="141" t="s">
        <v>761</v>
      </c>
    </row>
    <row r="453" spans="1:21" s="697" customFormat="1">
      <c r="A453" s="268">
        <v>342</v>
      </c>
      <c r="B453" s="586" t="s">
        <v>145</v>
      </c>
      <c r="C453" s="586" t="s">
        <v>1398</v>
      </c>
      <c r="D453" s="278">
        <v>38790</v>
      </c>
      <c r="E453" s="591" t="s">
        <v>104</v>
      </c>
      <c r="F453" s="277" t="s">
        <v>3</v>
      </c>
      <c r="G453" s="276" t="str">
        <f t="shared" si="24"/>
        <v>2ع ت2</v>
      </c>
      <c r="H453" s="242" t="s">
        <v>96</v>
      </c>
      <c r="I453" s="141"/>
      <c r="J453" s="231"/>
      <c r="K453" s="404"/>
      <c r="L453" s="203"/>
      <c r="M453" s="672"/>
      <c r="N453" s="698"/>
      <c r="O453" s="698"/>
      <c r="P453" s="698"/>
      <c r="T453" s="141" t="s">
        <v>762</v>
      </c>
      <c r="U453" s="141" t="s">
        <v>763</v>
      </c>
    </row>
    <row r="454" spans="1:21" s="697" customFormat="1">
      <c r="A454" s="268">
        <v>343</v>
      </c>
      <c r="B454" s="586" t="s">
        <v>1341</v>
      </c>
      <c r="C454" s="586" t="s">
        <v>1342</v>
      </c>
      <c r="D454" s="278">
        <v>39224</v>
      </c>
      <c r="E454" s="591" t="s">
        <v>90</v>
      </c>
      <c r="F454" s="277" t="s">
        <v>3</v>
      </c>
      <c r="G454" s="276" t="str">
        <f t="shared" si="24"/>
        <v>2ع ت2</v>
      </c>
      <c r="H454" s="241" t="s">
        <v>91</v>
      </c>
      <c r="I454" s="141"/>
      <c r="J454" s="231"/>
      <c r="K454" s="404"/>
      <c r="L454" s="203"/>
      <c r="M454" s="672"/>
      <c r="N454" s="698"/>
      <c r="O454" s="698"/>
      <c r="P454" s="698"/>
      <c r="T454" s="141" t="s">
        <v>762</v>
      </c>
      <c r="U454" s="141" t="s">
        <v>763</v>
      </c>
    </row>
    <row r="455" spans="1:21" s="697" customFormat="1" ht="31.5">
      <c r="A455" s="268">
        <v>344</v>
      </c>
      <c r="B455" s="586" t="s">
        <v>1343</v>
      </c>
      <c r="C455" s="586" t="s">
        <v>1344</v>
      </c>
      <c r="D455" s="278">
        <v>38939</v>
      </c>
      <c r="E455" s="590" t="s">
        <v>104</v>
      </c>
      <c r="F455" s="277" t="s">
        <v>3</v>
      </c>
      <c r="G455" s="276" t="str">
        <f t="shared" si="24"/>
        <v>2ع ت2</v>
      </c>
      <c r="H455" s="241" t="s">
        <v>91</v>
      </c>
      <c r="I455" s="141"/>
      <c r="J455" s="231"/>
      <c r="K455" s="404"/>
      <c r="L455" s="203"/>
      <c r="M455" s="672"/>
      <c r="N455" s="698"/>
      <c r="O455" s="698"/>
      <c r="P455" s="698"/>
      <c r="T455" s="141" t="s">
        <v>764</v>
      </c>
      <c r="U455" s="141" t="s">
        <v>765</v>
      </c>
    </row>
    <row r="456" spans="1:21" s="697" customFormat="1">
      <c r="A456" s="268">
        <v>345</v>
      </c>
      <c r="B456" s="586" t="s">
        <v>1441</v>
      </c>
      <c r="C456" s="586" t="s">
        <v>1391</v>
      </c>
      <c r="D456" s="278">
        <v>38970</v>
      </c>
      <c r="E456" s="589" t="s">
        <v>104</v>
      </c>
      <c r="F456" s="277" t="s">
        <v>3</v>
      </c>
      <c r="G456" s="276" t="str">
        <f t="shared" si="24"/>
        <v>2ع ت2</v>
      </c>
      <c r="H456" s="242" t="s">
        <v>96</v>
      </c>
      <c r="I456" s="141"/>
      <c r="J456" s="231"/>
      <c r="K456" s="404"/>
      <c r="L456" s="203"/>
      <c r="M456" s="672"/>
      <c r="N456" s="698"/>
      <c r="O456" s="698"/>
      <c r="P456" s="698"/>
      <c r="T456" s="141" t="s">
        <v>766</v>
      </c>
      <c r="U456" s="141" t="s">
        <v>767</v>
      </c>
    </row>
    <row r="457" spans="1:21" s="697" customFormat="1">
      <c r="A457" s="268">
        <v>346</v>
      </c>
      <c r="B457" s="586" t="s">
        <v>1346</v>
      </c>
      <c r="C457" s="586" t="s">
        <v>1533</v>
      </c>
      <c r="D457" s="278">
        <v>39156</v>
      </c>
      <c r="E457" s="591" t="s">
        <v>90</v>
      </c>
      <c r="F457" s="277" t="s">
        <v>3</v>
      </c>
      <c r="G457" s="276" t="str">
        <f t="shared" si="24"/>
        <v>2ع ت2</v>
      </c>
      <c r="H457" s="241" t="s">
        <v>91</v>
      </c>
      <c r="I457" s="141"/>
      <c r="J457" s="231"/>
      <c r="K457" s="404"/>
      <c r="L457" s="203"/>
      <c r="M457" s="672"/>
      <c r="N457" s="698"/>
      <c r="O457" s="698"/>
      <c r="P457" s="698"/>
    </row>
    <row r="458" spans="1:21" s="697" customFormat="1">
      <c r="A458" s="268">
        <v>347</v>
      </c>
      <c r="B458" s="586" t="s">
        <v>1376</v>
      </c>
      <c r="C458" s="586" t="s">
        <v>1377</v>
      </c>
      <c r="D458" s="278">
        <v>38767</v>
      </c>
      <c r="E458" s="590" t="s">
        <v>90</v>
      </c>
      <c r="F458" s="277" t="s">
        <v>563</v>
      </c>
      <c r="G458" s="276" t="str">
        <f t="shared" si="24"/>
        <v>2ع ت3</v>
      </c>
      <c r="H458" s="240" t="s">
        <v>1458</v>
      </c>
      <c r="I458" s="141"/>
      <c r="J458" s="231"/>
      <c r="K458" s="404"/>
      <c r="L458" s="203"/>
      <c r="M458" s="672"/>
      <c r="N458" s="698"/>
      <c r="O458" s="698"/>
      <c r="P458" s="698"/>
    </row>
    <row r="459" spans="1:21" s="697" customFormat="1" ht="31.5">
      <c r="A459" s="268">
        <v>348</v>
      </c>
      <c r="B459" s="586" t="s">
        <v>1325</v>
      </c>
      <c r="C459" s="586" t="s">
        <v>1316</v>
      </c>
      <c r="D459" s="278">
        <v>39032</v>
      </c>
      <c r="E459" s="591" t="s">
        <v>104</v>
      </c>
      <c r="F459" s="277" t="s">
        <v>563</v>
      </c>
      <c r="G459" s="276" t="str">
        <f t="shared" si="24"/>
        <v>2ع ت3</v>
      </c>
      <c r="H459" s="242" t="s">
        <v>96</v>
      </c>
      <c r="I459" s="141"/>
      <c r="J459" s="231"/>
      <c r="K459" s="404"/>
      <c r="L459" s="203"/>
      <c r="M459" s="672"/>
      <c r="N459" s="698"/>
      <c r="O459" s="698"/>
      <c r="P459" s="698"/>
    </row>
    <row r="460" spans="1:21" s="697" customFormat="1" ht="31.5">
      <c r="A460" s="268">
        <v>349</v>
      </c>
      <c r="B460" s="586" t="s">
        <v>1347</v>
      </c>
      <c r="C460" s="586" t="s">
        <v>1348</v>
      </c>
      <c r="D460" s="278">
        <v>39011</v>
      </c>
      <c r="E460" s="591" t="s">
        <v>90</v>
      </c>
      <c r="F460" s="277" t="s">
        <v>563</v>
      </c>
      <c r="G460" s="276" t="str">
        <f t="shared" si="24"/>
        <v>2ع ت3</v>
      </c>
      <c r="H460" s="242" t="s">
        <v>96</v>
      </c>
      <c r="I460" s="141"/>
      <c r="J460" s="231"/>
      <c r="K460" s="404"/>
      <c r="L460" s="203"/>
      <c r="M460" s="672"/>
      <c r="N460" s="698"/>
      <c r="O460" s="698"/>
      <c r="P460" s="698"/>
    </row>
    <row r="461" spans="1:21" s="697" customFormat="1" ht="31.5">
      <c r="A461" s="268">
        <v>350</v>
      </c>
      <c r="B461" s="586" t="s">
        <v>961</v>
      </c>
      <c r="C461" s="586" t="s">
        <v>120</v>
      </c>
      <c r="D461" s="278">
        <v>38509</v>
      </c>
      <c r="E461" s="413" t="s">
        <v>1179</v>
      </c>
      <c r="F461" s="277" t="s">
        <v>563</v>
      </c>
      <c r="G461" s="276" t="str">
        <f t="shared" si="24"/>
        <v>2ع ت3</v>
      </c>
      <c r="H461" s="241" t="s">
        <v>91</v>
      </c>
      <c r="I461" s="141"/>
      <c r="J461" s="231"/>
      <c r="K461" s="404"/>
      <c r="L461" s="203"/>
      <c r="M461" s="672"/>
      <c r="N461" s="698"/>
      <c r="O461" s="698"/>
      <c r="P461" s="698"/>
    </row>
    <row r="462" spans="1:21" s="697" customFormat="1" ht="31.5">
      <c r="A462" s="268">
        <v>351</v>
      </c>
      <c r="B462" s="586" t="s">
        <v>1351</v>
      </c>
      <c r="C462" s="586" t="s">
        <v>1352</v>
      </c>
      <c r="D462" s="278">
        <v>39227</v>
      </c>
      <c r="E462" s="591" t="s">
        <v>90</v>
      </c>
      <c r="F462" s="277" t="s">
        <v>563</v>
      </c>
      <c r="G462" s="276" t="str">
        <f t="shared" si="24"/>
        <v>2ع ت3</v>
      </c>
      <c r="H462" s="242" t="s">
        <v>96</v>
      </c>
      <c r="I462" s="141"/>
      <c r="J462" s="231"/>
      <c r="K462" s="404"/>
      <c r="L462" s="678" t="s">
        <v>1875</v>
      </c>
      <c r="M462" s="679" t="s">
        <v>1875</v>
      </c>
      <c r="N462" s="698"/>
      <c r="O462" s="698"/>
      <c r="P462" s="698"/>
    </row>
    <row r="463" spans="1:21" s="697" customFormat="1">
      <c r="A463" s="268">
        <v>352</v>
      </c>
      <c r="B463" s="586" t="s">
        <v>1353</v>
      </c>
      <c r="C463" s="586" t="s">
        <v>1354</v>
      </c>
      <c r="D463" s="278">
        <v>39059</v>
      </c>
      <c r="E463" s="590" t="s">
        <v>90</v>
      </c>
      <c r="F463" s="277" t="s">
        <v>563</v>
      </c>
      <c r="G463" s="276" t="str">
        <f t="shared" si="24"/>
        <v>2ع ت3</v>
      </c>
      <c r="H463" s="241" t="s">
        <v>91</v>
      </c>
      <c r="I463" s="141"/>
      <c r="J463" s="231"/>
      <c r="K463" s="404"/>
      <c r="L463" s="678" t="s">
        <v>1875</v>
      </c>
      <c r="M463" s="679" t="s">
        <v>1875</v>
      </c>
      <c r="N463" s="698"/>
      <c r="O463" s="698"/>
      <c r="P463" s="698"/>
    </row>
    <row r="464" spans="1:21" s="697" customFormat="1">
      <c r="A464" s="268">
        <v>353</v>
      </c>
      <c r="B464" s="586" t="s">
        <v>1077</v>
      </c>
      <c r="C464" s="586" t="s">
        <v>1480</v>
      </c>
      <c r="D464" s="278">
        <v>39183</v>
      </c>
      <c r="E464" s="591" t="s">
        <v>104</v>
      </c>
      <c r="F464" s="277" t="s">
        <v>563</v>
      </c>
      <c r="G464" s="276" t="str">
        <f t="shared" si="24"/>
        <v>2ع ت3</v>
      </c>
      <c r="H464" s="241" t="s">
        <v>91</v>
      </c>
      <c r="I464" s="141"/>
      <c r="J464" s="231"/>
      <c r="K464" s="404"/>
      <c r="L464" s="203"/>
      <c r="M464" s="672"/>
      <c r="N464" s="698"/>
      <c r="O464" s="698"/>
      <c r="P464" s="698"/>
    </row>
    <row r="465" spans="1:16" s="697" customFormat="1" ht="31.5">
      <c r="A465" s="268">
        <v>354</v>
      </c>
      <c r="B465" s="586" t="s">
        <v>1481</v>
      </c>
      <c r="C465" s="586" t="s">
        <v>1482</v>
      </c>
      <c r="D465" s="278">
        <v>38966</v>
      </c>
      <c r="E465" s="591" t="s">
        <v>90</v>
      </c>
      <c r="F465" s="277" t="s">
        <v>563</v>
      </c>
      <c r="G465" s="276" t="str">
        <f t="shared" si="24"/>
        <v>2ع ت3</v>
      </c>
      <c r="H465" s="242" t="s">
        <v>96</v>
      </c>
      <c r="I465" s="141"/>
      <c r="J465" s="231"/>
      <c r="K465" s="417"/>
      <c r="L465" s="203"/>
      <c r="M465" s="672"/>
      <c r="N465" s="698"/>
      <c r="O465" s="698"/>
      <c r="P465" s="698"/>
    </row>
    <row r="466" spans="1:16" s="697" customFormat="1" ht="31.5">
      <c r="A466" s="268">
        <v>355</v>
      </c>
      <c r="B466" s="586" t="s">
        <v>164</v>
      </c>
      <c r="C466" s="586" t="s">
        <v>1355</v>
      </c>
      <c r="D466" s="278">
        <v>39181</v>
      </c>
      <c r="E466" s="590" t="s">
        <v>104</v>
      </c>
      <c r="F466" s="277" t="s">
        <v>563</v>
      </c>
      <c r="G466" s="276" t="str">
        <f t="shared" si="24"/>
        <v>2ع ت3</v>
      </c>
      <c r="H466" s="241" t="s">
        <v>91</v>
      </c>
      <c r="I466" s="141"/>
      <c r="J466" s="231"/>
      <c r="K466" s="677"/>
      <c r="L466" s="203"/>
      <c r="M466" s="672"/>
      <c r="N466" s="698"/>
      <c r="O466" s="698"/>
      <c r="P466" s="698"/>
    </row>
    <row r="467" spans="1:16" s="697" customFormat="1">
      <c r="A467" s="268">
        <v>356</v>
      </c>
      <c r="B467" s="586" t="s">
        <v>1274</v>
      </c>
      <c r="C467" s="586" t="s">
        <v>1275</v>
      </c>
      <c r="D467" s="278">
        <v>38909</v>
      </c>
      <c r="E467" s="590" t="s">
        <v>104</v>
      </c>
      <c r="F467" s="277" t="s">
        <v>563</v>
      </c>
      <c r="G467" s="276" t="str">
        <f t="shared" si="24"/>
        <v>2ع ت3</v>
      </c>
      <c r="H467" s="241" t="s">
        <v>91</v>
      </c>
      <c r="I467" s="141"/>
      <c r="J467" s="231"/>
      <c r="K467" s="404"/>
      <c r="L467" s="203"/>
      <c r="M467" s="672"/>
      <c r="N467" s="698"/>
      <c r="O467" s="698"/>
      <c r="P467" s="698"/>
    </row>
    <row r="468" spans="1:16" s="697" customFormat="1">
      <c r="A468" s="268">
        <v>357</v>
      </c>
      <c r="B468" s="586" t="s">
        <v>1358</v>
      </c>
      <c r="C468" s="586" t="s">
        <v>1359</v>
      </c>
      <c r="D468" s="278">
        <v>38964</v>
      </c>
      <c r="E468" s="590" t="s">
        <v>90</v>
      </c>
      <c r="F468" s="277" t="s">
        <v>563</v>
      </c>
      <c r="G468" s="276" t="str">
        <f t="shared" si="24"/>
        <v>2ع ت3</v>
      </c>
      <c r="H468" s="241" t="s">
        <v>91</v>
      </c>
      <c r="I468" s="141"/>
      <c r="J468" s="231"/>
      <c r="K468" s="671"/>
      <c r="L468" s="203"/>
      <c r="M468" s="672"/>
      <c r="N468" s="698"/>
      <c r="O468" s="698"/>
      <c r="P468" s="698"/>
    </row>
    <row r="469" spans="1:16" s="697" customFormat="1" ht="47.25">
      <c r="A469" s="268">
        <v>358</v>
      </c>
      <c r="B469" s="586" t="s">
        <v>1360</v>
      </c>
      <c r="C469" s="586" t="s">
        <v>1361</v>
      </c>
      <c r="D469" s="278">
        <v>38970</v>
      </c>
      <c r="E469" s="590" t="s">
        <v>104</v>
      </c>
      <c r="F469" s="277" t="s">
        <v>563</v>
      </c>
      <c r="G469" s="276" t="str">
        <f t="shared" si="24"/>
        <v>2ع ت3</v>
      </c>
      <c r="H469" s="241" t="s">
        <v>91</v>
      </c>
      <c r="I469" s="141"/>
      <c r="J469" s="231"/>
      <c r="K469" s="671" t="s">
        <v>628</v>
      </c>
      <c r="L469" s="203"/>
      <c r="M469" s="672"/>
      <c r="N469" s="698"/>
      <c r="O469" s="698"/>
      <c r="P469" s="698"/>
    </row>
    <row r="470" spans="1:16" s="697" customFormat="1">
      <c r="A470" s="268">
        <v>359</v>
      </c>
      <c r="B470" s="586" t="s">
        <v>1362</v>
      </c>
      <c r="C470" s="586" t="s">
        <v>1337</v>
      </c>
      <c r="D470" s="278">
        <v>38985</v>
      </c>
      <c r="E470" s="591" t="s">
        <v>90</v>
      </c>
      <c r="F470" s="277" t="s">
        <v>563</v>
      </c>
      <c r="G470" s="276" t="str">
        <f t="shared" si="24"/>
        <v>2ع ت3</v>
      </c>
      <c r="H470" s="241" t="s">
        <v>91</v>
      </c>
      <c r="I470" s="141"/>
      <c r="J470" s="231"/>
      <c r="K470" s="671" t="s">
        <v>628</v>
      </c>
      <c r="L470" s="203"/>
      <c r="M470" s="672"/>
      <c r="N470" s="698"/>
      <c r="O470" s="698"/>
      <c r="P470" s="698"/>
    </row>
    <row r="471" spans="1:16" s="697" customFormat="1" ht="31.5">
      <c r="A471" s="268">
        <v>360</v>
      </c>
      <c r="B471" s="586" t="s">
        <v>1363</v>
      </c>
      <c r="C471" s="586" t="s">
        <v>1364</v>
      </c>
      <c r="D471" s="278">
        <v>39173</v>
      </c>
      <c r="E471" s="592" t="s">
        <v>90</v>
      </c>
      <c r="F471" s="277" t="s">
        <v>563</v>
      </c>
      <c r="G471" s="276" t="str">
        <f t="shared" si="24"/>
        <v>2ع ت3</v>
      </c>
      <c r="H471" s="241" t="s">
        <v>91</v>
      </c>
      <c r="I471" s="141"/>
      <c r="J471" s="231"/>
      <c r="K471" s="671"/>
      <c r="L471" s="203"/>
      <c r="M471" s="672"/>
      <c r="N471" s="698"/>
      <c r="O471" s="698"/>
      <c r="P471" s="698"/>
    </row>
    <row r="472" spans="1:16" s="697" customFormat="1">
      <c r="A472" s="268">
        <v>361</v>
      </c>
      <c r="B472" s="586" t="s">
        <v>866</v>
      </c>
      <c r="C472" s="586" t="s">
        <v>1365</v>
      </c>
      <c r="D472" s="278">
        <v>39070</v>
      </c>
      <c r="E472" s="592" t="s">
        <v>90</v>
      </c>
      <c r="F472" s="277" t="s">
        <v>563</v>
      </c>
      <c r="G472" s="276" t="str">
        <f t="shared" si="24"/>
        <v>2ع ت3</v>
      </c>
      <c r="H472" s="241" t="s">
        <v>91</v>
      </c>
      <c r="I472" s="141"/>
      <c r="J472" s="231"/>
      <c r="K472" s="671" t="s">
        <v>628</v>
      </c>
      <c r="L472" s="203"/>
      <c r="M472" s="672"/>
      <c r="N472" s="698"/>
      <c r="O472" s="698"/>
      <c r="P472" s="698"/>
    </row>
    <row r="473" spans="1:16" s="697" customFormat="1" ht="31.5">
      <c r="A473" s="268">
        <v>362</v>
      </c>
      <c r="B473" s="586" t="s">
        <v>1284</v>
      </c>
      <c r="C473" s="586" t="s">
        <v>28</v>
      </c>
      <c r="D473" s="278">
        <v>38993</v>
      </c>
      <c r="E473" s="595" t="s">
        <v>104</v>
      </c>
      <c r="F473" s="277" t="s">
        <v>563</v>
      </c>
      <c r="G473" s="276" t="str">
        <f t="shared" si="24"/>
        <v>2ع ت3</v>
      </c>
      <c r="H473" s="241" t="s">
        <v>91</v>
      </c>
      <c r="I473" s="141"/>
      <c r="J473" s="231"/>
      <c r="K473" s="671" t="s">
        <v>628</v>
      </c>
      <c r="L473" s="203"/>
      <c r="M473" s="672"/>
      <c r="N473" s="698"/>
      <c r="O473" s="698"/>
      <c r="P473" s="698"/>
    </row>
    <row r="474" spans="1:16" s="697" customFormat="1" ht="31.5">
      <c r="A474" s="268">
        <v>363</v>
      </c>
      <c r="B474" s="586" t="s">
        <v>1284</v>
      </c>
      <c r="C474" s="586" t="s">
        <v>1366</v>
      </c>
      <c r="D474" s="278">
        <v>38993</v>
      </c>
      <c r="E474" s="595" t="s">
        <v>104</v>
      </c>
      <c r="F474" s="277" t="s">
        <v>563</v>
      </c>
      <c r="G474" s="276" t="str">
        <f t="shared" si="24"/>
        <v>2ع ت3</v>
      </c>
      <c r="H474" s="241" t="s">
        <v>91</v>
      </c>
      <c r="I474" s="141"/>
      <c r="J474" s="231"/>
      <c r="K474" s="671" t="s">
        <v>628</v>
      </c>
      <c r="L474" s="203"/>
      <c r="M474" s="672"/>
      <c r="N474" s="698"/>
      <c r="O474" s="698"/>
      <c r="P474" s="698"/>
    </row>
    <row r="475" spans="1:16" s="697" customFormat="1">
      <c r="A475" s="268">
        <v>364</v>
      </c>
      <c r="B475" s="586" t="s">
        <v>1367</v>
      </c>
      <c r="C475" s="586" t="s">
        <v>1368</v>
      </c>
      <c r="D475" s="278">
        <v>39109</v>
      </c>
      <c r="E475" s="595" t="s">
        <v>104</v>
      </c>
      <c r="F475" s="277" t="s">
        <v>563</v>
      </c>
      <c r="G475" s="276" t="str">
        <f t="shared" si="24"/>
        <v>2ع ت3</v>
      </c>
      <c r="H475" s="242" t="s">
        <v>96</v>
      </c>
      <c r="I475" s="141"/>
      <c r="J475" s="231"/>
      <c r="K475" s="404"/>
      <c r="L475" s="203"/>
      <c r="M475" s="672"/>
      <c r="N475" s="698"/>
      <c r="O475" s="698"/>
      <c r="P475" s="698"/>
    </row>
    <row r="476" spans="1:16" s="697" customFormat="1">
      <c r="A476" s="268">
        <v>365</v>
      </c>
      <c r="B476" s="586" t="s">
        <v>14</v>
      </c>
      <c r="C476" s="586" t="s">
        <v>1467</v>
      </c>
      <c r="D476" s="278">
        <v>38727</v>
      </c>
      <c r="E476" s="592" t="s">
        <v>104</v>
      </c>
      <c r="F476" s="277" t="s">
        <v>563</v>
      </c>
      <c r="G476" s="276" t="str">
        <f t="shared" si="24"/>
        <v>2ع ت3</v>
      </c>
      <c r="H476" s="241" t="s">
        <v>91</v>
      </c>
      <c r="I476" s="141"/>
      <c r="J476" s="231"/>
      <c r="K476" s="404"/>
      <c r="L476" s="203"/>
      <c r="M476" s="672"/>
      <c r="N476" s="698"/>
      <c r="O476" s="698"/>
      <c r="P476" s="698"/>
    </row>
    <row r="477" spans="1:16" s="697" customFormat="1">
      <c r="A477" s="268">
        <v>366</v>
      </c>
      <c r="B477" s="586" t="s">
        <v>1371</v>
      </c>
      <c r="C477" s="586" t="s">
        <v>1372</v>
      </c>
      <c r="D477" s="278">
        <v>38949</v>
      </c>
      <c r="E477" s="592" t="s">
        <v>104</v>
      </c>
      <c r="F477" s="277" t="s">
        <v>563</v>
      </c>
      <c r="G477" s="276" t="str">
        <f t="shared" si="24"/>
        <v>2ع ت3</v>
      </c>
      <c r="H477" s="241" t="s">
        <v>91</v>
      </c>
      <c r="I477" s="141"/>
      <c r="J477" s="231"/>
      <c r="K477" s="404"/>
      <c r="L477" s="203"/>
      <c r="M477" s="672"/>
      <c r="N477" s="698"/>
      <c r="O477" s="698"/>
      <c r="P477" s="698"/>
    </row>
    <row r="478" spans="1:16" s="697" customFormat="1" ht="31.5">
      <c r="A478" s="268">
        <v>367</v>
      </c>
      <c r="B478" s="586" t="s">
        <v>905</v>
      </c>
      <c r="C478" s="586" t="s">
        <v>1373</v>
      </c>
      <c r="D478" s="278">
        <v>38951</v>
      </c>
      <c r="E478" s="595" t="s">
        <v>90</v>
      </c>
      <c r="F478" s="277" t="s">
        <v>563</v>
      </c>
      <c r="G478" s="276" t="str">
        <f t="shared" si="24"/>
        <v>2ع ت3</v>
      </c>
      <c r="H478" s="242" t="s">
        <v>96</v>
      </c>
      <c r="I478" s="141"/>
      <c r="J478" s="231"/>
      <c r="K478" s="671"/>
      <c r="L478" s="203"/>
      <c r="M478" s="672"/>
      <c r="N478" s="698"/>
      <c r="O478" s="698"/>
      <c r="P478" s="698"/>
    </row>
    <row r="479" spans="1:16" s="697" customFormat="1">
      <c r="A479" s="268">
        <v>368</v>
      </c>
      <c r="B479" s="586" t="s">
        <v>508</v>
      </c>
      <c r="C479" s="586" t="s">
        <v>1212</v>
      </c>
      <c r="D479" s="278">
        <v>38172</v>
      </c>
      <c r="E479" s="266" t="s">
        <v>90</v>
      </c>
      <c r="F479" s="277" t="s">
        <v>563</v>
      </c>
      <c r="G479" s="276" t="str">
        <f t="shared" si="24"/>
        <v>2ع ت3</v>
      </c>
      <c r="H479" s="242" t="s">
        <v>96</v>
      </c>
      <c r="I479" s="141"/>
      <c r="J479" s="231"/>
      <c r="K479" s="671"/>
      <c r="L479" s="203"/>
      <c r="M479" s="672"/>
      <c r="N479" s="698"/>
      <c r="O479" s="698"/>
      <c r="P479" s="698"/>
    </row>
    <row r="480" spans="1:16" s="697" customFormat="1" ht="31.5">
      <c r="A480" s="268">
        <v>369</v>
      </c>
      <c r="B480" s="586" t="s">
        <v>1091</v>
      </c>
      <c r="C480" s="586" t="s">
        <v>1022</v>
      </c>
      <c r="D480" s="278">
        <v>38408</v>
      </c>
      <c r="E480" s="599" t="s">
        <v>90</v>
      </c>
      <c r="F480" s="277" t="s">
        <v>563</v>
      </c>
      <c r="G480" s="276" t="str">
        <f t="shared" si="24"/>
        <v>2ع ت3</v>
      </c>
      <c r="H480" s="242" t="s">
        <v>96</v>
      </c>
      <c r="I480" s="141"/>
      <c r="J480" s="231"/>
      <c r="K480" s="404"/>
      <c r="L480" s="203"/>
      <c r="M480" s="672"/>
      <c r="N480" s="698"/>
      <c r="O480" s="698"/>
      <c r="P480" s="698"/>
    </row>
    <row r="481" spans="1:16" s="697" customFormat="1" ht="31.5">
      <c r="A481" s="268">
        <v>370</v>
      </c>
      <c r="B481" s="586" t="s">
        <v>1396</v>
      </c>
      <c r="C481" s="586" t="s">
        <v>1397</v>
      </c>
      <c r="D481" s="278">
        <v>39145</v>
      </c>
      <c r="E481" s="595" t="s">
        <v>90</v>
      </c>
      <c r="F481" s="277" t="s">
        <v>563</v>
      </c>
      <c r="G481" s="276" t="str">
        <f t="shared" si="24"/>
        <v>2ع ت3</v>
      </c>
      <c r="H481" s="242" t="s">
        <v>96</v>
      </c>
      <c r="I481" s="141"/>
      <c r="J481" s="231"/>
      <c r="K481" s="404"/>
      <c r="L481" s="700" t="s">
        <v>1874</v>
      </c>
      <c r="M481" s="701" t="s">
        <v>1874</v>
      </c>
      <c r="N481" s="698"/>
      <c r="O481" s="698"/>
      <c r="P481" s="698"/>
    </row>
    <row r="482" spans="1:16" s="697" customFormat="1">
      <c r="A482" s="268">
        <v>371</v>
      </c>
      <c r="B482" s="586" t="s">
        <v>1374</v>
      </c>
      <c r="C482" s="586" t="s">
        <v>1375</v>
      </c>
      <c r="D482" s="278">
        <v>39066</v>
      </c>
      <c r="E482" s="592" t="s">
        <v>104</v>
      </c>
      <c r="F482" s="277" t="s">
        <v>563</v>
      </c>
      <c r="G482" s="276" t="str">
        <f t="shared" si="24"/>
        <v>2ع ت3</v>
      </c>
      <c r="H482" s="241" t="s">
        <v>91</v>
      </c>
      <c r="I482" s="141"/>
      <c r="J482" s="231"/>
      <c r="K482" s="404"/>
      <c r="L482" s="700"/>
      <c r="M482" s="701"/>
      <c r="N482" s="698"/>
      <c r="O482" s="698"/>
      <c r="P482" s="698"/>
    </row>
    <row r="483" spans="1:16" s="697" customFormat="1" ht="31.5">
      <c r="A483" s="268">
        <v>372</v>
      </c>
      <c r="B483" s="586" t="s">
        <v>1513</v>
      </c>
      <c r="C483" s="586" t="s">
        <v>1514</v>
      </c>
      <c r="D483" s="278">
        <v>38953</v>
      </c>
      <c r="E483" s="592" t="s">
        <v>1515</v>
      </c>
      <c r="F483" s="277" t="s">
        <v>563</v>
      </c>
      <c r="G483" s="276" t="str">
        <f t="shared" si="24"/>
        <v>2ع ت3</v>
      </c>
      <c r="H483" s="241" t="s">
        <v>91</v>
      </c>
      <c r="I483" s="141"/>
      <c r="J483" s="231"/>
      <c r="K483" s="404"/>
      <c r="L483" s="203"/>
      <c r="M483" s="672"/>
      <c r="N483" s="698"/>
      <c r="O483" s="698"/>
      <c r="P483" s="698"/>
    </row>
    <row r="484" spans="1:16" s="697" customFormat="1" ht="31.5">
      <c r="A484" s="268">
        <v>373</v>
      </c>
      <c r="B484" s="586" t="s">
        <v>1343</v>
      </c>
      <c r="C484" s="586" t="s">
        <v>1399</v>
      </c>
      <c r="D484" s="278">
        <v>39026</v>
      </c>
      <c r="E484" s="591" t="s">
        <v>90</v>
      </c>
      <c r="F484" s="277" t="s">
        <v>563</v>
      </c>
      <c r="G484" s="276" t="str">
        <f t="shared" si="24"/>
        <v>2ع ت3</v>
      </c>
      <c r="H484" s="241" t="s">
        <v>91</v>
      </c>
      <c r="I484" s="141"/>
      <c r="J484" s="231"/>
      <c r="K484" s="404"/>
      <c r="L484" s="203"/>
      <c r="M484" s="672"/>
      <c r="N484" s="698"/>
      <c r="O484" s="698"/>
      <c r="P484" s="698"/>
    </row>
    <row r="485" spans="1:16" s="697" customFormat="1">
      <c r="A485" s="268">
        <v>374</v>
      </c>
      <c r="B485" s="586" t="s">
        <v>1378</v>
      </c>
      <c r="C485" s="586" t="s">
        <v>1262</v>
      </c>
      <c r="D485" s="278">
        <v>38850</v>
      </c>
      <c r="E485" s="592" t="s">
        <v>90</v>
      </c>
      <c r="F485" s="277" t="s">
        <v>563</v>
      </c>
      <c r="G485" s="276" t="str">
        <f t="shared" si="24"/>
        <v>2ع ت3</v>
      </c>
      <c r="H485" s="241" t="s">
        <v>91</v>
      </c>
      <c r="I485" s="141"/>
      <c r="J485" s="231"/>
      <c r="K485" s="404"/>
      <c r="L485" s="700" t="s">
        <v>1874</v>
      </c>
      <c r="M485" s="701" t="s">
        <v>1874</v>
      </c>
      <c r="N485" s="698"/>
      <c r="O485" s="698"/>
      <c r="P485" s="698"/>
    </row>
    <row r="486" spans="1:16" s="697" customFormat="1">
      <c r="A486" s="268">
        <v>375</v>
      </c>
      <c r="B486" s="586" t="s">
        <v>1472</v>
      </c>
      <c r="C486" s="586" t="s">
        <v>187</v>
      </c>
      <c r="D486" s="278">
        <v>39184</v>
      </c>
      <c r="E486" s="590" t="s">
        <v>90</v>
      </c>
      <c r="F486" s="277" t="s">
        <v>563</v>
      </c>
      <c r="G486" s="276" t="str">
        <f t="shared" si="24"/>
        <v>2ع ت3</v>
      </c>
      <c r="H486" s="242" t="s">
        <v>96</v>
      </c>
      <c r="I486" s="141"/>
      <c r="J486" s="231"/>
      <c r="K486" s="404"/>
      <c r="L486" s="678" t="s">
        <v>1875</v>
      </c>
      <c r="M486" s="679" t="s">
        <v>1875</v>
      </c>
      <c r="N486" s="698"/>
      <c r="O486" s="698"/>
      <c r="P486" s="698"/>
    </row>
    <row r="487" spans="1:16" s="697" customFormat="1">
      <c r="A487" s="268">
        <v>376</v>
      </c>
      <c r="B487" s="586" t="s">
        <v>45</v>
      </c>
      <c r="C487" s="586" t="s">
        <v>153</v>
      </c>
      <c r="D487" s="278">
        <v>38559</v>
      </c>
      <c r="E487" s="262" t="s">
        <v>104</v>
      </c>
      <c r="F487" s="277" t="s">
        <v>1456</v>
      </c>
      <c r="G487" s="276" t="str">
        <f t="shared" si="24"/>
        <v>2أ ف1</v>
      </c>
      <c r="H487" s="240" t="s">
        <v>1459</v>
      </c>
      <c r="I487" s="141"/>
      <c r="J487" s="231"/>
      <c r="K487" s="404"/>
      <c r="L487" s="203"/>
      <c r="M487" s="672"/>
      <c r="N487" s="698"/>
      <c r="O487" s="698"/>
      <c r="P487" s="698"/>
    </row>
    <row r="488" spans="1:16" s="697" customFormat="1">
      <c r="A488" s="268">
        <v>377</v>
      </c>
      <c r="B488" s="586" t="s">
        <v>49</v>
      </c>
      <c r="C488" s="586" t="s">
        <v>920</v>
      </c>
      <c r="D488" s="278">
        <v>37868</v>
      </c>
      <c r="E488" s="413" t="s">
        <v>90</v>
      </c>
      <c r="F488" s="277" t="s">
        <v>1456</v>
      </c>
      <c r="G488" s="276" t="str">
        <f t="shared" si="24"/>
        <v>2أ ف1</v>
      </c>
      <c r="H488" s="240" t="s">
        <v>1458</v>
      </c>
      <c r="I488" s="141"/>
      <c r="J488" s="231"/>
      <c r="K488" s="404"/>
      <c r="L488" s="203"/>
      <c r="M488" s="672"/>
      <c r="N488" s="698"/>
      <c r="O488" s="698"/>
      <c r="P488" s="698"/>
    </row>
    <row r="489" spans="1:16" s="697" customFormat="1">
      <c r="A489" s="268">
        <v>378</v>
      </c>
      <c r="B489" s="586" t="s">
        <v>155</v>
      </c>
      <c r="C489" s="586" t="s">
        <v>1118</v>
      </c>
      <c r="D489" s="278">
        <v>38507</v>
      </c>
      <c r="E489" s="414" t="s">
        <v>104</v>
      </c>
      <c r="F489" s="277" t="s">
        <v>1456</v>
      </c>
      <c r="G489" s="276" t="str">
        <f t="shared" si="24"/>
        <v>2أ ف1</v>
      </c>
      <c r="H489" s="240" t="s">
        <v>1458</v>
      </c>
      <c r="I489" s="141"/>
      <c r="J489" s="231"/>
      <c r="K489" s="404"/>
      <c r="L489" s="203"/>
      <c r="M489" s="672"/>
      <c r="N489" s="698"/>
      <c r="O489" s="698"/>
      <c r="P489" s="698"/>
    </row>
    <row r="490" spans="1:16" s="697" customFormat="1" ht="31.5">
      <c r="A490" s="268">
        <v>379</v>
      </c>
      <c r="B490" s="586" t="s">
        <v>1402</v>
      </c>
      <c r="C490" s="586" t="s">
        <v>1403</v>
      </c>
      <c r="D490" s="278">
        <v>38807</v>
      </c>
      <c r="E490" s="589" t="s">
        <v>90</v>
      </c>
      <c r="F490" s="277" t="s">
        <v>1456</v>
      </c>
      <c r="G490" s="276" t="str">
        <f t="shared" si="24"/>
        <v>2أ ف1</v>
      </c>
      <c r="H490" s="240" t="s">
        <v>1459</v>
      </c>
      <c r="I490" s="141"/>
      <c r="J490" s="231"/>
      <c r="K490" s="671"/>
      <c r="L490" s="203"/>
      <c r="M490" s="672"/>
      <c r="N490" s="698"/>
      <c r="O490" s="698"/>
      <c r="P490" s="698"/>
    </row>
    <row r="491" spans="1:16" s="697" customFormat="1">
      <c r="A491" s="268">
        <v>380</v>
      </c>
      <c r="B491" s="586" t="s">
        <v>1215</v>
      </c>
      <c r="C491" s="586" t="s">
        <v>61</v>
      </c>
      <c r="D491" s="278">
        <v>38550</v>
      </c>
      <c r="E491" s="599" t="s">
        <v>90</v>
      </c>
      <c r="F491" s="277" t="s">
        <v>1456</v>
      </c>
      <c r="G491" s="276" t="str">
        <f t="shared" si="24"/>
        <v>2أ ف1</v>
      </c>
      <c r="H491" s="241" t="s">
        <v>91</v>
      </c>
      <c r="I491" s="141"/>
      <c r="J491" s="231"/>
      <c r="K491" s="404"/>
      <c r="L491" s="700" t="s">
        <v>1874</v>
      </c>
      <c r="M491" s="701" t="s">
        <v>1874</v>
      </c>
      <c r="N491" s="698"/>
      <c r="O491" s="698"/>
      <c r="P491" s="698"/>
    </row>
    <row r="492" spans="1:16" s="697" customFormat="1" ht="31.5">
      <c r="A492" s="268">
        <v>381</v>
      </c>
      <c r="B492" s="586" t="s">
        <v>193</v>
      </c>
      <c r="C492" s="586" t="s">
        <v>1160</v>
      </c>
      <c r="D492" s="278">
        <v>38512</v>
      </c>
      <c r="E492" s="322" t="s">
        <v>90</v>
      </c>
      <c r="F492" s="277" t="s">
        <v>1456</v>
      </c>
      <c r="G492" s="276" t="str">
        <f t="shared" si="24"/>
        <v>2أ ف1</v>
      </c>
      <c r="H492" s="242" t="s">
        <v>96</v>
      </c>
      <c r="I492" s="141"/>
      <c r="J492" s="231"/>
      <c r="K492" s="404"/>
      <c r="L492" s="203"/>
      <c r="M492" s="672"/>
      <c r="N492" s="698"/>
      <c r="O492" s="698"/>
      <c r="P492" s="698"/>
    </row>
    <row r="493" spans="1:16" s="697" customFormat="1">
      <c r="A493" s="268">
        <v>382</v>
      </c>
      <c r="B493" s="586" t="s">
        <v>1137</v>
      </c>
      <c r="C493" s="586" t="s">
        <v>141</v>
      </c>
      <c r="D493" s="278">
        <v>38291</v>
      </c>
      <c r="E493" s="416" t="s">
        <v>104</v>
      </c>
      <c r="F493" s="277" t="s">
        <v>1456</v>
      </c>
      <c r="G493" s="276" t="str">
        <f t="shared" si="24"/>
        <v>2أ ف1</v>
      </c>
      <c r="H493" s="242" t="s">
        <v>96</v>
      </c>
      <c r="I493" s="141"/>
      <c r="J493" s="231"/>
      <c r="K493" s="404"/>
      <c r="L493" s="203"/>
      <c r="M493" s="672"/>
      <c r="N493" s="698"/>
      <c r="O493" s="698"/>
      <c r="P493" s="698"/>
    </row>
    <row r="494" spans="1:16" s="697" customFormat="1" ht="31.5">
      <c r="A494" s="268">
        <v>383</v>
      </c>
      <c r="B494" s="586" t="s">
        <v>1098</v>
      </c>
      <c r="C494" s="586" t="s">
        <v>1099</v>
      </c>
      <c r="D494" s="278">
        <v>38778</v>
      </c>
      <c r="E494" s="414" t="s">
        <v>90</v>
      </c>
      <c r="F494" s="277" t="s">
        <v>1456</v>
      </c>
      <c r="G494" s="276" t="str">
        <f t="shared" si="24"/>
        <v>2أ ف1</v>
      </c>
      <c r="H494" s="241" t="s">
        <v>91</v>
      </c>
      <c r="I494" s="141"/>
      <c r="J494" s="231"/>
      <c r="K494" s="417"/>
      <c r="L494" s="203"/>
      <c r="M494" s="672"/>
      <c r="N494" s="698"/>
      <c r="O494" s="698"/>
      <c r="P494" s="698"/>
    </row>
    <row r="495" spans="1:16" s="697" customFormat="1" ht="31.5">
      <c r="A495" s="268">
        <v>384</v>
      </c>
      <c r="B495" s="586" t="s">
        <v>1141</v>
      </c>
      <c r="C495" s="586" t="s">
        <v>1142</v>
      </c>
      <c r="D495" s="278">
        <v>38530</v>
      </c>
      <c r="E495" s="416" t="s">
        <v>104</v>
      </c>
      <c r="F495" s="277" t="s">
        <v>1456</v>
      </c>
      <c r="G495" s="276" t="str">
        <f t="shared" si="24"/>
        <v>2أ ف1</v>
      </c>
      <c r="H495" s="241" t="s">
        <v>91</v>
      </c>
      <c r="I495" s="141"/>
      <c r="J495" s="231"/>
      <c r="K495" s="671"/>
      <c r="L495" s="203"/>
      <c r="M495" s="672"/>
      <c r="N495" s="698"/>
      <c r="O495" s="698"/>
      <c r="P495" s="698"/>
    </row>
    <row r="496" spans="1:16" s="697" customFormat="1">
      <c r="A496" s="268">
        <v>385</v>
      </c>
      <c r="B496" s="586" t="s">
        <v>1412</v>
      </c>
      <c r="C496" s="586" t="s">
        <v>1391</v>
      </c>
      <c r="D496" s="278">
        <v>39095</v>
      </c>
      <c r="E496" s="589" t="s">
        <v>90</v>
      </c>
      <c r="F496" s="277" t="s">
        <v>1456</v>
      </c>
      <c r="G496" s="276" t="str">
        <f t="shared" si="24"/>
        <v>2أ ف1</v>
      </c>
      <c r="H496" s="242" t="s">
        <v>96</v>
      </c>
      <c r="I496" s="141"/>
      <c r="J496" s="231"/>
      <c r="K496" s="404"/>
      <c r="L496" s="203"/>
      <c r="M496" s="672"/>
      <c r="N496" s="698"/>
      <c r="O496" s="698"/>
      <c r="P496" s="698"/>
    </row>
    <row r="497" spans="1:16" s="697" customFormat="1">
      <c r="A497" s="268">
        <v>386</v>
      </c>
      <c r="B497" s="586" t="s">
        <v>518</v>
      </c>
      <c r="C497" s="586" t="s">
        <v>1431</v>
      </c>
      <c r="D497" s="278">
        <v>38402</v>
      </c>
      <c r="E497" s="590" t="s">
        <v>90</v>
      </c>
      <c r="F497" s="277" t="s">
        <v>1456</v>
      </c>
      <c r="G497" s="276" t="str">
        <f t="shared" ref="G497:G560" si="25">F497</f>
        <v>2أ ف1</v>
      </c>
      <c r="H497" s="241" t="s">
        <v>91</v>
      </c>
      <c r="I497" s="141"/>
      <c r="J497" s="231"/>
      <c r="K497" s="404"/>
      <c r="L497" s="203"/>
      <c r="M497" s="672"/>
      <c r="N497" s="698"/>
      <c r="O497" s="698"/>
      <c r="P497" s="698"/>
    </row>
    <row r="498" spans="1:16" s="697" customFormat="1">
      <c r="A498" s="268">
        <v>387</v>
      </c>
      <c r="B498" s="586" t="s">
        <v>170</v>
      </c>
      <c r="C498" s="586" t="s">
        <v>27</v>
      </c>
      <c r="D498" s="278">
        <v>38164</v>
      </c>
      <c r="E498" s="322" t="s">
        <v>90</v>
      </c>
      <c r="F498" s="277" t="s">
        <v>1456</v>
      </c>
      <c r="G498" s="276" t="str">
        <f t="shared" si="25"/>
        <v>2أ ف1</v>
      </c>
      <c r="H498" s="241" t="s">
        <v>91</v>
      </c>
      <c r="I498" s="141"/>
      <c r="J498" s="231"/>
      <c r="K498" s="404"/>
      <c r="L498" s="203"/>
      <c r="M498" s="672"/>
      <c r="N498" s="698"/>
      <c r="O498" s="698"/>
      <c r="P498" s="698"/>
    </row>
    <row r="499" spans="1:16" s="697" customFormat="1" ht="31.5">
      <c r="A499" s="268">
        <v>388</v>
      </c>
      <c r="B499" s="586" t="s">
        <v>1549</v>
      </c>
      <c r="C499" s="586" t="s">
        <v>1548</v>
      </c>
      <c r="D499" s="278">
        <v>37763</v>
      </c>
      <c r="E499" s="414" t="s">
        <v>104</v>
      </c>
      <c r="F499" s="277" t="s">
        <v>1456</v>
      </c>
      <c r="G499" s="276" t="str">
        <f t="shared" si="25"/>
        <v>2أ ف1</v>
      </c>
      <c r="H499" s="242" t="s">
        <v>96</v>
      </c>
      <c r="I499" s="141"/>
      <c r="J499" s="231"/>
      <c r="K499" s="404"/>
      <c r="L499" s="203"/>
      <c r="M499" s="672"/>
      <c r="N499" s="698"/>
      <c r="O499" s="698"/>
      <c r="P499" s="698"/>
    </row>
    <row r="500" spans="1:16" s="697" customFormat="1">
      <c r="A500" s="268">
        <v>389</v>
      </c>
      <c r="B500" s="586" t="s">
        <v>951</v>
      </c>
      <c r="C500" s="586" t="s">
        <v>1166</v>
      </c>
      <c r="D500" s="278">
        <v>38011</v>
      </c>
      <c r="E500" s="322" t="s">
        <v>90</v>
      </c>
      <c r="F500" s="277" t="s">
        <v>1456</v>
      </c>
      <c r="G500" s="276" t="str">
        <f t="shared" si="25"/>
        <v>2أ ف1</v>
      </c>
      <c r="H500" s="241" t="s">
        <v>91</v>
      </c>
      <c r="I500" s="141"/>
      <c r="J500" s="231"/>
      <c r="K500" s="677"/>
      <c r="L500" s="203"/>
      <c r="M500" s="672"/>
      <c r="N500" s="698"/>
      <c r="O500" s="698"/>
      <c r="P500" s="698"/>
    </row>
    <row r="501" spans="1:16" s="697" customFormat="1">
      <c r="A501" s="268">
        <v>390</v>
      </c>
      <c r="B501" s="586" t="s">
        <v>685</v>
      </c>
      <c r="C501" s="586" t="s">
        <v>1433</v>
      </c>
      <c r="D501" s="278">
        <v>38418</v>
      </c>
      <c r="E501" s="589" t="s">
        <v>104</v>
      </c>
      <c r="F501" s="277" t="s">
        <v>1456</v>
      </c>
      <c r="G501" s="276" t="str">
        <f t="shared" si="25"/>
        <v>2أ ف1</v>
      </c>
      <c r="H501" s="242" t="s">
        <v>96</v>
      </c>
      <c r="I501" s="141"/>
      <c r="J501" s="231"/>
      <c r="K501" s="404"/>
      <c r="L501" s="203"/>
      <c r="M501" s="672"/>
      <c r="N501" s="698"/>
      <c r="O501" s="698"/>
      <c r="P501" s="698"/>
    </row>
    <row r="502" spans="1:16" s="697" customFormat="1">
      <c r="A502" s="268">
        <v>391</v>
      </c>
      <c r="B502" s="586" t="s">
        <v>1150</v>
      </c>
      <c r="C502" s="586" t="s">
        <v>1151</v>
      </c>
      <c r="D502" s="278">
        <v>38713</v>
      </c>
      <c r="E502" s="416" t="s">
        <v>90</v>
      </c>
      <c r="F502" s="277" t="s">
        <v>1456</v>
      </c>
      <c r="G502" s="276" t="str">
        <f t="shared" si="25"/>
        <v>2أ ف1</v>
      </c>
      <c r="H502" s="242" t="s">
        <v>96</v>
      </c>
      <c r="I502" s="141"/>
      <c r="J502" s="231"/>
      <c r="K502" s="671" t="s">
        <v>628</v>
      </c>
      <c r="L502" s="203"/>
      <c r="M502" s="672"/>
      <c r="N502" s="698"/>
      <c r="O502" s="698"/>
      <c r="P502" s="698"/>
    </row>
    <row r="503" spans="1:16" s="697" customFormat="1">
      <c r="A503" s="268">
        <v>392</v>
      </c>
      <c r="B503" s="586" t="s">
        <v>1111</v>
      </c>
      <c r="C503" s="586" t="s">
        <v>77</v>
      </c>
      <c r="D503" s="278">
        <v>37592</v>
      </c>
      <c r="E503" s="265" t="s">
        <v>133</v>
      </c>
      <c r="F503" s="277" t="s">
        <v>1456</v>
      </c>
      <c r="G503" s="276" t="str">
        <f t="shared" si="25"/>
        <v>2أ ف1</v>
      </c>
      <c r="H503" s="242" t="s">
        <v>96</v>
      </c>
      <c r="I503" s="141"/>
      <c r="J503" s="231"/>
      <c r="K503" s="671" t="s">
        <v>1873</v>
      </c>
      <c r="L503" s="203"/>
      <c r="M503" s="672"/>
      <c r="N503" s="698"/>
      <c r="O503" s="698"/>
      <c r="P503" s="698"/>
    </row>
    <row r="504" spans="1:16" s="697" customFormat="1">
      <c r="A504" s="268">
        <v>393</v>
      </c>
      <c r="B504" s="586" t="s">
        <v>539</v>
      </c>
      <c r="C504" s="586" t="s">
        <v>198</v>
      </c>
      <c r="D504" s="278">
        <v>38566</v>
      </c>
      <c r="E504" s="405" t="s">
        <v>90</v>
      </c>
      <c r="F504" s="277" t="s">
        <v>1456</v>
      </c>
      <c r="G504" s="276" t="str">
        <f t="shared" si="25"/>
        <v>2أ ف1</v>
      </c>
      <c r="H504" s="242" t="s">
        <v>96</v>
      </c>
      <c r="I504" s="141"/>
      <c r="J504" s="231"/>
      <c r="K504" s="671" t="s">
        <v>628</v>
      </c>
      <c r="L504" s="203"/>
      <c r="M504" s="672"/>
      <c r="N504" s="698"/>
      <c r="O504" s="698"/>
      <c r="P504" s="698"/>
    </row>
    <row r="505" spans="1:16" s="697" customFormat="1">
      <c r="A505" s="268">
        <v>394</v>
      </c>
      <c r="B505" s="586" t="s">
        <v>948</v>
      </c>
      <c r="C505" s="586" t="s">
        <v>1437</v>
      </c>
      <c r="D505" s="278">
        <v>38741</v>
      </c>
      <c r="E505" s="419" t="s">
        <v>104</v>
      </c>
      <c r="F505" s="277" t="s">
        <v>1456</v>
      </c>
      <c r="G505" s="276" t="str">
        <f t="shared" si="25"/>
        <v>2أ ف1</v>
      </c>
      <c r="H505" s="241" t="s">
        <v>91</v>
      </c>
      <c r="I505" s="141"/>
      <c r="J505" s="231"/>
      <c r="K505" s="671"/>
      <c r="L505" s="203"/>
      <c r="M505" s="672"/>
      <c r="N505" s="698"/>
      <c r="O505" s="698"/>
      <c r="P505" s="698"/>
    </row>
    <row r="506" spans="1:16" s="697" customFormat="1">
      <c r="A506" s="268">
        <v>395</v>
      </c>
      <c r="B506" s="586" t="s">
        <v>125</v>
      </c>
      <c r="C506" s="586" t="s">
        <v>913</v>
      </c>
      <c r="D506" s="278">
        <v>38661</v>
      </c>
      <c r="E506" s="413" t="s">
        <v>90</v>
      </c>
      <c r="F506" s="277" t="s">
        <v>1456</v>
      </c>
      <c r="G506" s="276" t="str">
        <f t="shared" si="25"/>
        <v>2أ ف1</v>
      </c>
      <c r="H506" s="242" t="s">
        <v>96</v>
      </c>
      <c r="I506" s="141"/>
      <c r="J506" s="231"/>
      <c r="K506" s="671" t="s">
        <v>628</v>
      </c>
      <c r="L506" s="203"/>
      <c r="M506" s="672"/>
      <c r="N506" s="698"/>
      <c r="O506" s="698"/>
      <c r="P506" s="698"/>
    </row>
    <row r="507" spans="1:16" s="697" customFormat="1">
      <c r="A507" s="268">
        <v>396</v>
      </c>
      <c r="B507" s="586" t="s">
        <v>1008</v>
      </c>
      <c r="C507" s="586" t="s">
        <v>1006</v>
      </c>
      <c r="D507" s="278">
        <v>38548</v>
      </c>
      <c r="E507" s="322" t="s">
        <v>90</v>
      </c>
      <c r="F507" s="277" t="s">
        <v>1456</v>
      </c>
      <c r="G507" s="276" t="str">
        <f t="shared" si="25"/>
        <v>2أ ف1</v>
      </c>
      <c r="H507" s="242" t="s">
        <v>96</v>
      </c>
      <c r="I507" s="141"/>
      <c r="J507" s="231"/>
      <c r="K507" s="671" t="s">
        <v>628</v>
      </c>
      <c r="L507" s="203"/>
      <c r="M507" s="672"/>
      <c r="N507" s="698"/>
      <c r="O507" s="698"/>
      <c r="P507" s="698"/>
    </row>
    <row r="508" spans="1:16" s="697" customFormat="1">
      <c r="A508" s="268">
        <v>397</v>
      </c>
      <c r="B508" s="586" t="s">
        <v>1452</v>
      </c>
      <c r="C508" s="586" t="s">
        <v>1262</v>
      </c>
      <c r="D508" s="278">
        <v>39071</v>
      </c>
      <c r="E508" s="589" t="s">
        <v>90</v>
      </c>
      <c r="F508" s="277" t="s">
        <v>1456</v>
      </c>
      <c r="G508" s="276" t="str">
        <f t="shared" si="25"/>
        <v>2أ ف1</v>
      </c>
      <c r="H508" s="241" t="s">
        <v>91</v>
      </c>
      <c r="I508" s="141"/>
      <c r="J508" s="231"/>
      <c r="K508" s="688" t="s">
        <v>628</v>
      </c>
      <c r="L508" s="203"/>
      <c r="M508" s="672"/>
      <c r="N508" s="698"/>
      <c r="O508" s="698"/>
      <c r="P508" s="698"/>
    </row>
    <row r="509" spans="1:16" s="697" customFormat="1">
      <c r="A509" s="268">
        <v>398</v>
      </c>
      <c r="B509" s="586" t="s">
        <v>530</v>
      </c>
      <c r="C509" s="586" t="s">
        <v>1453</v>
      </c>
      <c r="D509" s="278">
        <v>39048</v>
      </c>
      <c r="E509" s="589" t="s">
        <v>104</v>
      </c>
      <c r="F509" s="277" t="s">
        <v>1456</v>
      </c>
      <c r="G509" s="276" t="str">
        <f t="shared" si="25"/>
        <v>2أ ف1</v>
      </c>
      <c r="H509" s="242" t="s">
        <v>96</v>
      </c>
      <c r="I509" s="141"/>
      <c r="J509" s="231"/>
      <c r="K509" s="671" t="s">
        <v>1873</v>
      </c>
      <c r="L509" s="203"/>
      <c r="M509" s="672"/>
      <c r="N509" s="698"/>
      <c r="O509" s="698"/>
      <c r="P509" s="698"/>
    </row>
    <row r="510" spans="1:16" s="697" customFormat="1" ht="31.5">
      <c r="A510" s="268">
        <v>399</v>
      </c>
      <c r="B510" s="586" t="s">
        <v>1114</v>
      </c>
      <c r="C510" s="586" t="s">
        <v>1115</v>
      </c>
      <c r="D510" s="278">
        <v>38071</v>
      </c>
      <c r="E510" s="322" t="s">
        <v>104</v>
      </c>
      <c r="F510" s="277" t="s">
        <v>1456</v>
      </c>
      <c r="G510" s="276" t="str">
        <f t="shared" si="25"/>
        <v>2أ ف1</v>
      </c>
      <c r="H510" s="241" t="s">
        <v>91</v>
      </c>
      <c r="I510" s="141"/>
      <c r="J510" s="231"/>
      <c r="K510" s="671" t="s">
        <v>1873</v>
      </c>
      <c r="L510" s="203"/>
      <c r="M510" s="672"/>
      <c r="N510" s="698"/>
      <c r="O510" s="698"/>
      <c r="P510" s="698"/>
    </row>
    <row r="511" spans="1:16" s="697" customFormat="1">
      <c r="A511" s="268">
        <v>400</v>
      </c>
      <c r="B511" s="586" t="s">
        <v>1158</v>
      </c>
      <c r="C511" s="586" t="s">
        <v>149</v>
      </c>
      <c r="D511" s="278">
        <v>38423</v>
      </c>
      <c r="E511" s="416" t="s">
        <v>90</v>
      </c>
      <c r="F511" s="277" t="s">
        <v>1456</v>
      </c>
      <c r="G511" s="276" t="str">
        <f t="shared" si="25"/>
        <v>2أ ف1</v>
      </c>
      <c r="H511" s="242" t="s">
        <v>96</v>
      </c>
      <c r="I511" s="141"/>
      <c r="J511" s="231"/>
      <c r="K511" s="581"/>
      <c r="L511" s="678" t="s">
        <v>1875</v>
      </c>
      <c r="M511" s="679" t="s">
        <v>1875</v>
      </c>
      <c r="N511" s="698"/>
      <c r="O511" s="698"/>
      <c r="P511" s="698"/>
    </row>
    <row r="512" spans="1:16" s="697" customFormat="1" ht="31.5">
      <c r="A512" s="268">
        <v>401</v>
      </c>
      <c r="B512" s="586" t="s">
        <v>1423</v>
      </c>
      <c r="C512" s="586" t="s">
        <v>1424</v>
      </c>
      <c r="D512" s="278">
        <v>39043</v>
      </c>
      <c r="E512" s="419" t="s">
        <v>90</v>
      </c>
      <c r="F512" s="277" t="s">
        <v>1456</v>
      </c>
      <c r="G512" s="276" t="str">
        <f t="shared" si="25"/>
        <v>2أ ف1</v>
      </c>
      <c r="H512" s="241" t="s">
        <v>91</v>
      </c>
      <c r="I512" s="141"/>
      <c r="J512" s="231"/>
      <c r="K512" s="404"/>
      <c r="L512" s="678" t="s">
        <v>1875</v>
      </c>
      <c r="M512" s="679" t="s">
        <v>1875</v>
      </c>
      <c r="N512" s="698"/>
      <c r="O512" s="698"/>
      <c r="P512" s="698"/>
    </row>
    <row r="513" spans="1:16" s="697" customFormat="1">
      <c r="A513" s="268">
        <v>402</v>
      </c>
      <c r="B513" s="586" t="s">
        <v>528</v>
      </c>
      <c r="C513" s="586" t="s">
        <v>683</v>
      </c>
      <c r="D513" s="278">
        <v>38726</v>
      </c>
      <c r="E513" s="417" t="s">
        <v>90</v>
      </c>
      <c r="F513" s="277" t="s">
        <v>1456</v>
      </c>
      <c r="G513" s="276" t="str">
        <f t="shared" si="25"/>
        <v>2أ ف1</v>
      </c>
      <c r="H513" s="241" t="s">
        <v>91</v>
      </c>
      <c r="I513" s="141"/>
      <c r="J513" s="231"/>
      <c r="K513" s="404"/>
      <c r="L513" s="203"/>
      <c r="M513" s="672"/>
      <c r="N513" s="698"/>
      <c r="O513" s="698"/>
      <c r="P513" s="698"/>
    </row>
    <row r="514" spans="1:16" s="697" customFormat="1" ht="31.5">
      <c r="A514" s="268">
        <v>403</v>
      </c>
      <c r="B514" s="586" t="s">
        <v>1408</v>
      </c>
      <c r="C514" s="586" t="s">
        <v>1425</v>
      </c>
      <c r="D514" s="278">
        <v>39071</v>
      </c>
      <c r="E514" s="589" t="s">
        <v>1426</v>
      </c>
      <c r="F514" s="277" t="s">
        <v>1457</v>
      </c>
      <c r="G514" s="276" t="str">
        <f t="shared" si="25"/>
        <v>2أ ف2</v>
      </c>
      <c r="H514" s="240" t="s">
        <v>1458</v>
      </c>
      <c r="I514" s="141"/>
      <c r="J514" s="231"/>
      <c r="K514" s="581"/>
      <c r="L514" s="203"/>
      <c r="M514" s="672"/>
      <c r="N514" s="698"/>
      <c r="O514" s="698"/>
      <c r="P514" s="698"/>
    </row>
    <row r="515" spans="1:16" s="697" customFormat="1" ht="31.5">
      <c r="A515" s="268">
        <v>404</v>
      </c>
      <c r="B515" s="586" t="s">
        <v>54</v>
      </c>
      <c r="C515" s="586" t="s">
        <v>1103</v>
      </c>
      <c r="D515" s="278">
        <v>38030</v>
      </c>
      <c r="E515" s="237" t="s">
        <v>90</v>
      </c>
      <c r="F515" s="277" t="s">
        <v>1457</v>
      </c>
      <c r="G515" s="276" t="str">
        <f t="shared" si="25"/>
        <v>2أ ف2</v>
      </c>
      <c r="H515" s="240" t="s">
        <v>1459</v>
      </c>
      <c r="I515" s="141"/>
      <c r="J515" s="231"/>
      <c r="K515" s="404"/>
      <c r="L515" s="218"/>
      <c r="M515" s="218"/>
      <c r="N515" s="698"/>
      <c r="O515" s="698"/>
      <c r="P515" s="698"/>
    </row>
    <row r="516" spans="1:16" s="697" customFormat="1">
      <c r="A516" s="268">
        <v>405</v>
      </c>
      <c r="B516" s="586" t="s">
        <v>154</v>
      </c>
      <c r="C516" s="586" t="s">
        <v>30</v>
      </c>
      <c r="D516" s="278">
        <v>38267</v>
      </c>
      <c r="E516" s="322" t="s">
        <v>133</v>
      </c>
      <c r="F516" s="277" t="s">
        <v>1457</v>
      </c>
      <c r="G516" s="276" t="str">
        <f t="shared" si="25"/>
        <v>2أ ف2</v>
      </c>
      <c r="H516" s="240" t="s">
        <v>1458</v>
      </c>
      <c r="I516" s="141"/>
      <c r="J516" s="231"/>
      <c r="K516" s="404"/>
      <c r="L516" s="203"/>
      <c r="M516" s="672"/>
      <c r="N516" s="698"/>
      <c r="O516" s="698"/>
      <c r="P516" s="698"/>
    </row>
    <row r="517" spans="1:16" s="697" customFormat="1">
      <c r="A517" s="268">
        <v>406</v>
      </c>
      <c r="B517" s="586" t="s">
        <v>155</v>
      </c>
      <c r="C517" s="586" t="s">
        <v>1170</v>
      </c>
      <c r="D517" s="278">
        <v>38225</v>
      </c>
      <c r="E517" s="248" t="s">
        <v>104</v>
      </c>
      <c r="F517" s="277" t="s">
        <v>1457</v>
      </c>
      <c r="G517" s="276" t="str">
        <f t="shared" si="25"/>
        <v>2أ ف2</v>
      </c>
      <c r="H517" s="240" t="s">
        <v>1459</v>
      </c>
      <c r="I517" s="141"/>
      <c r="J517" s="231"/>
      <c r="K517" s="404"/>
      <c r="L517" s="203"/>
      <c r="M517" s="672"/>
      <c r="N517" s="698"/>
      <c r="O517" s="698"/>
      <c r="P517" s="698"/>
    </row>
    <row r="518" spans="1:16" s="697" customFormat="1" ht="31.5">
      <c r="A518" s="268">
        <v>407</v>
      </c>
      <c r="B518" s="586" t="s">
        <v>792</v>
      </c>
      <c r="C518" s="586" t="s">
        <v>1080</v>
      </c>
      <c r="D518" s="278">
        <v>37840</v>
      </c>
      <c r="E518" s="248" t="s">
        <v>90</v>
      </c>
      <c r="F518" s="277" t="s">
        <v>1457</v>
      </c>
      <c r="G518" s="276" t="str">
        <f t="shared" si="25"/>
        <v>2أ ف2</v>
      </c>
      <c r="H518" s="242" t="s">
        <v>96</v>
      </c>
      <c r="I518" s="141"/>
      <c r="J518" s="231"/>
      <c r="K518" s="264"/>
      <c r="L518" s="203"/>
      <c r="M518" s="672"/>
      <c r="N518" s="698"/>
      <c r="O518" s="698"/>
      <c r="P518" s="698"/>
    </row>
    <row r="519" spans="1:16" s="697" customFormat="1" ht="31.5">
      <c r="A519" s="268">
        <v>408</v>
      </c>
      <c r="B519" s="586" t="s">
        <v>16</v>
      </c>
      <c r="C519" s="586" t="s">
        <v>1021</v>
      </c>
      <c r="D519" s="278">
        <v>37623</v>
      </c>
      <c r="E519" s="247" t="s">
        <v>90</v>
      </c>
      <c r="F519" s="277" t="s">
        <v>1457</v>
      </c>
      <c r="G519" s="276" t="str">
        <f t="shared" si="25"/>
        <v>2أ ف2</v>
      </c>
      <c r="H519" s="242" t="s">
        <v>96</v>
      </c>
      <c r="I519" s="141"/>
      <c r="J519" s="231"/>
      <c r="K519" s="404"/>
      <c r="L519" s="700" t="s">
        <v>1874</v>
      </c>
      <c r="M519" s="701" t="s">
        <v>1874</v>
      </c>
      <c r="N519" s="698"/>
      <c r="O519" s="698"/>
      <c r="P519" s="698"/>
    </row>
    <row r="520" spans="1:16" s="697" customFormat="1">
      <c r="A520" s="268">
        <v>409</v>
      </c>
      <c r="B520" s="586" t="s">
        <v>45</v>
      </c>
      <c r="C520" s="586" t="s">
        <v>1162</v>
      </c>
      <c r="D520" s="278">
        <v>37741</v>
      </c>
      <c r="E520" s="248" t="s">
        <v>90</v>
      </c>
      <c r="F520" s="277" t="s">
        <v>1457</v>
      </c>
      <c r="G520" s="276" t="str">
        <f t="shared" si="25"/>
        <v>2أ ف2</v>
      </c>
      <c r="H520" s="242" t="s">
        <v>96</v>
      </c>
      <c r="I520" s="141"/>
      <c r="J520" s="231"/>
      <c r="K520" s="689"/>
      <c r="L520" s="700" t="s">
        <v>1874</v>
      </c>
      <c r="M520" s="701" t="s">
        <v>1874</v>
      </c>
      <c r="N520" s="698"/>
      <c r="O520" s="698"/>
      <c r="P520" s="698"/>
    </row>
    <row r="521" spans="1:16" s="697" customFormat="1">
      <c r="A521" s="268">
        <v>410</v>
      </c>
      <c r="B521" s="586" t="s">
        <v>1408</v>
      </c>
      <c r="C521" s="586" t="s">
        <v>1323</v>
      </c>
      <c r="D521" s="278">
        <v>39190</v>
      </c>
      <c r="E521" s="419" t="s">
        <v>104</v>
      </c>
      <c r="F521" s="277" t="s">
        <v>1457</v>
      </c>
      <c r="G521" s="276" t="str">
        <f t="shared" si="25"/>
        <v>2أ ف2</v>
      </c>
      <c r="H521" s="241" t="s">
        <v>91</v>
      </c>
      <c r="I521" s="141"/>
      <c r="J521" s="231"/>
      <c r="K521" s="581"/>
      <c r="L521" s="678" t="s">
        <v>1875</v>
      </c>
      <c r="M521" s="679" t="s">
        <v>1875</v>
      </c>
      <c r="N521" s="698"/>
      <c r="O521" s="698"/>
      <c r="P521" s="698"/>
    </row>
    <row r="522" spans="1:16" s="697" customFormat="1">
      <c r="A522" s="268">
        <v>411</v>
      </c>
      <c r="B522" s="586" t="s">
        <v>1189</v>
      </c>
      <c r="C522" s="586" t="s">
        <v>826</v>
      </c>
      <c r="D522" s="278">
        <v>38101</v>
      </c>
      <c r="E522" s="405" t="s">
        <v>90</v>
      </c>
      <c r="F522" s="277" t="s">
        <v>1457</v>
      </c>
      <c r="G522" s="276" t="str">
        <f t="shared" si="25"/>
        <v>2أ ف2</v>
      </c>
      <c r="H522" s="241" t="s">
        <v>91</v>
      </c>
      <c r="I522" s="141"/>
      <c r="J522" s="231"/>
      <c r="K522" s="404"/>
      <c r="L522" s="700" t="s">
        <v>1874</v>
      </c>
      <c r="M522" s="701" t="s">
        <v>1874</v>
      </c>
      <c r="N522" s="698"/>
      <c r="O522" s="698"/>
      <c r="P522" s="698"/>
    </row>
    <row r="523" spans="1:16" s="697" customFormat="1">
      <c r="A523" s="268">
        <v>412</v>
      </c>
      <c r="B523" s="586" t="s">
        <v>1429</v>
      </c>
      <c r="C523" s="586" t="s">
        <v>1430</v>
      </c>
      <c r="D523" s="278">
        <v>38676</v>
      </c>
      <c r="E523" s="419" t="s">
        <v>104</v>
      </c>
      <c r="F523" s="277" t="s">
        <v>1457</v>
      </c>
      <c r="G523" s="276" t="str">
        <f t="shared" si="25"/>
        <v>2أ ف2</v>
      </c>
      <c r="H523" s="241" t="s">
        <v>91</v>
      </c>
      <c r="I523" s="141"/>
      <c r="J523" s="231"/>
      <c r="K523" s="248"/>
      <c r="L523" s="203"/>
      <c r="M523" s="672"/>
      <c r="N523" s="698"/>
      <c r="O523" s="698"/>
      <c r="P523" s="698"/>
    </row>
    <row r="524" spans="1:16" s="697" customFormat="1" ht="31.5">
      <c r="A524" s="268">
        <v>413</v>
      </c>
      <c r="B524" s="586" t="s">
        <v>1356</v>
      </c>
      <c r="C524" s="586" t="s">
        <v>1409</v>
      </c>
      <c r="D524" s="278">
        <v>39162</v>
      </c>
      <c r="E524" s="419" t="s">
        <v>90</v>
      </c>
      <c r="F524" s="277" t="s">
        <v>1457</v>
      </c>
      <c r="G524" s="276" t="str">
        <f t="shared" si="25"/>
        <v>2أ ف2</v>
      </c>
      <c r="H524" s="241" t="s">
        <v>91</v>
      </c>
      <c r="I524" s="141"/>
      <c r="J524" s="231"/>
      <c r="K524" s="248"/>
      <c r="L524" s="203"/>
      <c r="M524" s="672"/>
      <c r="N524" s="698"/>
      <c r="O524" s="698"/>
      <c r="P524" s="698"/>
    </row>
    <row r="525" spans="1:16" s="697" customFormat="1">
      <c r="A525" s="268">
        <v>414</v>
      </c>
      <c r="B525" s="586" t="s">
        <v>1410</v>
      </c>
      <c r="C525" s="586" t="s">
        <v>1411</v>
      </c>
      <c r="D525" s="278">
        <v>38166</v>
      </c>
      <c r="E525" s="600" t="s">
        <v>104</v>
      </c>
      <c r="F525" s="277" t="s">
        <v>1457</v>
      </c>
      <c r="G525" s="276" t="str">
        <f t="shared" si="25"/>
        <v>2أ ف2</v>
      </c>
      <c r="H525" s="241" t="s">
        <v>91</v>
      </c>
      <c r="I525" s="141"/>
      <c r="J525" s="231"/>
      <c r="K525" s="237"/>
      <c r="L525" s="203"/>
      <c r="M525" s="672"/>
      <c r="N525" s="698"/>
      <c r="O525" s="698"/>
      <c r="P525" s="698"/>
    </row>
    <row r="526" spans="1:16" s="697" customFormat="1">
      <c r="A526" s="268">
        <v>415</v>
      </c>
      <c r="B526" s="586" t="s">
        <v>116</v>
      </c>
      <c r="C526" s="586" t="s">
        <v>696</v>
      </c>
      <c r="D526" s="278">
        <v>38868</v>
      </c>
      <c r="E526" s="411" t="s">
        <v>104</v>
      </c>
      <c r="F526" s="277" t="s">
        <v>1457</v>
      </c>
      <c r="G526" s="276" t="str">
        <f t="shared" si="25"/>
        <v>2أ ف2</v>
      </c>
      <c r="H526" s="242" t="s">
        <v>96</v>
      </c>
      <c r="I526" s="141"/>
      <c r="J526" s="231"/>
      <c r="K526" s="259" t="s">
        <v>628</v>
      </c>
      <c r="L526" s="203"/>
      <c r="M526" s="672"/>
      <c r="N526" s="698"/>
      <c r="O526" s="698"/>
      <c r="P526" s="698"/>
    </row>
    <row r="527" spans="1:16" s="697" customFormat="1" ht="31.5">
      <c r="A527" s="268">
        <v>416</v>
      </c>
      <c r="B527" s="586" t="s">
        <v>1447</v>
      </c>
      <c r="C527" s="586" t="s">
        <v>1448</v>
      </c>
      <c r="D527" s="278">
        <v>39122</v>
      </c>
      <c r="E527" s="419" t="s">
        <v>902</v>
      </c>
      <c r="F527" s="277" t="s">
        <v>1457</v>
      </c>
      <c r="G527" s="276" t="str">
        <f t="shared" si="25"/>
        <v>2أ ف2</v>
      </c>
      <c r="H527" s="242" t="s">
        <v>96</v>
      </c>
      <c r="I527" s="141"/>
      <c r="J527" s="231"/>
      <c r="K527" s="259" t="s">
        <v>628</v>
      </c>
      <c r="L527" s="203"/>
      <c r="M527" s="672"/>
      <c r="N527" s="698"/>
      <c r="O527" s="698"/>
      <c r="P527" s="698"/>
    </row>
    <row r="528" spans="1:16" s="697" customFormat="1" ht="31.5">
      <c r="A528" s="268">
        <v>417</v>
      </c>
      <c r="B528" s="586" t="s">
        <v>1413</v>
      </c>
      <c r="C528" s="586" t="s">
        <v>1383</v>
      </c>
      <c r="D528" s="278">
        <v>38902</v>
      </c>
      <c r="E528" s="589" t="s">
        <v>104</v>
      </c>
      <c r="F528" s="277" t="s">
        <v>1457</v>
      </c>
      <c r="G528" s="276" t="str">
        <f t="shared" si="25"/>
        <v>2أ ف2</v>
      </c>
      <c r="H528" s="241" t="s">
        <v>91</v>
      </c>
      <c r="I528" s="141"/>
      <c r="J528" s="231"/>
      <c r="K528" s="259" t="s">
        <v>628</v>
      </c>
      <c r="L528" s="203"/>
      <c r="M528" s="672"/>
      <c r="N528" s="698"/>
      <c r="O528" s="698"/>
      <c r="P528" s="698"/>
    </row>
    <row r="529" spans="1:21" s="697" customFormat="1">
      <c r="A529" s="268">
        <v>418</v>
      </c>
      <c r="B529" s="586" t="s">
        <v>17</v>
      </c>
      <c r="C529" s="586" t="s">
        <v>1132</v>
      </c>
      <c r="D529" s="278">
        <v>37445</v>
      </c>
      <c r="E529" s="601" t="s">
        <v>90</v>
      </c>
      <c r="F529" s="277" t="s">
        <v>1457</v>
      </c>
      <c r="G529" s="276" t="str">
        <f t="shared" si="25"/>
        <v>2أ ف2</v>
      </c>
      <c r="H529" s="242" t="s">
        <v>96</v>
      </c>
      <c r="I529" s="141"/>
      <c r="J529" s="231"/>
      <c r="K529" s="237"/>
      <c r="L529" s="203"/>
      <c r="M529" s="672"/>
      <c r="N529" s="698"/>
      <c r="O529" s="698"/>
      <c r="P529" s="698"/>
    </row>
    <row r="530" spans="1:21" s="697" customFormat="1">
      <c r="A530" s="268">
        <v>419</v>
      </c>
      <c r="B530" s="586" t="s">
        <v>1414</v>
      </c>
      <c r="C530" s="586" t="s">
        <v>1275</v>
      </c>
      <c r="D530" s="278">
        <v>39004</v>
      </c>
      <c r="E530" s="590" t="s">
        <v>90</v>
      </c>
      <c r="F530" s="277" t="s">
        <v>1457</v>
      </c>
      <c r="G530" s="276" t="str">
        <f t="shared" si="25"/>
        <v>2أ ف2</v>
      </c>
      <c r="H530" s="241" t="s">
        <v>91</v>
      </c>
      <c r="I530" s="141"/>
      <c r="J530" s="231"/>
      <c r="K530" s="259" t="s">
        <v>628</v>
      </c>
      <c r="L530" s="203"/>
      <c r="M530" s="672"/>
      <c r="N530" s="698"/>
      <c r="O530" s="698"/>
      <c r="P530" s="698"/>
    </row>
    <row r="531" spans="1:21" s="697" customFormat="1" ht="32.25">
      <c r="A531" s="268">
        <v>420</v>
      </c>
      <c r="B531" s="586" t="s">
        <v>513</v>
      </c>
      <c r="C531" s="586" t="s">
        <v>1054</v>
      </c>
      <c r="D531" s="278">
        <v>38173</v>
      </c>
      <c r="E531" s="416" t="s">
        <v>90</v>
      </c>
      <c r="F531" s="277" t="s">
        <v>1457</v>
      </c>
      <c r="G531" s="276" t="str">
        <f t="shared" si="25"/>
        <v>2أ ف2</v>
      </c>
      <c r="H531" s="242" t="s">
        <v>96</v>
      </c>
      <c r="I531" s="141"/>
      <c r="J531" s="231"/>
      <c r="K531" s="259"/>
      <c r="L531" s="203"/>
      <c r="M531" s="1563" t="s">
        <v>338</v>
      </c>
      <c r="N531" s="1563"/>
      <c r="O531" s="1563"/>
      <c r="P531" s="1563"/>
      <c r="Q531" s="1563"/>
      <c r="R531" s="1563"/>
      <c r="S531" s="1563"/>
      <c r="T531" s="1563"/>
      <c r="U531" s="1563"/>
    </row>
    <row r="532" spans="1:21" s="697" customFormat="1">
      <c r="A532" s="268">
        <v>421</v>
      </c>
      <c r="B532" s="586" t="s">
        <v>886</v>
      </c>
      <c r="C532" s="586" t="s">
        <v>1167</v>
      </c>
      <c r="D532" s="278">
        <v>38428</v>
      </c>
      <c r="E532" s="248" t="s">
        <v>90</v>
      </c>
      <c r="F532" s="277" t="s">
        <v>1457</v>
      </c>
      <c r="G532" s="276" t="str">
        <f t="shared" si="25"/>
        <v>2أ ف2</v>
      </c>
      <c r="H532" s="241" t="s">
        <v>91</v>
      </c>
      <c r="I532" s="141"/>
      <c r="J532" s="231"/>
      <c r="K532" s="237"/>
      <c r="L532" s="203"/>
      <c r="M532" s="672"/>
      <c r="N532" s="698"/>
      <c r="O532" s="698"/>
      <c r="P532" s="698"/>
      <c r="T532" s="156" t="s">
        <v>754</v>
      </c>
      <c r="U532" s="156" t="s">
        <v>755</v>
      </c>
    </row>
    <row r="533" spans="1:21" s="697" customFormat="1">
      <c r="A533" s="268">
        <v>422</v>
      </c>
      <c r="B533" s="586" t="s">
        <v>1416</v>
      </c>
      <c r="C533" s="586" t="s">
        <v>707</v>
      </c>
      <c r="D533" s="278">
        <v>39254</v>
      </c>
      <c r="E533" s="590" t="s">
        <v>90</v>
      </c>
      <c r="F533" s="277" t="s">
        <v>1457</v>
      </c>
      <c r="G533" s="276" t="str">
        <f t="shared" si="25"/>
        <v>2أ ف2</v>
      </c>
      <c r="H533" s="242" t="s">
        <v>96</v>
      </c>
      <c r="I533" s="141"/>
      <c r="J533" s="231"/>
      <c r="K533" s="237"/>
      <c r="L533" s="203"/>
      <c r="M533" s="672"/>
      <c r="N533" s="698"/>
      <c r="O533" s="667"/>
      <c r="P533" s="698"/>
      <c r="T533" s="156">
        <v>5</v>
      </c>
      <c r="U533" s="156">
        <v>6</v>
      </c>
    </row>
    <row r="534" spans="1:21" s="697" customFormat="1" ht="20.25">
      <c r="A534" s="268">
        <v>423</v>
      </c>
      <c r="B534" s="586" t="s">
        <v>949</v>
      </c>
      <c r="C534" s="586" t="s">
        <v>707</v>
      </c>
      <c r="D534" s="278">
        <v>39123</v>
      </c>
      <c r="E534" s="589" t="s">
        <v>104</v>
      </c>
      <c r="F534" s="277" t="s">
        <v>1457</v>
      </c>
      <c r="G534" s="276" t="str">
        <f t="shared" si="25"/>
        <v>2أ ف2</v>
      </c>
      <c r="H534" s="242" t="s">
        <v>96</v>
      </c>
      <c r="I534" s="141"/>
      <c r="J534" s="231"/>
      <c r="K534" s="237"/>
      <c r="L534" s="203"/>
      <c r="M534" s="672"/>
      <c r="N534" s="698"/>
      <c r="O534" s="670"/>
      <c r="P534" s="698"/>
      <c r="T534" s="141" t="s">
        <v>756</v>
      </c>
      <c r="U534" s="141" t="s">
        <v>757</v>
      </c>
    </row>
    <row r="535" spans="1:21" s="697" customFormat="1" ht="31.5">
      <c r="A535" s="268">
        <v>424</v>
      </c>
      <c r="B535" s="586" t="s">
        <v>1421</v>
      </c>
      <c r="C535" s="586" t="s">
        <v>1422</v>
      </c>
      <c r="D535" s="278">
        <v>38495</v>
      </c>
      <c r="E535" s="589" t="s">
        <v>194</v>
      </c>
      <c r="F535" s="277" t="s">
        <v>1457</v>
      </c>
      <c r="G535" s="276" t="str">
        <f t="shared" si="25"/>
        <v>2أ ف2</v>
      </c>
      <c r="H535" s="242" t="s">
        <v>96</v>
      </c>
      <c r="I535" s="141"/>
      <c r="J535" s="231"/>
      <c r="K535" s="237"/>
      <c r="L535" s="203"/>
      <c r="M535" s="672"/>
      <c r="N535" s="698"/>
      <c r="O535" s="169"/>
      <c r="P535" s="698"/>
      <c r="T535" s="141" t="s">
        <v>758</v>
      </c>
      <c r="U535" s="141" t="s">
        <v>759</v>
      </c>
    </row>
    <row r="536" spans="1:21" s="697" customFormat="1" ht="31.5">
      <c r="A536" s="268">
        <v>425</v>
      </c>
      <c r="B536" s="586" t="s">
        <v>1008</v>
      </c>
      <c r="C536" s="586" t="s">
        <v>1007</v>
      </c>
      <c r="D536" s="278">
        <v>38635</v>
      </c>
      <c r="E536" s="593" t="s">
        <v>104</v>
      </c>
      <c r="F536" s="277" t="s">
        <v>1457</v>
      </c>
      <c r="G536" s="276" t="str">
        <f t="shared" si="25"/>
        <v>2أ ف2</v>
      </c>
      <c r="H536" s="242" t="s">
        <v>96</v>
      </c>
      <c r="I536" s="141"/>
      <c r="J536" s="231"/>
      <c r="K536" s="237"/>
      <c r="L536" s="700" t="s">
        <v>1874</v>
      </c>
      <c r="M536" s="701" t="s">
        <v>1874</v>
      </c>
      <c r="N536" s="698"/>
      <c r="O536" s="169"/>
      <c r="P536" s="698"/>
      <c r="T536" s="141" t="s">
        <v>760</v>
      </c>
      <c r="U536" s="141" t="s">
        <v>761</v>
      </c>
    </row>
    <row r="537" spans="1:21" s="697" customFormat="1" ht="31.5">
      <c r="A537" s="268">
        <v>426</v>
      </c>
      <c r="B537" s="586" t="s">
        <v>1213</v>
      </c>
      <c r="C537" s="586" t="s">
        <v>1216</v>
      </c>
      <c r="D537" s="278">
        <v>38741</v>
      </c>
      <c r="E537" s="412" t="s">
        <v>104</v>
      </c>
      <c r="F537" s="277" t="s">
        <v>1457</v>
      </c>
      <c r="G537" s="276" t="str">
        <f t="shared" si="25"/>
        <v>2أ ف2</v>
      </c>
      <c r="H537" s="242" t="s">
        <v>96</v>
      </c>
      <c r="I537" s="141"/>
      <c r="J537" s="231"/>
      <c r="K537" s="237"/>
      <c r="L537" s="203"/>
      <c r="M537" s="672"/>
      <c r="N537" s="698"/>
      <c r="O537" s="169"/>
      <c r="P537" s="698"/>
      <c r="T537" s="141" t="s">
        <v>762</v>
      </c>
      <c r="U537" s="141" t="s">
        <v>763</v>
      </c>
    </row>
    <row r="538" spans="1:21" s="697" customFormat="1" ht="31.5">
      <c r="A538" s="268">
        <v>427</v>
      </c>
      <c r="B538" s="586" t="s">
        <v>154</v>
      </c>
      <c r="C538" s="586" t="s">
        <v>1092</v>
      </c>
      <c r="D538" s="278">
        <v>38548</v>
      </c>
      <c r="E538" s="598" t="s">
        <v>90</v>
      </c>
      <c r="F538" s="277" t="s">
        <v>1457</v>
      </c>
      <c r="G538" s="276" t="str">
        <f t="shared" si="25"/>
        <v>2أ ف2</v>
      </c>
      <c r="H538" s="241" t="s">
        <v>91</v>
      </c>
      <c r="I538" s="141"/>
      <c r="J538" s="231"/>
      <c r="K538" s="237"/>
      <c r="L538" s="203"/>
      <c r="M538" s="672"/>
      <c r="N538" s="698"/>
      <c r="O538" s="169"/>
      <c r="P538" s="698"/>
      <c r="T538" s="141" t="s">
        <v>762</v>
      </c>
      <c r="U538" s="141" t="s">
        <v>763</v>
      </c>
    </row>
    <row r="539" spans="1:21" s="697" customFormat="1">
      <c r="A539" s="268">
        <v>428</v>
      </c>
      <c r="B539" s="586" t="s">
        <v>1135</v>
      </c>
      <c r="C539" s="586" t="s">
        <v>970</v>
      </c>
      <c r="D539" s="278">
        <v>37795</v>
      </c>
      <c r="E539" s="413" t="s">
        <v>104</v>
      </c>
      <c r="F539" s="277" t="s">
        <v>1457</v>
      </c>
      <c r="G539" s="276" t="str">
        <f t="shared" si="25"/>
        <v>2أ ف2</v>
      </c>
      <c r="H539" s="241" t="s">
        <v>91</v>
      </c>
      <c r="I539" s="141"/>
      <c r="J539" s="231"/>
      <c r="K539" s="237"/>
      <c r="L539" s="203"/>
      <c r="M539" s="672"/>
      <c r="N539" s="698"/>
      <c r="O539" s="169"/>
      <c r="P539" s="698"/>
      <c r="T539" s="141" t="s">
        <v>764</v>
      </c>
      <c r="U539" s="141" t="s">
        <v>765</v>
      </c>
    </row>
    <row r="540" spans="1:21" s="697" customFormat="1" ht="31.5">
      <c r="A540" s="268">
        <v>429</v>
      </c>
      <c r="B540" s="586" t="s">
        <v>1119</v>
      </c>
      <c r="C540" s="586" t="s">
        <v>1120</v>
      </c>
      <c r="D540" s="278">
        <v>38201</v>
      </c>
      <c r="E540" s="237" t="s">
        <v>110</v>
      </c>
      <c r="F540" s="277" t="s">
        <v>1457</v>
      </c>
      <c r="G540" s="276" t="str">
        <f t="shared" si="25"/>
        <v>2أ ف2</v>
      </c>
      <c r="H540" s="242" t="s">
        <v>96</v>
      </c>
      <c r="I540" s="141"/>
      <c r="J540" s="231"/>
      <c r="K540" s="237"/>
      <c r="L540" s="203"/>
      <c r="M540" s="672"/>
      <c r="N540" s="698"/>
      <c r="O540" s="698"/>
      <c r="P540" s="698"/>
      <c r="T540" s="141" t="s">
        <v>766</v>
      </c>
      <c r="U540" s="141" t="s">
        <v>767</v>
      </c>
    </row>
    <row r="541" spans="1:21" s="697" customFormat="1">
      <c r="A541" s="268">
        <v>430</v>
      </c>
      <c r="B541" s="586" t="s">
        <v>872</v>
      </c>
      <c r="C541" s="586" t="s">
        <v>1296</v>
      </c>
      <c r="D541" s="278">
        <v>39094</v>
      </c>
      <c r="E541" s="419" t="s">
        <v>90</v>
      </c>
      <c r="F541" s="277" t="s">
        <v>1565</v>
      </c>
      <c r="G541" s="276" t="str">
        <f t="shared" si="25"/>
        <v>2أ ف3</v>
      </c>
      <c r="H541" s="240" t="s">
        <v>1458</v>
      </c>
      <c r="I541" s="141"/>
      <c r="J541" s="231"/>
      <c r="K541" s="237"/>
      <c r="L541" s="203"/>
      <c r="M541" s="672"/>
      <c r="N541" s="698"/>
      <c r="O541" s="698"/>
      <c r="P541" s="698"/>
    </row>
    <row r="542" spans="1:21" s="697" customFormat="1" ht="31.5">
      <c r="A542" s="268">
        <v>431</v>
      </c>
      <c r="B542" s="586" t="s">
        <v>49</v>
      </c>
      <c r="C542" s="586" t="s">
        <v>1096</v>
      </c>
      <c r="D542" s="278">
        <v>38116</v>
      </c>
      <c r="E542" s="413" t="s">
        <v>136</v>
      </c>
      <c r="F542" s="277" t="s">
        <v>1565</v>
      </c>
      <c r="G542" s="276" t="str">
        <f t="shared" si="25"/>
        <v>2أ ف3</v>
      </c>
      <c r="H542" s="240" t="s">
        <v>1458</v>
      </c>
      <c r="I542" s="141"/>
      <c r="J542" s="231"/>
      <c r="K542" s="237"/>
      <c r="L542" s="203"/>
      <c r="M542" s="672"/>
      <c r="N542" s="698"/>
      <c r="O542" s="698"/>
      <c r="P542" s="698"/>
    </row>
    <row r="543" spans="1:21" s="697" customFormat="1" ht="31.5">
      <c r="A543" s="268">
        <v>432</v>
      </c>
      <c r="B543" s="586" t="s">
        <v>1116</v>
      </c>
      <c r="C543" s="586" t="s">
        <v>1117</v>
      </c>
      <c r="D543" s="278">
        <v>38587</v>
      </c>
      <c r="E543" s="418" t="s">
        <v>90</v>
      </c>
      <c r="F543" s="277" t="s">
        <v>1565</v>
      </c>
      <c r="G543" s="276" t="str">
        <f t="shared" si="25"/>
        <v>2أ ف3</v>
      </c>
      <c r="H543" s="240" t="s">
        <v>1459</v>
      </c>
      <c r="I543" s="141"/>
      <c r="J543" s="231"/>
      <c r="K543" s="237"/>
      <c r="L543" s="203"/>
      <c r="M543" s="672"/>
      <c r="N543" s="698"/>
      <c r="O543" s="698"/>
      <c r="P543" s="698"/>
    </row>
    <row r="544" spans="1:21" s="697" customFormat="1">
      <c r="A544" s="268">
        <v>433</v>
      </c>
      <c r="B544" s="586" t="s">
        <v>988</v>
      </c>
      <c r="C544" s="586" t="s">
        <v>1319</v>
      </c>
      <c r="D544" s="278">
        <v>38399</v>
      </c>
      <c r="E544" s="589" t="s">
        <v>104</v>
      </c>
      <c r="F544" s="277" t="s">
        <v>1565</v>
      </c>
      <c r="G544" s="276" t="str">
        <f t="shared" si="25"/>
        <v>2أ ف3</v>
      </c>
      <c r="H544" s="241" t="s">
        <v>91</v>
      </c>
      <c r="I544" s="141"/>
      <c r="J544" s="231"/>
      <c r="K544" s="237"/>
      <c r="L544" s="203"/>
      <c r="M544" s="672"/>
      <c r="N544" s="698"/>
      <c r="O544" s="698"/>
      <c r="P544" s="698"/>
    </row>
    <row r="545" spans="1:16" s="697" customFormat="1">
      <c r="A545" s="268">
        <v>434</v>
      </c>
      <c r="B545" s="586" t="s">
        <v>1122</v>
      </c>
      <c r="C545" s="586" t="s">
        <v>25</v>
      </c>
      <c r="D545" s="278">
        <v>38284</v>
      </c>
      <c r="E545" s="413" t="s">
        <v>90</v>
      </c>
      <c r="F545" s="277" t="s">
        <v>1565</v>
      </c>
      <c r="G545" s="276" t="str">
        <f t="shared" si="25"/>
        <v>2أ ف3</v>
      </c>
      <c r="H545" s="241" t="s">
        <v>91</v>
      </c>
      <c r="I545" s="141"/>
      <c r="J545" s="231"/>
      <c r="K545" s="237"/>
      <c r="L545" s="203"/>
      <c r="M545" s="672"/>
      <c r="N545" s="698"/>
      <c r="O545" s="698"/>
      <c r="P545" s="698"/>
    </row>
    <row r="546" spans="1:16" s="697" customFormat="1">
      <c r="A546" s="268">
        <v>435</v>
      </c>
      <c r="B546" s="586" t="s">
        <v>1123</v>
      </c>
      <c r="C546" s="586" t="s">
        <v>33</v>
      </c>
      <c r="D546" s="278">
        <v>37909</v>
      </c>
      <c r="E546" s="413" t="s">
        <v>90</v>
      </c>
      <c r="F546" s="277" t="s">
        <v>1565</v>
      </c>
      <c r="G546" s="276" t="str">
        <f t="shared" si="25"/>
        <v>2أ ف3</v>
      </c>
      <c r="H546" s="241" t="s">
        <v>91</v>
      </c>
      <c r="I546" s="141"/>
      <c r="J546" s="231"/>
      <c r="K546" s="237"/>
      <c r="L546" s="203"/>
      <c r="M546" s="672"/>
      <c r="N546" s="698"/>
      <c r="O546" s="698"/>
      <c r="P546" s="698"/>
    </row>
    <row r="547" spans="1:16" s="697" customFormat="1" ht="31.5">
      <c r="A547" s="268">
        <v>436</v>
      </c>
      <c r="B547" s="586" t="s">
        <v>45</v>
      </c>
      <c r="C547" s="586" t="s">
        <v>1080</v>
      </c>
      <c r="D547" s="278">
        <v>38577</v>
      </c>
      <c r="E547" s="413" t="s">
        <v>104</v>
      </c>
      <c r="F547" s="277" t="s">
        <v>1565</v>
      </c>
      <c r="G547" s="276" t="str">
        <f t="shared" si="25"/>
        <v>2أ ف3</v>
      </c>
      <c r="H547" s="242" t="s">
        <v>96</v>
      </c>
      <c r="I547" s="141"/>
      <c r="J547" s="231"/>
      <c r="K547" s="237"/>
      <c r="L547" s="203"/>
      <c r="M547" s="672"/>
      <c r="N547" s="698"/>
      <c r="O547" s="698"/>
      <c r="P547" s="698"/>
    </row>
    <row r="548" spans="1:16" s="697" customFormat="1" ht="31.5">
      <c r="A548" s="268">
        <v>437</v>
      </c>
      <c r="B548" s="586" t="s">
        <v>1077</v>
      </c>
      <c r="C548" s="586" t="s">
        <v>1124</v>
      </c>
      <c r="D548" s="278">
        <v>38634</v>
      </c>
      <c r="E548" s="413" t="s">
        <v>859</v>
      </c>
      <c r="F548" s="277" t="s">
        <v>1565</v>
      </c>
      <c r="G548" s="276" t="str">
        <f t="shared" si="25"/>
        <v>2أ ف3</v>
      </c>
      <c r="H548" s="242" t="s">
        <v>96</v>
      </c>
      <c r="I548" s="141"/>
      <c r="J548" s="231"/>
      <c r="K548" s="237"/>
      <c r="L548" s="203"/>
      <c r="M548" s="672"/>
      <c r="N548" s="698"/>
      <c r="O548" s="698"/>
      <c r="P548" s="698"/>
    </row>
    <row r="549" spans="1:16" s="697" customFormat="1">
      <c r="A549" s="268">
        <v>438</v>
      </c>
      <c r="B549" s="586" t="s">
        <v>1446</v>
      </c>
      <c r="C549" s="586" t="s">
        <v>1337</v>
      </c>
      <c r="D549" s="278">
        <v>38973</v>
      </c>
      <c r="E549" s="589" t="s">
        <v>90</v>
      </c>
      <c r="F549" s="277" t="s">
        <v>1565</v>
      </c>
      <c r="G549" s="276" t="str">
        <f t="shared" si="25"/>
        <v>2أ ف3</v>
      </c>
      <c r="H549" s="241" t="s">
        <v>91</v>
      </c>
      <c r="I549" s="141"/>
      <c r="J549" s="231"/>
      <c r="K549" s="237"/>
      <c r="L549" s="203"/>
      <c r="M549" s="672"/>
      <c r="N549" s="698"/>
      <c r="O549" s="698"/>
      <c r="P549" s="698"/>
    </row>
    <row r="550" spans="1:16" s="697" customFormat="1">
      <c r="A550" s="268">
        <v>439</v>
      </c>
      <c r="B550" s="586" t="s">
        <v>794</v>
      </c>
      <c r="C550" s="586" t="s">
        <v>1303</v>
      </c>
      <c r="D550" s="278">
        <v>38942</v>
      </c>
      <c r="E550" s="589" t="s">
        <v>104</v>
      </c>
      <c r="F550" s="277" t="s">
        <v>1565</v>
      </c>
      <c r="G550" s="276" t="str">
        <f t="shared" si="25"/>
        <v>2أ ف3</v>
      </c>
      <c r="H550" s="241" t="s">
        <v>91</v>
      </c>
      <c r="I550" s="141"/>
      <c r="J550" s="231"/>
      <c r="K550" s="237"/>
      <c r="L550" s="203"/>
      <c r="M550" s="672"/>
      <c r="N550" s="698"/>
      <c r="O550" s="698"/>
      <c r="P550" s="698"/>
    </row>
    <row r="551" spans="1:16" s="697" customFormat="1">
      <c r="A551" s="268">
        <v>440</v>
      </c>
      <c r="B551" s="586" t="s">
        <v>171</v>
      </c>
      <c r="C551" s="586" t="s">
        <v>1165</v>
      </c>
      <c r="D551" s="278">
        <v>38287</v>
      </c>
      <c r="E551" s="248" t="s">
        <v>90</v>
      </c>
      <c r="F551" s="277" t="s">
        <v>1565</v>
      </c>
      <c r="G551" s="276" t="str">
        <f t="shared" si="25"/>
        <v>2أ ف3</v>
      </c>
      <c r="H551" s="242" t="s">
        <v>96</v>
      </c>
      <c r="I551" s="141"/>
      <c r="J551" s="231"/>
      <c r="K551" s="237"/>
      <c r="L551" s="203"/>
      <c r="M551" s="672"/>
      <c r="N551" s="698"/>
      <c r="O551" s="698"/>
      <c r="P551" s="698"/>
    </row>
    <row r="552" spans="1:16" s="697" customFormat="1">
      <c r="A552" s="268">
        <v>441</v>
      </c>
      <c r="B552" s="586" t="s">
        <v>1129</v>
      </c>
      <c r="C552" s="586" t="s">
        <v>785</v>
      </c>
      <c r="D552" s="602">
        <v>38514</v>
      </c>
      <c r="E552" s="603" t="s">
        <v>104</v>
      </c>
      <c r="F552" s="277" t="s">
        <v>1565</v>
      </c>
      <c r="G552" s="276" t="str">
        <f t="shared" si="25"/>
        <v>2أ ف3</v>
      </c>
      <c r="H552" s="242" t="s">
        <v>96</v>
      </c>
      <c r="I552" s="141"/>
      <c r="J552" s="231"/>
      <c r="K552" s="237"/>
      <c r="L552" s="203"/>
      <c r="M552" s="672"/>
      <c r="N552" s="698"/>
      <c r="O552" s="698"/>
      <c r="P552" s="698"/>
    </row>
    <row r="553" spans="1:16" s="697" customFormat="1">
      <c r="A553" s="268">
        <v>442</v>
      </c>
      <c r="B553" s="586" t="s">
        <v>17</v>
      </c>
      <c r="C553" s="586" t="s">
        <v>1062</v>
      </c>
      <c r="D553" s="278">
        <v>38828</v>
      </c>
      <c r="E553" s="322" t="s">
        <v>90</v>
      </c>
      <c r="F553" s="277" t="s">
        <v>1565</v>
      </c>
      <c r="G553" s="276" t="str">
        <f t="shared" si="25"/>
        <v>2أ ف3</v>
      </c>
      <c r="H553" s="242" t="s">
        <v>96</v>
      </c>
      <c r="I553" s="141"/>
      <c r="J553" s="231"/>
      <c r="K553" s="237"/>
      <c r="L553" s="678" t="s">
        <v>1875</v>
      </c>
      <c r="M553" s="679" t="s">
        <v>1875</v>
      </c>
      <c r="N553" s="698"/>
      <c r="O553" s="698"/>
      <c r="P553" s="698"/>
    </row>
    <row r="554" spans="1:16" s="697" customFormat="1" ht="31.5">
      <c r="A554" s="268">
        <v>443</v>
      </c>
      <c r="B554" s="586" t="s">
        <v>1133</v>
      </c>
      <c r="C554" s="586" t="s">
        <v>1021</v>
      </c>
      <c r="D554" s="278">
        <v>38173</v>
      </c>
      <c r="E554" s="413" t="s">
        <v>90</v>
      </c>
      <c r="F554" s="277" t="s">
        <v>1565</v>
      </c>
      <c r="G554" s="276" t="str">
        <f t="shared" si="25"/>
        <v>2أ ف3</v>
      </c>
      <c r="H554" s="242" t="s">
        <v>96</v>
      </c>
      <c r="I554" s="141"/>
      <c r="J554" s="231"/>
      <c r="K554" s="237"/>
      <c r="L554" s="700" t="s">
        <v>1874</v>
      </c>
      <c r="M554" s="701" t="s">
        <v>1874</v>
      </c>
      <c r="N554" s="698"/>
      <c r="O554" s="698"/>
      <c r="P554" s="698"/>
    </row>
    <row r="555" spans="1:16" s="697" customFormat="1" ht="31.5">
      <c r="A555" s="268">
        <v>444</v>
      </c>
      <c r="B555" s="586" t="s">
        <v>1107</v>
      </c>
      <c r="C555" s="586" t="s">
        <v>98</v>
      </c>
      <c r="D555" s="278">
        <v>38256</v>
      </c>
      <c r="E555" s="413" t="s">
        <v>104</v>
      </c>
      <c r="F555" s="277" t="s">
        <v>1565</v>
      </c>
      <c r="G555" s="276" t="str">
        <f t="shared" si="25"/>
        <v>2أ ف3</v>
      </c>
      <c r="H555" s="242" t="s">
        <v>96</v>
      </c>
      <c r="I555" s="141"/>
      <c r="J555" s="231"/>
      <c r="K555" s="237"/>
      <c r="L555" s="203"/>
      <c r="M555" s="672"/>
      <c r="N555" s="698"/>
      <c r="O555" s="698"/>
      <c r="P555" s="698"/>
    </row>
    <row r="556" spans="1:16" s="697" customFormat="1">
      <c r="A556" s="268">
        <v>445</v>
      </c>
      <c r="B556" s="586" t="s">
        <v>675</v>
      </c>
      <c r="C556" s="586" t="s">
        <v>101</v>
      </c>
      <c r="D556" s="278">
        <v>38519</v>
      </c>
      <c r="E556" s="412" t="s">
        <v>90</v>
      </c>
      <c r="F556" s="277" t="s">
        <v>1565</v>
      </c>
      <c r="G556" s="276" t="str">
        <f t="shared" si="25"/>
        <v>2أ ف3</v>
      </c>
      <c r="H556" s="242" t="s">
        <v>96</v>
      </c>
      <c r="I556" s="141"/>
      <c r="J556" s="231"/>
      <c r="K556" s="237"/>
      <c r="L556" s="678"/>
      <c r="M556" s="679"/>
      <c r="N556" s="698"/>
      <c r="O556" s="698"/>
      <c r="P556" s="698"/>
    </row>
    <row r="557" spans="1:16" s="697" customFormat="1" ht="31.5">
      <c r="A557" s="268">
        <v>446</v>
      </c>
      <c r="B557" s="586" t="s">
        <v>1435</v>
      </c>
      <c r="C557" s="586" t="s">
        <v>1383</v>
      </c>
      <c r="D557" s="278">
        <v>39203</v>
      </c>
      <c r="E557" s="322" t="s">
        <v>104</v>
      </c>
      <c r="F557" s="277" t="s">
        <v>1565</v>
      </c>
      <c r="G557" s="276" t="str">
        <f t="shared" si="25"/>
        <v>2أ ف3</v>
      </c>
      <c r="H557" s="241" t="s">
        <v>91</v>
      </c>
      <c r="I557" s="141"/>
      <c r="J557" s="231"/>
      <c r="K557" s="671" t="s">
        <v>1873</v>
      </c>
      <c r="L557" s="203"/>
      <c r="M557" s="672"/>
      <c r="N557" s="698"/>
      <c r="O557" s="698"/>
      <c r="P557" s="698"/>
    </row>
    <row r="558" spans="1:16" s="697" customFormat="1">
      <c r="A558" s="268">
        <v>447</v>
      </c>
      <c r="B558" s="586" t="s">
        <v>42</v>
      </c>
      <c r="C558" s="586" t="s">
        <v>537</v>
      </c>
      <c r="D558" s="278">
        <v>38511</v>
      </c>
      <c r="E558" s="405" t="s">
        <v>90</v>
      </c>
      <c r="F558" s="277" t="s">
        <v>1565</v>
      </c>
      <c r="G558" s="276" t="str">
        <f t="shared" si="25"/>
        <v>2أ ف3</v>
      </c>
      <c r="H558" s="241" t="s">
        <v>91</v>
      </c>
      <c r="I558" s="141"/>
      <c r="J558" s="231"/>
      <c r="K558" s="259" t="s">
        <v>628</v>
      </c>
      <c r="L558" s="203"/>
      <c r="M558" s="672"/>
      <c r="N558" s="698"/>
      <c r="O558" s="698"/>
      <c r="P558" s="698"/>
    </row>
    <row r="559" spans="1:16" s="697" customFormat="1">
      <c r="A559" s="268">
        <v>448</v>
      </c>
      <c r="B559" s="586" t="s">
        <v>538</v>
      </c>
      <c r="C559" s="586" t="s">
        <v>1436</v>
      </c>
      <c r="D559" s="278">
        <v>38808</v>
      </c>
      <c r="E559" s="419" t="s">
        <v>90</v>
      </c>
      <c r="F559" s="277" t="s">
        <v>1565</v>
      </c>
      <c r="G559" s="276" t="str">
        <f t="shared" si="25"/>
        <v>2أ ف3</v>
      </c>
      <c r="H559" s="241" t="s">
        <v>91</v>
      </c>
      <c r="I559" s="141"/>
      <c r="J559" s="231"/>
      <c r="K559" s="237"/>
      <c r="L559" s="203"/>
      <c r="M559" s="672"/>
      <c r="N559" s="698"/>
      <c r="O559" s="698"/>
      <c r="P559" s="698"/>
    </row>
    <row r="560" spans="1:16" s="697" customFormat="1">
      <c r="A560" s="268">
        <v>449</v>
      </c>
      <c r="B560" s="586" t="s">
        <v>1417</v>
      </c>
      <c r="C560" s="586" t="s">
        <v>1418</v>
      </c>
      <c r="D560" s="278">
        <v>39002</v>
      </c>
      <c r="E560" s="419" t="s">
        <v>104</v>
      </c>
      <c r="F560" s="277" t="s">
        <v>1565</v>
      </c>
      <c r="G560" s="276" t="str">
        <f t="shared" si="25"/>
        <v>2أ ف3</v>
      </c>
      <c r="H560" s="241" t="s">
        <v>91</v>
      </c>
      <c r="I560" s="141"/>
      <c r="J560" s="231"/>
      <c r="K560" s="259" t="s">
        <v>628</v>
      </c>
      <c r="L560" s="203"/>
      <c r="M560" s="672"/>
      <c r="N560" s="698"/>
      <c r="O560" s="698"/>
      <c r="P560" s="698"/>
    </row>
    <row r="561" spans="1:16" s="697" customFormat="1">
      <c r="A561" s="268">
        <v>450</v>
      </c>
      <c r="B561" s="586" t="s">
        <v>1451</v>
      </c>
      <c r="C561" s="586" t="s">
        <v>1277</v>
      </c>
      <c r="D561" s="278">
        <v>38940</v>
      </c>
      <c r="E561" s="419" t="s">
        <v>90</v>
      </c>
      <c r="F561" s="277" t="s">
        <v>1565</v>
      </c>
      <c r="G561" s="276" t="str">
        <f t="shared" ref="G561:G624" si="26">F561</f>
        <v>2أ ف3</v>
      </c>
      <c r="H561" s="242" t="s">
        <v>96</v>
      </c>
      <c r="I561" s="141"/>
      <c r="J561" s="231"/>
      <c r="K561" s="259" t="s">
        <v>628</v>
      </c>
      <c r="L561" s="218"/>
      <c r="M561" s="218"/>
      <c r="N561" s="698"/>
      <c r="O561" s="698"/>
      <c r="P561" s="698"/>
    </row>
    <row r="562" spans="1:16" s="697" customFormat="1" ht="47.25">
      <c r="A562" s="268">
        <v>451</v>
      </c>
      <c r="B562" s="586" t="s">
        <v>125</v>
      </c>
      <c r="C562" s="586" t="s">
        <v>1113</v>
      </c>
      <c r="D562" s="278">
        <v>37578</v>
      </c>
      <c r="E562" s="265" t="s">
        <v>90</v>
      </c>
      <c r="F562" s="277" t="s">
        <v>1565</v>
      </c>
      <c r="G562" s="276" t="str">
        <f t="shared" si="26"/>
        <v>2أ ف3</v>
      </c>
      <c r="H562" s="242" t="s">
        <v>96</v>
      </c>
      <c r="I562" s="141"/>
      <c r="J562" s="231"/>
      <c r="K562" s="237"/>
      <c r="L562" s="218"/>
      <c r="M562" s="218"/>
      <c r="N562" s="698"/>
      <c r="O562" s="698"/>
      <c r="P562" s="698"/>
    </row>
    <row r="563" spans="1:16" s="697" customFormat="1">
      <c r="A563" s="268">
        <v>452</v>
      </c>
      <c r="B563" s="586" t="s">
        <v>896</v>
      </c>
      <c r="C563" s="586" t="s">
        <v>64</v>
      </c>
      <c r="D563" s="278">
        <v>38114</v>
      </c>
      <c r="E563" s="248" t="s">
        <v>897</v>
      </c>
      <c r="F563" s="277" t="s">
        <v>1565</v>
      </c>
      <c r="G563" s="276" t="str">
        <f t="shared" si="26"/>
        <v>2أ ف3</v>
      </c>
      <c r="H563" s="241" t="s">
        <v>91</v>
      </c>
      <c r="I563" s="141"/>
      <c r="J563" s="231"/>
      <c r="K563" s="237"/>
      <c r="L563" s="203"/>
      <c r="M563" s="672"/>
      <c r="N563" s="698"/>
      <c r="O563" s="698"/>
      <c r="P563" s="698"/>
    </row>
    <row r="564" spans="1:16" s="697" customFormat="1">
      <c r="A564" s="268">
        <v>453</v>
      </c>
      <c r="B564" s="586" t="s">
        <v>599</v>
      </c>
      <c r="C564" s="586" t="s">
        <v>1155</v>
      </c>
      <c r="D564" s="278">
        <v>38133</v>
      </c>
      <c r="E564" s="263" t="s">
        <v>90</v>
      </c>
      <c r="F564" s="277" t="s">
        <v>1565</v>
      </c>
      <c r="G564" s="276" t="str">
        <f t="shared" si="26"/>
        <v>2أ ف3</v>
      </c>
      <c r="H564" s="242" t="s">
        <v>96</v>
      </c>
      <c r="I564" s="141"/>
      <c r="J564" s="231"/>
      <c r="K564" s="237"/>
      <c r="L564" s="203"/>
      <c r="M564" s="672"/>
      <c r="N564" s="698"/>
      <c r="O564" s="698"/>
      <c r="P564" s="698"/>
    </row>
    <row r="565" spans="1:16" s="697" customFormat="1" ht="31.5">
      <c r="A565" s="268">
        <v>454</v>
      </c>
      <c r="B565" s="586" t="s">
        <v>70</v>
      </c>
      <c r="C565" s="586" t="s">
        <v>1169</v>
      </c>
      <c r="D565" s="278">
        <v>38144</v>
      </c>
      <c r="E565" s="248" t="s">
        <v>104</v>
      </c>
      <c r="F565" s="277" t="s">
        <v>1565</v>
      </c>
      <c r="G565" s="276" t="str">
        <f t="shared" si="26"/>
        <v>2أ ف3</v>
      </c>
      <c r="H565" s="242" t="s">
        <v>96</v>
      </c>
      <c r="I565" s="141"/>
      <c r="J565" s="231"/>
      <c r="K565" s="237"/>
      <c r="L565" s="203"/>
      <c r="M565" s="672"/>
      <c r="N565" s="698"/>
      <c r="O565" s="698"/>
      <c r="P565" s="698"/>
    </row>
    <row r="566" spans="1:16" s="697" customFormat="1">
      <c r="A566" s="268">
        <v>455</v>
      </c>
      <c r="B566" s="586" t="s">
        <v>1376</v>
      </c>
      <c r="C566" s="586" t="s">
        <v>787</v>
      </c>
      <c r="D566" s="278">
        <v>38874</v>
      </c>
      <c r="E566" s="419" t="s">
        <v>90</v>
      </c>
      <c r="F566" s="277" t="s">
        <v>1565</v>
      </c>
      <c r="G566" s="276" t="str">
        <f t="shared" si="26"/>
        <v>2أ ف3</v>
      </c>
      <c r="H566" s="242" t="s">
        <v>96</v>
      </c>
      <c r="I566" s="141"/>
      <c r="J566" s="231"/>
      <c r="K566" s="237"/>
      <c r="L566" s="203"/>
      <c r="M566" s="672"/>
      <c r="N566" s="698"/>
      <c r="O566" s="698"/>
      <c r="P566" s="698"/>
    </row>
    <row r="567" spans="1:16" s="697" customFormat="1">
      <c r="A567" s="268">
        <v>456</v>
      </c>
      <c r="B567" s="586" t="s">
        <v>1157</v>
      </c>
      <c r="C567" s="586" t="s">
        <v>117</v>
      </c>
      <c r="D567" s="278">
        <v>38338</v>
      </c>
      <c r="E567" s="263" t="s">
        <v>90</v>
      </c>
      <c r="F567" s="277" t="s">
        <v>1565</v>
      </c>
      <c r="G567" s="276" t="str">
        <f t="shared" si="26"/>
        <v>2أ ف3</v>
      </c>
      <c r="H567" s="241" t="s">
        <v>91</v>
      </c>
      <c r="I567" s="141"/>
      <c r="J567" s="231"/>
      <c r="K567" s="237"/>
      <c r="L567" s="203"/>
      <c r="M567" s="672"/>
      <c r="N567" s="698"/>
      <c r="O567" s="698"/>
      <c r="P567" s="698"/>
    </row>
    <row r="568" spans="1:16" s="697" customFormat="1">
      <c r="A568" s="268">
        <v>457</v>
      </c>
      <c r="B568" s="586" t="s">
        <v>51</v>
      </c>
      <c r="C568" s="586" t="s">
        <v>1275</v>
      </c>
      <c r="D568" s="278">
        <v>38998</v>
      </c>
      <c r="E568" s="589" t="s">
        <v>104</v>
      </c>
      <c r="F568" s="275" t="s">
        <v>4</v>
      </c>
      <c r="G568" s="276" t="str">
        <f t="shared" si="26"/>
        <v>2ل أ</v>
      </c>
      <c r="H568" s="240" t="s">
        <v>1458</v>
      </c>
      <c r="I568" s="141"/>
      <c r="J568" s="231"/>
      <c r="K568" s="237"/>
      <c r="L568" s="203"/>
      <c r="M568" s="672"/>
      <c r="N568" s="698"/>
      <c r="O568" s="698"/>
      <c r="P568" s="698"/>
    </row>
    <row r="569" spans="1:16" s="697" customFormat="1">
      <c r="A569" s="268">
        <v>458</v>
      </c>
      <c r="B569" s="586" t="s">
        <v>531</v>
      </c>
      <c r="C569" s="586" t="s">
        <v>1262</v>
      </c>
      <c r="D569" s="278">
        <v>38855</v>
      </c>
      <c r="E569" s="589" t="s">
        <v>90</v>
      </c>
      <c r="F569" s="275" t="s">
        <v>4</v>
      </c>
      <c r="G569" s="276" t="str">
        <f t="shared" si="26"/>
        <v>2ل أ</v>
      </c>
      <c r="H569" s="240" t="s">
        <v>1458</v>
      </c>
      <c r="I569" s="141"/>
      <c r="J569" s="231"/>
      <c r="K569" s="237"/>
      <c r="L569" s="203"/>
      <c r="M569" s="672"/>
      <c r="N569" s="698"/>
      <c r="O569" s="698"/>
      <c r="P569" s="698"/>
    </row>
    <row r="570" spans="1:16" s="697" customFormat="1">
      <c r="A570" s="268">
        <v>459</v>
      </c>
      <c r="B570" s="586" t="s">
        <v>678</v>
      </c>
      <c r="C570" s="586" t="s">
        <v>1337</v>
      </c>
      <c r="D570" s="278">
        <v>38883</v>
      </c>
      <c r="E570" s="419" t="s">
        <v>104</v>
      </c>
      <c r="F570" s="275" t="s">
        <v>4</v>
      </c>
      <c r="G570" s="276" t="str">
        <f t="shared" si="26"/>
        <v>2ل أ</v>
      </c>
      <c r="H570" s="240" t="s">
        <v>1458</v>
      </c>
      <c r="I570" s="141"/>
      <c r="J570" s="231"/>
      <c r="K570" s="237"/>
      <c r="L570" s="203"/>
      <c r="M570" s="672"/>
      <c r="N570" s="698"/>
      <c r="O570" s="698"/>
      <c r="P570" s="698"/>
    </row>
    <row r="571" spans="1:16" s="697" customFormat="1" ht="31.5">
      <c r="A571" s="268">
        <v>460</v>
      </c>
      <c r="B571" s="586" t="s">
        <v>1427</v>
      </c>
      <c r="C571" s="586" t="s">
        <v>1428</v>
      </c>
      <c r="D571" s="278">
        <v>38832</v>
      </c>
      <c r="E571" s="589" t="s">
        <v>90</v>
      </c>
      <c r="F571" s="275" t="s">
        <v>4</v>
      </c>
      <c r="G571" s="276" t="str">
        <f t="shared" si="26"/>
        <v>2ل أ</v>
      </c>
      <c r="H571" s="240" t="s">
        <v>1458</v>
      </c>
      <c r="I571" s="141"/>
      <c r="J571" s="231"/>
      <c r="K571" s="237"/>
      <c r="L571" s="700"/>
      <c r="M571" s="701"/>
      <c r="N571" s="698"/>
      <c r="O571" s="698"/>
      <c r="P571" s="698"/>
    </row>
    <row r="572" spans="1:16" s="697" customFormat="1" ht="31.5">
      <c r="A572" s="268">
        <v>461</v>
      </c>
      <c r="B572" s="586" t="s">
        <v>1404</v>
      </c>
      <c r="C572" s="586" t="s">
        <v>1405</v>
      </c>
      <c r="D572" s="278">
        <v>38991</v>
      </c>
      <c r="E572" s="589" t="s">
        <v>90</v>
      </c>
      <c r="F572" s="275" t="s">
        <v>4</v>
      </c>
      <c r="G572" s="276" t="str">
        <f t="shared" si="26"/>
        <v>2ل أ</v>
      </c>
      <c r="H572" s="242" t="s">
        <v>96</v>
      </c>
      <c r="I572" s="141"/>
      <c r="J572" s="231"/>
      <c r="K572" s="237"/>
      <c r="L572" s="203"/>
      <c r="M572" s="672"/>
      <c r="N572" s="698"/>
      <c r="O572" s="698"/>
      <c r="P572" s="698"/>
    </row>
    <row r="573" spans="1:16" s="697" customFormat="1" ht="31.5">
      <c r="A573" s="268">
        <v>462</v>
      </c>
      <c r="B573" s="586" t="s">
        <v>1177</v>
      </c>
      <c r="C573" s="586" t="s">
        <v>1178</v>
      </c>
      <c r="D573" s="278">
        <v>38545</v>
      </c>
      <c r="E573" s="262" t="s">
        <v>90</v>
      </c>
      <c r="F573" s="275" t="s">
        <v>4</v>
      </c>
      <c r="G573" s="276" t="str">
        <f t="shared" si="26"/>
        <v>2ل أ</v>
      </c>
      <c r="H573" s="242" t="s">
        <v>96</v>
      </c>
      <c r="I573" s="141"/>
      <c r="J573" s="231"/>
      <c r="K573" s="237"/>
      <c r="L573" s="203"/>
      <c r="M573" s="672"/>
      <c r="N573" s="698"/>
      <c r="O573" s="698"/>
      <c r="P573" s="698"/>
    </row>
    <row r="574" spans="1:16" s="697" customFormat="1">
      <c r="A574" s="268">
        <v>463</v>
      </c>
      <c r="B574" s="586" t="s">
        <v>1301</v>
      </c>
      <c r="C574" s="586" t="s">
        <v>1443</v>
      </c>
      <c r="D574" s="278">
        <v>38846</v>
      </c>
      <c r="E574" s="419" t="s">
        <v>104</v>
      </c>
      <c r="F574" s="275" t="s">
        <v>4</v>
      </c>
      <c r="G574" s="276" t="str">
        <f t="shared" si="26"/>
        <v>2ل أ</v>
      </c>
      <c r="H574" s="241" t="s">
        <v>91</v>
      </c>
      <c r="I574" s="141"/>
      <c r="J574" s="231"/>
      <c r="K574" s="237"/>
      <c r="L574" s="203"/>
      <c r="M574" s="672"/>
      <c r="N574" s="698"/>
      <c r="O574" s="698"/>
      <c r="P574" s="698"/>
    </row>
    <row r="575" spans="1:16" s="697" customFormat="1" ht="31.5">
      <c r="A575" s="268">
        <v>464</v>
      </c>
      <c r="B575" s="586" t="s">
        <v>1444</v>
      </c>
      <c r="C575" s="586" t="s">
        <v>1445</v>
      </c>
      <c r="D575" s="278">
        <v>38740</v>
      </c>
      <c r="E575" s="589" t="s">
        <v>90</v>
      </c>
      <c r="F575" s="275" t="s">
        <v>4</v>
      </c>
      <c r="G575" s="276" t="str">
        <f t="shared" si="26"/>
        <v>2ل أ</v>
      </c>
      <c r="H575" s="242" t="s">
        <v>96</v>
      </c>
      <c r="I575" s="141"/>
      <c r="J575" s="231"/>
      <c r="K575" s="237"/>
      <c r="L575" s="678" t="s">
        <v>1875</v>
      </c>
      <c r="M575" s="679" t="s">
        <v>1875</v>
      </c>
      <c r="N575" s="698"/>
      <c r="O575" s="698"/>
      <c r="P575" s="698"/>
    </row>
    <row r="576" spans="1:16" s="697" customFormat="1">
      <c r="A576" s="268">
        <v>465</v>
      </c>
      <c r="B576" s="586" t="s">
        <v>1211</v>
      </c>
      <c r="C576" s="586" t="s">
        <v>153</v>
      </c>
      <c r="D576" s="278">
        <v>38759</v>
      </c>
      <c r="E576" s="322" t="s">
        <v>104</v>
      </c>
      <c r="F576" s="275" t="s">
        <v>4</v>
      </c>
      <c r="G576" s="276" t="str">
        <f t="shared" si="26"/>
        <v>2ل أ</v>
      </c>
      <c r="H576" s="242" t="s">
        <v>96</v>
      </c>
      <c r="I576" s="141"/>
      <c r="J576" s="231"/>
      <c r="K576" s="237"/>
      <c r="L576" s="678" t="s">
        <v>1875</v>
      </c>
      <c r="M576" s="679" t="s">
        <v>1875</v>
      </c>
      <c r="N576" s="698"/>
      <c r="O576" s="698"/>
      <c r="P576" s="698"/>
    </row>
    <row r="577" spans="1:16" s="697" customFormat="1">
      <c r="A577" s="268">
        <v>466</v>
      </c>
      <c r="B577" s="586" t="s">
        <v>919</v>
      </c>
      <c r="C577" s="586" t="s">
        <v>920</v>
      </c>
      <c r="D577" s="278">
        <v>38393</v>
      </c>
      <c r="E577" s="415" t="s">
        <v>90</v>
      </c>
      <c r="F577" s="275" t="s">
        <v>4</v>
      </c>
      <c r="G577" s="276" t="str">
        <f t="shared" si="26"/>
        <v>2ل أ</v>
      </c>
      <c r="H577" s="241" t="s">
        <v>91</v>
      </c>
      <c r="I577" s="141"/>
      <c r="J577" s="231"/>
      <c r="K577" s="237"/>
      <c r="L577" s="700" t="s">
        <v>1874</v>
      </c>
      <c r="M577" s="701" t="s">
        <v>1874</v>
      </c>
      <c r="N577" s="698"/>
      <c r="O577" s="698"/>
      <c r="P577" s="698"/>
    </row>
    <row r="578" spans="1:16" s="697" customFormat="1">
      <c r="A578" s="268">
        <v>467</v>
      </c>
      <c r="B578" s="586" t="s">
        <v>1406</v>
      </c>
      <c r="C578" s="586" t="s">
        <v>1407</v>
      </c>
      <c r="D578" s="278">
        <v>38853</v>
      </c>
      <c r="E578" s="419" t="s">
        <v>90</v>
      </c>
      <c r="F578" s="275" t="s">
        <v>4</v>
      </c>
      <c r="G578" s="276" t="str">
        <f t="shared" si="26"/>
        <v>2ل أ</v>
      </c>
      <c r="H578" s="242" t="s">
        <v>96</v>
      </c>
      <c r="I578" s="141"/>
      <c r="J578" s="231"/>
      <c r="K578" s="237"/>
      <c r="L578" s="700"/>
      <c r="M578" s="701"/>
      <c r="N578" s="698"/>
      <c r="O578" s="698"/>
      <c r="P578" s="698"/>
    </row>
    <row r="579" spans="1:16" s="697" customFormat="1">
      <c r="A579" s="268">
        <v>468</v>
      </c>
      <c r="B579" s="586" t="s">
        <v>17</v>
      </c>
      <c r="C579" s="586" t="s">
        <v>1262</v>
      </c>
      <c r="D579" s="278">
        <v>39089</v>
      </c>
      <c r="E579" s="419" t="s">
        <v>90</v>
      </c>
      <c r="F579" s="275" t="s">
        <v>4</v>
      </c>
      <c r="G579" s="276" t="str">
        <f t="shared" si="26"/>
        <v>2ل أ</v>
      </c>
      <c r="H579" s="241" t="s">
        <v>91</v>
      </c>
      <c r="I579" s="141"/>
      <c r="J579" s="231"/>
      <c r="K579" s="237"/>
      <c r="L579" s="203"/>
      <c r="M579" s="672"/>
      <c r="N579" s="698"/>
      <c r="O579" s="698"/>
      <c r="P579" s="698"/>
    </row>
    <row r="580" spans="1:16" s="697" customFormat="1" ht="31.5">
      <c r="A580" s="268">
        <v>469</v>
      </c>
      <c r="B580" s="586" t="s">
        <v>1524</v>
      </c>
      <c r="C580" s="586" t="s">
        <v>1525</v>
      </c>
      <c r="D580" s="278">
        <v>38253</v>
      </c>
      <c r="E580" s="416" t="s">
        <v>670</v>
      </c>
      <c r="F580" s="275" t="s">
        <v>4</v>
      </c>
      <c r="G580" s="276" t="str">
        <f t="shared" si="26"/>
        <v>2ل أ</v>
      </c>
      <c r="H580" s="241" t="s">
        <v>91</v>
      </c>
      <c r="I580" s="141"/>
      <c r="J580" s="231"/>
      <c r="K580" s="237"/>
      <c r="L580" s="678" t="s">
        <v>1875</v>
      </c>
      <c r="M580" s="679" t="s">
        <v>1875</v>
      </c>
      <c r="N580" s="698"/>
      <c r="O580" s="698"/>
      <c r="P580" s="698"/>
    </row>
    <row r="581" spans="1:16" s="697" customFormat="1">
      <c r="A581" s="268">
        <v>470</v>
      </c>
      <c r="B581" s="586" t="s">
        <v>1524</v>
      </c>
      <c r="C581" s="586" t="s">
        <v>698</v>
      </c>
      <c r="D581" s="278">
        <v>39365</v>
      </c>
      <c r="E581" s="603" t="s">
        <v>1186</v>
      </c>
      <c r="F581" s="275" t="s">
        <v>4</v>
      </c>
      <c r="G581" s="276" t="str">
        <f t="shared" si="26"/>
        <v>2ل أ</v>
      </c>
      <c r="H581" s="241" t="s">
        <v>91</v>
      </c>
      <c r="I581" s="141"/>
      <c r="J581" s="231"/>
      <c r="K581" s="404"/>
      <c r="L581" s="678" t="s">
        <v>1875</v>
      </c>
      <c r="M581" s="679" t="s">
        <v>1875</v>
      </c>
      <c r="N581" s="698"/>
      <c r="O581" s="698"/>
      <c r="P581" s="698"/>
    </row>
    <row r="582" spans="1:16" s="697" customFormat="1" ht="31.5">
      <c r="A582" s="268">
        <v>471</v>
      </c>
      <c r="B582" s="586" t="s">
        <v>856</v>
      </c>
      <c r="C582" s="586" t="s">
        <v>1434</v>
      </c>
      <c r="D582" s="278">
        <v>39245</v>
      </c>
      <c r="E582" s="419" t="s">
        <v>90</v>
      </c>
      <c r="F582" s="275" t="s">
        <v>4</v>
      </c>
      <c r="G582" s="276" t="str">
        <f t="shared" si="26"/>
        <v>2ل أ</v>
      </c>
      <c r="H582" s="241" t="s">
        <v>91</v>
      </c>
      <c r="I582" s="141"/>
      <c r="J582" s="231"/>
      <c r="K582" s="237"/>
      <c r="L582" s="203"/>
      <c r="M582" s="672"/>
      <c r="N582" s="698"/>
      <c r="O582" s="698"/>
      <c r="P582" s="698"/>
    </row>
    <row r="583" spans="1:16" s="697" customFormat="1">
      <c r="A583" s="268">
        <v>472</v>
      </c>
      <c r="B583" s="586" t="s">
        <v>1419</v>
      </c>
      <c r="C583" s="586" t="s">
        <v>1420</v>
      </c>
      <c r="D583" s="278">
        <v>39076</v>
      </c>
      <c r="E583" s="590" t="s">
        <v>90</v>
      </c>
      <c r="F583" s="275" t="s">
        <v>4</v>
      </c>
      <c r="G583" s="276" t="str">
        <f t="shared" si="26"/>
        <v>2ل أ</v>
      </c>
      <c r="H583" s="241" t="s">
        <v>91</v>
      </c>
      <c r="I583" s="141"/>
      <c r="J583" s="231"/>
      <c r="K583" s="237"/>
      <c r="L583" s="203"/>
      <c r="M583" s="672"/>
      <c r="N583" s="698"/>
      <c r="O583" s="698"/>
      <c r="P583" s="698"/>
    </row>
    <row r="584" spans="1:16" s="697" customFormat="1" ht="31.5">
      <c r="A584" s="268">
        <v>473</v>
      </c>
      <c r="B584" s="586" t="s">
        <v>682</v>
      </c>
      <c r="C584" s="586" t="s">
        <v>1313</v>
      </c>
      <c r="D584" s="278">
        <v>39075</v>
      </c>
      <c r="E584" s="592" t="s">
        <v>90</v>
      </c>
      <c r="F584" s="275" t="s">
        <v>4</v>
      </c>
      <c r="G584" s="276" t="str">
        <f t="shared" si="26"/>
        <v>2ل أ</v>
      </c>
      <c r="H584" s="241" t="s">
        <v>91</v>
      </c>
      <c r="I584" s="141"/>
      <c r="J584" s="231"/>
      <c r="K584" s="404"/>
      <c r="L584" s="203"/>
      <c r="M584" s="672"/>
      <c r="N584" s="698"/>
      <c r="O584" s="698"/>
      <c r="P584" s="698"/>
    </row>
    <row r="585" spans="1:16" s="697" customFormat="1">
      <c r="A585" s="268">
        <v>474</v>
      </c>
      <c r="B585" s="586" t="s">
        <v>539</v>
      </c>
      <c r="C585" s="586" t="s">
        <v>1134</v>
      </c>
      <c r="D585" s="278">
        <v>38566</v>
      </c>
      <c r="E585" s="405" t="s">
        <v>90</v>
      </c>
      <c r="F585" s="275" t="s">
        <v>4</v>
      </c>
      <c r="G585" s="276" t="str">
        <f t="shared" si="26"/>
        <v>2ل أ</v>
      </c>
      <c r="H585" s="242" t="s">
        <v>96</v>
      </c>
      <c r="I585" s="141"/>
      <c r="J585" s="231"/>
      <c r="K585" s="404"/>
      <c r="L585" s="203"/>
      <c r="M585" s="672"/>
      <c r="N585" s="698"/>
      <c r="O585" s="698"/>
      <c r="P585" s="698"/>
    </row>
    <row r="586" spans="1:16" s="697" customFormat="1" ht="31.5">
      <c r="A586" s="268">
        <v>475</v>
      </c>
      <c r="B586" s="586" t="s">
        <v>1439</v>
      </c>
      <c r="C586" s="586" t="s">
        <v>1440</v>
      </c>
      <c r="D586" s="278">
        <v>38903</v>
      </c>
      <c r="E586" s="589" t="s">
        <v>202</v>
      </c>
      <c r="F586" s="275" t="s">
        <v>4</v>
      </c>
      <c r="G586" s="276" t="str">
        <f t="shared" si="26"/>
        <v>2ل أ</v>
      </c>
      <c r="H586" s="242" t="s">
        <v>96</v>
      </c>
      <c r="I586" s="141"/>
      <c r="J586" s="231"/>
      <c r="K586" s="404"/>
      <c r="L586" s="203"/>
      <c r="M586" s="672"/>
      <c r="N586" s="698"/>
      <c r="O586" s="698"/>
      <c r="P586" s="698"/>
    </row>
    <row r="587" spans="1:16" s="697" customFormat="1" ht="31.5">
      <c r="A587" s="268">
        <v>476</v>
      </c>
      <c r="B587" s="586" t="s">
        <v>51</v>
      </c>
      <c r="C587" s="586" t="s">
        <v>1383</v>
      </c>
      <c r="D587" s="278">
        <v>39275</v>
      </c>
      <c r="E587" s="278"/>
      <c r="F587" s="277" t="s">
        <v>10</v>
      </c>
      <c r="G587" s="276" t="str">
        <f t="shared" si="26"/>
        <v>1ج م ع1</v>
      </c>
      <c r="H587" s="240" t="s">
        <v>1458</v>
      </c>
      <c r="I587" s="141"/>
      <c r="J587" s="231"/>
      <c r="K587" s="404"/>
      <c r="L587" s="700" t="s">
        <v>1874</v>
      </c>
      <c r="M587" s="701" t="s">
        <v>1874</v>
      </c>
      <c r="N587" s="698"/>
      <c r="O587" s="698"/>
      <c r="P587" s="698"/>
    </row>
    <row r="588" spans="1:16" s="697" customFormat="1" ht="47.25">
      <c r="A588" s="268">
        <v>477</v>
      </c>
      <c r="B588" s="586" t="s">
        <v>1527</v>
      </c>
      <c r="C588" s="586" t="s">
        <v>1566</v>
      </c>
      <c r="D588" s="278">
        <v>39480</v>
      </c>
      <c r="E588" s="278"/>
      <c r="F588" s="277" t="s">
        <v>10</v>
      </c>
      <c r="G588" s="276" t="str">
        <f t="shared" si="26"/>
        <v>1ج م ع1</v>
      </c>
      <c r="H588" s="240" t="s">
        <v>1458</v>
      </c>
      <c r="I588" s="141"/>
      <c r="J588" s="231"/>
      <c r="K588" s="237"/>
      <c r="L588" s="700" t="s">
        <v>1874</v>
      </c>
      <c r="M588" s="701" t="s">
        <v>1874</v>
      </c>
      <c r="N588" s="698"/>
      <c r="O588" s="698"/>
      <c r="P588" s="698"/>
    </row>
    <row r="589" spans="1:16" s="697" customFormat="1">
      <c r="A589" s="268">
        <v>478</v>
      </c>
      <c r="B589" s="586" t="s">
        <v>41</v>
      </c>
      <c r="C589" s="586" t="s">
        <v>1567</v>
      </c>
      <c r="D589" s="278">
        <v>39121</v>
      </c>
      <c r="E589" s="278"/>
      <c r="F589" s="277" t="s">
        <v>10</v>
      </c>
      <c r="G589" s="276" t="str">
        <f t="shared" si="26"/>
        <v>1ج م ع1</v>
      </c>
      <c r="H589" s="240" t="s">
        <v>1458</v>
      </c>
      <c r="I589" s="141"/>
      <c r="J589" s="231"/>
      <c r="K589" s="237"/>
      <c r="L589" s="203"/>
      <c r="M589" s="672"/>
      <c r="N589" s="698"/>
      <c r="O589" s="698"/>
      <c r="P589" s="698"/>
    </row>
    <row r="590" spans="1:16" s="697" customFormat="1" ht="31.5">
      <c r="A590" s="268">
        <v>479</v>
      </c>
      <c r="B590" s="586" t="s">
        <v>678</v>
      </c>
      <c r="C590" s="586" t="s">
        <v>1568</v>
      </c>
      <c r="D590" s="278">
        <v>39344</v>
      </c>
      <c r="E590" s="278"/>
      <c r="F590" s="277" t="s">
        <v>10</v>
      </c>
      <c r="G590" s="276" t="str">
        <f t="shared" si="26"/>
        <v>1ج م ع1</v>
      </c>
      <c r="H590" s="240" t="s">
        <v>1458</v>
      </c>
      <c r="I590" s="141"/>
      <c r="J590" s="231"/>
      <c r="K590" s="259" t="s">
        <v>628</v>
      </c>
      <c r="L590" s="203"/>
      <c r="M590" s="672"/>
      <c r="N590" s="698"/>
      <c r="O590" s="698"/>
      <c r="P590" s="698"/>
    </row>
    <row r="591" spans="1:16" s="697" customFormat="1">
      <c r="A591" s="268">
        <v>480</v>
      </c>
      <c r="B591" s="586" t="s">
        <v>535</v>
      </c>
      <c r="C591" s="586" t="s">
        <v>1323</v>
      </c>
      <c r="D591" s="278">
        <v>39386</v>
      </c>
      <c r="E591" s="278"/>
      <c r="F591" s="277" t="s">
        <v>10</v>
      </c>
      <c r="G591" s="276" t="str">
        <f t="shared" si="26"/>
        <v>1ج م ع1</v>
      </c>
      <c r="H591" s="240" t="s">
        <v>1458</v>
      </c>
      <c r="I591" s="141"/>
      <c r="J591" s="231"/>
      <c r="K591" s="237"/>
      <c r="L591" s="203"/>
      <c r="M591" s="672"/>
      <c r="N591" s="698"/>
      <c r="O591" s="698"/>
      <c r="P591" s="698"/>
    </row>
    <row r="592" spans="1:16" s="697" customFormat="1">
      <c r="A592" s="268">
        <v>481</v>
      </c>
      <c r="B592" s="586" t="s">
        <v>875</v>
      </c>
      <c r="C592" s="586" t="s">
        <v>1569</v>
      </c>
      <c r="D592" s="278">
        <v>39436</v>
      </c>
      <c r="E592" s="278"/>
      <c r="F592" s="277" t="s">
        <v>10</v>
      </c>
      <c r="G592" s="276" t="str">
        <f t="shared" si="26"/>
        <v>1ج م ع1</v>
      </c>
      <c r="H592" s="240" t="s">
        <v>1458</v>
      </c>
      <c r="I592" s="141"/>
      <c r="J592" s="231"/>
      <c r="K592" s="259" t="s">
        <v>628</v>
      </c>
      <c r="L592" s="203"/>
      <c r="M592" s="672"/>
      <c r="N592" s="698"/>
      <c r="O592" s="698"/>
      <c r="P592" s="698"/>
    </row>
    <row r="593" spans="1:16" s="697" customFormat="1">
      <c r="A593" s="268">
        <v>482</v>
      </c>
      <c r="B593" s="586" t="s">
        <v>1570</v>
      </c>
      <c r="C593" s="586" t="s">
        <v>1571</v>
      </c>
      <c r="D593" s="278">
        <v>39468</v>
      </c>
      <c r="E593" s="278"/>
      <c r="F593" s="277" t="s">
        <v>10</v>
      </c>
      <c r="G593" s="276" t="str">
        <f t="shared" si="26"/>
        <v>1ج م ع1</v>
      </c>
      <c r="H593" s="241" t="s">
        <v>91</v>
      </c>
      <c r="I593" s="141"/>
      <c r="J593" s="231"/>
      <c r="K593" s="259" t="s">
        <v>628</v>
      </c>
      <c r="L593" s="678" t="s">
        <v>1875</v>
      </c>
      <c r="M593" s="679" t="s">
        <v>1875</v>
      </c>
      <c r="N593" s="698"/>
      <c r="O593" s="698"/>
      <c r="P593" s="698"/>
    </row>
    <row r="594" spans="1:16" s="697" customFormat="1" ht="31.5">
      <c r="A594" s="268">
        <v>483</v>
      </c>
      <c r="B594" s="586" t="s">
        <v>1347</v>
      </c>
      <c r="C594" s="586" t="s">
        <v>1572</v>
      </c>
      <c r="D594" s="278">
        <v>39258</v>
      </c>
      <c r="E594" s="278"/>
      <c r="F594" s="277" t="s">
        <v>10</v>
      </c>
      <c r="G594" s="276" t="str">
        <f t="shared" si="26"/>
        <v>1ج م ع1</v>
      </c>
      <c r="H594" s="242" t="s">
        <v>96</v>
      </c>
      <c r="I594" s="141"/>
      <c r="J594" s="231"/>
      <c r="K594" s="259" t="s">
        <v>628</v>
      </c>
      <c r="L594" s="203"/>
      <c r="M594" s="672"/>
      <c r="N594" s="698"/>
      <c r="O594" s="698"/>
      <c r="P594" s="698"/>
    </row>
    <row r="595" spans="1:16" s="697" customFormat="1" ht="31.5">
      <c r="A595" s="268">
        <v>484</v>
      </c>
      <c r="B595" s="586" t="s">
        <v>1573</v>
      </c>
      <c r="C595" s="586" t="s">
        <v>1574</v>
      </c>
      <c r="D595" s="278">
        <v>39626</v>
      </c>
      <c r="E595" s="278"/>
      <c r="F595" s="277" t="s">
        <v>10</v>
      </c>
      <c r="G595" s="276" t="str">
        <f t="shared" si="26"/>
        <v>1ج م ع1</v>
      </c>
      <c r="H595" s="241" t="s">
        <v>91</v>
      </c>
      <c r="I595" s="141"/>
      <c r="J595" s="231"/>
      <c r="K595" s="237"/>
      <c r="L595" s="203"/>
      <c r="M595" s="672"/>
      <c r="N595" s="698"/>
      <c r="O595" s="698"/>
      <c r="P595" s="698"/>
    </row>
    <row r="596" spans="1:16" s="697" customFormat="1" ht="31.5">
      <c r="A596" s="268">
        <v>485</v>
      </c>
      <c r="B596" s="586" t="s">
        <v>1575</v>
      </c>
      <c r="C596" s="586" t="s">
        <v>1397</v>
      </c>
      <c r="D596" s="278">
        <v>39208</v>
      </c>
      <c r="E596" s="278"/>
      <c r="F596" s="277" t="s">
        <v>10</v>
      </c>
      <c r="G596" s="276" t="str">
        <f t="shared" si="26"/>
        <v>1ج م ع1</v>
      </c>
      <c r="H596" s="242" t="s">
        <v>96</v>
      </c>
      <c r="I596" s="141"/>
      <c r="J596" s="231"/>
      <c r="K596" s="237"/>
      <c r="L596" s="678"/>
      <c r="M596" s="679"/>
      <c r="N596" s="698"/>
      <c r="O596" s="698"/>
      <c r="P596" s="698"/>
    </row>
    <row r="597" spans="1:16" s="697" customFormat="1">
      <c r="A597" s="268">
        <v>486</v>
      </c>
      <c r="B597" s="586" t="s">
        <v>1097</v>
      </c>
      <c r="C597" s="586" t="s">
        <v>1280</v>
      </c>
      <c r="D597" s="278">
        <v>39346</v>
      </c>
      <c r="E597" s="278"/>
      <c r="F597" s="277" t="s">
        <v>10</v>
      </c>
      <c r="G597" s="276" t="str">
        <f t="shared" si="26"/>
        <v>1ج م ع1</v>
      </c>
      <c r="H597" s="241" t="s">
        <v>91</v>
      </c>
      <c r="I597" s="141"/>
      <c r="J597" s="231"/>
      <c r="K597" s="237"/>
      <c r="L597" s="678"/>
      <c r="M597" s="679"/>
      <c r="N597" s="698"/>
      <c r="O597" s="698"/>
      <c r="P597" s="698"/>
    </row>
    <row r="598" spans="1:16" s="697" customFormat="1" ht="31.5">
      <c r="A598" s="268">
        <v>487</v>
      </c>
      <c r="B598" s="586" t="s">
        <v>1577</v>
      </c>
      <c r="C598" s="586" t="s">
        <v>1578</v>
      </c>
      <c r="D598" s="278">
        <v>39390</v>
      </c>
      <c r="E598" s="278"/>
      <c r="F598" s="277" t="s">
        <v>10</v>
      </c>
      <c r="G598" s="276" t="str">
        <f t="shared" si="26"/>
        <v>1ج م ع1</v>
      </c>
      <c r="H598" s="241" t="s">
        <v>91</v>
      </c>
      <c r="I598" s="141"/>
      <c r="J598" s="231"/>
      <c r="K598" s="237"/>
      <c r="L598" s="700"/>
      <c r="M598" s="701"/>
      <c r="N598" s="698"/>
      <c r="O598" s="698"/>
      <c r="P598" s="698"/>
    </row>
    <row r="599" spans="1:16" s="697" customFormat="1" ht="31.5">
      <c r="A599" s="268">
        <v>488</v>
      </c>
      <c r="B599" s="746" t="s">
        <v>1579</v>
      </c>
      <c r="C599" s="746" t="s">
        <v>1580</v>
      </c>
      <c r="D599" s="602">
        <v>39163</v>
      </c>
      <c r="E599" s="602"/>
      <c r="F599" s="277" t="s">
        <v>10</v>
      </c>
      <c r="G599" s="276" t="str">
        <f t="shared" si="26"/>
        <v>1ج م ع1</v>
      </c>
      <c r="H599" s="242" t="s">
        <v>96</v>
      </c>
      <c r="I599" s="141"/>
      <c r="J599" s="231"/>
      <c r="K599" s="237"/>
      <c r="L599" s="203"/>
      <c r="M599" s="672"/>
      <c r="N599" s="698"/>
      <c r="O599" s="698"/>
      <c r="P599" s="698"/>
    </row>
    <row r="600" spans="1:16" s="697" customFormat="1">
      <c r="A600" s="268">
        <v>489</v>
      </c>
      <c r="B600" s="586" t="s">
        <v>1581</v>
      </c>
      <c r="C600" s="586" t="s">
        <v>1262</v>
      </c>
      <c r="D600" s="278">
        <v>38727</v>
      </c>
      <c r="E600" s="278"/>
      <c r="F600" s="277" t="s">
        <v>10</v>
      </c>
      <c r="G600" s="276" t="str">
        <f t="shared" si="26"/>
        <v>1ج م ع1</v>
      </c>
      <c r="H600" s="241" t="s">
        <v>91</v>
      </c>
      <c r="I600" s="141"/>
      <c r="J600" s="231"/>
      <c r="K600" s="237"/>
      <c r="L600" s="203"/>
      <c r="M600" s="672"/>
      <c r="N600" s="698"/>
      <c r="O600" s="698"/>
      <c r="P600" s="698"/>
    </row>
    <row r="601" spans="1:16" s="697" customFormat="1" ht="31.5">
      <c r="A601" s="268">
        <v>490</v>
      </c>
      <c r="B601" s="586" t="s">
        <v>909</v>
      </c>
      <c r="C601" s="586" t="s">
        <v>1582</v>
      </c>
      <c r="D601" s="278">
        <v>39309</v>
      </c>
      <c r="E601" s="278"/>
      <c r="F601" s="277" t="s">
        <v>10</v>
      </c>
      <c r="G601" s="276" t="str">
        <f t="shared" si="26"/>
        <v>1ج م ع1</v>
      </c>
      <c r="H601" s="241" t="s">
        <v>91</v>
      </c>
      <c r="I601" s="141"/>
      <c r="J601" s="231"/>
      <c r="K601" s="237"/>
      <c r="L601" s="203"/>
      <c r="M601" s="672"/>
      <c r="N601" s="698"/>
      <c r="O601" s="698"/>
      <c r="P601" s="698"/>
    </row>
    <row r="602" spans="1:16" s="697" customFormat="1" ht="31.5">
      <c r="A602" s="268">
        <v>491</v>
      </c>
      <c r="B602" s="586" t="s">
        <v>1583</v>
      </c>
      <c r="C602" s="586" t="s">
        <v>1584</v>
      </c>
      <c r="D602" s="278">
        <v>39208</v>
      </c>
      <c r="E602" s="278"/>
      <c r="F602" s="277" t="s">
        <v>10</v>
      </c>
      <c r="G602" s="276" t="str">
        <f t="shared" si="26"/>
        <v>1ج م ع1</v>
      </c>
      <c r="H602" s="242" t="s">
        <v>96</v>
      </c>
      <c r="I602" s="141"/>
      <c r="J602" s="231"/>
      <c r="K602" s="237"/>
      <c r="L602" s="203"/>
      <c r="M602" s="672"/>
      <c r="N602" s="698"/>
      <c r="O602" s="698"/>
      <c r="P602" s="698"/>
    </row>
    <row r="603" spans="1:16" s="697" customFormat="1">
      <c r="A603" s="268">
        <v>492</v>
      </c>
      <c r="B603" s="586" t="s">
        <v>881</v>
      </c>
      <c r="C603" s="586" t="s">
        <v>1391</v>
      </c>
      <c r="D603" s="278">
        <v>39413</v>
      </c>
      <c r="E603" s="278"/>
      <c r="F603" s="277" t="s">
        <v>10</v>
      </c>
      <c r="G603" s="276" t="str">
        <f t="shared" si="26"/>
        <v>1ج م ع1</v>
      </c>
      <c r="H603" s="242" t="s">
        <v>96</v>
      </c>
      <c r="I603" s="141"/>
      <c r="J603" s="231"/>
      <c r="K603" s="237"/>
      <c r="L603" s="203"/>
      <c r="M603" s="672"/>
      <c r="N603" s="698"/>
      <c r="O603" s="698"/>
      <c r="P603" s="698"/>
    </row>
    <row r="604" spans="1:16" s="697" customFormat="1" ht="31.5">
      <c r="A604" s="268">
        <v>493</v>
      </c>
      <c r="B604" s="586" t="s">
        <v>161</v>
      </c>
      <c r="C604" s="586" t="s">
        <v>1585</v>
      </c>
      <c r="D604" s="278">
        <v>39456</v>
      </c>
      <c r="E604" s="278"/>
      <c r="F604" s="277" t="s">
        <v>10</v>
      </c>
      <c r="G604" s="276" t="str">
        <f t="shared" si="26"/>
        <v>1ج م ع1</v>
      </c>
      <c r="H604" s="241" t="s">
        <v>91</v>
      </c>
      <c r="I604" s="141"/>
      <c r="J604" s="231"/>
      <c r="K604" s="237"/>
      <c r="L604" s="700"/>
      <c r="M604" s="701"/>
      <c r="N604" s="698"/>
      <c r="O604" s="698"/>
      <c r="P604" s="698"/>
    </row>
    <row r="605" spans="1:16" s="697" customFormat="1" ht="31.5">
      <c r="A605" s="268">
        <v>494</v>
      </c>
      <c r="B605" s="586" t="s">
        <v>1282</v>
      </c>
      <c r="C605" s="586" t="s">
        <v>1586</v>
      </c>
      <c r="D605" s="278">
        <v>39228</v>
      </c>
      <c r="E605" s="278"/>
      <c r="F605" s="277" t="s">
        <v>10</v>
      </c>
      <c r="G605" s="276" t="str">
        <f t="shared" si="26"/>
        <v>1ج م ع1</v>
      </c>
      <c r="H605" s="241" t="s">
        <v>91</v>
      </c>
      <c r="I605" s="141"/>
      <c r="J605" s="231"/>
      <c r="K605" s="237"/>
      <c r="L605" s="700"/>
      <c r="M605" s="701"/>
      <c r="N605" s="698"/>
      <c r="O605" s="698"/>
      <c r="P605" s="698"/>
    </row>
    <row r="606" spans="1:16" s="697" customFormat="1" ht="31.5">
      <c r="A606" s="268">
        <v>495</v>
      </c>
      <c r="B606" s="586" t="s">
        <v>1587</v>
      </c>
      <c r="C606" s="586" t="s">
        <v>1588</v>
      </c>
      <c r="D606" s="278">
        <v>39149</v>
      </c>
      <c r="E606" s="278"/>
      <c r="F606" s="277" t="s">
        <v>10</v>
      </c>
      <c r="G606" s="276" t="str">
        <f t="shared" si="26"/>
        <v>1ج م ع1</v>
      </c>
      <c r="H606" s="242" t="s">
        <v>96</v>
      </c>
      <c r="I606" s="141"/>
      <c r="J606" s="231"/>
      <c r="K606" s="237"/>
      <c r="L606" s="700"/>
      <c r="M606" s="701"/>
      <c r="N606" s="698"/>
      <c r="O606" s="698"/>
      <c r="P606" s="698"/>
    </row>
    <row r="607" spans="1:16" s="697" customFormat="1">
      <c r="A607" s="268">
        <v>496</v>
      </c>
      <c r="B607" s="586" t="s">
        <v>1107</v>
      </c>
      <c r="C607" s="586" t="s">
        <v>920</v>
      </c>
      <c r="D607" s="278">
        <v>38153</v>
      </c>
      <c r="E607" s="278" t="s">
        <v>90</v>
      </c>
      <c r="F607" s="277" t="s">
        <v>10</v>
      </c>
      <c r="G607" s="276" t="str">
        <f t="shared" si="26"/>
        <v>1ج م ع1</v>
      </c>
      <c r="H607" s="241" t="s">
        <v>91</v>
      </c>
      <c r="I607" s="141"/>
      <c r="J607" s="231"/>
      <c r="K607" s="237"/>
      <c r="L607" s="700"/>
      <c r="M607" s="701"/>
      <c r="N607" s="698"/>
      <c r="O607" s="698"/>
      <c r="P607" s="698"/>
    </row>
    <row r="608" spans="1:16" s="697" customFormat="1">
      <c r="A608" s="268">
        <v>497</v>
      </c>
      <c r="B608" s="586" t="s">
        <v>1589</v>
      </c>
      <c r="C608" s="586" t="s">
        <v>1590</v>
      </c>
      <c r="D608" s="278">
        <v>39487</v>
      </c>
      <c r="E608" s="278"/>
      <c r="F608" s="277" t="s">
        <v>10</v>
      </c>
      <c r="G608" s="276" t="str">
        <f t="shared" si="26"/>
        <v>1ج م ع1</v>
      </c>
      <c r="H608" s="241" t="s">
        <v>91</v>
      </c>
      <c r="I608" s="141"/>
      <c r="J608" s="231"/>
      <c r="K608" s="237"/>
      <c r="L608" s="678"/>
      <c r="M608" s="679"/>
      <c r="N608" s="698"/>
      <c r="O608" s="698"/>
      <c r="P608" s="698"/>
    </row>
    <row r="609" spans="1:21" s="697" customFormat="1" ht="31.5">
      <c r="A609" s="268">
        <v>498</v>
      </c>
      <c r="B609" s="586" t="s">
        <v>1591</v>
      </c>
      <c r="C609" s="586" t="s">
        <v>1592</v>
      </c>
      <c r="D609" s="278">
        <v>39207</v>
      </c>
      <c r="E609" s="278"/>
      <c r="F609" s="277" t="s">
        <v>10</v>
      </c>
      <c r="G609" s="276" t="str">
        <f t="shared" si="26"/>
        <v>1ج م ع1</v>
      </c>
      <c r="H609" s="241" t="s">
        <v>91</v>
      </c>
      <c r="I609" s="141"/>
      <c r="J609" s="231"/>
      <c r="K609" s="237"/>
      <c r="L609" s="678"/>
      <c r="M609" s="679"/>
      <c r="N609" s="698"/>
      <c r="O609" s="698"/>
      <c r="P609" s="698"/>
    </row>
    <row r="610" spans="1:21" s="697" customFormat="1">
      <c r="A610" s="268">
        <v>499</v>
      </c>
      <c r="B610" s="586" t="s">
        <v>1688</v>
      </c>
      <c r="C610" s="586" t="s">
        <v>1689</v>
      </c>
      <c r="D610" s="278">
        <v>39277</v>
      </c>
      <c r="E610" s="278"/>
      <c r="F610" s="277" t="s">
        <v>10</v>
      </c>
      <c r="G610" s="276" t="str">
        <f t="shared" si="26"/>
        <v>1ج م ع1</v>
      </c>
      <c r="H610" s="241" t="s">
        <v>91</v>
      </c>
      <c r="I610" s="141"/>
      <c r="J610" s="231"/>
      <c r="K610" s="237"/>
      <c r="L610" s="678"/>
      <c r="M610" s="679"/>
      <c r="N610" s="698"/>
      <c r="O610" s="698"/>
      <c r="P610" s="698"/>
    </row>
    <row r="611" spans="1:21" s="697" customFormat="1" ht="31.5">
      <c r="A611" s="268">
        <v>500</v>
      </c>
      <c r="B611" s="586" t="s">
        <v>1593</v>
      </c>
      <c r="C611" s="586" t="s">
        <v>1594</v>
      </c>
      <c r="D611" s="278">
        <v>39363</v>
      </c>
      <c r="E611" s="278"/>
      <c r="F611" s="277" t="s">
        <v>10</v>
      </c>
      <c r="G611" s="276" t="str">
        <f t="shared" si="26"/>
        <v>1ج م ع1</v>
      </c>
      <c r="H611" s="242" t="s">
        <v>96</v>
      </c>
      <c r="I611" s="141"/>
      <c r="J611" s="231"/>
      <c r="K611" s="237"/>
      <c r="L611" s="203"/>
      <c r="M611" s="672"/>
      <c r="N611" s="698"/>
      <c r="O611" s="698"/>
      <c r="P611" s="698"/>
    </row>
    <row r="612" spans="1:21" s="697" customFormat="1">
      <c r="A612" s="268">
        <v>501</v>
      </c>
      <c r="B612" s="586" t="s">
        <v>188</v>
      </c>
      <c r="C612" s="586" t="s">
        <v>1595</v>
      </c>
      <c r="D612" s="278">
        <v>39124</v>
      </c>
      <c r="E612" s="278"/>
      <c r="F612" s="277" t="s">
        <v>10</v>
      </c>
      <c r="G612" s="276" t="str">
        <f t="shared" si="26"/>
        <v>1ج م ع1</v>
      </c>
      <c r="H612" s="241" t="s">
        <v>91</v>
      </c>
      <c r="I612" s="141"/>
      <c r="J612" s="231"/>
      <c r="K612" s="237"/>
      <c r="L612" s="678"/>
      <c r="M612" s="679"/>
      <c r="N612" s="698"/>
      <c r="O612" s="698"/>
      <c r="P612" s="698"/>
    </row>
    <row r="613" spans="1:21" s="697" customFormat="1" ht="31.5">
      <c r="A613" s="268">
        <v>502</v>
      </c>
      <c r="B613" s="586" t="s">
        <v>1596</v>
      </c>
      <c r="C613" s="586" t="s">
        <v>1597</v>
      </c>
      <c r="D613" s="278">
        <v>39270</v>
      </c>
      <c r="E613" s="278"/>
      <c r="F613" s="277" t="s">
        <v>10</v>
      </c>
      <c r="G613" s="276" t="str">
        <f t="shared" si="26"/>
        <v>1ج م ع1</v>
      </c>
      <c r="H613" s="241" t="s">
        <v>91</v>
      </c>
      <c r="I613" s="141"/>
      <c r="J613" s="231"/>
      <c r="K613" s="237"/>
      <c r="L613" s="678"/>
      <c r="M613" s="679"/>
      <c r="N613" s="698"/>
      <c r="O613" s="698"/>
      <c r="P613" s="698"/>
    </row>
    <row r="614" spans="1:21" s="697" customFormat="1">
      <c r="A614" s="268">
        <v>503</v>
      </c>
      <c r="B614" s="586" t="s">
        <v>1598</v>
      </c>
      <c r="C614" s="586" t="s">
        <v>1319</v>
      </c>
      <c r="D614" s="278">
        <v>39375</v>
      </c>
      <c r="E614" s="278"/>
      <c r="F614" s="277" t="s">
        <v>10</v>
      </c>
      <c r="G614" s="276" t="str">
        <f t="shared" si="26"/>
        <v>1ج م ع1</v>
      </c>
      <c r="H614" s="241" t="s">
        <v>91</v>
      </c>
      <c r="I614" s="141"/>
      <c r="J614" s="231"/>
      <c r="K614" s="237"/>
      <c r="L614" s="700"/>
      <c r="M614" s="701"/>
      <c r="N614" s="698"/>
      <c r="O614" s="698"/>
      <c r="P614" s="698"/>
    </row>
    <row r="615" spans="1:21" s="697" customFormat="1" ht="16.5" thickBot="1">
      <c r="A615" s="268">
        <v>504</v>
      </c>
      <c r="B615" s="586" t="s">
        <v>1599</v>
      </c>
      <c r="C615" s="586" t="s">
        <v>1600</v>
      </c>
      <c r="D615" s="278">
        <v>38625</v>
      </c>
      <c r="E615" s="278"/>
      <c r="F615" s="277" t="s">
        <v>10</v>
      </c>
      <c r="G615" s="276" t="str">
        <f t="shared" si="26"/>
        <v>1ج م ع1</v>
      </c>
      <c r="H615" s="242" t="s">
        <v>96</v>
      </c>
      <c r="I615" s="141"/>
      <c r="J615" s="231"/>
      <c r="K615" s="237"/>
      <c r="L615" s="700"/>
      <c r="M615" s="701"/>
      <c r="N615" s="698"/>
      <c r="O615" s="698"/>
      <c r="P615" s="698"/>
    </row>
    <row r="616" spans="1:21" s="697" customFormat="1" ht="18.75" thickBot="1">
      <c r="A616" s="268">
        <v>505</v>
      </c>
      <c r="B616" s="586" t="s">
        <v>1263</v>
      </c>
      <c r="C616" s="586" t="s">
        <v>1281</v>
      </c>
      <c r="D616" s="278">
        <v>39320</v>
      </c>
      <c r="E616" s="278"/>
      <c r="F616" s="277" t="s">
        <v>10</v>
      </c>
      <c r="G616" s="276" t="str">
        <f t="shared" si="26"/>
        <v>1ج م ع1</v>
      </c>
      <c r="H616" s="241" t="s">
        <v>91</v>
      </c>
      <c r="I616" s="141"/>
      <c r="J616" s="231"/>
      <c r="K616" s="237"/>
      <c r="L616" s="700"/>
      <c r="M616" s="1564" t="s">
        <v>655</v>
      </c>
      <c r="N616" s="1565"/>
      <c r="O616" s="1565"/>
      <c r="P616" s="1565"/>
      <c r="Q616" s="1565"/>
      <c r="R616" s="1565"/>
      <c r="S616" s="1565"/>
      <c r="T616" s="1565"/>
      <c r="U616" s="1566"/>
    </row>
    <row r="617" spans="1:21" s="697" customFormat="1" ht="18">
      <c r="A617" s="268">
        <v>506</v>
      </c>
      <c r="B617" s="586" t="s">
        <v>1601</v>
      </c>
      <c r="C617" s="586" t="s">
        <v>1602</v>
      </c>
      <c r="D617" s="278">
        <v>39323</v>
      </c>
      <c r="E617" s="278"/>
      <c r="F617" s="277" t="s">
        <v>10</v>
      </c>
      <c r="G617" s="276" t="str">
        <f t="shared" si="26"/>
        <v>1ج م ع1</v>
      </c>
      <c r="H617" s="241" t="s">
        <v>91</v>
      </c>
      <c r="I617" s="141"/>
      <c r="J617" s="231"/>
      <c r="K617" s="237"/>
      <c r="L617" s="678"/>
      <c r="M617" s="679"/>
      <c r="N617" s="690"/>
      <c r="O617" s="690"/>
      <c r="P617" s="698"/>
      <c r="T617" s="156" t="s">
        <v>754</v>
      </c>
      <c r="U617" s="182" t="s">
        <v>755</v>
      </c>
    </row>
    <row r="618" spans="1:21" s="697" customFormat="1" ht="31.5">
      <c r="A618" s="268">
        <v>507</v>
      </c>
      <c r="B618" s="586" t="s">
        <v>1438</v>
      </c>
      <c r="C618" s="586" t="s">
        <v>1403</v>
      </c>
      <c r="D618" s="278">
        <v>38962</v>
      </c>
      <c r="E618" s="278" t="s">
        <v>104</v>
      </c>
      <c r="F618" s="277" t="s">
        <v>10</v>
      </c>
      <c r="G618" s="276" t="str">
        <f t="shared" si="26"/>
        <v>1ج م ع1</v>
      </c>
      <c r="H618" s="242" t="s">
        <v>96</v>
      </c>
      <c r="I618" s="141"/>
      <c r="J618" s="231"/>
      <c r="K618" s="404"/>
      <c r="L618" s="213"/>
      <c r="M618" s="691"/>
      <c r="N618" s="667"/>
      <c r="O618" s="692"/>
      <c r="P618" s="698"/>
      <c r="T618" s="156">
        <v>5</v>
      </c>
      <c r="U618" s="156">
        <v>6</v>
      </c>
    </row>
    <row r="619" spans="1:21" s="697" customFormat="1" ht="18">
      <c r="A619" s="268">
        <v>508</v>
      </c>
      <c r="B619" s="586" t="s">
        <v>701</v>
      </c>
      <c r="C619" s="586" t="s">
        <v>1603</v>
      </c>
      <c r="D619" s="278">
        <v>39247</v>
      </c>
      <c r="E619" s="278"/>
      <c r="F619" s="277" t="s">
        <v>10</v>
      </c>
      <c r="G619" s="276" t="str">
        <f t="shared" si="26"/>
        <v>1ج م ع1</v>
      </c>
      <c r="H619" s="241" t="s">
        <v>91</v>
      </c>
      <c r="I619" s="141"/>
      <c r="J619" s="231"/>
      <c r="K619" s="404"/>
      <c r="L619" s="213"/>
      <c r="M619" s="691"/>
      <c r="N619" s="667"/>
      <c r="O619" s="584"/>
      <c r="P619" s="698"/>
      <c r="T619" s="156" t="s">
        <v>768</v>
      </c>
      <c r="U619" s="156" t="s">
        <v>769</v>
      </c>
    </row>
    <row r="620" spans="1:21" s="697" customFormat="1" ht="31.5">
      <c r="A620" s="268">
        <v>509</v>
      </c>
      <c r="B620" s="586" t="s">
        <v>1396</v>
      </c>
      <c r="C620" s="586" t="s">
        <v>1605</v>
      </c>
      <c r="D620" s="278">
        <v>39248</v>
      </c>
      <c r="E620" s="278"/>
      <c r="F620" s="277" t="s">
        <v>10</v>
      </c>
      <c r="G620" s="276" t="str">
        <f t="shared" si="26"/>
        <v>1ج م ع1</v>
      </c>
      <c r="H620" s="242" t="s">
        <v>96</v>
      </c>
      <c r="I620" s="141"/>
      <c r="J620" s="231"/>
      <c r="K620" s="237"/>
      <c r="L620" s="203"/>
      <c r="M620" s="672"/>
      <c r="N620" s="667"/>
      <c r="O620" s="584"/>
      <c r="P620" s="698"/>
      <c r="T620" s="156" t="s">
        <v>770</v>
      </c>
      <c r="U620" s="156" t="s">
        <v>771</v>
      </c>
    </row>
    <row r="621" spans="1:21" s="697" customFormat="1" ht="47.25">
      <c r="A621" s="268">
        <v>510</v>
      </c>
      <c r="B621" s="586" t="s">
        <v>1606</v>
      </c>
      <c r="C621" s="586" t="s">
        <v>1607</v>
      </c>
      <c r="D621" s="278">
        <v>39076</v>
      </c>
      <c r="E621" s="278"/>
      <c r="F621" s="277" t="s">
        <v>10</v>
      </c>
      <c r="G621" s="276" t="str">
        <f t="shared" si="26"/>
        <v>1ج م ع1</v>
      </c>
      <c r="H621" s="242" t="s">
        <v>96</v>
      </c>
      <c r="I621" s="141"/>
      <c r="J621" s="231"/>
      <c r="K621" s="259" t="s">
        <v>628</v>
      </c>
      <c r="L621" s="203"/>
      <c r="M621" s="672"/>
      <c r="N621" s="667"/>
      <c r="O621" s="584"/>
      <c r="P621" s="698"/>
      <c r="T621" s="156" t="s">
        <v>772</v>
      </c>
      <c r="U621" s="156" t="s">
        <v>773</v>
      </c>
    </row>
    <row r="622" spans="1:21" s="697" customFormat="1" ht="18">
      <c r="A622" s="268">
        <v>511</v>
      </c>
      <c r="B622" s="586" t="s">
        <v>1557</v>
      </c>
      <c r="C622" s="586" t="s">
        <v>1608</v>
      </c>
      <c r="D622" s="278">
        <v>39359</v>
      </c>
      <c r="E622" s="278"/>
      <c r="F622" s="277" t="s">
        <v>10</v>
      </c>
      <c r="G622" s="276" t="str">
        <f t="shared" si="26"/>
        <v>1ج م ع1</v>
      </c>
      <c r="H622" s="241" t="s">
        <v>91</v>
      </c>
      <c r="I622" s="141"/>
      <c r="J622" s="231"/>
      <c r="K622" s="404"/>
      <c r="L622" s="203"/>
      <c r="M622" s="672"/>
      <c r="N622" s="667"/>
      <c r="O622" s="584"/>
      <c r="P622" s="698"/>
      <c r="T622" s="156" t="s">
        <v>774</v>
      </c>
      <c r="U622" s="156" t="s">
        <v>775</v>
      </c>
    </row>
    <row r="623" spans="1:21" s="697" customFormat="1" ht="18">
      <c r="A623" s="268">
        <v>512</v>
      </c>
      <c r="B623" s="586" t="s">
        <v>1290</v>
      </c>
      <c r="C623" s="586" t="s">
        <v>1609</v>
      </c>
      <c r="D623" s="278">
        <v>39175</v>
      </c>
      <c r="E623" s="278"/>
      <c r="F623" s="277" t="s">
        <v>10</v>
      </c>
      <c r="G623" s="276" t="str">
        <f t="shared" si="26"/>
        <v>1ج م ع1</v>
      </c>
      <c r="H623" s="242" t="s">
        <v>96</v>
      </c>
      <c r="I623" s="141"/>
      <c r="J623" s="231"/>
      <c r="K623" s="237"/>
      <c r="L623" s="203"/>
      <c r="M623" s="672"/>
      <c r="N623" s="667"/>
      <c r="O623" s="584"/>
      <c r="P623" s="698"/>
      <c r="T623" s="156" t="s">
        <v>776</v>
      </c>
      <c r="U623" s="156" t="s">
        <v>777</v>
      </c>
    </row>
    <row r="624" spans="1:21" s="697" customFormat="1" ht="31.5">
      <c r="A624" s="268">
        <v>513</v>
      </c>
      <c r="B624" s="586" t="s">
        <v>1610</v>
      </c>
      <c r="C624" s="586" t="s">
        <v>1611</v>
      </c>
      <c r="D624" s="278">
        <v>39256</v>
      </c>
      <c r="E624" s="278"/>
      <c r="F624" s="277" t="s">
        <v>10</v>
      </c>
      <c r="G624" s="276" t="str">
        <f t="shared" si="26"/>
        <v>1ج م ع1</v>
      </c>
      <c r="H624" s="242" t="s">
        <v>96</v>
      </c>
      <c r="I624" s="141"/>
      <c r="J624" s="231"/>
      <c r="K624" s="237"/>
      <c r="L624" s="203"/>
      <c r="M624" s="672"/>
      <c r="N624" s="667"/>
      <c r="O624" s="584"/>
      <c r="P624" s="698"/>
      <c r="T624" s="156" t="s">
        <v>778</v>
      </c>
      <c r="U624" s="156" t="s">
        <v>779</v>
      </c>
    </row>
    <row r="625" spans="1:21" s="697" customFormat="1" ht="31.5">
      <c r="A625" s="268">
        <v>514</v>
      </c>
      <c r="B625" s="586" t="s">
        <v>1612</v>
      </c>
      <c r="C625" s="586" t="s">
        <v>1613</v>
      </c>
      <c r="D625" s="278">
        <v>39391</v>
      </c>
      <c r="E625" s="278"/>
      <c r="F625" s="277" t="s">
        <v>10</v>
      </c>
      <c r="G625" s="276" t="str">
        <f t="shared" ref="G625:G688" si="27">F625</f>
        <v>1ج م ع1</v>
      </c>
      <c r="H625" s="242" t="s">
        <v>96</v>
      </c>
      <c r="I625" s="141"/>
      <c r="J625" s="231"/>
      <c r="K625" s="404"/>
      <c r="L625" s="203"/>
      <c r="M625" s="672"/>
      <c r="N625" s="667"/>
      <c r="O625" s="584"/>
      <c r="P625" s="698"/>
    </row>
    <row r="626" spans="1:21" s="697" customFormat="1" ht="20.25">
      <c r="A626" s="268">
        <v>515</v>
      </c>
      <c r="B626" s="586" t="s">
        <v>959</v>
      </c>
      <c r="C626" s="586" t="s">
        <v>1340</v>
      </c>
      <c r="D626" s="278">
        <v>39510</v>
      </c>
      <c r="E626" s="278"/>
      <c r="F626" s="277" t="s">
        <v>11</v>
      </c>
      <c r="G626" s="276" t="str">
        <f t="shared" si="27"/>
        <v>1ج م ع2</v>
      </c>
      <c r="H626" s="240" t="s">
        <v>1458</v>
      </c>
      <c r="I626" s="141"/>
      <c r="J626" s="231"/>
      <c r="K626" s="237"/>
      <c r="L626" s="203"/>
      <c r="M626" s="1563" t="s">
        <v>338</v>
      </c>
      <c r="N626" s="1563"/>
      <c r="O626" s="1563"/>
      <c r="P626" s="1563"/>
      <c r="Q626" s="1563"/>
      <c r="R626" s="1563"/>
      <c r="S626" s="1563"/>
      <c r="T626" s="1563"/>
      <c r="U626" s="1563"/>
    </row>
    <row r="627" spans="1:21" s="697" customFormat="1" ht="31.5">
      <c r="A627" s="268">
        <v>516</v>
      </c>
      <c r="B627" s="586" t="s">
        <v>1614</v>
      </c>
      <c r="C627" s="586" t="s">
        <v>1615</v>
      </c>
      <c r="D627" s="278">
        <v>39319</v>
      </c>
      <c r="E627" s="278"/>
      <c r="F627" s="277" t="s">
        <v>11</v>
      </c>
      <c r="G627" s="276" t="str">
        <f t="shared" si="27"/>
        <v>1ج م ع2</v>
      </c>
      <c r="H627" s="240" t="s">
        <v>1458</v>
      </c>
      <c r="I627" s="141"/>
      <c r="J627" s="231"/>
      <c r="K627" s="237"/>
      <c r="L627" s="203"/>
      <c r="M627" s="672"/>
      <c r="N627" s="667"/>
      <c r="O627" s="584"/>
      <c r="P627" s="698"/>
      <c r="T627" s="156" t="s">
        <v>754</v>
      </c>
      <c r="U627" s="156" t="s">
        <v>755</v>
      </c>
    </row>
    <row r="628" spans="1:21" s="697" customFormat="1">
      <c r="A628" s="268">
        <v>517</v>
      </c>
      <c r="B628" s="586" t="s">
        <v>41</v>
      </c>
      <c r="C628" s="586" t="s">
        <v>1616</v>
      </c>
      <c r="D628" s="278">
        <v>39411</v>
      </c>
      <c r="E628" s="278"/>
      <c r="F628" s="277" t="s">
        <v>11</v>
      </c>
      <c r="G628" s="276" t="str">
        <f t="shared" si="27"/>
        <v>1ج م ع2</v>
      </c>
      <c r="H628" s="240" t="s">
        <v>1458</v>
      </c>
      <c r="I628" s="141"/>
      <c r="J628" s="231"/>
      <c r="K628" s="237"/>
      <c r="L628" s="203"/>
      <c r="M628" s="672"/>
      <c r="N628" s="698"/>
      <c r="O628" s="698"/>
      <c r="P628" s="698"/>
      <c r="T628" s="156">
        <v>5</v>
      </c>
      <c r="U628" s="156">
        <v>6</v>
      </c>
    </row>
    <row r="629" spans="1:21" s="697" customFormat="1">
      <c r="A629" s="268">
        <v>518</v>
      </c>
      <c r="B629" s="586" t="s">
        <v>678</v>
      </c>
      <c r="C629" s="586" t="s">
        <v>1281</v>
      </c>
      <c r="D629" s="278">
        <v>39467</v>
      </c>
      <c r="E629" s="278"/>
      <c r="F629" s="277" t="s">
        <v>11</v>
      </c>
      <c r="G629" s="276" t="str">
        <f t="shared" si="27"/>
        <v>1ج م ع2</v>
      </c>
      <c r="H629" s="240" t="s">
        <v>1458</v>
      </c>
      <c r="I629" s="141"/>
      <c r="J629" s="231"/>
      <c r="K629" s="237"/>
      <c r="L629" s="203"/>
      <c r="M629" s="672"/>
      <c r="N629" s="698"/>
      <c r="O629" s="698"/>
      <c r="P629" s="698"/>
      <c r="T629" s="141" t="s">
        <v>756</v>
      </c>
      <c r="U629" s="141" t="s">
        <v>757</v>
      </c>
    </row>
    <row r="630" spans="1:21" s="697" customFormat="1">
      <c r="A630" s="268">
        <v>519</v>
      </c>
      <c r="B630" s="586" t="s">
        <v>695</v>
      </c>
      <c r="C630" s="586" t="s">
        <v>1617</v>
      </c>
      <c r="D630" s="278">
        <v>39529</v>
      </c>
      <c r="E630" s="278"/>
      <c r="F630" s="277" t="s">
        <v>11</v>
      </c>
      <c r="G630" s="276" t="str">
        <f t="shared" si="27"/>
        <v>1ج م ع2</v>
      </c>
      <c r="H630" s="240" t="s">
        <v>1458</v>
      </c>
      <c r="I630" s="141"/>
      <c r="J630" s="231"/>
      <c r="K630" s="237"/>
      <c r="L630" s="203"/>
      <c r="M630" s="672"/>
      <c r="N630" s="698"/>
      <c r="O630" s="698"/>
      <c r="P630" s="698"/>
      <c r="T630" s="141" t="s">
        <v>758</v>
      </c>
      <c r="U630" s="141" t="s">
        <v>759</v>
      </c>
    </row>
    <row r="631" spans="1:21" s="697" customFormat="1">
      <c r="A631" s="268">
        <v>520</v>
      </c>
      <c r="B631" s="586" t="s">
        <v>695</v>
      </c>
      <c r="C631" s="586" t="s">
        <v>1337</v>
      </c>
      <c r="D631" s="278">
        <v>39123</v>
      </c>
      <c r="E631" s="278"/>
      <c r="F631" s="277" t="s">
        <v>11</v>
      </c>
      <c r="G631" s="276" t="str">
        <f t="shared" si="27"/>
        <v>1ج م ع2</v>
      </c>
      <c r="H631" s="240" t="s">
        <v>1458</v>
      </c>
      <c r="I631" s="141"/>
      <c r="J631" s="231"/>
      <c r="K631" s="237"/>
      <c r="L631" s="203"/>
      <c r="M631" s="672"/>
      <c r="N631" s="698"/>
      <c r="O631" s="698"/>
      <c r="P631" s="698"/>
      <c r="T631" s="141" t="s">
        <v>760</v>
      </c>
      <c r="U631" s="141" t="s">
        <v>761</v>
      </c>
    </row>
    <row r="632" spans="1:21" s="697" customFormat="1">
      <c r="A632" s="268">
        <v>521</v>
      </c>
      <c r="B632" s="586" t="s">
        <v>1325</v>
      </c>
      <c r="C632" s="586" t="s">
        <v>1618</v>
      </c>
      <c r="D632" s="278">
        <v>39429</v>
      </c>
      <c r="E632" s="278"/>
      <c r="F632" s="277" t="s">
        <v>11</v>
      </c>
      <c r="G632" s="276" t="str">
        <f t="shared" si="27"/>
        <v>1ج م ع2</v>
      </c>
      <c r="H632" s="242" t="s">
        <v>96</v>
      </c>
      <c r="I632" s="141"/>
      <c r="J632" s="231"/>
      <c r="K632" s="237"/>
      <c r="L632" s="203"/>
      <c r="M632" s="672"/>
      <c r="N632" s="698"/>
      <c r="O632" s="698"/>
      <c r="P632" s="698"/>
      <c r="T632" s="141" t="s">
        <v>762</v>
      </c>
      <c r="U632" s="141" t="s">
        <v>763</v>
      </c>
    </row>
    <row r="633" spans="1:21" s="697" customFormat="1">
      <c r="A633" s="268">
        <v>522</v>
      </c>
      <c r="B633" s="586" t="s">
        <v>1619</v>
      </c>
      <c r="C633" s="586" t="s">
        <v>1294</v>
      </c>
      <c r="D633" s="278">
        <v>39402</v>
      </c>
      <c r="E633" s="278"/>
      <c r="F633" s="277" t="s">
        <v>11</v>
      </c>
      <c r="G633" s="276" t="str">
        <f t="shared" si="27"/>
        <v>1ج م ع2</v>
      </c>
      <c r="H633" s="242" t="s">
        <v>96</v>
      </c>
      <c r="I633" s="141"/>
      <c r="J633" s="231"/>
      <c r="K633" s="237"/>
      <c r="L633" s="203"/>
      <c r="M633" s="672"/>
      <c r="N633" s="698"/>
      <c r="O633" s="698"/>
      <c r="P633" s="698"/>
      <c r="T633" s="141" t="s">
        <v>762</v>
      </c>
      <c r="U633" s="141" t="s">
        <v>763</v>
      </c>
    </row>
    <row r="634" spans="1:21" s="697" customFormat="1">
      <c r="A634" s="268">
        <v>523</v>
      </c>
      <c r="B634" s="586" t="s">
        <v>1301</v>
      </c>
      <c r="C634" s="586" t="s">
        <v>1620</v>
      </c>
      <c r="D634" s="278">
        <v>39475</v>
      </c>
      <c r="E634" s="278"/>
      <c r="F634" s="277" t="s">
        <v>11</v>
      </c>
      <c r="G634" s="276" t="str">
        <f t="shared" si="27"/>
        <v>1ج م ع2</v>
      </c>
      <c r="H634" s="241" t="s">
        <v>91</v>
      </c>
      <c r="I634" s="141"/>
      <c r="J634" s="231"/>
      <c r="K634" s="237"/>
      <c r="L634" s="203"/>
      <c r="M634" s="672"/>
      <c r="N634" s="698"/>
      <c r="O634" s="698"/>
      <c r="P634" s="698"/>
      <c r="T634" s="141" t="s">
        <v>764</v>
      </c>
      <c r="U634" s="141" t="s">
        <v>765</v>
      </c>
    </row>
    <row r="635" spans="1:21" s="697" customFormat="1">
      <c r="A635" s="268">
        <v>524</v>
      </c>
      <c r="B635" s="586" t="s">
        <v>1444</v>
      </c>
      <c r="C635" s="586" t="s">
        <v>1621</v>
      </c>
      <c r="D635" s="278">
        <v>39303</v>
      </c>
      <c r="E635" s="278"/>
      <c r="F635" s="277" t="s">
        <v>11</v>
      </c>
      <c r="G635" s="276" t="str">
        <f t="shared" si="27"/>
        <v>1ج م ع2</v>
      </c>
      <c r="H635" s="242" t="s">
        <v>96</v>
      </c>
      <c r="I635" s="141"/>
      <c r="J635" s="231"/>
      <c r="K635" s="237"/>
      <c r="L635" s="203"/>
      <c r="M635" s="672"/>
      <c r="N635" s="698"/>
      <c r="O635" s="698"/>
      <c r="P635" s="698"/>
      <c r="T635" s="141" t="s">
        <v>766</v>
      </c>
      <c r="U635" s="141" t="s">
        <v>767</v>
      </c>
    </row>
    <row r="636" spans="1:21" s="697" customFormat="1">
      <c r="A636" s="268">
        <v>525</v>
      </c>
      <c r="B636" s="586" t="s">
        <v>895</v>
      </c>
      <c r="C636" s="586" t="s">
        <v>1622</v>
      </c>
      <c r="D636" s="278">
        <v>39329</v>
      </c>
      <c r="E636" s="278"/>
      <c r="F636" s="277" t="s">
        <v>11</v>
      </c>
      <c r="G636" s="276" t="str">
        <f t="shared" si="27"/>
        <v>1ج م ع2</v>
      </c>
      <c r="H636" s="241" t="s">
        <v>91</v>
      </c>
      <c r="I636" s="141"/>
      <c r="J636" s="231"/>
      <c r="K636" s="237"/>
      <c r="L636" s="203"/>
      <c r="M636" s="672"/>
      <c r="N636" s="698"/>
      <c r="O636" s="698"/>
      <c r="P636" s="698"/>
    </row>
    <row r="637" spans="1:21" s="697" customFormat="1" ht="20.25">
      <c r="A637" s="268">
        <v>526</v>
      </c>
      <c r="B637" s="586" t="s">
        <v>990</v>
      </c>
      <c r="C637" s="586" t="s">
        <v>1623</v>
      </c>
      <c r="D637" s="278">
        <v>39110</v>
      </c>
      <c r="E637" s="278"/>
      <c r="F637" s="277" t="s">
        <v>11</v>
      </c>
      <c r="G637" s="276" t="str">
        <f t="shared" si="27"/>
        <v>1ج م ع2</v>
      </c>
      <c r="H637" s="241" t="s">
        <v>91</v>
      </c>
      <c r="I637" s="141"/>
      <c r="J637" s="231"/>
      <c r="K637" s="237"/>
      <c r="L637" s="203"/>
      <c r="M637" s="672"/>
      <c r="N637" s="693"/>
      <c r="O637" s="693"/>
      <c r="P637" s="698"/>
    </row>
    <row r="638" spans="1:21" s="697" customFormat="1" ht="32.25">
      <c r="A638" s="268">
        <v>527</v>
      </c>
      <c r="B638" s="586" t="s">
        <v>1624</v>
      </c>
      <c r="C638" s="586" t="s">
        <v>1625</v>
      </c>
      <c r="D638" s="278">
        <v>39495</v>
      </c>
      <c r="E638" s="278"/>
      <c r="F638" s="277" t="s">
        <v>11</v>
      </c>
      <c r="G638" s="276" t="str">
        <f t="shared" si="27"/>
        <v>1ج م ع2</v>
      </c>
      <c r="H638" s="241" t="s">
        <v>91</v>
      </c>
      <c r="I638" s="141"/>
      <c r="J638" s="231"/>
      <c r="K638" s="237"/>
      <c r="L638" s="203"/>
      <c r="M638" s="672"/>
      <c r="N638" s="667"/>
      <c r="O638" s="694"/>
      <c r="P638" s="698"/>
    </row>
    <row r="639" spans="1:21" s="697" customFormat="1" ht="32.25">
      <c r="A639" s="268">
        <v>528</v>
      </c>
      <c r="B639" s="586" t="s">
        <v>1626</v>
      </c>
      <c r="C639" s="586" t="s">
        <v>1627</v>
      </c>
      <c r="D639" s="278">
        <v>39191</v>
      </c>
      <c r="E639" s="278"/>
      <c r="F639" s="277" t="s">
        <v>11</v>
      </c>
      <c r="G639" s="276" t="str">
        <f t="shared" si="27"/>
        <v>1ج م ع2</v>
      </c>
      <c r="H639" s="241" t="s">
        <v>91</v>
      </c>
      <c r="I639" s="141"/>
      <c r="J639" s="231"/>
      <c r="K639" s="237"/>
      <c r="L639" s="203"/>
      <c r="M639" s="672"/>
      <c r="N639" s="670"/>
      <c r="O639" s="694"/>
      <c r="P639" s="698"/>
    </row>
    <row r="640" spans="1:21" s="697" customFormat="1" ht="20.25">
      <c r="A640" s="268">
        <v>529</v>
      </c>
      <c r="B640" s="586" t="s">
        <v>1628</v>
      </c>
      <c r="C640" s="586" t="s">
        <v>1629</v>
      </c>
      <c r="D640" s="278">
        <v>39097</v>
      </c>
      <c r="E640" s="278"/>
      <c r="F640" s="277" t="s">
        <v>11</v>
      </c>
      <c r="G640" s="276" t="str">
        <f t="shared" si="27"/>
        <v>1ج م ع2</v>
      </c>
      <c r="H640" s="242" t="s">
        <v>96</v>
      </c>
      <c r="I640" s="141"/>
      <c r="J640" s="231"/>
      <c r="K640" s="237"/>
      <c r="L640" s="203"/>
      <c r="M640" s="672"/>
      <c r="N640" s="169"/>
      <c r="O640" s="693"/>
      <c r="P640" s="698"/>
    </row>
    <row r="641" spans="1:16" s="697" customFormat="1" ht="20.25">
      <c r="A641" s="268">
        <v>530</v>
      </c>
      <c r="B641" s="586" t="s">
        <v>1724</v>
      </c>
      <c r="C641" s="586" t="s">
        <v>1533</v>
      </c>
      <c r="D641" s="278">
        <v>39242</v>
      </c>
      <c r="E641" s="278"/>
      <c r="F641" s="277" t="s">
        <v>11</v>
      </c>
      <c r="G641" s="276" t="str">
        <f t="shared" si="27"/>
        <v>1ج م ع2</v>
      </c>
      <c r="H641" s="241" t="s">
        <v>91</v>
      </c>
      <c r="I641" s="141"/>
      <c r="J641" s="231"/>
      <c r="K641" s="237"/>
      <c r="L641" s="203"/>
      <c r="M641" s="672"/>
      <c r="N641" s="169"/>
      <c r="O641" s="693"/>
      <c r="P641" s="698"/>
    </row>
    <row r="642" spans="1:16" s="697" customFormat="1" ht="20.25">
      <c r="A642" s="268">
        <v>531</v>
      </c>
      <c r="B642" s="586" t="s">
        <v>536</v>
      </c>
      <c r="C642" s="586" t="s">
        <v>1329</v>
      </c>
      <c r="D642" s="278">
        <v>39524</v>
      </c>
      <c r="E642" s="278"/>
      <c r="F642" s="277" t="s">
        <v>11</v>
      </c>
      <c r="G642" s="276" t="str">
        <f t="shared" si="27"/>
        <v>1ج م ع2</v>
      </c>
      <c r="H642" s="241" t="s">
        <v>91</v>
      </c>
      <c r="I642" s="141"/>
      <c r="J642" s="231"/>
      <c r="K642" s="237"/>
      <c r="L642" s="203"/>
      <c r="M642" s="672"/>
      <c r="N642" s="169"/>
      <c r="O642" s="693"/>
      <c r="P642" s="698"/>
    </row>
    <row r="643" spans="1:16" s="697" customFormat="1" ht="32.25">
      <c r="A643" s="268">
        <v>532</v>
      </c>
      <c r="B643" s="586" t="s">
        <v>1630</v>
      </c>
      <c r="C643" s="586" t="s">
        <v>1631</v>
      </c>
      <c r="D643" s="278">
        <v>39456</v>
      </c>
      <c r="E643" s="278"/>
      <c r="F643" s="277" t="s">
        <v>11</v>
      </c>
      <c r="G643" s="276" t="str">
        <f t="shared" si="27"/>
        <v>1ج م ع2</v>
      </c>
      <c r="H643" s="241" t="s">
        <v>91</v>
      </c>
      <c r="I643" s="141"/>
      <c r="J643" s="231"/>
      <c r="K643" s="237"/>
      <c r="L643" s="203"/>
      <c r="M643" s="672"/>
      <c r="N643" s="169"/>
      <c r="O643" s="693"/>
      <c r="P643" s="698"/>
    </row>
    <row r="644" spans="1:16" s="697" customFormat="1" ht="20.25">
      <c r="A644" s="268">
        <v>533</v>
      </c>
      <c r="B644" s="586" t="s">
        <v>1632</v>
      </c>
      <c r="C644" s="586" t="s">
        <v>1401</v>
      </c>
      <c r="D644" s="278">
        <v>39212</v>
      </c>
      <c r="E644" s="278"/>
      <c r="F644" s="277" t="s">
        <v>11</v>
      </c>
      <c r="G644" s="276" t="str">
        <f t="shared" si="27"/>
        <v>1ج م ع2</v>
      </c>
      <c r="H644" s="241" t="s">
        <v>91</v>
      </c>
      <c r="I644" s="141"/>
      <c r="J644" s="231"/>
      <c r="K644" s="237"/>
      <c r="L644" s="203"/>
      <c r="M644" s="672"/>
      <c r="N644" s="169"/>
      <c r="O644" s="693"/>
      <c r="P644" s="698"/>
    </row>
    <row r="645" spans="1:16" s="697" customFormat="1" ht="48">
      <c r="A645" s="268">
        <v>534</v>
      </c>
      <c r="B645" s="586" t="s">
        <v>1413</v>
      </c>
      <c r="C645" s="586" t="s">
        <v>1633</v>
      </c>
      <c r="D645" s="278">
        <v>39380</v>
      </c>
      <c r="E645" s="278"/>
      <c r="F645" s="277" t="s">
        <v>11</v>
      </c>
      <c r="G645" s="276" t="str">
        <f t="shared" si="27"/>
        <v>1ج م ع2</v>
      </c>
      <c r="H645" s="241" t="s">
        <v>91</v>
      </c>
      <c r="I645" s="141"/>
      <c r="J645" s="231"/>
      <c r="K645" s="237"/>
      <c r="L645" s="203"/>
      <c r="M645" s="672"/>
      <c r="N645" s="169"/>
      <c r="O645" s="693"/>
      <c r="P645" s="698"/>
    </row>
    <row r="646" spans="1:16" s="697" customFormat="1" ht="47.25">
      <c r="A646" s="268">
        <v>535</v>
      </c>
      <c r="B646" s="586" t="s">
        <v>1634</v>
      </c>
      <c r="C646" s="586" t="s">
        <v>1635</v>
      </c>
      <c r="D646" s="278">
        <v>39213</v>
      </c>
      <c r="E646" s="278"/>
      <c r="F646" s="277" t="s">
        <v>11</v>
      </c>
      <c r="G646" s="276" t="str">
        <f t="shared" si="27"/>
        <v>1ج م ع2</v>
      </c>
      <c r="H646" s="241" t="s">
        <v>91</v>
      </c>
      <c r="I646" s="141"/>
      <c r="J646" s="231"/>
      <c r="K646" s="237"/>
      <c r="L646" s="231"/>
      <c r="M646" s="695"/>
      <c r="N646" s="169"/>
      <c r="O646" s="169"/>
      <c r="P646" s="698"/>
    </row>
    <row r="647" spans="1:16" s="697" customFormat="1" ht="31.5">
      <c r="A647" s="268">
        <v>536</v>
      </c>
      <c r="B647" s="586" t="s">
        <v>1282</v>
      </c>
      <c r="C647" s="586" t="s">
        <v>1636</v>
      </c>
      <c r="D647" s="278">
        <v>39405</v>
      </c>
      <c r="E647" s="278"/>
      <c r="F647" s="277" t="s">
        <v>11</v>
      </c>
      <c r="G647" s="276" t="str">
        <f t="shared" si="27"/>
        <v>1ج م ع2</v>
      </c>
      <c r="H647" s="242" t="s">
        <v>96</v>
      </c>
      <c r="I647" s="141"/>
      <c r="J647" s="231"/>
      <c r="K647" s="237"/>
      <c r="L647" s="203"/>
      <c r="M647" s="672"/>
      <c r="N647" s="698"/>
      <c r="O647" s="698"/>
      <c r="P647" s="698"/>
    </row>
    <row r="648" spans="1:16" s="697" customFormat="1" ht="47.25">
      <c r="A648" s="268">
        <v>537</v>
      </c>
      <c r="B648" s="586" t="s">
        <v>672</v>
      </c>
      <c r="C648" s="586" t="s">
        <v>1637</v>
      </c>
      <c r="D648" s="278">
        <v>39588</v>
      </c>
      <c r="E648" s="278"/>
      <c r="F648" s="277" t="s">
        <v>11</v>
      </c>
      <c r="G648" s="276" t="str">
        <f t="shared" si="27"/>
        <v>1ج م ع2</v>
      </c>
      <c r="H648" s="242" t="s">
        <v>96</v>
      </c>
      <c r="I648" s="141"/>
      <c r="J648" s="231"/>
      <c r="K648" s="237"/>
      <c r="L648" s="203"/>
      <c r="M648" s="672"/>
      <c r="N648" s="698"/>
      <c r="O648" s="698"/>
      <c r="P648" s="698"/>
    </row>
    <row r="649" spans="1:16" s="697" customFormat="1" ht="31.5">
      <c r="A649" s="268">
        <v>538</v>
      </c>
      <c r="B649" s="586" t="s">
        <v>1638</v>
      </c>
      <c r="C649" s="586" t="s">
        <v>1639</v>
      </c>
      <c r="D649" s="278">
        <v>39526</v>
      </c>
      <c r="E649" s="278"/>
      <c r="F649" s="277" t="s">
        <v>11</v>
      </c>
      <c r="G649" s="276" t="str">
        <f t="shared" si="27"/>
        <v>1ج م ع2</v>
      </c>
      <c r="H649" s="241" t="s">
        <v>91</v>
      </c>
      <c r="I649" s="141"/>
      <c r="J649" s="231"/>
      <c r="K649" s="237"/>
      <c r="L649" s="203"/>
      <c r="M649" s="672"/>
      <c r="N649" s="698"/>
      <c r="O649" s="698"/>
      <c r="P649" s="698"/>
    </row>
    <row r="650" spans="1:16" s="697" customFormat="1" ht="31.5">
      <c r="A650" s="268">
        <v>539</v>
      </c>
      <c r="B650" s="586" t="s">
        <v>1587</v>
      </c>
      <c r="C650" s="586" t="s">
        <v>1640</v>
      </c>
      <c r="D650" s="278">
        <v>39426</v>
      </c>
      <c r="E650" s="278"/>
      <c r="F650" s="277" t="s">
        <v>11</v>
      </c>
      <c r="G650" s="276" t="str">
        <f t="shared" si="27"/>
        <v>1ج م ع2</v>
      </c>
      <c r="H650" s="242" t="s">
        <v>96</v>
      </c>
      <c r="I650" s="141"/>
      <c r="J650" s="231"/>
      <c r="K650" s="237"/>
      <c r="L650" s="203"/>
      <c r="M650" s="672"/>
      <c r="N650" s="698"/>
      <c r="O650" s="698"/>
      <c r="P650" s="698"/>
    </row>
    <row r="651" spans="1:16" s="697" customFormat="1">
      <c r="A651" s="268">
        <v>540</v>
      </c>
      <c r="B651" s="586" t="s">
        <v>1641</v>
      </c>
      <c r="C651" s="586" t="s">
        <v>1642</v>
      </c>
      <c r="D651" s="278">
        <v>39159</v>
      </c>
      <c r="E651" s="278"/>
      <c r="F651" s="277" t="s">
        <v>11</v>
      </c>
      <c r="G651" s="276" t="str">
        <f t="shared" si="27"/>
        <v>1ج م ع2</v>
      </c>
      <c r="H651" s="241" t="s">
        <v>91</v>
      </c>
      <c r="I651" s="141"/>
      <c r="J651" s="231"/>
      <c r="K651" s="237"/>
      <c r="L651" s="203"/>
      <c r="M651" s="672"/>
      <c r="N651" s="698"/>
      <c r="O651" s="698"/>
      <c r="P651" s="698"/>
    </row>
    <row r="652" spans="1:16" s="697" customFormat="1" ht="31.5">
      <c r="A652" s="268">
        <v>541</v>
      </c>
      <c r="B652" s="586" t="s">
        <v>851</v>
      </c>
      <c r="C652" s="586" t="s">
        <v>1389</v>
      </c>
      <c r="D652" s="278">
        <v>39425</v>
      </c>
      <c r="E652" s="278"/>
      <c r="F652" s="277" t="s">
        <v>11</v>
      </c>
      <c r="G652" s="276" t="str">
        <f t="shared" si="27"/>
        <v>1ج م ع2</v>
      </c>
      <c r="H652" s="242" t="s">
        <v>96</v>
      </c>
      <c r="I652" s="141"/>
      <c r="J652" s="231"/>
      <c r="K652" s="237"/>
      <c r="L652" s="203"/>
      <c r="M652" s="672"/>
      <c r="N652" s="698"/>
      <c r="O652" s="698"/>
      <c r="P652" s="698"/>
    </row>
    <row r="653" spans="1:16" s="697" customFormat="1" ht="31.5">
      <c r="A653" s="268">
        <v>542</v>
      </c>
      <c r="B653" s="586" t="s">
        <v>72</v>
      </c>
      <c r="C653" s="586" t="s">
        <v>1415</v>
      </c>
      <c r="D653" s="278">
        <v>39230</v>
      </c>
      <c r="E653" s="278" t="s">
        <v>104</v>
      </c>
      <c r="F653" s="277" t="s">
        <v>11</v>
      </c>
      <c r="G653" s="276" t="str">
        <f t="shared" si="27"/>
        <v>1ج م ع2</v>
      </c>
      <c r="H653" s="242" t="s">
        <v>96</v>
      </c>
      <c r="I653" s="141"/>
      <c r="J653" s="231"/>
      <c r="K653" s="237"/>
      <c r="L653" s="203"/>
      <c r="M653" s="672"/>
      <c r="N653" s="698"/>
      <c r="O653" s="698"/>
      <c r="P653" s="698"/>
    </row>
    <row r="654" spans="1:16" s="697" customFormat="1">
      <c r="A654" s="268">
        <v>543</v>
      </c>
      <c r="B654" s="586" t="s">
        <v>695</v>
      </c>
      <c r="C654" s="586" t="s">
        <v>1642</v>
      </c>
      <c r="D654" s="278">
        <v>39306</v>
      </c>
      <c r="E654" s="278"/>
      <c r="F654" s="277" t="s">
        <v>11</v>
      </c>
      <c r="G654" s="276" t="str">
        <f t="shared" si="27"/>
        <v>1ج م ع2</v>
      </c>
      <c r="H654" s="241" t="s">
        <v>91</v>
      </c>
      <c r="I654" s="141"/>
      <c r="J654" s="231"/>
      <c r="K654" s="237"/>
      <c r="L654" s="203"/>
      <c r="M654" s="672"/>
      <c r="N654" s="698"/>
      <c r="O654" s="698"/>
      <c r="P654" s="698"/>
    </row>
    <row r="655" spans="1:16" s="697" customFormat="1" ht="47.25">
      <c r="A655" s="268">
        <v>544</v>
      </c>
      <c r="B655" s="586" t="s">
        <v>538</v>
      </c>
      <c r="C655" s="586" t="s">
        <v>1645</v>
      </c>
      <c r="D655" s="278">
        <v>39241</v>
      </c>
      <c r="E655" s="278"/>
      <c r="F655" s="277" t="s">
        <v>11</v>
      </c>
      <c r="G655" s="276" t="str">
        <f t="shared" si="27"/>
        <v>1ج م ع2</v>
      </c>
      <c r="H655" s="242" t="s">
        <v>96</v>
      </c>
      <c r="I655" s="141"/>
      <c r="J655" s="231"/>
      <c r="K655" s="237"/>
      <c r="L655" s="203"/>
      <c r="M655" s="672"/>
      <c r="N655" s="698"/>
      <c r="O655" s="698"/>
      <c r="P655" s="698"/>
    </row>
    <row r="656" spans="1:16" s="697" customFormat="1">
      <c r="A656" s="268">
        <v>545</v>
      </c>
      <c r="B656" s="586" t="s">
        <v>188</v>
      </c>
      <c r="C656" s="586" t="s">
        <v>1646</v>
      </c>
      <c r="D656" s="278">
        <v>39218</v>
      </c>
      <c r="E656" s="278"/>
      <c r="F656" s="277" t="s">
        <v>11</v>
      </c>
      <c r="G656" s="276" t="str">
        <f t="shared" si="27"/>
        <v>1ج م ع2</v>
      </c>
      <c r="H656" s="241" t="s">
        <v>91</v>
      </c>
      <c r="I656" s="141"/>
      <c r="J656" s="231"/>
      <c r="K656" s="237"/>
      <c r="L656" s="203"/>
      <c r="M656" s="672"/>
      <c r="N656" s="698"/>
      <c r="O656" s="698"/>
      <c r="P656" s="698"/>
    </row>
    <row r="657" spans="1:16" s="697" customFormat="1">
      <c r="A657" s="268">
        <v>546</v>
      </c>
      <c r="B657" s="586" t="s">
        <v>1647</v>
      </c>
      <c r="C657" s="586" t="s">
        <v>1648</v>
      </c>
      <c r="D657" s="278">
        <v>39239</v>
      </c>
      <c r="E657" s="278"/>
      <c r="F657" s="277" t="s">
        <v>11</v>
      </c>
      <c r="G657" s="276" t="str">
        <f t="shared" si="27"/>
        <v>1ج م ع2</v>
      </c>
      <c r="H657" s="241" t="s">
        <v>91</v>
      </c>
      <c r="I657" s="141"/>
      <c r="J657" s="231"/>
      <c r="K657" s="237"/>
      <c r="L657" s="203"/>
      <c r="M657" s="672"/>
      <c r="N657" s="698"/>
      <c r="O657" s="698"/>
      <c r="P657" s="698"/>
    </row>
    <row r="658" spans="1:16" s="697" customFormat="1">
      <c r="A658" s="268">
        <v>547</v>
      </c>
      <c r="B658" s="586" t="s">
        <v>798</v>
      </c>
      <c r="C658" s="586" t="s">
        <v>1649</v>
      </c>
      <c r="D658" s="278">
        <v>39424</v>
      </c>
      <c r="E658" s="278"/>
      <c r="F658" s="277" t="s">
        <v>11</v>
      </c>
      <c r="G658" s="276" t="str">
        <f t="shared" si="27"/>
        <v>1ج م ع2</v>
      </c>
      <c r="H658" s="241" t="s">
        <v>91</v>
      </c>
      <c r="I658" s="141"/>
      <c r="J658" s="231"/>
      <c r="K658" s="237"/>
      <c r="L658" s="203"/>
      <c r="M658" s="672"/>
      <c r="N658" s="698"/>
      <c r="O658" s="698"/>
      <c r="P658" s="698"/>
    </row>
    <row r="659" spans="1:16" s="697" customFormat="1" ht="47.25">
      <c r="A659" s="268">
        <v>548</v>
      </c>
      <c r="B659" s="586" t="s">
        <v>948</v>
      </c>
      <c r="C659" s="586" t="s">
        <v>1650</v>
      </c>
      <c r="D659" s="278">
        <v>39335</v>
      </c>
      <c r="E659" s="278"/>
      <c r="F659" s="277" t="s">
        <v>11</v>
      </c>
      <c r="G659" s="276" t="str">
        <f t="shared" si="27"/>
        <v>1ج م ع2</v>
      </c>
      <c r="H659" s="242" t="s">
        <v>96</v>
      </c>
      <c r="I659" s="141"/>
      <c r="J659" s="231"/>
      <c r="K659" s="404"/>
      <c r="L659" s="203"/>
      <c r="M659" s="672"/>
      <c r="N659" s="698"/>
      <c r="O659" s="698"/>
      <c r="P659" s="698"/>
    </row>
    <row r="660" spans="1:16" s="697" customFormat="1" ht="31.5">
      <c r="A660" s="268">
        <v>549</v>
      </c>
      <c r="B660" s="586" t="s">
        <v>1651</v>
      </c>
      <c r="C660" s="586" t="s">
        <v>1652</v>
      </c>
      <c r="D660" s="278">
        <v>39514</v>
      </c>
      <c r="E660" s="278"/>
      <c r="F660" s="277" t="s">
        <v>11</v>
      </c>
      <c r="G660" s="276" t="str">
        <f t="shared" si="27"/>
        <v>1ج م ع2</v>
      </c>
      <c r="H660" s="242" t="s">
        <v>96</v>
      </c>
      <c r="I660" s="141"/>
      <c r="J660" s="231"/>
      <c r="K660" s="696"/>
      <c r="L660" s="203"/>
      <c r="M660" s="672"/>
      <c r="N660" s="698"/>
      <c r="O660" s="698"/>
      <c r="P660" s="698"/>
    </row>
    <row r="661" spans="1:16" s="697" customFormat="1" ht="31.5">
      <c r="A661" s="268">
        <v>550</v>
      </c>
      <c r="B661" s="586" t="s">
        <v>530</v>
      </c>
      <c r="C661" s="586" t="s">
        <v>1316</v>
      </c>
      <c r="D661" s="278">
        <v>39407</v>
      </c>
      <c r="E661" s="278"/>
      <c r="F661" s="277" t="s">
        <v>11</v>
      </c>
      <c r="G661" s="276" t="str">
        <f t="shared" si="27"/>
        <v>1ج م ع2</v>
      </c>
      <c r="H661" s="242" t="s">
        <v>96</v>
      </c>
      <c r="I661" s="141"/>
      <c r="J661" s="231"/>
      <c r="K661" s="237"/>
      <c r="L661" s="203"/>
      <c r="M661" s="672"/>
      <c r="N661" s="698"/>
      <c r="O661" s="698"/>
      <c r="P661" s="698"/>
    </row>
    <row r="662" spans="1:16" s="697" customFormat="1">
      <c r="A662" s="268">
        <v>551</v>
      </c>
      <c r="B662" s="586" t="s">
        <v>1317</v>
      </c>
      <c r="C662" s="586" t="s">
        <v>53</v>
      </c>
      <c r="D662" s="278">
        <v>38755</v>
      </c>
      <c r="E662" s="278" t="s">
        <v>133</v>
      </c>
      <c r="F662" s="277" t="s">
        <v>11</v>
      </c>
      <c r="G662" s="276" t="str">
        <f t="shared" si="27"/>
        <v>1ج م ع2</v>
      </c>
      <c r="H662" s="241" t="s">
        <v>91</v>
      </c>
      <c r="I662" s="141"/>
      <c r="J662" s="231"/>
      <c r="K662" s="404"/>
      <c r="L662" s="203"/>
      <c r="M662" s="672"/>
      <c r="N662" s="698"/>
      <c r="O662" s="698"/>
      <c r="P662" s="698"/>
    </row>
    <row r="663" spans="1:16" s="697" customFormat="1" ht="47.25">
      <c r="A663" s="268">
        <v>552</v>
      </c>
      <c r="B663" s="586" t="s">
        <v>519</v>
      </c>
      <c r="C663" s="586" t="s">
        <v>1653</v>
      </c>
      <c r="D663" s="278">
        <v>39516</v>
      </c>
      <c r="E663" s="278"/>
      <c r="F663" s="277" t="s">
        <v>11</v>
      </c>
      <c r="G663" s="276" t="str">
        <f t="shared" si="27"/>
        <v>1ج م ع2</v>
      </c>
      <c r="H663" s="242" t="s">
        <v>96</v>
      </c>
      <c r="I663" s="141"/>
      <c r="J663" s="231"/>
      <c r="K663" s="237"/>
      <c r="L663" s="203"/>
      <c r="M663" s="672"/>
      <c r="N663" s="698"/>
      <c r="O663" s="698"/>
      <c r="P663" s="698"/>
    </row>
    <row r="664" spans="1:16" s="697" customFormat="1" ht="31.5">
      <c r="A664" s="268">
        <v>553</v>
      </c>
      <c r="B664" s="586" t="s">
        <v>889</v>
      </c>
      <c r="C664" s="586" t="s">
        <v>1654</v>
      </c>
      <c r="D664" s="278">
        <v>39394</v>
      </c>
      <c r="E664" s="278"/>
      <c r="F664" s="277" t="s">
        <v>11</v>
      </c>
      <c r="G664" s="276" t="str">
        <f t="shared" si="27"/>
        <v>1ج م ع2</v>
      </c>
      <c r="H664" s="241" t="s">
        <v>91</v>
      </c>
      <c r="I664" s="141"/>
      <c r="J664" s="231"/>
      <c r="K664" s="237"/>
      <c r="L664" s="203"/>
      <c r="M664" s="672"/>
      <c r="N664" s="698"/>
      <c r="O664" s="698"/>
      <c r="P664" s="698"/>
    </row>
    <row r="665" spans="1:16" s="697" customFormat="1">
      <c r="A665" s="268">
        <v>554</v>
      </c>
      <c r="B665" s="586" t="s">
        <v>1655</v>
      </c>
      <c r="C665" s="586" t="s">
        <v>1262</v>
      </c>
      <c r="D665" s="278">
        <v>39338</v>
      </c>
      <c r="E665" s="278"/>
      <c r="F665" s="277" t="s">
        <v>8</v>
      </c>
      <c r="G665" s="276" t="str">
        <f t="shared" si="27"/>
        <v>1ج م ع3</v>
      </c>
      <c r="H665" s="240" t="s">
        <v>1458</v>
      </c>
      <c r="I665" s="141"/>
      <c r="J665" s="231"/>
      <c r="K665" s="237"/>
      <c r="L665" s="203"/>
      <c r="M665" s="672"/>
      <c r="N665" s="698"/>
      <c r="O665" s="698"/>
      <c r="P665" s="698"/>
    </row>
    <row r="666" spans="1:16" s="697" customFormat="1" ht="31.5">
      <c r="A666" s="268">
        <v>555</v>
      </c>
      <c r="B666" s="586" t="s">
        <v>1656</v>
      </c>
      <c r="C666" s="586" t="s">
        <v>1657</v>
      </c>
      <c r="D666" s="278">
        <v>39591</v>
      </c>
      <c r="E666" s="278"/>
      <c r="F666" s="277" t="s">
        <v>8</v>
      </c>
      <c r="G666" s="276" t="str">
        <f t="shared" si="27"/>
        <v>1ج م ع3</v>
      </c>
      <c r="H666" s="240" t="s">
        <v>1458</v>
      </c>
      <c r="I666" s="141"/>
      <c r="J666" s="231"/>
      <c r="K666" s="237"/>
      <c r="L666" s="203"/>
      <c r="M666" s="672"/>
      <c r="N666" s="698"/>
      <c r="O666" s="698"/>
      <c r="P666" s="698"/>
    </row>
    <row r="667" spans="1:16" s="697" customFormat="1">
      <c r="A667" s="268">
        <v>556</v>
      </c>
      <c r="B667" s="586" t="s">
        <v>516</v>
      </c>
      <c r="C667" s="586" t="s">
        <v>1658</v>
      </c>
      <c r="D667" s="278">
        <v>39176</v>
      </c>
      <c r="E667" s="278"/>
      <c r="F667" s="277" t="s">
        <v>8</v>
      </c>
      <c r="G667" s="276" t="str">
        <f t="shared" si="27"/>
        <v>1ج م ع3</v>
      </c>
      <c r="H667" s="240" t="s">
        <v>1458</v>
      </c>
      <c r="I667" s="141"/>
      <c r="J667" s="231"/>
      <c r="K667" s="237"/>
      <c r="L667" s="203"/>
      <c r="M667" s="672"/>
      <c r="N667" s="698"/>
      <c r="O667" s="698"/>
      <c r="P667" s="698"/>
    </row>
    <row r="668" spans="1:16" s="697" customFormat="1">
      <c r="A668" s="268">
        <v>557</v>
      </c>
      <c r="B668" s="586" t="s">
        <v>881</v>
      </c>
      <c r="C668" s="586" t="s">
        <v>1659</v>
      </c>
      <c r="D668" s="278">
        <v>39526</v>
      </c>
      <c r="E668" s="278"/>
      <c r="F668" s="277" t="s">
        <v>8</v>
      </c>
      <c r="G668" s="276" t="str">
        <f t="shared" si="27"/>
        <v>1ج م ع3</v>
      </c>
      <c r="H668" s="240" t="s">
        <v>1458</v>
      </c>
      <c r="I668" s="141"/>
      <c r="J668" s="231"/>
      <c r="K668" s="237"/>
      <c r="L668" s="203"/>
      <c r="M668" s="672"/>
      <c r="N668" s="698"/>
      <c r="O668" s="698"/>
      <c r="P668" s="698"/>
    </row>
    <row r="669" spans="1:16" s="697" customFormat="1">
      <c r="A669" s="268">
        <v>558</v>
      </c>
      <c r="B669" s="586" t="s">
        <v>1660</v>
      </c>
      <c r="C669" s="586" t="s">
        <v>1569</v>
      </c>
      <c r="D669" s="278">
        <v>39201</v>
      </c>
      <c r="E669" s="278"/>
      <c r="F669" s="277" t="s">
        <v>8</v>
      </c>
      <c r="G669" s="276" t="str">
        <f t="shared" si="27"/>
        <v>1ج م ع3</v>
      </c>
      <c r="H669" s="240" t="s">
        <v>1458</v>
      </c>
      <c r="I669" s="141"/>
      <c r="J669" s="231"/>
      <c r="K669" s="237"/>
      <c r="L669" s="203"/>
      <c r="M669" s="672"/>
      <c r="N669" s="698"/>
      <c r="O669" s="698"/>
      <c r="P669" s="698"/>
    </row>
    <row r="670" spans="1:16" s="697" customFormat="1">
      <c r="A670" s="268">
        <v>559</v>
      </c>
      <c r="B670" s="586" t="s">
        <v>1661</v>
      </c>
      <c r="C670" s="586" t="s">
        <v>1662</v>
      </c>
      <c r="D670" s="278">
        <v>39323</v>
      </c>
      <c r="E670" s="278"/>
      <c r="F670" s="277" t="s">
        <v>8</v>
      </c>
      <c r="G670" s="276" t="str">
        <f t="shared" si="27"/>
        <v>1ج م ع3</v>
      </c>
      <c r="H670" s="240" t="s">
        <v>1459</v>
      </c>
      <c r="I670" s="141"/>
      <c r="J670" s="231"/>
      <c r="K670" s="237"/>
      <c r="L670" s="203"/>
      <c r="M670" s="672"/>
      <c r="N670" s="698"/>
      <c r="O670" s="698"/>
      <c r="P670" s="698"/>
    </row>
    <row r="671" spans="1:16" s="697" customFormat="1" ht="31.5">
      <c r="A671" s="268">
        <v>560</v>
      </c>
      <c r="B671" s="586" t="s">
        <v>1325</v>
      </c>
      <c r="C671" s="586" t="s">
        <v>1663</v>
      </c>
      <c r="D671" s="278">
        <v>38349</v>
      </c>
      <c r="E671" s="278"/>
      <c r="F671" s="277" t="s">
        <v>8</v>
      </c>
      <c r="G671" s="276" t="str">
        <f t="shared" si="27"/>
        <v>1ج م ع3</v>
      </c>
      <c r="H671" s="242" t="s">
        <v>96</v>
      </c>
      <c r="I671" s="141"/>
      <c r="J671" s="231"/>
      <c r="K671" s="237"/>
      <c r="L671" s="203"/>
      <c r="M671" s="672"/>
      <c r="N671" s="698"/>
      <c r="O671" s="698"/>
      <c r="P671" s="698"/>
    </row>
    <row r="672" spans="1:16" s="697" customFormat="1">
      <c r="A672" s="268">
        <v>561</v>
      </c>
      <c r="B672" s="586" t="s">
        <v>1404</v>
      </c>
      <c r="C672" s="586" t="s">
        <v>1569</v>
      </c>
      <c r="D672" s="278">
        <v>39396</v>
      </c>
      <c r="E672" s="278"/>
      <c r="F672" s="277" t="s">
        <v>8</v>
      </c>
      <c r="G672" s="276" t="str">
        <f t="shared" si="27"/>
        <v>1ج م ع3</v>
      </c>
      <c r="H672" s="241" t="s">
        <v>91</v>
      </c>
      <c r="I672" s="141"/>
      <c r="J672" s="231"/>
      <c r="K672" s="237"/>
      <c r="L672" s="203"/>
      <c r="M672" s="672"/>
      <c r="N672" s="698"/>
      <c r="O672" s="698"/>
      <c r="P672" s="698"/>
    </row>
    <row r="673" spans="1:16" s="697" customFormat="1">
      <c r="A673" s="268">
        <v>562</v>
      </c>
      <c r="B673" s="586" t="s">
        <v>193</v>
      </c>
      <c r="C673" s="586" t="s">
        <v>1281</v>
      </c>
      <c r="D673" s="278">
        <v>39259</v>
      </c>
      <c r="E673" s="278"/>
      <c r="F673" s="277" t="s">
        <v>8</v>
      </c>
      <c r="G673" s="276" t="str">
        <f t="shared" si="27"/>
        <v>1ج م ع3</v>
      </c>
      <c r="H673" s="241" t="s">
        <v>91</v>
      </c>
      <c r="I673" s="141"/>
      <c r="J673" s="231"/>
      <c r="K673" s="237"/>
      <c r="L673" s="203"/>
      <c r="M673" s="672"/>
      <c r="N673" s="698"/>
      <c r="O673" s="698"/>
      <c r="P673" s="698"/>
    </row>
    <row r="674" spans="1:16" s="697" customFormat="1">
      <c r="A674" s="268">
        <v>563</v>
      </c>
      <c r="B674" s="586" t="s">
        <v>1664</v>
      </c>
      <c r="C674" s="586" t="s">
        <v>1665</v>
      </c>
      <c r="D674" s="278">
        <v>39420</v>
      </c>
      <c r="E674" s="278"/>
      <c r="F674" s="277" t="s">
        <v>8</v>
      </c>
      <c r="G674" s="276" t="str">
        <f t="shared" si="27"/>
        <v>1ج م ع3</v>
      </c>
      <c r="H674" s="242" t="s">
        <v>96</v>
      </c>
      <c r="I674" s="141"/>
      <c r="J674" s="231"/>
      <c r="K674" s="237"/>
      <c r="L674" s="203"/>
      <c r="M674" s="672"/>
      <c r="N674" s="698"/>
      <c r="O674" s="698"/>
      <c r="P674" s="698"/>
    </row>
    <row r="675" spans="1:16" s="697" customFormat="1" ht="31.5">
      <c r="A675" s="268">
        <v>564</v>
      </c>
      <c r="B675" s="586" t="s">
        <v>1664</v>
      </c>
      <c r="C675" s="586" t="s">
        <v>1666</v>
      </c>
      <c r="D675" s="278">
        <v>39420</v>
      </c>
      <c r="E675" s="278"/>
      <c r="F675" s="277" t="s">
        <v>8</v>
      </c>
      <c r="G675" s="276" t="str">
        <f t="shared" si="27"/>
        <v>1ج م ع3</v>
      </c>
      <c r="H675" s="242" t="s">
        <v>96</v>
      </c>
      <c r="I675" s="141"/>
      <c r="J675" s="231"/>
      <c r="K675" s="237"/>
      <c r="L675" s="203"/>
      <c r="M675" s="672"/>
      <c r="N675" s="698"/>
      <c r="O675" s="698"/>
      <c r="P675" s="698"/>
    </row>
    <row r="676" spans="1:16" s="697" customFormat="1">
      <c r="A676" s="268">
        <v>565</v>
      </c>
      <c r="B676" s="586" t="s">
        <v>1667</v>
      </c>
      <c r="C676" s="586" t="s">
        <v>1668</v>
      </c>
      <c r="D676" s="278">
        <v>39070</v>
      </c>
      <c r="E676" s="278"/>
      <c r="F676" s="277" t="s">
        <v>8</v>
      </c>
      <c r="G676" s="276" t="str">
        <f t="shared" si="27"/>
        <v>1ج م ع3</v>
      </c>
      <c r="H676" s="241" t="s">
        <v>91</v>
      </c>
      <c r="I676" s="141"/>
      <c r="J676" s="231"/>
      <c r="K676" s="237"/>
      <c r="L676" s="203"/>
      <c r="M676" s="672"/>
      <c r="N676" s="698"/>
      <c r="O676" s="698"/>
      <c r="P676" s="698"/>
    </row>
    <row r="677" spans="1:16" s="697" customFormat="1">
      <c r="A677" s="268">
        <v>566</v>
      </c>
      <c r="B677" s="586" t="s">
        <v>1669</v>
      </c>
      <c r="C677" s="586" t="s">
        <v>1670</v>
      </c>
      <c r="D677" s="278">
        <v>39019</v>
      </c>
      <c r="E677" s="278"/>
      <c r="F677" s="277" t="s">
        <v>8</v>
      </c>
      <c r="G677" s="276" t="str">
        <f t="shared" si="27"/>
        <v>1ج م ع3</v>
      </c>
      <c r="H677" s="241" t="s">
        <v>91</v>
      </c>
      <c r="I677" s="141"/>
      <c r="J677" s="231"/>
      <c r="K677" s="237"/>
      <c r="L677" s="203"/>
      <c r="M677" s="672"/>
      <c r="N677" s="698"/>
      <c r="O677" s="698"/>
      <c r="P677" s="698"/>
    </row>
    <row r="678" spans="1:16" s="697" customFormat="1" ht="31.5">
      <c r="A678" s="268">
        <v>567</v>
      </c>
      <c r="B678" s="586" t="s">
        <v>1671</v>
      </c>
      <c r="C678" s="586" t="s">
        <v>1672</v>
      </c>
      <c r="D678" s="278">
        <v>39449</v>
      </c>
      <c r="E678" s="278"/>
      <c r="F678" s="277" t="s">
        <v>8</v>
      </c>
      <c r="G678" s="276" t="str">
        <f t="shared" si="27"/>
        <v>1ج م ع3</v>
      </c>
      <c r="H678" s="242" t="s">
        <v>96</v>
      </c>
      <c r="I678" s="141"/>
      <c r="J678" s="231"/>
      <c r="K678" s="237"/>
      <c r="L678" s="203"/>
      <c r="M678" s="672"/>
      <c r="N678" s="698"/>
      <c r="O678" s="698"/>
      <c r="P678" s="698"/>
    </row>
    <row r="679" spans="1:16" s="697" customFormat="1">
      <c r="A679" s="268">
        <v>568</v>
      </c>
      <c r="B679" s="586" t="s">
        <v>1673</v>
      </c>
      <c r="C679" s="586" t="s">
        <v>1674</v>
      </c>
      <c r="D679" s="278">
        <v>39480</v>
      </c>
      <c r="E679" s="278"/>
      <c r="F679" s="277" t="s">
        <v>8</v>
      </c>
      <c r="G679" s="276" t="str">
        <f t="shared" si="27"/>
        <v>1ج م ع3</v>
      </c>
      <c r="H679" s="241" t="s">
        <v>91</v>
      </c>
      <c r="I679" s="141"/>
      <c r="J679" s="231"/>
      <c r="K679" s="237"/>
      <c r="L679" s="203"/>
      <c r="M679" s="672"/>
      <c r="N679" s="698"/>
      <c r="O679" s="698"/>
      <c r="P679" s="698"/>
    </row>
    <row r="680" spans="1:16" s="697" customFormat="1">
      <c r="A680" s="268">
        <v>569</v>
      </c>
      <c r="B680" s="586" t="s">
        <v>1351</v>
      </c>
      <c r="C680" s="586" t="s">
        <v>1275</v>
      </c>
      <c r="D680" s="278">
        <v>39229</v>
      </c>
      <c r="E680" s="278"/>
      <c r="F680" s="277" t="s">
        <v>8</v>
      </c>
      <c r="G680" s="276" t="str">
        <f t="shared" si="27"/>
        <v>1ج م ع3</v>
      </c>
      <c r="H680" s="241" t="s">
        <v>91</v>
      </c>
      <c r="I680" s="141"/>
      <c r="J680" s="231"/>
      <c r="K680" s="237"/>
      <c r="L680" s="203"/>
      <c r="M680" s="672"/>
      <c r="N680" s="698"/>
      <c r="O680" s="698"/>
      <c r="P680" s="698"/>
    </row>
    <row r="681" spans="1:16" s="697" customFormat="1">
      <c r="A681" s="268">
        <v>570</v>
      </c>
      <c r="B681" s="586" t="s">
        <v>1576</v>
      </c>
      <c r="C681" s="586" t="s">
        <v>1281</v>
      </c>
      <c r="D681" s="278">
        <v>38752</v>
      </c>
      <c r="E681" s="278"/>
      <c r="F681" s="277" t="s">
        <v>8</v>
      </c>
      <c r="G681" s="276" t="str">
        <f t="shared" si="27"/>
        <v>1ج م ع3</v>
      </c>
      <c r="H681" s="241" t="s">
        <v>91</v>
      </c>
      <c r="I681" s="141"/>
      <c r="J681" s="231"/>
      <c r="K681" s="237"/>
      <c r="L681" s="203"/>
      <c r="M681" s="672"/>
      <c r="N681" s="698"/>
      <c r="O681" s="698"/>
      <c r="P681" s="698"/>
    </row>
    <row r="682" spans="1:16" s="697" customFormat="1" ht="31.5">
      <c r="A682" s="268">
        <v>571</v>
      </c>
      <c r="B682" s="586" t="s">
        <v>1675</v>
      </c>
      <c r="C682" s="586" t="s">
        <v>1676</v>
      </c>
      <c r="D682" s="278">
        <v>39159</v>
      </c>
      <c r="E682" s="278"/>
      <c r="F682" s="277" t="s">
        <v>8</v>
      </c>
      <c r="G682" s="276" t="str">
        <f t="shared" si="27"/>
        <v>1ج م ع3</v>
      </c>
      <c r="H682" s="241" t="s">
        <v>91</v>
      </c>
      <c r="I682" s="141"/>
      <c r="J682" s="231"/>
      <c r="K682" s="237"/>
      <c r="L682" s="203"/>
      <c r="M682" s="672"/>
      <c r="N682" s="698"/>
      <c r="O682" s="698"/>
      <c r="P682" s="698"/>
    </row>
    <row r="683" spans="1:16" s="697" customFormat="1">
      <c r="A683" s="268">
        <v>572</v>
      </c>
      <c r="B683" s="586" t="s">
        <v>1677</v>
      </c>
      <c r="C683" s="586" t="s">
        <v>1571</v>
      </c>
      <c r="D683" s="278">
        <v>39243</v>
      </c>
      <c r="E683" s="278"/>
      <c r="F683" s="277" t="s">
        <v>8</v>
      </c>
      <c r="G683" s="276" t="str">
        <f t="shared" si="27"/>
        <v>1ج م ع3</v>
      </c>
      <c r="H683" s="241" t="s">
        <v>91</v>
      </c>
      <c r="I683" s="141"/>
      <c r="J683" s="231"/>
      <c r="K683" s="237"/>
      <c r="L683" s="203"/>
      <c r="M683" s="672"/>
      <c r="N683" s="698"/>
      <c r="O683" s="698"/>
      <c r="P683" s="698"/>
    </row>
    <row r="684" spans="1:16" s="697" customFormat="1">
      <c r="A684" s="268">
        <v>573</v>
      </c>
      <c r="B684" s="586" t="s">
        <v>1678</v>
      </c>
      <c r="C684" s="586" t="s">
        <v>1379</v>
      </c>
      <c r="D684" s="278">
        <v>39205</v>
      </c>
      <c r="E684" s="278"/>
      <c r="F684" s="277" t="s">
        <v>8</v>
      </c>
      <c r="G684" s="276" t="str">
        <f t="shared" si="27"/>
        <v>1ج م ع3</v>
      </c>
      <c r="H684" s="241" t="s">
        <v>91</v>
      </c>
      <c r="I684" s="141"/>
      <c r="J684" s="231"/>
      <c r="K684" s="237"/>
      <c r="L684" s="203"/>
      <c r="M684" s="672"/>
      <c r="N684" s="698"/>
      <c r="O684" s="698"/>
      <c r="P684" s="698"/>
    </row>
    <row r="685" spans="1:16" s="697" customFormat="1" ht="47.25">
      <c r="A685" s="268">
        <v>574</v>
      </c>
      <c r="B685" s="586" t="s">
        <v>1679</v>
      </c>
      <c r="C685" s="586" t="s">
        <v>1680</v>
      </c>
      <c r="D685" s="278">
        <v>39430</v>
      </c>
      <c r="E685" s="278"/>
      <c r="F685" s="277" t="s">
        <v>8</v>
      </c>
      <c r="G685" s="276" t="str">
        <f t="shared" si="27"/>
        <v>1ج م ع3</v>
      </c>
      <c r="H685" s="241" t="s">
        <v>91</v>
      </c>
      <c r="I685" s="141"/>
      <c r="J685" s="231"/>
      <c r="K685" s="237"/>
      <c r="L685" s="203"/>
      <c r="M685" s="672"/>
      <c r="N685" s="698"/>
      <c r="O685" s="698"/>
      <c r="P685" s="698"/>
    </row>
    <row r="686" spans="1:16" s="697" customFormat="1">
      <c r="A686" s="268">
        <v>575</v>
      </c>
      <c r="B686" s="586" t="s">
        <v>1052</v>
      </c>
      <c r="C686" s="586" t="s">
        <v>1053</v>
      </c>
      <c r="D686" s="278">
        <v>38619</v>
      </c>
      <c r="E686" s="278" t="s">
        <v>90</v>
      </c>
      <c r="F686" s="277" t="s">
        <v>8</v>
      </c>
      <c r="G686" s="276" t="str">
        <f t="shared" si="27"/>
        <v>1ج م ع3</v>
      </c>
      <c r="H686" s="241" t="s">
        <v>91</v>
      </c>
      <c r="I686" s="141"/>
      <c r="J686" s="231"/>
      <c r="K686" s="671" t="s">
        <v>628</v>
      </c>
      <c r="L686" s="203"/>
      <c r="M686" s="672"/>
      <c r="N686" s="698"/>
      <c r="O686" s="698"/>
      <c r="P686" s="698"/>
    </row>
    <row r="687" spans="1:16" s="697" customFormat="1" ht="31.5">
      <c r="A687" s="268">
        <v>576</v>
      </c>
      <c r="B687" s="586" t="s">
        <v>161</v>
      </c>
      <c r="C687" s="586" t="s">
        <v>1681</v>
      </c>
      <c r="D687" s="278">
        <v>39302</v>
      </c>
      <c r="E687" s="278"/>
      <c r="F687" s="277" t="s">
        <v>8</v>
      </c>
      <c r="G687" s="276" t="str">
        <f t="shared" si="27"/>
        <v>1ج م ع3</v>
      </c>
      <c r="H687" s="242" t="s">
        <v>96</v>
      </c>
      <c r="I687" s="141"/>
      <c r="J687" s="231"/>
      <c r="K687" s="404"/>
      <c r="L687" s="203"/>
      <c r="M687" s="672"/>
      <c r="N687" s="698"/>
      <c r="O687" s="698"/>
      <c r="P687" s="698"/>
    </row>
    <row r="688" spans="1:16" s="697" customFormat="1" ht="47.25">
      <c r="A688" s="268">
        <v>577</v>
      </c>
      <c r="B688" s="586" t="s">
        <v>1589</v>
      </c>
      <c r="C688" s="586" t="s">
        <v>1682</v>
      </c>
      <c r="D688" s="278">
        <v>39420</v>
      </c>
      <c r="E688" s="278"/>
      <c r="F688" s="277" t="s">
        <v>8</v>
      </c>
      <c r="G688" s="276" t="str">
        <f t="shared" si="27"/>
        <v>1ج م ع3</v>
      </c>
      <c r="H688" s="242" t="s">
        <v>96</v>
      </c>
      <c r="I688" s="141"/>
      <c r="J688" s="231"/>
      <c r="K688" s="404"/>
      <c r="L688" s="203"/>
      <c r="M688" s="672"/>
      <c r="N688" s="698"/>
      <c r="O688" s="698"/>
      <c r="P688" s="698"/>
    </row>
    <row r="689" spans="1:16" s="697" customFormat="1">
      <c r="A689" s="268">
        <v>578</v>
      </c>
      <c r="B689" s="586" t="s">
        <v>1683</v>
      </c>
      <c r="C689" s="586" t="s">
        <v>1684</v>
      </c>
      <c r="D689" s="278">
        <v>39474</v>
      </c>
      <c r="E689" s="278"/>
      <c r="F689" s="277" t="s">
        <v>8</v>
      </c>
      <c r="G689" s="276" t="str">
        <f t="shared" ref="G689:G752" si="28">F689</f>
        <v>1ج م ع3</v>
      </c>
      <c r="H689" s="242" t="s">
        <v>96</v>
      </c>
      <c r="I689" s="141"/>
      <c r="J689" s="231"/>
      <c r="K689" s="671" t="s">
        <v>628</v>
      </c>
      <c r="L689" s="203"/>
      <c r="M689" s="672"/>
      <c r="N689" s="698"/>
      <c r="O689" s="698"/>
      <c r="P689" s="698"/>
    </row>
    <row r="690" spans="1:16" s="697" customFormat="1">
      <c r="A690" s="268">
        <v>579</v>
      </c>
      <c r="B690" s="586" t="s">
        <v>1500</v>
      </c>
      <c r="C690" s="586" t="s">
        <v>94</v>
      </c>
      <c r="D690" s="278">
        <v>38509</v>
      </c>
      <c r="E690" s="278" t="s">
        <v>1501</v>
      </c>
      <c r="F690" s="277" t="s">
        <v>8</v>
      </c>
      <c r="G690" s="276" t="str">
        <f t="shared" si="28"/>
        <v>1ج م ع3</v>
      </c>
      <c r="H690" s="242" t="s">
        <v>96</v>
      </c>
      <c r="I690" s="141"/>
      <c r="J690" s="231"/>
      <c r="K690" s="404"/>
      <c r="L690" s="203"/>
      <c r="M690" s="672"/>
      <c r="N690" s="698"/>
      <c r="O690" s="698"/>
      <c r="P690" s="698"/>
    </row>
    <row r="691" spans="1:16" s="697" customFormat="1">
      <c r="A691" s="268">
        <v>580</v>
      </c>
      <c r="B691" s="586" t="s">
        <v>1734</v>
      </c>
      <c r="C691" s="586" t="s">
        <v>1430</v>
      </c>
      <c r="D691" s="278">
        <v>39210</v>
      </c>
      <c r="E691" s="278"/>
      <c r="F691" s="277" t="s">
        <v>8</v>
      </c>
      <c r="G691" s="276" t="str">
        <f t="shared" si="28"/>
        <v>1ج م ع3</v>
      </c>
      <c r="H691" s="241" t="s">
        <v>91</v>
      </c>
      <c r="I691" s="141"/>
      <c r="J691" s="231"/>
      <c r="K691" s="671" t="s">
        <v>1873</v>
      </c>
      <c r="L691" s="203"/>
      <c r="M691" s="672"/>
      <c r="N691" s="698"/>
      <c r="O691" s="698"/>
      <c r="P691" s="698"/>
    </row>
    <row r="692" spans="1:16" s="697" customFormat="1" ht="31.5">
      <c r="A692" s="268">
        <v>581</v>
      </c>
      <c r="B692" s="586" t="s">
        <v>695</v>
      </c>
      <c r="C692" s="586" t="s">
        <v>1685</v>
      </c>
      <c r="D692" s="278">
        <v>39505</v>
      </c>
      <c r="E692" s="278"/>
      <c r="F692" s="277" t="s">
        <v>8</v>
      </c>
      <c r="G692" s="276" t="str">
        <f t="shared" si="28"/>
        <v>1ج م ع3</v>
      </c>
      <c r="H692" s="241" t="s">
        <v>91</v>
      </c>
      <c r="I692" s="141"/>
      <c r="J692" s="231"/>
      <c r="K692" s="237"/>
      <c r="L692" s="203"/>
      <c r="M692" s="672"/>
      <c r="N692" s="698"/>
      <c r="O692" s="698"/>
      <c r="P692" s="698"/>
    </row>
    <row r="693" spans="1:16" s="697" customFormat="1" ht="47.25">
      <c r="A693" s="268">
        <v>582</v>
      </c>
      <c r="B693" s="586" t="s">
        <v>1686</v>
      </c>
      <c r="C693" s="586" t="s">
        <v>1687</v>
      </c>
      <c r="D693" s="278">
        <v>39278</v>
      </c>
      <c r="E693" s="278"/>
      <c r="F693" s="277" t="s">
        <v>8</v>
      </c>
      <c r="G693" s="276" t="str">
        <f t="shared" si="28"/>
        <v>1ج م ع3</v>
      </c>
      <c r="H693" s="242" t="s">
        <v>96</v>
      </c>
      <c r="I693" s="141"/>
      <c r="J693" s="231"/>
      <c r="K693" s="237"/>
      <c r="L693" s="203"/>
      <c r="M693" s="672"/>
      <c r="N693" s="698"/>
      <c r="O693" s="698"/>
      <c r="P693" s="698"/>
    </row>
    <row r="694" spans="1:16" s="697" customFormat="1" ht="31.5">
      <c r="A694" s="268">
        <v>583</v>
      </c>
      <c r="B694" s="586" t="s">
        <v>694</v>
      </c>
      <c r="C694" s="586" t="s">
        <v>1692</v>
      </c>
      <c r="D694" s="278">
        <v>39507</v>
      </c>
      <c r="E694" s="278"/>
      <c r="F694" s="277" t="s">
        <v>8</v>
      </c>
      <c r="G694" s="276" t="str">
        <f t="shared" si="28"/>
        <v>1ج م ع3</v>
      </c>
      <c r="H694" s="241" t="s">
        <v>91</v>
      </c>
      <c r="I694" s="141"/>
      <c r="J694" s="231"/>
      <c r="K694" s="237"/>
      <c r="L694" s="203"/>
      <c r="M694" s="672"/>
      <c r="N694" s="698"/>
      <c r="O694" s="698"/>
      <c r="P694" s="698"/>
    </row>
    <row r="695" spans="1:16" s="697" customFormat="1" ht="31.5">
      <c r="A695" s="268">
        <v>584</v>
      </c>
      <c r="B695" s="586" t="s">
        <v>188</v>
      </c>
      <c r="C695" s="586" t="s">
        <v>1693</v>
      </c>
      <c r="D695" s="278">
        <v>39189</v>
      </c>
      <c r="E695" s="278"/>
      <c r="F695" s="277" t="s">
        <v>8</v>
      </c>
      <c r="G695" s="276" t="str">
        <f t="shared" si="28"/>
        <v>1ج م ع3</v>
      </c>
      <c r="H695" s="241" t="s">
        <v>91</v>
      </c>
      <c r="I695" s="141"/>
      <c r="J695" s="231"/>
      <c r="K695" s="237"/>
      <c r="L695" s="203"/>
      <c r="M695" s="672"/>
      <c r="N695" s="698"/>
      <c r="O695" s="698"/>
      <c r="P695" s="698"/>
    </row>
    <row r="696" spans="1:16" s="697" customFormat="1" ht="31.5">
      <c r="A696" s="268">
        <v>585</v>
      </c>
      <c r="B696" s="586" t="s">
        <v>1694</v>
      </c>
      <c r="C696" s="586" t="s">
        <v>1695</v>
      </c>
      <c r="D696" s="278">
        <v>39251</v>
      </c>
      <c r="E696" s="278"/>
      <c r="F696" s="277" t="s">
        <v>8</v>
      </c>
      <c r="G696" s="276" t="str">
        <f t="shared" si="28"/>
        <v>1ج م ع3</v>
      </c>
      <c r="H696" s="242" t="s">
        <v>96</v>
      </c>
      <c r="I696" s="141"/>
      <c r="J696" s="231"/>
      <c r="K696" s="237"/>
      <c r="L696" s="203"/>
      <c r="M696" s="672"/>
      <c r="N696" s="698"/>
      <c r="O696" s="698"/>
      <c r="P696" s="698"/>
    </row>
    <row r="697" spans="1:16" s="697" customFormat="1">
      <c r="A697" s="268">
        <v>586</v>
      </c>
      <c r="B697" s="586" t="s">
        <v>1696</v>
      </c>
      <c r="C697" s="586" t="s">
        <v>1697</v>
      </c>
      <c r="D697" s="278">
        <v>39205</v>
      </c>
      <c r="E697" s="278"/>
      <c r="F697" s="277" t="s">
        <v>8</v>
      </c>
      <c r="G697" s="276" t="str">
        <f t="shared" si="28"/>
        <v>1ج م ع3</v>
      </c>
      <c r="H697" s="242" t="s">
        <v>96</v>
      </c>
      <c r="I697" s="141"/>
      <c r="J697" s="231"/>
      <c r="K697" s="237"/>
      <c r="L697" s="203"/>
      <c r="M697" s="672"/>
      <c r="N697" s="698"/>
      <c r="O697" s="698"/>
      <c r="P697" s="698"/>
    </row>
    <row r="698" spans="1:16" s="697" customFormat="1">
      <c r="A698" s="268">
        <v>587</v>
      </c>
      <c r="B698" s="586" t="s">
        <v>1698</v>
      </c>
      <c r="C698" s="586" t="s">
        <v>1674</v>
      </c>
      <c r="D698" s="278">
        <v>39371</v>
      </c>
      <c r="E698" s="278"/>
      <c r="F698" s="277" t="s">
        <v>8</v>
      </c>
      <c r="G698" s="276" t="str">
        <f t="shared" si="28"/>
        <v>1ج م ع3</v>
      </c>
      <c r="H698" s="241" t="s">
        <v>91</v>
      </c>
      <c r="I698" s="141"/>
      <c r="J698" s="231"/>
      <c r="K698" s="237"/>
      <c r="L698" s="203"/>
      <c r="M698" s="672"/>
      <c r="N698" s="698"/>
      <c r="O698" s="698"/>
      <c r="P698" s="698"/>
    </row>
    <row r="699" spans="1:16" s="697" customFormat="1">
      <c r="A699" s="268">
        <v>588</v>
      </c>
      <c r="B699" s="586" t="s">
        <v>1699</v>
      </c>
      <c r="C699" s="586" t="s">
        <v>1700</v>
      </c>
      <c r="D699" s="278">
        <v>39326</v>
      </c>
      <c r="E699" s="278"/>
      <c r="F699" s="277" t="s">
        <v>8</v>
      </c>
      <c r="G699" s="276" t="str">
        <f t="shared" si="28"/>
        <v>1ج م ع3</v>
      </c>
      <c r="H699" s="242" t="s">
        <v>96</v>
      </c>
      <c r="I699" s="141"/>
      <c r="J699" s="231"/>
      <c r="K699" s="237"/>
      <c r="L699" s="203"/>
      <c r="M699" s="672"/>
      <c r="N699" s="698"/>
      <c r="O699" s="698"/>
      <c r="P699" s="698"/>
    </row>
    <row r="700" spans="1:16" s="697" customFormat="1" ht="31.5">
      <c r="A700" s="268">
        <v>589</v>
      </c>
      <c r="B700" s="586" t="s">
        <v>1452</v>
      </c>
      <c r="C700" s="586" t="s">
        <v>1701</v>
      </c>
      <c r="D700" s="278">
        <v>39445</v>
      </c>
      <c r="E700" s="278"/>
      <c r="F700" s="277" t="s">
        <v>8</v>
      </c>
      <c r="G700" s="276" t="str">
        <f t="shared" si="28"/>
        <v>1ج م ع3</v>
      </c>
      <c r="H700" s="242" t="s">
        <v>96</v>
      </c>
      <c r="I700" s="141"/>
      <c r="J700" s="231"/>
      <c r="K700" s="237"/>
      <c r="L700" s="203"/>
      <c r="M700" s="672"/>
      <c r="N700" s="698"/>
      <c r="O700" s="698"/>
      <c r="P700" s="698"/>
    </row>
    <row r="701" spans="1:16" s="697" customFormat="1">
      <c r="A701" s="268">
        <v>590</v>
      </c>
      <c r="B701" s="586" t="s">
        <v>889</v>
      </c>
      <c r="C701" s="586" t="s">
        <v>1702</v>
      </c>
      <c r="D701" s="278">
        <v>39468</v>
      </c>
      <c r="E701" s="278"/>
      <c r="F701" s="277" t="s">
        <v>8</v>
      </c>
      <c r="G701" s="276" t="str">
        <f t="shared" si="28"/>
        <v>1ج م ع3</v>
      </c>
      <c r="H701" s="241" t="s">
        <v>91</v>
      </c>
      <c r="I701" s="141"/>
      <c r="J701" s="231"/>
      <c r="K701" s="237"/>
      <c r="L701" s="203"/>
      <c r="M701" s="672"/>
      <c r="N701" s="698"/>
      <c r="O701" s="698"/>
      <c r="P701" s="698"/>
    </row>
    <row r="702" spans="1:16" s="697" customFormat="1">
      <c r="A702" s="268">
        <v>591</v>
      </c>
      <c r="B702" s="586" t="s">
        <v>699</v>
      </c>
      <c r="C702" s="586" t="s">
        <v>1658</v>
      </c>
      <c r="D702" s="278">
        <v>39314</v>
      </c>
      <c r="E702" s="278"/>
      <c r="F702" s="277" t="s">
        <v>8</v>
      </c>
      <c r="G702" s="276" t="str">
        <f t="shared" si="28"/>
        <v>1ج م ع3</v>
      </c>
      <c r="H702" s="241" t="s">
        <v>91</v>
      </c>
      <c r="I702" s="141"/>
      <c r="J702" s="231"/>
      <c r="K702" s="237"/>
      <c r="L702" s="203"/>
      <c r="M702" s="672"/>
      <c r="N702" s="698"/>
      <c r="O702" s="698"/>
      <c r="P702" s="698"/>
    </row>
    <row r="703" spans="1:16" s="697" customFormat="1" ht="31.5">
      <c r="A703" s="268">
        <v>592</v>
      </c>
      <c r="B703" s="586" t="s">
        <v>1703</v>
      </c>
      <c r="C703" s="586" t="s">
        <v>1704</v>
      </c>
      <c r="D703" s="278">
        <v>39305</v>
      </c>
      <c r="E703" s="278"/>
      <c r="F703" s="277" t="s">
        <v>8</v>
      </c>
      <c r="G703" s="276" t="str">
        <f t="shared" si="28"/>
        <v>1ج م ع3</v>
      </c>
      <c r="H703" s="242" t="s">
        <v>96</v>
      </c>
      <c r="I703" s="141"/>
      <c r="J703" s="231"/>
      <c r="K703" s="237"/>
      <c r="L703" s="203"/>
      <c r="M703" s="672"/>
      <c r="N703" s="698"/>
      <c r="O703" s="698"/>
      <c r="P703" s="698"/>
    </row>
    <row r="704" spans="1:16" s="697" customFormat="1">
      <c r="A704" s="268">
        <v>593</v>
      </c>
      <c r="B704" s="586" t="s">
        <v>1705</v>
      </c>
      <c r="C704" s="586" t="s">
        <v>1706</v>
      </c>
      <c r="D704" s="278">
        <v>39468</v>
      </c>
      <c r="E704" s="278"/>
      <c r="F704" s="277" t="s">
        <v>525</v>
      </c>
      <c r="G704" s="276" t="str">
        <f t="shared" si="28"/>
        <v>1ج م ع4</v>
      </c>
      <c r="H704" s="240" t="s">
        <v>1458</v>
      </c>
      <c r="I704" s="141"/>
      <c r="J704" s="231"/>
      <c r="K704" s="237"/>
      <c r="L704" s="203"/>
      <c r="M704" s="672"/>
      <c r="N704" s="698"/>
      <c r="O704" s="698"/>
      <c r="P704" s="698"/>
    </row>
    <row r="705" spans="1:16" s="697" customFormat="1">
      <c r="A705" s="268">
        <v>594</v>
      </c>
      <c r="B705" s="586" t="s">
        <v>73</v>
      </c>
      <c r="C705" s="586" t="s">
        <v>1294</v>
      </c>
      <c r="D705" s="278">
        <v>38830</v>
      </c>
      <c r="E705" s="278" t="s">
        <v>90</v>
      </c>
      <c r="F705" s="277" t="s">
        <v>525</v>
      </c>
      <c r="G705" s="276" t="str">
        <f t="shared" si="28"/>
        <v>1ج م ع4</v>
      </c>
      <c r="H705" s="240" t="s">
        <v>1459</v>
      </c>
      <c r="I705" s="141"/>
      <c r="J705" s="231"/>
      <c r="K705" s="237"/>
      <c r="L705" s="203"/>
      <c r="M705" s="672"/>
      <c r="N705" s="698"/>
      <c r="O705" s="698"/>
      <c r="P705" s="698"/>
    </row>
    <row r="706" spans="1:16" s="697" customFormat="1" ht="31.5">
      <c r="A706" s="268">
        <v>595</v>
      </c>
      <c r="B706" s="586" t="s">
        <v>1707</v>
      </c>
      <c r="C706" s="586" t="s">
        <v>1708</v>
      </c>
      <c r="D706" s="278">
        <v>39133</v>
      </c>
      <c r="E706" s="278"/>
      <c r="F706" s="277" t="s">
        <v>525</v>
      </c>
      <c r="G706" s="276" t="str">
        <f t="shared" si="28"/>
        <v>1ج م ع4</v>
      </c>
      <c r="H706" s="240" t="s">
        <v>1458</v>
      </c>
      <c r="I706" s="141"/>
      <c r="J706" s="231"/>
      <c r="K706" s="237"/>
      <c r="L706" s="203"/>
      <c r="M706" s="672"/>
      <c r="N706" s="698"/>
      <c r="O706" s="698"/>
      <c r="P706" s="698"/>
    </row>
    <row r="707" spans="1:16" s="697" customFormat="1" ht="31.5">
      <c r="A707" s="268">
        <v>596</v>
      </c>
      <c r="B707" s="586" t="s">
        <v>695</v>
      </c>
      <c r="C707" s="586" t="s">
        <v>1383</v>
      </c>
      <c r="D707" s="278">
        <v>39158</v>
      </c>
      <c r="E707" s="278"/>
      <c r="F707" s="277" t="s">
        <v>525</v>
      </c>
      <c r="G707" s="276" t="str">
        <f t="shared" si="28"/>
        <v>1ج م ع4</v>
      </c>
      <c r="H707" s="240" t="s">
        <v>1458</v>
      </c>
      <c r="I707" s="141"/>
      <c r="J707" s="231"/>
      <c r="K707" s="237"/>
      <c r="L707" s="203"/>
      <c r="M707" s="672"/>
      <c r="N707" s="698"/>
      <c r="O707" s="698"/>
      <c r="P707" s="698"/>
    </row>
    <row r="708" spans="1:16" s="697" customFormat="1" ht="31.5">
      <c r="A708" s="268">
        <v>597</v>
      </c>
      <c r="B708" s="586" t="s">
        <v>509</v>
      </c>
      <c r="C708" s="586" t="s">
        <v>1709</v>
      </c>
      <c r="D708" s="278">
        <v>39531</v>
      </c>
      <c r="E708" s="278"/>
      <c r="F708" s="277" t="s">
        <v>525</v>
      </c>
      <c r="G708" s="276" t="str">
        <f t="shared" si="28"/>
        <v>1ج م ع4</v>
      </c>
      <c r="H708" s="240" t="s">
        <v>1458</v>
      </c>
      <c r="I708" s="141"/>
      <c r="J708" s="231"/>
      <c r="K708" s="237"/>
      <c r="L708" s="203"/>
      <c r="M708" s="672"/>
      <c r="N708" s="698"/>
      <c r="O708" s="698"/>
      <c r="P708" s="698"/>
    </row>
    <row r="709" spans="1:16" s="697" customFormat="1" ht="31.5">
      <c r="A709" s="268">
        <v>598</v>
      </c>
      <c r="B709" s="586" t="s">
        <v>892</v>
      </c>
      <c r="C709" s="586" t="s">
        <v>1710</v>
      </c>
      <c r="D709" s="278">
        <v>39270</v>
      </c>
      <c r="E709" s="278"/>
      <c r="F709" s="277" t="s">
        <v>525</v>
      </c>
      <c r="G709" s="276" t="str">
        <f t="shared" si="28"/>
        <v>1ج م ع4</v>
      </c>
      <c r="H709" s="240" t="s">
        <v>1458</v>
      </c>
      <c r="I709" s="141"/>
      <c r="J709" s="231"/>
      <c r="K709" s="237"/>
      <c r="L709" s="203"/>
      <c r="M709" s="672"/>
      <c r="N709" s="698"/>
      <c r="O709" s="698"/>
      <c r="P709" s="698"/>
    </row>
    <row r="710" spans="1:16" s="697" customFormat="1">
      <c r="A710" s="268">
        <v>599</v>
      </c>
      <c r="B710" s="586" t="s">
        <v>889</v>
      </c>
      <c r="C710" s="586" t="s">
        <v>1711</v>
      </c>
      <c r="D710" s="278">
        <v>39400</v>
      </c>
      <c r="E710" s="278"/>
      <c r="F710" s="277" t="s">
        <v>525</v>
      </c>
      <c r="G710" s="276" t="str">
        <f t="shared" si="28"/>
        <v>1ج م ع4</v>
      </c>
      <c r="H710" s="240" t="s">
        <v>1458</v>
      </c>
      <c r="I710" s="141"/>
      <c r="J710" s="231"/>
      <c r="K710" s="237"/>
      <c r="L710" s="203"/>
      <c r="M710" s="672"/>
      <c r="N710" s="698"/>
      <c r="O710" s="698"/>
      <c r="P710" s="698"/>
    </row>
    <row r="711" spans="1:16" s="697" customFormat="1">
      <c r="A711" s="268">
        <v>600</v>
      </c>
      <c r="B711" s="586" t="s">
        <v>1325</v>
      </c>
      <c r="C711" s="586" t="s">
        <v>1712</v>
      </c>
      <c r="D711" s="278">
        <v>39240</v>
      </c>
      <c r="E711" s="278"/>
      <c r="F711" s="277" t="s">
        <v>525</v>
      </c>
      <c r="G711" s="276" t="str">
        <f t="shared" si="28"/>
        <v>1ج م ع4</v>
      </c>
      <c r="H711" s="241" t="s">
        <v>91</v>
      </c>
      <c r="I711" s="141"/>
      <c r="J711" s="231"/>
      <c r="K711" s="237"/>
      <c r="L711" s="203"/>
      <c r="M711" s="672"/>
      <c r="N711" s="698"/>
      <c r="O711" s="698"/>
      <c r="P711" s="698"/>
    </row>
    <row r="712" spans="1:16" s="697" customFormat="1">
      <c r="A712" s="268">
        <v>601</v>
      </c>
      <c r="B712" s="586" t="s">
        <v>1076</v>
      </c>
      <c r="C712" s="586" t="s">
        <v>1329</v>
      </c>
      <c r="D712" s="278">
        <v>39375</v>
      </c>
      <c r="E712" s="278" t="s">
        <v>1185</v>
      </c>
      <c r="F712" s="277" t="s">
        <v>525</v>
      </c>
      <c r="G712" s="276" t="str">
        <f t="shared" si="28"/>
        <v>1ج م ع4</v>
      </c>
      <c r="H712" s="241" t="s">
        <v>91</v>
      </c>
      <c r="I712" s="141"/>
      <c r="J712" s="231"/>
      <c r="K712" s="237"/>
      <c r="L712" s="203"/>
      <c r="M712" s="672"/>
      <c r="N712" s="698"/>
      <c r="O712" s="698"/>
      <c r="P712" s="698"/>
    </row>
    <row r="713" spans="1:16" s="697" customFormat="1">
      <c r="A713" s="268">
        <v>602</v>
      </c>
      <c r="B713" s="586" t="s">
        <v>1713</v>
      </c>
      <c r="C713" s="586" t="s">
        <v>1714</v>
      </c>
      <c r="D713" s="278">
        <v>39226</v>
      </c>
      <c r="E713" s="278"/>
      <c r="F713" s="277" t="s">
        <v>525</v>
      </c>
      <c r="G713" s="276" t="str">
        <f t="shared" si="28"/>
        <v>1ج م ع4</v>
      </c>
      <c r="H713" s="241" t="s">
        <v>91</v>
      </c>
      <c r="I713" s="141"/>
      <c r="J713" s="231"/>
      <c r="K713" s="237"/>
      <c r="L713" s="203"/>
      <c r="M713" s="672"/>
      <c r="N713" s="698"/>
      <c r="O713" s="698"/>
      <c r="P713" s="698"/>
    </row>
    <row r="714" spans="1:16" s="697" customFormat="1">
      <c r="A714" s="268">
        <v>603</v>
      </c>
      <c r="B714" s="586" t="s">
        <v>1715</v>
      </c>
      <c r="C714" s="586" t="s">
        <v>1716</v>
      </c>
      <c r="D714" s="278">
        <v>39413</v>
      </c>
      <c r="E714" s="278"/>
      <c r="F714" s="277" t="s">
        <v>525</v>
      </c>
      <c r="G714" s="276" t="str">
        <f t="shared" si="28"/>
        <v>1ج م ع4</v>
      </c>
      <c r="H714" s="241" t="s">
        <v>91</v>
      </c>
      <c r="I714" s="141"/>
      <c r="J714" s="231"/>
      <c r="K714" s="237"/>
      <c r="L714" s="203"/>
      <c r="M714" s="672"/>
      <c r="N714" s="698"/>
      <c r="O714" s="698"/>
      <c r="P714" s="698"/>
    </row>
    <row r="715" spans="1:16" s="697" customFormat="1" ht="31.5">
      <c r="A715" s="268">
        <v>604</v>
      </c>
      <c r="B715" s="586" t="s">
        <v>1717</v>
      </c>
      <c r="C715" s="586" t="s">
        <v>1445</v>
      </c>
      <c r="D715" s="278">
        <v>39308</v>
      </c>
      <c r="E715" s="278"/>
      <c r="F715" s="277" t="s">
        <v>525</v>
      </c>
      <c r="G715" s="276" t="str">
        <f t="shared" si="28"/>
        <v>1ج م ع4</v>
      </c>
      <c r="H715" s="242" t="s">
        <v>96</v>
      </c>
      <c r="I715" s="141"/>
      <c r="J715" s="231"/>
      <c r="K715" s="237"/>
      <c r="L715" s="203"/>
      <c r="M715" s="672"/>
      <c r="N715" s="698"/>
      <c r="O715" s="698"/>
      <c r="P715" s="698"/>
    </row>
    <row r="716" spans="1:16" s="697" customFormat="1">
      <c r="A716" s="268">
        <v>605</v>
      </c>
      <c r="B716" s="586" t="s">
        <v>693</v>
      </c>
      <c r="C716" s="586" t="s">
        <v>1718</v>
      </c>
      <c r="D716" s="278">
        <v>39210</v>
      </c>
      <c r="E716" s="278"/>
      <c r="F716" s="277" t="s">
        <v>525</v>
      </c>
      <c r="G716" s="276" t="str">
        <f t="shared" si="28"/>
        <v>1ج م ع4</v>
      </c>
      <c r="H716" s="242" t="s">
        <v>96</v>
      </c>
      <c r="I716" s="141"/>
      <c r="J716" s="231"/>
      <c r="K716" s="237"/>
      <c r="L716" s="203"/>
      <c r="M716" s="672"/>
      <c r="N716" s="698"/>
      <c r="O716" s="698"/>
      <c r="P716" s="698"/>
    </row>
    <row r="717" spans="1:16" s="697" customFormat="1">
      <c r="A717" s="268">
        <v>606</v>
      </c>
      <c r="B717" s="586" t="s">
        <v>1719</v>
      </c>
      <c r="C717" s="586" t="s">
        <v>1720</v>
      </c>
      <c r="D717" s="278">
        <v>39092</v>
      </c>
      <c r="E717" s="278"/>
      <c r="F717" s="277" t="s">
        <v>525</v>
      </c>
      <c r="G717" s="276" t="str">
        <f t="shared" si="28"/>
        <v>1ج م ع4</v>
      </c>
      <c r="H717" s="241" t="s">
        <v>91</v>
      </c>
      <c r="I717" s="141"/>
      <c r="J717" s="231"/>
      <c r="K717" s="404"/>
      <c r="L717" s="203"/>
      <c r="M717" s="672"/>
      <c r="N717" s="698"/>
      <c r="O717" s="698"/>
      <c r="P717" s="698"/>
    </row>
    <row r="718" spans="1:16" s="697" customFormat="1">
      <c r="A718" s="268">
        <v>607</v>
      </c>
      <c r="B718" s="586" t="s">
        <v>1721</v>
      </c>
      <c r="C718" s="586" t="s">
        <v>1722</v>
      </c>
      <c r="D718" s="278">
        <v>39546</v>
      </c>
      <c r="E718" s="278"/>
      <c r="F718" s="277" t="s">
        <v>525</v>
      </c>
      <c r="G718" s="276" t="str">
        <f t="shared" si="28"/>
        <v>1ج م ع4</v>
      </c>
      <c r="H718" s="242" t="s">
        <v>96</v>
      </c>
      <c r="I718" s="141"/>
      <c r="J718" s="231"/>
      <c r="K718" s="259" t="s">
        <v>628</v>
      </c>
      <c r="L718" s="203"/>
      <c r="M718" s="672"/>
      <c r="N718" s="698"/>
      <c r="O718" s="698"/>
      <c r="P718" s="698"/>
    </row>
    <row r="719" spans="1:16" s="697" customFormat="1">
      <c r="A719" s="268">
        <v>608</v>
      </c>
      <c r="B719" s="586" t="s">
        <v>1723</v>
      </c>
      <c r="C719" s="586" t="s">
        <v>1293</v>
      </c>
      <c r="D719" s="278">
        <v>39237</v>
      </c>
      <c r="E719" s="278"/>
      <c r="F719" s="277" t="s">
        <v>525</v>
      </c>
      <c r="G719" s="276" t="str">
        <f t="shared" si="28"/>
        <v>1ج م ع4</v>
      </c>
      <c r="H719" s="241" t="s">
        <v>91</v>
      </c>
      <c r="I719" s="141"/>
      <c r="J719" s="231"/>
      <c r="K719" s="259" t="s">
        <v>628</v>
      </c>
      <c r="L719" s="203"/>
      <c r="M719" s="672"/>
      <c r="N719" s="698"/>
      <c r="O719" s="698"/>
      <c r="P719" s="698"/>
    </row>
    <row r="720" spans="1:16" s="697" customFormat="1">
      <c r="A720" s="268">
        <v>609</v>
      </c>
      <c r="B720" s="586" t="s">
        <v>1725</v>
      </c>
      <c r="C720" s="586" t="s">
        <v>1726</v>
      </c>
      <c r="D720" s="278">
        <v>39432</v>
      </c>
      <c r="E720" s="278"/>
      <c r="F720" s="277" t="s">
        <v>525</v>
      </c>
      <c r="G720" s="276" t="str">
        <f t="shared" si="28"/>
        <v>1ج م ع4</v>
      </c>
      <c r="H720" s="241" t="s">
        <v>91</v>
      </c>
      <c r="I720" s="141"/>
      <c r="J720" s="231"/>
      <c r="K720" s="404"/>
      <c r="L720" s="203"/>
      <c r="M720" s="672"/>
      <c r="N720" s="698"/>
      <c r="O720" s="698"/>
      <c r="P720" s="698"/>
    </row>
    <row r="721" spans="1:16" s="697" customFormat="1" ht="31.5">
      <c r="A721" s="268">
        <v>610</v>
      </c>
      <c r="B721" s="586" t="s">
        <v>1727</v>
      </c>
      <c r="C721" s="586" t="s">
        <v>1728</v>
      </c>
      <c r="D721" s="278">
        <v>39515</v>
      </c>
      <c r="E721" s="278"/>
      <c r="F721" s="277" t="s">
        <v>525</v>
      </c>
      <c r="G721" s="276" t="str">
        <f t="shared" si="28"/>
        <v>1ج م ع4</v>
      </c>
      <c r="H721" s="242" t="s">
        <v>96</v>
      </c>
      <c r="I721" s="141"/>
      <c r="J721" s="231"/>
      <c r="K721" s="404"/>
      <c r="L721" s="203"/>
      <c r="M721" s="672"/>
      <c r="N721" s="698"/>
      <c r="O721" s="698"/>
      <c r="P721" s="698"/>
    </row>
    <row r="722" spans="1:16" s="697" customFormat="1" ht="31.5">
      <c r="A722" s="268">
        <v>611</v>
      </c>
      <c r="B722" s="586" t="s">
        <v>1634</v>
      </c>
      <c r="C722" s="586" t="s">
        <v>1729</v>
      </c>
      <c r="D722" s="278">
        <v>39382</v>
      </c>
      <c r="E722" s="278"/>
      <c r="F722" s="277" t="s">
        <v>525</v>
      </c>
      <c r="G722" s="276" t="str">
        <f t="shared" si="28"/>
        <v>1ج م ع4</v>
      </c>
      <c r="H722" s="242" t="s">
        <v>96</v>
      </c>
      <c r="I722" s="141"/>
      <c r="J722" s="231"/>
      <c r="K722" s="671" t="s">
        <v>628</v>
      </c>
      <c r="L722" s="203"/>
      <c r="M722" s="672"/>
      <c r="N722" s="698"/>
      <c r="O722" s="698"/>
      <c r="P722" s="698"/>
    </row>
    <row r="723" spans="1:16" s="697" customFormat="1" ht="31.5">
      <c r="A723" s="268">
        <v>612</v>
      </c>
      <c r="B723" s="586" t="s">
        <v>73</v>
      </c>
      <c r="C723" s="586" t="s">
        <v>1730</v>
      </c>
      <c r="D723" s="278">
        <v>39292</v>
      </c>
      <c r="E723" s="278"/>
      <c r="F723" s="277" t="s">
        <v>525</v>
      </c>
      <c r="G723" s="276" t="str">
        <f t="shared" si="28"/>
        <v>1ج م ع4</v>
      </c>
      <c r="H723" s="242" t="s">
        <v>96</v>
      </c>
      <c r="I723" s="141"/>
      <c r="J723" s="231"/>
      <c r="K723" s="259" t="s">
        <v>628</v>
      </c>
      <c r="L723" s="203"/>
      <c r="M723" s="672"/>
      <c r="N723" s="698"/>
      <c r="O723" s="698"/>
      <c r="P723" s="698"/>
    </row>
    <row r="724" spans="1:16" s="697" customFormat="1">
      <c r="A724" s="268">
        <v>613</v>
      </c>
      <c r="B724" s="586" t="s">
        <v>851</v>
      </c>
      <c r="C724" s="586" t="s">
        <v>1643</v>
      </c>
      <c r="D724" s="278">
        <v>39377</v>
      </c>
      <c r="E724" s="278"/>
      <c r="F724" s="277" t="s">
        <v>525</v>
      </c>
      <c r="G724" s="276" t="str">
        <f t="shared" si="28"/>
        <v>1ج م ع4</v>
      </c>
      <c r="H724" s="241" t="s">
        <v>91</v>
      </c>
      <c r="I724" s="141"/>
      <c r="J724" s="231"/>
      <c r="K724" s="237"/>
      <c r="L724" s="203"/>
      <c r="M724" s="672"/>
      <c r="N724" s="698"/>
      <c r="O724" s="698"/>
      <c r="P724" s="698"/>
    </row>
    <row r="725" spans="1:16" s="697" customFormat="1">
      <c r="A725" s="268">
        <v>614</v>
      </c>
      <c r="B725" s="586" t="s">
        <v>1731</v>
      </c>
      <c r="C725" s="586" t="s">
        <v>1732</v>
      </c>
      <c r="D725" s="278">
        <v>39436</v>
      </c>
      <c r="E725" s="278"/>
      <c r="F725" s="277" t="s">
        <v>525</v>
      </c>
      <c r="G725" s="276" t="str">
        <f t="shared" si="28"/>
        <v>1ج م ع4</v>
      </c>
      <c r="H725" s="241" t="s">
        <v>91</v>
      </c>
      <c r="I725" s="141"/>
      <c r="J725" s="231"/>
      <c r="K725" s="237"/>
      <c r="L725" s="203"/>
      <c r="M725" s="672"/>
      <c r="N725" s="698"/>
      <c r="O725" s="698"/>
      <c r="P725" s="698"/>
    </row>
    <row r="726" spans="1:16" s="697" customFormat="1" ht="31.5">
      <c r="A726" s="268">
        <v>615</v>
      </c>
      <c r="B726" s="586" t="s">
        <v>1733</v>
      </c>
      <c r="C726" s="586" t="s">
        <v>1383</v>
      </c>
      <c r="D726" s="278">
        <v>39149</v>
      </c>
      <c r="E726" s="278"/>
      <c r="F726" s="277" t="s">
        <v>525</v>
      </c>
      <c r="G726" s="276" t="str">
        <f t="shared" si="28"/>
        <v>1ج م ع4</v>
      </c>
      <c r="H726" s="241" t="s">
        <v>91</v>
      </c>
      <c r="I726" s="141"/>
      <c r="J726" s="231"/>
      <c r="K726" s="237"/>
      <c r="L726" s="203"/>
      <c r="M726" s="672"/>
      <c r="N726" s="698"/>
      <c r="O726" s="698"/>
      <c r="P726" s="698"/>
    </row>
    <row r="727" spans="1:16" s="697" customFormat="1" ht="47.25">
      <c r="A727" s="268">
        <v>616</v>
      </c>
      <c r="B727" s="586" t="s">
        <v>1735</v>
      </c>
      <c r="C727" s="586" t="s">
        <v>1736</v>
      </c>
      <c r="D727" s="278">
        <v>39181</v>
      </c>
      <c r="E727" s="278"/>
      <c r="F727" s="277" t="s">
        <v>525</v>
      </c>
      <c r="G727" s="276" t="str">
        <f t="shared" si="28"/>
        <v>1ج م ع4</v>
      </c>
      <c r="H727" s="242" t="s">
        <v>96</v>
      </c>
      <c r="I727" s="141"/>
      <c r="J727" s="231"/>
      <c r="K727" s="237"/>
      <c r="L727" s="203"/>
      <c r="M727" s="672"/>
      <c r="N727" s="698"/>
      <c r="O727" s="698"/>
      <c r="P727" s="698"/>
    </row>
    <row r="728" spans="1:16" s="697" customFormat="1" ht="31.5">
      <c r="A728" s="268">
        <v>617</v>
      </c>
      <c r="B728" s="586" t="s">
        <v>1284</v>
      </c>
      <c r="C728" s="586" t="s">
        <v>1737</v>
      </c>
      <c r="D728" s="278">
        <v>39283</v>
      </c>
      <c r="E728" s="278"/>
      <c r="F728" s="277" t="s">
        <v>525</v>
      </c>
      <c r="G728" s="276" t="str">
        <f t="shared" si="28"/>
        <v>1ج م ع4</v>
      </c>
      <c r="H728" s="242" t="s">
        <v>96</v>
      </c>
      <c r="I728" s="141"/>
      <c r="J728" s="231"/>
      <c r="K728" s="237"/>
      <c r="L728" s="203"/>
      <c r="M728" s="672"/>
      <c r="N728" s="698"/>
      <c r="O728" s="698"/>
      <c r="P728" s="698"/>
    </row>
    <row r="729" spans="1:16" s="697" customFormat="1">
      <c r="A729" s="268">
        <v>618</v>
      </c>
      <c r="B729" s="586" t="s">
        <v>867</v>
      </c>
      <c r="C729" s="586" t="s">
        <v>1644</v>
      </c>
      <c r="D729" s="278">
        <v>39481</v>
      </c>
      <c r="E729" s="278"/>
      <c r="F729" s="277" t="s">
        <v>525</v>
      </c>
      <c r="G729" s="276" t="str">
        <f t="shared" si="28"/>
        <v>1ج م ع4</v>
      </c>
      <c r="H729" s="242" t="s">
        <v>96</v>
      </c>
      <c r="I729" s="141"/>
      <c r="J729" s="231"/>
      <c r="K729" s="237"/>
      <c r="L729" s="203"/>
      <c r="M729" s="672"/>
      <c r="N729" s="698"/>
      <c r="O729" s="698"/>
      <c r="P729" s="698"/>
    </row>
    <row r="730" spans="1:16" s="697" customFormat="1" ht="31.5">
      <c r="A730" s="268">
        <v>619</v>
      </c>
      <c r="B730" s="586" t="s">
        <v>1738</v>
      </c>
      <c r="C730" s="586" t="s">
        <v>1739</v>
      </c>
      <c r="D730" s="278">
        <v>39268</v>
      </c>
      <c r="E730" s="278"/>
      <c r="F730" s="277" t="s">
        <v>525</v>
      </c>
      <c r="G730" s="276" t="str">
        <f t="shared" si="28"/>
        <v>1ج م ع4</v>
      </c>
      <c r="H730" s="241" t="s">
        <v>91</v>
      </c>
      <c r="I730" s="141"/>
      <c r="J730" s="231"/>
      <c r="K730" s="237"/>
      <c r="L730" s="203"/>
      <c r="M730" s="672"/>
      <c r="N730" s="698"/>
      <c r="O730" s="698"/>
      <c r="P730" s="698"/>
    </row>
    <row r="731" spans="1:16" s="697" customFormat="1">
      <c r="A731" s="268">
        <v>620</v>
      </c>
      <c r="B731" s="586" t="s">
        <v>1690</v>
      </c>
      <c r="C731" s="586" t="s">
        <v>1691</v>
      </c>
      <c r="D731" s="278">
        <v>39376</v>
      </c>
      <c r="E731" s="278"/>
      <c r="F731" s="277" t="s">
        <v>525</v>
      </c>
      <c r="G731" s="276" t="str">
        <f t="shared" si="28"/>
        <v>1ج م ع4</v>
      </c>
      <c r="H731" s="241" t="s">
        <v>91</v>
      </c>
      <c r="I731" s="141"/>
      <c r="J731" s="231"/>
      <c r="K731" s="237"/>
      <c r="L731" s="203"/>
      <c r="M731" s="672"/>
      <c r="N731" s="698"/>
      <c r="O731" s="698"/>
      <c r="P731" s="698"/>
    </row>
    <row r="732" spans="1:16" s="697" customFormat="1" ht="31.5">
      <c r="A732" s="268">
        <v>621</v>
      </c>
      <c r="B732" s="586" t="s">
        <v>188</v>
      </c>
      <c r="C732" s="586" t="s">
        <v>1740</v>
      </c>
      <c r="D732" s="278">
        <v>39190</v>
      </c>
      <c r="E732" s="278"/>
      <c r="F732" s="277" t="s">
        <v>525</v>
      </c>
      <c r="G732" s="276" t="str">
        <f t="shared" si="28"/>
        <v>1ج م ع4</v>
      </c>
      <c r="H732" s="241" t="s">
        <v>91</v>
      </c>
      <c r="I732" s="141"/>
      <c r="J732" s="231"/>
      <c r="K732" s="237"/>
      <c r="L732" s="203"/>
      <c r="M732" s="672"/>
      <c r="N732" s="698"/>
      <c r="O732" s="698"/>
      <c r="P732" s="698"/>
    </row>
    <row r="733" spans="1:16" s="697" customFormat="1">
      <c r="A733" s="268">
        <v>622</v>
      </c>
      <c r="B733" s="586" t="s">
        <v>1741</v>
      </c>
      <c r="C733" s="586" t="s">
        <v>1742</v>
      </c>
      <c r="D733" s="278">
        <v>39602</v>
      </c>
      <c r="E733" s="278"/>
      <c r="F733" s="277" t="s">
        <v>525</v>
      </c>
      <c r="G733" s="276" t="str">
        <f t="shared" si="28"/>
        <v>1ج م ع4</v>
      </c>
      <c r="H733" s="241" t="s">
        <v>91</v>
      </c>
      <c r="I733" s="141"/>
      <c r="J733" s="231"/>
      <c r="K733" s="404"/>
      <c r="L733" s="203"/>
      <c r="M733" s="672"/>
      <c r="N733" s="698"/>
      <c r="O733" s="698"/>
      <c r="P733" s="698"/>
    </row>
    <row r="734" spans="1:16" s="697" customFormat="1" ht="31.5">
      <c r="A734" s="268">
        <v>623</v>
      </c>
      <c r="B734" s="586" t="s">
        <v>1743</v>
      </c>
      <c r="C734" s="586" t="s">
        <v>1744</v>
      </c>
      <c r="D734" s="278">
        <v>39181</v>
      </c>
      <c r="E734" s="278"/>
      <c r="F734" s="277" t="s">
        <v>525</v>
      </c>
      <c r="G734" s="276" t="str">
        <f t="shared" si="28"/>
        <v>1ج م ع4</v>
      </c>
      <c r="H734" s="241" t="s">
        <v>91</v>
      </c>
      <c r="I734" s="141"/>
      <c r="J734" s="231"/>
      <c r="K734" s="237"/>
      <c r="L734" s="203"/>
      <c r="M734" s="672"/>
      <c r="N734" s="698"/>
      <c r="O734" s="698"/>
      <c r="P734" s="698"/>
    </row>
    <row r="735" spans="1:16" s="697" customFormat="1" ht="31.5">
      <c r="A735" s="268">
        <v>624</v>
      </c>
      <c r="B735" s="586" t="s">
        <v>1745</v>
      </c>
      <c r="C735" s="586" t="s">
        <v>1746</v>
      </c>
      <c r="D735" s="278">
        <v>39389</v>
      </c>
      <c r="E735" s="278"/>
      <c r="F735" s="277" t="s">
        <v>525</v>
      </c>
      <c r="G735" s="276" t="str">
        <f t="shared" si="28"/>
        <v>1ج م ع4</v>
      </c>
      <c r="H735" s="242" t="s">
        <v>96</v>
      </c>
      <c r="I735" s="141"/>
      <c r="J735" s="231"/>
      <c r="K735" s="237"/>
      <c r="L735" s="203"/>
      <c r="M735" s="672"/>
      <c r="N735" s="698"/>
      <c r="O735" s="698"/>
      <c r="P735" s="698"/>
    </row>
    <row r="736" spans="1:16" s="697" customFormat="1" ht="31.5">
      <c r="A736" s="268">
        <v>625</v>
      </c>
      <c r="B736" s="586" t="s">
        <v>906</v>
      </c>
      <c r="C736" s="586" t="s">
        <v>1747</v>
      </c>
      <c r="D736" s="278">
        <v>39345</v>
      </c>
      <c r="E736" s="278"/>
      <c r="F736" s="277" t="s">
        <v>525</v>
      </c>
      <c r="G736" s="276" t="str">
        <f t="shared" si="28"/>
        <v>1ج م ع4</v>
      </c>
      <c r="H736" s="241" t="s">
        <v>91</v>
      </c>
      <c r="I736" s="141"/>
      <c r="J736" s="231"/>
      <c r="K736" s="237"/>
      <c r="L736" s="203"/>
      <c r="M736" s="672"/>
      <c r="N736" s="698"/>
      <c r="O736" s="698"/>
      <c r="P736" s="698"/>
    </row>
    <row r="737" spans="1:16" s="697" customFormat="1">
      <c r="A737" s="268">
        <v>626</v>
      </c>
      <c r="B737" s="586" t="s">
        <v>530</v>
      </c>
      <c r="C737" s="586" t="s">
        <v>1420</v>
      </c>
      <c r="D737" s="278">
        <v>39255</v>
      </c>
      <c r="E737" s="278"/>
      <c r="F737" s="277" t="s">
        <v>525</v>
      </c>
      <c r="G737" s="276" t="str">
        <f t="shared" si="28"/>
        <v>1ج م ع4</v>
      </c>
      <c r="H737" s="241" t="s">
        <v>91</v>
      </c>
      <c r="I737" s="141"/>
      <c r="J737" s="231"/>
      <c r="K737" s="237"/>
      <c r="L737" s="203"/>
      <c r="M737" s="672"/>
      <c r="N737" s="698"/>
      <c r="O737" s="698"/>
      <c r="P737" s="698"/>
    </row>
    <row r="738" spans="1:16" s="697" customFormat="1">
      <c r="A738" s="268">
        <v>627</v>
      </c>
      <c r="B738" s="586" t="s">
        <v>530</v>
      </c>
      <c r="C738" s="586" t="s">
        <v>1604</v>
      </c>
      <c r="D738" s="278">
        <v>39182</v>
      </c>
      <c r="E738" s="278"/>
      <c r="F738" s="277" t="s">
        <v>525</v>
      </c>
      <c r="G738" s="276" t="str">
        <f t="shared" si="28"/>
        <v>1ج م ع4</v>
      </c>
      <c r="H738" s="242" t="s">
        <v>96</v>
      </c>
      <c r="I738" s="141"/>
      <c r="J738" s="231"/>
      <c r="K738" s="237"/>
      <c r="L738" s="203"/>
      <c r="M738" s="672"/>
      <c r="N738" s="698"/>
      <c r="O738" s="698"/>
      <c r="P738" s="698"/>
    </row>
    <row r="739" spans="1:16" s="697" customFormat="1">
      <c r="A739" s="268">
        <v>628</v>
      </c>
      <c r="B739" s="586" t="s">
        <v>1748</v>
      </c>
      <c r="C739" s="586" t="s">
        <v>1340</v>
      </c>
      <c r="D739" s="278">
        <v>39685</v>
      </c>
      <c r="E739" s="278"/>
      <c r="F739" s="277" t="s">
        <v>525</v>
      </c>
      <c r="G739" s="276" t="str">
        <f t="shared" si="28"/>
        <v>1ج م ع4</v>
      </c>
      <c r="H739" s="241" t="s">
        <v>91</v>
      </c>
      <c r="I739" s="141"/>
      <c r="J739" s="231"/>
      <c r="K739" s="237"/>
      <c r="L739" s="203"/>
      <c r="M739" s="672"/>
      <c r="N739" s="698"/>
      <c r="O739" s="698"/>
      <c r="P739" s="698"/>
    </row>
    <row r="740" spans="1:16" s="697" customFormat="1" ht="47.25">
      <c r="A740" s="268">
        <v>629</v>
      </c>
      <c r="B740" s="586" t="s">
        <v>1749</v>
      </c>
      <c r="C740" s="586" t="s">
        <v>1750</v>
      </c>
      <c r="D740" s="278">
        <v>39674</v>
      </c>
      <c r="E740" s="278"/>
      <c r="F740" s="277" t="s">
        <v>525</v>
      </c>
      <c r="G740" s="276" t="str">
        <f t="shared" si="28"/>
        <v>1ج م ع4</v>
      </c>
      <c r="H740" s="242" t="s">
        <v>96</v>
      </c>
      <c r="I740" s="141"/>
      <c r="J740" s="231"/>
      <c r="K740" s="237"/>
      <c r="L740" s="203"/>
      <c r="M740" s="672"/>
      <c r="N740" s="698"/>
      <c r="O740" s="698"/>
      <c r="P740" s="698"/>
    </row>
    <row r="741" spans="1:16" s="697" customFormat="1" ht="47.25">
      <c r="A741" s="268">
        <v>630</v>
      </c>
      <c r="B741" s="586" t="s">
        <v>1343</v>
      </c>
      <c r="C741" s="586" t="s">
        <v>1751</v>
      </c>
      <c r="D741" s="278">
        <v>39526</v>
      </c>
      <c r="E741" s="278"/>
      <c r="F741" s="277" t="s">
        <v>525</v>
      </c>
      <c r="G741" s="276" t="str">
        <f t="shared" si="28"/>
        <v>1ج م ع4</v>
      </c>
      <c r="H741" s="242" t="s">
        <v>96</v>
      </c>
      <c r="I741" s="141"/>
      <c r="J741" s="231"/>
      <c r="K741" s="237"/>
      <c r="L741" s="203"/>
      <c r="M741" s="672"/>
      <c r="N741" s="698"/>
      <c r="O741" s="698"/>
      <c r="P741" s="698"/>
    </row>
    <row r="742" spans="1:16" s="697" customFormat="1" ht="31.5">
      <c r="A742" s="268">
        <v>631</v>
      </c>
      <c r="B742" s="586" t="s">
        <v>1752</v>
      </c>
      <c r="C742" s="586" t="s">
        <v>1753</v>
      </c>
      <c r="D742" s="278">
        <v>39424</v>
      </c>
      <c r="E742" s="278"/>
      <c r="F742" s="277" t="s">
        <v>525</v>
      </c>
      <c r="G742" s="276" t="str">
        <f t="shared" si="28"/>
        <v>1ج م ع4</v>
      </c>
      <c r="H742" s="241" t="s">
        <v>91</v>
      </c>
      <c r="I742" s="141"/>
      <c r="J742" s="231"/>
      <c r="K742" s="237"/>
      <c r="L742" s="203"/>
      <c r="M742" s="672"/>
      <c r="N742" s="698"/>
      <c r="O742" s="698"/>
      <c r="P742" s="698"/>
    </row>
    <row r="743" spans="1:16" s="697" customFormat="1">
      <c r="A743" s="268">
        <v>632</v>
      </c>
      <c r="B743" s="586" t="s">
        <v>114</v>
      </c>
      <c r="C743" s="586" t="s">
        <v>149</v>
      </c>
      <c r="D743" s="278">
        <v>39168</v>
      </c>
      <c r="E743" s="278"/>
      <c r="F743" s="277" t="s">
        <v>638</v>
      </c>
      <c r="G743" s="276" t="str">
        <f t="shared" si="28"/>
        <v>1ج م ا1</v>
      </c>
      <c r="H743" s="240" t="s">
        <v>1459</v>
      </c>
      <c r="I743" s="141"/>
      <c r="J743" s="231"/>
      <c r="K743" s="237"/>
      <c r="L743" s="203"/>
      <c r="M743" s="672"/>
      <c r="N743" s="698"/>
      <c r="O743" s="698"/>
      <c r="P743" s="698"/>
    </row>
    <row r="744" spans="1:16" s="697" customFormat="1">
      <c r="A744" s="268">
        <v>633</v>
      </c>
      <c r="B744" s="586" t="s">
        <v>695</v>
      </c>
      <c r="C744" s="586" t="s">
        <v>1754</v>
      </c>
      <c r="D744" s="278">
        <v>39418</v>
      </c>
      <c r="E744" s="278"/>
      <c r="F744" s="277" t="s">
        <v>638</v>
      </c>
      <c r="G744" s="276" t="str">
        <f t="shared" si="28"/>
        <v>1ج م ا1</v>
      </c>
      <c r="H744" s="240" t="s">
        <v>1458</v>
      </c>
      <c r="I744" s="141"/>
      <c r="J744" s="231"/>
      <c r="K744" s="237"/>
      <c r="L744" s="203"/>
      <c r="M744" s="672"/>
      <c r="N744" s="698"/>
      <c r="O744" s="698"/>
      <c r="P744" s="698"/>
    </row>
    <row r="745" spans="1:16" s="697" customFormat="1" ht="31.5">
      <c r="A745" s="268">
        <v>634</v>
      </c>
      <c r="B745" s="586" t="s">
        <v>509</v>
      </c>
      <c r="C745" s="586" t="s">
        <v>1755</v>
      </c>
      <c r="D745" s="278">
        <v>39205</v>
      </c>
      <c r="E745" s="278"/>
      <c r="F745" s="277" t="s">
        <v>638</v>
      </c>
      <c r="G745" s="276" t="str">
        <f t="shared" si="28"/>
        <v>1ج م ا1</v>
      </c>
      <c r="H745" s="240" t="s">
        <v>1458</v>
      </c>
      <c r="I745" s="141"/>
      <c r="J745" s="231"/>
      <c r="K745" s="237"/>
      <c r="L745" s="203"/>
      <c r="M745" s="672"/>
      <c r="N745" s="698"/>
      <c r="O745" s="698"/>
      <c r="P745" s="698"/>
    </row>
    <row r="746" spans="1:16" s="697" customFormat="1">
      <c r="A746" s="268">
        <v>635</v>
      </c>
      <c r="B746" s="586" t="s">
        <v>63</v>
      </c>
      <c r="C746" s="586" t="s">
        <v>1320</v>
      </c>
      <c r="D746" s="278">
        <v>39224</v>
      </c>
      <c r="E746" s="278"/>
      <c r="F746" s="277" t="s">
        <v>638</v>
      </c>
      <c r="G746" s="276" t="str">
        <f t="shared" si="28"/>
        <v>1ج م ا1</v>
      </c>
      <c r="H746" s="240" t="s">
        <v>1458</v>
      </c>
      <c r="I746" s="141"/>
      <c r="J746" s="231"/>
      <c r="K746" s="237"/>
      <c r="L746" s="203"/>
      <c r="M746" s="672"/>
      <c r="N746" s="698"/>
      <c r="O746" s="698"/>
      <c r="P746" s="698"/>
    </row>
    <row r="747" spans="1:16" s="697" customFormat="1">
      <c r="A747" s="268">
        <v>636</v>
      </c>
      <c r="B747" s="586" t="s">
        <v>1756</v>
      </c>
      <c r="C747" s="586" t="s">
        <v>1757</v>
      </c>
      <c r="D747" s="278">
        <v>39365</v>
      </c>
      <c r="E747" s="278"/>
      <c r="F747" s="277" t="s">
        <v>638</v>
      </c>
      <c r="G747" s="276" t="str">
        <f t="shared" si="28"/>
        <v>1ج م ا1</v>
      </c>
      <c r="H747" s="240" t="s">
        <v>1458</v>
      </c>
      <c r="I747" s="141"/>
      <c r="J747" s="231"/>
      <c r="K747" s="237"/>
      <c r="L747" s="203"/>
      <c r="M747" s="672"/>
      <c r="N747" s="698"/>
      <c r="O747" s="698"/>
      <c r="P747" s="698"/>
    </row>
    <row r="748" spans="1:16" s="697" customFormat="1" ht="31.5">
      <c r="A748" s="268">
        <v>637</v>
      </c>
      <c r="B748" s="586" t="s">
        <v>1758</v>
      </c>
      <c r="C748" s="586" t="s">
        <v>1759</v>
      </c>
      <c r="D748" s="278">
        <v>39407</v>
      </c>
      <c r="E748" s="278"/>
      <c r="F748" s="277" t="s">
        <v>638</v>
      </c>
      <c r="G748" s="276" t="str">
        <f t="shared" si="28"/>
        <v>1ج م ا1</v>
      </c>
      <c r="H748" s="241" t="s">
        <v>91</v>
      </c>
      <c r="I748" s="141"/>
      <c r="J748" s="231"/>
      <c r="K748" s="237"/>
      <c r="L748" s="203"/>
      <c r="M748" s="672"/>
      <c r="N748" s="698"/>
      <c r="O748" s="698"/>
      <c r="P748" s="698"/>
    </row>
    <row r="749" spans="1:16" s="697" customFormat="1" ht="31.5">
      <c r="A749" s="268">
        <v>638</v>
      </c>
      <c r="B749" s="586" t="s">
        <v>1760</v>
      </c>
      <c r="C749" s="586" t="s">
        <v>1761</v>
      </c>
      <c r="D749" s="278">
        <v>39227</v>
      </c>
      <c r="E749" s="278"/>
      <c r="F749" s="277" t="s">
        <v>638</v>
      </c>
      <c r="G749" s="276" t="str">
        <f t="shared" si="28"/>
        <v>1ج م ا1</v>
      </c>
      <c r="H749" s="241" t="s">
        <v>91</v>
      </c>
      <c r="I749" s="141"/>
      <c r="J749" s="231"/>
      <c r="K749" s="237"/>
      <c r="L749" s="203"/>
      <c r="M749" s="672"/>
      <c r="N749" s="698"/>
      <c r="O749" s="698"/>
      <c r="P749" s="698"/>
    </row>
    <row r="750" spans="1:16" s="697" customFormat="1">
      <c r="A750" s="268">
        <v>639</v>
      </c>
      <c r="B750" s="586" t="s">
        <v>1097</v>
      </c>
      <c r="C750" s="586" t="s">
        <v>1762</v>
      </c>
      <c r="D750" s="278">
        <v>39229</v>
      </c>
      <c r="E750" s="278"/>
      <c r="F750" s="277" t="s">
        <v>638</v>
      </c>
      <c r="G750" s="276" t="str">
        <f t="shared" si="28"/>
        <v>1ج م ا1</v>
      </c>
      <c r="H750" s="242" t="s">
        <v>96</v>
      </c>
      <c r="I750" s="141"/>
      <c r="J750" s="231"/>
      <c r="K750" s="259"/>
      <c r="L750" s="203"/>
      <c r="M750" s="672"/>
      <c r="N750" s="698"/>
      <c r="O750" s="698"/>
      <c r="P750" s="698"/>
    </row>
    <row r="751" spans="1:16" s="697" customFormat="1" ht="31.5">
      <c r="A751" s="268">
        <v>640</v>
      </c>
      <c r="B751" s="586" t="s">
        <v>1763</v>
      </c>
      <c r="C751" s="586" t="s">
        <v>1764</v>
      </c>
      <c r="D751" s="278">
        <v>39321</v>
      </c>
      <c r="E751" s="278"/>
      <c r="F751" s="277" t="s">
        <v>638</v>
      </c>
      <c r="G751" s="276" t="str">
        <f t="shared" si="28"/>
        <v>1ج م ا1</v>
      </c>
      <c r="H751" s="242" t="s">
        <v>96</v>
      </c>
      <c r="I751" s="141"/>
      <c r="J751" s="231"/>
      <c r="K751" s="237"/>
      <c r="L751" s="203"/>
      <c r="M751" s="672"/>
      <c r="N751" s="698"/>
      <c r="O751" s="698"/>
      <c r="P751" s="698"/>
    </row>
    <row r="752" spans="1:16" s="697" customFormat="1">
      <c r="A752" s="268">
        <v>641</v>
      </c>
      <c r="B752" s="586" t="s">
        <v>990</v>
      </c>
      <c r="C752" s="586" t="s">
        <v>1303</v>
      </c>
      <c r="D752" s="278">
        <v>39413</v>
      </c>
      <c r="E752" s="278"/>
      <c r="F752" s="277" t="s">
        <v>638</v>
      </c>
      <c r="G752" s="276" t="str">
        <f t="shared" si="28"/>
        <v>1ج م ا1</v>
      </c>
      <c r="H752" s="241" t="s">
        <v>91</v>
      </c>
      <c r="I752" s="141"/>
      <c r="J752" s="231"/>
      <c r="K752" s="237"/>
      <c r="L752" s="203"/>
      <c r="M752" s="672"/>
      <c r="N752" s="698"/>
      <c r="O752" s="698"/>
      <c r="P752" s="698"/>
    </row>
    <row r="753" spans="1:16" s="697" customFormat="1">
      <c r="A753" s="268">
        <v>642</v>
      </c>
      <c r="B753" s="586" t="s">
        <v>1717</v>
      </c>
      <c r="C753" s="586" t="s">
        <v>1765</v>
      </c>
      <c r="D753" s="278">
        <v>38562</v>
      </c>
      <c r="E753" s="278"/>
      <c r="F753" s="277" t="s">
        <v>638</v>
      </c>
      <c r="G753" s="276" t="str">
        <f t="shared" ref="G753:G815" si="29">F753</f>
        <v>1ج م ا1</v>
      </c>
      <c r="H753" s="241" t="s">
        <v>91</v>
      </c>
      <c r="I753" s="141"/>
      <c r="J753" s="231"/>
      <c r="K753" s="237"/>
      <c r="L753" s="203"/>
      <c r="M753" s="672"/>
      <c r="N753" s="698"/>
      <c r="O753" s="698"/>
      <c r="P753" s="698"/>
    </row>
    <row r="754" spans="1:16" s="697" customFormat="1">
      <c r="A754" s="268">
        <v>643</v>
      </c>
      <c r="B754" s="586" t="s">
        <v>168</v>
      </c>
      <c r="C754" s="586" t="s">
        <v>1766</v>
      </c>
      <c r="D754" s="278">
        <v>39451</v>
      </c>
      <c r="E754" s="278"/>
      <c r="F754" s="277" t="s">
        <v>638</v>
      </c>
      <c r="G754" s="276" t="str">
        <f t="shared" si="29"/>
        <v>1ج م ا1</v>
      </c>
      <c r="H754" s="242" t="s">
        <v>96</v>
      </c>
      <c r="I754" s="141"/>
      <c r="J754" s="231"/>
      <c r="K754" s="237"/>
      <c r="L754" s="203"/>
      <c r="M754" s="672"/>
      <c r="N754" s="698"/>
      <c r="O754" s="698"/>
      <c r="P754" s="698"/>
    </row>
    <row r="755" spans="1:16" s="697" customFormat="1" ht="31.5">
      <c r="A755" s="268">
        <v>644</v>
      </c>
      <c r="B755" s="586" t="s">
        <v>1767</v>
      </c>
      <c r="C755" s="586" t="s">
        <v>1768</v>
      </c>
      <c r="D755" s="278">
        <v>39160</v>
      </c>
      <c r="E755" s="278"/>
      <c r="F755" s="277" t="s">
        <v>638</v>
      </c>
      <c r="G755" s="276" t="str">
        <f t="shared" si="29"/>
        <v>1ج م ا1</v>
      </c>
      <c r="H755" s="241" t="s">
        <v>91</v>
      </c>
      <c r="I755" s="141"/>
      <c r="J755" s="231"/>
      <c r="K755" s="237"/>
      <c r="L755" s="203"/>
      <c r="M755" s="672"/>
      <c r="N755" s="698"/>
      <c r="O755" s="698"/>
      <c r="P755" s="698"/>
    </row>
    <row r="756" spans="1:16" s="697" customFormat="1">
      <c r="A756" s="268">
        <v>645</v>
      </c>
      <c r="B756" s="586" t="s">
        <v>1769</v>
      </c>
      <c r="C756" s="586" t="s">
        <v>707</v>
      </c>
      <c r="D756" s="278">
        <v>39216</v>
      </c>
      <c r="E756" s="278"/>
      <c r="F756" s="277" t="s">
        <v>638</v>
      </c>
      <c r="G756" s="276" t="str">
        <f t="shared" si="29"/>
        <v>1ج م ا1</v>
      </c>
      <c r="H756" s="242" t="s">
        <v>96</v>
      </c>
      <c r="I756" s="141"/>
      <c r="J756" s="231"/>
      <c r="K756" s="237"/>
      <c r="L756" s="203"/>
      <c r="M756" s="672"/>
      <c r="N756" s="698"/>
      <c r="O756" s="698"/>
      <c r="P756" s="698"/>
    </row>
    <row r="757" spans="1:16" s="697" customFormat="1">
      <c r="A757" s="268">
        <v>646</v>
      </c>
      <c r="B757" s="586" t="s">
        <v>1770</v>
      </c>
      <c r="C757" s="586" t="s">
        <v>1771</v>
      </c>
      <c r="D757" s="278">
        <v>39232</v>
      </c>
      <c r="E757" s="278"/>
      <c r="F757" s="277" t="s">
        <v>638</v>
      </c>
      <c r="G757" s="276" t="str">
        <f t="shared" si="29"/>
        <v>1ج م ا1</v>
      </c>
      <c r="H757" s="241" t="s">
        <v>91</v>
      </c>
      <c r="I757" s="141"/>
      <c r="J757" s="231"/>
      <c r="K757" s="404"/>
      <c r="L757" s="203"/>
      <c r="M757" s="672"/>
      <c r="N757" s="698"/>
      <c r="O757" s="698"/>
      <c r="P757" s="698"/>
    </row>
    <row r="758" spans="1:16" s="697" customFormat="1" ht="31.5">
      <c r="A758" s="268">
        <v>647</v>
      </c>
      <c r="B758" s="586" t="s">
        <v>1772</v>
      </c>
      <c r="C758" s="586" t="s">
        <v>1773</v>
      </c>
      <c r="D758" s="278">
        <v>39156</v>
      </c>
      <c r="E758" s="278"/>
      <c r="F758" s="277" t="s">
        <v>638</v>
      </c>
      <c r="G758" s="276" t="str">
        <f t="shared" si="29"/>
        <v>1ج م ا1</v>
      </c>
      <c r="H758" s="242" t="s">
        <v>96</v>
      </c>
      <c r="I758" s="141"/>
      <c r="J758" s="231"/>
      <c r="K758" s="237"/>
      <c r="L758" s="203"/>
      <c r="M758" s="672"/>
      <c r="N758" s="698"/>
      <c r="O758" s="698"/>
      <c r="P758" s="698"/>
    </row>
    <row r="759" spans="1:16" s="697" customFormat="1" ht="31.5">
      <c r="A759" s="268">
        <v>648</v>
      </c>
      <c r="B759" s="586" t="s">
        <v>1774</v>
      </c>
      <c r="C759" s="586" t="s">
        <v>1775</v>
      </c>
      <c r="D759" s="278">
        <v>38680</v>
      </c>
      <c r="E759" s="278"/>
      <c r="F759" s="277" t="s">
        <v>638</v>
      </c>
      <c r="G759" s="276" t="str">
        <f t="shared" si="29"/>
        <v>1ج م ا1</v>
      </c>
      <c r="H759" s="242" t="s">
        <v>96</v>
      </c>
      <c r="I759" s="141"/>
      <c r="J759" s="231"/>
      <c r="K759" s="237"/>
      <c r="L759" s="203"/>
      <c r="M759" s="672"/>
      <c r="N759" s="698"/>
      <c r="O759" s="698"/>
      <c r="P759" s="698"/>
    </row>
    <row r="760" spans="1:16" s="697" customFormat="1">
      <c r="A760" s="268">
        <v>649</v>
      </c>
      <c r="B760" s="586" t="s">
        <v>57</v>
      </c>
      <c r="C760" s="586" t="s">
        <v>1776</v>
      </c>
      <c r="D760" s="278">
        <v>38840</v>
      </c>
      <c r="E760" s="278"/>
      <c r="F760" s="277" t="s">
        <v>638</v>
      </c>
      <c r="G760" s="276" t="str">
        <f t="shared" si="29"/>
        <v>1ج م ا1</v>
      </c>
      <c r="H760" s="242" t="s">
        <v>96</v>
      </c>
      <c r="I760" s="141"/>
      <c r="J760" s="231"/>
      <c r="K760" s="237"/>
      <c r="L760" s="203"/>
      <c r="M760" s="672"/>
      <c r="N760" s="698"/>
      <c r="O760" s="698"/>
      <c r="P760" s="698"/>
    </row>
    <row r="761" spans="1:16" s="697" customFormat="1" ht="31.5">
      <c r="A761" s="268">
        <v>650</v>
      </c>
      <c r="B761" s="586" t="s">
        <v>1777</v>
      </c>
      <c r="C761" s="586" t="s">
        <v>1778</v>
      </c>
      <c r="D761" s="278">
        <v>38858</v>
      </c>
      <c r="E761" s="278"/>
      <c r="F761" s="277" t="s">
        <v>638</v>
      </c>
      <c r="G761" s="276" t="str">
        <f t="shared" si="29"/>
        <v>1ج م ا1</v>
      </c>
      <c r="H761" s="241" t="s">
        <v>91</v>
      </c>
      <c r="I761" s="141"/>
      <c r="J761" s="231"/>
      <c r="K761" s="237"/>
      <c r="L761" s="203"/>
      <c r="M761" s="672"/>
      <c r="N761" s="698"/>
      <c r="O761" s="698"/>
      <c r="P761" s="698"/>
    </row>
    <row r="762" spans="1:16" s="697" customFormat="1" ht="31.5">
      <c r="A762" s="268">
        <v>651</v>
      </c>
      <c r="B762" s="586" t="s">
        <v>1779</v>
      </c>
      <c r="C762" s="586" t="s">
        <v>1780</v>
      </c>
      <c r="D762" s="278">
        <v>37931</v>
      </c>
      <c r="E762" s="278"/>
      <c r="F762" s="277" t="s">
        <v>638</v>
      </c>
      <c r="G762" s="276" t="str">
        <f t="shared" si="29"/>
        <v>1ج م ا1</v>
      </c>
      <c r="H762" s="241" t="s">
        <v>91</v>
      </c>
      <c r="I762" s="141"/>
      <c r="J762" s="231"/>
      <c r="K762" s="237"/>
      <c r="L762" s="203"/>
      <c r="M762" s="672"/>
      <c r="N762" s="698"/>
      <c r="O762" s="698"/>
      <c r="P762" s="698"/>
    </row>
    <row r="763" spans="1:16" s="697" customFormat="1">
      <c r="A763" s="268">
        <v>652</v>
      </c>
      <c r="B763" s="586" t="s">
        <v>1478</v>
      </c>
      <c r="C763" s="586" t="s">
        <v>139</v>
      </c>
      <c r="D763" s="278">
        <v>39002</v>
      </c>
      <c r="E763" s="278" t="s">
        <v>136</v>
      </c>
      <c r="F763" s="277" t="s">
        <v>638</v>
      </c>
      <c r="G763" s="276" t="str">
        <f t="shared" si="29"/>
        <v>1ج م ا1</v>
      </c>
      <c r="H763" s="241" t="s">
        <v>91</v>
      </c>
      <c r="I763" s="141"/>
      <c r="J763" s="231"/>
      <c r="K763" s="237"/>
      <c r="L763" s="203"/>
      <c r="M763" s="672"/>
      <c r="N763" s="698"/>
      <c r="O763" s="698"/>
      <c r="P763" s="698"/>
    </row>
    <row r="764" spans="1:16" s="697" customFormat="1">
      <c r="A764" s="268">
        <v>653</v>
      </c>
      <c r="B764" s="586" t="s">
        <v>1478</v>
      </c>
      <c r="C764" s="586" t="s">
        <v>680</v>
      </c>
      <c r="D764" s="278">
        <v>39002</v>
      </c>
      <c r="E764" s="278" t="s">
        <v>136</v>
      </c>
      <c r="F764" s="277" t="s">
        <v>638</v>
      </c>
      <c r="G764" s="276" t="str">
        <f t="shared" si="29"/>
        <v>1ج م ا1</v>
      </c>
      <c r="H764" s="241" t="s">
        <v>91</v>
      </c>
      <c r="I764" s="141"/>
      <c r="J764" s="231"/>
      <c r="K764" s="237"/>
      <c r="L764" s="203"/>
      <c r="M764" s="672"/>
      <c r="N764" s="698"/>
      <c r="O764" s="698"/>
      <c r="P764" s="698"/>
    </row>
    <row r="765" spans="1:16" s="697" customFormat="1">
      <c r="A765" s="268">
        <v>654</v>
      </c>
      <c r="B765" s="586" t="s">
        <v>1781</v>
      </c>
      <c r="C765" s="586" t="s">
        <v>1782</v>
      </c>
      <c r="D765" s="278">
        <v>39275</v>
      </c>
      <c r="E765" s="278"/>
      <c r="F765" s="277" t="s">
        <v>638</v>
      </c>
      <c r="G765" s="276" t="str">
        <f t="shared" si="29"/>
        <v>1ج م ا1</v>
      </c>
      <c r="H765" s="242" t="s">
        <v>96</v>
      </c>
      <c r="I765" s="141"/>
      <c r="J765" s="231"/>
      <c r="K765" s="237"/>
      <c r="L765" s="203"/>
      <c r="M765" s="672"/>
      <c r="N765" s="698"/>
      <c r="O765" s="698"/>
      <c r="P765" s="698"/>
    </row>
    <row r="766" spans="1:16" s="697" customFormat="1">
      <c r="A766" s="268">
        <v>655</v>
      </c>
      <c r="B766" s="586" t="s">
        <v>672</v>
      </c>
      <c r="C766" s="586" t="s">
        <v>1783</v>
      </c>
      <c r="D766" s="278">
        <v>39288</v>
      </c>
      <c r="E766" s="278"/>
      <c r="F766" s="277" t="s">
        <v>638</v>
      </c>
      <c r="G766" s="276" t="str">
        <f t="shared" si="29"/>
        <v>1ج م ا1</v>
      </c>
      <c r="H766" s="242" t="s">
        <v>96</v>
      </c>
      <c r="I766" s="141"/>
      <c r="J766" s="231"/>
      <c r="K766" s="237"/>
      <c r="L766" s="203"/>
      <c r="M766" s="672"/>
      <c r="N766" s="698"/>
      <c r="O766" s="698"/>
      <c r="P766" s="698"/>
    </row>
    <row r="767" spans="1:16" s="697" customFormat="1">
      <c r="A767" s="268">
        <v>656</v>
      </c>
      <c r="B767" s="586" t="s">
        <v>1414</v>
      </c>
      <c r="C767" s="586" t="s">
        <v>1784</v>
      </c>
      <c r="D767" s="278">
        <v>39532</v>
      </c>
      <c r="E767" s="278"/>
      <c r="F767" s="277" t="s">
        <v>638</v>
      </c>
      <c r="G767" s="276" t="str">
        <f t="shared" si="29"/>
        <v>1ج م ا1</v>
      </c>
      <c r="H767" s="241" t="s">
        <v>91</v>
      </c>
      <c r="I767" s="141"/>
      <c r="J767" s="231"/>
      <c r="K767" s="237"/>
      <c r="L767" s="203"/>
      <c r="M767" s="672"/>
      <c r="N767" s="698"/>
      <c r="O767" s="698"/>
      <c r="P767" s="698"/>
    </row>
    <row r="768" spans="1:16" s="697" customFormat="1">
      <c r="A768" s="268">
        <v>657</v>
      </c>
      <c r="B768" s="586" t="s">
        <v>1087</v>
      </c>
      <c r="C768" s="586" t="s">
        <v>1785</v>
      </c>
      <c r="D768" s="278">
        <v>39344</v>
      </c>
      <c r="E768" s="278"/>
      <c r="F768" s="277" t="s">
        <v>638</v>
      </c>
      <c r="G768" s="276" t="str">
        <f t="shared" si="29"/>
        <v>1ج م ا1</v>
      </c>
      <c r="H768" s="242" t="s">
        <v>96</v>
      </c>
      <c r="I768" s="141"/>
      <c r="J768" s="231"/>
      <c r="K768" s="237"/>
      <c r="L768" s="231"/>
      <c r="M768" s="695"/>
      <c r="N768" s="698"/>
      <c r="O768" s="698"/>
      <c r="P768" s="698"/>
    </row>
    <row r="769" spans="1:16" s="697" customFormat="1">
      <c r="A769" s="268">
        <v>658</v>
      </c>
      <c r="B769" s="586" t="s">
        <v>1786</v>
      </c>
      <c r="C769" s="586" t="s">
        <v>1787</v>
      </c>
      <c r="D769" s="278">
        <v>38802</v>
      </c>
      <c r="E769" s="278"/>
      <c r="F769" s="277" t="s">
        <v>638</v>
      </c>
      <c r="G769" s="276" t="str">
        <f t="shared" si="29"/>
        <v>1ج م ا1</v>
      </c>
      <c r="H769" s="241" t="s">
        <v>91</v>
      </c>
      <c r="I769" s="141"/>
      <c r="J769" s="231"/>
      <c r="K769" s="237"/>
      <c r="L769" s="231"/>
      <c r="M769" s="695"/>
      <c r="N769" s="698"/>
      <c r="O769" s="698"/>
      <c r="P769" s="698"/>
    </row>
    <row r="770" spans="1:16" s="697" customFormat="1">
      <c r="A770" s="268">
        <v>659</v>
      </c>
      <c r="B770" s="586" t="s">
        <v>1788</v>
      </c>
      <c r="C770" s="586" t="s">
        <v>707</v>
      </c>
      <c r="D770" s="278">
        <v>38837</v>
      </c>
      <c r="E770" s="278"/>
      <c r="F770" s="277" t="s">
        <v>638</v>
      </c>
      <c r="G770" s="276" t="str">
        <f t="shared" si="29"/>
        <v>1ج م ا1</v>
      </c>
      <c r="H770" s="242" t="s">
        <v>96</v>
      </c>
      <c r="I770" s="698"/>
      <c r="J770" s="698"/>
      <c r="K770" s="698"/>
      <c r="L770" s="698"/>
      <c r="M770" s="698"/>
      <c r="N770" s="698"/>
      <c r="O770" s="698"/>
      <c r="P770" s="698"/>
    </row>
    <row r="771" spans="1:16" s="697" customFormat="1">
      <c r="A771" s="268">
        <v>660</v>
      </c>
      <c r="B771" s="586" t="s">
        <v>1789</v>
      </c>
      <c r="C771" s="586" t="s">
        <v>1726</v>
      </c>
      <c r="D771" s="278">
        <v>39312</v>
      </c>
      <c r="E771" s="278"/>
      <c r="F771" s="277" t="s">
        <v>638</v>
      </c>
      <c r="G771" s="276" t="str">
        <f t="shared" si="29"/>
        <v>1ج م ا1</v>
      </c>
      <c r="H771" s="241" t="s">
        <v>91</v>
      </c>
      <c r="I771" s="698"/>
      <c r="J771" s="698"/>
      <c r="K771" s="698"/>
      <c r="L771" s="698"/>
      <c r="M771" s="698"/>
      <c r="N771" s="698"/>
      <c r="O771" s="698"/>
      <c r="P771" s="698"/>
    </row>
    <row r="772" spans="1:16" s="697" customFormat="1">
      <c r="A772" s="268">
        <v>661</v>
      </c>
      <c r="B772" s="586" t="s">
        <v>1790</v>
      </c>
      <c r="C772" s="586" t="s">
        <v>1791</v>
      </c>
      <c r="D772" s="278">
        <v>39009</v>
      </c>
      <c r="E772" s="278"/>
      <c r="F772" s="277" t="s">
        <v>638</v>
      </c>
      <c r="G772" s="276" t="str">
        <f t="shared" si="29"/>
        <v>1ج م ا1</v>
      </c>
      <c r="H772" s="241" t="s">
        <v>91</v>
      </c>
      <c r="I772" s="698"/>
      <c r="J772" s="698"/>
      <c r="K772" s="698"/>
      <c r="L772" s="698"/>
      <c r="M772" s="698"/>
      <c r="N772" s="698"/>
      <c r="O772" s="698"/>
      <c r="P772" s="698"/>
    </row>
    <row r="773" spans="1:16" s="697" customFormat="1" ht="31.5">
      <c r="A773" s="268">
        <v>662</v>
      </c>
      <c r="B773" s="586" t="s">
        <v>124</v>
      </c>
      <c r="C773" s="586" t="s">
        <v>1792</v>
      </c>
      <c r="D773" s="278">
        <v>39200</v>
      </c>
      <c r="E773" s="278"/>
      <c r="F773" s="277" t="s">
        <v>638</v>
      </c>
      <c r="G773" s="276" t="str">
        <f t="shared" si="29"/>
        <v>1ج م ا1</v>
      </c>
      <c r="H773" s="242" t="s">
        <v>96</v>
      </c>
      <c r="I773" s="698"/>
      <c r="J773" s="698"/>
      <c r="K773" s="698"/>
      <c r="L773" s="698"/>
      <c r="M773" s="698"/>
      <c r="N773" s="698"/>
      <c r="O773" s="698"/>
      <c r="P773" s="698"/>
    </row>
    <row r="774" spans="1:16" s="697" customFormat="1" ht="31.5">
      <c r="A774" s="268">
        <v>663</v>
      </c>
      <c r="B774" s="586" t="s">
        <v>679</v>
      </c>
      <c r="C774" s="586" t="s">
        <v>1793</v>
      </c>
      <c r="D774" s="278">
        <v>39309</v>
      </c>
      <c r="E774" s="278"/>
      <c r="F774" s="277" t="s">
        <v>638</v>
      </c>
      <c r="G774" s="276" t="str">
        <f t="shared" si="29"/>
        <v>1ج م ا1</v>
      </c>
      <c r="H774" s="241" t="s">
        <v>91</v>
      </c>
      <c r="I774" s="698"/>
      <c r="J774" s="698"/>
      <c r="K774" s="698"/>
      <c r="L774" s="698"/>
      <c r="M774" s="698"/>
      <c r="N774" s="698"/>
      <c r="O774" s="698"/>
      <c r="P774" s="698"/>
    </row>
    <row r="775" spans="1:16" s="697" customFormat="1">
      <c r="A775" s="268">
        <v>664</v>
      </c>
      <c r="B775" s="586" t="s">
        <v>1288</v>
      </c>
      <c r="C775" s="586" t="s">
        <v>1794</v>
      </c>
      <c r="D775" s="278">
        <v>39497</v>
      </c>
      <c r="E775" s="278"/>
      <c r="F775" s="277" t="s">
        <v>638</v>
      </c>
      <c r="G775" s="276" t="str">
        <f t="shared" si="29"/>
        <v>1ج م ا1</v>
      </c>
      <c r="H775" s="241" t="s">
        <v>91</v>
      </c>
      <c r="I775" s="698"/>
      <c r="J775" s="698"/>
      <c r="K775" s="698"/>
      <c r="L775" s="698"/>
      <c r="M775" s="698"/>
      <c r="N775" s="698"/>
      <c r="O775" s="698"/>
      <c r="P775" s="698"/>
    </row>
    <row r="776" spans="1:16" s="697" customFormat="1" ht="31.5">
      <c r="A776" s="268">
        <v>665</v>
      </c>
      <c r="B776" s="586" t="s">
        <v>521</v>
      </c>
      <c r="C776" s="586" t="s">
        <v>1795</v>
      </c>
      <c r="D776" s="278">
        <v>39583</v>
      </c>
      <c r="E776" s="278"/>
      <c r="F776" s="277" t="s">
        <v>638</v>
      </c>
      <c r="G776" s="276" t="str">
        <f t="shared" si="29"/>
        <v>1ج م ا1</v>
      </c>
      <c r="H776" s="241" t="s">
        <v>91</v>
      </c>
      <c r="I776" s="698"/>
      <c r="J776" s="698"/>
      <c r="K776" s="698"/>
      <c r="L776" s="698"/>
      <c r="M776" s="698"/>
      <c r="N776" s="698"/>
      <c r="O776" s="698"/>
      <c r="P776" s="698"/>
    </row>
    <row r="777" spans="1:16" s="697" customFormat="1">
      <c r="A777" s="268">
        <v>666</v>
      </c>
      <c r="B777" s="586" t="s">
        <v>1796</v>
      </c>
      <c r="C777" s="586" t="s">
        <v>1797</v>
      </c>
      <c r="D777" s="278">
        <v>39146</v>
      </c>
      <c r="E777" s="278"/>
      <c r="F777" s="277" t="s">
        <v>638</v>
      </c>
      <c r="G777" s="276" t="str">
        <f t="shared" si="29"/>
        <v>1ج م ا1</v>
      </c>
      <c r="H777" s="241" t="s">
        <v>91</v>
      </c>
      <c r="I777" s="698"/>
      <c r="J777" s="698"/>
      <c r="K777" s="698"/>
      <c r="L777" s="698"/>
      <c r="M777" s="698"/>
      <c r="N777" s="698"/>
      <c r="O777" s="698"/>
      <c r="P777" s="698"/>
    </row>
    <row r="778" spans="1:16" s="697" customFormat="1">
      <c r="A778" s="268">
        <v>667</v>
      </c>
      <c r="B778" s="586" t="s">
        <v>1798</v>
      </c>
      <c r="C778" s="586" t="s">
        <v>1799</v>
      </c>
      <c r="D778" s="278">
        <v>38600</v>
      </c>
      <c r="E778" s="278"/>
      <c r="F778" s="277" t="s">
        <v>638</v>
      </c>
      <c r="G778" s="276" t="str">
        <f t="shared" si="29"/>
        <v>1ج م ا1</v>
      </c>
      <c r="H778" s="242" t="s">
        <v>96</v>
      </c>
      <c r="I778" s="698"/>
      <c r="J778" s="698"/>
      <c r="K778" s="698"/>
      <c r="L778" s="698"/>
      <c r="M778" s="698"/>
      <c r="N778" s="698"/>
      <c r="O778" s="698"/>
      <c r="P778" s="698"/>
    </row>
    <row r="779" spans="1:16" s="697" customFormat="1">
      <c r="A779" s="268">
        <v>668</v>
      </c>
      <c r="B779" s="586" t="s">
        <v>1325</v>
      </c>
      <c r="C779" s="586" t="s">
        <v>1303</v>
      </c>
      <c r="D779" s="278">
        <v>38991</v>
      </c>
      <c r="E779" s="278"/>
      <c r="F779" s="277" t="s">
        <v>264</v>
      </c>
      <c r="G779" s="276" t="str">
        <f t="shared" si="29"/>
        <v>1ج م ا2</v>
      </c>
      <c r="H779" s="240" t="s">
        <v>1458</v>
      </c>
      <c r="I779" s="698"/>
      <c r="J779" s="698"/>
      <c r="K779" s="698"/>
      <c r="L779" s="698"/>
      <c r="M779" s="698"/>
      <c r="N779" s="698"/>
      <c r="O779" s="698"/>
      <c r="P779" s="698"/>
    </row>
    <row r="780" spans="1:16" s="697" customFormat="1">
      <c r="A780" s="268">
        <v>669</v>
      </c>
      <c r="B780" s="586" t="s">
        <v>959</v>
      </c>
      <c r="C780" s="586" t="s">
        <v>1800</v>
      </c>
      <c r="D780" s="278">
        <v>39433</v>
      </c>
      <c r="E780" s="278"/>
      <c r="F780" s="277" t="s">
        <v>264</v>
      </c>
      <c r="G780" s="276" t="str">
        <f t="shared" si="29"/>
        <v>1ج م ا2</v>
      </c>
      <c r="H780" s="240" t="s">
        <v>1458</v>
      </c>
      <c r="I780" s="698"/>
      <c r="J780" s="698"/>
      <c r="K780" s="698"/>
      <c r="L780" s="698"/>
      <c r="M780" s="698"/>
      <c r="N780" s="698"/>
      <c r="O780" s="698"/>
      <c r="P780" s="698"/>
    </row>
    <row r="781" spans="1:16" s="697" customFormat="1" ht="47.25">
      <c r="A781" s="268">
        <v>670</v>
      </c>
      <c r="B781" s="586" t="s">
        <v>1801</v>
      </c>
      <c r="C781" s="586" t="s">
        <v>1802</v>
      </c>
      <c r="D781" s="278">
        <v>39429</v>
      </c>
      <c r="E781" s="278"/>
      <c r="F781" s="277" t="s">
        <v>264</v>
      </c>
      <c r="G781" s="276" t="str">
        <f t="shared" si="29"/>
        <v>1ج م ا2</v>
      </c>
      <c r="H781" s="240" t="s">
        <v>1458</v>
      </c>
      <c r="I781" s="698"/>
      <c r="J781" s="698"/>
      <c r="K781" s="698"/>
      <c r="L781" s="698"/>
      <c r="M781" s="698"/>
      <c r="N781" s="698"/>
      <c r="O781" s="698"/>
      <c r="P781" s="698"/>
    </row>
    <row r="782" spans="1:16" s="697" customFormat="1">
      <c r="A782" s="268">
        <v>671</v>
      </c>
      <c r="B782" s="586" t="s">
        <v>1803</v>
      </c>
      <c r="C782" s="586" t="s">
        <v>1804</v>
      </c>
      <c r="D782" s="278">
        <v>38666</v>
      </c>
      <c r="E782" s="278"/>
      <c r="F782" s="277" t="s">
        <v>264</v>
      </c>
      <c r="G782" s="276" t="str">
        <f t="shared" si="29"/>
        <v>1ج م ا2</v>
      </c>
      <c r="H782" s="240" t="s">
        <v>1458</v>
      </c>
      <c r="I782" s="698"/>
      <c r="J782" s="698"/>
      <c r="K782" s="698"/>
      <c r="L782" s="698"/>
      <c r="M782" s="698"/>
      <c r="N782" s="698"/>
      <c r="O782" s="698"/>
      <c r="P782" s="698"/>
    </row>
    <row r="783" spans="1:16" s="697" customFormat="1">
      <c r="A783" s="268">
        <v>672</v>
      </c>
      <c r="B783" s="586" t="s">
        <v>1805</v>
      </c>
      <c r="C783" s="586" t="s">
        <v>1806</v>
      </c>
      <c r="D783" s="278">
        <v>39305</v>
      </c>
      <c r="E783" s="278"/>
      <c r="F783" s="277" t="s">
        <v>264</v>
      </c>
      <c r="G783" s="276" t="str">
        <f t="shared" si="29"/>
        <v>1ج م ا2</v>
      </c>
      <c r="H783" s="240" t="s">
        <v>1458</v>
      </c>
      <c r="I783" s="698"/>
      <c r="J783" s="698"/>
      <c r="K783" s="698"/>
      <c r="L783" s="698"/>
      <c r="M783" s="698"/>
      <c r="N783" s="698"/>
      <c r="O783" s="698"/>
      <c r="P783" s="698"/>
    </row>
    <row r="784" spans="1:16" s="697" customFormat="1" ht="47.25">
      <c r="A784" s="268">
        <v>673</v>
      </c>
      <c r="B784" s="586" t="s">
        <v>1807</v>
      </c>
      <c r="C784" s="586" t="s">
        <v>1808</v>
      </c>
      <c r="D784" s="278">
        <v>39220</v>
      </c>
      <c r="E784" s="278"/>
      <c r="F784" s="277" t="s">
        <v>264</v>
      </c>
      <c r="G784" s="276" t="str">
        <f t="shared" si="29"/>
        <v>1ج م ا2</v>
      </c>
      <c r="H784" s="242" t="s">
        <v>96</v>
      </c>
      <c r="I784" s="698"/>
      <c r="J784" s="698"/>
      <c r="K784" s="698"/>
      <c r="L784" s="698"/>
      <c r="M784" s="698"/>
      <c r="N784" s="698"/>
      <c r="O784" s="698"/>
      <c r="P784" s="698"/>
    </row>
    <row r="785" spans="1:16" s="697" customFormat="1" ht="31.5">
      <c r="A785" s="268">
        <v>674</v>
      </c>
      <c r="B785" s="586" t="s">
        <v>1809</v>
      </c>
      <c r="C785" s="586" t="s">
        <v>1810</v>
      </c>
      <c r="D785" s="278">
        <v>38947</v>
      </c>
      <c r="E785" s="278"/>
      <c r="F785" s="277" t="s">
        <v>264</v>
      </c>
      <c r="G785" s="276" t="str">
        <f t="shared" si="29"/>
        <v>1ج م ا2</v>
      </c>
      <c r="H785" s="241" t="s">
        <v>91</v>
      </c>
      <c r="I785" s="698"/>
      <c r="J785" s="698"/>
      <c r="K785" s="698"/>
      <c r="L785" s="698"/>
      <c r="M785" s="698"/>
      <c r="N785" s="698"/>
      <c r="O785" s="698"/>
      <c r="P785" s="698"/>
    </row>
    <row r="786" spans="1:16" s="697" customFormat="1">
      <c r="A786" s="268">
        <v>675</v>
      </c>
      <c r="B786" s="586" t="s">
        <v>1811</v>
      </c>
      <c r="C786" s="586" t="s">
        <v>1812</v>
      </c>
      <c r="D786" s="278">
        <v>39073</v>
      </c>
      <c r="E786" s="278"/>
      <c r="F786" s="277" t="s">
        <v>264</v>
      </c>
      <c r="G786" s="276" t="str">
        <f t="shared" si="29"/>
        <v>1ج م ا2</v>
      </c>
      <c r="H786" s="241" t="s">
        <v>91</v>
      </c>
      <c r="I786" s="698"/>
      <c r="J786" s="698"/>
      <c r="K786" s="698"/>
      <c r="L786" s="698"/>
      <c r="M786" s="698"/>
      <c r="N786" s="698"/>
      <c r="O786" s="698"/>
      <c r="P786" s="698"/>
    </row>
    <row r="787" spans="1:16" s="697" customFormat="1" ht="31.5">
      <c r="A787" s="268">
        <v>676</v>
      </c>
      <c r="B787" s="586" t="s">
        <v>1813</v>
      </c>
      <c r="C787" s="586" t="s">
        <v>1814</v>
      </c>
      <c r="D787" s="278">
        <v>38918</v>
      </c>
      <c r="E787" s="278"/>
      <c r="F787" s="277" t="s">
        <v>264</v>
      </c>
      <c r="G787" s="276" t="str">
        <f t="shared" si="29"/>
        <v>1ج م ا2</v>
      </c>
      <c r="H787" s="242" t="s">
        <v>96</v>
      </c>
      <c r="I787" s="698"/>
      <c r="J787" s="698"/>
      <c r="K787" s="698"/>
      <c r="L787" s="698"/>
      <c r="M787" s="698"/>
      <c r="N787" s="698"/>
      <c r="O787" s="698"/>
      <c r="P787" s="698"/>
    </row>
    <row r="788" spans="1:16" s="697" customFormat="1">
      <c r="A788" s="268">
        <v>677</v>
      </c>
      <c r="B788" s="586" t="s">
        <v>1815</v>
      </c>
      <c r="C788" s="586" t="s">
        <v>1281</v>
      </c>
      <c r="D788" s="278">
        <v>39338</v>
      </c>
      <c r="E788" s="278"/>
      <c r="F788" s="277" t="s">
        <v>264</v>
      </c>
      <c r="G788" s="276" t="str">
        <f t="shared" si="29"/>
        <v>1ج م ا2</v>
      </c>
      <c r="H788" s="241" t="s">
        <v>91</v>
      </c>
      <c r="I788" s="698"/>
      <c r="J788" s="698"/>
      <c r="K788" s="698"/>
      <c r="L788" s="698"/>
      <c r="M788" s="698"/>
      <c r="N788" s="698"/>
      <c r="O788" s="698"/>
      <c r="P788" s="698"/>
    </row>
    <row r="789" spans="1:16" s="697" customFormat="1" ht="47.25">
      <c r="A789" s="268">
        <v>678</v>
      </c>
      <c r="B789" s="586" t="s">
        <v>1816</v>
      </c>
      <c r="C789" s="586" t="s">
        <v>1817</v>
      </c>
      <c r="D789" s="278">
        <v>38286</v>
      </c>
      <c r="E789" s="278"/>
      <c r="F789" s="277" t="s">
        <v>264</v>
      </c>
      <c r="G789" s="276" t="str">
        <f t="shared" si="29"/>
        <v>1ج م ا2</v>
      </c>
      <c r="H789" s="242" t="s">
        <v>96</v>
      </c>
      <c r="I789" s="698"/>
      <c r="J789" s="698"/>
      <c r="K789" s="698"/>
      <c r="L789" s="698"/>
      <c r="M789" s="698"/>
      <c r="N789" s="698"/>
      <c r="O789" s="698"/>
      <c r="P789" s="698"/>
    </row>
    <row r="790" spans="1:16" s="697" customFormat="1">
      <c r="A790" s="268">
        <v>679</v>
      </c>
      <c r="B790" s="586" t="s">
        <v>1410</v>
      </c>
      <c r="C790" s="586" t="s">
        <v>1337</v>
      </c>
      <c r="D790" s="278">
        <v>38853</v>
      </c>
      <c r="E790" s="278"/>
      <c r="F790" s="277" t="s">
        <v>264</v>
      </c>
      <c r="G790" s="276" t="str">
        <f t="shared" si="29"/>
        <v>1ج م ا2</v>
      </c>
      <c r="H790" s="241" t="s">
        <v>91</v>
      </c>
      <c r="I790" s="698"/>
      <c r="J790" s="698"/>
      <c r="K790" s="698"/>
      <c r="L790" s="698"/>
      <c r="M790" s="698"/>
      <c r="N790" s="698"/>
      <c r="O790" s="698"/>
      <c r="P790" s="698"/>
    </row>
    <row r="791" spans="1:16" s="697" customFormat="1">
      <c r="A791" s="268">
        <v>680</v>
      </c>
      <c r="B791" s="586" t="s">
        <v>1818</v>
      </c>
      <c r="C791" s="586" t="s">
        <v>1819</v>
      </c>
      <c r="D791" s="278">
        <v>39240</v>
      </c>
      <c r="E791" s="278"/>
      <c r="F791" s="277" t="s">
        <v>264</v>
      </c>
      <c r="G791" s="276" t="str">
        <f t="shared" si="29"/>
        <v>1ج م ا2</v>
      </c>
      <c r="H791" s="241" t="s">
        <v>91</v>
      </c>
      <c r="I791" s="698"/>
      <c r="J791" s="698"/>
      <c r="K791" s="698"/>
      <c r="L791" s="698"/>
      <c r="M791" s="698"/>
      <c r="N791" s="698"/>
      <c r="O791" s="698"/>
      <c r="P791" s="698"/>
    </row>
    <row r="792" spans="1:16" s="697" customFormat="1">
      <c r="A792" s="268">
        <v>681</v>
      </c>
      <c r="B792" s="586" t="s">
        <v>1820</v>
      </c>
      <c r="C792" s="586" t="s">
        <v>1821</v>
      </c>
      <c r="D792" s="278">
        <v>39586</v>
      </c>
      <c r="E792" s="278"/>
      <c r="F792" s="277" t="s">
        <v>264</v>
      </c>
      <c r="G792" s="276" t="str">
        <f t="shared" si="29"/>
        <v>1ج م ا2</v>
      </c>
      <c r="H792" s="241" t="s">
        <v>91</v>
      </c>
      <c r="I792" s="698"/>
      <c r="J792" s="698"/>
      <c r="K792" s="698"/>
      <c r="L792" s="698"/>
      <c r="M792" s="698"/>
      <c r="N792" s="698"/>
      <c r="O792" s="698"/>
      <c r="P792" s="698"/>
    </row>
    <row r="793" spans="1:16" s="697" customFormat="1" ht="47.25">
      <c r="A793" s="268">
        <v>682</v>
      </c>
      <c r="B793" s="586" t="s">
        <v>1822</v>
      </c>
      <c r="C793" s="586" t="s">
        <v>1823</v>
      </c>
      <c r="D793" s="278">
        <v>39170</v>
      </c>
      <c r="E793" s="278"/>
      <c r="F793" s="277" t="s">
        <v>264</v>
      </c>
      <c r="G793" s="276" t="str">
        <f t="shared" si="29"/>
        <v>1ج م ا2</v>
      </c>
      <c r="H793" s="242" t="s">
        <v>96</v>
      </c>
      <c r="I793" s="698"/>
      <c r="J793" s="698"/>
      <c r="K793" s="698"/>
      <c r="L793" s="698"/>
      <c r="M793" s="698"/>
      <c r="N793" s="698"/>
      <c r="O793" s="698"/>
      <c r="P793" s="698"/>
    </row>
    <row r="794" spans="1:16" s="697" customFormat="1" ht="31.5">
      <c r="A794" s="268">
        <v>683</v>
      </c>
      <c r="B794" s="586" t="s">
        <v>1549</v>
      </c>
      <c r="C794" s="586" t="s">
        <v>1824</v>
      </c>
      <c r="D794" s="278">
        <v>39349</v>
      </c>
      <c r="E794" s="278"/>
      <c r="F794" s="277" t="s">
        <v>264</v>
      </c>
      <c r="G794" s="276" t="str">
        <f t="shared" si="29"/>
        <v>1ج م ا2</v>
      </c>
      <c r="H794" s="242" t="s">
        <v>96</v>
      </c>
      <c r="I794" s="698"/>
      <c r="J794" s="698"/>
      <c r="K794" s="698"/>
      <c r="L794" s="698"/>
      <c r="M794" s="698"/>
      <c r="N794" s="698"/>
      <c r="O794" s="698"/>
      <c r="P794" s="698"/>
    </row>
    <row r="795" spans="1:16" s="697" customFormat="1">
      <c r="A795" s="268">
        <v>684</v>
      </c>
      <c r="B795" s="586" t="s">
        <v>1825</v>
      </c>
      <c r="C795" s="586" t="s">
        <v>1296</v>
      </c>
      <c r="D795" s="278">
        <v>39031</v>
      </c>
      <c r="E795" s="278"/>
      <c r="F795" s="277" t="s">
        <v>264</v>
      </c>
      <c r="G795" s="276" t="str">
        <f t="shared" si="29"/>
        <v>1ج م ا2</v>
      </c>
      <c r="H795" s="241" t="s">
        <v>91</v>
      </c>
      <c r="I795" s="698"/>
      <c r="J795" s="698"/>
      <c r="K795" s="698"/>
      <c r="L795" s="698"/>
      <c r="M795" s="698"/>
      <c r="N795" s="698"/>
      <c r="O795" s="698"/>
      <c r="P795" s="698"/>
    </row>
    <row r="796" spans="1:16" s="697" customFormat="1" ht="31.5">
      <c r="A796" s="268">
        <v>685</v>
      </c>
      <c r="B796" s="586" t="s">
        <v>1826</v>
      </c>
      <c r="C796" s="586" t="s">
        <v>1695</v>
      </c>
      <c r="D796" s="278">
        <v>38957</v>
      </c>
      <c r="E796" s="278"/>
      <c r="F796" s="277" t="s">
        <v>264</v>
      </c>
      <c r="G796" s="276" t="str">
        <f t="shared" si="29"/>
        <v>1ج م ا2</v>
      </c>
      <c r="H796" s="242" t="s">
        <v>96</v>
      </c>
      <c r="I796" s="698"/>
      <c r="J796" s="698"/>
      <c r="K796" s="698"/>
      <c r="L796" s="698"/>
      <c r="M796" s="698"/>
      <c r="N796" s="698"/>
      <c r="O796" s="698"/>
      <c r="P796" s="698"/>
    </row>
    <row r="797" spans="1:16" s="697" customFormat="1" ht="31.5">
      <c r="A797" s="268">
        <v>686</v>
      </c>
      <c r="B797" s="586" t="s">
        <v>1827</v>
      </c>
      <c r="C797" s="586" t="s">
        <v>1828</v>
      </c>
      <c r="D797" s="278">
        <v>38871</v>
      </c>
      <c r="E797" s="278"/>
      <c r="F797" s="277" t="s">
        <v>264</v>
      </c>
      <c r="G797" s="276" t="str">
        <f t="shared" si="29"/>
        <v>1ج م ا2</v>
      </c>
      <c r="H797" s="241" t="s">
        <v>91</v>
      </c>
      <c r="I797" s="698"/>
      <c r="J797" s="698"/>
      <c r="K797" s="698"/>
      <c r="L797" s="698"/>
      <c r="M797" s="698"/>
      <c r="N797" s="698"/>
      <c r="O797" s="698"/>
      <c r="P797" s="698"/>
    </row>
    <row r="798" spans="1:16" s="697" customFormat="1">
      <c r="A798" s="268">
        <v>687</v>
      </c>
      <c r="B798" s="586" t="s">
        <v>1829</v>
      </c>
      <c r="C798" s="586" t="s">
        <v>1298</v>
      </c>
      <c r="D798" s="278">
        <v>38683</v>
      </c>
      <c r="E798" s="278"/>
      <c r="F798" s="277" t="s">
        <v>264</v>
      </c>
      <c r="G798" s="276" t="str">
        <f t="shared" si="29"/>
        <v>1ج م ا2</v>
      </c>
      <c r="H798" s="241" t="s">
        <v>91</v>
      </c>
      <c r="I798" s="698"/>
      <c r="J798" s="698"/>
      <c r="K798" s="698"/>
      <c r="L798" s="698"/>
      <c r="M798" s="698"/>
      <c r="N798" s="698"/>
      <c r="O798" s="698"/>
      <c r="P798" s="698"/>
    </row>
    <row r="799" spans="1:16" s="697" customFormat="1">
      <c r="A799" s="268">
        <v>688</v>
      </c>
      <c r="B799" s="586" t="s">
        <v>866</v>
      </c>
      <c r="C799" s="586" t="s">
        <v>1830</v>
      </c>
      <c r="D799" s="278">
        <v>39505</v>
      </c>
      <c r="E799" s="278"/>
      <c r="F799" s="277" t="s">
        <v>264</v>
      </c>
      <c r="G799" s="276" t="str">
        <f t="shared" si="29"/>
        <v>1ج م ا2</v>
      </c>
      <c r="H799" s="241" t="s">
        <v>91</v>
      </c>
      <c r="I799" s="698"/>
      <c r="J799" s="698"/>
      <c r="K799" s="698"/>
      <c r="L799" s="698"/>
      <c r="M799" s="698"/>
      <c r="N799" s="698"/>
      <c r="O799" s="698"/>
      <c r="P799" s="698"/>
    </row>
    <row r="800" spans="1:16" s="697" customFormat="1">
      <c r="A800" s="268">
        <v>689</v>
      </c>
      <c r="B800" s="586" t="s">
        <v>1831</v>
      </c>
      <c r="C800" s="586" t="s">
        <v>1262</v>
      </c>
      <c r="D800" s="278">
        <v>39115</v>
      </c>
      <c r="E800" s="278"/>
      <c r="F800" s="277" t="s">
        <v>264</v>
      </c>
      <c r="G800" s="276" t="str">
        <f t="shared" si="29"/>
        <v>1ج م ا2</v>
      </c>
      <c r="H800" s="241" t="s">
        <v>91</v>
      </c>
      <c r="I800" s="698"/>
      <c r="J800" s="698"/>
      <c r="K800" s="698"/>
      <c r="L800" s="698"/>
      <c r="M800" s="698"/>
      <c r="N800" s="698"/>
      <c r="O800" s="698"/>
      <c r="P800" s="698"/>
    </row>
    <row r="801" spans="1:16" s="697" customFormat="1">
      <c r="A801" s="268">
        <v>690</v>
      </c>
      <c r="B801" s="586" t="s">
        <v>1832</v>
      </c>
      <c r="C801" s="586" t="s">
        <v>1833</v>
      </c>
      <c r="D801" s="278">
        <v>39516</v>
      </c>
      <c r="E801" s="278"/>
      <c r="F801" s="277" t="s">
        <v>264</v>
      </c>
      <c r="G801" s="276" t="str">
        <f t="shared" si="29"/>
        <v>1ج م ا2</v>
      </c>
      <c r="H801" s="241" t="s">
        <v>91</v>
      </c>
      <c r="I801" s="698"/>
      <c r="J801" s="698"/>
      <c r="K801" s="698"/>
      <c r="L801" s="698"/>
      <c r="M801" s="698"/>
      <c r="N801" s="698"/>
      <c r="O801" s="698"/>
      <c r="P801" s="698"/>
    </row>
    <row r="802" spans="1:16" s="697" customFormat="1" ht="31.5">
      <c r="A802" s="268">
        <v>691</v>
      </c>
      <c r="B802" s="586" t="s">
        <v>867</v>
      </c>
      <c r="C802" s="586" t="s">
        <v>1834</v>
      </c>
      <c r="D802" s="278">
        <v>39397</v>
      </c>
      <c r="E802" s="278"/>
      <c r="F802" s="277" t="s">
        <v>264</v>
      </c>
      <c r="G802" s="276" t="str">
        <f t="shared" si="29"/>
        <v>1ج م ا2</v>
      </c>
      <c r="H802" s="241" t="s">
        <v>91</v>
      </c>
      <c r="I802" s="698"/>
      <c r="J802" s="698"/>
      <c r="K802" s="698"/>
      <c r="L802" s="698"/>
      <c r="M802" s="698"/>
      <c r="N802" s="698"/>
      <c r="O802" s="698"/>
      <c r="P802" s="698"/>
    </row>
    <row r="803" spans="1:16" s="697" customFormat="1">
      <c r="A803" s="268">
        <v>692</v>
      </c>
      <c r="B803" s="586" t="s">
        <v>538</v>
      </c>
      <c r="C803" s="586" t="s">
        <v>1340</v>
      </c>
      <c r="D803" s="278">
        <v>38735</v>
      </c>
      <c r="E803" s="278"/>
      <c r="F803" s="277" t="s">
        <v>264</v>
      </c>
      <c r="G803" s="276" t="str">
        <f t="shared" si="29"/>
        <v>1ج م ا2</v>
      </c>
      <c r="H803" s="241" t="s">
        <v>91</v>
      </c>
      <c r="I803" s="698"/>
      <c r="J803" s="698"/>
      <c r="K803" s="698"/>
      <c r="L803" s="698"/>
      <c r="M803" s="698"/>
      <c r="N803" s="698"/>
      <c r="O803" s="698"/>
      <c r="P803" s="698"/>
    </row>
    <row r="804" spans="1:16" s="697" customFormat="1" ht="31.5">
      <c r="A804" s="268">
        <v>693</v>
      </c>
      <c r="B804" s="586" t="s">
        <v>540</v>
      </c>
      <c r="C804" s="586" t="s">
        <v>1835</v>
      </c>
      <c r="D804" s="278">
        <v>38903</v>
      </c>
      <c r="E804" s="278"/>
      <c r="F804" s="277" t="s">
        <v>264</v>
      </c>
      <c r="G804" s="276" t="str">
        <f t="shared" si="29"/>
        <v>1ج م ا2</v>
      </c>
      <c r="H804" s="242" t="s">
        <v>96</v>
      </c>
      <c r="I804" s="698"/>
      <c r="J804" s="698"/>
      <c r="K804" s="698"/>
      <c r="L804" s="698"/>
      <c r="M804" s="698"/>
      <c r="N804" s="698"/>
      <c r="O804" s="698"/>
      <c r="P804" s="698"/>
    </row>
    <row r="805" spans="1:16" s="697" customFormat="1">
      <c r="A805" s="268">
        <v>694</v>
      </c>
      <c r="B805" s="586" t="s">
        <v>1836</v>
      </c>
      <c r="C805" s="586" t="s">
        <v>1837</v>
      </c>
      <c r="D805" s="278">
        <v>39575</v>
      </c>
      <c r="E805" s="278"/>
      <c r="F805" s="277" t="s">
        <v>264</v>
      </c>
      <c r="G805" s="276" t="str">
        <f t="shared" si="29"/>
        <v>1ج م ا2</v>
      </c>
      <c r="H805" s="242" t="s">
        <v>96</v>
      </c>
      <c r="I805" s="698"/>
      <c r="J805" s="698"/>
      <c r="K805" s="698"/>
      <c r="L805" s="698"/>
      <c r="M805" s="698"/>
      <c r="N805" s="698"/>
      <c r="O805" s="698"/>
      <c r="P805" s="698"/>
    </row>
    <row r="806" spans="1:16" s="697" customFormat="1" ht="31.5">
      <c r="A806" s="268">
        <v>695</v>
      </c>
      <c r="B806" s="586" t="s">
        <v>1838</v>
      </c>
      <c r="C806" s="586" t="s">
        <v>1839</v>
      </c>
      <c r="D806" s="278">
        <v>38909</v>
      </c>
      <c r="E806" s="278"/>
      <c r="F806" s="277" t="s">
        <v>264</v>
      </c>
      <c r="G806" s="276" t="str">
        <f t="shared" si="29"/>
        <v>1ج م ا2</v>
      </c>
      <c r="H806" s="242" t="s">
        <v>96</v>
      </c>
      <c r="I806" s="698"/>
      <c r="J806" s="698"/>
      <c r="K806" s="698"/>
      <c r="L806" s="698"/>
      <c r="M806" s="698"/>
      <c r="N806" s="698"/>
      <c r="O806" s="698"/>
      <c r="P806" s="698"/>
    </row>
    <row r="807" spans="1:16" s="697" customFormat="1">
      <c r="A807" s="268">
        <v>696</v>
      </c>
      <c r="B807" s="586" t="s">
        <v>1840</v>
      </c>
      <c r="C807" s="586" t="s">
        <v>1368</v>
      </c>
      <c r="D807" s="278">
        <v>38043</v>
      </c>
      <c r="E807" s="278"/>
      <c r="F807" s="277" t="s">
        <v>264</v>
      </c>
      <c r="G807" s="276" t="str">
        <f t="shared" si="29"/>
        <v>1ج م ا2</v>
      </c>
      <c r="H807" s="242" t="s">
        <v>96</v>
      </c>
      <c r="I807" s="698"/>
      <c r="J807" s="698"/>
      <c r="K807" s="698"/>
      <c r="L807" s="698"/>
      <c r="M807" s="698"/>
      <c r="N807" s="698"/>
      <c r="O807" s="698"/>
      <c r="P807" s="698"/>
    </row>
    <row r="808" spans="1:16" s="697" customFormat="1">
      <c r="A808" s="268">
        <v>697</v>
      </c>
      <c r="B808" s="586" t="s">
        <v>145</v>
      </c>
      <c r="C808" s="586" t="s">
        <v>698</v>
      </c>
      <c r="D808" s="278">
        <v>38488</v>
      </c>
      <c r="E808" s="278" t="s">
        <v>104</v>
      </c>
      <c r="F808" s="277" t="s">
        <v>264</v>
      </c>
      <c r="G808" s="276" t="str">
        <f t="shared" si="29"/>
        <v>1ج م ا2</v>
      </c>
      <c r="H808" s="241" t="s">
        <v>91</v>
      </c>
      <c r="I808" s="698"/>
      <c r="J808" s="698"/>
      <c r="K808" s="698"/>
      <c r="L808" s="698"/>
      <c r="M808" s="698"/>
      <c r="N808" s="698"/>
      <c r="O808" s="698"/>
      <c r="P808" s="698"/>
    </row>
    <row r="809" spans="1:16" s="697" customFormat="1">
      <c r="A809" s="268">
        <v>698</v>
      </c>
      <c r="B809" s="586" t="s">
        <v>1374</v>
      </c>
      <c r="C809" s="586" t="s">
        <v>1273</v>
      </c>
      <c r="D809" s="278">
        <v>39224</v>
      </c>
      <c r="E809" s="278"/>
      <c r="F809" s="277" t="s">
        <v>264</v>
      </c>
      <c r="G809" s="276" t="str">
        <f t="shared" si="29"/>
        <v>1ج م ا2</v>
      </c>
      <c r="H809" s="241" t="s">
        <v>91</v>
      </c>
      <c r="I809" s="698"/>
      <c r="J809" s="698"/>
      <c r="K809" s="698"/>
      <c r="L809" s="698"/>
      <c r="M809" s="698"/>
      <c r="N809" s="698"/>
      <c r="O809" s="698"/>
      <c r="P809" s="698"/>
    </row>
    <row r="810" spans="1:16" s="697" customFormat="1">
      <c r="A810" s="268">
        <v>699</v>
      </c>
      <c r="B810" s="586" t="s">
        <v>1841</v>
      </c>
      <c r="C810" s="586" t="s">
        <v>1842</v>
      </c>
      <c r="D810" s="278">
        <v>39496</v>
      </c>
      <c r="E810" s="278"/>
      <c r="F810" s="277" t="s">
        <v>264</v>
      </c>
      <c r="G810" s="276" t="str">
        <f t="shared" si="29"/>
        <v>1ج م ا2</v>
      </c>
      <c r="H810" s="241" t="s">
        <v>91</v>
      </c>
      <c r="I810" s="698"/>
      <c r="J810" s="698"/>
      <c r="K810" s="698"/>
      <c r="L810" s="698"/>
      <c r="M810" s="698"/>
      <c r="N810" s="698"/>
      <c r="O810" s="698"/>
      <c r="P810" s="698"/>
    </row>
    <row r="811" spans="1:16" s="697" customFormat="1" ht="31.5">
      <c r="A811" s="268">
        <v>700</v>
      </c>
      <c r="B811" s="586" t="s">
        <v>1843</v>
      </c>
      <c r="C811" s="586" t="s">
        <v>1844</v>
      </c>
      <c r="D811" s="278">
        <v>39283</v>
      </c>
      <c r="E811" s="278"/>
      <c r="F811" s="277" t="s">
        <v>264</v>
      </c>
      <c r="G811" s="276" t="str">
        <f t="shared" si="29"/>
        <v>1ج م ا2</v>
      </c>
      <c r="H811" s="242" t="s">
        <v>96</v>
      </c>
      <c r="I811" s="698"/>
      <c r="J811" s="698"/>
      <c r="K811" s="698"/>
      <c r="L811" s="698"/>
      <c r="M811" s="698"/>
      <c r="N811" s="698"/>
      <c r="O811" s="698"/>
      <c r="P811" s="698"/>
    </row>
    <row r="812" spans="1:16" s="697" customFormat="1">
      <c r="A812" s="268">
        <v>701</v>
      </c>
      <c r="B812" s="586" t="s">
        <v>1845</v>
      </c>
      <c r="C812" s="586" t="s">
        <v>1846</v>
      </c>
      <c r="D812" s="278">
        <v>39452</v>
      </c>
      <c r="E812" s="278"/>
      <c r="F812" s="277" t="s">
        <v>264</v>
      </c>
      <c r="G812" s="276" t="str">
        <f t="shared" si="29"/>
        <v>1ج م ا2</v>
      </c>
      <c r="H812" s="242" t="s">
        <v>96</v>
      </c>
      <c r="I812" s="698"/>
      <c r="J812" s="698"/>
      <c r="K812" s="698"/>
      <c r="L812" s="698"/>
      <c r="M812" s="698"/>
      <c r="N812" s="698"/>
      <c r="O812" s="698"/>
      <c r="P812" s="698"/>
    </row>
    <row r="813" spans="1:16" s="697" customFormat="1" ht="31.5">
      <c r="A813" s="268">
        <v>702</v>
      </c>
      <c r="B813" s="586" t="s">
        <v>1847</v>
      </c>
      <c r="C813" s="586" t="s">
        <v>1848</v>
      </c>
      <c r="D813" s="278">
        <v>38944</v>
      </c>
      <c r="E813" s="278"/>
      <c r="F813" s="277" t="s">
        <v>264</v>
      </c>
      <c r="G813" s="276" t="str">
        <f t="shared" si="29"/>
        <v>1ج م ا2</v>
      </c>
      <c r="H813" s="242" t="s">
        <v>96</v>
      </c>
      <c r="I813" s="698"/>
      <c r="J813" s="698"/>
      <c r="K813" s="698"/>
      <c r="L813" s="698"/>
      <c r="M813" s="698"/>
      <c r="N813" s="698"/>
      <c r="O813" s="698"/>
      <c r="P813" s="698"/>
    </row>
    <row r="814" spans="1:16" s="697" customFormat="1" ht="31.5">
      <c r="A814" s="268">
        <v>703</v>
      </c>
      <c r="B814" s="586" t="s">
        <v>1849</v>
      </c>
      <c r="C814" s="586" t="s">
        <v>1636</v>
      </c>
      <c r="D814" s="278">
        <v>38568</v>
      </c>
      <c r="E814" s="278"/>
      <c r="F814" s="277" t="s">
        <v>264</v>
      </c>
      <c r="G814" s="276" t="str">
        <f t="shared" si="29"/>
        <v>1ج م ا2</v>
      </c>
      <c r="H814" s="242" t="s">
        <v>96</v>
      </c>
      <c r="I814" s="698"/>
      <c r="J814" s="698"/>
      <c r="K814" s="698"/>
      <c r="L814" s="698"/>
      <c r="M814" s="698"/>
      <c r="N814" s="698"/>
      <c r="O814" s="698"/>
      <c r="P814" s="698"/>
    </row>
    <row r="815" spans="1:16" s="697" customFormat="1">
      <c r="A815" s="268">
        <v>704</v>
      </c>
      <c r="B815" s="586"/>
      <c r="C815" s="586"/>
      <c r="D815" s="278"/>
      <c r="E815" s="413"/>
      <c r="F815" s="276"/>
      <c r="G815" s="276">
        <f t="shared" si="29"/>
        <v>0</v>
      </c>
      <c r="H815" s="241"/>
      <c r="I815" s="698"/>
      <c r="J815" s="698"/>
      <c r="K815" s="698"/>
      <c r="L815" s="698"/>
      <c r="M815" s="698"/>
      <c r="N815" s="698"/>
      <c r="O815" s="698"/>
      <c r="P815" s="698"/>
    </row>
    <row r="816" spans="1:16" s="697" customFormat="1">
      <c r="A816" s="698"/>
      <c r="B816" s="586"/>
      <c r="C816" s="586"/>
      <c r="D816" s="278"/>
      <c r="E816" s="413"/>
      <c r="F816" s="276"/>
      <c r="G816" s="698"/>
      <c r="H816" s="241"/>
      <c r="I816" s="698"/>
      <c r="J816" s="698"/>
      <c r="K816" s="698"/>
      <c r="L816" s="698"/>
      <c r="M816" s="698"/>
      <c r="N816" s="698"/>
      <c r="O816" s="698"/>
      <c r="P816" s="698"/>
    </row>
    <row r="817" spans="1:16" s="697" customFormat="1">
      <c r="A817" s="698"/>
      <c r="B817" s="586"/>
      <c r="C817" s="586"/>
      <c r="D817" s="278"/>
      <c r="E817" s="413"/>
      <c r="F817" s="276"/>
      <c r="G817" s="698"/>
      <c r="H817" s="241"/>
      <c r="I817" s="698"/>
      <c r="J817" s="698"/>
      <c r="K817" s="698"/>
      <c r="L817" s="698"/>
      <c r="M817" s="698"/>
      <c r="N817" s="698"/>
      <c r="O817" s="698"/>
      <c r="P817" s="698"/>
    </row>
    <row r="818" spans="1:16" s="697" customFormat="1">
      <c r="A818" s="698"/>
      <c r="B818" s="586"/>
      <c r="C818" s="586"/>
      <c r="D818" s="278"/>
      <c r="E818" s="413"/>
      <c r="F818" s="276"/>
      <c r="G818" s="698"/>
      <c r="H818" s="241"/>
      <c r="I818" s="698"/>
      <c r="J818" s="698"/>
      <c r="K818" s="698"/>
      <c r="L818" s="698"/>
      <c r="M818" s="698"/>
      <c r="N818" s="698"/>
      <c r="O818" s="698"/>
      <c r="P818" s="698"/>
    </row>
    <row r="819" spans="1:16" s="697" customFormat="1">
      <c r="A819" s="698"/>
      <c r="B819" s="586"/>
      <c r="C819" s="586"/>
      <c r="D819" s="278"/>
      <c r="E819" s="413"/>
      <c r="F819" s="276"/>
      <c r="G819" s="698"/>
      <c r="H819" s="241"/>
      <c r="I819" s="698"/>
      <c r="J819" s="698"/>
      <c r="K819" s="698"/>
      <c r="L819" s="698"/>
      <c r="M819" s="698"/>
      <c r="N819" s="698"/>
      <c r="O819" s="698"/>
      <c r="P819" s="698"/>
    </row>
    <row r="820" spans="1:16" s="697" customFormat="1">
      <c r="A820" s="698"/>
      <c r="B820" s="586"/>
      <c r="C820" s="586"/>
      <c r="D820" s="278"/>
      <c r="E820" s="413"/>
      <c r="F820" s="276"/>
      <c r="G820" s="698"/>
      <c r="H820" s="241"/>
      <c r="I820" s="698"/>
      <c r="J820" s="698"/>
      <c r="K820" s="698"/>
      <c r="L820" s="698"/>
      <c r="M820" s="698"/>
      <c r="N820" s="698"/>
      <c r="O820" s="698"/>
      <c r="P820" s="698"/>
    </row>
    <row r="821" spans="1:16" s="697" customFormat="1">
      <c r="A821" s="698"/>
      <c r="B821" s="586"/>
      <c r="C821" s="586"/>
      <c r="D821" s="278"/>
      <c r="E821" s="413"/>
      <c r="F821" s="276"/>
      <c r="G821" s="698"/>
      <c r="H821" s="241"/>
      <c r="I821" s="698"/>
      <c r="J821" s="698"/>
      <c r="K821" s="698"/>
      <c r="L821" s="698"/>
      <c r="M821" s="698"/>
      <c r="N821" s="698"/>
      <c r="O821" s="698"/>
      <c r="P821" s="698"/>
    </row>
    <row r="822" spans="1:16" s="697" customFormat="1">
      <c r="A822" s="698"/>
      <c r="B822" s="586"/>
      <c r="C822" s="586"/>
      <c r="D822" s="278"/>
      <c r="E822" s="413"/>
      <c r="F822" s="276"/>
      <c r="G822" s="698"/>
      <c r="H822" s="241"/>
      <c r="I822" s="698"/>
      <c r="J822" s="698"/>
      <c r="K822" s="698"/>
      <c r="L822" s="698"/>
      <c r="M822" s="698"/>
      <c r="N822" s="698"/>
      <c r="O822" s="698"/>
      <c r="P822" s="698"/>
    </row>
    <row r="823" spans="1:16" s="697" customFormat="1">
      <c r="A823" s="698"/>
      <c r="B823" s="586"/>
      <c r="C823" s="586"/>
      <c r="D823" s="278"/>
      <c r="E823" s="413"/>
      <c r="F823" s="276"/>
      <c r="G823" s="698"/>
      <c r="H823" s="240"/>
      <c r="I823" s="698"/>
      <c r="J823" s="698"/>
      <c r="K823" s="698"/>
      <c r="L823" s="698"/>
      <c r="M823" s="698"/>
      <c r="N823" s="698"/>
      <c r="O823" s="698"/>
      <c r="P823" s="698"/>
    </row>
    <row r="824" spans="1:16" s="697" customFormat="1">
      <c r="A824" s="698"/>
      <c r="B824" s="586"/>
      <c r="C824" s="586"/>
      <c r="D824" s="278"/>
      <c r="E824" s="413"/>
      <c r="F824" s="276"/>
      <c r="G824" s="698"/>
      <c r="H824" s="240"/>
      <c r="I824" s="698"/>
      <c r="J824" s="698"/>
      <c r="K824" s="698"/>
      <c r="L824" s="698"/>
      <c r="M824" s="698"/>
      <c r="N824" s="698"/>
      <c r="O824" s="698"/>
      <c r="P824" s="698"/>
    </row>
    <row r="825" spans="1:16" s="697" customFormat="1">
      <c r="A825" s="698"/>
      <c r="B825" s="586"/>
      <c r="C825" s="586"/>
      <c r="D825" s="278"/>
      <c r="E825" s="413"/>
      <c r="F825" s="276"/>
      <c r="G825" s="698"/>
      <c r="H825" s="240"/>
      <c r="I825" s="698"/>
      <c r="J825" s="698"/>
      <c r="K825" s="698"/>
      <c r="L825" s="698"/>
      <c r="M825" s="698"/>
      <c r="N825" s="698"/>
      <c r="O825" s="698"/>
      <c r="P825" s="698"/>
    </row>
    <row r="826" spans="1:16" s="697" customFormat="1">
      <c r="A826" s="698"/>
      <c r="B826" s="586"/>
      <c r="C826" s="586"/>
      <c r="D826" s="278"/>
      <c r="E826" s="413"/>
      <c r="F826" s="276"/>
      <c r="G826" s="698"/>
      <c r="H826" s="240"/>
      <c r="I826" s="698"/>
      <c r="J826" s="698"/>
      <c r="K826" s="698"/>
      <c r="L826" s="698"/>
      <c r="M826" s="698"/>
      <c r="N826" s="698"/>
      <c r="O826" s="698"/>
      <c r="P826" s="698"/>
    </row>
    <row r="827" spans="1:16" s="697" customFormat="1">
      <c r="A827" s="698"/>
      <c r="B827" s="586"/>
      <c r="C827" s="586"/>
      <c r="D827" s="278"/>
      <c r="E827" s="413"/>
      <c r="F827" s="276"/>
      <c r="G827" s="698"/>
      <c r="H827" s="240"/>
      <c r="I827" s="698"/>
      <c r="J827" s="698"/>
      <c r="K827" s="698"/>
      <c r="L827" s="698"/>
      <c r="M827" s="698"/>
      <c r="N827" s="698"/>
      <c r="O827" s="698"/>
      <c r="P827" s="698"/>
    </row>
    <row r="828" spans="1:16" s="697" customFormat="1">
      <c r="A828" s="698"/>
      <c r="B828" s="586"/>
      <c r="C828" s="586"/>
      <c r="D828" s="278"/>
      <c r="E828" s="413"/>
      <c r="F828" s="276"/>
      <c r="G828" s="698"/>
      <c r="H828" s="240"/>
      <c r="I828" s="698"/>
      <c r="J828" s="698"/>
      <c r="K828" s="698"/>
      <c r="L828" s="698"/>
      <c r="M828" s="698"/>
      <c r="N828" s="698"/>
      <c r="O828" s="698"/>
      <c r="P828" s="698"/>
    </row>
    <row r="829" spans="1:16" s="697" customFormat="1">
      <c r="A829" s="698"/>
      <c r="B829" s="586"/>
      <c r="C829" s="586"/>
      <c r="D829" s="278"/>
      <c r="E829" s="262"/>
      <c r="F829" s="276"/>
      <c r="G829" s="698"/>
      <c r="H829" s="240"/>
      <c r="I829" s="698"/>
      <c r="J829" s="698"/>
      <c r="K829" s="698"/>
      <c r="L829" s="698"/>
      <c r="M829" s="698"/>
      <c r="N829" s="698"/>
      <c r="O829" s="698"/>
      <c r="P829" s="698"/>
    </row>
    <row r="830" spans="1:16" s="697" customFormat="1">
      <c r="A830" s="698"/>
      <c r="B830" s="586"/>
      <c r="C830" s="586"/>
      <c r="D830" s="278"/>
      <c r="E830" s="216"/>
      <c r="F830" s="276"/>
      <c r="G830" s="698"/>
      <c r="H830" s="242"/>
      <c r="I830" s="698"/>
      <c r="J830" s="698"/>
      <c r="K830" s="698"/>
      <c r="L830" s="698"/>
      <c r="M830" s="698"/>
      <c r="N830" s="698"/>
      <c r="O830" s="698"/>
      <c r="P830" s="698"/>
    </row>
    <row r="831" spans="1:16" s="697" customFormat="1">
      <c r="A831" s="698"/>
      <c r="B831" s="586"/>
      <c r="C831" s="586"/>
      <c r="D831" s="278"/>
      <c r="E831" s="237"/>
      <c r="F831" s="276"/>
      <c r="G831" s="698"/>
      <c r="H831" s="242"/>
      <c r="I831" s="698"/>
      <c r="J831" s="698"/>
      <c r="K831" s="698"/>
      <c r="L831" s="698"/>
      <c r="M831" s="698"/>
      <c r="N831" s="698"/>
      <c r="O831" s="698"/>
      <c r="P831" s="698"/>
    </row>
    <row r="832" spans="1:16" s="697" customFormat="1">
      <c r="A832" s="698"/>
      <c r="B832" s="586"/>
      <c r="C832" s="586"/>
      <c r="D832" s="278"/>
      <c r="E832" s="258"/>
      <c r="F832" s="276"/>
      <c r="G832" s="698"/>
      <c r="H832" s="241"/>
      <c r="I832" s="698"/>
      <c r="J832" s="698"/>
      <c r="K832" s="698"/>
      <c r="L832" s="698"/>
      <c r="M832" s="698"/>
      <c r="N832" s="698"/>
      <c r="O832" s="698"/>
      <c r="P832" s="698"/>
    </row>
    <row r="833" spans="1:16" s="697" customFormat="1">
      <c r="A833" s="698"/>
      <c r="B833" s="586"/>
      <c r="C833" s="586"/>
      <c r="D833" s="278"/>
      <c r="E833" s="266"/>
      <c r="F833" s="276"/>
      <c r="G833" s="698"/>
      <c r="H833" s="241"/>
      <c r="I833" s="698"/>
      <c r="J833" s="698"/>
      <c r="K833" s="698"/>
      <c r="L833" s="698"/>
      <c r="M833" s="698"/>
      <c r="N833" s="698"/>
      <c r="O833" s="698"/>
      <c r="P833" s="698"/>
    </row>
    <row r="834" spans="1:16" s="697" customFormat="1">
      <c r="A834" s="698"/>
      <c r="B834" s="586"/>
      <c r="C834" s="586"/>
      <c r="D834" s="278"/>
      <c r="E834" s="247"/>
      <c r="F834" s="276"/>
      <c r="G834" s="698"/>
      <c r="H834" s="242"/>
      <c r="I834" s="698"/>
      <c r="J834" s="698"/>
      <c r="K834" s="698"/>
      <c r="L834" s="698"/>
      <c r="M834" s="698"/>
      <c r="N834" s="698"/>
      <c r="O834" s="698"/>
      <c r="P834" s="698"/>
    </row>
    <row r="835" spans="1:16" s="697" customFormat="1">
      <c r="A835" s="698"/>
      <c r="B835" s="586"/>
      <c r="C835" s="586"/>
      <c r="D835" s="278"/>
      <c r="E835" s="237"/>
      <c r="F835" s="276"/>
      <c r="G835" s="698"/>
      <c r="H835" s="241"/>
      <c r="I835" s="698"/>
      <c r="J835" s="698"/>
      <c r="K835" s="698"/>
      <c r="L835" s="698"/>
      <c r="M835" s="698"/>
      <c r="N835" s="698"/>
      <c r="O835" s="698"/>
      <c r="P835" s="698"/>
    </row>
    <row r="836" spans="1:16" s="697" customFormat="1">
      <c r="A836" s="698"/>
      <c r="B836" s="586"/>
      <c r="C836" s="586"/>
      <c r="D836" s="278"/>
      <c r="E836" s="266"/>
      <c r="F836" s="276"/>
      <c r="G836" s="698"/>
      <c r="H836" s="241"/>
      <c r="I836" s="698"/>
      <c r="J836" s="698"/>
      <c r="K836" s="698"/>
      <c r="L836" s="698"/>
      <c r="M836" s="698"/>
      <c r="N836" s="698"/>
      <c r="O836" s="698"/>
      <c r="P836" s="698"/>
    </row>
    <row r="837" spans="1:16" s="697" customFormat="1">
      <c r="A837" s="698"/>
      <c r="B837" s="586"/>
      <c r="C837" s="586"/>
      <c r="D837" s="278"/>
      <c r="E837" s="262"/>
      <c r="F837" s="276"/>
      <c r="G837" s="698"/>
      <c r="H837" s="241"/>
      <c r="I837" s="698"/>
      <c r="J837" s="698"/>
      <c r="K837" s="698"/>
      <c r="L837" s="698"/>
      <c r="M837" s="698"/>
      <c r="N837" s="698"/>
      <c r="O837" s="698"/>
      <c r="P837" s="698"/>
    </row>
    <row r="838" spans="1:16" s="697" customFormat="1">
      <c r="A838" s="698"/>
      <c r="B838" s="586"/>
      <c r="C838" s="586"/>
      <c r="D838" s="278"/>
      <c r="E838" s="216"/>
      <c r="F838" s="276"/>
      <c r="G838" s="698"/>
      <c r="H838" s="240"/>
      <c r="I838" s="698"/>
      <c r="J838" s="698"/>
      <c r="K838" s="698"/>
      <c r="L838" s="698"/>
      <c r="M838" s="698"/>
      <c r="N838" s="698"/>
      <c r="O838" s="698"/>
      <c r="P838" s="698"/>
    </row>
    <row r="839" spans="1:16" s="697" customFormat="1">
      <c r="A839" s="698"/>
      <c r="B839" s="586"/>
      <c r="C839" s="586"/>
      <c r="D839" s="278"/>
      <c r="E839" s="262"/>
      <c r="F839" s="275"/>
      <c r="G839" s="698"/>
      <c r="H839" s="240"/>
      <c r="I839" s="698"/>
      <c r="J839" s="698"/>
      <c r="K839" s="698"/>
      <c r="L839" s="698"/>
      <c r="M839" s="698"/>
      <c r="N839" s="698"/>
      <c r="O839" s="698"/>
      <c r="P839" s="698"/>
    </row>
    <row r="840" spans="1:16" s="697" customFormat="1">
      <c r="A840" s="698"/>
      <c r="B840" s="586"/>
      <c r="C840" s="586"/>
      <c r="D840" s="278"/>
      <c r="E840" s="262"/>
      <c r="F840" s="275"/>
      <c r="G840" s="698"/>
      <c r="H840" s="240"/>
      <c r="I840" s="698"/>
      <c r="J840" s="698"/>
      <c r="K840" s="698"/>
      <c r="L840" s="698"/>
      <c r="M840" s="698"/>
      <c r="N840" s="698"/>
      <c r="O840" s="698"/>
      <c r="P840" s="698"/>
    </row>
    <row r="841" spans="1:16" s="697" customFormat="1">
      <c r="A841" s="698"/>
      <c r="B841" s="586"/>
      <c r="C841" s="586"/>
      <c r="D841" s="278"/>
      <c r="E841" s="717"/>
      <c r="F841" s="275"/>
      <c r="G841" s="698"/>
      <c r="H841" s="242"/>
      <c r="I841" s="698"/>
      <c r="J841" s="698"/>
      <c r="K841" s="698"/>
      <c r="L841" s="698"/>
      <c r="M841" s="698"/>
      <c r="N841" s="698"/>
      <c r="O841" s="698"/>
      <c r="P841" s="698"/>
    </row>
    <row r="842" spans="1:16" s="697" customFormat="1">
      <c r="A842" s="698"/>
      <c r="B842" s="586"/>
      <c r="C842" s="586"/>
      <c r="D842" s="278"/>
      <c r="E842" s="247"/>
      <c r="F842" s="275"/>
      <c r="G842" s="698"/>
      <c r="H842" s="242"/>
      <c r="I842" s="698"/>
      <c r="J842" s="698"/>
      <c r="K842" s="698"/>
      <c r="L842" s="698"/>
      <c r="M842" s="698"/>
      <c r="N842" s="698"/>
      <c r="O842" s="698"/>
      <c r="P842" s="698"/>
    </row>
    <row r="843" spans="1:16" s="697" customFormat="1">
      <c r="A843" s="698"/>
      <c r="B843" s="586"/>
      <c r="C843" s="586"/>
      <c r="D843" s="278"/>
      <c r="E843" s="247"/>
      <c r="F843" s="275"/>
      <c r="G843" s="698"/>
      <c r="H843" s="242"/>
      <c r="I843" s="698"/>
      <c r="J843" s="698"/>
      <c r="K843" s="698"/>
      <c r="L843" s="698"/>
      <c r="M843" s="698"/>
      <c r="N843" s="698"/>
      <c r="O843" s="698"/>
      <c r="P843" s="698"/>
    </row>
    <row r="844" spans="1:16" s="697" customFormat="1">
      <c r="A844" s="698"/>
      <c r="B844" s="586"/>
      <c r="C844" s="586"/>
      <c r="D844" s="278"/>
      <c r="E844" s="216"/>
      <c r="F844" s="275"/>
      <c r="G844" s="698"/>
      <c r="H844" s="240"/>
      <c r="I844" s="698"/>
      <c r="J844" s="698"/>
      <c r="K844" s="698"/>
      <c r="L844" s="698"/>
      <c r="M844" s="698"/>
      <c r="N844" s="698"/>
      <c r="O844" s="698"/>
      <c r="P844" s="698"/>
    </row>
    <row r="845" spans="1:16" s="697" customFormat="1">
      <c r="A845" s="698"/>
      <c r="B845" s="586"/>
      <c r="C845" s="586"/>
      <c r="D845" s="278"/>
      <c r="E845" s="718"/>
      <c r="F845" s="276"/>
      <c r="G845" s="698"/>
      <c r="H845" s="240"/>
      <c r="I845" s="698"/>
      <c r="J845" s="698"/>
      <c r="K845" s="698"/>
      <c r="L845" s="698"/>
      <c r="M845" s="698"/>
      <c r="N845" s="698"/>
      <c r="O845" s="698"/>
      <c r="P845" s="698"/>
    </row>
    <row r="846" spans="1:16" s="697" customFormat="1">
      <c r="A846" s="698"/>
      <c r="B846" s="586"/>
      <c r="C846" s="586"/>
      <c r="D846" s="278"/>
      <c r="E846" s="216"/>
      <c r="F846" s="276"/>
      <c r="G846" s="698"/>
      <c r="H846" s="242"/>
      <c r="I846" s="698"/>
      <c r="J846" s="698"/>
      <c r="K846" s="698"/>
      <c r="L846" s="698"/>
      <c r="M846" s="698"/>
      <c r="N846" s="698"/>
      <c r="O846" s="698"/>
      <c r="P846" s="698"/>
    </row>
    <row r="847" spans="1:16" s="697" customFormat="1">
      <c r="A847" s="698"/>
      <c r="B847" s="586"/>
      <c r="C847" s="586"/>
      <c r="D847" s="278"/>
      <c r="E847" s="216"/>
      <c r="F847" s="276"/>
      <c r="G847" s="698"/>
      <c r="H847" s="242"/>
      <c r="I847" s="698"/>
      <c r="J847" s="698"/>
      <c r="K847" s="698"/>
      <c r="L847" s="698"/>
      <c r="M847" s="698"/>
      <c r="N847" s="698"/>
      <c r="O847" s="698"/>
      <c r="P847" s="698"/>
    </row>
    <row r="848" spans="1:16" s="697" customFormat="1">
      <c r="A848" s="698"/>
      <c r="B848" s="586"/>
      <c r="C848" s="586"/>
      <c r="D848" s="278"/>
      <c r="E848" s="262"/>
      <c r="F848" s="276"/>
      <c r="G848" s="698"/>
      <c r="H848" s="241"/>
      <c r="I848" s="698"/>
      <c r="J848" s="698"/>
      <c r="K848" s="698"/>
      <c r="L848" s="698"/>
      <c r="M848" s="698"/>
      <c r="N848" s="698"/>
      <c r="O848" s="698"/>
      <c r="P848" s="698"/>
    </row>
    <row r="849" spans="1:16" s="697" customFormat="1">
      <c r="A849" s="698"/>
      <c r="B849" s="586"/>
      <c r="C849" s="586"/>
      <c r="D849" s="278"/>
      <c r="E849" s="266"/>
      <c r="F849" s="276"/>
      <c r="G849" s="698"/>
      <c r="H849" s="241"/>
      <c r="I849" s="698"/>
      <c r="J849" s="698"/>
      <c r="K849" s="698"/>
      <c r="L849" s="698"/>
      <c r="M849" s="698"/>
      <c r="N849" s="698"/>
      <c r="O849" s="698"/>
      <c r="P849" s="698"/>
    </row>
    <row r="850" spans="1:16" s="697" customFormat="1">
      <c r="A850" s="698"/>
      <c r="B850" s="586"/>
      <c r="C850" s="586"/>
      <c r="D850" s="278"/>
      <c r="E850" s="247"/>
      <c r="F850" s="276"/>
      <c r="G850" s="698"/>
      <c r="H850" s="242"/>
      <c r="I850" s="698"/>
      <c r="J850" s="698"/>
      <c r="K850" s="698"/>
      <c r="L850" s="698"/>
      <c r="M850" s="698"/>
      <c r="N850" s="698"/>
      <c r="O850" s="698"/>
      <c r="P850" s="698"/>
    </row>
    <row r="851" spans="1:16" s="697" customFormat="1">
      <c r="A851" s="698"/>
      <c r="B851" s="586"/>
      <c r="C851" s="586"/>
      <c r="D851" s="278"/>
      <c r="E851" s="216"/>
      <c r="F851" s="276"/>
      <c r="G851" s="698"/>
      <c r="H851" s="241"/>
      <c r="I851" s="698"/>
      <c r="J851" s="698"/>
      <c r="K851" s="698"/>
      <c r="L851" s="698"/>
      <c r="M851" s="698"/>
      <c r="N851" s="698"/>
      <c r="O851" s="698"/>
      <c r="P851" s="698"/>
    </row>
    <row r="852" spans="1:16" s="697" customFormat="1">
      <c r="A852" s="698"/>
      <c r="B852" s="586"/>
      <c r="C852" s="586"/>
      <c r="D852" s="278"/>
      <c r="E852" s="247"/>
      <c r="F852" s="276"/>
      <c r="G852" s="698"/>
      <c r="H852" s="241"/>
      <c r="I852" s="698"/>
      <c r="J852" s="698"/>
      <c r="K852" s="698"/>
      <c r="L852" s="698"/>
      <c r="M852" s="698"/>
      <c r="N852" s="698"/>
      <c r="O852" s="698"/>
      <c r="P852" s="698"/>
    </row>
    <row r="853" spans="1:16" s="697" customFormat="1">
      <c r="A853" s="698"/>
      <c r="B853" s="586"/>
      <c r="C853" s="586"/>
      <c r="D853" s="278"/>
      <c r="E853" s="215"/>
      <c r="F853" s="275"/>
      <c r="G853" s="698"/>
      <c r="H853" s="242"/>
      <c r="I853" s="698"/>
      <c r="J853" s="698"/>
      <c r="K853" s="698"/>
      <c r="L853" s="698"/>
      <c r="M853" s="698"/>
      <c r="N853" s="698"/>
      <c r="O853" s="698"/>
      <c r="P853" s="698"/>
    </row>
    <row r="854" spans="1:16" s="697" customFormat="1">
      <c r="A854" s="698"/>
      <c r="B854" s="586"/>
      <c r="C854" s="586"/>
      <c r="D854" s="278"/>
      <c r="E854" s="266"/>
      <c r="F854" s="275"/>
      <c r="G854" s="698"/>
      <c r="H854" s="241"/>
      <c r="I854" s="698"/>
      <c r="J854" s="698"/>
      <c r="K854" s="698"/>
      <c r="L854" s="698"/>
      <c r="M854" s="698"/>
      <c r="N854" s="698"/>
      <c r="O854" s="698"/>
      <c r="P854" s="698"/>
    </row>
    <row r="855" spans="1:16" s="697" customFormat="1">
      <c r="A855" s="698"/>
      <c r="B855" s="586"/>
      <c r="C855" s="586"/>
      <c r="D855" s="278"/>
      <c r="E855" s="267"/>
      <c r="F855" s="275"/>
      <c r="G855" s="698"/>
      <c r="H855" s="241"/>
      <c r="I855" s="698"/>
      <c r="J855" s="698"/>
      <c r="K855" s="698"/>
      <c r="L855" s="698"/>
      <c r="M855" s="698"/>
      <c r="N855" s="698"/>
      <c r="O855" s="698"/>
      <c r="P855" s="698"/>
    </row>
    <row r="856" spans="1:16" s="697" customFormat="1">
      <c r="A856" s="698"/>
      <c r="B856" s="586"/>
      <c r="C856" s="586"/>
      <c r="D856" s="278"/>
      <c r="E856" s="258"/>
      <c r="F856" s="275"/>
      <c r="G856" s="698"/>
      <c r="H856" s="242"/>
      <c r="I856" s="698"/>
      <c r="J856" s="698"/>
      <c r="K856" s="698"/>
      <c r="L856" s="698"/>
      <c r="M856" s="698"/>
      <c r="N856" s="698"/>
      <c r="O856" s="698"/>
      <c r="P856" s="698"/>
    </row>
    <row r="857" spans="1:16" s="697" customFormat="1">
      <c r="A857" s="698"/>
      <c r="B857" s="586"/>
      <c r="C857" s="586"/>
      <c r="D857" s="278"/>
      <c r="E857" s="258"/>
      <c r="F857" s="275"/>
      <c r="G857" s="698"/>
      <c r="H857" s="240"/>
      <c r="I857" s="698"/>
      <c r="J857" s="698"/>
      <c r="K857" s="698"/>
      <c r="L857" s="698"/>
      <c r="M857" s="698"/>
      <c r="N857" s="698"/>
      <c r="O857" s="698"/>
      <c r="P857" s="698"/>
    </row>
    <row r="858" spans="1:16" s="697" customFormat="1">
      <c r="A858" s="698"/>
      <c r="B858" s="586"/>
      <c r="C858" s="586"/>
      <c r="D858" s="278"/>
      <c r="E858" s="266"/>
      <c r="F858" s="275"/>
      <c r="G858" s="698"/>
      <c r="H858" s="241"/>
      <c r="I858" s="698"/>
      <c r="J858" s="698"/>
      <c r="K858" s="698"/>
      <c r="L858" s="698"/>
      <c r="M858" s="698"/>
      <c r="N858" s="698"/>
      <c r="O858" s="698"/>
      <c r="P858" s="698"/>
    </row>
    <row r="859" spans="1:16" s="697" customFormat="1">
      <c r="A859" s="698"/>
      <c r="B859" s="586"/>
      <c r="C859" s="586"/>
      <c r="D859" s="278"/>
      <c r="E859" s="247"/>
      <c r="F859" s="275"/>
      <c r="G859" s="698"/>
      <c r="H859" s="242"/>
      <c r="I859" s="698"/>
      <c r="J859" s="698"/>
      <c r="K859" s="698"/>
      <c r="L859" s="698"/>
      <c r="M859" s="698"/>
      <c r="N859" s="698"/>
      <c r="O859" s="698"/>
      <c r="P859" s="698"/>
    </row>
    <row r="860" spans="1:16" s="697" customFormat="1">
      <c r="A860" s="698"/>
      <c r="B860" s="586"/>
      <c r="C860" s="586"/>
      <c r="D860" s="278"/>
      <c r="E860" s="266"/>
      <c r="F860" s="275"/>
      <c r="G860" s="698"/>
      <c r="H860" s="241"/>
      <c r="I860" s="698"/>
      <c r="J860" s="698"/>
      <c r="K860" s="698"/>
      <c r="L860" s="698"/>
      <c r="M860" s="698"/>
      <c r="N860" s="698"/>
      <c r="O860" s="698"/>
      <c r="P860" s="698"/>
    </row>
    <row r="861" spans="1:16" s="697" customFormat="1">
      <c r="A861" s="698"/>
      <c r="B861" s="586"/>
      <c r="C861" s="586"/>
      <c r="D861" s="278"/>
      <c r="E861" s="266"/>
      <c r="F861" s="698"/>
      <c r="G861" s="698"/>
      <c r="H861" s="241"/>
      <c r="I861" s="698"/>
      <c r="J861" s="698"/>
      <c r="K861" s="698"/>
      <c r="L861" s="698"/>
      <c r="M861" s="698"/>
      <c r="N861" s="698"/>
      <c r="O861" s="698"/>
      <c r="P861" s="698"/>
    </row>
    <row r="862" spans="1:16" s="697" customFormat="1">
      <c r="A862" s="698"/>
      <c r="B862" s="586"/>
      <c r="C862" s="586"/>
      <c r="D862" s="278"/>
      <c r="E862" s="215"/>
      <c r="F862" s="698"/>
      <c r="G862" s="698"/>
      <c r="H862" s="242"/>
      <c r="I862" s="698"/>
      <c r="J862" s="698"/>
      <c r="K862" s="698"/>
      <c r="L862" s="698"/>
      <c r="M862" s="698"/>
      <c r="N862" s="698"/>
      <c r="O862" s="698"/>
      <c r="P862" s="698"/>
    </row>
    <row r="863" spans="1:16" s="697" customFormat="1">
      <c r="A863" s="698"/>
      <c r="B863" s="586"/>
      <c r="C863" s="586"/>
      <c r="D863" s="278"/>
      <c r="E863" s="215"/>
      <c r="F863" s="698"/>
      <c r="G863" s="698"/>
      <c r="H863" s="242"/>
      <c r="I863" s="698"/>
      <c r="J863" s="698"/>
      <c r="K863" s="698"/>
      <c r="L863" s="698"/>
      <c r="M863" s="698"/>
      <c r="N863" s="698"/>
      <c r="O863" s="698"/>
      <c r="P863" s="698"/>
    </row>
    <row r="864" spans="1:16" s="697" customFormat="1">
      <c r="A864" s="698"/>
      <c r="B864" s="586"/>
      <c r="C864" s="586"/>
      <c r="D864" s="278"/>
      <c r="E864" s="215"/>
      <c r="F864" s="698"/>
      <c r="G864" s="698"/>
      <c r="H864" s="242"/>
      <c r="I864" s="698"/>
      <c r="J864" s="698"/>
      <c r="K864" s="698"/>
      <c r="L864" s="698"/>
      <c r="M864" s="698"/>
      <c r="N864" s="698"/>
      <c r="O864" s="698"/>
      <c r="P864" s="698"/>
    </row>
    <row r="865" spans="1:16" s="697" customFormat="1">
      <c r="A865" s="698"/>
      <c r="B865" s="586"/>
      <c r="C865" s="586"/>
      <c r="D865" s="278"/>
      <c r="E865" s="215"/>
      <c r="F865" s="698"/>
      <c r="G865" s="698"/>
      <c r="H865" s="242"/>
      <c r="I865" s="698"/>
      <c r="J865" s="698"/>
      <c r="K865" s="698"/>
      <c r="L865" s="698"/>
      <c r="M865" s="698"/>
      <c r="N865" s="698"/>
      <c r="O865" s="698"/>
      <c r="P865" s="698"/>
    </row>
    <row r="866" spans="1:16" s="697" customFormat="1">
      <c r="A866" s="698"/>
      <c r="B866" s="586"/>
      <c r="C866" s="586"/>
      <c r="D866" s="278"/>
      <c r="E866" s="215"/>
      <c r="F866" s="698"/>
      <c r="G866" s="698"/>
      <c r="H866" s="242"/>
      <c r="I866" s="698"/>
      <c r="J866" s="698"/>
      <c r="K866" s="698"/>
      <c r="L866" s="698"/>
      <c r="M866" s="698"/>
      <c r="N866" s="698"/>
      <c r="O866" s="698"/>
      <c r="P866" s="698"/>
    </row>
    <row r="867" spans="1:16" s="697" customFormat="1">
      <c r="A867" s="698"/>
      <c r="B867" s="586"/>
      <c r="C867" s="586"/>
      <c r="D867" s="278"/>
      <c r="E867" s="215"/>
      <c r="F867" s="698"/>
      <c r="G867" s="698"/>
      <c r="H867" s="242"/>
      <c r="I867" s="698"/>
      <c r="J867" s="698"/>
      <c r="K867" s="698"/>
      <c r="L867" s="698"/>
      <c r="M867" s="698"/>
      <c r="N867" s="698"/>
      <c r="O867" s="698"/>
      <c r="P867" s="698"/>
    </row>
    <row r="868" spans="1:16" s="697" customFormat="1">
      <c r="A868" s="698"/>
      <c r="B868" s="586"/>
      <c r="C868" s="586"/>
      <c r="D868" s="278"/>
      <c r="E868" s="215"/>
      <c r="F868" s="698"/>
      <c r="G868" s="698"/>
      <c r="H868" s="242"/>
      <c r="I868" s="698"/>
      <c r="J868" s="698"/>
      <c r="K868" s="698"/>
      <c r="L868" s="698"/>
      <c r="M868" s="698"/>
      <c r="N868" s="698"/>
      <c r="O868" s="698"/>
      <c r="P868" s="698"/>
    </row>
    <row r="869" spans="1:16" s="697" customFormat="1">
      <c r="A869" s="698"/>
      <c r="B869" s="586"/>
      <c r="C869" s="586"/>
      <c r="D869" s="278"/>
      <c r="E869" s="215"/>
      <c r="F869" s="698"/>
      <c r="G869" s="698"/>
      <c r="H869" s="242"/>
      <c r="I869" s="698"/>
      <c r="J869" s="698"/>
      <c r="K869" s="698"/>
      <c r="L869" s="698"/>
      <c r="M869" s="698"/>
      <c r="N869" s="698"/>
      <c r="O869" s="698"/>
      <c r="P869" s="698"/>
    </row>
    <row r="870" spans="1:16" s="697" customFormat="1">
      <c r="A870" s="698"/>
      <c r="B870" s="586"/>
      <c r="C870" s="586"/>
      <c r="D870" s="278"/>
      <c r="E870" s="215"/>
      <c r="F870" s="698"/>
      <c r="G870" s="698"/>
      <c r="H870" s="242"/>
      <c r="I870" s="698"/>
      <c r="J870" s="698"/>
      <c r="K870" s="698"/>
      <c r="L870" s="698"/>
      <c r="M870" s="698"/>
      <c r="N870" s="698"/>
      <c r="O870" s="698"/>
      <c r="P870" s="698"/>
    </row>
    <row r="871" spans="1:16" s="697" customFormat="1">
      <c r="A871" s="698"/>
      <c r="B871" s="586"/>
      <c r="C871" s="586"/>
      <c r="D871" s="278"/>
      <c r="E871" s="215"/>
      <c r="F871" s="698"/>
      <c r="G871" s="698"/>
      <c r="H871" s="242"/>
      <c r="I871" s="698"/>
      <c r="J871" s="698"/>
      <c r="K871" s="698"/>
      <c r="L871" s="698"/>
      <c r="M871" s="698"/>
      <c r="N871" s="698"/>
      <c r="O871" s="698"/>
      <c r="P871" s="698"/>
    </row>
    <row r="872" spans="1:16" s="697" customFormat="1">
      <c r="A872" s="698"/>
      <c r="B872" s="586"/>
      <c r="C872" s="586"/>
      <c r="D872" s="278"/>
      <c r="E872" s="215"/>
      <c r="F872" s="698"/>
      <c r="G872" s="698"/>
      <c r="H872" s="242"/>
      <c r="I872" s="698"/>
      <c r="J872" s="698"/>
      <c r="K872" s="698"/>
      <c r="L872" s="698"/>
      <c r="M872" s="698"/>
      <c r="N872" s="698"/>
      <c r="O872" s="698"/>
      <c r="P872" s="698"/>
    </row>
    <row r="873" spans="1:16" s="697" customFormat="1">
      <c r="A873" s="698"/>
      <c r="B873" s="586"/>
      <c r="C873" s="586"/>
      <c r="D873" s="278"/>
      <c r="E873" s="215"/>
      <c r="F873" s="698"/>
      <c r="G873" s="698"/>
      <c r="H873" s="242"/>
      <c r="I873" s="698"/>
      <c r="J873" s="698"/>
      <c r="K873" s="698"/>
      <c r="L873" s="698"/>
      <c r="M873" s="698"/>
      <c r="N873" s="698"/>
      <c r="O873" s="698"/>
      <c r="P873" s="698"/>
    </row>
    <row r="874" spans="1:16" s="697" customFormat="1">
      <c r="A874" s="698"/>
      <c r="B874" s="586"/>
      <c r="C874" s="586"/>
      <c r="D874" s="278"/>
      <c r="E874" s="215"/>
      <c r="F874" s="698"/>
      <c r="G874" s="698"/>
      <c r="H874" s="242"/>
      <c r="I874" s="698"/>
      <c r="J874" s="698"/>
      <c r="K874" s="698"/>
      <c r="L874" s="698"/>
      <c r="M874" s="698"/>
      <c r="N874" s="698"/>
      <c r="O874" s="698"/>
      <c r="P874" s="698"/>
    </row>
    <row r="875" spans="1:16" s="697" customFormat="1">
      <c r="A875" s="698"/>
      <c r="B875" s="586"/>
      <c r="C875" s="586"/>
      <c r="D875" s="278"/>
      <c r="E875" s="215"/>
      <c r="F875" s="698"/>
      <c r="G875" s="698"/>
      <c r="H875" s="242"/>
      <c r="I875" s="698"/>
      <c r="J875" s="698"/>
      <c r="K875" s="698"/>
      <c r="L875" s="698"/>
      <c r="M875" s="698"/>
      <c r="N875" s="698"/>
      <c r="O875" s="698"/>
      <c r="P875" s="698"/>
    </row>
    <row r="876" spans="1:16" s="697" customFormat="1">
      <c r="A876" s="698"/>
      <c r="B876" s="586"/>
      <c r="C876" s="586"/>
      <c r="D876" s="278"/>
      <c r="E876" s="215"/>
      <c r="F876" s="698"/>
      <c r="G876" s="698"/>
      <c r="H876" s="242"/>
      <c r="I876" s="698"/>
      <c r="J876" s="698"/>
      <c r="K876" s="698"/>
      <c r="L876" s="698"/>
      <c r="M876" s="698"/>
      <c r="N876" s="698"/>
      <c r="O876" s="698"/>
      <c r="P876" s="698"/>
    </row>
    <row r="877" spans="1:16" s="697" customFormat="1">
      <c r="A877" s="698"/>
      <c r="B877" s="586"/>
      <c r="C877" s="586"/>
      <c r="D877" s="278"/>
      <c r="E877" s="215"/>
      <c r="F877" s="698"/>
      <c r="G877" s="698"/>
      <c r="H877" s="242"/>
      <c r="I877" s="698"/>
      <c r="J877" s="698"/>
      <c r="K877" s="698"/>
      <c r="L877" s="698"/>
      <c r="M877" s="698"/>
      <c r="N877" s="698"/>
      <c r="O877" s="698"/>
      <c r="P877" s="698"/>
    </row>
    <row r="878" spans="1:16" s="697" customFormat="1">
      <c r="A878" s="698"/>
      <c r="B878" s="586"/>
      <c r="C878" s="586"/>
      <c r="D878" s="278"/>
      <c r="E878" s="215"/>
      <c r="F878" s="698"/>
      <c r="G878" s="698"/>
      <c r="H878" s="242"/>
      <c r="I878" s="698"/>
      <c r="J878" s="698"/>
      <c r="K878" s="698"/>
      <c r="L878" s="698"/>
      <c r="M878" s="698"/>
      <c r="N878" s="698"/>
      <c r="O878" s="698"/>
      <c r="P878" s="698"/>
    </row>
    <row r="879" spans="1:16" s="697" customFormat="1">
      <c r="A879" s="698"/>
      <c r="B879" s="586"/>
      <c r="C879" s="586"/>
      <c r="D879" s="278"/>
      <c r="E879" s="215"/>
      <c r="F879" s="698"/>
      <c r="G879" s="698"/>
      <c r="H879" s="242"/>
      <c r="I879" s="698"/>
      <c r="J879" s="698"/>
      <c r="K879" s="698"/>
      <c r="L879" s="698"/>
      <c r="M879" s="698"/>
      <c r="N879" s="698"/>
      <c r="O879" s="698"/>
      <c r="P879" s="698"/>
    </row>
    <row r="880" spans="1:16" s="697" customFormat="1">
      <c r="A880" s="698"/>
      <c r="B880" s="586"/>
      <c r="C880" s="586"/>
      <c r="D880" s="278"/>
      <c r="E880" s="215"/>
      <c r="F880" s="698"/>
      <c r="G880" s="698"/>
      <c r="H880" s="242"/>
      <c r="I880" s="698"/>
      <c r="J880" s="698"/>
      <c r="K880" s="698"/>
      <c r="L880" s="698"/>
      <c r="M880" s="698"/>
      <c r="N880" s="698"/>
      <c r="O880" s="698"/>
      <c r="P880" s="698"/>
    </row>
    <row r="881" spans="1:16" s="697" customFormat="1">
      <c r="A881" s="698"/>
      <c r="B881" s="586"/>
      <c r="C881" s="586"/>
      <c r="D881" s="278"/>
      <c r="E881" s="215"/>
      <c r="F881" s="698"/>
      <c r="G881" s="698"/>
      <c r="H881" s="242"/>
      <c r="I881" s="698"/>
      <c r="J881" s="698"/>
      <c r="K881" s="698"/>
      <c r="L881" s="698"/>
      <c r="M881" s="698"/>
      <c r="N881" s="698"/>
      <c r="O881" s="698"/>
      <c r="P881" s="698"/>
    </row>
    <row r="882" spans="1:16" s="697" customFormat="1">
      <c r="A882" s="698"/>
      <c r="B882" s="586"/>
      <c r="C882" s="586"/>
      <c r="D882" s="278"/>
      <c r="E882" s="215"/>
      <c r="F882" s="698"/>
      <c r="G882" s="698"/>
      <c r="H882" s="242"/>
      <c r="I882" s="698"/>
      <c r="J882" s="698"/>
      <c r="K882" s="698"/>
      <c r="L882" s="698"/>
      <c r="M882" s="698"/>
      <c r="N882" s="698"/>
      <c r="O882" s="698"/>
      <c r="P882" s="698"/>
    </row>
    <row r="883" spans="1:16" s="697" customFormat="1">
      <c r="A883" s="698"/>
      <c r="B883" s="586"/>
      <c r="C883" s="586"/>
      <c r="D883" s="278"/>
      <c r="E883" s="215"/>
      <c r="F883" s="698"/>
      <c r="G883" s="698"/>
      <c r="H883" s="242"/>
      <c r="I883" s="698"/>
      <c r="J883" s="698"/>
      <c r="K883" s="698"/>
      <c r="L883" s="698"/>
      <c r="M883" s="698"/>
      <c r="N883" s="698"/>
      <c r="O883" s="698"/>
      <c r="P883" s="698"/>
    </row>
    <row r="884" spans="1:16" s="697" customFormat="1">
      <c r="A884" s="698"/>
      <c r="B884" s="586"/>
      <c r="C884" s="586"/>
      <c r="D884" s="278"/>
      <c r="E884" s="215"/>
      <c r="F884" s="698"/>
      <c r="G884" s="698"/>
      <c r="H884" s="242"/>
      <c r="I884" s="698"/>
      <c r="J884" s="698"/>
      <c r="K884" s="698"/>
      <c r="L884" s="698"/>
      <c r="M884" s="698"/>
      <c r="N884" s="698"/>
      <c r="O884" s="698"/>
      <c r="P884" s="698"/>
    </row>
    <row r="885" spans="1:16" s="697" customFormat="1">
      <c r="A885" s="698"/>
      <c r="B885" s="586"/>
      <c r="C885" s="586"/>
      <c r="D885" s="278"/>
      <c r="E885" s="215"/>
      <c r="F885" s="698"/>
      <c r="G885" s="698"/>
      <c r="H885" s="242"/>
      <c r="I885" s="698"/>
      <c r="J885" s="698"/>
      <c r="K885" s="698"/>
      <c r="L885" s="698"/>
      <c r="M885" s="698"/>
      <c r="N885" s="698"/>
      <c r="O885" s="698"/>
      <c r="P885" s="698"/>
    </row>
    <row r="886" spans="1:16" s="697" customFormat="1">
      <c r="A886" s="698"/>
      <c r="B886" s="586"/>
      <c r="C886" s="586"/>
      <c r="D886" s="278"/>
      <c r="E886" s="215"/>
      <c r="F886" s="698"/>
      <c r="G886" s="698"/>
      <c r="H886" s="242"/>
      <c r="I886" s="698"/>
      <c r="J886" s="698"/>
      <c r="K886" s="698"/>
      <c r="L886" s="698"/>
      <c r="M886" s="698"/>
      <c r="N886" s="698"/>
      <c r="O886" s="698"/>
      <c r="P886" s="698"/>
    </row>
    <row r="887" spans="1:16" s="697" customFormat="1">
      <c r="A887" s="698"/>
      <c r="B887" s="586"/>
      <c r="C887" s="586"/>
      <c r="D887" s="278"/>
      <c r="E887" s="215"/>
      <c r="F887" s="698"/>
      <c r="G887" s="698"/>
      <c r="H887" s="242"/>
      <c r="I887" s="698"/>
      <c r="J887" s="698"/>
      <c r="K887" s="698"/>
      <c r="L887" s="698"/>
      <c r="M887" s="698"/>
      <c r="N887" s="698"/>
      <c r="O887" s="698"/>
      <c r="P887" s="698"/>
    </row>
    <row r="888" spans="1:16" s="697" customFormat="1">
      <c r="A888" s="698"/>
      <c r="B888" s="586"/>
      <c r="C888" s="586"/>
      <c r="D888" s="278"/>
      <c r="E888" s="215"/>
      <c r="F888" s="698"/>
      <c r="G888" s="698"/>
      <c r="H888" s="242"/>
      <c r="I888" s="698"/>
      <c r="J888" s="698"/>
      <c r="K888" s="698"/>
      <c r="L888" s="698"/>
      <c r="M888" s="698"/>
      <c r="N888" s="698"/>
      <c r="O888" s="698"/>
      <c r="P888" s="698"/>
    </row>
    <row r="889" spans="1:16" s="697" customFormat="1">
      <c r="A889" s="698"/>
      <c r="B889" s="586"/>
      <c r="C889" s="586"/>
      <c r="D889" s="278"/>
      <c r="E889" s="215"/>
      <c r="F889" s="698"/>
      <c r="G889" s="698"/>
      <c r="H889" s="242"/>
      <c r="I889" s="698"/>
      <c r="J889" s="698"/>
      <c r="K889" s="698"/>
      <c r="L889" s="698"/>
      <c r="M889" s="698"/>
      <c r="N889" s="698"/>
      <c r="O889" s="698"/>
      <c r="P889" s="698"/>
    </row>
    <row r="890" spans="1:16" s="697" customFormat="1">
      <c r="A890" s="698"/>
      <c r="B890" s="586"/>
      <c r="C890" s="586"/>
      <c r="D890" s="278"/>
      <c r="E890" s="215"/>
      <c r="F890" s="698"/>
      <c r="G890" s="698"/>
      <c r="H890" s="242"/>
      <c r="I890" s="698"/>
      <c r="J890" s="698"/>
      <c r="K890" s="698"/>
      <c r="L890" s="698"/>
      <c r="M890" s="698"/>
      <c r="N890" s="698"/>
      <c r="O890" s="698"/>
      <c r="P890" s="698"/>
    </row>
    <row r="891" spans="1:16" s="697" customFormat="1">
      <c r="A891" s="698"/>
      <c r="B891" s="586"/>
      <c r="C891" s="586"/>
      <c r="D891" s="278"/>
      <c r="E891" s="215"/>
      <c r="F891" s="698"/>
      <c r="G891" s="698"/>
      <c r="H891" s="242"/>
      <c r="I891" s="698"/>
      <c r="J891" s="698"/>
      <c r="K891" s="698"/>
      <c r="L891" s="698"/>
      <c r="M891" s="698"/>
      <c r="N891" s="698"/>
      <c r="O891" s="698"/>
      <c r="P891" s="698"/>
    </row>
    <row r="892" spans="1:16" s="697" customFormat="1">
      <c r="A892" s="698"/>
      <c r="B892" s="586"/>
      <c r="C892" s="586"/>
      <c r="D892" s="278"/>
      <c r="E892" s="215"/>
      <c r="F892" s="698"/>
      <c r="G892" s="698"/>
      <c r="H892" s="242"/>
      <c r="I892" s="698"/>
      <c r="J892" s="698"/>
      <c r="K892" s="698"/>
      <c r="L892" s="698"/>
      <c r="M892" s="698"/>
      <c r="N892" s="698"/>
      <c r="O892" s="698"/>
      <c r="P892" s="698"/>
    </row>
    <row r="893" spans="1:16" s="697" customFormat="1">
      <c r="A893" s="698"/>
      <c r="B893" s="586"/>
      <c r="C893" s="586"/>
      <c r="D893" s="278"/>
      <c r="E893" s="215"/>
      <c r="F893" s="698"/>
      <c r="G893" s="698"/>
      <c r="H893" s="242"/>
      <c r="I893" s="698"/>
      <c r="J893" s="698"/>
      <c r="K893" s="698"/>
      <c r="L893" s="698"/>
      <c r="M893" s="698"/>
      <c r="N893" s="698"/>
      <c r="O893" s="698"/>
      <c r="P893" s="698"/>
    </row>
    <row r="894" spans="1:16" s="697" customFormat="1">
      <c r="A894" s="698"/>
      <c r="B894" s="586"/>
      <c r="C894" s="586"/>
      <c r="D894" s="278"/>
      <c r="E894" s="215"/>
      <c r="F894" s="698"/>
      <c r="G894" s="698"/>
      <c r="H894" s="242"/>
      <c r="I894" s="698"/>
      <c r="J894" s="698"/>
      <c r="K894" s="698"/>
      <c r="L894" s="698"/>
      <c r="M894" s="698"/>
      <c r="N894" s="698"/>
      <c r="O894" s="698"/>
      <c r="P894" s="698"/>
    </row>
    <row r="895" spans="1:16" s="697" customFormat="1">
      <c r="A895" s="698"/>
      <c r="B895" s="586"/>
      <c r="C895" s="586"/>
      <c r="D895" s="278"/>
      <c r="E895" s="215"/>
      <c r="F895" s="698"/>
      <c r="G895" s="698"/>
      <c r="H895" s="242"/>
      <c r="I895" s="698"/>
      <c r="J895" s="698"/>
      <c r="K895" s="698"/>
      <c r="L895" s="698"/>
      <c r="M895" s="698"/>
      <c r="N895" s="698"/>
      <c r="O895" s="698"/>
      <c r="P895" s="698"/>
    </row>
    <row r="896" spans="1:16" s="697" customFormat="1">
      <c r="A896" s="698"/>
      <c r="B896" s="586"/>
      <c r="C896" s="586"/>
      <c r="D896" s="278"/>
      <c r="E896" s="215"/>
      <c r="F896" s="698"/>
      <c r="G896" s="698"/>
      <c r="H896" s="242"/>
      <c r="I896" s="698"/>
      <c r="J896" s="698"/>
      <c r="K896" s="698"/>
      <c r="L896" s="698"/>
      <c r="M896" s="698"/>
      <c r="N896" s="698"/>
      <c r="O896" s="698"/>
      <c r="P896" s="698"/>
    </row>
    <row r="897" spans="1:16" s="697" customFormat="1">
      <c r="A897" s="698"/>
      <c r="B897" s="586"/>
      <c r="C897" s="586"/>
      <c r="D897" s="278"/>
      <c r="E897" s="215"/>
      <c r="F897" s="698"/>
      <c r="G897" s="698"/>
      <c r="H897" s="242"/>
      <c r="I897" s="698"/>
      <c r="J897" s="698"/>
      <c r="K897" s="698"/>
      <c r="L897" s="698"/>
      <c r="M897" s="698"/>
      <c r="N897" s="698"/>
      <c r="O897" s="698"/>
      <c r="P897" s="698"/>
    </row>
    <row r="898" spans="1:16" s="697" customFormat="1">
      <c r="A898" s="698"/>
      <c r="B898" s="586"/>
      <c r="C898" s="586"/>
      <c r="D898" s="278"/>
      <c r="E898" s="215"/>
      <c r="F898" s="698"/>
      <c r="G898" s="698"/>
      <c r="H898" s="242"/>
      <c r="I898" s="698"/>
      <c r="J898" s="698"/>
      <c r="K898" s="698"/>
      <c r="L898" s="698"/>
      <c r="M898" s="698"/>
      <c r="N898" s="698"/>
      <c r="O898" s="698"/>
      <c r="P898" s="698"/>
    </row>
    <row r="899" spans="1:16" s="697" customFormat="1">
      <c r="A899" s="698"/>
      <c r="B899" s="586"/>
      <c r="C899" s="586"/>
      <c r="D899" s="278"/>
      <c r="E899" s="215"/>
      <c r="F899" s="698"/>
      <c r="G899" s="698"/>
      <c r="H899" s="242"/>
      <c r="I899" s="698"/>
      <c r="J899" s="698"/>
      <c r="K899" s="698"/>
      <c r="L899" s="698"/>
      <c r="M899" s="698"/>
      <c r="N899" s="698"/>
      <c r="O899" s="698"/>
      <c r="P899" s="698"/>
    </row>
    <row r="900" spans="1:16" s="697" customFormat="1">
      <c r="A900" s="698"/>
      <c r="B900" s="586"/>
      <c r="C900" s="586"/>
      <c r="D900" s="278"/>
      <c r="E900" s="215"/>
      <c r="F900" s="698"/>
      <c r="G900" s="698"/>
      <c r="H900" s="242"/>
      <c r="I900" s="698"/>
      <c r="J900" s="698"/>
      <c r="K900" s="698"/>
      <c r="L900" s="698"/>
      <c r="M900" s="698"/>
      <c r="N900" s="698"/>
      <c r="O900" s="698"/>
      <c r="P900" s="698"/>
    </row>
    <row r="901" spans="1:16" s="697" customFormat="1">
      <c r="A901" s="698"/>
      <c r="B901" s="586"/>
      <c r="C901" s="586"/>
      <c r="D901" s="278"/>
      <c r="E901" s="215"/>
      <c r="F901" s="698"/>
      <c r="G901" s="698"/>
      <c r="H901" s="242"/>
      <c r="I901" s="698"/>
      <c r="J901" s="698"/>
      <c r="K901" s="698"/>
      <c r="L901" s="698"/>
      <c r="M901" s="698"/>
      <c r="N901" s="698"/>
      <c r="O901" s="698"/>
      <c r="P901" s="698"/>
    </row>
    <row r="902" spans="1:16" s="697" customFormat="1">
      <c r="A902" s="698"/>
      <c r="B902" s="586"/>
      <c r="C902" s="586"/>
      <c r="D902" s="278"/>
      <c r="E902" s="215"/>
      <c r="F902" s="698"/>
      <c r="G902" s="698"/>
      <c r="H902" s="242"/>
      <c r="I902" s="698"/>
      <c r="J902" s="698"/>
      <c r="K902" s="698"/>
      <c r="L902" s="698"/>
      <c r="M902" s="698"/>
      <c r="N902" s="698"/>
      <c r="O902" s="698"/>
      <c r="P902" s="698"/>
    </row>
    <row r="903" spans="1:16" s="697" customFormat="1">
      <c r="A903" s="698"/>
      <c r="B903" s="586"/>
      <c r="C903" s="586"/>
      <c r="D903" s="278"/>
      <c r="E903" s="215"/>
      <c r="F903" s="698"/>
      <c r="G903" s="698"/>
      <c r="H903" s="242"/>
      <c r="I903" s="698"/>
      <c r="J903" s="698"/>
      <c r="K903" s="698"/>
      <c r="L903" s="698"/>
      <c r="M903" s="698"/>
      <c r="N903" s="698"/>
      <c r="O903" s="698"/>
      <c r="P903" s="698"/>
    </row>
    <row r="904" spans="1:16" s="697" customFormat="1">
      <c r="A904" s="698"/>
      <c r="B904" s="586"/>
      <c r="C904" s="586"/>
      <c r="D904" s="278"/>
      <c r="E904" s="215"/>
      <c r="F904" s="698"/>
      <c r="G904" s="698"/>
      <c r="H904" s="242"/>
      <c r="I904" s="698"/>
      <c r="J904" s="698"/>
      <c r="K904" s="698"/>
      <c r="L904" s="698"/>
      <c r="M904" s="698"/>
      <c r="N904" s="698"/>
      <c r="O904" s="698"/>
      <c r="P904" s="698"/>
    </row>
    <row r="905" spans="1:16" s="697" customFormat="1">
      <c r="A905" s="698"/>
      <c r="B905" s="586"/>
      <c r="C905" s="586"/>
      <c r="D905" s="278"/>
      <c r="E905" s="215"/>
      <c r="F905" s="698"/>
      <c r="G905" s="698"/>
      <c r="H905" s="242"/>
      <c r="I905" s="698"/>
      <c r="J905" s="698"/>
      <c r="K905" s="698"/>
      <c r="L905" s="698"/>
      <c r="M905" s="698"/>
      <c r="N905" s="698"/>
      <c r="O905" s="698"/>
      <c r="P905" s="698"/>
    </row>
    <row r="906" spans="1:16" s="697" customFormat="1">
      <c r="A906" s="698"/>
      <c r="B906" s="586"/>
      <c r="C906" s="586"/>
      <c r="D906" s="278"/>
      <c r="E906" s="215"/>
      <c r="F906" s="698"/>
      <c r="G906" s="698"/>
      <c r="H906" s="242"/>
      <c r="I906" s="698"/>
      <c r="J906" s="698"/>
      <c r="K906" s="698"/>
      <c r="L906" s="698"/>
      <c r="M906" s="698"/>
      <c r="N906" s="698"/>
      <c r="O906" s="698"/>
      <c r="P906" s="698"/>
    </row>
    <row r="907" spans="1:16" s="697" customFormat="1">
      <c r="A907" s="698"/>
      <c r="B907" s="586"/>
      <c r="C907" s="586"/>
      <c r="D907" s="278"/>
      <c r="E907" s="215"/>
      <c r="F907" s="698"/>
      <c r="G907" s="698"/>
      <c r="H907" s="242"/>
      <c r="I907" s="698"/>
      <c r="J907" s="698"/>
      <c r="K907" s="698"/>
      <c r="L907" s="698"/>
      <c r="M907" s="698"/>
      <c r="N907" s="698"/>
      <c r="O907" s="698"/>
      <c r="P907" s="698"/>
    </row>
    <row r="908" spans="1:16" s="697" customFormat="1">
      <c r="A908" s="698"/>
      <c r="B908" s="586"/>
      <c r="C908" s="586"/>
      <c r="D908" s="278"/>
      <c r="E908" s="215"/>
      <c r="F908" s="698"/>
      <c r="G908" s="698"/>
      <c r="H908" s="242"/>
      <c r="I908" s="698"/>
      <c r="J908" s="698"/>
      <c r="K908" s="698"/>
      <c r="L908" s="698"/>
      <c r="M908" s="698"/>
      <c r="N908" s="698"/>
      <c r="O908" s="698"/>
      <c r="P908" s="698"/>
    </row>
    <row r="909" spans="1:16" s="697" customFormat="1">
      <c r="A909" s="698"/>
      <c r="B909" s="586"/>
      <c r="C909" s="586"/>
      <c r="D909" s="278"/>
      <c r="E909" s="215"/>
      <c r="F909" s="698"/>
      <c r="G909" s="698"/>
      <c r="H909" s="242"/>
      <c r="I909" s="698"/>
      <c r="J909" s="698"/>
      <c r="K909" s="698"/>
      <c r="L909" s="698"/>
      <c r="M909" s="698"/>
      <c r="N909" s="698"/>
      <c r="O909" s="698"/>
      <c r="P909" s="698"/>
    </row>
    <row r="910" spans="1:16" s="697" customFormat="1">
      <c r="A910" s="698"/>
      <c r="B910" s="586"/>
      <c r="C910" s="586"/>
      <c r="D910" s="278"/>
      <c r="E910" s="215"/>
      <c r="F910" s="698"/>
      <c r="G910" s="698"/>
      <c r="H910" s="242"/>
      <c r="I910" s="698"/>
      <c r="J910" s="698"/>
      <c r="K910" s="698"/>
      <c r="L910" s="698"/>
      <c r="M910" s="698"/>
      <c r="N910" s="698"/>
      <c r="O910" s="698"/>
      <c r="P910" s="698"/>
    </row>
    <row r="911" spans="1:16" s="697" customFormat="1">
      <c r="A911" s="698"/>
      <c r="B911" s="586"/>
      <c r="C911" s="586"/>
      <c r="D911" s="278"/>
      <c r="E911" s="215"/>
      <c r="F911" s="698"/>
      <c r="G911" s="698"/>
      <c r="H911" s="242"/>
      <c r="I911" s="698"/>
      <c r="J911" s="698"/>
      <c r="K911" s="698"/>
      <c r="L911" s="698"/>
      <c r="M911" s="698"/>
      <c r="N911" s="698"/>
      <c r="O911" s="698"/>
      <c r="P911" s="698"/>
    </row>
    <row r="912" spans="1:16" s="697" customFormat="1">
      <c r="A912" s="698"/>
      <c r="B912" s="586"/>
      <c r="C912" s="586"/>
      <c r="D912" s="278"/>
      <c r="E912" s="215"/>
      <c r="F912" s="698"/>
      <c r="G912" s="698"/>
      <c r="H912" s="242"/>
      <c r="I912" s="698"/>
      <c r="J912" s="698"/>
      <c r="K912" s="698"/>
      <c r="L912" s="698"/>
      <c r="M912" s="698"/>
      <c r="N912" s="698"/>
      <c r="O912" s="698"/>
      <c r="P912" s="698"/>
    </row>
    <row r="913" spans="1:16" s="697" customFormat="1">
      <c r="A913" s="698"/>
      <c r="B913" s="586"/>
      <c r="C913" s="586"/>
      <c r="D913" s="278"/>
      <c r="E913" s="215"/>
      <c r="F913" s="698"/>
      <c r="G913" s="698"/>
      <c r="H913" s="242"/>
      <c r="I913" s="698"/>
      <c r="J913" s="698"/>
      <c r="K913" s="698"/>
      <c r="L913" s="698"/>
      <c r="M913" s="698"/>
      <c r="N913" s="698"/>
      <c r="O913" s="698"/>
      <c r="P913" s="698"/>
    </row>
    <row r="914" spans="1:16" s="697" customFormat="1">
      <c r="A914" s="698"/>
      <c r="B914" s="586"/>
      <c r="C914" s="586"/>
      <c r="D914" s="278"/>
      <c r="E914" s="215"/>
      <c r="F914" s="698"/>
      <c r="G914" s="698"/>
      <c r="H914" s="242"/>
      <c r="I914" s="698"/>
      <c r="J914" s="698"/>
      <c r="K914" s="698"/>
      <c r="L914" s="698"/>
      <c r="M914" s="698"/>
      <c r="N914" s="698"/>
      <c r="O914" s="698"/>
      <c r="P914" s="698"/>
    </row>
    <row r="915" spans="1:16" s="697" customFormat="1">
      <c r="A915" s="698"/>
      <c r="B915" s="586"/>
      <c r="C915" s="586"/>
      <c r="D915" s="278"/>
      <c r="E915" s="215"/>
      <c r="F915" s="698"/>
      <c r="G915" s="698"/>
      <c r="H915" s="242"/>
      <c r="I915" s="698"/>
      <c r="J915" s="698"/>
      <c r="K915" s="698"/>
      <c r="L915" s="698"/>
      <c r="M915" s="698"/>
      <c r="N915" s="698"/>
      <c r="O915" s="698"/>
      <c r="P915" s="698"/>
    </row>
    <row r="916" spans="1:16" s="697" customFormat="1">
      <c r="A916" s="698"/>
      <c r="B916" s="586"/>
      <c r="C916" s="586"/>
      <c r="D916" s="278"/>
      <c r="E916" s="215"/>
      <c r="F916" s="698"/>
      <c r="G916" s="698"/>
      <c r="H916" s="242"/>
      <c r="I916" s="698"/>
      <c r="J916" s="698"/>
      <c r="K916" s="698"/>
      <c r="L916" s="698"/>
      <c r="M916" s="698"/>
      <c r="N916" s="698"/>
      <c r="O916" s="698"/>
      <c r="P916" s="698"/>
    </row>
    <row r="917" spans="1:16" s="697" customFormat="1">
      <c r="A917" s="698"/>
      <c r="B917" s="586"/>
      <c r="C917" s="586"/>
      <c r="D917" s="278"/>
      <c r="E917" s="215"/>
      <c r="F917" s="698"/>
      <c r="G917" s="698"/>
      <c r="H917" s="242"/>
      <c r="I917" s="698"/>
      <c r="J917" s="698"/>
      <c r="K917" s="698"/>
      <c r="L917" s="698"/>
      <c r="M917" s="698"/>
      <c r="N917" s="698"/>
      <c r="O917" s="698"/>
      <c r="P917" s="698"/>
    </row>
    <row r="918" spans="1:16" s="697" customFormat="1">
      <c r="A918" s="698"/>
      <c r="B918" s="586"/>
      <c r="C918" s="586"/>
      <c r="D918" s="278"/>
      <c r="E918" s="215"/>
      <c r="F918" s="698"/>
      <c r="G918" s="698"/>
      <c r="H918" s="242"/>
      <c r="I918" s="698"/>
      <c r="J918" s="698"/>
      <c r="K918" s="698"/>
      <c r="L918" s="698"/>
      <c r="M918" s="698"/>
      <c r="N918" s="698"/>
      <c r="O918" s="698"/>
      <c r="P918" s="698"/>
    </row>
    <row r="919" spans="1:16" s="697" customFormat="1">
      <c r="A919" s="698"/>
      <c r="B919" s="586"/>
      <c r="C919" s="586"/>
      <c r="D919" s="278"/>
      <c r="E919" s="215"/>
      <c r="F919" s="698"/>
      <c r="G919" s="698"/>
      <c r="H919" s="242"/>
      <c r="I919" s="698"/>
      <c r="J919" s="698"/>
      <c r="K919" s="698"/>
      <c r="L919" s="698"/>
      <c r="M919" s="698"/>
      <c r="N919" s="698"/>
      <c r="O919" s="698"/>
      <c r="P919" s="698"/>
    </row>
    <row r="920" spans="1:16" s="697" customFormat="1">
      <c r="A920" s="698"/>
      <c r="B920" s="586"/>
      <c r="C920" s="586"/>
      <c r="D920" s="278"/>
      <c r="E920" s="215"/>
      <c r="F920" s="698"/>
      <c r="G920" s="698"/>
      <c r="H920" s="242"/>
      <c r="I920" s="698"/>
      <c r="J920" s="698"/>
      <c r="K920" s="698"/>
      <c r="L920" s="698"/>
      <c r="M920" s="698"/>
      <c r="N920" s="698"/>
      <c r="O920" s="698"/>
      <c r="P920" s="698"/>
    </row>
    <row r="921" spans="1:16" s="697" customFormat="1">
      <c r="A921" s="698"/>
      <c r="B921" s="586"/>
      <c r="C921" s="586"/>
      <c r="D921" s="278"/>
      <c r="E921" s="215"/>
      <c r="F921" s="698"/>
      <c r="G921" s="698"/>
      <c r="H921" s="242"/>
      <c r="I921" s="698"/>
      <c r="J921" s="698"/>
      <c r="K921" s="698"/>
      <c r="L921" s="698"/>
      <c r="M921" s="698"/>
      <c r="N921" s="698"/>
      <c r="O921" s="698"/>
      <c r="P921" s="698"/>
    </row>
    <row r="922" spans="1:16" s="697" customFormat="1">
      <c r="A922" s="698"/>
      <c r="B922" s="586"/>
      <c r="C922" s="586"/>
      <c r="D922" s="278"/>
      <c r="E922" s="215"/>
      <c r="F922" s="698"/>
      <c r="G922" s="698"/>
      <c r="H922" s="242"/>
      <c r="I922" s="698"/>
      <c r="J922" s="698"/>
      <c r="K922" s="698"/>
      <c r="L922" s="698"/>
      <c r="M922" s="698"/>
      <c r="N922" s="698"/>
      <c r="O922" s="698"/>
      <c r="P922" s="698"/>
    </row>
    <row r="923" spans="1:16" s="697" customFormat="1">
      <c r="A923" s="698"/>
      <c r="B923" s="586"/>
      <c r="C923" s="586"/>
      <c r="D923" s="278"/>
      <c r="E923" s="215"/>
      <c r="F923" s="698"/>
      <c r="G923" s="698"/>
      <c r="H923" s="242"/>
      <c r="I923" s="698"/>
      <c r="J923" s="698"/>
      <c r="K923" s="698"/>
      <c r="L923" s="698"/>
      <c r="M923" s="698"/>
      <c r="N923" s="698"/>
      <c r="O923" s="698"/>
      <c r="P923" s="698"/>
    </row>
    <row r="924" spans="1:16" s="697" customFormat="1">
      <c r="A924" s="698"/>
      <c r="B924" s="586"/>
      <c r="C924" s="586"/>
      <c r="D924" s="278"/>
      <c r="E924" s="215"/>
      <c r="F924" s="698"/>
      <c r="G924" s="698"/>
      <c r="H924" s="242"/>
      <c r="I924" s="698"/>
      <c r="J924" s="698"/>
      <c r="K924" s="698"/>
      <c r="L924" s="698"/>
      <c r="M924" s="698"/>
      <c r="N924" s="698"/>
      <c r="O924" s="698"/>
      <c r="P924" s="698"/>
    </row>
    <row r="925" spans="1:16" s="697" customFormat="1">
      <c r="A925" s="698"/>
      <c r="B925" s="586"/>
      <c r="C925" s="586"/>
      <c r="D925" s="278"/>
      <c r="E925" s="215"/>
      <c r="F925" s="698"/>
      <c r="G925" s="698"/>
      <c r="H925" s="242"/>
      <c r="I925" s="698"/>
      <c r="J925" s="698"/>
      <c r="K925" s="698"/>
      <c r="L925" s="698"/>
      <c r="M925" s="698"/>
      <c r="N925" s="698"/>
      <c r="O925" s="698"/>
      <c r="P925" s="698"/>
    </row>
    <row r="926" spans="1:16" s="697" customFormat="1">
      <c r="A926" s="698"/>
      <c r="B926" s="586"/>
      <c r="C926" s="586"/>
      <c r="D926" s="278"/>
      <c r="E926" s="215"/>
      <c r="F926" s="698"/>
      <c r="G926" s="698"/>
      <c r="H926" s="242"/>
      <c r="I926" s="698"/>
      <c r="J926" s="698"/>
      <c r="K926" s="698"/>
      <c r="L926" s="698"/>
      <c r="M926" s="698"/>
      <c r="N926" s="698"/>
      <c r="O926" s="698"/>
      <c r="P926" s="698"/>
    </row>
    <row r="927" spans="1:16" s="697" customFormat="1">
      <c r="A927" s="698"/>
      <c r="B927" s="586"/>
      <c r="C927" s="586"/>
      <c r="D927" s="278"/>
      <c r="E927" s="237"/>
      <c r="F927" s="698"/>
      <c r="G927" s="698"/>
      <c r="H927" s="241"/>
      <c r="I927" s="698"/>
      <c r="J927" s="698"/>
      <c r="K927" s="698"/>
      <c r="L927" s="698"/>
      <c r="M927" s="698"/>
      <c r="N927" s="698"/>
      <c r="O927" s="698"/>
      <c r="P927" s="698"/>
    </row>
    <row r="928" spans="1:16" s="697" customFormat="1">
      <c r="A928" s="698"/>
      <c r="B928" s="586"/>
      <c r="C928" s="586"/>
      <c r="D928" s="278"/>
      <c r="E928" s="237"/>
      <c r="F928" s="698"/>
      <c r="G928" s="698"/>
      <c r="H928" s="241"/>
      <c r="I928" s="698"/>
      <c r="J928" s="698"/>
      <c r="K928" s="698"/>
      <c r="L928" s="698"/>
      <c r="M928" s="698"/>
      <c r="N928" s="698"/>
      <c r="O928" s="698"/>
      <c r="P928" s="698"/>
    </row>
    <row r="929" spans="1:16" s="697" customFormat="1">
      <c r="A929" s="698"/>
      <c r="B929" s="586"/>
      <c r="C929" s="586"/>
      <c r="D929" s="278"/>
      <c r="E929" s="237"/>
      <c r="F929" s="698"/>
      <c r="G929" s="698"/>
      <c r="H929" s="241"/>
      <c r="I929" s="698"/>
      <c r="J929" s="698"/>
      <c r="K929" s="698"/>
      <c r="L929" s="698"/>
      <c r="M929" s="698"/>
      <c r="N929" s="698"/>
      <c r="O929" s="698"/>
      <c r="P929" s="698"/>
    </row>
    <row r="930" spans="1:16" s="697" customFormat="1">
      <c r="A930" s="698"/>
      <c r="B930" s="586"/>
      <c r="C930" s="586"/>
      <c r="D930" s="278"/>
      <c r="E930" s="237"/>
      <c r="F930" s="698"/>
      <c r="G930" s="698"/>
      <c r="H930" s="241"/>
      <c r="I930" s="698"/>
      <c r="J930" s="698"/>
      <c r="K930" s="698"/>
      <c r="L930" s="698"/>
      <c r="M930" s="698"/>
      <c r="N930" s="698"/>
      <c r="O930" s="698"/>
      <c r="P930" s="698"/>
    </row>
    <row r="931" spans="1:16" s="697" customFormat="1">
      <c r="A931" s="698"/>
      <c r="B931" s="586"/>
      <c r="C931" s="586"/>
      <c r="D931" s="278"/>
      <c r="E931" s="237"/>
      <c r="F931" s="698"/>
      <c r="G931" s="698"/>
      <c r="H931" s="241"/>
      <c r="I931" s="698"/>
      <c r="J931" s="698"/>
      <c r="K931" s="698"/>
      <c r="L931" s="698"/>
      <c r="M931" s="698"/>
      <c r="N931" s="698"/>
      <c r="O931" s="698"/>
      <c r="P931" s="698"/>
    </row>
    <row r="932" spans="1:16" s="697" customFormat="1">
      <c r="A932" s="698"/>
      <c r="B932" s="586"/>
      <c r="C932" s="586"/>
      <c r="D932" s="278"/>
      <c r="E932" s="237"/>
      <c r="F932" s="698"/>
      <c r="G932" s="698"/>
      <c r="H932" s="241"/>
      <c r="I932" s="698"/>
      <c r="J932" s="698"/>
      <c r="K932" s="698"/>
      <c r="L932" s="698"/>
      <c r="M932" s="698"/>
      <c r="N932" s="698"/>
      <c r="O932" s="698"/>
      <c r="P932" s="698"/>
    </row>
    <row r="933" spans="1:16" s="697" customFormat="1">
      <c r="A933" s="698"/>
      <c r="B933" s="586"/>
      <c r="C933" s="586"/>
      <c r="D933" s="278"/>
      <c r="E933" s="237"/>
      <c r="F933" s="698"/>
      <c r="G933" s="698"/>
      <c r="H933" s="241"/>
      <c r="I933" s="698"/>
      <c r="J933" s="698"/>
      <c r="K933" s="698"/>
      <c r="L933" s="698"/>
      <c r="M933" s="698"/>
      <c r="N933" s="698"/>
      <c r="O933" s="698"/>
      <c r="P933" s="698"/>
    </row>
    <row r="934" spans="1:16" s="697" customFormat="1">
      <c r="A934" s="698"/>
      <c r="B934" s="586"/>
      <c r="C934" s="586"/>
      <c r="D934" s="278"/>
      <c r="E934" s="237"/>
      <c r="F934" s="698"/>
      <c r="G934" s="698"/>
      <c r="H934" s="241"/>
      <c r="I934" s="698"/>
      <c r="J934" s="698"/>
      <c r="K934" s="698"/>
      <c r="L934" s="698"/>
      <c r="M934" s="698"/>
      <c r="N934" s="698"/>
      <c r="O934" s="698"/>
      <c r="P934" s="698"/>
    </row>
    <row r="935" spans="1:16" s="697" customFormat="1">
      <c r="A935" s="698"/>
      <c r="B935" s="586"/>
      <c r="C935" s="586"/>
      <c r="D935" s="278"/>
      <c r="E935" s="237"/>
      <c r="F935" s="698"/>
      <c r="G935" s="698"/>
      <c r="H935" s="241"/>
      <c r="I935" s="698"/>
      <c r="J935" s="698"/>
      <c r="K935" s="698"/>
      <c r="L935" s="698"/>
      <c r="M935" s="698"/>
      <c r="N935" s="698"/>
      <c r="O935" s="698"/>
      <c r="P935" s="698"/>
    </row>
    <row r="936" spans="1:16" s="697" customFormat="1">
      <c r="A936" s="698"/>
      <c r="B936" s="586"/>
      <c r="C936" s="586"/>
      <c r="D936" s="278"/>
      <c r="E936" s="237"/>
      <c r="F936" s="698"/>
      <c r="G936" s="698"/>
      <c r="H936" s="241"/>
      <c r="I936" s="698"/>
      <c r="J936" s="698"/>
      <c r="K936" s="698"/>
      <c r="L936" s="698"/>
      <c r="M936" s="698"/>
      <c r="N936" s="698"/>
      <c r="O936" s="698"/>
      <c r="P936" s="698"/>
    </row>
    <row r="937" spans="1:16" s="697" customFormat="1">
      <c r="A937" s="698"/>
      <c r="B937" s="586"/>
      <c r="C937" s="586"/>
      <c r="D937" s="278"/>
      <c r="E937" s="237"/>
      <c r="F937" s="698"/>
      <c r="G937" s="698"/>
      <c r="H937" s="241"/>
      <c r="I937" s="698"/>
      <c r="J937" s="698"/>
      <c r="K937" s="698"/>
      <c r="L937" s="698"/>
      <c r="M937" s="698"/>
      <c r="N937" s="698"/>
      <c r="O937" s="698"/>
      <c r="P937" s="698"/>
    </row>
    <row r="938" spans="1:16" s="697" customFormat="1">
      <c r="A938" s="698"/>
      <c r="B938" s="586"/>
      <c r="C938" s="586"/>
      <c r="D938" s="278"/>
      <c r="E938" s="237"/>
      <c r="F938" s="698"/>
      <c r="G938" s="698"/>
      <c r="H938" s="241"/>
      <c r="I938" s="698"/>
      <c r="J938" s="698"/>
      <c r="K938" s="698"/>
      <c r="L938" s="698"/>
      <c r="M938" s="698"/>
      <c r="N938" s="698"/>
      <c r="O938" s="698"/>
      <c r="P938" s="698"/>
    </row>
    <row r="939" spans="1:16" s="697" customFormat="1">
      <c r="A939" s="698"/>
      <c r="B939" s="586"/>
      <c r="C939" s="586"/>
      <c r="D939" s="278"/>
      <c r="E939" s="237"/>
      <c r="F939" s="698"/>
      <c r="G939" s="698"/>
      <c r="H939" s="241"/>
      <c r="I939" s="698"/>
      <c r="J939" s="698"/>
      <c r="K939" s="698"/>
      <c r="L939" s="698"/>
      <c r="M939" s="698"/>
      <c r="N939" s="698"/>
      <c r="O939" s="698"/>
      <c r="P939" s="698"/>
    </row>
    <row r="940" spans="1:16" s="697" customFormat="1">
      <c r="A940" s="698"/>
      <c r="B940" s="586"/>
      <c r="C940" s="586"/>
      <c r="D940" s="278"/>
      <c r="E940" s="237"/>
      <c r="F940" s="698"/>
      <c r="G940" s="698"/>
      <c r="H940" s="241"/>
      <c r="I940" s="698"/>
      <c r="J940" s="698"/>
      <c r="K940" s="698"/>
      <c r="L940" s="698"/>
      <c r="M940" s="698"/>
      <c r="N940" s="698"/>
      <c r="O940" s="698"/>
      <c r="P940" s="698"/>
    </row>
    <row r="941" spans="1:16" s="697" customFormat="1">
      <c r="A941" s="698"/>
      <c r="B941" s="586"/>
      <c r="C941" s="586"/>
      <c r="D941" s="278"/>
      <c r="E941" s="237"/>
      <c r="F941" s="698"/>
      <c r="G941" s="698"/>
      <c r="H941" s="241"/>
      <c r="I941" s="698"/>
      <c r="J941" s="698"/>
      <c r="K941" s="698"/>
      <c r="L941" s="698"/>
      <c r="M941" s="698"/>
      <c r="N941" s="698"/>
      <c r="O941" s="698"/>
      <c r="P941" s="698"/>
    </row>
    <row r="942" spans="1:16" s="697" customFormat="1">
      <c r="A942" s="698"/>
      <c r="B942" s="586"/>
      <c r="C942" s="586"/>
      <c r="D942" s="278"/>
      <c r="E942" s="237"/>
      <c r="F942" s="698"/>
      <c r="G942" s="698"/>
      <c r="H942" s="241"/>
      <c r="I942" s="698"/>
      <c r="J942" s="698"/>
      <c r="K942" s="698"/>
      <c r="L942" s="698"/>
      <c r="M942" s="698"/>
      <c r="N942" s="698"/>
      <c r="O942" s="698"/>
      <c r="P942" s="698"/>
    </row>
    <row r="943" spans="1:16" s="697" customFormat="1">
      <c r="A943" s="698"/>
      <c r="B943" s="586"/>
      <c r="C943" s="586"/>
      <c r="D943" s="278"/>
      <c r="E943" s="237"/>
      <c r="F943" s="698"/>
      <c r="G943" s="698"/>
      <c r="H943" s="241"/>
      <c r="I943" s="698"/>
      <c r="J943" s="698"/>
      <c r="K943" s="698"/>
      <c r="L943" s="698"/>
      <c r="M943" s="698"/>
      <c r="N943" s="698"/>
      <c r="O943" s="698"/>
      <c r="P943" s="698"/>
    </row>
    <row r="944" spans="1:16" s="697" customFormat="1">
      <c r="A944" s="698"/>
      <c r="B944" s="586"/>
      <c r="C944" s="586"/>
      <c r="D944" s="278"/>
      <c r="E944" s="237"/>
      <c r="F944" s="698"/>
      <c r="G944" s="698"/>
      <c r="H944" s="241"/>
      <c r="I944" s="698"/>
      <c r="J944" s="698"/>
      <c r="K944" s="698"/>
      <c r="L944" s="698"/>
      <c r="M944" s="698"/>
      <c r="N944" s="698"/>
      <c r="O944" s="698"/>
      <c r="P944" s="698"/>
    </row>
    <row r="945" spans="1:16" s="697" customFormat="1">
      <c r="A945" s="698"/>
      <c r="B945" s="586"/>
      <c r="C945" s="586"/>
      <c r="D945" s="278"/>
      <c r="E945" s="237"/>
      <c r="F945" s="698"/>
      <c r="G945" s="698"/>
      <c r="H945" s="241"/>
      <c r="I945" s="698"/>
      <c r="J945" s="698"/>
      <c r="K945" s="698"/>
      <c r="L945" s="698"/>
      <c r="M945" s="698"/>
      <c r="N945" s="698"/>
      <c r="O945" s="698"/>
      <c r="P945" s="698"/>
    </row>
    <row r="946" spans="1:16" s="697" customFormat="1">
      <c r="A946" s="698"/>
      <c r="B946" s="586"/>
      <c r="C946" s="586"/>
      <c r="D946" s="278"/>
      <c r="E946" s="237"/>
      <c r="F946" s="698"/>
      <c r="G946" s="698"/>
      <c r="H946" s="241"/>
      <c r="I946" s="698"/>
      <c r="J946" s="698"/>
      <c r="K946" s="698"/>
      <c r="L946" s="698"/>
      <c r="M946" s="698"/>
      <c r="N946" s="698"/>
      <c r="O946" s="698"/>
      <c r="P946" s="698"/>
    </row>
    <row r="947" spans="1:16" s="697" customFormat="1">
      <c r="A947" s="698"/>
      <c r="B947" s="586"/>
      <c r="C947" s="586"/>
      <c r="D947" s="278"/>
      <c r="E947" s="237"/>
      <c r="F947" s="698"/>
      <c r="G947" s="698"/>
      <c r="H947" s="241"/>
      <c r="I947" s="698"/>
      <c r="J947" s="698"/>
      <c r="K947" s="698"/>
      <c r="L947" s="698"/>
      <c r="M947" s="698"/>
      <c r="N947" s="698"/>
      <c r="O947" s="698"/>
      <c r="P947" s="698"/>
    </row>
    <row r="948" spans="1:16" s="697" customFormat="1">
      <c r="A948" s="698"/>
      <c r="B948" s="586"/>
      <c r="C948" s="586"/>
      <c r="D948" s="278"/>
      <c r="E948" s="237"/>
      <c r="F948" s="698"/>
      <c r="G948" s="698"/>
      <c r="H948" s="241"/>
      <c r="I948" s="698"/>
      <c r="J948" s="698"/>
      <c r="K948" s="698"/>
      <c r="L948" s="698"/>
      <c r="M948" s="698"/>
      <c r="N948" s="698"/>
      <c r="O948" s="698"/>
      <c r="P948" s="698"/>
    </row>
    <row r="949" spans="1:16" s="697" customFormat="1">
      <c r="A949" s="698"/>
      <c r="B949" s="586"/>
      <c r="C949" s="586"/>
      <c r="D949" s="278"/>
      <c r="E949" s="237"/>
      <c r="F949" s="698"/>
      <c r="G949" s="698"/>
      <c r="H949" s="241"/>
      <c r="I949" s="698"/>
      <c r="J949" s="698"/>
      <c r="K949" s="698"/>
      <c r="L949" s="698"/>
      <c r="M949" s="698"/>
      <c r="N949" s="698"/>
      <c r="O949" s="698"/>
      <c r="P949" s="698"/>
    </row>
    <row r="950" spans="1:16" s="697" customFormat="1">
      <c r="A950" s="698"/>
      <c r="B950" s="586"/>
      <c r="C950" s="586"/>
      <c r="D950" s="278"/>
      <c r="E950" s="237"/>
      <c r="F950" s="698"/>
      <c r="G950" s="698"/>
      <c r="H950" s="241"/>
      <c r="I950" s="698"/>
      <c r="J950" s="698"/>
      <c r="K950" s="698"/>
      <c r="L950" s="698"/>
      <c r="M950" s="698"/>
      <c r="N950" s="698"/>
      <c r="O950" s="698"/>
      <c r="P950" s="698"/>
    </row>
    <row r="951" spans="1:16" s="697" customFormat="1">
      <c r="A951" s="698"/>
      <c r="B951" s="586"/>
      <c r="C951" s="586"/>
      <c r="D951" s="278"/>
      <c r="E951" s="237"/>
      <c r="F951" s="698"/>
      <c r="G951" s="698"/>
      <c r="H951" s="241"/>
      <c r="I951" s="698"/>
      <c r="J951" s="698"/>
      <c r="K951" s="698"/>
      <c r="L951" s="698"/>
      <c r="M951" s="698"/>
      <c r="N951" s="698"/>
      <c r="O951" s="698"/>
      <c r="P951" s="698"/>
    </row>
    <row r="952" spans="1:16" s="697" customFormat="1">
      <c r="A952" s="698"/>
      <c r="B952" s="586"/>
      <c r="C952" s="586"/>
      <c r="D952" s="278"/>
      <c r="E952" s="237"/>
      <c r="F952" s="698"/>
      <c r="G952" s="698"/>
      <c r="H952" s="241"/>
      <c r="I952" s="698"/>
      <c r="J952" s="698"/>
      <c r="K952" s="698"/>
      <c r="L952" s="698"/>
      <c r="M952" s="698"/>
      <c r="N952" s="698"/>
      <c r="O952" s="698"/>
      <c r="P952" s="698"/>
    </row>
    <row r="953" spans="1:16" s="697" customFormat="1">
      <c r="A953" s="698"/>
      <c r="B953" s="586"/>
      <c r="C953" s="586"/>
      <c r="D953" s="278"/>
      <c r="E953" s="237"/>
      <c r="F953" s="698"/>
      <c r="G953" s="698"/>
      <c r="H953" s="241"/>
      <c r="I953" s="698"/>
      <c r="J953" s="698"/>
      <c r="K953" s="698"/>
      <c r="L953" s="698"/>
      <c r="M953" s="698"/>
      <c r="N953" s="698"/>
      <c r="O953" s="698"/>
      <c r="P953" s="698"/>
    </row>
    <row r="954" spans="1:16" s="697" customFormat="1">
      <c r="A954" s="698"/>
      <c r="B954" s="586"/>
      <c r="C954" s="586"/>
      <c r="D954" s="278"/>
      <c r="E954" s="237"/>
      <c r="F954" s="698"/>
      <c r="G954" s="698"/>
      <c r="H954" s="241"/>
      <c r="I954" s="698"/>
      <c r="J954" s="698"/>
      <c r="K954" s="698"/>
      <c r="L954" s="698"/>
      <c r="M954" s="698"/>
      <c r="N954" s="698"/>
      <c r="O954" s="698"/>
      <c r="P954" s="698"/>
    </row>
    <row r="955" spans="1:16" s="697" customFormat="1">
      <c r="A955" s="698"/>
      <c r="B955" s="586"/>
      <c r="C955" s="586"/>
      <c r="D955" s="278"/>
      <c r="E955" s="237"/>
      <c r="F955" s="698"/>
      <c r="G955" s="698"/>
      <c r="H955" s="241"/>
      <c r="I955" s="698"/>
      <c r="J955" s="698"/>
      <c r="K955" s="698"/>
      <c r="L955" s="698"/>
      <c r="M955" s="698"/>
      <c r="N955" s="698"/>
      <c r="O955" s="698"/>
      <c r="P955" s="698"/>
    </row>
    <row r="956" spans="1:16" s="697" customFormat="1">
      <c r="A956" s="698"/>
      <c r="B956" s="586"/>
      <c r="C956" s="586"/>
      <c r="D956" s="278"/>
      <c r="E956" s="237"/>
      <c r="F956" s="698"/>
      <c r="G956" s="698"/>
      <c r="H956" s="241"/>
      <c r="I956" s="698"/>
      <c r="J956" s="698"/>
      <c r="K956" s="698"/>
      <c r="L956" s="698"/>
      <c r="M956" s="698"/>
      <c r="N956" s="698"/>
      <c r="O956" s="698"/>
      <c r="P956" s="698"/>
    </row>
    <row r="957" spans="1:16" s="697" customFormat="1">
      <c r="A957" s="698"/>
      <c r="B957" s="586"/>
      <c r="C957" s="586"/>
      <c r="D957" s="278"/>
      <c r="E957" s="237"/>
      <c r="F957" s="698"/>
      <c r="G957" s="698"/>
      <c r="H957" s="241"/>
      <c r="I957" s="698"/>
      <c r="J957" s="698"/>
      <c r="K957" s="698"/>
      <c r="L957" s="698"/>
      <c r="M957" s="698"/>
      <c r="N957" s="698"/>
      <c r="O957" s="698"/>
      <c r="P957" s="698"/>
    </row>
    <row r="958" spans="1:16" s="697" customFormat="1">
      <c r="A958" s="698"/>
      <c r="B958" s="586"/>
      <c r="C958" s="586"/>
      <c r="D958" s="278"/>
      <c r="E958" s="237"/>
      <c r="F958" s="698"/>
      <c r="G958" s="698"/>
      <c r="H958" s="241"/>
      <c r="I958" s="698"/>
      <c r="J958" s="698"/>
      <c r="K958" s="698"/>
      <c r="L958" s="698"/>
      <c r="M958" s="698"/>
      <c r="N958" s="698"/>
      <c r="O958" s="698"/>
      <c r="P958" s="698"/>
    </row>
    <row r="959" spans="1:16" s="697" customFormat="1">
      <c r="A959" s="698"/>
      <c r="B959" s="238"/>
      <c r="C959" s="238"/>
      <c r="D959" s="278"/>
      <c r="E959" s="237"/>
      <c r="F959" s="698"/>
      <c r="G959" s="698"/>
      <c r="H959" s="241"/>
      <c r="I959" s="698"/>
      <c r="J959" s="698"/>
      <c r="K959" s="698"/>
      <c r="L959" s="698"/>
      <c r="M959" s="698"/>
      <c r="N959" s="698"/>
      <c r="O959" s="698"/>
      <c r="P959" s="698"/>
    </row>
    <row r="960" spans="1:16" s="697" customFormat="1">
      <c r="A960" s="698"/>
      <c r="B960" s="238"/>
      <c r="C960" s="238"/>
      <c r="D960" s="278"/>
      <c r="E960" s="237"/>
      <c r="F960" s="698"/>
      <c r="G960" s="698"/>
      <c r="H960" s="241"/>
      <c r="I960" s="698"/>
      <c r="J960" s="698"/>
      <c r="K960" s="698"/>
      <c r="L960" s="698"/>
      <c r="M960" s="698"/>
      <c r="N960" s="698"/>
      <c r="O960" s="698"/>
      <c r="P960" s="698"/>
    </row>
    <row r="961" spans="1:16" s="697" customFormat="1">
      <c r="A961" s="698"/>
      <c r="B961" s="238"/>
      <c r="C961" s="238"/>
      <c r="D961" s="278"/>
      <c r="E961" s="237"/>
      <c r="F961" s="698"/>
      <c r="G961" s="698"/>
      <c r="H961" s="241"/>
      <c r="I961" s="698"/>
      <c r="J961" s="698"/>
      <c r="K961" s="698"/>
      <c r="L961" s="698"/>
      <c r="M961" s="698"/>
      <c r="N961" s="698"/>
      <c r="O961" s="698"/>
      <c r="P961" s="698"/>
    </row>
    <row r="962" spans="1:16" s="697" customFormat="1">
      <c r="A962" s="698"/>
      <c r="B962" s="238"/>
      <c r="C962" s="238"/>
      <c r="D962" s="278"/>
      <c r="E962" s="237"/>
      <c r="F962" s="698"/>
      <c r="G962" s="698"/>
      <c r="H962" s="241"/>
      <c r="I962" s="698"/>
      <c r="J962" s="698"/>
      <c r="K962" s="698"/>
      <c r="L962" s="698"/>
      <c r="M962" s="698"/>
      <c r="N962" s="698"/>
      <c r="O962" s="698"/>
      <c r="P962" s="698"/>
    </row>
    <row r="963" spans="1:16" s="697" customFormat="1">
      <c r="A963" s="698"/>
      <c r="B963" s="238"/>
      <c r="C963" s="238"/>
      <c r="D963" s="278"/>
      <c r="E963" s="237"/>
      <c r="F963" s="698"/>
      <c r="G963" s="698"/>
      <c r="H963" s="241"/>
      <c r="I963" s="698"/>
      <c r="J963" s="698"/>
      <c r="K963" s="698"/>
      <c r="L963" s="698"/>
      <c r="M963" s="698"/>
      <c r="N963" s="698"/>
      <c r="O963" s="698"/>
      <c r="P963" s="698"/>
    </row>
    <row r="964" spans="1:16" s="697" customFormat="1">
      <c r="A964" s="698"/>
      <c r="B964" s="238"/>
      <c r="C964" s="238"/>
      <c r="D964" s="278"/>
      <c r="E964" s="237"/>
      <c r="F964" s="698"/>
      <c r="G964" s="698"/>
      <c r="H964" s="241"/>
      <c r="I964" s="698"/>
      <c r="J964" s="698"/>
      <c r="K964" s="698"/>
      <c r="L964" s="698"/>
      <c r="M964" s="698"/>
      <c r="N964" s="698"/>
      <c r="O964" s="698"/>
      <c r="P964" s="698"/>
    </row>
    <row r="965" spans="1:16" s="697" customFormat="1">
      <c r="A965" s="698"/>
      <c r="B965" s="238"/>
      <c r="C965" s="238"/>
      <c r="D965" s="278"/>
      <c r="E965" s="237"/>
      <c r="F965" s="698"/>
      <c r="G965" s="698"/>
      <c r="H965" s="241"/>
      <c r="I965" s="698"/>
      <c r="J965" s="698"/>
      <c r="K965" s="698"/>
      <c r="L965" s="698"/>
      <c r="M965" s="698"/>
      <c r="N965" s="698"/>
      <c r="O965" s="698"/>
      <c r="P965" s="698"/>
    </row>
    <row r="966" spans="1:16" s="697" customFormat="1">
      <c r="A966" s="698"/>
      <c r="B966" s="238"/>
      <c r="C966" s="238"/>
      <c r="D966" s="278"/>
      <c r="E966" s="237"/>
      <c r="F966" s="698"/>
      <c r="G966" s="698"/>
      <c r="H966" s="241"/>
      <c r="I966" s="698"/>
      <c r="J966" s="698"/>
      <c r="K966" s="698"/>
      <c r="L966" s="698"/>
      <c r="M966" s="698"/>
      <c r="N966" s="698"/>
      <c r="O966" s="698"/>
      <c r="P966" s="698"/>
    </row>
    <row r="967" spans="1:16" s="697" customFormat="1">
      <c r="A967" s="698"/>
      <c r="B967" s="238"/>
      <c r="C967" s="238"/>
      <c r="D967" s="278"/>
      <c r="E967" s="237"/>
      <c r="F967" s="698"/>
      <c r="G967" s="698"/>
      <c r="H967" s="241"/>
      <c r="I967" s="698"/>
      <c r="J967" s="698"/>
      <c r="K967" s="698"/>
      <c r="L967" s="698"/>
      <c r="M967" s="698"/>
      <c r="N967" s="698"/>
      <c r="O967" s="698"/>
      <c r="P967" s="698"/>
    </row>
    <row r="968" spans="1:16" s="697" customFormat="1">
      <c r="A968" s="698"/>
      <c r="B968" s="238"/>
      <c r="C968" s="238"/>
      <c r="D968" s="278"/>
      <c r="E968" s="237"/>
      <c r="F968" s="698"/>
      <c r="G968" s="698"/>
      <c r="H968" s="241"/>
      <c r="I968" s="698"/>
      <c r="J968" s="698"/>
      <c r="K968" s="698"/>
      <c r="L968" s="698"/>
      <c r="M968" s="698"/>
      <c r="N968" s="698"/>
      <c r="O968" s="698"/>
      <c r="P968" s="698"/>
    </row>
    <row r="969" spans="1:16" s="697" customFormat="1">
      <c r="A969" s="698"/>
      <c r="B969" s="238"/>
      <c r="C969" s="238"/>
      <c r="D969" s="278"/>
      <c r="E969" s="237"/>
      <c r="F969" s="698"/>
      <c r="G969" s="698"/>
      <c r="H969" s="241"/>
      <c r="I969" s="698"/>
      <c r="J969" s="698"/>
      <c r="K969" s="698"/>
      <c r="L969" s="698"/>
      <c r="M969" s="698"/>
      <c r="N969" s="698"/>
      <c r="O969" s="698"/>
      <c r="P969" s="698"/>
    </row>
    <row r="970" spans="1:16" s="697" customFormat="1">
      <c r="A970" s="698"/>
      <c r="B970" s="238"/>
      <c r="C970" s="238"/>
      <c r="D970" s="278"/>
      <c r="E970" s="237"/>
      <c r="F970" s="698"/>
      <c r="G970" s="698"/>
      <c r="H970" s="241"/>
      <c r="I970" s="698"/>
      <c r="J970" s="698"/>
      <c r="K970" s="698"/>
      <c r="L970" s="698"/>
      <c r="M970" s="698"/>
      <c r="N970" s="698"/>
      <c r="O970" s="698"/>
      <c r="P970" s="698"/>
    </row>
    <row r="971" spans="1:16" s="697" customFormat="1">
      <c r="A971" s="698"/>
      <c r="B971" s="238"/>
      <c r="C971" s="238"/>
      <c r="D971" s="278"/>
      <c r="E971" s="237"/>
      <c r="F971" s="698"/>
      <c r="G971" s="698"/>
      <c r="H971" s="241"/>
      <c r="I971" s="698"/>
      <c r="J971" s="698"/>
      <c r="K971" s="698"/>
      <c r="L971" s="698"/>
      <c r="M971" s="698"/>
      <c r="N971" s="698"/>
      <c r="O971" s="698"/>
      <c r="P971" s="698"/>
    </row>
    <row r="972" spans="1:16" s="697" customFormat="1">
      <c r="A972" s="698"/>
      <c r="B972" s="238"/>
      <c r="C972" s="238"/>
      <c r="D972" s="278"/>
      <c r="E972" s="237"/>
      <c r="F972" s="698"/>
      <c r="G972" s="698"/>
      <c r="H972" s="241"/>
      <c r="I972" s="698"/>
      <c r="J972" s="698"/>
      <c r="K972" s="698"/>
      <c r="L972" s="698"/>
      <c r="M972" s="698"/>
      <c r="N972" s="698"/>
      <c r="O972" s="698"/>
      <c r="P972" s="698"/>
    </row>
    <row r="973" spans="1:16" s="697" customFormat="1">
      <c r="A973" s="698"/>
      <c r="B973" s="238"/>
      <c r="C973" s="238"/>
      <c r="D973" s="278"/>
      <c r="E973" s="237"/>
      <c r="F973" s="698"/>
      <c r="G973" s="698"/>
      <c r="H973" s="241"/>
      <c r="I973" s="698"/>
      <c r="J973" s="698"/>
      <c r="K973" s="698"/>
      <c r="L973" s="698"/>
      <c r="M973" s="698"/>
      <c r="N973" s="698"/>
      <c r="O973" s="698"/>
      <c r="P973" s="698"/>
    </row>
    <row r="974" spans="1:16" s="697" customFormat="1">
      <c r="A974" s="698"/>
      <c r="B974" s="238"/>
      <c r="C974" s="238"/>
      <c r="D974" s="278"/>
      <c r="E974" s="237"/>
      <c r="F974" s="698"/>
      <c r="G974" s="698"/>
      <c r="H974" s="241"/>
      <c r="I974" s="698"/>
      <c r="J974" s="698"/>
      <c r="K974" s="698"/>
      <c r="L974" s="698"/>
      <c r="M974" s="698"/>
      <c r="N974" s="698"/>
      <c r="O974" s="698"/>
      <c r="P974" s="698"/>
    </row>
    <row r="975" spans="1:16" s="697" customFormat="1">
      <c r="A975" s="698"/>
      <c r="B975" s="238"/>
      <c r="C975" s="238"/>
      <c r="D975" s="278"/>
      <c r="E975" s="237"/>
      <c r="F975" s="698"/>
      <c r="G975" s="698"/>
      <c r="H975" s="241"/>
      <c r="I975" s="698"/>
      <c r="J975" s="698"/>
      <c r="K975" s="698"/>
      <c r="L975" s="698"/>
      <c r="M975" s="698"/>
      <c r="N975" s="698"/>
      <c r="O975" s="698"/>
      <c r="P975" s="698"/>
    </row>
    <row r="976" spans="1:16" s="697" customFormat="1">
      <c r="A976" s="698"/>
      <c r="B976" s="238"/>
      <c r="C976" s="238"/>
      <c r="D976" s="278"/>
      <c r="E976" s="237"/>
      <c r="F976" s="698"/>
      <c r="G976" s="698"/>
      <c r="H976" s="241"/>
      <c r="I976" s="698"/>
      <c r="J976" s="698"/>
      <c r="K976" s="698"/>
      <c r="L976" s="698"/>
      <c r="M976" s="698"/>
      <c r="N976" s="698"/>
      <c r="O976" s="698"/>
      <c r="P976" s="698"/>
    </row>
    <row r="977" spans="1:16" s="697" customFormat="1">
      <c r="A977" s="698"/>
      <c r="B977" s="238"/>
      <c r="C977" s="238"/>
      <c r="D977" s="278"/>
      <c r="E977" s="237"/>
      <c r="F977" s="698"/>
      <c r="G977" s="698"/>
      <c r="H977" s="241"/>
      <c r="I977" s="698"/>
      <c r="J977" s="698"/>
      <c r="K977" s="698"/>
      <c r="L977" s="698"/>
      <c r="M977" s="698"/>
      <c r="N977" s="698"/>
      <c r="O977" s="698"/>
      <c r="P977" s="698"/>
    </row>
    <row r="978" spans="1:16" s="697" customFormat="1">
      <c r="A978" s="698"/>
      <c r="B978" s="238"/>
      <c r="C978" s="238"/>
      <c r="D978" s="278"/>
      <c r="E978" s="237"/>
      <c r="F978" s="698"/>
      <c r="G978" s="698"/>
      <c r="H978" s="241"/>
      <c r="I978" s="698"/>
      <c r="J978" s="698"/>
      <c r="K978" s="698"/>
      <c r="L978" s="698"/>
      <c r="M978" s="698"/>
      <c r="N978" s="698"/>
      <c r="O978" s="698"/>
      <c r="P978" s="698"/>
    </row>
    <row r="979" spans="1:16" s="697" customFormat="1">
      <c r="A979" s="698"/>
      <c r="B979" s="238"/>
      <c r="C979" s="238"/>
      <c r="D979" s="278"/>
      <c r="E979" s="237"/>
      <c r="F979" s="698"/>
      <c r="G979" s="698"/>
      <c r="H979" s="241"/>
      <c r="I979" s="698"/>
      <c r="J979" s="698"/>
      <c r="K979" s="698"/>
      <c r="L979" s="698"/>
      <c r="M979" s="698"/>
      <c r="N979" s="698"/>
      <c r="O979" s="698"/>
      <c r="P979" s="698"/>
    </row>
    <row r="980" spans="1:16" s="697" customFormat="1">
      <c r="A980" s="698"/>
      <c r="B980" s="238"/>
      <c r="C980" s="238"/>
      <c r="D980" s="278"/>
      <c r="E980" s="237"/>
      <c r="F980" s="698"/>
      <c r="G980" s="698"/>
      <c r="H980" s="241"/>
      <c r="I980" s="698"/>
      <c r="J980" s="698"/>
      <c r="K980" s="698"/>
      <c r="L980" s="698"/>
      <c r="M980" s="698"/>
      <c r="N980" s="698"/>
      <c r="O980" s="698"/>
      <c r="P980" s="698"/>
    </row>
    <row r="981" spans="1:16" s="697" customFormat="1">
      <c r="A981" s="698"/>
      <c r="B981" s="238"/>
      <c r="C981" s="238"/>
      <c r="D981" s="278"/>
      <c r="E981" s="237"/>
      <c r="F981" s="698"/>
      <c r="G981" s="698"/>
      <c r="H981" s="241"/>
      <c r="I981" s="698"/>
      <c r="J981" s="698"/>
      <c r="K981" s="698"/>
      <c r="L981" s="698"/>
      <c r="M981" s="698"/>
      <c r="N981" s="698"/>
      <c r="O981" s="698"/>
      <c r="P981" s="698"/>
    </row>
    <row r="982" spans="1:16" s="697" customFormat="1">
      <c r="A982" s="698"/>
      <c r="B982" s="238"/>
      <c r="C982" s="238"/>
      <c r="D982" s="278"/>
      <c r="E982" s="237"/>
      <c r="F982" s="698"/>
      <c r="G982" s="698"/>
      <c r="H982" s="241"/>
      <c r="I982" s="698"/>
      <c r="J982" s="698"/>
      <c r="K982" s="698"/>
      <c r="L982" s="698"/>
      <c r="M982" s="698"/>
      <c r="N982" s="698"/>
      <c r="O982" s="698"/>
      <c r="P982" s="698"/>
    </row>
    <row r="983" spans="1:16" s="697" customFormat="1">
      <c r="A983" s="698"/>
      <c r="B983" s="238"/>
      <c r="C983" s="238"/>
      <c r="D983" s="278"/>
      <c r="E983" s="237"/>
      <c r="F983" s="698"/>
      <c r="G983" s="698"/>
      <c r="H983" s="241"/>
      <c r="I983" s="698"/>
      <c r="J983" s="698"/>
      <c r="K983" s="698"/>
      <c r="L983" s="698"/>
      <c r="M983" s="698"/>
      <c r="N983" s="698"/>
      <c r="O983" s="698"/>
      <c r="P983" s="698"/>
    </row>
    <row r="984" spans="1:16" s="697" customFormat="1">
      <c r="A984" s="698"/>
      <c r="B984" s="238"/>
      <c r="C984" s="238"/>
      <c r="D984" s="278"/>
      <c r="E984" s="237"/>
      <c r="F984" s="698"/>
      <c r="G984" s="698"/>
      <c r="H984" s="241"/>
      <c r="I984" s="698"/>
      <c r="J984" s="698"/>
      <c r="K984" s="698"/>
      <c r="L984" s="698"/>
      <c r="M984" s="698"/>
      <c r="N984" s="698"/>
      <c r="O984" s="698"/>
      <c r="P984" s="698"/>
    </row>
    <row r="985" spans="1:16" s="697" customFormat="1">
      <c r="A985" s="698"/>
      <c r="B985" s="238"/>
      <c r="C985" s="238"/>
      <c r="D985" s="278"/>
      <c r="E985" s="237"/>
      <c r="F985" s="698"/>
      <c r="G985" s="698"/>
      <c r="H985" s="241"/>
      <c r="I985" s="698"/>
      <c r="J985" s="698"/>
      <c r="K985" s="698"/>
      <c r="L985" s="698"/>
      <c r="M985" s="698"/>
      <c r="N985" s="698"/>
      <c r="O985" s="698"/>
      <c r="P985" s="698"/>
    </row>
    <row r="986" spans="1:16" s="697" customFormat="1">
      <c r="A986" s="698"/>
      <c r="B986" s="238"/>
      <c r="C986" s="238"/>
      <c r="D986" s="278"/>
      <c r="E986" s="237"/>
      <c r="F986" s="698"/>
      <c r="G986" s="698"/>
      <c r="H986" s="241"/>
      <c r="I986" s="698"/>
      <c r="J986" s="698"/>
      <c r="K986" s="698"/>
      <c r="L986" s="698"/>
      <c r="M986" s="698"/>
      <c r="N986" s="698"/>
      <c r="O986" s="698"/>
      <c r="P986" s="698"/>
    </row>
    <row r="987" spans="1:16" s="697" customFormat="1">
      <c r="A987" s="698"/>
      <c r="B987" s="238"/>
      <c r="C987" s="238"/>
      <c r="D987" s="278"/>
      <c r="E987" s="237"/>
      <c r="F987" s="698"/>
      <c r="G987" s="698"/>
      <c r="H987" s="241"/>
      <c r="I987" s="698"/>
      <c r="J987" s="698"/>
      <c r="K987" s="698"/>
      <c r="L987" s="698"/>
      <c r="M987" s="698"/>
      <c r="N987" s="698"/>
      <c r="O987" s="698"/>
      <c r="P987" s="698"/>
    </row>
    <row r="988" spans="1:16" s="697" customFormat="1">
      <c r="A988" s="698"/>
      <c r="B988" s="238"/>
      <c r="C988" s="238"/>
      <c r="D988" s="278"/>
      <c r="E988" s="237"/>
      <c r="F988" s="698"/>
      <c r="G988" s="698"/>
      <c r="H988" s="241"/>
      <c r="I988" s="698"/>
      <c r="J988" s="698"/>
      <c r="K988" s="698"/>
      <c r="L988" s="698"/>
      <c r="M988" s="698"/>
      <c r="N988" s="698"/>
      <c r="O988" s="698"/>
      <c r="P988" s="698"/>
    </row>
    <row r="989" spans="1:16" s="697" customFormat="1">
      <c r="A989" s="698"/>
      <c r="B989" s="238"/>
      <c r="C989" s="238"/>
      <c r="D989" s="278"/>
      <c r="E989" s="237"/>
      <c r="F989" s="698"/>
      <c r="G989" s="698"/>
      <c r="H989" s="241"/>
      <c r="I989" s="698"/>
      <c r="J989" s="698"/>
      <c r="K989" s="698"/>
      <c r="L989" s="698"/>
      <c r="M989" s="698"/>
      <c r="N989" s="698"/>
      <c r="O989" s="698"/>
      <c r="P989" s="698"/>
    </row>
    <row r="990" spans="1:16" s="697" customFormat="1">
      <c r="A990" s="698"/>
      <c r="B990" s="238"/>
      <c r="C990" s="238"/>
      <c r="D990" s="278"/>
      <c r="E990" s="237"/>
      <c r="F990" s="698"/>
      <c r="G990" s="698"/>
      <c r="H990" s="241"/>
      <c r="I990" s="698"/>
      <c r="J990" s="698"/>
      <c r="K990" s="698"/>
      <c r="L990" s="698"/>
      <c r="M990" s="698"/>
      <c r="N990" s="698"/>
      <c r="O990" s="698"/>
      <c r="P990" s="698"/>
    </row>
    <row r="991" spans="1:16" s="697" customFormat="1">
      <c r="A991" s="698"/>
      <c r="B991" s="238"/>
      <c r="C991" s="238"/>
      <c r="D991" s="278"/>
      <c r="E991" s="237"/>
      <c r="F991" s="698"/>
      <c r="G991" s="698"/>
      <c r="H991" s="241"/>
      <c r="I991" s="698"/>
      <c r="J991" s="698"/>
      <c r="K991" s="698"/>
      <c r="L991" s="698"/>
      <c r="M991" s="698"/>
      <c r="N991" s="698"/>
      <c r="O991" s="698"/>
      <c r="P991" s="698"/>
    </row>
    <row r="992" spans="1:16" s="697" customFormat="1">
      <c r="A992" s="698"/>
      <c r="B992" s="238"/>
      <c r="C992" s="238"/>
      <c r="D992" s="278"/>
      <c r="E992" s="237"/>
      <c r="F992" s="698"/>
      <c r="G992" s="698"/>
      <c r="H992" s="241"/>
      <c r="I992" s="698"/>
      <c r="J992" s="698"/>
      <c r="K992" s="698"/>
      <c r="L992" s="698"/>
      <c r="M992" s="698"/>
      <c r="N992" s="698"/>
      <c r="O992" s="698"/>
      <c r="P992" s="698"/>
    </row>
    <row r="993" spans="1:16" s="697" customFormat="1">
      <c r="A993" s="698"/>
      <c r="B993" s="261"/>
      <c r="C993" s="261"/>
      <c r="D993" s="278"/>
      <c r="E993" s="216"/>
      <c r="F993" s="698"/>
      <c r="G993" s="698"/>
      <c r="H993" s="241"/>
      <c r="I993" s="698"/>
      <c r="J993" s="698"/>
      <c r="K993" s="698"/>
      <c r="L993" s="698"/>
      <c r="M993" s="698"/>
      <c r="N993" s="698"/>
      <c r="O993" s="698"/>
      <c r="P993" s="698"/>
    </row>
    <row r="994" spans="1:16" s="697" customFormat="1">
      <c r="A994" s="698"/>
      <c r="B994" s="268"/>
      <c r="C994" s="268"/>
      <c r="D994" s="278"/>
      <c r="E994" s="262"/>
      <c r="F994" s="698"/>
      <c r="G994" s="698"/>
      <c r="H994" s="241"/>
      <c r="I994" s="698"/>
      <c r="J994" s="698"/>
      <c r="K994" s="698"/>
      <c r="L994" s="698"/>
      <c r="M994" s="698"/>
      <c r="N994" s="698"/>
      <c r="O994" s="698"/>
      <c r="P994" s="698"/>
    </row>
    <row r="995" spans="1:16" s="697" customFormat="1">
      <c r="A995" s="698"/>
      <c r="B995" s="268"/>
      <c r="C995" s="268"/>
      <c r="D995" s="278"/>
      <c r="E995" s="262"/>
      <c r="F995" s="698"/>
      <c r="G995" s="698"/>
      <c r="H995" s="241"/>
      <c r="I995" s="698"/>
      <c r="J995" s="698"/>
      <c r="K995" s="698"/>
      <c r="L995" s="698"/>
      <c r="M995" s="698"/>
      <c r="N995" s="698"/>
      <c r="O995" s="698"/>
      <c r="P995" s="698"/>
    </row>
    <row r="996" spans="1:16" s="697" customFormat="1">
      <c r="A996" s="698"/>
      <c r="B996" s="268"/>
      <c r="C996" s="268"/>
      <c r="D996" s="278"/>
      <c r="E996" s="262"/>
      <c r="F996" s="698"/>
      <c r="G996" s="698"/>
      <c r="H996" s="242"/>
      <c r="I996" s="698"/>
      <c r="J996" s="698"/>
      <c r="K996" s="698"/>
      <c r="L996" s="698"/>
      <c r="M996" s="698"/>
      <c r="N996" s="698"/>
      <c r="O996" s="698"/>
      <c r="P996" s="698"/>
    </row>
    <row r="997" spans="1:16" s="697" customFormat="1">
      <c r="A997" s="698"/>
      <c r="B997" s="719"/>
      <c r="C997" s="719"/>
      <c r="D997" s="278"/>
      <c r="E997" s="262"/>
      <c r="F997" s="698"/>
      <c r="G997" s="698"/>
      <c r="H997" s="241"/>
      <c r="I997" s="698"/>
      <c r="J997" s="698"/>
      <c r="K997" s="698"/>
      <c r="L997" s="698"/>
      <c r="M997" s="698"/>
      <c r="N997" s="698"/>
      <c r="O997" s="698"/>
      <c r="P997" s="698"/>
    </row>
    <row r="998" spans="1:16" s="697" customFormat="1">
      <c r="A998" s="698"/>
      <c r="B998" s="719"/>
      <c r="C998" s="719"/>
      <c r="D998" s="278"/>
      <c r="E998" s="262"/>
      <c r="F998" s="698"/>
      <c r="G998" s="698"/>
      <c r="H998" s="241"/>
      <c r="I998" s="698"/>
      <c r="J998" s="698"/>
      <c r="K998" s="698"/>
      <c r="L998" s="698"/>
      <c r="M998" s="698"/>
      <c r="N998" s="698"/>
      <c r="O998" s="698"/>
      <c r="P998" s="698"/>
    </row>
    <row r="999" spans="1:16" s="697" customFormat="1">
      <c r="A999" s="698"/>
      <c r="B999" s="719"/>
      <c r="C999" s="719"/>
      <c r="D999" s="278"/>
      <c r="E999" s="262"/>
      <c r="F999" s="698"/>
      <c r="G999" s="698"/>
      <c r="H999" s="241"/>
      <c r="I999" s="698"/>
      <c r="J999" s="698"/>
      <c r="K999" s="698"/>
      <c r="L999" s="698"/>
      <c r="M999" s="698"/>
      <c r="N999" s="698"/>
      <c r="O999" s="698"/>
      <c r="P999" s="698"/>
    </row>
    <row r="1000" spans="1:16" s="697" customFormat="1">
      <c r="A1000" s="698"/>
      <c r="B1000" s="719"/>
      <c r="C1000" s="719"/>
      <c r="D1000" s="278"/>
      <c r="E1000" s="237"/>
      <c r="F1000" s="698"/>
      <c r="G1000" s="698"/>
      <c r="H1000" s="241"/>
      <c r="I1000" s="698"/>
      <c r="J1000" s="698"/>
      <c r="K1000" s="698"/>
      <c r="L1000" s="698"/>
      <c r="M1000" s="698"/>
      <c r="N1000" s="698"/>
      <c r="O1000" s="698"/>
      <c r="P1000" s="698"/>
    </row>
    <row r="1001" spans="1:16" s="697" customFormat="1" ht="15">
      <c r="A1001" s="698"/>
      <c r="B1001" s="698"/>
      <c r="C1001" s="698"/>
      <c r="D1001" s="698"/>
      <c r="E1001" s="698"/>
      <c r="F1001" s="698"/>
      <c r="G1001" s="698"/>
      <c r="H1001" s="240"/>
      <c r="I1001" s="698"/>
      <c r="J1001" s="698"/>
      <c r="K1001" s="698"/>
      <c r="L1001" s="698"/>
      <c r="M1001" s="698"/>
      <c r="N1001" s="698"/>
      <c r="O1001" s="698"/>
      <c r="P1001" s="698"/>
    </row>
    <row r="1002" spans="1:16" s="697" customFormat="1" ht="15">
      <c r="A1002" s="698"/>
      <c r="B1002" s="698"/>
      <c r="C1002" s="698"/>
      <c r="D1002" s="698"/>
      <c r="E1002" s="698"/>
      <c r="F1002" s="698"/>
      <c r="G1002" s="698"/>
      <c r="H1002" s="242"/>
      <c r="I1002" s="698"/>
      <c r="J1002" s="698"/>
      <c r="K1002" s="698"/>
      <c r="L1002" s="698"/>
      <c r="M1002" s="698"/>
      <c r="N1002" s="698"/>
      <c r="O1002" s="698"/>
      <c r="P1002" s="698"/>
    </row>
    <row r="1003" spans="1:16" s="697" customFormat="1" ht="15">
      <c r="A1003" s="698"/>
      <c r="B1003" s="698"/>
      <c r="C1003" s="698"/>
      <c r="D1003" s="698"/>
      <c r="E1003" s="698"/>
      <c r="F1003" s="698"/>
      <c r="G1003" s="698"/>
      <c r="H1003" s="242"/>
      <c r="I1003" s="698"/>
      <c r="J1003" s="698"/>
      <c r="K1003" s="698"/>
      <c r="L1003" s="698"/>
      <c r="M1003" s="698"/>
      <c r="N1003" s="698"/>
      <c r="O1003" s="698"/>
      <c r="P1003" s="698"/>
    </row>
    <row r="1004" spans="1:16" s="697" customFormat="1" ht="15">
      <c r="A1004" s="698"/>
      <c r="B1004" s="698"/>
      <c r="C1004" s="698"/>
      <c r="D1004" s="698"/>
      <c r="E1004" s="698"/>
      <c r="F1004" s="698"/>
      <c r="G1004" s="698"/>
      <c r="H1004" s="242"/>
      <c r="I1004" s="698"/>
      <c r="J1004" s="698"/>
      <c r="K1004" s="698"/>
      <c r="L1004" s="698"/>
      <c r="M1004" s="698"/>
      <c r="N1004" s="698"/>
      <c r="O1004" s="698"/>
      <c r="P1004" s="698"/>
    </row>
    <row r="1005" spans="1:16" s="697" customFormat="1" ht="15">
      <c r="A1005" s="698"/>
      <c r="B1005" s="698"/>
      <c r="C1005" s="698"/>
      <c r="D1005" s="698"/>
      <c r="E1005" s="698"/>
      <c r="F1005" s="698"/>
      <c r="G1005" s="698"/>
      <c r="H1005" s="241"/>
      <c r="I1005" s="698"/>
      <c r="J1005" s="698"/>
      <c r="K1005" s="698"/>
      <c r="L1005" s="698"/>
      <c r="M1005" s="698"/>
      <c r="N1005" s="698"/>
      <c r="O1005" s="698"/>
      <c r="P1005" s="698"/>
    </row>
    <row r="1006" spans="1:16" s="697" customFormat="1" ht="15">
      <c r="A1006" s="698"/>
      <c r="B1006" s="698"/>
      <c r="C1006" s="698"/>
      <c r="D1006" s="698"/>
      <c r="E1006" s="698"/>
      <c r="F1006" s="698"/>
      <c r="G1006" s="698"/>
      <c r="H1006" s="242"/>
      <c r="I1006" s="698"/>
      <c r="J1006" s="698"/>
      <c r="K1006" s="698"/>
      <c r="L1006" s="698"/>
      <c r="M1006" s="698"/>
      <c r="N1006" s="698"/>
      <c r="O1006" s="698"/>
      <c r="P1006" s="698"/>
    </row>
    <row r="1007" spans="1:16" s="697" customFormat="1" ht="15">
      <c r="A1007" s="698"/>
      <c r="B1007" s="698"/>
      <c r="C1007" s="698"/>
      <c r="D1007" s="698"/>
      <c r="E1007" s="698"/>
      <c r="F1007" s="698"/>
      <c r="G1007" s="698"/>
      <c r="H1007" s="241"/>
      <c r="I1007" s="698"/>
      <c r="J1007" s="698"/>
      <c r="K1007" s="698"/>
      <c r="L1007" s="698"/>
      <c r="M1007" s="698"/>
      <c r="N1007" s="698"/>
      <c r="O1007" s="698"/>
      <c r="P1007" s="698"/>
    </row>
    <row r="1008" spans="1:16" s="697" customFormat="1" ht="15">
      <c r="A1008" s="698"/>
      <c r="B1008" s="698"/>
      <c r="C1008" s="698"/>
      <c r="D1008" s="698"/>
      <c r="E1008" s="698"/>
      <c r="F1008" s="698"/>
      <c r="G1008" s="698"/>
      <c r="H1008" s="241"/>
      <c r="I1008" s="698"/>
      <c r="J1008" s="698"/>
      <c r="K1008" s="698"/>
      <c r="L1008" s="698"/>
      <c r="M1008" s="698"/>
      <c r="N1008" s="698"/>
      <c r="O1008" s="698"/>
      <c r="P1008" s="698"/>
    </row>
    <row r="1009" spans="1:16" s="697" customFormat="1" ht="15">
      <c r="A1009" s="698"/>
      <c r="B1009" s="698"/>
      <c r="C1009" s="698"/>
      <c r="D1009" s="698"/>
      <c r="E1009" s="698"/>
      <c r="F1009" s="698"/>
      <c r="G1009" s="698"/>
      <c r="H1009" s="241"/>
      <c r="I1009" s="698"/>
      <c r="J1009" s="698"/>
      <c r="K1009" s="698"/>
      <c r="L1009" s="698"/>
      <c r="M1009" s="698"/>
      <c r="N1009" s="698"/>
      <c r="O1009" s="698"/>
      <c r="P1009" s="698"/>
    </row>
    <row r="1010" spans="1:16" s="697" customFormat="1" ht="15">
      <c r="A1010" s="698"/>
      <c r="B1010" s="698"/>
      <c r="C1010" s="698"/>
      <c r="D1010" s="698"/>
      <c r="E1010" s="698"/>
      <c r="F1010" s="698"/>
      <c r="G1010" s="698"/>
      <c r="H1010" s="242"/>
      <c r="I1010" s="698"/>
      <c r="J1010" s="698"/>
      <c r="K1010" s="698"/>
      <c r="L1010" s="698"/>
      <c r="M1010" s="698"/>
      <c r="N1010" s="698"/>
      <c r="O1010" s="698"/>
      <c r="P1010" s="698"/>
    </row>
    <row r="1011" spans="1:16" s="697" customFormat="1" ht="15">
      <c r="A1011" s="698"/>
      <c r="B1011" s="698"/>
      <c r="C1011" s="698"/>
      <c r="D1011" s="698"/>
      <c r="E1011" s="698"/>
      <c r="F1011" s="698"/>
      <c r="G1011" s="698"/>
      <c r="H1011" s="242"/>
      <c r="I1011" s="698"/>
      <c r="J1011" s="698"/>
      <c r="K1011" s="698"/>
      <c r="L1011" s="698"/>
      <c r="M1011" s="698"/>
      <c r="N1011" s="698"/>
      <c r="O1011" s="698"/>
      <c r="P1011" s="698"/>
    </row>
    <row r="1012" spans="1:16" s="697" customFormat="1" ht="15">
      <c r="A1012" s="698"/>
      <c r="B1012" s="698"/>
      <c r="C1012" s="698"/>
      <c r="D1012" s="698"/>
      <c r="E1012" s="698"/>
      <c r="F1012" s="698"/>
      <c r="G1012" s="698"/>
      <c r="H1012" s="242"/>
      <c r="I1012" s="698"/>
      <c r="J1012" s="698"/>
      <c r="K1012" s="698"/>
      <c r="L1012" s="698"/>
      <c r="M1012" s="698"/>
      <c r="N1012" s="698"/>
      <c r="O1012" s="698"/>
      <c r="P1012" s="698"/>
    </row>
    <row r="1013" spans="1:16" s="697" customFormat="1" ht="15">
      <c r="A1013" s="698"/>
      <c r="B1013" s="698"/>
      <c r="C1013" s="698"/>
      <c r="D1013" s="698"/>
      <c r="E1013" s="698"/>
      <c r="F1013" s="698"/>
      <c r="G1013" s="698"/>
      <c r="H1013" s="242"/>
      <c r="I1013" s="698"/>
      <c r="J1013" s="698"/>
      <c r="K1013" s="698"/>
      <c r="L1013" s="698"/>
      <c r="M1013" s="698"/>
      <c r="N1013" s="698"/>
      <c r="O1013" s="698"/>
      <c r="P1013" s="698"/>
    </row>
    <row r="1014" spans="1:16" s="697" customFormat="1" ht="15">
      <c r="A1014" s="698"/>
      <c r="B1014" s="698"/>
      <c r="C1014" s="698"/>
      <c r="D1014" s="698"/>
      <c r="E1014" s="698"/>
      <c r="F1014" s="698"/>
      <c r="G1014" s="698"/>
      <c r="H1014" s="242"/>
      <c r="I1014" s="698"/>
      <c r="J1014" s="698"/>
      <c r="K1014" s="698"/>
      <c r="L1014" s="698"/>
      <c r="M1014" s="698"/>
      <c r="N1014" s="698"/>
      <c r="O1014" s="698"/>
      <c r="P1014" s="698"/>
    </row>
    <row r="1015" spans="1:16" s="697" customFormat="1" ht="15">
      <c r="A1015" s="698"/>
      <c r="B1015" s="698"/>
      <c r="C1015" s="698"/>
      <c r="D1015" s="698"/>
      <c r="E1015" s="698"/>
      <c r="F1015" s="698"/>
      <c r="G1015" s="698"/>
      <c r="H1015" s="241"/>
      <c r="I1015" s="698"/>
      <c r="J1015" s="698"/>
      <c r="K1015" s="698"/>
      <c r="L1015" s="698"/>
      <c r="M1015" s="698"/>
      <c r="N1015" s="698"/>
      <c r="O1015" s="698"/>
      <c r="P1015" s="698"/>
    </row>
    <row r="1016" spans="1:16" s="697" customFormat="1" ht="15">
      <c r="A1016" s="698"/>
      <c r="B1016" s="698"/>
      <c r="C1016" s="698"/>
      <c r="D1016" s="698"/>
      <c r="E1016" s="698"/>
      <c r="F1016" s="698"/>
      <c r="G1016" s="698"/>
      <c r="H1016" s="242"/>
      <c r="I1016" s="698"/>
      <c r="J1016" s="698"/>
      <c r="K1016" s="698"/>
      <c r="L1016" s="698"/>
      <c r="M1016" s="698"/>
      <c r="N1016" s="698"/>
      <c r="O1016" s="698"/>
      <c r="P1016" s="698"/>
    </row>
    <row r="1017" spans="1:16" s="697" customFormat="1" ht="15">
      <c r="A1017" s="698"/>
      <c r="B1017" s="698"/>
      <c r="C1017" s="698"/>
      <c r="D1017" s="698"/>
      <c r="E1017" s="698"/>
      <c r="F1017" s="698"/>
      <c r="G1017" s="698"/>
      <c r="H1017" s="241"/>
      <c r="I1017" s="698"/>
      <c r="J1017" s="698"/>
      <c r="K1017" s="698"/>
      <c r="L1017" s="698"/>
      <c r="M1017" s="698"/>
      <c r="N1017" s="698"/>
      <c r="O1017" s="698"/>
      <c r="P1017" s="698"/>
    </row>
    <row r="1018" spans="1:16" s="697" customFormat="1" ht="15">
      <c r="A1018" s="698"/>
      <c r="B1018" s="698"/>
      <c r="C1018" s="698"/>
      <c r="D1018" s="698"/>
      <c r="E1018" s="698"/>
      <c r="F1018" s="698"/>
      <c r="G1018" s="698"/>
      <c r="H1018" s="242"/>
      <c r="I1018" s="698"/>
      <c r="J1018" s="698"/>
      <c r="K1018" s="698"/>
      <c r="L1018" s="698"/>
      <c r="M1018" s="698"/>
      <c r="N1018" s="698"/>
      <c r="O1018" s="698"/>
      <c r="P1018" s="698"/>
    </row>
    <row r="1019" spans="1:16" s="697" customFormat="1" ht="15">
      <c r="A1019" s="698"/>
      <c r="B1019" s="698"/>
      <c r="C1019" s="698"/>
      <c r="D1019" s="698"/>
      <c r="E1019" s="698"/>
      <c r="F1019" s="698"/>
      <c r="G1019" s="698"/>
      <c r="H1019" s="241"/>
      <c r="I1019" s="698"/>
      <c r="J1019" s="698"/>
      <c r="K1019" s="698"/>
      <c r="L1019" s="698"/>
      <c r="M1019" s="698"/>
      <c r="N1019" s="698"/>
      <c r="O1019" s="698"/>
      <c r="P1019" s="698"/>
    </row>
    <row r="1020" spans="1:16" s="697" customFormat="1" ht="15">
      <c r="A1020" s="698"/>
      <c r="B1020" s="698"/>
      <c r="C1020" s="698"/>
      <c r="D1020" s="698"/>
      <c r="E1020" s="698"/>
      <c r="F1020" s="698"/>
      <c r="G1020" s="698"/>
      <c r="H1020" s="241"/>
      <c r="I1020" s="698"/>
      <c r="J1020" s="698"/>
      <c r="K1020" s="698"/>
      <c r="L1020" s="698"/>
      <c r="M1020" s="698"/>
      <c r="N1020" s="698"/>
      <c r="O1020" s="698"/>
      <c r="P1020" s="698"/>
    </row>
    <row r="1021" spans="1:16" s="697" customFormat="1" ht="15">
      <c r="A1021" s="698"/>
      <c r="B1021" s="698"/>
      <c r="C1021" s="698"/>
      <c r="D1021" s="698"/>
      <c r="E1021" s="698"/>
      <c r="F1021" s="698"/>
      <c r="G1021" s="698"/>
      <c r="H1021" s="240"/>
      <c r="I1021" s="698"/>
      <c r="J1021" s="698"/>
      <c r="K1021" s="698"/>
      <c r="L1021" s="698"/>
      <c r="M1021" s="698"/>
      <c r="N1021" s="698"/>
      <c r="O1021" s="698"/>
      <c r="P1021" s="698"/>
    </row>
    <row r="1022" spans="1:16" s="697" customFormat="1" ht="15">
      <c r="A1022" s="698"/>
      <c r="B1022" s="698"/>
      <c r="C1022" s="698"/>
      <c r="D1022" s="698"/>
      <c r="E1022" s="698"/>
      <c r="F1022" s="698"/>
      <c r="G1022" s="698"/>
      <c r="H1022" s="240"/>
      <c r="I1022" s="698"/>
      <c r="J1022" s="698"/>
      <c r="K1022" s="698"/>
      <c r="L1022" s="698"/>
      <c r="M1022" s="698"/>
      <c r="N1022" s="698"/>
      <c r="O1022" s="698"/>
      <c r="P1022" s="698"/>
    </row>
    <row r="1023" spans="1:16" s="697" customFormat="1" ht="15">
      <c r="A1023" s="698"/>
      <c r="B1023" s="698"/>
      <c r="C1023" s="698"/>
      <c r="D1023" s="698"/>
      <c r="E1023" s="698"/>
      <c r="F1023" s="698"/>
      <c r="G1023" s="698"/>
      <c r="H1023" s="242"/>
      <c r="I1023" s="698"/>
      <c r="J1023" s="698"/>
      <c r="K1023" s="698"/>
      <c r="L1023" s="698"/>
      <c r="M1023" s="698"/>
      <c r="N1023" s="698"/>
      <c r="O1023" s="698"/>
      <c r="P1023" s="698"/>
    </row>
    <row r="1024" spans="1:16" s="697" customFormat="1" ht="15">
      <c r="A1024" s="698"/>
      <c r="B1024" s="698"/>
      <c r="C1024" s="698"/>
      <c r="D1024" s="698"/>
      <c r="E1024" s="698"/>
      <c r="F1024" s="698"/>
      <c r="G1024" s="698"/>
      <c r="H1024" s="242"/>
      <c r="I1024" s="698"/>
      <c r="J1024" s="698"/>
      <c r="K1024" s="698"/>
      <c r="L1024" s="698"/>
      <c r="M1024" s="698"/>
      <c r="N1024" s="698"/>
      <c r="O1024" s="698"/>
      <c r="P1024" s="698"/>
    </row>
    <row r="1025" spans="2:16" s="697" customFormat="1">
      <c r="B1025" s="711"/>
      <c r="C1025" s="711"/>
      <c r="D1025" s="711"/>
      <c r="E1025" s="711"/>
      <c r="F1025" s="711"/>
      <c r="G1025" s="711"/>
      <c r="H1025" s="241"/>
      <c r="I1025" s="711"/>
      <c r="J1025" s="711"/>
      <c r="N1025" s="698"/>
      <c r="O1025" s="698"/>
      <c r="P1025" s="698"/>
    </row>
    <row r="1026" spans="2:16" s="697" customFormat="1">
      <c r="B1026" s="711"/>
      <c r="C1026" s="711"/>
      <c r="D1026" s="711"/>
      <c r="E1026" s="711"/>
      <c r="F1026" s="711"/>
      <c r="G1026" s="711"/>
      <c r="H1026" s="241"/>
      <c r="I1026" s="711"/>
      <c r="J1026" s="711"/>
      <c r="N1026" s="698"/>
      <c r="O1026" s="698"/>
      <c r="P1026" s="698"/>
    </row>
    <row r="1027" spans="2:16" s="697" customFormat="1">
      <c r="B1027" s="711"/>
      <c r="C1027" s="711"/>
      <c r="D1027" s="711"/>
      <c r="E1027" s="711"/>
      <c r="F1027" s="711"/>
      <c r="G1027" s="711"/>
      <c r="H1027" s="242"/>
      <c r="I1027" s="711"/>
      <c r="J1027" s="711"/>
      <c r="N1027" s="698"/>
      <c r="O1027" s="698"/>
      <c r="P1027" s="698"/>
    </row>
    <row r="1028" spans="2:16" s="697" customFormat="1">
      <c r="B1028" s="711"/>
      <c r="C1028" s="711"/>
      <c r="D1028" s="711"/>
      <c r="E1028" s="711"/>
      <c r="F1028" s="711"/>
      <c r="G1028" s="711"/>
      <c r="H1028" s="242"/>
      <c r="I1028" s="711"/>
      <c r="J1028" s="711"/>
      <c r="N1028" s="698"/>
      <c r="O1028" s="698"/>
      <c r="P1028" s="698"/>
    </row>
    <row r="1029" spans="2:16" s="697" customFormat="1">
      <c r="B1029" s="711"/>
      <c r="C1029" s="711"/>
      <c r="D1029" s="711"/>
      <c r="E1029" s="711"/>
      <c r="F1029" s="711"/>
      <c r="G1029" s="711"/>
      <c r="H1029" s="242"/>
      <c r="I1029" s="711"/>
      <c r="J1029" s="711"/>
      <c r="N1029" s="698"/>
      <c r="O1029" s="698"/>
      <c r="P1029" s="698"/>
    </row>
    <row r="1030" spans="2:16" s="697" customFormat="1">
      <c r="B1030" s="711"/>
      <c r="C1030" s="711"/>
      <c r="D1030" s="711"/>
      <c r="E1030" s="711"/>
      <c r="F1030" s="711"/>
      <c r="G1030" s="711"/>
      <c r="H1030" s="242"/>
      <c r="I1030" s="711"/>
      <c r="J1030" s="711"/>
      <c r="N1030" s="698"/>
      <c r="O1030" s="698"/>
      <c r="P1030" s="698"/>
    </row>
    <row r="1031" spans="2:16" s="697" customFormat="1">
      <c r="B1031" s="711"/>
      <c r="C1031" s="711"/>
      <c r="D1031" s="711"/>
      <c r="E1031" s="711"/>
      <c r="F1031" s="711"/>
      <c r="G1031" s="711"/>
      <c r="H1031" s="242"/>
      <c r="I1031" s="711"/>
      <c r="J1031" s="711"/>
      <c r="N1031" s="698"/>
      <c r="O1031" s="698"/>
      <c r="P1031" s="698"/>
    </row>
    <row r="1032" spans="2:16" s="697" customFormat="1">
      <c r="B1032" s="711"/>
      <c r="C1032" s="711"/>
      <c r="D1032" s="711"/>
      <c r="E1032" s="711"/>
      <c r="F1032" s="711"/>
      <c r="G1032" s="711"/>
      <c r="H1032" s="242"/>
      <c r="I1032" s="711"/>
      <c r="J1032" s="711"/>
      <c r="N1032" s="698"/>
      <c r="O1032" s="698"/>
      <c r="P1032" s="698"/>
    </row>
    <row r="1033" spans="2:16" s="697" customFormat="1">
      <c r="B1033" s="711"/>
      <c r="C1033" s="711"/>
      <c r="D1033" s="711"/>
      <c r="E1033" s="711"/>
      <c r="F1033" s="711"/>
      <c r="G1033" s="711"/>
      <c r="H1033" s="242"/>
      <c r="I1033" s="711"/>
      <c r="J1033" s="711"/>
      <c r="N1033" s="698"/>
      <c r="O1033" s="698"/>
      <c r="P1033" s="698"/>
    </row>
    <row r="1034" spans="2:16" s="697" customFormat="1">
      <c r="B1034" s="711"/>
      <c r="C1034" s="711"/>
      <c r="D1034" s="711"/>
      <c r="E1034" s="711"/>
      <c r="F1034" s="711"/>
      <c r="G1034" s="711"/>
      <c r="H1034" s="241"/>
      <c r="I1034" s="711"/>
      <c r="J1034" s="711"/>
      <c r="N1034" s="698"/>
      <c r="O1034" s="698"/>
      <c r="P1034" s="698"/>
    </row>
    <row r="1035" spans="2:16" s="697" customFormat="1">
      <c r="B1035" s="711"/>
      <c r="C1035" s="711"/>
      <c r="D1035" s="711"/>
      <c r="E1035" s="711"/>
      <c r="F1035" s="711"/>
      <c r="G1035" s="711"/>
      <c r="H1035" s="241"/>
      <c r="I1035" s="711"/>
      <c r="J1035" s="711"/>
      <c r="N1035" s="698"/>
      <c r="O1035" s="698"/>
      <c r="P1035" s="698"/>
    </row>
    <row r="1036" spans="2:16" s="697" customFormat="1">
      <c r="B1036" s="711"/>
      <c r="C1036" s="711"/>
      <c r="D1036" s="711"/>
      <c r="E1036" s="711"/>
      <c r="F1036" s="711"/>
      <c r="G1036" s="711"/>
      <c r="H1036" s="242"/>
      <c r="I1036" s="711"/>
      <c r="J1036" s="711"/>
      <c r="N1036" s="698"/>
      <c r="O1036" s="698"/>
      <c r="P1036" s="698"/>
    </row>
    <row r="1037" spans="2:16" s="697" customFormat="1">
      <c r="B1037" s="711"/>
      <c r="C1037" s="711"/>
      <c r="D1037" s="711"/>
      <c r="E1037" s="711"/>
      <c r="F1037" s="711"/>
      <c r="G1037" s="711"/>
      <c r="H1037" s="240"/>
      <c r="I1037" s="711"/>
      <c r="J1037" s="711"/>
      <c r="N1037" s="698"/>
      <c r="O1037" s="698"/>
      <c r="P1037" s="698"/>
    </row>
    <row r="1038" spans="2:16" s="697" customFormat="1">
      <c r="B1038" s="711"/>
      <c r="C1038" s="711"/>
      <c r="D1038" s="711"/>
      <c r="E1038" s="711"/>
      <c r="F1038" s="711"/>
      <c r="G1038" s="711"/>
      <c r="H1038" s="240"/>
      <c r="I1038" s="711"/>
      <c r="J1038" s="711"/>
      <c r="N1038" s="698"/>
      <c r="O1038" s="698"/>
      <c r="P1038" s="698"/>
    </row>
    <row r="1039" spans="2:16" s="697" customFormat="1">
      <c r="B1039" s="711"/>
      <c r="C1039" s="711"/>
      <c r="D1039" s="711"/>
      <c r="E1039" s="711"/>
      <c r="F1039" s="711"/>
      <c r="G1039" s="711"/>
      <c r="H1039" s="240"/>
      <c r="I1039" s="711"/>
      <c r="J1039" s="711"/>
      <c r="N1039" s="698"/>
      <c r="O1039" s="698"/>
      <c r="P1039" s="698"/>
    </row>
    <row r="1040" spans="2:16" s="697" customFormat="1">
      <c r="B1040" s="711"/>
      <c r="C1040" s="711"/>
      <c r="D1040" s="711"/>
      <c r="E1040" s="711"/>
      <c r="F1040" s="711"/>
      <c r="G1040" s="711"/>
      <c r="H1040" s="240"/>
      <c r="I1040" s="711"/>
      <c r="J1040" s="711"/>
      <c r="N1040" s="698"/>
      <c r="O1040" s="698"/>
      <c r="P1040" s="698"/>
    </row>
    <row r="1041" spans="2:16" s="697" customFormat="1">
      <c r="B1041" s="711"/>
      <c r="C1041" s="711"/>
      <c r="D1041" s="711"/>
      <c r="E1041" s="711"/>
      <c r="F1041" s="711"/>
      <c r="G1041" s="711"/>
      <c r="H1041" s="240"/>
      <c r="I1041" s="711"/>
      <c r="J1041" s="711"/>
      <c r="N1041" s="698"/>
      <c r="O1041" s="698"/>
      <c r="P1041" s="698"/>
    </row>
    <row r="1042" spans="2:16" s="697" customFormat="1">
      <c r="B1042" s="711"/>
      <c r="C1042" s="711"/>
      <c r="D1042" s="711"/>
      <c r="E1042" s="711"/>
      <c r="F1042" s="711"/>
      <c r="G1042" s="711"/>
      <c r="H1042" s="241"/>
      <c r="I1042" s="711"/>
      <c r="J1042" s="711"/>
      <c r="N1042" s="698"/>
      <c r="O1042" s="698"/>
      <c r="P1042" s="698"/>
    </row>
    <row r="1043" spans="2:16" s="697" customFormat="1">
      <c r="B1043" s="711"/>
      <c r="C1043" s="711"/>
      <c r="D1043" s="711"/>
      <c r="E1043" s="711"/>
      <c r="F1043" s="711"/>
      <c r="G1043" s="711"/>
      <c r="H1043" s="241"/>
      <c r="I1043" s="711"/>
      <c r="J1043" s="711"/>
      <c r="N1043" s="698"/>
      <c r="O1043" s="698"/>
      <c r="P1043" s="698"/>
    </row>
    <row r="1044" spans="2:16" s="697" customFormat="1">
      <c r="B1044" s="711"/>
      <c r="C1044" s="711"/>
      <c r="D1044" s="711"/>
      <c r="E1044" s="711"/>
      <c r="F1044" s="711"/>
      <c r="G1044" s="711"/>
      <c r="H1044" s="242"/>
      <c r="I1044" s="711"/>
      <c r="J1044" s="711"/>
      <c r="N1044" s="698"/>
      <c r="O1044" s="698"/>
      <c r="P1044" s="698"/>
    </row>
    <row r="1045" spans="2:16" s="697" customFormat="1">
      <c r="B1045" s="711"/>
      <c r="C1045" s="711"/>
      <c r="D1045" s="711"/>
      <c r="E1045" s="711"/>
      <c r="F1045" s="711"/>
      <c r="G1045" s="711"/>
      <c r="H1045" s="242"/>
      <c r="I1045" s="711"/>
      <c r="J1045" s="711"/>
      <c r="N1045" s="698"/>
      <c r="O1045" s="698"/>
      <c r="P1045" s="698"/>
    </row>
    <row r="1046" spans="2:16" s="697" customFormat="1">
      <c r="B1046" s="711"/>
      <c r="C1046" s="711"/>
      <c r="D1046" s="711"/>
      <c r="E1046" s="711"/>
      <c r="F1046" s="711"/>
      <c r="G1046" s="711"/>
      <c r="H1046" s="241"/>
      <c r="I1046" s="711"/>
      <c r="J1046" s="711"/>
      <c r="N1046" s="698"/>
      <c r="O1046" s="698"/>
      <c r="P1046" s="698"/>
    </row>
    <row r="1047" spans="2:16" s="697" customFormat="1">
      <c r="B1047" s="711"/>
      <c r="C1047" s="711"/>
      <c r="D1047" s="711"/>
      <c r="E1047" s="711"/>
      <c r="F1047" s="711"/>
      <c r="G1047" s="711"/>
      <c r="H1047" s="241"/>
      <c r="I1047" s="711"/>
      <c r="J1047" s="711"/>
      <c r="N1047" s="698"/>
      <c r="O1047" s="698"/>
      <c r="P1047" s="698"/>
    </row>
    <row r="1048" spans="2:16" s="697" customFormat="1">
      <c r="B1048" s="711"/>
      <c r="C1048" s="711"/>
      <c r="D1048" s="711"/>
      <c r="E1048" s="711"/>
      <c r="F1048" s="711"/>
      <c r="G1048" s="711"/>
      <c r="H1048" s="241"/>
      <c r="I1048" s="711"/>
      <c r="J1048" s="711"/>
      <c r="N1048" s="698"/>
      <c r="O1048" s="698"/>
      <c r="P1048" s="698"/>
    </row>
    <row r="1049" spans="2:16" s="697" customFormat="1">
      <c r="B1049" s="711"/>
      <c r="C1049" s="711"/>
      <c r="D1049" s="711"/>
      <c r="E1049" s="711"/>
      <c r="F1049" s="711"/>
      <c r="G1049" s="711"/>
      <c r="H1049" s="242"/>
      <c r="I1049" s="711"/>
      <c r="J1049" s="711"/>
      <c r="N1049" s="698"/>
      <c r="O1049" s="698"/>
      <c r="P1049" s="698"/>
    </row>
    <row r="1050" spans="2:16" s="697" customFormat="1">
      <c r="B1050" s="711"/>
      <c r="C1050" s="711"/>
      <c r="D1050" s="711"/>
      <c r="E1050" s="711"/>
      <c r="F1050" s="711"/>
      <c r="G1050" s="711"/>
      <c r="H1050" s="242"/>
      <c r="I1050" s="711"/>
      <c r="J1050" s="711"/>
      <c r="N1050" s="698"/>
      <c r="O1050" s="698"/>
      <c r="P1050" s="698"/>
    </row>
    <row r="1051" spans="2:16" s="697" customFormat="1">
      <c r="B1051" s="711"/>
      <c r="C1051" s="711"/>
      <c r="D1051" s="711"/>
      <c r="E1051" s="711"/>
      <c r="F1051" s="711"/>
      <c r="G1051" s="711"/>
      <c r="H1051" s="242"/>
      <c r="I1051" s="711"/>
      <c r="J1051" s="711"/>
      <c r="N1051" s="698"/>
      <c r="O1051" s="698"/>
      <c r="P1051" s="698"/>
    </row>
    <row r="1052" spans="2:16" s="697" customFormat="1">
      <c r="B1052" s="711"/>
      <c r="C1052" s="711"/>
      <c r="D1052" s="711"/>
      <c r="E1052" s="711"/>
      <c r="F1052" s="711"/>
      <c r="G1052" s="711"/>
      <c r="H1052" s="241"/>
      <c r="I1052" s="711"/>
      <c r="J1052" s="711"/>
      <c r="N1052" s="698"/>
      <c r="O1052" s="698"/>
      <c r="P1052" s="698"/>
    </row>
    <row r="1053" spans="2:16" s="697" customFormat="1">
      <c r="B1053" s="711"/>
      <c r="C1053" s="711"/>
      <c r="D1053" s="711"/>
      <c r="E1053" s="711"/>
      <c r="F1053" s="711"/>
      <c r="G1053" s="711"/>
      <c r="H1053" s="241"/>
      <c r="I1053" s="711"/>
      <c r="J1053" s="711"/>
      <c r="N1053" s="698"/>
      <c r="O1053" s="698"/>
      <c r="P1053" s="698"/>
    </row>
    <row r="1054" spans="2:16" s="697" customFormat="1">
      <c r="B1054" s="711"/>
      <c r="C1054" s="711"/>
      <c r="D1054" s="711"/>
      <c r="E1054" s="711"/>
      <c r="F1054" s="711"/>
      <c r="G1054" s="711"/>
      <c r="H1054" s="241"/>
      <c r="I1054" s="711"/>
      <c r="J1054" s="711"/>
      <c r="N1054" s="698"/>
      <c r="O1054" s="698"/>
      <c r="P1054" s="698"/>
    </row>
    <row r="1055" spans="2:16" s="697" customFormat="1">
      <c r="B1055" s="711"/>
      <c r="C1055" s="711"/>
      <c r="D1055" s="711"/>
      <c r="E1055" s="711"/>
      <c r="F1055" s="711"/>
      <c r="G1055" s="712"/>
      <c r="H1055" s="241"/>
      <c r="I1055" s="711"/>
      <c r="J1055" s="711"/>
      <c r="N1055" s="698"/>
      <c r="O1055" s="698"/>
      <c r="P1055" s="698"/>
    </row>
    <row r="1056" spans="2:16" s="697" customFormat="1">
      <c r="B1056" s="711"/>
      <c r="C1056" s="711"/>
      <c r="D1056" s="711"/>
      <c r="E1056" s="711"/>
      <c r="F1056" s="711"/>
      <c r="G1056" s="712"/>
      <c r="H1056" s="241"/>
      <c r="I1056" s="711"/>
      <c r="J1056" s="711"/>
      <c r="N1056" s="698"/>
      <c r="O1056" s="698"/>
      <c r="P1056" s="698"/>
    </row>
    <row r="1057" spans="2:16" s="697" customFormat="1">
      <c r="B1057" s="711"/>
      <c r="C1057" s="711"/>
      <c r="D1057" s="711"/>
      <c r="E1057" s="711"/>
      <c r="F1057" s="711"/>
      <c r="G1057" s="712"/>
      <c r="H1057" s="241"/>
      <c r="I1057" s="711"/>
      <c r="J1057" s="711"/>
      <c r="N1057" s="698"/>
      <c r="O1057" s="698"/>
      <c r="P1057" s="698"/>
    </row>
    <row r="1058" spans="2:16" s="697" customFormat="1">
      <c r="B1058" s="711"/>
      <c r="C1058" s="711"/>
      <c r="D1058" s="711"/>
      <c r="E1058" s="711"/>
      <c r="F1058" s="711"/>
      <c r="G1058" s="712"/>
      <c r="H1058" s="242"/>
      <c r="I1058" s="711"/>
      <c r="J1058" s="711"/>
      <c r="N1058" s="698"/>
      <c r="O1058" s="698"/>
      <c r="P1058" s="698"/>
    </row>
    <row r="1059" spans="2:16" s="697" customFormat="1">
      <c r="B1059" s="711"/>
      <c r="C1059" s="711"/>
      <c r="D1059" s="711"/>
      <c r="E1059" s="711"/>
      <c r="F1059" s="711"/>
      <c r="G1059" s="712"/>
      <c r="H1059" s="242"/>
      <c r="I1059" s="711"/>
      <c r="J1059" s="711"/>
      <c r="N1059" s="698"/>
      <c r="O1059" s="698"/>
      <c r="P1059" s="698"/>
    </row>
    <row r="1060" spans="2:16" s="697" customFormat="1">
      <c r="B1060" s="711"/>
      <c r="C1060" s="711"/>
      <c r="D1060" s="711"/>
      <c r="E1060" s="711"/>
      <c r="F1060" s="711"/>
      <c r="G1060" s="712"/>
      <c r="H1060" s="241"/>
      <c r="I1060" s="711"/>
      <c r="J1060" s="711"/>
      <c r="N1060" s="698"/>
      <c r="O1060" s="698"/>
      <c r="P1060" s="698"/>
    </row>
    <row r="1061" spans="2:16" s="697" customFormat="1">
      <c r="B1061" s="711"/>
      <c r="C1061" s="711"/>
      <c r="D1061" s="711"/>
      <c r="E1061" s="711"/>
      <c r="F1061" s="711"/>
      <c r="G1061" s="712"/>
      <c r="H1061" s="241"/>
      <c r="I1061" s="711"/>
      <c r="J1061" s="711"/>
      <c r="N1061" s="698"/>
      <c r="O1061" s="698"/>
      <c r="P1061" s="698"/>
    </row>
    <row r="1062" spans="2:16" s="697" customFormat="1">
      <c r="B1062" s="711"/>
      <c r="C1062" s="711"/>
      <c r="D1062" s="711"/>
      <c r="E1062" s="711"/>
      <c r="F1062" s="711"/>
      <c r="G1062" s="711"/>
      <c r="H1062" s="242"/>
      <c r="I1062" s="711"/>
      <c r="J1062" s="711"/>
      <c r="N1062" s="698"/>
      <c r="O1062" s="698"/>
      <c r="P1062" s="698"/>
    </row>
    <row r="1063" spans="2:16" s="697" customFormat="1">
      <c r="B1063" s="711"/>
      <c r="C1063" s="711"/>
      <c r="D1063" s="711"/>
      <c r="E1063" s="711"/>
      <c r="F1063" s="711"/>
      <c r="G1063" s="711"/>
      <c r="H1063" s="241"/>
      <c r="I1063" s="711"/>
      <c r="J1063" s="711"/>
      <c r="N1063" s="698"/>
      <c r="O1063" s="698"/>
      <c r="P1063" s="698"/>
    </row>
    <row r="1064" spans="2:16" s="697" customFormat="1">
      <c r="B1064" s="711"/>
      <c r="C1064" s="711"/>
      <c r="D1064" s="711"/>
      <c r="E1064" s="711"/>
      <c r="F1064" s="711"/>
      <c r="G1064" s="711"/>
      <c r="H1064" s="241"/>
      <c r="I1064" s="711"/>
      <c r="J1064" s="711"/>
      <c r="N1064" s="698"/>
      <c r="O1064" s="698"/>
      <c r="P1064" s="698"/>
    </row>
    <row r="1065" spans="2:16" s="697" customFormat="1">
      <c r="B1065" s="711"/>
      <c r="C1065" s="711"/>
      <c r="D1065" s="711"/>
      <c r="E1065" s="711"/>
      <c r="F1065" s="711"/>
      <c r="G1065" s="711"/>
      <c r="H1065" s="242"/>
      <c r="I1065" s="711"/>
      <c r="J1065" s="711"/>
      <c r="N1065" s="698"/>
      <c r="O1065" s="698"/>
      <c r="P1065" s="698"/>
    </row>
    <row r="1066" spans="2:16" s="697" customFormat="1">
      <c r="B1066" s="711"/>
      <c r="C1066" s="711"/>
      <c r="D1066" s="711"/>
      <c r="E1066" s="711"/>
      <c r="F1066" s="711"/>
      <c r="G1066" s="711"/>
      <c r="H1066" s="242"/>
      <c r="I1066" s="711"/>
      <c r="J1066" s="711"/>
      <c r="N1066" s="698"/>
      <c r="O1066" s="698"/>
      <c r="P1066" s="698"/>
    </row>
    <row r="1067" spans="2:16" s="697" customFormat="1">
      <c r="B1067" s="711"/>
      <c r="C1067" s="711"/>
      <c r="D1067" s="711"/>
      <c r="E1067" s="711"/>
      <c r="F1067" s="711"/>
      <c r="G1067" s="711"/>
      <c r="H1067" s="241"/>
      <c r="I1067" s="711"/>
      <c r="J1067" s="711"/>
      <c r="N1067" s="698"/>
      <c r="O1067" s="698"/>
      <c r="P1067" s="698"/>
    </row>
    <row r="1068" spans="2:16" s="697" customFormat="1">
      <c r="B1068" s="711"/>
      <c r="C1068" s="711"/>
      <c r="D1068" s="711"/>
      <c r="E1068" s="711"/>
      <c r="F1068" s="711"/>
      <c r="G1068" s="711"/>
      <c r="H1068" s="240"/>
      <c r="I1068" s="711"/>
      <c r="J1068" s="711"/>
      <c r="N1068" s="698"/>
      <c r="O1068" s="698"/>
      <c r="P1068" s="698"/>
    </row>
    <row r="1069" spans="2:16" s="697" customFormat="1">
      <c r="B1069" s="711"/>
      <c r="C1069" s="711"/>
      <c r="D1069" s="711"/>
      <c r="E1069" s="711"/>
      <c r="F1069" s="711"/>
      <c r="G1069" s="711"/>
      <c r="H1069" s="240"/>
      <c r="I1069" s="711"/>
      <c r="J1069" s="711"/>
      <c r="N1069" s="698"/>
      <c r="O1069" s="698"/>
      <c r="P1069" s="698"/>
    </row>
    <row r="1070" spans="2:16" s="697" customFormat="1">
      <c r="B1070" s="711"/>
      <c r="C1070" s="711"/>
      <c r="D1070" s="711"/>
      <c r="E1070" s="711"/>
      <c r="F1070" s="711"/>
      <c r="G1070" s="711"/>
      <c r="H1070" s="240"/>
      <c r="I1070" s="711"/>
      <c r="J1070" s="711"/>
      <c r="N1070" s="698"/>
      <c r="O1070" s="698"/>
      <c r="P1070" s="698"/>
    </row>
    <row r="1071" spans="2:16" s="697" customFormat="1">
      <c r="B1071" s="711"/>
      <c r="C1071" s="711"/>
      <c r="D1071" s="711"/>
      <c r="E1071" s="711"/>
      <c r="F1071" s="711"/>
      <c r="G1071" s="711"/>
      <c r="H1071" s="240"/>
      <c r="I1071" s="711"/>
      <c r="J1071" s="711"/>
      <c r="N1071" s="698"/>
      <c r="O1071" s="698"/>
      <c r="P1071" s="698"/>
    </row>
    <row r="1072" spans="2:16" s="697" customFormat="1">
      <c r="B1072" s="711"/>
      <c r="C1072" s="711"/>
      <c r="D1072" s="711"/>
      <c r="E1072" s="711"/>
      <c r="F1072" s="711"/>
      <c r="G1072" s="711"/>
      <c r="H1072" s="240"/>
      <c r="I1072" s="711"/>
      <c r="J1072" s="711"/>
      <c r="N1072" s="698"/>
      <c r="O1072" s="698"/>
      <c r="P1072" s="698"/>
    </row>
    <row r="1073" spans="2:16" s="697" customFormat="1">
      <c r="B1073" s="711"/>
      <c r="C1073" s="711"/>
      <c r="D1073" s="711"/>
      <c r="E1073" s="711"/>
      <c r="F1073" s="711"/>
      <c r="G1073" s="711"/>
      <c r="H1073" s="241"/>
      <c r="I1073" s="711"/>
      <c r="J1073" s="711"/>
      <c r="N1073" s="698"/>
      <c r="O1073" s="698"/>
      <c r="P1073" s="698"/>
    </row>
    <row r="1074" spans="2:16" s="697" customFormat="1">
      <c r="B1074" s="711"/>
      <c r="C1074" s="711"/>
      <c r="D1074" s="711"/>
      <c r="E1074" s="711"/>
      <c r="F1074" s="711"/>
      <c r="G1074" s="711"/>
      <c r="H1074" s="241"/>
      <c r="I1074" s="711"/>
      <c r="J1074" s="711"/>
      <c r="N1074" s="698"/>
      <c r="O1074" s="698"/>
      <c r="P1074" s="698"/>
    </row>
    <row r="1075" spans="2:16" s="697" customFormat="1">
      <c r="B1075" s="711"/>
      <c r="C1075" s="711"/>
      <c r="D1075" s="711"/>
      <c r="E1075" s="711"/>
      <c r="F1075" s="711"/>
      <c r="G1075" s="711"/>
      <c r="H1075" s="242"/>
      <c r="I1075" s="711"/>
      <c r="J1075" s="711"/>
      <c r="N1075" s="698"/>
      <c r="O1075" s="698"/>
      <c r="P1075" s="698"/>
    </row>
    <row r="1076" spans="2:16" s="697" customFormat="1">
      <c r="B1076" s="711"/>
      <c r="C1076" s="711"/>
      <c r="D1076" s="711"/>
      <c r="E1076" s="711"/>
      <c r="F1076" s="711"/>
      <c r="G1076" s="711"/>
      <c r="H1076" s="242"/>
      <c r="I1076" s="711"/>
      <c r="J1076" s="711"/>
      <c r="N1076" s="698"/>
      <c r="O1076" s="698"/>
      <c r="P1076" s="698"/>
    </row>
    <row r="1077" spans="2:16" s="697" customFormat="1">
      <c r="B1077" s="711"/>
      <c r="C1077" s="711"/>
      <c r="D1077" s="711"/>
      <c r="E1077" s="711"/>
      <c r="F1077" s="711"/>
      <c r="G1077" s="711"/>
      <c r="H1077" s="241"/>
      <c r="I1077" s="711"/>
      <c r="J1077" s="711"/>
      <c r="N1077" s="698"/>
      <c r="O1077" s="698"/>
      <c r="P1077" s="698"/>
    </row>
    <row r="1078" spans="2:16" s="697" customFormat="1">
      <c r="B1078" s="711"/>
      <c r="C1078" s="711"/>
      <c r="D1078" s="711"/>
      <c r="E1078" s="711"/>
      <c r="F1078" s="711"/>
      <c r="G1078" s="711"/>
      <c r="H1078" s="242"/>
      <c r="I1078" s="711"/>
      <c r="J1078" s="711"/>
      <c r="N1078" s="698"/>
      <c r="O1078" s="698"/>
      <c r="P1078" s="698"/>
    </row>
    <row r="1079" spans="2:16" s="697" customFormat="1">
      <c r="B1079" s="711"/>
      <c r="C1079" s="711"/>
      <c r="D1079" s="711"/>
      <c r="E1079" s="711"/>
      <c r="F1079" s="711"/>
      <c r="G1079" s="711"/>
      <c r="H1079" s="242"/>
      <c r="I1079" s="711"/>
      <c r="J1079" s="711"/>
      <c r="N1079" s="698"/>
      <c r="O1079" s="698"/>
      <c r="P1079" s="698"/>
    </row>
    <row r="1080" spans="2:16" s="697" customFormat="1">
      <c r="B1080" s="711"/>
      <c r="C1080" s="711"/>
      <c r="D1080" s="711"/>
      <c r="E1080" s="711"/>
      <c r="F1080" s="711"/>
      <c r="G1080" s="711"/>
      <c r="H1080" s="242"/>
      <c r="I1080" s="711"/>
      <c r="J1080" s="711"/>
      <c r="N1080" s="698"/>
      <c r="O1080" s="698"/>
      <c r="P1080" s="698"/>
    </row>
    <row r="1081" spans="2:16" s="697" customFormat="1">
      <c r="B1081" s="711"/>
      <c r="C1081" s="711"/>
      <c r="D1081" s="711"/>
      <c r="E1081" s="711"/>
      <c r="F1081" s="711"/>
      <c r="G1081" s="711"/>
      <c r="H1081" s="242"/>
      <c r="I1081" s="711"/>
      <c r="J1081" s="711"/>
      <c r="N1081" s="698"/>
      <c r="O1081" s="698"/>
      <c r="P1081" s="698"/>
    </row>
    <row r="1082" spans="2:16" s="697" customFormat="1">
      <c r="B1082" s="711"/>
      <c r="C1082" s="711"/>
      <c r="D1082" s="711"/>
      <c r="E1082" s="711"/>
      <c r="F1082" s="711"/>
      <c r="G1082" s="711"/>
      <c r="H1082" s="242"/>
      <c r="I1082" s="711"/>
      <c r="J1082" s="711"/>
      <c r="N1082" s="698"/>
      <c r="O1082" s="698"/>
      <c r="P1082" s="698"/>
    </row>
    <row r="1083" spans="2:16" s="697" customFormat="1">
      <c r="B1083" s="711"/>
      <c r="C1083" s="711"/>
      <c r="D1083" s="711"/>
      <c r="E1083" s="711"/>
      <c r="F1083" s="711"/>
      <c r="G1083" s="711"/>
      <c r="H1083" s="241"/>
      <c r="I1083" s="711"/>
      <c r="J1083" s="711"/>
      <c r="N1083" s="698"/>
      <c r="O1083" s="698"/>
      <c r="P1083" s="698"/>
    </row>
    <row r="1084" spans="2:16" s="697" customFormat="1">
      <c r="B1084" s="711"/>
      <c r="C1084" s="711"/>
      <c r="D1084" s="711"/>
      <c r="E1084" s="711"/>
      <c r="F1084" s="711"/>
      <c r="G1084" s="711"/>
      <c r="H1084" s="242"/>
      <c r="I1084" s="711"/>
      <c r="J1084" s="711"/>
      <c r="N1084" s="698"/>
      <c r="O1084" s="698"/>
      <c r="P1084" s="698"/>
    </row>
    <row r="1085" spans="2:16" s="697" customFormat="1">
      <c r="B1085" s="711"/>
      <c r="C1085" s="711"/>
      <c r="D1085" s="711"/>
      <c r="E1085" s="711"/>
      <c r="F1085" s="711"/>
      <c r="G1085" s="711"/>
      <c r="H1085" s="241"/>
      <c r="I1085" s="711"/>
      <c r="J1085" s="711"/>
      <c r="N1085" s="698"/>
      <c r="O1085" s="698"/>
      <c r="P1085" s="698"/>
    </row>
    <row r="1086" spans="2:16" s="697" customFormat="1">
      <c r="B1086" s="711"/>
      <c r="C1086" s="711"/>
      <c r="D1086" s="711"/>
      <c r="E1086" s="711"/>
      <c r="F1086" s="711"/>
      <c r="G1086" s="711"/>
      <c r="H1086" s="242"/>
      <c r="I1086" s="711"/>
      <c r="J1086" s="711"/>
      <c r="N1086" s="698"/>
      <c r="O1086" s="698"/>
      <c r="P1086" s="698"/>
    </row>
    <row r="1087" spans="2:16" s="697" customFormat="1">
      <c r="B1087" s="711"/>
      <c r="C1087" s="711"/>
      <c r="D1087" s="711"/>
      <c r="E1087" s="711"/>
      <c r="F1087" s="711"/>
      <c r="G1087" s="711"/>
      <c r="H1087" s="241"/>
      <c r="I1087" s="711"/>
      <c r="J1087" s="711"/>
      <c r="N1087" s="698"/>
      <c r="O1087" s="698"/>
      <c r="P1087" s="698"/>
    </row>
    <row r="1088" spans="2:16" s="697" customFormat="1">
      <c r="B1088" s="711"/>
      <c r="C1088" s="711"/>
      <c r="D1088" s="711"/>
      <c r="E1088" s="711"/>
      <c r="F1088" s="711"/>
      <c r="G1088" s="711"/>
      <c r="H1088" s="242"/>
      <c r="I1088" s="711"/>
      <c r="J1088" s="711"/>
      <c r="N1088" s="698"/>
      <c r="O1088" s="698"/>
      <c r="P1088" s="698"/>
    </row>
    <row r="1089" spans="2:16" s="697" customFormat="1">
      <c r="B1089" s="711"/>
      <c r="C1089" s="711"/>
      <c r="D1089" s="711"/>
      <c r="E1089" s="711"/>
      <c r="F1089" s="711"/>
      <c r="G1089" s="711"/>
      <c r="H1089" s="242"/>
      <c r="I1089" s="711"/>
      <c r="J1089" s="711"/>
      <c r="N1089" s="698"/>
      <c r="O1089" s="698"/>
      <c r="P1089" s="698"/>
    </row>
    <row r="1090" spans="2:16" s="697" customFormat="1">
      <c r="B1090" s="711"/>
      <c r="C1090" s="711"/>
      <c r="D1090" s="711"/>
      <c r="E1090" s="711"/>
      <c r="F1090" s="711"/>
      <c r="G1090" s="711"/>
      <c r="H1090" s="242"/>
      <c r="I1090" s="711"/>
      <c r="J1090" s="711"/>
      <c r="N1090" s="698"/>
      <c r="O1090" s="698"/>
      <c r="P1090" s="698"/>
    </row>
    <row r="1091" spans="2:16" s="697" customFormat="1">
      <c r="B1091" s="711"/>
      <c r="C1091" s="711"/>
      <c r="D1091" s="711"/>
      <c r="E1091" s="711"/>
      <c r="F1091" s="711"/>
      <c r="G1091" s="711"/>
      <c r="H1091" s="241"/>
      <c r="I1091" s="711"/>
      <c r="J1091" s="711"/>
      <c r="N1091" s="698"/>
      <c r="O1091" s="698"/>
      <c r="P1091" s="698"/>
    </row>
    <row r="1092" spans="2:16" s="697" customFormat="1">
      <c r="B1092" s="711"/>
      <c r="C1092" s="711"/>
      <c r="D1092" s="711"/>
      <c r="E1092" s="711"/>
      <c r="F1092" s="711"/>
      <c r="G1092" s="711"/>
      <c r="H1092" s="241"/>
      <c r="I1092" s="711"/>
      <c r="J1092" s="711"/>
      <c r="N1092" s="698"/>
      <c r="O1092" s="698"/>
      <c r="P1092" s="698"/>
    </row>
    <row r="1093" spans="2:16" s="697" customFormat="1">
      <c r="B1093" s="711"/>
      <c r="C1093" s="711"/>
      <c r="D1093" s="711"/>
      <c r="E1093" s="711"/>
      <c r="F1093" s="711"/>
      <c r="G1093" s="711"/>
      <c r="H1093" s="241"/>
      <c r="I1093" s="711"/>
      <c r="J1093" s="711"/>
      <c r="N1093" s="698"/>
      <c r="O1093" s="698"/>
      <c r="P1093" s="698"/>
    </row>
    <row r="1094" spans="2:16" s="697" customFormat="1">
      <c r="B1094" s="711"/>
      <c r="C1094" s="711"/>
      <c r="D1094" s="711"/>
      <c r="E1094" s="711"/>
      <c r="F1094" s="711"/>
      <c r="G1094" s="711"/>
      <c r="H1094" s="241"/>
      <c r="I1094" s="711"/>
      <c r="J1094" s="711"/>
      <c r="N1094" s="698"/>
      <c r="O1094" s="698"/>
      <c r="P1094" s="698"/>
    </row>
    <row r="1095" spans="2:16" s="697" customFormat="1">
      <c r="B1095" s="711"/>
      <c r="C1095" s="711"/>
      <c r="D1095" s="711"/>
      <c r="E1095" s="711"/>
      <c r="F1095" s="711"/>
      <c r="G1095" s="711"/>
      <c r="H1095" s="241"/>
      <c r="I1095" s="711"/>
      <c r="J1095" s="711"/>
      <c r="N1095" s="698"/>
      <c r="O1095" s="698"/>
      <c r="P1095" s="698"/>
    </row>
    <row r="1096" spans="2:16" s="697" customFormat="1">
      <c r="B1096" s="711"/>
      <c r="C1096" s="711"/>
      <c r="D1096" s="711"/>
      <c r="E1096" s="711"/>
      <c r="F1096" s="711"/>
      <c r="G1096" s="711"/>
      <c r="H1096" s="241"/>
      <c r="I1096" s="711"/>
      <c r="J1096" s="711"/>
      <c r="N1096" s="698"/>
      <c r="O1096" s="698"/>
      <c r="P1096" s="698"/>
    </row>
    <row r="1097" spans="2:16" s="697" customFormat="1">
      <c r="B1097" s="711"/>
      <c r="C1097" s="711"/>
      <c r="D1097" s="711"/>
      <c r="E1097" s="711"/>
      <c r="F1097" s="711"/>
      <c r="G1097" s="711"/>
      <c r="H1097" s="241"/>
      <c r="I1097" s="711"/>
      <c r="J1097" s="711"/>
      <c r="N1097" s="698"/>
      <c r="O1097" s="698"/>
      <c r="P1097" s="698"/>
    </row>
    <row r="1098" spans="2:16" s="697" customFormat="1">
      <c r="B1098" s="711"/>
      <c r="C1098" s="711"/>
      <c r="D1098" s="711"/>
      <c r="E1098" s="711"/>
      <c r="F1098" s="711"/>
      <c r="G1098" s="711"/>
      <c r="H1098" s="241"/>
      <c r="I1098" s="711"/>
      <c r="J1098" s="711"/>
      <c r="N1098" s="698"/>
      <c r="O1098" s="698"/>
      <c r="P1098" s="698"/>
    </row>
    <row r="1099" spans="2:16" s="697" customFormat="1">
      <c r="B1099" s="711"/>
      <c r="C1099" s="711"/>
      <c r="D1099" s="711"/>
      <c r="E1099" s="711"/>
      <c r="F1099" s="711"/>
      <c r="G1099" s="711"/>
      <c r="H1099" s="241"/>
      <c r="I1099" s="711"/>
      <c r="J1099" s="711"/>
      <c r="N1099" s="698"/>
      <c r="O1099" s="698"/>
      <c r="P1099" s="698"/>
    </row>
    <row r="1100" spans="2:16" s="697" customFormat="1">
      <c r="B1100" s="711"/>
      <c r="C1100" s="711"/>
      <c r="D1100" s="711"/>
      <c r="E1100" s="711"/>
      <c r="F1100" s="711"/>
      <c r="G1100" s="711"/>
      <c r="H1100" s="242"/>
      <c r="I1100" s="711"/>
      <c r="J1100" s="711"/>
      <c r="N1100" s="698"/>
      <c r="O1100" s="698"/>
      <c r="P1100" s="698"/>
    </row>
    <row r="1101" spans="2:16" s="697" customFormat="1">
      <c r="B1101" s="711"/>
      <c r="C1101" s="711"/>
      <c r="D1101" s="711"/>
      <c r="E1101" s="711"/>
      <c r="F1101" s="711"/>
      <c r="G1101" s="711"/>
      <c r="H1101" s="242"/>
      <c r="I1101" s="711"/>
      <c r="J1101" s="711"/>
      <c r="N1101" s="698"/>
      <c r="O1101" s="698"/>
      <c r="P1101" s="698"/>
    </row>
    <row r="1102" spans="2:16" s="697" customFormat="1">
      <c r="B1102" s="711"/>
      <c r="C1102" s="711"/>
      <c r="D1102" s="711"/>
      <c r="E1102" s="711"/>
      <c r="F1102" s="711"/>
      <c r="G1102" s="711"/>
      <c r="H1102" s="241"/>
      <c r="I1102" s="711"/>
      <c r="J1102" s="711"/>
      <c r="N1102" s="698"/>
      <c r="O1102" s="698"/>
      <c r="P1102" s="698"/>
    </row>
    <row r="1103" spans="2:16" s="697" customFormat="1">
      <c r="B1103" s="711"/>
      <c r="C1103" s="711"/>
      <c r="D1103" s="711"/>
      <c r="E1103" s="711"/>
      <c r="F1103" s="711"/>
      <c r="G1103" s="711"/>
      <c r="H1103" s="241"/>
      <c r="I1103" s="711"/>
      <c r="J1103" s="711"/>
      <c r="N1103" s="698"/>
      <c r="O1103" s="698"/>
      <c r="P1103" s="698"/>
    </row>
    <row r="1104" spans="2:16" s="697" customFormat="1">
      <c r="B1104" s="711"/>
      <c r="C1104" s="711"/>
      <c r="D1104" s="711"/>
      <c r="E1104" s="711"/>
      <c r="F1104" s="711"/>
      <c r="G1104" s="711"/>
      <c r="H1104" s="242"/>
      <c r="I1104" s="711"/>
      <c r="J1104" s="711"/>
      <c r="N1104" s="698"/>
      <c r="O1104" s="698"/>
      <c r="P1104" s="698"/>
    </row>
    <row r="1105" spans="2:16" s="697" customFormat="1">
      <c r="B1105" s="711"/>
      <c r="C1105" s="711"/>
      <c r="D1105" s="711"/>
      <c r="E1105" s="711"/>
      <c r="F1105" s="711"/>
      <c r="G1105" s="711"/>
      <c r="H1105" s="241"/>
      <c r="I1105" s="711"/>
      <c r="J1105" s="711"/>
      <c r="N1105" s="698"/>
      <c r="O1105" s="698"/>
      <c r="P1105" s="698"/>
    </row>
    <row r="1106" spans="2:16" s="697" customFormat="1">
      <c r="B1106" s="711"/>
      <c r="C1106" s="711"/>
      <c r="D1106" s="711"/>
      <c r="E1106" s="711"/>
      <c r="F1106" s="711"/>
      <c r="G1106" s="711"/>
      <c r="H1106" s="241"/>
      <c r="I1106" s="711"/>
      <c r="J1106" s="711"/>
      <c r="N1106" s="698"/>
      <c r="O1106" s="698"/>
      <c r="P1106" s="698"/>
    </row>
    <row r="1107" spans="2:16" s="697" customFormat="1">
      <c r="B1107" s="711"/>
      <c r="C1107" s="711"/>
      <c r="D1107" s="711"/>
      <c r="E1107" s="711"/>
      <c r="F1107" s="711"/>
      <c r="G1107" s="711"/>
      <c r="H1107" s="242"/>
      <c r="I1107" s="711"/>
      <c r="J1107" s="711"/>
      <c r="N1107" s="698"/>
      <c r="O1107" s="698"/>
      <c r="P1107" s="698"/>
    </row>
    <row r="1108" spans="2:16" s="697" customFormat="1">
      <c r="B1108" s="711"/>
      <c r="C1108" s="711"/>
      <c r="D1108" s="711"/>
      <c r="E1108" s="711"/>
      <c r="F1108" s="711"/>
      <c r="G1108" s="711"/>
      <c r="H1108" s="242"/>
      <c r="I1108" s="711"/>
      <c r="J1108" s="711"/>
      <c r="N1108" s="698"/>
      <c r="O1108" s="698"/>
      <c r="P1108" s="698"/>
    </row>
    <row r="1109" spans="2:16" s="697" customFormat="1">
      <c r="B1109" s="711"/>
      <c r="C1109" s="711"/>
      <c r="D1109" s="711"/>
      <c r="E1109" s="711"/>
      <c r="F1109" s="711"/>
      <c r="G1109" s="711"/>
      <c r="H1109" s="242"/>
      <c r="I1109" s="711"/>
      <c r="J1109" s="711"/>
      <c r="N1109" s="698"/>
      <c r="O1109" s="698"/>
      <c r="P1109" s="698"/>
    </row>
    <row r="1110" spans="2:16" s="697" customFormat="1">
      <c r="B1110" s="711"/>
      <c r="C1110" s="711"/>
      <c r="D1110" s="711"/>
      <c r="E1110" s="711"/>
      <c r="F1110" s="711"/>
      <c r="G1110" s="711"/>
      <c r="H1110" s="242"/>
      <c r="I1110" s="711"/>
      <c r="J1110" s="711"/>
      <c r="N1110" s="698"/>
      <c r="O1110" s="698"/>
      <c r="P1110" s="698"/>
    </row>
    <row r="1111" spans="2:16" s="697" customFormat="1">
      <c r="B1111" s="711"/>
      <c r="C1111" s="711"/>
      <c r="D1111" s="711"/>
      <c r="E1111" s="711"/>
      <c r="F1111" s="711"/>
      <c r="G1111" s="711"/>
      <c r="H1111" s="241"/>
      <c r="I1111" s="711"/>
      <c r="J1111" s="711"/>
      <c r="N1111" s="698"/>
      <c r="O1111" s="698"/>
      <c r="P1111" s="698"/>
    </row>
    <row r="1112" spans="2:16" s="697" customFormat="1">
      <c r="B1112" s="711"/>
      <c r="C1112" s="711"/>
      <c r="D1112" s="711"/>
      <c r="E1112" s="711"/>
      <c r="F1112" s="711"/>
      <c r="G1112" s="711"/>
      <c r="H1112" s="242"/>
      <c r="I1112" s="711"/>
      <c r="J1112" s="711"/>
      <c r="N1112" s="698"/>
      <c r="O1112" s="698"/>
      <c r="P1112" s="698"/>
    </row>
    <row r="1113" spans="2:16" s="697" customFormat="1">
      <c r="B1113" s="711"/>
      <c r="C1113" s="711"/>
      <c r="D1113" s="711"/>
      <c r="E1113" s="711"/>
      <c r="F1113" s="711"/>
      <c r="G1113" s="711"/>
      <c r="H1113" s="242"/>
      <c r="I1113" s="711"/>
      <c r="J1113" s="711"/>
      <c r="N1113" s="698"/>
      <c r="O1113" s="698"/>
      <c r="P1113" s="698"/>
    </row>
    <row r="1114" spans="2:16" s="697" customFormat="1">
      <c r="B1114" s="711"/>
      <c r="C1114" s="711"/>
      <c r="D1114" s="711"/>
      <c r="E1114" s="711"/>
      <c r="F1114" s="711"/>
      <c r="G1114" s="711"/>
      <c r="H1114" s="241"/>
      <c r="I1114" s="711"/>
      <c r="J1114" s="711"/>
      <c r="N1114" s="698"/>
      <c r="O1114" s="698"/>
      <c r="P1114" s="698"/>
    </row>
    <row r="1115" spans="2:16" s="697" customFormat="1">
      <c r="B1115" s="711"/>
      <c r="C1115" s="711"/>
      <c r="D1115" s="711"/>
      <c r="E1115" s="711"/>
      <c r="F1115" s="711"/>
      <c r="G1115" s="711"/>
      <c r="H1115" s="241"/>
      <c r="I1115" s="711"/>
      <c r="J1115" s="711"/>
      <c r="N1115" s="698"/>
      <c r="O1115" s="698"/>
      <c r="P1115" s="698"/>
    </row>
    <row r="1116" spans="2:16" s="697" customFormat="1">
      <c r="B1116" s="711"/>
      <c r="C1116" s="711"/>
      <c r="D1116" s="711"/>
      <c r="E1116" s="711"/>
      <c r="F1116" s="711"/>
      <c r="G1116" s="711"/>
      <c r="H1116" s="242"/>
      <c r="I1116" s="711"/>
      <c r="J1116" s="711"/>
      <c r="N1116" s="698"/>
      <c r="O1116" s="698"/>
      <c r="P1116" s="698"/>
    </row>
    <row r="1117" spans="2:16" s="697" customFormat="1">
      <c r="B1117" s="711"/>
      <c r="C1117" s="711"/>
      <c r="D1117" s="711"/>
      <c r="E1117" s="711"/>
      <c r="F1117" s="711"/>
      <c r="G1117" s="711"/>
      <c r="H1117" s="241"/>
      <c r="I1117" s="711"/>
      <c r="J1117" s="711"/>
      <c r="N1117" s="698"/>
      <c r="O1117" s="698"/>
      <c r="P1117" s="698"/>
    </row>
    <row r="1118" spans="2:16" s="697" customFormat="1">
      <c r="B1118" s="711"/>
      <c r="C1118" s="711"/>
      <c r="D1118" s="711"/>
      <c r="E1118" s="711"/>
      <c r="F1118" s="711"/>
      <c r="G1118" s="711"/>
      <c r="H1118" s="241"/>
      <c r="I1118" s="711"/>
      <c r="J1118" s="711"/>
      <c r="N1118" s="698"/>
      <c r="O1118" s="698"/>
      <c r="P1118" s="698"/>
    </row>
    <row r="1119" spans="2:16" s="697" customFormat="1">
      <c r="B1119" s="711"/>
      <c r="C1119" s="711"/>
      <c r="D1119" s="711"/>
      <c r="E1119" s="711"/>
      <c r="F1119" s="711"/>
      <c r="G1119" s="711"/>
      <c r="H1119" s="241"/>
      <c r="I1119" s="711"/>
      <c r="J1119" s="711"/>
      <c r="N1119" s="698"/>
      <c r="O1119" s="698"/>
      <c r="P1119" s="698"/>
    </row>
    <row r="1120" spans="2:16" s="697" customFormat="1">
      <c r="B1120" s="711"/>
      <c r="C1120" s="711"/>
      <c r="D1120" s="711"/>
      <c r="E1120" s="711"/>
      <c r="F1120" s="711"/>
      <c r="G1120" s="711"/>
      <c r="H1120" s="241"/>
      <c r="I1120" s="711"/>
      <c r="J1120" s="711"/>
      <c r="N1120" s="698"/>
      <c r="O1120" s="698"/>
      <c r="P1120" s="698"/>
    </row>
    <row r="1121" spans="2:16" s="697" customFormat="1">
      <c r="B1121" s="711"/>
      <c r="C1121" s="711"/>
      <c r="D1121" s="711"/>
      <c r="E1121" s="711"/>
      <c r="F1121" s="711"/>
      <c r="G1121" s="711"/>
      <c r="H1121" s="241"/>
      <c r="I1121" s="711"/>
      <c r="J1121" s="711"/>
      <c r="N1121" s="698"/>
      <c r="O1121" s="698"/>
      <c r="P1121" s="698"/>
    </row>
    <row r="1122" spans="2:16" s="697" customFormat="1">
      <c r="B1122" s="711"/>
      <c r="C1122" s="711"/>
      <c r="D1122" s="711"/>
      <c r="E1122" s="711"/>
      <c r="F1122" s="711"/>
      <c r="G1122" s="711"/>
      <c r="H1122" s="241"/>
      <c r="I1122" s="711"/>
      <c r="J1122" s="711"/>
      <c r="N1122" s="698"/>
      <c r="O1122" s="698"/>
      <c r="P1122" s="698"/>
    </row>
    <row r="1123" spans="2:16" s="697" customFormat="1">
      <c r="B1123" s="711"/>
      <c r="C1123" s="711"/>
      <c r="D1123" s="711"/>
      <c r="E1123" s="711"/>
      <c r="F1123" s="711"/>
      <c r="G1123" s="711"/>
      <c r="H1123" s="241"/>
      <c r="I1123" s="711"/>
      <c r="J1123" s="711"/>
      <c r="N1123" s="698"/>
      <c r="O1123" s="698"/>
      <c r="P1123" s="698"/>
    </row>
    <row r="1124" spans="2:16" s="697" customFormat="1">
      <c r="B1124" s="711"/>
      <c r="C1124" s="711"/>
      <c r="D1124" s="711"/>
      <c r="E1124" s="711"/>
      <c r="F1124" s="711"/>
      <c r="G1124" s="711"/>
      <c r="H1124" s="241"/>
      <c r="I1124" s="711"/>
      <c r="J1124" s="711"/>
      <c r="N1124" s="698"/>
      <c r="O1124" s="698"/>
      <c r="P1124" s="698"/>
    </row>
    <row r="1125" spans="2:16" s="697" customFormat="1">
      <c r="B1125" s="711"/>
      <c r="C1125" s="711"/>
      <c r="D1125" s="711"/>
      <c r="E1125" s="711"/>
      <c r="F1125" s="711"/>
      <c r="G1125" s="711"/>
      <c r="H1125" s="241"/>
      <c r="I1125" s="711"/>
      <c r="J1125" s="711"/>
      <c r="N1125" s="698"/>
      <c r="O1125" s="698"/>
      <c r="P1125" s="698"/>
    </row>
    <row r="1126" spans="2:16" s="697" customFormat="1">
      <c r="B1126" s="711"/>
      <c r="C1126" s="711"/>
      <c r="D1126" s="711"/>
      <c r="E1126" s="711"/>
      <c r="F1126" s="711"/>
      <c r="G1126" s="711"/>
      <c r="H1126" s="241"/>
      <c r="I1126" s="711"/>
      <c r="J1126" s="711"/>
      <c r="N1126" s="698"/>
      <c r="O1126" s="698"/>
      <c r="P1126" s="698"/>
    </row>
    <row r="1127" spans="2:16" s="697" customFormat="1">
      <c r="B1127" s="711"/>
      <c r="C1127" s="711"/>
      <c r="D1127" s="711"/>
      <c r="E1127" s="711"/>
      <c r="F1127" s="711"/>
      <c r="G1127" s="711"/>
      <c r="H1127" s="241"/>
      <c r="I1127" s="711"/>
      <c r="J1127" s="711"/>
      <c r="N1127" s="698"/>
      <c r="O1127" s="698"/>
      <c r="P1127" s="698"/>
    </row>
    <row r="1128" spans="2:16" s="697" customFormat="1">
      <c r="B1128" s="711"/>
      <c r="C1128" s="711"/>
      <c r="D1128" s="711"/>
      <c r="E1128" s="711"/>
      <c r="F1128" s="711"/>
      <c r="G1128" s="711"/>
      <c r="H1128" s="241"/>
      <c r="I1128" s="711"/>
      <c r="J1128" s="711"/>
      <c r="N1128" s="698"/>
      <c r="O1128" s="698"/>
      <c r="P1128" s="698"/>
    </row>
    <row r="1129" spans="2:16" s="697" customFormat="1">
      <c r="B1129" s="711"/>
      <c r="C1129" s="711"/>
      <c r="D1129" s="711"/>
      <c r="E1129" s="711"/>
      <c r="F1129" s="711"/>
      <c r="G1129" s="711"/>
      <c r="H1129" s="241"/>
      <c r="I1129" s="711"/>
      <c r="J1129" s="711"/>
      <c r="N1129" s="698"/>
      <c r="O1129" s="698"/>
      <c r="P1129" s="698"/>
    </row>
    <row r="1130" spans="2:16" s="697" customFormat="1">
      <c r="B1130" s="711"/>
      <c r="C1130" s="711"/>
      <c r="D1130" s="711"/>
      <c r="E1130" s="711"/>
      <c r="F1130" s="711"/>
      <c r="G1130" s="711"/>
      <c r="H1130" s="241"/>
      <c r="I1130" s="711"/>
      <c r="J1130" s="711"/>
      <c r="N1130" s="698"/>
      <c r="O1130" s="698"/>
      <c r="P1130" s="698"/>
    </row>
    <row r="1131" spans="2:16" s="697" customFormat="1">
      <c r="B1131" s="711"/>
      <c r="C1131" s="711"/>
      <c r="D1131" s="711"/>
      <c r="E1131" s="711"/>
      <c r="F1131" s="711"/>
      <c r="G1131" s="711"/>
      <c r="H1131" s="241"/>
      <c r="I1131" s="711"/>
      <c r="J1131" s="711"/>
      <c r="N1131" s="698"/>
      <c r="O1131" s="698"/>
      <c r="P1131" s="698"/>
    </row>
    <row r="1132" spans="2:16" s="697" customFormat="1">
      <c r="B1132" s="711"/>
      <c r="C1132" s="711"/>
      <c r="D1132" s="711"/>
      <c r="E1132" s="711"/>
      <c r="F1132" s="711"/>
      <c r="G1132" s="711"/>
      <c r="H1132" s="241"/>
      <c r="I1132" s="711"/>
      <c r="J1132" s="711"/>
      <c r="N1132" s="698"/>
      <c r="O1132" s="698"/>
      <c r="P1132" s="698"/>
    </row>
    <row r="1133" spans="2:16" s="697" customFormat="1">
      <c r="B1133" s="711"/>
      <c r="C1133" s="711"/>
      <c r="D1133" s="711"/>
      <c r="E1133" s="711"/>
      <c r="F1133" s="711"/>
      <c r="G1133" s="711"/>
      <c r="H1133" s="241"/>
      <c r="I1133" s="711"/>
      <c r="J1133" s="711"/>
      <c r="N1133" s="698"/>
      <c r="O1133" s="698"/>
      <c r="P1133" s="698"/>
    </row>
    <row r="1134" spans="2:16" s="697" customFormat="1">
      <c r="B1134" s="711"/>
      <c r="C1134" s="711"/>
      <c r="D1134" s="711"/>
      <c r="E1134" s="711"/>
      <c r="F1134" s="711"/>
      <c r="G1134" s="711"/>
      <c r="H1134" s="241"/>
      <c r="I1134" s="711"/>
      <c r="J1134" s="711"/>
      <c r="N1134" s="698"/>
      <c r="O1134" s="698"/>
      <c r="P1134" s="698"/>
    </row>
    <row r="1135" spans="2:16" s="697" customFormat="1">
      <c r="B1135" s="711"/>
      <c r="C1135" s="711"/>
      <c r="D1135" s="711"/>
      <c r="E1135" s="711"/>
      <c r="F1135" s="711"/>
      <c r="G1135" s="711"/>
      <c r="H1135" s="241"/>
      <c r="I1135" s="711"/>
      <c r="J1135" s="711"/>
      <c r="N1135" s="698"/>
      <c r="O1135" s="698"/>
      <c r="P1135" s="698"/>
    </row>
    <row r="1136" spans="2:16" s="697" customFormat="1">
      <c r="B1136" s="711"/>
      <c r="C1136" s="711"/>
      <c r="D1136" s="711"/>
      <c r="E1136" s="711"/>
      <c r="F1136" s="711"/>
      <c r="G1136" s="711"/>
      <c r="H1136" s="241"/>
      <c r="I1136" s="711"/>
      <c r="J1136" s="711"/>
      <c r="N1136" s="698"/>
      <c r="O1136" s="698"/>
      <c r="P1136" s="698"/>
    </row>
    <row r="1137" spans="2:16" s="697" customFormat="1">
      <c r="B1137" s="711"/>
      <c r="C1137" s="711"/>
      <c r="D1137" s="711"/>
      <c r="E1137" s="711"/>
      <c r="F1137" s="711"/>
      <c r="G1137" s="711"/>
      <c r="H1137" s="241"/>
      <c r="I1137" s="711"/>
      <c r="J1137" s="711"/>
      <c r="N1137" s="698"/>
      <c r="O1137" s="698"/>
      <c r="P1137" s="698"/>
    </row>
    <row r="1138" spans="2:16" s="697" customFormat="1">
      <c r="B1138" s="711"/>
      <c r="C1138" s="711"/>
      <c r="D1138" s="711"/>
      <c r="E1138" s="711"/>
      <c r="F1138" s="711"/>
      <c r="G1138" s="711"/>
      <c r="H1138" s="241"/>
      <c r="I1138" s="711"/>
      <c r="J1138" s="711"/>
      <c r="N1138" s="698"/>
      <c r="O1138" s="698"/>
      <c r="P1138" s="698"/>
    </row>
    <row r="1139" spans="2:16" s="697" customFormat="1">
      <c r="B1139" s="711"/>
      <c r="C1139" s="711"/>
      <c r="D1139" s="711"/>
      <c r="E1139" s="711"/>
      <c r="F1139" s="711"/>
      <c r="G1139" s="711"/>
      <c r="H1139" s="241"/>
      <c r="I1139" s="711"/>
      <c r="J1139" s="711"/>
      <c r="N1139" s="698"/>
      <c r="O1139" s="698"/>
      <c r="P1139" s="698"/>
    </row>
    <row r="1140" spans="2:16" s="697" customFormat="1">
      <c r="B1140" s="711"/>
      <c r="C1140" s="711"/>
      <c r="D1140" s="711"/>
      <c r="E1140" s="711"/>
      <c r="F1140" s="711"/>
      <c r="G1140" s="711"/>
      <c r="H1140" s="241"/>
      <c r="I1140" s="711"/>
      <c r="J1140" s="711"/>
      <c r="N1140" s="698"/>
      <c r="O1140" s="698"/>
      <c r="P1140" s="698"/>
    </row>
    <row r="1141" spans="2:16" s="697" customFormat="1">
      <c r="B1141" s="711"/>
      <c r="C1141" s="711"/>
      <c r="D1141" s="711"/>
      <c r="E1141" s="711"/>
      <c r="F1141" s="711"/>
      <c r="G1141" s="711"/>
      <c r="H1141" s="241"/>
      <c r="I1141" s="711"/>
      <c r="J1141" s="711"/>
      <c r="N1141" s="698"/>
      <c r="O1141" s="698"/>
      <c r="P1141" s="698"/>
    </row>
    <row r="1142" spans="2:16" s="697" customFormat="1">
      <c r="B1142" s="711"/>
      <c r="C1142" s="711"/>
      <c r="D1142" s="711"/>
      <c r="E1142" s="711"/>
      <c r="F1142" s="711"/>
      <c r="G1142" s="711"/>
      <c r="H1142" s="241"/>
      <c r="I1142" s="711"/>
      <c r="J1142" s="711"/>
      <c r="N1142" s="698"/>
      <c r="O1142" s="698"/>
      <c r="P1142" s="698"/>
    </row>
    <row r="1143" spans="2:16" s="697" customFormat="1">
      <c r="B1143" s="711"/>
      <c r="C1143" s="711"/>
      <c r="D1143" s="711"/>
      <c r="E1143" s="711"/>
      <c r="F1143" s="711"/>
      <c r="G1143" s="711"/>
      <c r="H1143" s="241"/>
      <c r="I1143" s="711"/>
      <c r="J1143" s="711"/>
      <c r="N1143" s="698"/>
      <c r="O1143" s="698"/>
      <c r="P1143" s="698"/>
    </row>
    <row r="1144" spans="2:16">
      <c r="H1144" s="241"/>
    </row>
    <row r="1145" spans="2:16">
      <c r="H1145" s="241"/>
    </row>
    <row r="1146" spans="2:16">
      <c r="H1146" s="241"/>
    </row>
    <row r="1147" spans="2:16">
      <c r="H1147" s="241"/>
    </row>
    <row r="1148" spans="2:16">
      <c r="H1148" s="241"/>
    </row>
    <row r="1149" spans="2:16">
      <c r="H1149" s="241"/>
    </row>
    <row r="1150" spans="2:16">
      <c r="H1150" s="241"/>
    </row>
    <row r="1151" spans="2:16">
      <c r="H1151" s="241"/>
    </row>
    <row r="1152" spans="2:16">
      <c r="H1152" s="145"/>
    </row>
    <row r="1153" spans="8:8">
      <c r="H1153" s="145"/>
    </row>
    <row r="1154" spans="8:8">
      <c r="H1154" s="145"/>
    </row>
    <row r="1155" spans="8:8">
      <c r="H1155" s="145"/>
    </row>
    <row r="1156" spans="8:8">
      <c r="H1156" s="145"/>
    </row>
    <row r="1157" spans="8:8">
      <c r="H1157" s="605"/>
    </row>
    <row r="1158" spans="8:8">
      <c r="H1158" s="605"/>
    </row>
    <row r="1159" spans="8:8">
      <c r="H1159" s="605"/>
    </row>
    <row r="1160" spans="8:8">
      <c r="H1160" s="605"/>
    </row>
    <row r="1161" spans="8:8">
      <c r="H1161" s="605"/>
    </row>
    <row r="1162" spans="8:8">
      <c r="H1162" s="605"/>
    </row>
    <row r="1163" spans="8:8">
      <c r="H1163" s="605"/>
    </row>
    <row r="1164" spans="8:8">
      <c r="H1164" s="605"/>
    </row>
    <row r="1165" spans="8:8">
      <c r="H1165" s="605"/>
    </row>
    <row r="1166" spans="8:8">
      <c r="H1166" s="605"/>
    </row>
    <row r="1167" spans="8:8">
      <c r="H1167" s="605"/>
    </row>
    <row r="1168" spans="8:8">
      <c r="H1168" s="605"/>
    </row>
    <row r="1169" spans="8:8">
      <c r="H1169" s="605"/>
    </row>
    <row r="1170" spans="8:8">
      <c r="H1170" s="605"/>
    </row>
    <row r="1171" spans="8:8">
      <c r="H1171" s="605"/>
    </row>
    <row r="1172" spans="8:8">
      <c r="H1172" s="605"/>
    </row>
    <row r="1173" spans="8:8">
      <c r="H1173" s="605"/>
    </row>
    <row r="1174" spans="8:8">
      <c r="H1174" s="605"/>
    </row>
    <row r="1175" spans="8:8">
      <c r="H1175" s="605"/>
    </row>
    <row r="1176" spans="8:8">
      <c r="H1176" s="605"/>
    </row>
    <row r="1177" spans="8:8">
      <c r="H1177" s="605"/>
    </row>
    <row r="1178" spans="8:8">
      <c r="H1178" s="605"/>
    </row>
    <row r="1179" spans="8:8">
      <c r="H1179" s="605"/>
    </row>
    <row r="1180" spans="8:8">
      <c r="H1180" s="605"/>
    </row>
    <row r="1181" spans="8:8">
      <c r="H1181" s="605"/>
    </row>
    <row r="1182" spans="8:8">
      <c r="H1182" s="605"/>
    </row>
    <row r="1183" spans="8:8">
      <c r="H1183" s="605"/>
    </row>
    <row r="1184" spans="8:8">
      <c r="H1184" s="605"/>
    </row>
    <row r="1185" spans="8:8">
      <c r="H1185" s="605"/>
    </row>
    <row r="1186" spans="8:8">
      <c r="H1186" s="605"/>
    </row>
    <row r="1187" spans="8:8">
      <c r="H1187" s="605"/>
    </row>
    <row r="1188" spans="8:8">
      <c r="H1188" s="605"/>
    </row>
    <row r="1189" spans="8:8">
      <c r="H1189" s="605"/>
    </row>
    <row r="1190" spans="8:8">
      <c r="H1190" s="605"/>
    </row>
    <row r="1191" spans="8:8">
      <c r="H1191" s="605"/>
    </row>
    <row r="1192" spans="8:8">
      <c r="H1192" s="605"/>
    </row>
    <row r="1193" spans="8:8">
      <c r="H1193" s="605"/>
    </row>
    <row r="1194" spans="8:8">
      <c r="H1194" s="605"/>
    </row>
    <row r="1195" spans="8:8">
      <c r="H1195" s="605"/>
    </row>
    <row r="1196" spans="8:8">
      <c r="H1196" s="605"/>
    </row>
    <row r="1197" spans="8:8">
      <c r="H1197" s="605"/>
    </row>
    <row r="1198" spans="8:8">
      <c r="H1198" s="605"/>
    </row>
    <row r="1199" spans="8:8">
      <c r="H1199" s="605"/>
    </row>
  </sheetData>
  <mergeCells count="85">
    <mergeCell ref="B73:C73"/>
    <mergeCell ref="D73:E73"/>
    <mergeCell ref="F73:G73"/>
    <mergeCell ref="H73:H74"/>
    <mergeCell ref="A79:A80"/>
    <mergeCell ref="H79:H80"/>
    <mergeCell ref="B80:C80"/>
    <mergeCell ref="D80:E80"/>
    <mergeCell ref="F80:G80"/>
    <mergeCell ref="H67:H68"/>
    <mergeCell ref="B68:C68"/>
    <mergeCell ref="D68:E68"/>
    <mergeCell ref="F68:G68"/>
    <mergeCell ref="A72:H72"/>
    <mergeCell ref="A55:H55"/>
    <mergeCell ref="A59:C59"/>
    <mergeCell ref="D59:E59"/>
    <mergeCell ref="A61:H61"/>
    <mergeCell ref="B62:C62"/>
    <mergeCell ref="D62:E62"/>
    <mergeCell ref="F62:G62"/>
    <mergeCell ref="H62:H63"/>
    <mergeCell ref="C46:D46"/>
    <mergeCell ref="E46:F46"/>
    <mergeCell ref="G46:H46"/>
    <mergeCell ref="G48:H48"/>
    <mergeCell ref="A54:H54"/>
    <mergeCell ref="N38:N39"/>
    <mergeCell ref="B39:C39"/>
    <mergeCell ref="D39:E39"/>
    <mergeCell ref="F39:G39"/>
    <mergeCell ref="L39:M39"/>
    <mergeCell ref="H38:H39"/>
    <mergeCell ref="H27:H28"/>
    <mergeCell ref="N27:N28"/>
    <mergeCell ref="B28:C28"/>
    <mergeCell ref="D28:E28"/>
    <mergeCell ref="F28:G28"/>
    <mergeCell ref="L28:M28"/>
    <mergeCell ref="N15:N16"/>
    <mergeCell ref="B16:C16"/>
    <mergeCell ref="D16:E16"/>
    <mergeCell ref="F16:G16"/>
    <mergeCell ref="L16:M16"/>
    <mergeCell ref="H15:H16"/>
    <mergeCell ref="N13:N14"/>
    <mergeCell ref="B14:C14"/>
    <mergeCell ref="D14:E14"/>
    <mergeCell ref="F14:G14"/>
    <mergeCell ref="L14:M14"/>
    <mergeCell ref="H13:H14"/>
    <mergeCell ref="L3:M3"/>
    <mergeCell ref="N3:N4"/>
    <mergeCell ref="H9:H10"/>
    <mergeCell ref="N9:N10"/>
    <mergeCell ref="D10:E10"/>
    <mergeCell ref="F10:G10"/>
    <mergeCell ref="L10:M10"/>
    <mergeCell ref="B3:C3"/>
    <mergeCell ref="D3:E3"/>
    <mergeCell ref="F3:G3"/>
    <mergeCell ref="A1:H1"/>
    <mergeCell ref="A2:H2"/>
    <mergeCell ref="H3:H4"/>
    <mergeCell ref="A41:A42"/>
    <mergeCell ref="H41:H42"/>
    <mergeCell ref="M216:U216"/>
    <mergeCell ref="M129:U129"/>
    <mergeCell ref="M95:U95"/>
    <mergeCell ref="G82:H82"/>
    <mergeCell ref="N41:N42"/>
    <mergeCell ref="B42:C42"/>
    <mergeCell ref="D42:E42"/>
    <mergeCell ref="F42:G42"/>
    <mergeCell ref="L42:M42"/>
    <mergeCell ref="A44:B44"/>
    <mergeCell ref="A45:B46"/>
    <mergeCell ref="C45:D45"/>
    <mergeCell ref="E45:F45"/>
    <mergeCell ref="G45:H45"/>
    <mergeCell ref="M626:U626"/>
    <mergeCell ref="M616:U616"/>
    <mergeCell ref="M531:U531"/>
    <mergeCell ref="M447:U447"/>
    <mergeCell ref="M331:U331"/>
  </mergeCells>
  <conditionalFormatting sqref="I473 I485:I487 I344:I351 H373:H377 I281:I287 H254 H277:I280 D378:H418 D288:I288 I629 I356:I366 H458:H471 I134:I148 H293:H298 G517:H524 H255:I268 H610:H611 I289:I297 I490:I492 G516 G525:G530 D419:G515 H474:I480 D218:G287 D289:G377 D531:G629 D516:F530 D207:G208 D187:F206 D209:F217 H526 H419:H449 H271:I274 H138:H148 I528:I536 H603:I604 I506:I516 H481:H502 I494:I502 I217:I245 I182:I187 H282:H287 H289:H290 I249:I254 I269:I270 I125:I126 I370:I463 L610:L611 L580 L448 L526 L418 L427:L432 L434:L441 L450:L452 L247 L259 L254:L255 L297 L288 L249:L251 L272 L295 L614 L616:L618 L290 L591:L595 I538:I602 I606:I621">
    <cfRule type="expression" dxfId="1857" priority="1837" stopIfTrue="1">
      <formula>#REF!=""</formula>
    </cfRule>
  </conditionalFormatting>
  <conditionalFormatting sqref="F285:F287 E253:E274 E276:E298">
    <cfRule type="expression" dxfId="1856" priority="1836" stopIfTrue="1">
      <formula>#REF!=""</formula>
    </cfRule>
  </conditionalFormatting>
  <conditionalFormatting sqref="F285:F287 E253:E274 E276:E298">
    <cfRule type="expression" dxfId="1855" priority="1835" stopIfTrue="1">
      <formula>#REF!=""</formula>
    </cfRule>
  </conditionalFormatting>
  <conditionalFormatting sqref="I344:I352 I490:I493 I495 I217:I245 I249:I271 I356:I463 L419:L421 L448:L452 L427:L441 L247 L259 L254:L255 L407:L409 L249:L251 L616:L622 L591:L614 L564:L583 I511:I604 I606:I629">
    <cfRule type="containsText" dxfId="1854" priority="1823" stopIfTrue="1" operator="containsText" text="خارجية">
      <formula>NOT(ISERROR(SEARCH("خارجية",I217)))</formula>
    </cfRule>
    <cfRule type="containsText" dxfId="1853" priority="1824" stopIfTrue="1" operator="containsText" text="ن داخلية">
      <formula>NOT(ISERROR(SEARCH("ن داخلية",I217)))</formula>
    </cfRule>
    <cfRule type="containsText" dxfId="1852" priority="1825" stopIfTrue="1" operator="containsText" text="داخلية">
      <formula>NOT(ISERROR(SEARCH("داخلية",I217)))</formula>
    </cfRule>
    <cfRule type="containsText" dxfId="1851" priority="1826" stopIfTrue="1" operator="containsText" text="ن داخلية">
      <formula>NOT(ISERROR(SEARCH("ن داخلية",I217)))</formula>
    </cfRule>
    <cfRule type="containsText" dxfId="1850" priority="1827" stopIfTrue="1" operator="containsText" text="داخلية">
      <formula>NOT(ISERROR(SEARCH("داخلية",I217)))</formula>
    </cfRule>
    <cfRule type="cellIs" dxfId="1849" priority="1828" stopIfTrue="1" operator="equal">
      <formula>"ن داخلي"</formula>
    </cfRule>
    <cfRule type="cellIs" dxfId="1848" priority="1829" stopIfTrue="1" operator="equal">
      <formula>"ن داخلية"</formula>
    </cfRule>
    <cfRule type="cellIs" dxfId="1847" priority="1830" stopIfTrue="1" operator="equal">
      <formula>#REF!</formula>
    </cfRule>
    <cfRule type="cellIs" dxfId="1846" priority="1831" stopIfTrue="1" operator="equal">
      <formula>#REF!</formula>
    </cfRule>
    <cfRule type="cellIs" dxfId="1845" priority="1832" stopIfTrue="1" operator="equal">
      <formula>#REF!</formula>
    </cfRule>
    <cfRule type="cellIs" dxfId="1844" priority="1833" stopIfTrue="1" operator="equal">
      <formula>#REF!</formula>
    </cfRule>
    <cfRule type="cellIs" dxfId="1843" priority="1834" stopIfTrue="1" operator="equal">
      <formula>"داخلية"</formula>
    </cfRule>
  </conditionalFormatting>
  <conditionalFormatting sqref="I344:I352 I490:I493 I495 I217:I245 I249:I271 I356:I463 L419:L421 L448:L452 L427:L441 L247 L259 L254:L255 L407:L409 L249:L251 L616:L622 L591:L614 L564:L583 I511:I604 I606:I629">
    <cfRule type="containsText" dxfId="1842" priority="1821" stopIfTrue="1" operator="containsText" text="خارجية">
      <formula>NOT(ISERROR(SEARCH("خارجية",I217)))</formula>
    </cfRule>
    <cfRule type="containsText" dxfId="1841" priority="1822" stopIfTrue="1" operator="containsText" text="خارجي">
      <formula>NOT(ISERROR(SEARCH("خارجي",I217)))</formula>
    </cfRule>
  </conditionalFormatting>
  <conditionalFormatting sqref="I424 I420 I422 I430 I426">
    <cfRule type="expression" dxfId="1840" priority="1820" stopIfTrue="1">
      <formula>IF(ROW(#REF!)&lt;=#REF!,"",1)=1</formula>
    </cfRule>
  </conditionalFormatting>
  <conditionalFormatting sqref="H603:I603 I493 I357:I364 H457:H469 I288:I294 H259:I265 D400:I400 H269 H291:H296 G523:G531 D494:I500 D519:H519 G516:H518 G520:H522 D520:F531 D532:G611 D501:F518 G501:G515 F470:G471 D479:F493 G475:G493 D401:G469 G472:G473 F472:F478 D470:E478 H479:H491 H281:I287 H386:H399 H401:H438 I531:I534 I526:I529 I504:I512 I488:I489 I266:I269 H270:I272 I368:I371 I378:I380 I385:I399 I401:I458 I251:I258 D258:H258 I548:I555 H608:H609 I221:I243 D259:G399 D222:G257 D190:F197 I137:I148 H140:H148 I184:I187 I125:I126 D207:G208 D201:F206 D209:F216 I558:I602 I604 I606:I611">
    <cfRule type="expression" dxfId="1839" priority="1819" stopIfTrue="1">
      <formula>#REF!=""</formula>
    </cfRule>
  </conditionalFormatting>
  <conditionalFormatting sqref="F284:F285 E257:E272 E280:E296">
    <cfRule type="expression" dxfId="1838" priority="1818" stopIfTrue="1">
      <formula>#REF!=""</formula>
    </cfRule>
  </conditionalFormatting>
  <conditionalFormatting sqref="F284:F285 E257:E272 E280:E296">
    <cfRule type="expression" dxfId="1837" priority="1817" stopIfTrue="1">
      <formula>#REF!=""</formula>
    </cfRule>
  </conditionalFormatting>
  <conditionalFormatting sqref="I342:I350 I488:I491 I354:I458 I247:I269 I216:I243 I509:I604 I606:I611">
    <cfRule type="containsText" dxfId="1836" priority="1805" stopIfTrue="1" operator="containsText" text="خارجية">
      <formula>NOT(ISERROR(SEARCH("خارجية",I216)))</formula>
    </cfRule>
    <cfRule type="containsText" dxfId="1835" priority="1806" stopIfTrue="1" operator="containsText" text="ن داخلية">
      <formula>NOT(ISERROR(SEARCH("ن داخلية",I216)))</formula>
    </cfRule>
    <cfRule type="containsText" dxfId="1834" priority="1807" stopIfTrue="1" operator="containsText" text="داخلية">
      <formula>NOT(ISERROR(SEARCH("داخلية",I216)))</formula>
    </cfRule>
    <cfRule type="containsText" dxfId="1833" priority="1808" stopIfTrue="1" operator="containsText" text="ن داخلية">
      <formula>NOT(ISERROR(SEARCH("ن داخلية",I216)))</formula>
    </cfRule>
    <cfRule type="containsText" dxfId="1832" priority="1809" stopIfTrue="1" operator="containsText" text="داخلية">
      <formula>NOT(ISERROR(SEARCH("داخلية",I216)))</formula>
    </cfRule>
    <cfRule type="cellIs" dxfId="1831" priority="1810" stopIfTrue="1" operator="equal">
      <formula>"ن داخلي"</formula>
    </cfRule>
    <cfRule type="cellIs" dxfId="1830" priority="1811" stopIfTrue="1" operator="equal">
      <formula>"ن داخلية"</formula>
    </cfRule>
    <cfRule type="cellIs" dxfId="1829" priority="1812" stopIfTrue="1" operator="equal">
      <formula>#REF!</formula>
    </cfRule>
    <cfRule type="cellIs" dxfId="1828" priority="1813" stopIfTrue="1" operator="equal">
      <formula>#REF!</formula>
    </cfRule>
    <cfRule type="cellIs" dxfId="1827" priority="1814" stopIfTrue="1" operator="equal">
      <formula>#REF!</formula>
    </cfRule>
    <cfRule type="cellIs" dxfId="1826" priority="1815" stopIfTrue="1" operator="equal">
      <formula>#REF!</formula>
    </cfRule>
    <cfRule type="cellIs" dxfId="1825" priority="1816" stopIfTrue="1" operator="equal">
      <formula>"داخلية"</formula>
    </cfRule>
  </conditionalFormatting>
  <conditionalFormatting sqref="I342:I350 I488:I491 I354:I458 I247:I269 I216:I243 I509:I604 I606:I611">
    <cfRule type="containsText" dxfId="1824" priority="1803" stopIfTrue="1" operator="containsText" text="خارجية">
      <formula>NOT(ISERROR(SEARCH("خارجية",I216)))</formula>
    </cfRule>
    <cfRule type="containsText" dxfId="1823" priority="1804" stopIfTrue="1" operator="containsText" text="خارجي">
      <formula>NOT(ISERROR(SEARCH("خارجي",I216)))</formula>
    </cfRule>
  </conditionalFormatting>
  <conditionalFormatting sqref="I422 I418 I424 I420">
    <cfRule type="expression" dxfId="1822" priority="1802" stopIfTrue="1">
      <formula>IF(ROW(#REF!)&lt;=#REF!,"",1)=1</formula>
    </cfRule>
  </conditionalFormatting>
  <conditionalFormatting sqref="D549:G549">
    <cfRule type="expression" dxfId="1821" priority="1801" stopIfTrue="1">
      <formula>#REF!=""</formula>
    </cfRule>
  </conditionalFormatting>
  <conditionalFormatting sqref="D549:G549">
    <cfRule type="expression" dxfId="1820" priority="1800" stopIfTrue="1">
      <formula>#REF!=""</formula>
    </cfRule>
  </conditionalFormatting>
  <conditionalFormatting sqref="D549:G549">
    <cfRule type="expression" dxfId="1819" priority="1799" stopIfTrue="1">
      <formula>#REF!=""</formula>
    </cfRule>
  </conditionalFormatting>
  <conditionalFormatting sqref="D549:G549">
    <cfRule type="expression" dxfId="1818" priority="1798" stopIfTrue="1">
      <formula>#REF!=""</formula>
    </cfRule>
  </conditionalFormatting>
  <conditionalFormatting sqref="D587:E607 D579:E579 D570:E570 D565:E567 D572:E577 D549:E549 D552:E554 D561:E563 D581:E585 D546:E547 E515:E516 D509:E509 E474 D470:E471 D489:E489 E472 D439:E440 D429:E429 D432:E434 D408:E427 D394:E395 D399:E402 D386:E386 D391:E391 D380:E380 D348:E348 D368:E368 E358 D354:E354 D340:E346 D335:E336 D338:E338 D322:E323 D329:E329 D325:E326 D316:E320 D307:E309 D290 D291:E293 D299:E304 D296:E297 D280:E281 D276:E277 D253:E257 D259:E259 E271 D272:E272 D265:E265 D263:E263 D283:E288 D312:E313">
    <cfRule type="expression" dxfId="1817" priority="1797" stopIfTrue="1">
      <formula>#REF!=""</formula>
    </cfRule>
  </conditionalFormatting>
  <conditionalFormatting sqref="E285 E287">
    <cfRule type="expression" dxfId="1816" priority="1796" stopIfTrue="1">
      <formula>#REF!=""</formula>
    </cfRule>
  </conditionalFormatting>
  <conditionalFormatting sqref="E285 E287">
    <cfRule type="expression" dxfId="1815" priority="1795" stopIfTrue="1">
      <formula>#REF!=""</formula>
    </cfRule>
  </conditionalFormatting>
  <conditionalFormatting sqref="G586 F587:G607 F579 G578 F577:G577 F576 G580 F582 F570:G570 F565:G567 F572:G575 F549:G549 G568:G569 G571 F552:G553 F554 G550:G551 G554:G564 F561:F563 F583:G585 F546:G547 G548 G518 F509:G509 G510:G513 F470:F471 G409:G410 G454 F439:F440 G448:G449 G445:G446 G441 F429:G429 F432:G434 F408:G408 F411:G427 F394:G395 G403:G407 F399:G402 G392:G393 F386:G386 F391:G391 G397 F380:G380 G381:G385 G387:G390 F348 F344:G345 F346 F368 F354 F342:G342 F340:F341 F335:F336 F338 F322:F323 F329 F325:G326 G327 F320:G320 F316 F317:G317 F318:F319 F286 G319 F307:G309 G305 F299:F300 F291:G291 G290 F292:F293 F301:G304 F296:F297 F287:G287 F280:F281 F288 F276:G277 F253:G257 F259:G259 F272 F265:G265 F263:G263 F283:G285 F312:F313">
    <cfRule type="expression" dxfId="1814" priority="1794" stopIfTrue="1">
      <formula>#REF!=""</formula>
    </cfRule>
  </conditionalFormatting>
  <conditionalFormatting sqref="H287">
    <cfRule type="expression" dxfId="1813" priority="1793" stopIfTrue="1">
      <formula>#REF!=""</formula>
    </cfRule>
  </conditionalFormatting>
  <conditionalFormatting sqref="I607 I583 I573:I577 I549 I563 I509 I489 I430:I431 I433:I435 I380 I412:I427 I287 I259 I263 I253:I257">
    <cfRule type="expression" dxfId="1812" priority="1792" stopIfTrue="1">
      <formula>#REF!=""</formula>
    </cfRule>
  </conditionalFormatting>
  <conditionalFormatting sqref="I259 I546:I581 I489 I430:I435 I398:I400 I380 I412:I428 I253:I257 I263 I583:I604 I606:I607">
    <cfRule type="containsText" dxfId="1811" priority="1790" stopIfTrue="1" operator="containsText" text="خارجية">
      <formula>NOT(ISERROR(SEARCH("خارجية",I253)))</formula>
    </cfRule>
    <cfRule type="containsText" dxfId="1810" priority="1791" stopIfTrue="1" operator="containsText" text="خارجي">
      <formula>NOT(ISERROR(SEARCH("خارجي",I253)))</formula>
    </cfRule>
  </conditionalFormatting>
  <conditionalFormatting sqref="I263 I546:I581 I489 I430:I435 I398:I400 I380 I412:I428 I253:I257 I259 I583:I604 I606:I607">
    <cfRule type="containsText" dxfId="1809" priority="1778" stopIfTrue="1" operator="containsText" text="خارجية">
      <formula>NOT(ISERROR(SEARCH("خارجية",I253)))</formula>
    </cfRule>
    <cfRule type="containsText" dxfId="1808" priority="1779" stopIfTrue="1" operator="containsText" text="ن داخلية">
      <formula>NOT(ISERROR(SEARCH("ن داخلية",I253)))</formula>
    </cfRule>
    <cfRule type="containsText" dxfId="1807" priority="1780" stopIfTrue="1" operator="containsText" text="داخلية">
      <formula>NOT(ISERROR(SEARCH("داخلية",I253)))</formula>
    </cfRule>
    <cfRule type="containsText" dxfId="1806" priority="1781" stopIfTrue="1" operator="containsText" text="ن داخلية">
      <formula>NOT(ISERROR(SEARCH("ن داخلية",I253)))</formula>
    </cfRule>
    <cfRule type="containsText" dxfId="1805" priority="1782" stopIfTrue="1" operator="containsText" text="داخلية">
      <formula>NOT(ISERROR(SEARCH("داخلية",I253)))</formula>
    </cfRule>
    <cfRule type="cellIs" dxfId="1804" priority="1783" stopIfTrue="1" operator="equal">
      <formula>"ن داخلي"</formula>
    </cfRule>
    <cfRule type="cellIs" dxfId="1803" priority="1784" stopIfTrue="1" operator="equal">
      <formula>"ن داخلية"</formula>
    </cfRule>
    <cfRule type="cellIs" dxfId="1802" priority="1785" stopIfTrue="1" operator="equal">
      <formula>#REF!</formula>
    </cfRule>
    <cfRule type="cellIs" dxfId="1801" priority="1786" stopIfTrue="1" operator="equal">
      <formula>#REF!</formula>
    </cfRule>
    <cfRule type="cellIs" dxfId="1800" priority="1787" stopIfTrue="1" operator="equal">
      <formula>#REF!</formula>
    </cfRule>
    <cfRule type="cellIs" dxfId="1799" priority="1788" stopIfTrue="1" operator="equal">
      <formula>#REF!</formula>
    </cfRule>
    <cfRule type="cellIs" dxfId="1798" priority="1789" stopIfTrue="1" operator="equal">
      <formula>"داخلية"</formula>
    </cfRule>
  </conditionalFormatting>
  <conditionalFormatting sqref="I424 I420">
    <cfRule type="expression" dxfId="1797" priority="1777" stopIfTrue="1">
      <formula>IF(ROW(#REF!)&lt;=#REF!,"",1)=1</formula>
    </cfRule>
  </conditionalFormatting>
  <conditionalFormatting sqref="E530:G536 E508:G508 E486:G486 E469:G469 D510:E510 F485 F487 E483:G484 D523:F527 G523 E480:F482 D480:D484 G488 E511 D505:G505 G507 G515 D493:G493 D498:F500 D476:F478 D468:D471 F468 D502:F504 D506:F506 E529:F529 D529:D535 E491:G492 E490:F490 D490:D491 G526:G529 G476 E538:G542 E537:F537 D537:D542 G495:G499 E494:F497 D494:D495 G466:G468 E247:G250 E373:G373 F363 E349:G351 E339:G339 E322:G323 D376:G376 G371:G372 G374:G375 D405:E405 D243:G243 D232:G237 D241:G241 E251 E272:G273 D463:D466 D366:F366 D355:E355 D457:E459 E456 E460 G456:G460 D364:F364 D362:F362 F456:F466 D461:E462 G463 E374 D370:G370 E406:E407 F405:G407 D543:G607 G518 D520:G520 D515:F519 D521:F521 D509:G509 G510:G513 E474 F470:G471 D489:E489 E463:E468 E470:E472 D454:D456 E454:G455 E408:G452 D406:D452 D394:G396 D398:G404 G392:G393 D384:G386 D389:G391 D392:F392 G397 D380:G381 G377:G379 G382:G383 G387:G388 E342:G347 E348:F348 D368:F368 D356:G361 D352:G354 D342:D350 D340:F341 D328:F338 G329:G338 D324:G327 E321:F321 D321:D323 D279:G320 D274:F278 G276:G277 D252:G261 E271:F271 D271:D273 D263:G270">
    <cfRule type="expression" dxfId="1796" priority="1776" stopIfTrue="1">
      <formula>#REF!=""</formula>
    </cfRule>
  </conditionalFormatting>
  <conditionalFormatting sqref="E285 E287">
    <cfRule type="expression" dxfId="1795" priority="1775" stopIfTrue="1">
      <formula>#REF!=""</formula>
    </cfRule>
  </conditionalFormatting>
  <conditionalFormatting sqref="E285 E287">
    <cfRule type="expression" dxfId="1794" priority="1774" stopIfTrue="1">
      <formula>#REF!=""</formula>
    </cfRule>
  </conditionalFormatting>
  <conditionalFormatting sqref="G586 D587:G607 D579:F579 G578 D577:G577 D576:F576 D581:E581 G580 D582:F582 D570:G570 D565:G567 D572:G575 D549:G549 G568:G569 G571 D552:G553 D554:F554 G550:G551 G554:G564 D561:F563 D583:G585 D546:G547 G548 G518 E515:E516 D509:G509 G510:G513 E474 D470:F471 D489:E489 E472 G409:G410 G454 D439:F440 G448:G449 G445:G446 G441 D429:G429 D432:G434 D408:G408 D411:G427 D409:E410 D394:G395 G403:G407 D399:G402 G392:G393 D386:G386 D391:G391 G397 D380:G380 G381:G385 G387:G390 D348:F348 D344:G345 D343:E343 D346:F346 D368:F368 E358 D354:F354 D342:G342 D340:F341 D335:F336 D338:F338 D322:F323 D329:F329 D325:G326 G327 D320:G320 D316:F316 D317:G317 D318:F319 D286:F286 G319 D307:G309 G305 D299:F300 D291:G291 D290 G290 D292:F293 D301:G304 D296:F297 D287:G287 D280:F281 D288:F288 D276:G277 D253:G257 D259:G259 E271 D272:F272 D265:G265 D263:G263 D283:G285 D312:F313">
    <cfRule type="expression" dxfId="1793" priority="1773" stopIfTrue="1">
      <formula>#REF!=""</formula>
    </cfRule>
  </conditionalFormatting>
  <conditionalFormatting sqref="E285 E287">
    <cfRule type="expression" dxfId="1792" priority="1772" stopIfTrue="1">
      <formula>#REF!=""</formula>
    </cfRule>
  </conditionalFormatting>
  <conditionalFormatting sqref="E285 E287">
    <cfRule type="expression" dxfId="1791" priority="1771" stopIfTrue="1">
      <formula>#REF!=""</formula>
    </cfRule>
  </conditionalFormatting>
  <conditionalFormatting sqref="H520 H483:H489 H413:H419 H428:H437 H285 H270 H292 H294 H421:H426 H287">
    <cfRule type="expression" dxfId="1790" priority="1770" stopIfTrue="1">
      <formula>#REF!=""</formula>
    </cfRule>
  </conditionalFormatting>
  <conditionalFormatting sqref="H287">
    <cfRule type="expression" dxfId="1789" priority="1769" stopIfTrue="1">
      <formula>#REF!=""</formula>
    </cfRule>
  </conditionalFormatting>
  <conditionalFormatting sqref="I589:I601 I581 I560 I532 I505 I527 I451:I453 I455:I457 I294 I396 I241 I267 I270 I370 I398 I231:I237 I292 I392 I585:I586 I606:I607 I583 I570:I578 I549:I550 I563:I564 I509:I510 I489 I380 I406:I449 I287 I263:I264 I252:I261">
    <cfRule type="expression" dxfId="1788" priority="1768" stopIfTrue="1">
      <formula>#REF!=""</formula>
    </cfRule>
  </conditionalFormatting>
  <conditionalFormatting sqref="I510 I388:I390 I370 I241 I231:I237 I392 I396 I267 I489 I398:I401 I380 I406:I457 I252:I261 I263:I264 I543:I604 I606:I607">
    <cfRule type="containsText" dxfId="1787" priority="1756" stopIfTrue="1" operator="containsText" text="خارجية">
      <formula>NOT(ISERROR(SEARCH("خارجية",I231)))</formula>
    </cfRule>
    <cfRule type="containsText" dxfId="1786" priority="1757" stopIfTrue="1" operator="containsText" text="ن داخلية">
      <formula>NOT(ISERROR(SEARCH("ن داخلية",I231)))</formula>
    </cfRule>
    <cfRule type="containsText" dxfId="1785" priority="1758" stopIfTrue="1" operator="containsText" text="داخلية">
      <formula>NOT(ISERROR(SEARCH("داخلية",I231)))</formula>
    </cfRule>
    <cfRule type="containsText" dxfId="1784" priority="1759" stopIfTrue="1" operator="containsText" text="ن داخلية">
      <formula>NOT(ISERROR(SEARCH("ن داخلية",I231)))</formula>
    </cfRule>
    <cfRule type="containsText" dxfId="1783" priority="1760" stopIfTrue="1" operator="containsText" text="داخلية">
      <formula>NOT(ISERROR(SEARCH("داخلية",I231)))</formula>
    </cfRule>
    <cfRule type="cellIs" dxfId="1782" priority="1761" stopIfTrue="1" operator="equal">
      <formula>"ن داخلي"</formula>
    </cfRule>
    <cfRule type="cellIs" dxfId="1781" priority="1762" stopIfTrue="1" operator="equal">
      <formula>"ن داخلية"</formula>
    </cfRule>
    <cfRule type="cellIs" dxfId="1780" priority="1763" stopIfTrue="1" operator="equal">
      <formula>#REF!</formula>
    </cfRule>
    <cfRule type="cellIs" dxfId="1779" priority="1764" stopIfTrue="1" operator="equal">
      <formula>#REF!</formula>
    </cfRule>
    <cfRule type="cellIs" dxfId="1778" priority="1765" stopIfTrue="1" operator="equal">
      <formula>#REF!</formula>
    </cfRule>
    <cfRule type="cellIs" dxfId="1777" priority="1766" stopIfTrue="1" operator="equal">
      <formula>#REF!</formula>
    </cfRule>
    <cfRule type="cellIs" dxfId="1776" priority="1767" stopIfTrue="1" operator="equal">
      <formula>"داخلية"</formula>
    </cfRule>
  </conditionalFormatting>
  <conditionalFormatting sqref="I510 I388:I390 I370 I231:I237 I241 I392 I396 I267 I489 I398:I401 I380 I406:I457 I263:I264 I252:I261 I543:I604 I606:I607">
    <cfRule type="containsText" dxfId="1775" priority="1754" stopIfTrue="1" operator="containsText" text="خارجية">
      <formula>NOT(ISERROR(SEARCH("خارجية",I231)))</formula>
    </cfRule>
    <cfRule type="containsText" dxfId="1774" priority="1755" stopIfTrue="1" operator="containsText" text="خارجي">
      <formula>NOT(ISERROR(SEARCH("خارجي",I231)))</formula>
    </cfRule>
  </conditionalFormatting>
  <conditionalFormatting sqref="I424 I420">
    <cfRule type="expression" dxfId="1773" priority="1753" stopIfTrue="1">
      <formula>IF(ROW(#REF!)&lt;=#REF!,"",1)=1</formula>
    </cfRule>
  </conditionalFormatting>
  <conditionalFormatting sqref="I607 I583 I573:I577 I549 I563 I509 I489 I430:I431 I433:I435 I380 I412:I427 I287 I259 I263 I253:I257">
    <cfRule type="expression" dxfId="1772" priority="1752" stopIfTrue="1">
      <formula>#REF!=""</formula>
    </cfRule>
  </conditionalFormatting>
  <conditionalFormatting sqref="I259 I546:I581 I489 I430:I435 I398:I400 I380 I412:I428 I253:I257 I263 I583:I604 I606:I607">
    <cfRule type="containsText" dxfId="1771" priority="1750" stopIfTrue="1" operator="containsText" text="خارجية">
      <formula>NOT(ISERROR(SEARCH("خارجية",I253)))</formula>
    </cfRule>
    <cfRule type="containsText" dxfId="1770" priority="1751" stopIfTrue="1" operator="containsText" text="خارجي">
      <formula>NOT(ISERROR(SEARCH("خارجي",I253)))</formula>
    </cfRule>
  </conditionalFormatting>
  <conditionalFormatting sqref="I263 I546:I581 I489 I430:I435 I398:I400 I380 I412:I428 I253:I257 I259 I583:I604 I606:I607">
    <cfRule type="containsText" dxfId="1769" priority="1738" stopIfTrue="1" operator="containsText" text="خارجية">
      <formula>NOT(ISERROR(SEARCH("خارجية",I253)))</formula>
    </cfRule>
    <cfRule type="containsText" dxfId="1768" priority="1739" stopIfTrue="1" operator="containsText" text="ن داخلية">
      <formula>NOT(ISERROR(SEARCH("ن داخلية",I253)))</formula>
    </cfRule>
    <cfRule type="containsText" dxfId="1767" priority="1740" stopIfTrue="1" operator="containsText" text="داخلية">
      <formula>NOT(ISERROR(SEARCH("داخلية",I253)))</formula>
    </cfRule>
    <cfRule type="containsText" dxfId="1766" priority="1741" stopIfTrue="1" operator="containsText" text="ن داخلية">
      <formula>NOT(ISERROR(SEARCH("ن داخلية",I253)))</formula>
    </cfRule>
    <cfRule type="containsText" dxfId="1765" priority="1742" stopIfTrue="1" operator="containsText" text="داخلية">
      <formula>NOT(ISERROR(SEARCH("داخلية",I253)))</formula>
    </cfRule>
    <cfRule type="cellIs" dxfId="1764" priority="1743" stopIfTrue="1" operator="equal">
      <formula>"ن داخلي"</formula>
    </cfRule>
    <cfRule type="cellIs" dxfId="1763" priority="1744" stopIfTrue="1" operator="equal">
      <formula>"ن داخلية"</formula>
    </cfRule>
    <cfRule type="cellIs" dxfId="1762" priority="1745" stopIfTrue="1" operator="equal">
      <formula>#REF!</formula>
    </cfRule>
    <cfRule type="cellIs" dxfId="1761" priority="1746" stopIfTrue="1" operator="equal">
      <formula>#REF!</formula>
    </cfRule>
    <cfRule type="cellIs" dxfId="1760" priority="1747" stopIfTrue="1" operator="equal">
      <formula>#REF!</formula>
    </cfRule>
    <cfRule type="cellIs" dxfId="1759" priority="1748" stopIfTrue="1" operator="equal">
      <formula>#REF!</formula>
    </cfRule>
    <cfRule type="cellIs" dxfId="1758" priority="1749" stopIfTrue="1" operator="equal">
      <formula>"داخلية"</formula>
    </cfRule>
  </conditionalFormatting>
  <conditionalFormatting sqref="I424 I420">
    <cfRule type="expression" dxfId="1757" priority="1737" stopIfTrue="1">
      <formula>IF(ROW(#REF!)&lt;=#REF!,"",1)=1</formula>
    </cfRule>
  </conditionalFormatting>
  <conditionalFormatting sqref="E534:G540 E512:G512 E490:G490 E473:G473 D514:E514 F489 F491 E487:G488 D527:F531 G527 E484:F486 D484:D488 G492 D547:G548 E515 D509:G509 G511 G519 D497:G497 D502:F504 D480:F482 D472:D475 F472 D506:F508 D510:F510 E533:F533 D533:D539 E495:G496 E494:F494 D494:D495 G530:G533 G480 E542:G546 E541:F541 D541:D546 D549:F550 G499:G503 E498:F501 D498:D499 G470:G472 D467:D470 D461:E463 E460 E464 G460:G464 F460:F470 D465:E466 G467 E551:F554 G549:G554 G522 D524:G524 D519:F523 D525:F525 D513:G513 G514:G517 E478 F474:G475 D493:E493 E467:E472 E474:E476 D458:D460 E458:G459 D400:G456 E247:G250 E375:G375 F365 E351:G353 E340:G340 E323:G324 D378:G378 G373:G374 G376:G377 D243:G243 D232:G237 D241:G241 E251 E272:G273 D368:F368 D357:E357 D366:F366 D364:F364 E376 D372:G372 D564:G611 D551:D563 E555:G563 D396:G398 G394:G395 D386:G388 D391:G393 D394:F394 G399 D382:G383 G379:G381 G384:G385 G389:G390 E343:G349 E350:F350 D370:F370 D358:G363 D354:G356 D343:D352 D341:F342 D329:F339 G330:G339 D325:G328 E322:F322 D322:D324 D280:G321 D252:G261 E271:F271 D271:D273 D263:G270 D274:F278 G276:G277">
    <cfRule type="expression" dxfId="1756" priority="1736" stopIfTrue="1">
      <formula>#REF!=""</formula>
    </cfRule>
  </conditionalFormatting>
  <conditionalFormatting sqref="E286 E288">
    <cfRule type="expression" dxfId="1755" priority="1735" stopIfTrue="1">
      <formula>#REF!=""</formula>
    </cfRule>
  </conditionalFormatting>
  <conditionalFormatting sqref="E286 E288">
    <cfRule type="expression" dxfId="1754" priority="1734" stopIfTrue="1">
      <formula>#REF!=""</formula>
    </cfRule>
  </conditionalFormatting>
  <conditionalFormatting sqref="H524 H416:H423 H432:H441 H425:H430 H487:H493 H286 H270 H293 H295 H288">
    <cfRule type="expression" dxfId="1753" priority="1733" stopIfTrue="1">
      <formula>#REF!=""</formula>
    </cfRule>
  </conditionalFormatting>
  <conditionalFormatting sqref="I585 I564 I536 I509 I531 I455:I457 I459:I461 I589:I590 I610:I611 I587 I574:I582 I553:I554 I567:I568 I513:I514 I493 I295 I398 I241 I267 I270 I372 I400 I231:I237 I293 I394 I382 I288 I263:I264 I252:I261 I408:I453 I593:I604">
    <cfRule type="expression" dxfId="1752" priority="1732" stopIfTrue="1">
      <formula>#REF!=""</formula>
    </cfRule>
  </conditionalFormatting>
  <conditionalFormatting sqref="I408:I461 I514 I252:I261 I493 I263:I264 I390:I392 I372 I241 I231:I237 I394 I398 I267 I400:I403 I382 I547:I604 I606:I611">
    <cfRule type="containsText" dxfId="1751" priority="1720" stopIfTrue="1" operator="containsText" text="خارجية">
      <formula>NOT(ISERROR(SEARCH("خارجية",I231)))</formula>
    </cfRule>
    <cfRule type="containsText" dxfId="1750" priority="1721" stopIfTrue="1" operator="containsText" text="ن داخلية">
      <formula>NOT(ISERROR(SEARCH("ن داخلية",I231)))</formula>
    </cfRule>
    <cfRule type="containsText" dxfId="1749" priority="1722" stopIfTrue="1" operator="containsText" text="داخلية">
      <formula>NOT(ISERROR(SEARCH("داخلية",I231)))</formula>
    </cfRule>
    <cfRule type="containsText" dxfId="1748" priority="1723" stopIfTrue="1" operator="containsText" text="ن داخلية">
      <formula>NOT(ISERROR(SEARCH("ن داخلية",I231)))</formula>
    </cfRule>
    <cfRule type="containsText" dxfId="1747" priority="1724" stopIfTrue="1" operator="containsText" text="داخلية">
      <formula>NOT(ISERROR(SEARCH("داخلية",I231)))</formula>
    </cfRule>
    <cfRule type="cellIs" dxfId="1746" priority="1725" stopIfTrue="1" operator="equal">
      <formula>"ن داخلي"</formula>
    </cfRule>
    <cfRule type="cellIs" dxfId="1745" priority="1726" stopIfTrue="1" operator="equal">
      <formula>"ن داخلية"</formula>
    </cfRule>
    <cfRule type="cellIs" dxfId="1744" priority="1727" stopIfTrue="1" operator="equal">
      <formula>#REF!</formula>
    </cfRule>
    <cfRule type="cellIs" dxfId="1743" priority="1728" stopIfTrue="1" operator="equal">
      <formula>#REF!</formula>
    </cfRule>
    <cfRule type="cellIs" dxfId="1742" priority="1729" stopIfTrue="1" operator="equal">
      <formula>#REF!</formula>
    </cfRule>
    <cfRule type="cellIs" dxfId="1741" priority="1730" stopIfTrue="1" operator="equal">
      <formula>#REF!</formula>
    </cfRule>
    <cfRule type="cellIs" dxfId="1740" priority="1731" stopIfTrue="1" operator="equal">
      <formula>"داخلية"</formula>
    </cfRule>
  </conditionalFormatting>
  <conditionalFormatting sqref="I408:I461 I514 I263:I264 I493 I252:I261 I390:I392 I372 I231:I237 I241 I394 I398 I267 I400:I403 I382 I547:I604 I606:I611">
    <cfRule type="containsText" dxfId="1739" priority="1718" stopIfTrue="1" operator="containsText" text="خارجية">
      <formula>NOT(ISERROR(SEARCH("خارجية",I231)))</formula>
    </cfRule>
    <cfRule type="containsText" dxfId="1738" priority="1719" stopIfTrue="1" operator="containsText" text="خارجي">
      <formula>NOT(ISERROR(SEARCH("خارجي",I231)))</formula>
    </cfRule>
  </conditionalFormatting>
  <conditionalFormatting sqref="I428 I424">
    <cfRule type="expression" dxfId="1737" priority="1717" stopIfTrue="1">
      <formula>IF(ROW(#REF!)&lt;=#REF!,"",1)=1</formula>
    </cfRule>
  </conditionalFormatting>
  <conditionalFormatting sqref="F490:G490 F467:G467 F527:F531 F519:F525 F484:F489 F491 G487:G488 G527 G492 D519:D525 F509:G509 D480:D482 G511 G519 F499:G503 F506:F508 F472:F475 F510 F495:G497 F494 G480 F480:F482 G524 F498 D465:D470 G522 F512:G513 D472:D475 G514:G517 F458:G464 G470:G475 F465:F466 F468:F470 F396:G398 G394:G395 F393:G393 G399 D396:D398 G542:G561 F562:G611 F400:G456 D400:D456 D513:D514 D458:D463 D502:D504 F504 D541:D611 D493:D495 D497:D499 D533:D539 F533:F561 G530:G540 D506:D510 D484:D488 D527:D531 D243 F247:G250 F392 F394 F387:G389 F330:G340 F378:G378 F236:G237 F243:G243 G373:G377 F241:G241 D368 F368 D366 F276:G277 F372:G372 D378 F278 F383:G384 G379:G382 G385:G386 G390:G392 F347:F352 G347:G349 F370 F358:G363 F353:G356 G351:G352 F341:F342 F375 F323:G328 F280:G321 F364:F366 G272:G273 D252:D261 F252:G261 D372 F271:F275 F322 F263:G270 D280:D339 F329 F343:G346 D370 D341:D352 D383:D384 D392:D394 D387:D389 D354:D364 D263:D278 D241 F235 D231:D237 F231:G234 E221:E611 D380 F380 F213 D213 F208:G208 D205 F205 E190:E197 E201:E215">
    <cfRule type="expression" dxfId="1736" priority="1716" stopIfTrue="1">
      <formula>#REF!=""</formula>
    </cfRule>
  </conditionalFormatting>
  <conditionalFormatting sqref="E257:E272 E280:E296">
    <cfRule type="expression" dxfId="1735" priority="1715" stopIfTrue="1">
      <formula>#REF!=""</formula>
    </cfRule>
  </conditionalFormatting>
  <conditionalFormatting sqref="E257:E272 E280:E296">
    <cfRule type="expression" dxfId="1734" priority="1714" stopIfTrue="1">
      <formula>#REF!=""</formula>
    </cfRule>
  </conditionalFormatting>
  <conditionalFormatting sqref="H524 H425:H430 H432:H441 H487:H493 H416:H423 H286 H270 H293 H295 H288 H141:H146">
    <cfRule type="expression" dxfId="1733" priority="1713" stopIfTrue="1">
      <formula>#REF!=""</formula>
    </cfRule>
  </conditionalFormatting>
  <conditionalFormatting sqref="I585 I564 I536 I509 I531 I455:I457 I459:I461 I589:I590 I587 I574:I582 I553:I554 I567:I568 I513:I514 I493 I398 I400 I394 I408:I453 I295 I241 I267 I270 I372 I293 I383 I288 I263:I264 I252:I261 I230:I237 I185 I125 I610:I611 I593:I604">
    <cfRule type="expression" dxfId="1732" priority="1712" stopIfTrue="1">
      <formula>#REF!=""</formula>
    </cfRule>
  </conditionalFormatting>
  <conditionalFormatting sqref="I408:I461 I514 I493 I394 I398 I400:I403 I252:I261 I263:I264 I391:I392 I372 I241 I267 I383 I230:I237 I547:I604 I606:I611">
    <cfRule type="containsText" dxfId="1731" priority="1700" stopIfTrue="1" operator="containsText" text="خارجية">
      <formula>NOT(ISERROR(SEARCH("خارجية",I230)))</formula>
    </cfRule>
    <cfRule type="containsText" dxfId="1730" priority="1701" stopIfTrue="1" operator="containsText" text="ن داخلية">
      <formula>NOT(ISERROR(SEARCH("ن داخلية",I230)))</formula>
    </cfRule>
    <cfRule type="containsText" dxfId="1729" priority="1702" stopIfTrue="1" operator="containsText" text="داخلية">
      <formula>NOT(ISERROR(SEARCH("داخلية",I230)))</formula>
    </cfRule>
    <cfRule type="containsText" dxfId="1728" priority="1703" stopIfTrue="1" operator="containsText" text="ن داخلية">
      <formula>NOT(ISERROR(SEARCH("ن داخلية",I230)))</formula>
    </cfRule>
    <cfRule type="containsText" dxfId="1727" priority="1704" stopIfTrue="1" operator="containsText" text="داخلية">
      <formula>NOT(ISERROR(SEARCH("داخلية",I230)))</formula>
    </cfRule>
    <cfRule type="cellIs" dxfId="1726" priority="1705" stopIfTrue="1" operator="equal">
      <formula>"ن داخلي"</formula>
    </cfRule>
    <cfRule type="cellIs" dxfId="1725" priority="1706" stopIfTrue="1" operator="equal">
      <formula>"ن داخلية"</formula>
    </cfRule>
    <cfRule type="cellIs" dxfId="1724" priority="1707" stopIfTrue="1" operator="equal">
      <formula>#REF!</formula>
    </cfRule>
    <cfRule type="cellIs" dxfId="1723" priority="1708" stopIfTrue="1" operator="equal">
      <formula>#REF!</formula>
    </cfRule>
    <cfRule type="cellIs" dxfId="1722" priority="1709" stopIfTrue="1" operator="equal">
      <formula>#REF!</formula>
    </cfRule>
    <cfRule type="cellIs" dxfId="1721" priority="1710" stopIfTrue="1" operator="equal">
      <formula>#REF!</formula>
    </cfRule>
    <cfRule type="cellIs" dxfId="1720" priority="1711" stopIfTrue="1" operator="equal">
      <formula>"داخلية"</formula>
    </cfRule>
  </conditionalFormatting>
  <conditionalFormatting sqref="I408:I461 I514 I493 I394 I398 I400:I403 I263:I264 I252:I261 I391:I392 I372 I241 I267 I383 I230:I237 I547:I604 I606:I611">
    <cfRule type="containsText" dxfId="1719" priority="1698" stopIfTrue="1" operator="containsText" text="خارجية">
      <formula>NOT(ISERROR(SEARCH("خارجية",I230)))</formula>
    </cfRule>
    <cfRule type="containsText" dxfId="1718" priority="1699" stopIfTrue="1" operator="containsText" text="خارجي">
      <formula>NOT(ISERROR(SEARCH("خارجي",I230)))</formula>
    </cfRule>
  </conditionalFormatting>
  <conditionalFormatting sqref="I428 I424">
    <cfRule type="expression" dxfId="1717" priority="1697" stopIfTrue="1">
      <formula>IF(ROW(#REF!)&lt;=#REF!,"",1)=1</formula>
    </cfRule>
  </conditionalFormatting>
  <conditionalFormatting sqref="G505 E480:E484 D481:D483 F481:F483 D506:G506 F512:F516 G514:G516 G509:G511 D485:F505 D507:F508 D512:E611 F517:G611 D174:G177 D190:F197 D207:G208 D201:F206 D222:F479 G222:G470 D209:F216">
    <cfRule type="expression" dxfId="1716" priority="1696" stopIfTrue="1">
      <formula>#REF!=""</formula>
    </cfRule>
  </conditionalFormatting>
  <conditionalFormatting sqref="E371:G371 D368:G368 D212:F213 E207:G207 D204:F204 E373:G373 D374:G374 D275:G363 D378:G611 E375:G375 F365 D231:G237 D240:G243 D366:F367 D364:F364 D376:G376 D372:G372 G369:G370 G377 D370:F370 E246:G273 D251:D273 D274:F274">
    <cfRule type="expression" dxfId="1715" priority="1695" stopIfTrue="1">
      <formula>#REF!=""</formula>
    </cfRule>
  </conditionalFormatting>
  <conditionalFormatting sqref="G590 D591:G611 D583:F583 G582 D581:G581 D580:F580 D585:E585 G584 D586:F586 D574:G574 D569:G571 D576:G579 D553:G553 G572:G573 G575 D556:G557 D558:F558 G554:G555 G558:G568 D565:F567 D587:G589 D550:G551 G552 G522 E519:E520 D513:G513 G514:G517 E478 D474:F475 D493:E493 E476 G458 D443:F444 G453:G454 G450:G451 D433:G433 D436:G438 D425:G431 G421:G424 D421:E421 D414:G420 D422:F424 D396:G397 G405:G409 D401:G404 G394:G395 D388:G388 D393:G393 G399 D382:G382 G383:G387 G389:G392 D350:F350 D344:E344 D348:F348 D370:F370 E360 D356:F356 D343:G343 D341:F342 D336:F337 D339:F339 D323:F324 D330:F330 D326:G327 G328 D321:G321 D317:F317 D318:G318 D319:F320 D287:F287 G320 D308:G310 G306 D300:F301 D292:G292 D291 G291 D293:F294 D302:G305 D297:F298 D281:F282 D289:F289 D276:G277 D253:G257 D259:G259 E271 D272:F272 D265:G265 D263:G263 D284:G286 D313:F314 D345:G345 D347:G347 D288:G288 D410:G410 G445 D412:E413 G412:G413 D213:F213">
    <cfRule type="expression" dxfId="1714" priority="1694" stopIfTrue="1">
      <formula>#REF!=""</formula>
    </cfRule>
  </conditionalFormatting>
  <conditionalFormatting sqref="E286 E288">
    <cfRule type="expression" dxfId="1713" priority="1693" stopIfTrue="1">
      <formula>#REF!=""</formula>
    </cfRule>
  </conditionalFormatting>
  <conditionalFormatting sqref="E286 E288">
    <cfRule type="expression" dxfId="1712" priority="1692" stopIfTrue="1">
      <formula>#REF!=""</formula>
    </cfRule>
  </conditionalFormatting>
  <conditionalFormatting sqref="G590 D591:G611 D583:F583 G582 D581:G581 D580:F580 D585:E585 G584 D586:F586 D574:G574 D569:G571 D576:G579 D553:G553 G572:G573 G575 D556:G557 D558:F558 G554:G555 G558:G568 D565:F567 D587:G589 D550:G551 G552 G522 E519:E520 D513:G513 G514:G517 E478 D474:F475 D493:E493 E476 G458 D443:F444 G453:G454 G450:G451 D433:G433 D436:G438 D425:G431 G421:G424 D421:E421 D414:G420 D422:F424 D396:G397 G405:G409 D401:G404 G394:G395 D393:G393 G399 D410:G410 G445 D412:E413 G412:G413 D389:G389 D383:G383 G384:G388 G390:G392 G380 D350:F350 D344:E344 D348:F348 D370:F370 E360 D356:F356 D343:G343 D341:F342 D336:F337 D339:F339 D323:F324 D330:F330 D326:G327 G328 D321:G321 D317:F317 D318:G318 D319:F320 D287:F287 G320 D308:G310 G306 D300:F301 D292:G292 D291 G291 D293:F294 D302:G305 D297:F298 D281:F282 D289:F289 D276:G277 D253:G257 D259:G259 E271 D272:F272 D265:G265 D263:G263 D284:G286 D313:F314 D345:G345 D347:G347 D288:G288 D213:F213">
    <cfRule type="expression" dxfId="1711" priority="1691" stopIfTrue="1">
      <formula>#REF!=""</formula>
    </cfRule>
  </conditionalFormatting>
  <conditionalFormatting sqref="E286 E288">
    <cfRule type="expression" dxfId="1710" priority="1690" stopIfTrue="1">
      <formula>#REF!=""</formula>
    </cfRule>
  </conditionalFormatting>
  <conditionalFormatting sqref="E286 E288">
    <cfRule type="expression" dxfId="1709" priority="1689" stopIfTrue="1">
      <formula>#REF!=""</formula>
    </cfRule>
  </conditionalFormatting>
  <conditionalFormatting sqref="H291 H140:H148">
    <cfRule type="expression" dxfId="1708" priority="1688" stopIfTrue="1">
      <formula>#REF!=""</formula>
    </cfRule>
  </conditionalFormatting>
  <conditionalFormatting sqref="H140:H145 H457:H469 H291:H296 H516:H522 H258:H265 H608:H609 H524 H386:H441 H479:H500 H269:H272 H281:H288">
    <cfRule type="expression" dxfId="1707" priority="1687" stopIfTrue="1">
      <formula>#REF!=""</formula>
    </cfRule>
  </conditionalFormatting>
  <conditionalFormatting sqref="H288">
    <cfRule type="expression" dxfId="1706" priority="1686" stopIfTrue="1">
      <formula>#REF!=""</formula>
    </cfRule>
  </conditionalFormatting>
  <conditionalFormatting sqref="I611 I581 I591:I596 I526 I390 I418 I426:I431 I433:I443 I446:I447 I449:I451 I263 I291 I251:I259 I137:I148 I184:I187 I125:I126 I221:I243">
    <cfRule type="expression" dxfId="1705" priority="1685" stopIfTrue="1">
      <formula>#REF!=""</formula>
    </cfRule>
  </conditionalFormatting>
  <conditionalFormatting sqref="I342:I350 I488:I491 I493 I247:I269 I216:I243 I354:I461 I509:I604 I606:I611">
    <cfRule type="containsText" dxfId="1704" priority="1673" stopIfTrue="1" operator="containsText" text="خارجية">
      <formula>NOT(ISERROR(SEARCH("خارجية",I216)))</formula>
    </cfRule>
    <cfRule type="containsText" dxfId="1703" priority="1674" stopIfTrue="1" operator="containsText" text="ن داخلية">
      <formula>NOT(ISERROR(SEARCH("ن داخلية",I216)))</formula>
    </cfRule>
    <cfRule type="containsText" dxfId="1702" priority="1675" stopIfTrue="1" operator="containsText" text="داخلية">
      <formula>NOT(ISERROR(SEARCH("داخلية",I216)))</formula>
    </cfRule>
    <cfRule type="containsText" dxfId="1701" priority="1676" stopIfTrue="1" operator="containsText" text="ن داخلية">
      <formula>NOT(ISERROR(SEARCH("ن داخلية",I216)))</formula>
    </cfRule>
    <cfRule type="containsText" dxfId="1700" priority="1677" stopIfTrue="1" operator="containsText" text="داخلية">
      <formula>NOT(ISERROR(SEARCH("داخلية",I216)))</formula>
    </cfRule>
    <cfRule type="cellIs" dxfId="1699" priority="1678" stopIfTrue="1" operator="equal">
      <formula>"ن داخلي"</formula>
    </cfRule>
    <cfRule type="cellIs" dxfId="1698" priority="1679" stopIfTrue="1" operator="equal">
      <formula>"ن داخلية"</formula>
    </cfRule>
    <cfRule type="cellIs" dxfId="1697" priority="1680" stopIfTrue="1" operator="equal">
      <formula>#REF!</formula>
    </cfRule>
    <cfRule type="cellIs" dxfId="1696" priority="1681" stopIfTrue="1" operator="equal">
      <formula>#REF!</formula>
    </cfRule>
    <cfRule type="cellIs" dxfId="1695" priority="1682" stopIfTrue="1" operator="equal">
      <formula>#REF!</formula>
    </cfRule>
    <cfRule type="cellIs" dxfId="1694" priority="1683" stopIfTrue="1" operator="equal">
      <formula>#REF!</formula>
    </cfRule>
    <cfRule type="cellIs" dxfId="1693" priority="1684" stopIfTrue="1" operator="equal">
      <formula>"داخلية"</formula>
    </cfRule>
  </conditionalFormatting>
  <conditionalFormatting sqref="I342:I350 I488:I491 I493 I247:I269 I216:I243 I354:I461 I509:I604 I606:I611">
    <cfRule type="containsText" dxfId="1692" priority="1671" stopIfTrue="1" operator="containsText" text="خارجية">
      <formula>NOT(ISERROR(SEARCH("خارجية",I216)))</formula>
    </cfRule>
    <cfRule type="containsText" dxfId="1691" priority="1672" stopIfTrue="1" operator="containsText" text="خارجي">
      <formula>NOT(ISERROR(SEARCH("خارجي",I216)))</formula>
    </cfRule>
  </conditionalFormatting>
  <conditionalFormatting sqref="I440 I436 I418 I424 I420:I422">
    <cfRule type="expression" dxfId="1690" priority="1670" stopIfTrue="1">
      <formula>IF(ROW(#REF!)&lt;=#REF!,"",1)=1</formula>
    </cfRule>
  </conditionalFormatting>
  <conditionalFormatting sqref="I357:I364 I526:I529 I184:I185 I125 I488:I489 I378:I380 I536 I531:I534 I548:I555 I504:I514 I493:I500 I240:I241 I368:I372 I230:I237 I382 I281:I295 I251:I272 I385:I461 I558:I604 I606:I611">
    <cfRule type="expression" dxfId="1689" priority="1669" stopIfTrue="1">
      <formula>#REF!=""</formula>
    </cfRule>
  </conditionalFormatting>
  <conditionalFormatting sqref="I414 I436 I444 I440 I422 I418">
    <cfRule type="expression" dxfId="1688" priority="1668" stopIfTrue="1">
      <formula>IF(ROW(#REF!)&lt;=#REF!,"",1)=1</formula>
    </cfRule>
  </conditionalFormatting>
  <conditionalFormatting sqref="I422 I418 I428 I424">
    <cfRule type="expression" dxfId="1687" priority="1667" stopIfTrue="1">
      <formula>IF(ROW(#REF!)&lt;=#REF!,"",1)=1</formula>
    </cfRule>
  </conditionalFormatting>
  <conditionalFormatting sqref="I424 I420:I421">
    <cfRule type="expression" dxfId="1686" priority="1666" stopIfTrue="1">
      <formula>IF(ROW(#REF!)&lt;=#REF!,"",1)=1</formula>
    </cfRule>
  </conditionalFormatting>
  <conditionalFormatting sqref="I611 I587 I577:I581 I553 I567 I513 I493 I434:I435 I437:I439 I382 I259 I263 I253:I257 I125 I415:I431">
    <cfRule type="expression" dxfId="1685" priority="1665" stopIfTrue="1">
      <formula>#REF!=""</formula>
    </cfRule>
  </conditionalFormatting>
  <conditionalFormatting sqref="I550:I585 I493 I434:I439 I400:I402 I382 I259 I253:I257 I263 I415:I432 I587:I604 I606:I611">
    <cfRule type="containsText" dxfId="1684" priority="1663" stopIfTrue="1" operator="containsText" text="خارجية">
      <formula>NOT(ISERROR(SEARCH("خارجية",I253)))</formula>
    </cfRule>
    <cfRule type="containsText" dxfId="1683" priority="1664" stopIfTrue="1" operator="containsText" text="خارجي">
      <formula>NOT(ISERROR(SEARCH("خارجي",I253)))</formula>
    </cfRule>
  </conditionalFormatting>
  <conditionalFormatting sqref="I550:I585 I493 I434:I439 I400:I402 I382 I263 I253:I257 I259 I415:I432 I587:I604 I606:I611">
    <cfRule type="containsText" dxfId="1682" priority="1651" stopIfTrue="1" operator="containsText" text="خارجية">
      <formula>NOT(ISERROR(SEARCH("خارجية",I253)))</formula>
    </cfRule>
    <cfRule type="containsText" dxfId="1681" priority="1652" stopIfTrue="1" operator="containsText" text="ن داخلية">
      <formula>NOT(ISERROR(SEARCH("ن داخلية",I253)))</formula>
    </cfRule>
    <cfRule type="containsText" dxfId="1680" priority="1653" stopIfTrue="1" operator="containsText" text="داخلية">
      <formula>NOT(ISERROR(SEARCH("داخلية",I253)))</formula>
    </cfRule>
    <cfRule type="containsText" dxfId="1679" priority="1654" stopIfTrue="1" operator="containsText" text="ن داخلية">
      <formula>NOT(ISERROR(SEARCH("ن داخلية",I253)))</formula>
    </cfRule>
    <cfRule type="containsText" dxfId="1678" priority="1655" stopIfTrue="1" operator="containsText" text="داخلية">
      <formula>NOT(ISERROR(SEARCH("داخلية",I253)))</formula>
    </cfRule>
    <cfRule type="cellIs" dxfId="1677" priority="1656" stopIfTrue="1" operator="equal">
      <formula>"ن داخلي"</formula>
    </cfRule>
    <cfRule type="cellIs" dxfId="1676" priority="1657" stopIfTrue="1" operator="equal">
      <formula>"ن داخلية"</formula>
    </cfRule>
    <cfRule type="cellIs" dxfId="1675" priority="1658" stopIfTrue="1" operator="equal">
      <formula>#REF!</formula>
    </cfRule>
    <cfRule type="cellIs" dxfId="1674" priority="1659" stopIfTrue="1" operator="equal">
      <formula>#REF!</formula>
    </cfRule>
    <cfRule type="cellIs" dxfId="1673" priority="1660" stopIfTrue="1" operator="equal">
      <formula>#REF!</formula>
    </cfRule>
    <cfRule type="cellIs" dxfId="1672" priority="1661" stopIfTrue="1" operator="equal">
      <formula>#REF!</formula>
    </cfRule>
    <cfRule type="cellIs" dxfId="1671" priority="1662" stopIfTrue="1" operator="equal">
      <formula>"داخلية"</formula>
    </cfRule>
  </conditionalFormatting>
  <conditionalFormatting sqref="I428 I424">
    <cfRule type="expression" dxfId="1670" priority="1650" stopIfTrue="1">
      <formula>IF(ROW(#REF!)&lt;=#REF!,"",1)=1</formula>
    </cfRule>
  </conditionalFormatting>
  <conditionalFormatting sqref="I220">
    <cfRule type="expression" dxfId="1669" priority="1649" stopIfTrue="1">
      <formula>#REF!=""</formula>
    </cfRule>
  </conditionalFormatting>
  <conditionalFormatting sqref="I611 I587 I577:I581 I553 I567 I513 I493 I434:I435 I437:I439 I383 I259 I263 I253:I257 I125 I415:I431">
    <cfRule type="expression" dxfId="1668" priority="1648" stopIfTrue="1">
      <formula>#REF!=""</formula>
    </cfRule>
  </conditionalFormatting>
  <conditionalFormatting sqref="I550:I585 I493 I434:I439 I400:I402 I383 I259 I253:I257 I263 I415:I432 I587:I604 I606:I611">
    <cfRule type="containsText" dxfId="1667" priority="1646" stopIfTrue="1" operator="containsText" text="خارجية">
      <formula>NOT(ISERROR(SEARCH("خارجية",I253)))</formula>
    </cfRule>
    <cfRule type="containsText" dxfId="1666" priority="1647" stopIfTrue="1" operator="containsText" text="خارجي">
      <formula>NOT(ISERROR(SEARCH("خارجي",I253)))</formula>
    </cfRule>
  </conditionalFormatting>
  <conditionalFormatting sqref="I550:I585 I493 I434:I439 I400:I402 I383 I263 I253:I257 I259 I415:I432 I587:I604 I606:I611">
    <cfRule type="containsText" dxfId="1665" priority="1634" stopIfTrue="1" operator="containsText" text="خارجية">
      <formula>NOT(ISERROR(SEARCH("خارجية",I253)))</formula>
    </cfRule>
    <cfRule type="containsText" dxfId="1664" priority="1635" stopIfTrue="1" operator="containsText" text="ن داخلية">
      <formula>NOT(ISERROR(SEARCH("ن داخلية",I253)))</formula>
    </cfRule>
    <cfRule type="containsText" dxfId="1663" priority="1636" stopIfTrue="1" operator="containsText" text="داخلية">
      <formula>NOT(ISERROR(SEARCH("داخلية",I253)))</formula>
    </cfRule>
    <cfRule type="containsText" dxfId="1662" priority="1637" stopIfTrue="1" operator="containsText" text="ن داخلية">
      <formula>NOT(ISERROR(SEARCH("ن داخلية",I253)))</formula>
    </cfRule>
    <cfRule type="containsText" dxfId="1661" priority="1638" stopIfTrue="1" operator="containsText" text="داخلية">
      <formula>NOT(ISERROR(SEARCH("داخلية",I253)))</formula>
    </cfRule>
    <cfRule type="cellIs" dxfId="1660" priority="1639" stopIfTrue="1" operator="equal">
      <formula>"ن داخلي"</formula>
    </cfRule>
    <cfRule type="cellIs" dxfId="1659" priority="1640" stopIfTrue="1" operator="equal">
      <formula>"ن داخلية"</formula>
    </cfRule>
    <cfRule type="cellIs" dxfId="1658" priority="1641" stopIfTrue="1" operator="equal">
      <formula>#REF!</formula>
    </cfRule>
    <cfRule type="cellIs" dxfId="1657" priority="1642" stopIfTrue="1" operator="equal">
      <formula>#REF!</formula>
    </cfRule>
    <cfRule type="cellIs" dxfId="1656" priority="1643" stopIfTrue="1" operator="equal">
      <formula>#REF!</formula>
    </cfRule>
    <cfRule type="cellIs" dxfId="1655" priority="1644" stopIfTrue="1" operator="equal">
      <formula>#REF!</formula>
    </cfRule>
    <cfRule type="cellIs" dxfId="1654" priority="1645" stopIfTrue="1" operator="equal">
      <formula>"داخلية"</formula>
    </cfRule>
  </conditionalFormatting>
  <conditionalFormatting sqref="I428 I424">
    <cfRule type="expression" dxfId="1653" priority="1633" stopIfTrue="1">
      <formula>IF(ROW(#REF!)&lt;=#REF!,"",1)=1</formula>
    </cfRule>
  </conditionalFormatting>
  <conditionalFormatting sqref="H603:I603 I493 I357:I364 H457:H469 I288:I294 H259:I265 D400:I400 H269 H291:H296 G523:G531 D494:I500 D519:H519 G516:H518 G520:H522 D520:F531 D532:G611 D501:F518 G501:G515 F470:G471 D479:F493 G475:G493 D401:G469 G472:G473 F472:F478 D470:E478 H479:H491 H281:I287 H386:H399 H401:H438 I531:I534 I526:I529 I504:I512 I488:I489 I266:I269 H270:I272 I368:I371 I378:I380 I385:I399 I401:I458 I251:I258 D258:H258 I548:I555 H608:H609 I221:I243 D259:G399 D222:G257 D190:F197 I137:I148 H140:H148 I184:I187 I125:I126 D207:G208 D201:F206 D209:F216 I558:I602 I604 I606:I611">
    <cfRule type="expression" dxfId="1652" priority="1632" stopIfTrue="1">
      <formula>#REF!=""</formula>
    </cfRule>
  </conditionalFormatting>
  <conditionalFormatting sqref="F284:F285 E257:E272 E280:E296">
    <cfRule type="expression" dxfId="1651" priority="1631" stopIfTrue="1">
      <formula>#REF!=""</formula>
    </cfRule>
  </conditionalFormatting>
  <conditionalFormatting sqref="F284:F285 E257:E272 E280:E296">
    <cfRule type="expression" dxfId="1650" priority="1630" stopIfTrue="1">
      <formula>#REF!=""</formula>
    </cfRule>
  </conditionalFormatting>
  <conditionalFormatting sqref="I342:I350 I488:I491 I354:I458 I247:I269 I216:I243 I509:I604 I606:I611">
    <cfRule type="containsText" dxfId="1649" priority="1618" stopIfTrue="1" operator="containsText" text="خارجية">
      <formula>NOT(ISERROR(SEARCH("خارجية",I216)))</formula>
    </cfRule>
    <cfRule type="containsText" dxfId="1648" priority="1619" stopIfTrue="1" operator="containsText" text="ن داخلية">
      <formula>NOT(ISERROR(SEARCH("ن داخلية",I216)))</formula>
    </cfRule>
    <cfRule type="containsText" dxfId="1647" priority="1620" stopIfTrue="1" operator="containsText" text="داخلية">
      <formula>NOT(ISERROR(SEARCH("داخلية",I216)))</formula>
    </cfRule>
    <cfRule type="containsText" dxfId="1646" priority="1621" stopIfTrue="1" operator="containsText" text="ن داخلية">
      <formula>NOT(ISERROR(SEARCH("ن داخلية",I216)))</formula>
    </cfRule>
    <cfRule type="containsText" dxfId="1645" priority="1622" stopIfTrue="1" operator="containsText" text="داخلية">
      <formula>NOT(ISERROR(SEARCH("داخلية",I216)))</formula>
    </cfRule>
    <cfRule type="cellIs" dxfId="1644" priority="1623" stopIfTrue="1" operator="equal">
      <formula>"ن داخلي"</formula>
    </cfRule>
    <cfRule type="cellIs" dxfId="1643" priority="1624" stopIfTrue="1" operator="equal">
      <formula>"ن داخلية"</formula>
    </cfRule>
    <cfRule type="cellIs" dxfId="1642" priority="1625" stopIfTrue="1" operator="equal">
      <formula>#REF!</formula>
    </cfRule>
    <cfRule type="cellIs" dxfId="1641" priority="1626" stopIfTrue="1" operator="equal">
      <formula>#REF!</formula>
    </cfRule>
    <cfRule type="cellIs" dxfId="1640" priority="1627" stopIfTrue="1" operator="equal">
      <formula>#REF!</formula>
    </cfRule>
    <cfRule type="cellIs" dxfId="1639" priority="1628" stopIfTrue="1" operator="equal">
      <formula>#REF!</formula>
    </cfRule>
    <cfRule type="cellIs" dxfId="1638" priority="1629" stopIfTrue="1" operator="equal">
      <formula>"داخلية"</formula>
    </cfRule>
  </conditionalFormatting>
  <conditionalFormatting sqref="I342:I350 I488:I491 I354:I458 I247:I269 I216:I243 I509:I604 I606:I611">
    <cfRule type="containsText" dxfId="1637" priority="1616" stopIfTrue="1" operator="containsText" text="خارجية">
      <formula>NOT(ISERROR(SEARCH("خارجية",I216)))</formula>
    </cfRule>
    <cfRule type="containsText" dxfId="1636" priority="1617" stopIfTrue="1" operator="containsText" text="خارجي">
      <formula>NOT(ISERROR(SEARCH("خارجي",I216)))</formula>
    </cfRule>
  </conditionalFormatting>
  <conditionalFormatting sqref="I422 I418 I424 I420">
    <cfRule type="expression" dxfId="1635" priority="1615" stopIfTrue="1">
      <formula>IF(ROW(#REF!)&lt;=#REF!,"",1)=1</formula>
    </cfRule>
  </conditionalFormatting>
  <conditionalFormatting sqref="D549:G549">
    <cfRule type="expression" dxfId="1634" priority="1614" stopIfTrue="1">
      <formula>#REF!=""</formula>
    </cfRule>
  </conditionalFormatting>
  <conditionalFormatting sqref="D549:G549">
    <cfRule type="expression" dxfId="1633" priority="1613" stopIfTrue="1">
      <formula>#REF!=""</formula>
    </cfRule>
  </conditionalFormatting>
  <conditionalFormatting sqref="D549:G549">
    <cfRule type="expression" dxfId="1632" priority="1612" stopIfTrue="1">
      <formula>#REF!=""</formula>
    </cfRule>
  </conditionalFormatting>
  <conditionalFormatting sqref="D549:G549">
    <cfRule type="expression" dxfId="1631" priority="1611" stopIfTrue="1">
      <formula>#REF!=""</formula>
    </cfRule>
  </conditionalFormatting>
  <conditionalFormatting sqref="D587:E607 D579:E579 D570:E570 D565:E567 D572:E577 D549:E549 D552:E554 D561:E563 D581:E585 D546:E547 E515:E516 D509:E509 E474 D470:E471 D489:E489 E472 D439:E440 D429:E429 D432:E434 D408:E427 D394:E395 D399:E402 D386:E386 D391:E391 D380:E380 D348:E348 D368:E368 E358 D354:E354 D340:E346 D335:E336 D338:E338 D322:E323 D329:E329 D325:E326 D316:E320 D307:E309 D290 D291:E293 D299:E304 D296:E297 D280:E281 D276:E277 D253:E257 D259:E259 E271 D272:E272 D265:E265 D263:E263 D283:E288 D312:E313">
    <cfRule type="expression" dxfId="1630" priority="1610" stopIfTrue="1">
      <formula>#REF!=""</formula>
    </cfRule>
  </conditionalFormatting>
  <conditionalFormatting sqref="E285 E287">
    <cfRule type="expression" dxfId="1629" priority="1609" stopIfTrue="1">
      <formula>#REF!=""</formula>
    </cfRule>
  </conditionalFormatting>
  <conditionalFormatting sqref="E285 E287">
    <cfRule type="expression" dxfId="1628" priority="1608" stopIfTrue="1">
      <formula>#REF!=""</formula>
    </cfRule>
  </conditionalFormatting>
  <conditionalFormatting sqref="G586 F587:G607 F579 G578 F577:G577 F576 G580 F582 F570:G570 F565:G567 F572:G575 F549:G549 G568:G569 G571 F552:G553 F554 G550:G551 G554:G564 F561:F563 F583:G585 F546:G547 G548 G518 F509:G509 G510:G513 F470:F471 G409:G410 G454 F439:F440 G448:G449 G445:G446 G441 F429:G429 F432:G434 F408:G408 F411:G427 F394:G395 G403:G407 F399:G402 G392:G393 F386:G386 F391:G391 G397 F380:G380 G381:G385 G387:G390 F348 F344:G345 F346 F368 F354 F342:G342 F340:F341 F335:F336 F338 F322:F323 F329 F325:G326 G327 F320:G320 F316 F317:G317 F318:F319 F286 G319 F307:G309 G305 F299:F300 F291:G291 G290 F292:F293 F301:G304 F296:F297 F287:G287 F280:F281 F288 F276:G277 F253:G257 F259:G259 F272 F265:G265 F263:G263 F283:G285 F312:F313">
    <cfRule type="expression" dxfId="1627" priority="1607" stopIfTrue="1">
      <formula>#REF!=""</formula>
    </cfRule>
  </conditionalFormatting>
  <conditionalFormatting sqref="H287">
    <cfRule type="expression" dxfId="1626" priority="1606" stopIfTrue="1">
      <formula>#REF!=""</formula>
    </cfRule>
  </conditionalFormatting>
  <conditionalFormatting sqref="I607 I583 I573:I577 I549 I563 I509 I489 I430:I431 I433:I435 I380 I412:I427 I287 I259 I263 I253:I257">
    <cfRule type="expression" dxfId="1625" priority="1605" stopIfTrue="1">
      <formula>#REF!=""</formula>
    </cfRule>
  </conditionalFormatting>
  <conditionalFormatting sqref="I259 I546:I581 I489 I430:I435 I398:I400 I380 I412:I428 I253:I257 I263 I583:I604 I606:I607">
    <cfRule type="containsText" dxfId="1624" priority="1603" stopIfTrue="1" operator="containsText" text="خارجية">
      <formula>NOT(ISERROR(SEARCH("خارجية",I253)))</formula>
    </cfRule>
    <cfRule type="containsText" dxfId="1623" priority="1604" stopIfTrue="1" operator="containsText" text="خارجي">
      <formula>NOT(ISERROR(SEARCH("خارجي",I253)))</formula>
    </cfRule>
  </conditionalFormatting>
  <conditionalFormatting sqref="I263 I546:I581 I489 I430:I435 I398:I400 I380 I412:I428 I253:I257 I259 I583:I604 I606:I607">
    <cfRule type="containsText" dxfId="1622" priority="1591" stopIfTrue="1" operator="containsText" text="خارجية">
      <formula>NOT(ISERROR(SEARCH("خارجية",I253)))</formula>
    </cfRule>
    <cfRule type="containsText" dxfId="1621" priority="1592" stopIfTrue="1" operator="containsText" text="ن داخلية">
      <formula>NOT(ISERROR(SEARCH("ن داخلية",I253)))</formula>
    </cfRule>
    <cfRule type="containsText" dxfId="1620" priority="1593" stopIfTrue="1" operator="containsText" text="داخلية">
      <formula>NOT(ISERROR(SEARCH("داخلية",I253)))</formula>
    </cfRule>
    <cfRule type="containsText" dxfId="1619" priority="1594" stopIfTrue="1" operator="containsText" text="ن داخلية">
      <formula>NOT(ISERROR(SEARCH("ن داخلية",I253)))</formula>
    </cfRule>
    <cfRule type="containsText" dxfId="1618" priority="1595" stopIfTrue="1" operator="containsText" text="داخلية">
      <formula>NOT(ISERROR(SEARCH("داخلية",I253)))</formula>
    </cfRule>
    <cfRule type="cellIs" dxfId="1617" priority="1596" stopIfTrue="1" operator="equal">
      <formula>"ن داخلي"</formula>
    </cfRule>
    <cfRule type="cellIs" dxfId="1616" priority="1597" stopIfTrue="1" operator="equal">
      <formula>"ن داخلية"</formula>
    </cfRule>
    <cfRule type="cellIs" dxfId="1615" priority="1598" stopIfTrue="1" operator="equal">
      <formula>#REF!</formula>
    </cfRule>
    <cfRule type="cellIs" dxfId="1614" priority="1599" stopIfTrue="1" operator="equal">
      <formula>#REF!</formula>
    </cfRule>
    <cfRule type="cellIs" dxfId="1613" priority="1600" stopIfTrue="1" operator="equal">
      <formula>#REF!</formula>
    </cfRule>
    <cfRule type="cellIs" dxfId="1612" priority="1601" stopIfTrue="1" operator="equal">
      <formula>#REF!</formula>
    </cfRule>
    <cfRule type="cellIs" dxfId="1611" priority="1602" stopIfTrue="1" operator="equal">
      <formula>"داخلية"</formula>
    </cfRule>
  </conditionalFormatting>
  <conditionalFormatting sqref="I424 I420">
    <cfRule type="expression" dxfId="1610" priority="1590" stopIfTrue="1">
      <formula>IF(ROW(#REF!)&lt;=#REF!,"",1)=1</formula>
    </cfRule>
  </conditionalFormatting>
  <conditionalFormatting sqref="E530:G536 E508:G508 E486:G486 E469:G469 D510:E510 F485 F487 E483:G484 D523:F527 G523 E480:F482 D480:D484 G488 E511 D505:G505 G507 G515 D493:G493 D498:F500 D476:F478 D468:D471 F468 D502:F504 D506:F506 E529:F529 D529:D535 E491:G492 E490:F490 D490:D491 G526:G529 G476 E538:G542 E537:F537 D537:D542 G495:G499 E494:F497 D494:D495 G466:G468 E247:G250 E373:G373 F363 E349:G351 E339:G339 E322:G323 D376:G376 G371:G372 G374:G375 D405:E405 D243:G243 D232:G237 D241:G241 E251 E272:G273 D463:D466 D366:F366 D355:E355 D457:E459 E456 E460 G456:G460 D364:F364 D362:F362 F456:F466 D461:E462 G463 E374 D370:G370 E406:E407 F405:G407 D543:G607 G518 D520:G520 D515:F519 D521:F521 D509:G509 G510:G513 E474 F470:G471 D489:E489 E463:E468 E470:E472 D454:D456 E454:G455 E408:G452 D406:D452 D394:G396 D398:G404 G392:G393 D384:G386 D389:G391 D392:F392 G397 D380:G381 G377:G379 G382:G383 G387:G388 E342:G347 E348:F348 D368:F368 D356:G361 D352:G354 D342:D350 D340:F341 D328:F338 G329:G338 D324:G327 E321:F321 D321:D323 D279:G320 D274:F278 G276:G277 D252:G261 E271:F271 D271:D273 D263:G270">
    <cfRule type="expression" dxfId="1609" priority="1589" stopIfTrue="1">
      <formula>#REF!=""</formula>
    </cfRule>
  </conditionalFormatting>
  <conditionalFormatting sqref="E285 E287">
    <cfRule type="expression" dxfId="1608" priority="1588" stopIfTrue="1">
      <formula>#REF!=""</formula>
    </cfRule>
  </conditionalFormatting>
  <conditionalFormatting sqref="E285 E287">
    <cfRule type="expression" dxfId="1607" priority="1587" stopIfTrue="1">
      <formula>#REF!=""</formula>
    </cfRule>
  </conditionalFormatting>
  <conditionalFormatting sqref="G586 D587:G607 D579:F579 G578 D577:G577 D576:F576 D581:E581 G580 D582:F582 D570:G570 D565:G567 D572:G575 D549:G549 G568:G569 G571 D552:G553 D554:F554 G550:G551 G554:G564 D561:F563 D583:G585 D546:G547 G548 G518 E515:E516 D509:G509 G510:G513 E474 D470:F471 D489:E489 E472 G409:G410 G454 D439:F440 G448:G449 G445:G446 G441 D429:G429 D432:G434 D408:G408 D411:G427 D409:E410 D394:G395 G403:G407 D399:G402 G392:G393 D386:G386 D391:G391 G397 D380:G380 G381:G385 G387:G390 D348:F348 D344:G345 D343:E343 D346:F346 D368:F368 E358 D354:F354 D342:G342 D340:F341 D335:F336 D338:F338 D322:F323 D329:F329 D325:G326 G327 D320:G320 D316:F316 D317:G317 D318:F319 D286:F286 G319 D307:G309 G305 D299:F300 D291:G291 D290 G290 D292:F293 D301:G304 D296:F297 D287:G287 D280:F281 D288:F288 D276:G277 D253:G257 D259:G259 E271 D272:F272 D265:G265 D263:G263 D283:G285 D312:F313">
    <cfRule type="expression" dxfId="1606" priority="1586" stopIfTrue="1">
      <formula>#REF!=""</formula>
    </cfRule>
  </conditionalFormatting>
  <conditionalFormatting sqref="E285 E287">
    <cfRule type="expression" dxfId="1605" priority="1585" stopIfTrue="1">
      <formula>#REF!=""</formula>
    </cfRule>
  </conditionalFormatting>
  <conditionalFormatting sqref="E285 E287">
    <cfRule type="expression" dxfId="1604" priority="1584" stopIfTrue="1">
      <formula>#REF!=""</formula>
    </cfRule>
  </conditionalFormatting>
  <conditionalFormatting sqref="H520 H483:H489 H413:H419 H428:H437 H285 H270 H292 H294 H421:H426 H287">
    <cfRule type="expression" dxfId="1603" priority="1583" stopIfTrue="1">
      <formula>#REF!=""</formula>
    </cfRule>
  </conditionalFormatting>
  <conditionalFormatting sqref="H287">
    <cfRule type="expression" dxfId="1602" priority="1582" stopIfTrue="1">
      <formula>#REF!=""</formula>
    </cfRule>
  </conditionalFormatting>
  <conditionalFormatting sqref="I589:I601 I581 I560 I532 I505 I527 I451:I453 I455:I457 I294 I396 I241 I267 I270 I370 I398 I231:I237 I292 I392 I585:I586 I606:I607 I583 I570:I578 I549:I550 I563:I564 I509:I510 I489 I380 I406:I449 I287 I263:I264 I252:I261">
    <cfRule type="expression" dxfId="1601" priority="1581" stopIfTrue="1">
      <formula>#REF!=""</formula>
    </cfRule>
  </conditionalFormatting>
  <conditionalFormatting sqref="I510 I388:I390 I370 I241 I231:I237 I392 I396 I267 I489 I398:I401 I380 I406:I457 I252:I261 I263:I264 I543:I604 I606:I607">
    <cfRule type="containsText" dxfId="1600" priority="1569" stopIfTrue="1" operator="containsText" text="خارجية">
      <formula>NOT(ISERROR(SEARCH("خارجية",I231)))</formula>
    </cfRule>
    <cfRule type="containsText" dxfId="1599" priority="1570" stopIfTrue="1" operator="containsText" text="ن داخلية">
      <formula>NOT(ISERROR(SEARCH("ن داخلية",I231)))</formula>
    </cfRule>
    <cfRule type="containsText" dxfId="1598" priority="1571" stopIfTrue="1" operator="containsText" text="داخلية">
      <formula>NOT(ISERROR(SEARCH("داخلية",I231)))</formula>
    </cfRule>
    <cfRule type="containsText" dxfId="1597" priority="1572" stopIfTrue="1" operator="containsText" text="ن داخلية">
      <formula>NOT(ISERROR(SEARCH("ن داخلية",I231)))</formula>
    </cfRule>
    <cfRule type="containsText" dxfId="1596" priority="1573" stopIfTrue="1" operator="containsText" text="داخلية">
      <formula>NOT(ISERROR(SEARCH("داخلية",I231)))</formula>
    </cfRule>
    <cfRule type="cellIs" dxfId="1595" priority="1574" stopIfTrue="1" operator="equal">
      <formula>"ن داخلي"</formula>
    </cfRule>
    <cfRule type="cellIs" dxfId="1594" priority="1575" stopIfTrue="1" operator="equal">
      <formula>"ن داخلية"</formula>
    </cfRule>
    <cfRule type="cellIs" dxfId="1593" priority="1576" stopIfTrue="1" operator="equal">
      <formula>#REF!</formula>
    </cfRule>
    <cfRule type="cellIs" dxfId="1592" priority="1577" stopIfTrue="1" operator="equal">
      <formula>#REF!</formula>
    </cfRule>
    <cfRule type="cellIs" dxfId="1591" priority="1578" stopIfTrue="1" operator="equal">
      <formula>#REF!</formula>
    </cfRule>
    <cfRule type="cellIs" dxfId="1590" priority="1579" stopIfTrue="1" operator="equal">
      <formula>#REF!</formula>
    </cfRule>
    <cfRule type="cellIs" dxfId="1589" priority="1580" stopIfTrue="1" operator="equal">
      <formula>"داخلية"</formula>
    </cfRule>
  </conditionalFormatting>
  <conditionalFormatting sqref="I510 I388:I390 I370 I231:I237 I241 I392 I396 I267 I489 I398:I401 I380 I406:I457 I263:I264 I252:I261 I543:I604 I606:I607">
    <cfRule type="containsText" dxfId="1588" priority="1567" stopIfTrue="1" operator="containsText" text="خارجية">
      <formula>NOT(ISERROR(SEARCH("خارجية",I231)))</formula>
    </cfRule>
    <cfRule type="containsText" dxfId="1587" priority="1568" stopIfTrue="1" operator="containsText" text="خارجي">
      <formula>NOT(ISERROR(SEARCH("خارجي",I231)))</formula>
    </cfRule>
  </conditionalFormatting>
  <conditionalFormatting sqref="I424 I420">
    <cfRule type="expression" dxfId="1586" priority="1566" stopIfTrue="1">
      <formula>IF(ROW(#REF!)&lt;=#REF!,"",1)=1</formula>
    </cfRule>
  </conditionalFormatting>
  <conditionalFormatting sqref="I607 I583 I573:I577 I549 I563 I509 I489 I430:I431 I433:I435 I380 I412:I427 I287 I259 I263 I253:I257">
    <cfRule type="expression" dxfId="1585" priority="1565" stopIfTrue="1">
      <formula>#REF!=""</formula>
    </cfRule>
  </conditionalFormatting>
  <conditionalFormatting sqref="I259 I546:I581 I489 I430:I435 I398:I400 I380 I412:I428 I253:I257 I263 I583:I604 I606:I607">
    <cfRule type="containsText" dxfId="1584" priority="1563" stopIfTrue="1" operator="containsText" text="خارجية">
      <formula>NOT(ISERROR(SEARCH("خارجية",I253)))</formula>
    </cfRule>
    <cfRule type="containsText" dxfId="1583" priority="1564" stopIfTrue="1" operator="containsText" text="خارجي">
      <formula>NOT(ISERROR(SEARCH("خارجي",I253)))</formula>
    </cfRule>
  </conditionalFormatting>
  <conditionalFormatting sqref="I263 I546:I581 I489 I430:I435 I398:I400 I380 I412:I428 I253:I257 I259 I583:I604 I606:I607">
    <cfRule type="containsText" dxfId="1582" priority="1551" stopIfTrue="1" operator="containsText" text="خارجية">
      <formula>NOT(ISERROR(SEARCH("خارجية",I253)))</formula>
    </cfRule>
    <cfRule type="containsText" dxfId="1581" priority="1552" stopIfTrue="1" operator="containsText" text="ن داخلية">
      <formula>NOT(ISERROR(SEARCH("ن داخلية",I253)))</formula>
    </cfRule>
    <cfRule type="containsText" dxfId="1580" priority="1553" stopIfTrue="1" operator="containsText" text="داخلية">
      <formula>NOT(ISERROR(SEARCH("داخلية",I253)))</formula>
    </cfRule>
    <cfRule type="containsText" dxfId="1579" priority="1554" stopIfTrue="1" operator="containsText" text="ن داخلية">
      <formula>NOT(ISERROR(SEARCH("ن داخلية",I253)))</formula>
    </cfRule>
    <cfRule type="containsText" dxfId="1578" priority="1555" stopIfTrue="1" operator="containsText" text="داخلية">
      <formula>NOT(ISERROR(SEARCH("داخلية",I253)))</formula>
    </cfRule>
    <cfRule type="cellIs" dxfId="1577" priority="1556" stopIfTrue="1" operator="equal">
      <formula>"ن داخلي"</formula>
    </cfRule>
    <cfRule type="cellIs" dxfId="1576" priority="1557" stopIfTrue="1" operator="equal">
      <formula>"ن داخلية"</formula>
    </cfRule>
    <cfRule type="cellIs" dxfId="1575" priority="1558" stopIfTrue="1" operator="equal">
      <formula>#REF!</formula>
    </cfRule>
    <cfRule type="cellIs" dxfId="1574" priority="1559" stopIfTrue="1" operator="equal">
      <formula>#REF!</formula>
    </cfRule>
    <cfRule type="cellIs" dxfId="1573" priority="1560" stopIfTrue="1" operator="equal">
      <formula>#REF!</formula>
    </cfRule>
    <cfRule type="cellIs" dxfId="1572" priority="1561" stopIfTrue="1" operator="equal">
      <formula>#REF!</formula>
    </cfRule>
    <cfRule type="cellIs" dxfId="1571" priority="1562" stopIfTrue="1" operator="equal">
      <formula>"داخلية"</formula>
    </cfRule>
  </conditionalFormatting>
  <conditionalFormatting sqref="I424 I420">
    <cfRule type="expression" dxfId="1570" priority="1550" stopIfTrue="1">
      <formula>IF(ROW(#REF!)&lt;=#REF!,"",1)=1</formula>
    </cfRule>
  </conditionalFormatting>
  <conditionalFormatting sqref="E534:G540 E512:G512 E490:G490 E473:G473 D514:E514 F489 F491 E487:G488 D527:F531 G527 E484:F486 D484:D488 G492 D547:G548 E515 D509:G509 G511 G519 D497:G497 D502:F504 D480:F482 D472:D475 F472 D506:F508 D510:F510 E533:F533 D533:D539 E495:G496 E494:F494 D494:D495 G530:G533 G480 E542:G546 E541:F541 D541:D546 D549:F550 G499:G503 E498:F501 D498:D499 G470:G472 D467:D470 D461:E463 E460 E464 G460:G464 F460:F470 D465:E466 G467 E551:F554 G549:G554 G522 D524:G524 D519:F523 D525:F525 D513:G513 G514:G517 E478 F474:G475 D493:E493 E467:E472 E474:E476 D458:D460 E458:G459 D400:G456 E247:G250 E375:G375 F365 E351:G353 E340:G340 E323:G324 D378:G378 G373:G374 G376:G377 D243:G243 D232:G237 D241:G241 E251 E272:G273 D368:F368 D357:E357 D366:F366 D364:F364 E376 D372:G372 D564:G611 D551:D563 E555:G563 D396:G398 G394:G395 D386:G388 D391:G393 D394:F394 G399 D382:G383 G379:G381 G384:G385 G389:G390 E343:G349 E350:F350 D370:F370 D358:G363 D354:G356 D343:D352 D341:F342 D329:F339 G330:G339 D325:G328 E322:F322 D322:D324 D280:G321 D252:G261 E271:F271 D271:D273 D263:G270 D274:F278 G276:G277">
    <cfRule type="expression" dxfId="1569" priority="1549" stopIfTrue="1">
      <formula>#REF!=""</formula>
    </cfRule>
  </conditionalFormatting>
  <conditionalFormatting sqref="E286 E288">
    <cfRule type="expression" dxfId="1568" priority="1548" stopIfTrue="1">
      <formula>#REF!=""</formula>
    </cfRule>
  </conditionalFormatting>
  <conditionalFormatting sqref="E286 E288">
    <cfRule type="expression" dxfId="1567" priority="1547" stopIfTrue="1">
      <formula>#REF!=""</formula>
    </cfRule>
  </conditionalFormatting>
  <conditionalFormatting sqref="H524 H416:H423 H432:H441 H425:H430 H487:H493 H286 H270 H293 H295 H288">
    <cfRule type="expression" dxfId="1566" priority="1546" stopIfTrue="1">
      <formula>#REF!=""</formula>
    </cfRule>
  </conditionalFormatting>
  <conditionalFormatting sqref="I585 I564 I536 I509 I531 I455:I457 I459:I461 I589:I590 I610:I611 I587 I574:I582 I553:I554 I567:I568 I513:I514 I493 I295 I398 I241 I267 I270 I372 I400 I231:I237 I293 I394 I382 I288 I263:I264 I252:I261 I408:I453 I593:I604">
    <cfRule type="expression" dxfId="1565" priority="1545" stopIfTrue="1">
      <formula>#REF!=""</formula>
    </cfRule>
  </conditionalFormatting>
  <conditionalFormatting sqref="I408:I461 I514 I252:I261 I493 I263:I264 I390:I392 I372 I241 I231:I237 I394 I398 I267 I400:I403 I382 I547:I604 I606:I611">
    <cfRule type="containsText" dxfId="1564" priority="1533" stopIfTrue="1" operator="containsText" text="خارجية">
      <formula>NOT(ISERROR(SEARCH("خارجية",I231)))</formula>
    </cfRule>
    <cfRule type="containsText" dxfId="1563" priority="1534" stopIfTrue="1" operator="containsText" text="ن داخلية">
      <formula>NOT(ISERROR(SEARCH("ن داخلية",I231)))</formula>
    </cfRule>
    <cfRule type="containsText" dxfId="1562" priority="1535" stopIfTrue="1" operator="containsText" text="داخلية">
      <formula>NOT(ISERROR(SEARCH("داخلية",I231)))</formula>
    </cfRule>
    <cfRule type="containsText" dxfId="1561" priority="1536" stopIfTrue="1" operator="containsText" text="ن داخلية">
      <formula>NOT(ISERROR(SEARCH("ن داخلية",I231)))</formula>
    </cfRule>
    <cfRule type="containsText" dxfId="1560" priority="1537" stopIfTrue="1" operator="containsText" text="داخلية">
      <formula>NOT(ISERROR(SEARCH("داخلية",I231)))</formula>
    </cfRule>
    <cfRule type="cellIs" dxfId="1559" priority="1538" stopIfTrue="1" operator="equal">
      <formula>"ن داخلي"</formula>
    </cfRule>
    <cfRule type="cellIs" dxfId="1558" priority="1539" stopIfTrue="1" operator="equal">
      <formula>"ن داخلية"</formula>
    </cfRule>
    <cfRule type="cellIs" dxfId="1557" priority="1540" stopIfTrue="1" operator="equal">
      <formula>#REF!</formula>
    </cfRule>
    <cfRule type="cellIs" dxfId="1556" priority="1541" stopIfTrue="1" operator="equal">
      <formula>#REF!</formula>
    </cfRule>
    <cfRule type="cellIs" dxfId="1555" priority="1542" stopIfTrue="1" operator="equal">
      <formula>#REF!</formula>
    </cfRule>
    <cfRule type="cellIs" dxfId="1554" priority="1543" stopIfTrue="1" operator="equal">
      <formula>#REF!</formula>
    </cfRule>
    <cfRule type="cellIs" dxfId="1553" priority="1544" stopIfTrue="1" operator="equal">
      <formula>"داخلية"</formula>
    </cfRule>
  </conditionalFormatting>
  <conditionalFormatting sqref="I408:I461 I514 I263:I264 I493 I252:I261 I390:I392 I372 I231:I237 I241 I394 I398 I267 I400:I403 I382 I547:I604 I606:I611">
    <cfRule type="containsText" dxfId="1552" priority="1531" stopIfTrue="1" operator="containsText" text="خارجية">
      <formula>NOT(ISERROR(SEARCH("خارجية",I231)))</formula>
    </cfRule>
    <cfRule type="containsText" dxfId="1551" priority="1532" stopIfTrue="1" operator="containsText" text="خارجي">
      <formula>NOT(ISERROR(SEARCH("خارجي",I231)))</formula>
    </cfRule>
  </conditionalFormatting>
  <conditionalFormatting sqref="I428 I424">
    <cfRule type="expression" dxfId="1550" priority="1530" stopIfTrue="1">
      <formula>IF(ROW(#REF!)&lt;=#REF!,"",1)=1</formula>
    </cfRule>
  </conditionalFormatting>
  <conditionalFormatting sqref="L608:L609 L578 L446 L524 L416 L425:L430 L432:L439 L448:L450 L245 L257 L252:L253 L295 L286 L247:L249 L270 L293 L288 L589:L593">
    <cfRule type="expression" dxfId="1549" priority="1529" stopIfTrue="1">
      <formula>#REF!=""</formula>
    </cfRule>
  </conditionalFormatting>
  <conditionalFormatting sqref="L417:L419 L446:L450 L425:L439 L245 L257 L252:L253 L405:L407 L247:L249 L589:L611 L562:L581">
    <cfRule type="containsText" dxfId="1548" priority="1517" stopIfTrue="1" operator="containsText" text="خارجية">
      <formula>NOT(ISERROR(SEARCH("خارجية",L245)))</formula>
    </cfRule>
    <cfRule type="containsText" dxfId="1547" priority="1518" stopIfTrue="1" operator="containsText" text="ن داخلية">
      <formula>NOT(ISERROR(SEARCH("ن داخلية",L245)))</formula>
    </cfRule>
    <cfRule type="containsText" dxfId="1546" priority="1519" stopIfTrue="1" operator="containsText" text="داخلية">
      <formula>NOT(ISERROR(SEARCH("داخلية",L245)))</formula>
    </cfRule>
    <cfRule type="containsText" dxfId="1545" priority="1520" stopIfTrue="1" operator="containsText" text="ن داخلية">
      <formula>NOT(ISERROR(SEARCH("ن داخلية",L245)))</formula>
    </cfRule>
    <cfRule type="containsText" dxfId="1544" priority="1521" stopIfTrue="1" operator="containsText" text="داخلية">
      <formula>NOT(ISERROR(SEARCH("داخلية",L245)))</formula>
    </cfRule>
    <cfRule type="cellIs" dxfId="1543" priority="1522" stopIfTrue="1" operator="equal">
      <formula>"ن داخلي"</formula>
    </cfRule>
    <cfRule type="cellIs" dxfId="1542" priority="1523" stopIfTrue="1" operator="equal">
      <formula>"ن داخلية"</formula>
    </cfRule>
    <cfRule type="cellIs" dxfId="1541" priority="1524" stopIfTrue="1" operator="equal">
      <formula>#REF!</formula>
    </cfRule>
    <cfRule type="cellIs" dxfId="1540" priority="1525" stopIfTrue="1" operator="equal">
      <formula>#REF!</formula>
    </cfRule>
    <cfRule type="cellIs" dxfId="1539" priority="1526" stopIfTrue="1" operator="equal">
      <formula>#REF!</formula>
    </cfRule>
    <cfRule type="cellIs" dxfId="1538" priority="1527" stopIfTrue="1" operator="equal">
      <formula>#REF!</formula>
    </cfRule>
    <cfRule type="cellIs" dxfId="1537" priority="1528" stopIfTrue="1" operator="equal">
      <formula>"داخلية"</formula>
    </cfRule>
  </conditionalFormatting>
  <conditionalFormatting sqref="L417:L419 L446:L450 L425:L439 L245 L257 L252:L253 L405:L407 L247:L249 L589:L611 L562:L581">
    <cfRule type="containsText" dxfId="1536" priority="1515" stopIfTrue="1" operator="containsText" text="خارجية">
      <formula>NOT(ISERROR(SEARCH("خارجية",L245)))</formula>
    </cfRule>
    <cfRule type="containsText" dxfId="1535" priority="1516" stopIfTrue="1" operator="containsText" text="خارجي">
      <formula>NOT(ISERROR(SEARCH("خارجي",L245)))</formula>
    </cfRule>
  </conditionalFormatting>
  <conditionalFormatting sqref="F490:G490 F467:G467 F527:F531 F519:F525 F484:F489 F491 G487:G488 G527 G492 D519:D525 F509:G509 D480:D482 G511 G519 F499:G503 F506:F508 F472:F475 F510 F495:G497 F494 G480 F480:F482 G524 F498 D465:D470 G522 F512:G513 D472:D475 G514:G517 F458:G464 G470:G475 F465:F466 F468:F470 F396:G398 G394:G395 F393:G393 G399 D396:D398 G542:G561 F562:G611 F400:G456 D400:D456 D513:D514 D458:D463 D502:D504 F504 D541:D611 D493:D495 D497:D499 D533:D539 F533:F561 G530:G540 D506:D510 D484:D488 D527:D531 D243 F247:G250 F392 F394 F387:G389 F330:G340 F378:G378 F236:G237 F243:G243 G373:G377 F241:G241 D368 F368 D366 F276:G277 F372:G372 D378 F278 F383:G384 G379:G382 G385:G386 G390:G392 F347:F352 G347:G349 F370 F358:G363 F353:G356 G351:G352 F341:F342 F375 F323:G328 F280:G321 F364:F366 G272:G273 D252:D261 F252:G261 D372 F271:F275 F322 F263:G270 D280:D339 F329 F343:G346 D370 D341:D352 D383:D384 D392:D394 D387:D389 D354:D364 D263:D278 D241 F235 D231:D237 F231:G234 E221:E611 D380 F380 F213 D213 F208:G208 D205 F205 E190:E197 E201:E215">
    <cfRule type="expression" dxfId="1534" priority="1514" stopIfTrue="1">
      <formula>#REF!=""</formula>
    </cfRule>
  </conditionalFormatting>
  <conditionalFormatting sqref="E257:E272 E280:E296">
    <cfRule type="expression" dxfId="1533" priority="1513" stopIfTrue="1">
      <formula>#REF!=""</formula>
    </cfRule>
  </conditionalFormatting>
  <conditionalFormatting sqref="E257:E272 E280:E296">
    <cfRule type="expression" dxfId="1532" priority="1512" stopIfTrue="1">
      <formula>#REF!=""</formula>
    </cfRule>
  </conditionalFormatting>
  <conditionalFormatting sqref="H524 H425:H430 H432:H441 H487:H493 H416:H423 H286 H270 H293 H295 H288 H141:H146">
    <cfRule type="expression" dxfId="1531" priority="1511" stopIfTrue="1">
      <formula>#REF!=""</formula>
    </cfRule>
  </conditionalFormatting>
  <conditionalFormatting sqref="I585 I564 I536 I509 I531 I455:I457 I459:I461 I589:I590 I587 I574:I582 I553:I554 I567:I568 I513:I514 I493 I398 I400 I394 I408:I453 I295 I241 I267 I270 I372 I293 I383 I288 I263:I264 I252:I261 I230:I237 I185 I125 I610:I611 I593:I604">
    <cfRule type="expression" dxfId="1530" priority="1510" stopIfTrue="1">
      <formula>#REF!=""</formula>
    </cfRule>
  </conditionalFormatting>
  <conditionalFormatting sqref="I408:I461 I514 I493 I394 I398 I400:I403 I252:I261 I263:I264 I391:I392 I372 I241 I267 I383 I230:I237 I547:I604 I606:I611">
    <cfRule type="containsText" dxfId="1529" priority="1498" stopIfTrue="1" operator="containsText" text="خارجية">
      <formula>NOT(ISERROR(SEARCH("خارجية",I230)))</formula>
    </cfRule>
    <cfRule type="containsText" dxfId="1528" priority="1499" stopIfTrue="1" operator="containsText" text="ن داخلية">
      <formula>NOT(ISERROR(SEARCH("ن داخلية",I230)))</formula>
    </cfRule>
    <cfRule type="containsText" dxfId="1527" priority="1500" stopIfTrue="1" operator="containsText" text="داخلية">
      <formula>NOT(ISERROR(SEARCH("داخلية",I230)))</formula>
    </cfRule>
    <cfRule type="containsText" dxfId="1526" priority="1501" stopIfTrue="1" operator="containsText" text="ن داخلية">
      <formula>NOT(ISERROR(SEARCH("ن داخلية",I230)))</formula>
    </cfRule>
    <cfRule type="containsText" dxfId="1525" priority="1502" stopIfTrue="1" operator="containsText" text="داخلية">
      <formula>NOT(ISERROR(SEARCH("داخلية",I230)))</formula>
    </cfRule>
    <cfRule type="cellIs" dxfId="1524" priority="1503" stopIfTrue="1" operator="equal">
      <formula>"ن داخلي"</formula>
    </cfRule>
    <cfRule type="cellIs" dxfId="1523" priority="1504" stopIfTrue="1" operator="equal">
      <formula>"ن داخلية"</formula>
    </cfRule>
    <cfRule type="cellIs" dxfId="1522" priority="1505" stopIfTrue="1" operator="equal">
      <formula>#REF!</formula>
    </cfRule>
    <cfRule type="cellIs" dxfId="1521" priority="1506" stopIfTrue="1" operator="equal">
      <formula>#REF!</formula>
    </cfRule>
    <cfRule type="cellIs" dxfId="1520" priority="1507" stopIfTrue="1" operator="equal">
      <formula>#REF!</formula>
    </cfRule>
    <cfRule type="cellIs" dxfId="1519" priority="1508" stopIfTrue="1" operator="equal">
      <formula>#REF!</formula>
    </cfRule>
    <cfRule type="cellIs" dxfId="1518" priority="1509" stopIfTrue="1" operator="equal">
      <formula>"داخلية"</formula>
    </cfRule>
  </conditionalFormatting>
  <conditionalFormatting sqref="I408:I461 I514 I493 I394 I398 I400:I403 I263:I264 I252:I261 I391:I392 I372 I241 I267 I383 I230:I237 I547:I604 I606:I611">
    <cfRule type="containsText" dxfId="1517" priority="1496" stopIfTrue="1" operator="containsText" text="خارجية">
      <formula>NOT(ISERROR(SEARCH("خارجية",I230)))</formula>
    </cfRule>
    <cfRule type="containsText" dxfId="1516" priority="1497" stopIfTrue="1" operator="containsText" text="خارجي">
      <formula>NOT(ISERROR(SEARCH("خارجي",I230)))</formula>
    </cfRule>
  </conditionalFormatting>
  <conditionalFormatting sqref="I428 I424">
    <cfRule type="expression" dxfId="1515" priority="1495" stopIfTrue="1">
      <formula>IF(ROW(#REF!)&lt;=#REF!,"",1)=1</formula>
    </cfRule>
  </conditionalFormatting>
  <conditionalFormatting sqref="G505 E480:E484 D481:D483 F481:F483 D506:G506 F512:F516 G514:G516 G509:G511 D485:F505 D507:F508 D512:E611 F517:G611 D174:G177 D190:F197 D207:G208 D201:F206 D222:F479 G222:G470 D209:F216">
    <cfRule type="expression" dxfId="1514" priority="1494" stopIfTrue="1">
      <formula>#REF!=""</formula>
    </cfRule>
  </conditionalFormatting>
  <conditionalFormatting sqref="E371:G371 D368:G368 D212:F213 E207:G207 D204:F204 E373:G373 D374:G374 D275:G363 D378:G611 E375:G375 F365 D231:G237 D240:G243 D366:F367 D364:F364 D376:G376 D372:G372 G369:G370 G377 D370:F370 E246:G273 D251:D273 D274:F274">
    <cfRule type="expression" dxfId="1513" priority="1493" stopIfTrue="1">
      <formula>#REF!=""</formula>
    </cfRule>
  </conditionalFormatting>
  <conditionalFormatting sqref="G590 D591:G611 D583:F583 G582 D581:G581 D580:F580 D585:E585 G584 D586:F586 D574:G574 D569:G571 D576:G579 D553:G553 G572:G573 G575 D556:G557 D558:F558 G554:G555 G558:G568 D565:F567 D587:G589 D550:G551 G552 G522 E519:E520 D513:G513 G514:G517 E478 D474:F475 D493:E493 E476 G458 D443:F444 G453:G454 G450:G451 D433:G433 D436:G438 D425:G431 G421:G424 D421:E421 D414:G420 D422:F424 D396:G397 G405:G409 D401:G404 G394:G395 D388:G388 D393:G393 G399 D382:G382 G383:G387 G389:G392 D350:F350 D344:E344 D348:F348 D370:F370 E360 D356:F356 D343:G343 D341:F342 D336:F337 D339:F339 D323:F324 D330:F330 D326:G327 G328 D321:G321 D317:F317 D318:G318 D319:F320 D287:F287 G320 D308:G310 G306 D300:F301 D292:G292 D291 G291 D293:F294 D302:G305 D297:F298 D281:F282 D289:F289 D276:G277 D253:G257 D259:G259 E271 D272:F272 D265:G265 D263:G263 D284:G286 D313:F314 D345:G345 D347:G347 D288:G288 D410:G410 G445 D412:E413 G412:G413 D213:F213">
    <cfRule type="expression" dxfId="1512" priority="1492" stopIfTrue="1">
      <formula>#REF!=""</formula>
    </cfRule>
  </conditionalFormatting>
  <conditionalFormatting sqref="E286 E288">
    <cfRule type="expression" dxfId="1511" priority="1491" stopIfTrue="1">
      <formula>#REF!=""</formula>
    </cfRule>
  </conditionalFormatting>
  <conditionalFormatting sqref="E286 E288">
    <cfRule type="expression" dxfId="1510" priority="1490" stopIfTrue="1">
      <formula>#REF!=""</formula>
    </cfRule>
  </conditionalFormatting>
  <conditionalFormatting sqref="G590 D591:G611 D583:F583 G582 D581:G581 D580:F580 D585:E585 G584 D586:F586 D574:G574 D569:G571 D576:G579 D553:G553 G572:G573 G575 D556:G557 D558:F558 G554:G555 G558:G568 D565:F567 D587:G589 D550:G551 G552 G522 E519:E520 D513:G513 G514:G517 E478 D474:F475 D493:E493 E476 G458 D443:F444 G453:G454 G450:G451 D433:G433 D436:G438 D425:G431 G421:G424 D421:E421 D414:G420 D422:F424 D396:G397 G405:G409 D401:G404 G394:G395 D393:G393 G399 D410:G410 G445 D412:E413 G412:G413 D389:G389 D383:G383 G384:G388 G390:G392 G380 D350:F350 D344:E344 D348:F348 D370:F370 E360 D356:F356 D343:G343 D341:F342 D336:F337 D339:F339 D323:F324 D330:F330 D326:G327 G328 D321:G321 D317:F317 D318:G318 D319:F320 D287:F287 G320 D308:G310 G306 D300:F301 D292:G292 D291 G291 D293:F294 D302:G305 D297:F298 D281:F282 D289:F289 D276:G277 D253:G257 D259:G259 E271 D272:F272 D265:G265 D263:G263 D284:G286 D313:F314 D345:G345 D347:G347 D288:G288 D213:F213">
    <cfRule type="expression" dxfId="1509" priority="1489" stopIfTrue="1">
      <formula>#REF!=""</formula>
    </cfRule>
  </conditionalFormatting>
  <conditionalFormatting sqref="E286 E288">
    <cfRule type="expression" dxfId="1508" priority="1488" stopIfTrue="1">
      <formula>#REF!=""</formula>
    </cfRule>
  </conditionalFormatting>
  <conditionalFormatting sqref="E286 E288">
    <cfRule type="expression" dxfId="1507" priority="1487" stopIfTrue="1">
      <formula>#REF!=""</formula>
    </cfRule>
  </conditionalFormatting>
  <conditionalFormatting sqref="H291 H140:H148">
    <cfRule type="expression" dxfId="1506" priority="1486" stopIfTrue="1">
      <formula>#REF!=""</formula>
    </cfRule>
  </conditionalFormatting>
  <conditionalFormatting sqref="H140:H145 H457:H469 H291:H296 H516:H522 H258:H265 H608:H609 H524 H386:H441 H479:H500 H269:H272 H281:H288">
    <cfRule type="expression" dxfId="1505" priority="1485" stopIfTrue="1">
      <formula>#REF!=""</formula>
    </cfRule>
  </conditionalFormatting>
  <conditionalFormatting sqref="H288">
    <cfRule type="expression" dxfId="1504" priority="1484" stopIfTrue="1">
      <formula>#REF!=""</formula>
    </cfRule>
  </conditionalFormatting>
  <conditionalFormatting sqref="I611 I581 I591:I596 I526 I390 I418 I426:I431 I433:I443 I446:I447 I449:I451 I263 I291 I251:I259 I137:I148 I184:I187 I125:I126 I221:I243">
    <cfRule type="expression" dxfId="1503" priority="1483" stopIfTrue="1">
      <formula>#REF!=""</formula>
    </cfRule>
  </conditionalFormatting>
  <conditionalFormatting sqref="I342:I350 I488:I491 I493 I247:I269 I216:I243 I354:I461 I509:I604 I606:I611">
    <cfRule type="containsText" dxfId="1502" priority="1471" stopIfTrue="1" operator="containsText" text="خارجية">
      <formula>NOT(ISERROR(SEARCH("خارجية",I216)))</formula>
    </cfRule>
    <cfRule type="containsText" dxfId="1501" priority="1472" stopIfTrue="1" operator="containsText" text="ن داخلية">
      <formula>NOT(ISERROR(SEARCH("ن داخلية",I216)))</formula>
    </cfRule>
    <cfRule type="containsText" dxfId="1500" priority="1473" stopIfTrue="1" operator="containsText" text="داخلية">
      <formula>NOT(ISERROR(SEARCH("داخلية",I216)))</formula>
    </cfRule>
    <cfRule type="containsText" dxfId="1499" priority="1474" stopIfTrue="1" operator="containsText" text="ن داخلية">
      <formula>NOT(ISERROR(SEARCH("ن داخلية",I216)))</formula>
    </cfRule>
    <cfRule type="containsText" dxfId="1498" priority="1475" stopIfTrue="1" operator="containsText" text="داخلية">
      <formula>NOT(ISERROR(SEARCH("داخلية",I216)))</formula>
    </cfRule>
    <cfRule type="cellIs" dxfId="1497" priority="1476" stopIfTrue="1" operator="equal">
      <formula>"ن داخلي"</formula>
    </cfRule>
    <cfRule type="cellIs" dxfId="1496" priority="1477" stopIfTrue="1" operator="equal">
      <formula>"ن داخلية"</formula>
    </cfRule>
    <cfRule type="cellIs" dxfId="1495" priority="1478" stopIfTrue="1" operator="equal">
      <formula>#REF!</formula>
    </cfRule>
    <cfRule type="cellIs" dxfId="1494" priority="1479" stopIfTrue="1" operator="equal">
      <formula>#REF!</formula>
    </cfRule>
    <cfRule type="cellIs" dxfId="1493" priority="1480" stopIfTrue="1" operator="equal">
      <formula>#REF!</formula>
    </cfRule>
    <cfRule type="cellIs" dxfId="1492" priority="1481" stopIfTrue="1" operator="equal">
      <formula>#REF!</formula>
    </cfRule>
    <cfRule type="cellIs" dxfId="1491" priority="1482" stopIfTrue="1" operator="equal">
      <formula>"داخلية"</formula>
    </cfRule>
  </conditionalFormatting>
  <conditionalFormatting sqref="I342:I350 I488:I491 I493 I247:I269 I216:I243 I354:I461 I509:I604 I606:I611">
    <cfRule type="containsText" dxfId="1490" priority="1469" stopIfTrue="1" operator="containsText" text="خارجية">
      <formula>NOT(ISERROR(SEARCH("خارجية",I216)))</formula>
    </cfRule>
    <cfRule type="containsText" dxfId="1489" priority="1470" stopIfTrue="1" operator="containsText" text="خارجي">
      <formula>NOT(ISERROR(SEARCH("خارجي",I216)))</formula>
    </cfRule>
  </conditionalFormatting>
  <conditionalFormatting sqref="I440 I436 I418 I424 I420:I422">
    <cfRule type="expression" dxfId="1488" priority="1468" stopIfTrue="1">
      <formula>IF(ROW(#REF!)&lt;=#REF!,"",1)=1</formula>
    </cfRule>
  </conditionalFormatting>
  <conditionalFormatting sqref="I357:I364 I526:I529 I184:I185 I125 I488:I489 I378:I380 I536 I531:I534 I548:I555 I504:I514 I493:I500 I240:I241 I368:I372 I230:I237 I382 I281:I295 I251:I272 I385:I461 I558:I604 I606:I611">
    <cfRule type="expression" dxfId="1487" priority="1467" stopIfTrue="1">
      <formula>#REF!=""</formula>
    </cfRule>
  </conditionalFormatting>
  <conditionalFormatting sqref="I414 I436 I444 I440 I422 I418">
    <cfRule type="expression" dxfId="1486" priority="1466" stopIfTrue="1">
      <formula>IF(ROW(#REF!)&lt;=#REF!,"",1)=1</formula>
    </cfRule>
  </conditionalFormatting>
  <conditionalFormatting sqref="I422 I418 I428 I424">
    <cfRule type="expression" dxfId="1485" priority="1465" stopIfTrue="1">
      <formula>IF(ROW(#REF!)&lt;=#REF!,"",1)=1</formula>
    </cfRule>
  </conditionalFormatting>
  <conditionalFormatting sqref="I424 I420:I421">
    <cfRule type="expression" dxfId="1484" priority="1464" stopIfTrue="1">
      <formula>IF(ROW(#REF!)&lt;=#REF!,"",1)=1</formula>
    </cfRule>
  </conditionalFormatting>
  <conditionalFormatting sqref="I611 I587 I577:I581 I553 I567 I513 I493 I434:I435 I437:I439 I382 I259 I263 I253:I257 I125 I415:I431">
    <cfRule type="expression" dxfId="1483" priority="1463" stopIfTrue="1">
      <formula>#REF!=""</formula>
    </cfRule>
  </conditionalFormatting>
  <conditionalFormatting sqref="I550:I585 I493 I434:I439 I400:I402 I382 I259 I253:I257 I263 I415:I432 I587:I604 I606:I611">
    <cfRule type="containsText" dxfId="1482" priority="1461" stopIfTrue="1" operator="containsText" text="خارجية">
      <formula>NOT(ISERROR(SEARCH("خارجية",I253)))</formula>
    </cfRule>
    <cfRule type="containsText" dxfId="1481" priority="1462" stopIfTrue="1" operator="containsText" text="خارجي">
      <formula>NOT(ISERROR(SEARCH("خارجي",I253)))</formula>
    </cfRule>
  </conditionalFormatting>
  <conditionalFormatting sqref="I550:I585 I493 I434:I439 I400:I402 I382 I263 I253:I257 I259 I415:I432 I587:I604 I606:I611">
    <cfRule type="containsText" dxfId="1480" priority="1449" stopIfTrue="1" operator="containsText" text="خارجية">
      <formula>NOT(ISERROR(SEARCH("خارجية",I253)))</formula>
    </cfRule>
    <cfRule type="containsText" dxfId="1479" priority="1450" stopIfTrue="1" operator="containsText" text="ن داخلية">
      <formula>NOT(ISERROR(SEARCH("ن داخلية",I253)))</formula>
    </cfRule>
    <cfRule type="containsText" dxfId="1478" priority="1451" stopIfTrue="1" operator="containsText" text="داخلية">
      <formula>NOT(ISERROR(SEARCH("داخلية",I253)))</formula>
    </cfRule>
    <cfRule type="containsText" dxfId="1477" priority="1452" stopIfTrue="1" operator="containsText" text="ن داخلية">
      <formula>NOT(ISERROR(SEARCH("ن داخلية",I253)))</formula>
    </cfRule>
    <cfRule type="containsText" dxfId="1476" priority="1453" stopIfTrue="1" operator="containsText" text="داخلية">
      <formula>NOT(ISERROR(SEARCH("داخلية",I253)))</formula>
    </cfRule>
    <cfRule type="cellIs" dxfId="1475" priority="1454" stopIfTrue="1" operator="equal">
      <formula>"ن داخلي"</formula>
    </cfRule>
    <cfRule type="cellIs" dxfId="1474" priority="1455" stopIfTrue="1" operator="equal">
      <formula>"ن داخلية"</formula>
    </cfRule>
    <cfRule type="cellIs" dxfId="1473" priority="1456" stopIfTrue="1" operator="equal">
      <formula>#REF!</formula>
    </cfRule>
    <cfRule type="cellIs" dxfId="1472" priority="1457" stopIfTrue="1" operator="equal">
      <formula>#REF!</formula>
    </cfRule>
    <cfRule type="cellIs" dxfId="1471" priority="1458" stopIfTrue="1" operator="equal">
      <formula>#REF!</formula>
    </cfRule>
    <cfRule type="cellIs" dxfId="1470" priority="1459" stopIfTrue="1" operator="equal">
      <formula>#REF!</formula>
    </cfRule>
    <cfRule type="cellIs" dxfId="1469" priority="1460" stopIfTrue="1" operator="equal">
      <formula>"داخلية"</formula>
    </cfRule>
  </conditionalFormatting>
  <conditionalFormatting sqref="I428 I424">
    <cfRule type="expression" dxfId="1468" priority="1448" stopIfTrue="1">
      <formula>IF(ROW(#REF!)&lt;=#REF!,"",1)=1</formula>
    </cfRule>
  </conditionalFormatting>
  <conditionalFormatting sqref="I220">
    <cfRule type="expression" dxfId="1467" priority="1447" stopIfTrue="1">
      <formula>#REF!=""</formula>
    </cfRule>
  </conditionalFormatting>
  <conditionalFormatting sqref="I611 I587 I577:I581 I553 I567 I513 I493 I434:I435 I437:I439 I383 I259 I263 I253:I257 I125 I415:I431">
    <cfRule type="expression" dxfId="1466" priority="1446" stopIfTrue="1">
      <formula>#REF!=""</formula>
    </cfRule>
  </conditionalFormatting>
  <conditionalFormatting sqref="I550:I585 I493 I434:I439 I400:I402 I383 I259 I253:I257 I263 I415:I432 I587:I604 I606:I611">
    <cfRule type="containsText" dxfId="1465" priority="1444" stopIfTrue="1" operator="containsText" text="خارجية">
      <formula>NOT(ISERROR(SEARCH("خارجية",I253)))</formula>
    </cfRule>
    <cfRule type="containsText" dxfId="1464" priority="1445" stopIfTrue="1" operator="containsText" text="خارجي">
      <formula>NOT(ISERROR(SEARCH("خارجي",I253)))</formula>
    </cfRule>
  </conditionalFormatting>
  <conditionalFormatting sqref="I550:I585 I493 I434:I439 I400:I402 I383 I263 I253:I257 I259 I415:I432 I587:I604 I606:I611">
    <cfRule type="containsText" dxfId="1463" priority="1432" stopIfTrue="1" operator="containsText" text="خارجية">
      <formula>NOT(ISERROR(SEARCH("خارجية",I253)))</formula>
    </cfRule>
    <cfRule type="containsText" dxfId="1462" priority="1433" stopIfTrue="1" operator="containsText" text="ن داخلية">
      <formula>NOT(ISERROR(SEARCH("ن داخلية",I253)))</formula>
    </cfRule>
    <cfRule type="containsText" dxfId="1461" priority="1434" stopIfTrue="1" operator="containsText" text="داخلية">
      <formula>NOT(ISERROR(SEARCH("داخلية",I253)))</formula>
    </cfRule>
    <cfRule type="containsText" dxfId="1460" priority="1435" stopIfTrue="1" operator="containsText" text="ن داخلية">
      <formula>NOT(ISERROR(SEARCH("ن داخلية",I253)))</formula>
    </cfRule>
    <cfRule type="containsText" dxfId="1459" priority="1436" stopIfTrue="1" operator="containsText" text="داخلية">
      <formula>NOT(ISERROR(SEARCH("داخلية",I253)))</formula>
    </cfRule>
    <cfRule type="cellIs" dxfId="1458" priority="1437" stopIfTrue="1" operator="equal">
      <formula>"ن داخلي"</formula>
    </cfRule>
    <cfRule type="cellIs" dxfId="1457" priority="1438" stopIfTrue="1" operator="equal">
      <formula>"ن داخلية"</formula>
    </cfRule>
    <cfRule type="cellIs" dxfId="1456" priority="1439" stopIfTrue="1" operator="equal">
      <formula>#REF!</formula>
    </cfRule>
    <cfRule type="cellIs" dxfId="1455" priority="1440" stopIfTrue="1" operator="equal">
      <formula>#REF!</formula>
    </cfRule>
    <cfRule type="cellIs" dxfId="1454" priority="1441" stopIfTrue="1" operator="equal">
      <formula>#REF!</formula>
    </cfRule>
    <cfRule type="cellIs" dxfId="1453" priority="1442" stopIfTrue="1" operator="equal">
      <formula>#REF!</formula>
    </cfRule>
    <cfRule type="cellIs" dxfId="1452" priority="1443" stopIfTrue="1" operator="equal">
      <formula>"داخلية"</formula>
    </cfRule>
  </conditionalFormatting>
  <conditionalFormatting sqref="I428 I424">
    <cfRule type="expression" dxfId="1451" priority="1431" stopIfTrue="1">
      <formula>IF(ROW(#REF!)&lt;=#REF!,"",1)=1</formula>
    </cfRule>
  </conditionalFormatting>
  <conditionalFormatting sqref="I626:I629 I355:I362 H455:H467 H384:H389 D398:I398 H267 D390:H397 D399:H436 D285:I285 D256:I256 I135:I146 D518:H518 I486:I487 E527:G529 D492:I498 E491:F491 E499:F499 F472:G473 L576 L522 L414 L446:L448 L255 L250:L251 L293 L284 L268 L291 L588:L592 F500:F501 G499:G501 I534 I529:I532 I491 I286:I293 H289:H294 H268:I270 I380:I381 H279:I284 H286:H287 E479:E490 D479:D491 E500:E508 D499:D508 F502:G508 D509:G517 E519:F526 D519:D529 D607:I608 G521:G526 D530:G606 D609:G629 D437:G471 F474:F490 D472:E478 G474:G491 D220:G255 D257:G284 D286:G389 D188:F195 D205:G206 D199:F204 D207:F214 E219 H514:H517 G519:H520 H477:H491 H437:H439 H138:H146 I524:I527 I500 H522:I522 I544:I554 I502:I512 I484 I383:I397 I399:I459 I366:I370 I376:I378 I257:I267 H257:H264 I246:I255 I219:I241 I182:I185 I124:I125 I609:I618 L599:L600 L580:L583 L603:L608 L568 L515 L439 L418:L437 L441:L444 L410 L289 L280 L264 L286:L287 L282 L242:L247 L611:L615 H603:I603 I556:I602 I604 I606">
    <cfRule type="expression" dxfId="1450" priority="1430" stopIfTrue="1">
      <formula>#REF!=""</formula>
    </cfRule>
  </conditionalFormatting>
  <conditionalFormatting sqref="F282:F283 E274:E294 E252:E270">
    <cfRule type="expression" dxfId="1449" priority="1429" stopIfTrue="1">
      <formula>#REF!=""</formula>
    </cfRule>
  </conditionalFormatting>
  <conditionalFormatting sqref="F282:F283 E274:E294 E252:E270">
    <cfRule type="expression" dxfId="1448" priority="1428" stopIfTrue="1">
      <formula>#REF!=""</formula>
    </cfRule>
  </conditionalFormatting>
  <conditionalFormatting sqref="I340:I348 I486:I489 L255 L250:L251 L403:L405 I491 I505 I484 I352:I459 I245:I267 I214:I241 L439:L448 L415:L437 L411:L412 L399:L401 L242:L247 L552:L619 I507:I604 I606:I629">
    <cfRule type="containsText" dxfId="1447" priority="1416" stopIfTrue="1" operator="containsText" text="خارجية">
      <formula>NOT(ISERROR(SEARCH("خارجية",I214)))</formula>
    </cfRule>
    <cfRule type="containsText" dxfId="1446" priority="1417" stopIfTrue="1" operator="containsText" text="ن داخلية">
      <formula>NOT(ISERROR(SEARCH("ن داخلية",I214)))</formula>
    </cfRule>
    <cfRule type="containsText" dxfId="1445" priority="1418" stopIfTrue="1" operator="containsText" text="داخلية">
      <formula>NOT(ISERROR(SEARCH("داخلية",I214)))</formula>
    </cfRule>
    <cfRule type="containsText" dxfId="1444" priority="1419" stopIfTrue="1" operator="containsText" text="ن داخلية">
      <formula>NOT(ISERROR(SEARCH("ن داخلية",I214)))</formula>
    </cfRule>
    <cfRule type="containsText" dxfId="1443" priority="1420" stopIfTrue="1" operator="containsText" text="داخلية">
      <formula>NOT(ISERROR(SEARCH("داخلية",I214)))</formula>
    </cfRule>
    <cfRule type="cellIs" dxfId="1442" priority="1421" stopIfTrue="1" operator="equal">
      <formula>"ن داخلي"</formula>
    </cfRule>
    <cfRule type="cellIs" dxfId="1441" priority="1422" stopIfTrue="1" operator="equal">
      <formula>"ن داخلية"</formula>
    </cfRule>
    <cfRule type="cellIs" dxfId="1440" priority="1423" stopIfTrue="1" operator="equal">
      <formula>#REF!</formula>
    </cfRule>
    <cfRule type="cellIs" dxfId="1439" priority="1424" stopIfTrue="1" operator="equal">
      <formula>#REF!</formula>
    </cfRule>
    <cfRule type="cellIs" dxfId="1438" priority="1425" stopIfTrue="1" operator="equal">
      <formula>#REF!</formula>
    </cfRule>
    <cfRule type="cellIs" dxfId="1437" priority="1426" stopIfTrue="1" operator="equal">
      <formula>#REF!</formula>
    </cfRule>
    <cfRule type="cellIs" dxfId="1436" priority="1427" stopIfTrue="1" operator="equal">
      <formula>"داخلية"</formula>
    </cfRule>
  </conditionalFormatting>
  <conditionalFormatting sqref="L255 L250:L251 L403:L405 I340:I348 I486:I489 I491 I505 I484 I352:I459 I245:I267 I214:I241 L439:L448 L415:L437 L411:L412 L399:L401 L242:L247 L552:L619 I507:I604 I606:I629">
    <cfRule type="containsText" dxfId="1435" priority="1414" stopIfTrue="1" operator="containsText" text="خارجية">
      <formula>NOT(ISERROR(SEARCH("خارجية",I214)))</formula>
    </cfRule>
    <cfRule type="containsText" dxfId="1434" priority="1415" stopIfTrue="1" operator="containsText" text="خارجي">
      <formula>NOT(ISERROR(SEARCH("خارجي",I214)))</formula>
    </cfRule>
  </conditionalFormatting>
  <conditionalFormatting sqref="I426 I420:I422 I416:I418">
    <cfRule type="expression" dxfId="1433" priority="1413" stopIfTrue="1">
      <formula>IF(ROW(#REF!)&lt;=#REF!,"",1)=1</formula>
    </cfRule>
  </conditionalFormatting>
  <conditionalFormatting sqref="G503 E478:E482 D479:D481 F479:F481 D504:G504 F510:F514 G512:G514 G507:G509 D483:F503 D505:F506 D510:E610 F515:G610 D172:G175 D188:F195 D205:G206 D199:F204 D220:F477 G220:G468 D207:F214 I124:I125 H615:H629 H138:H146 I610:I611 I579 I590:I595 I524 I388 I416 I424:I429 I431:I441 I444:I445 I447:I449 I261 H289:I289 I249:I257 I615:I617 I135:I146 I182:I185 I219:I241">
    <cfRule type="expression" dxfId="1432" priority="1412" stopIfTrue="1">
      <formula>#REF!=""</formula>
    </cfRule>
  </conditionalFormatting>
  <conditionalFormatting sqref="E369:G369 D366:G366 E205:G205 D202:F202 E371:G371 D372:G372 E373:G373 F363 D229:G235 D238:G241 D364:F365 D362:F362 D374:G374 D370:G370 G367:G368 G375 D249:D271 D272:F272 I124 D376:G610 D368:F368 E244:G271 D210:F211 D273:G361 H138:H143 H615:H629 H455:H467 H289:H294 H514:H520 H256:H263 H607:H608 H522 H384:H439 H477:H498 H267:H270 H279:H286 I355:I362 I524:I527 I182:I183 I486:I487 I376:I378 I534 I529:I532 I238:I239 I366:I370 I228:I235 I279:I293 I218 I546:I553 I502:I512 I491:I498 I380:I381 I249:I270 I383:I459 H603:I603 I556:I602 I604 I606:I617">
    <cfRule type="expression" dxfId="1431" priority="1411" stopIfTrue="1">
      <formula>#REF!=""</formula>
    </cfRule>
  </conditionalFormatting>
  <conditionalFormatting sqref="I340:I348 I486:I489 I214:I241 I491 I245:I267 I352:I459 I507:I604 I606:I617">
    <cfRule type="containsText" dxfId="1430" priority="1399" stopIfTrue="1" operator="containsText" text="خارجية">
      <formula>NOT(ISERROR(SEARCH("خارجية",I214)))</formula>
    </cfRule>
    <cfRule type="containsText" dxfId="1429" priority="1400" stopIfTrue="1" operator="containsText" text="ن داخلية">
      <formula>NOT(ISERROR(SEARCH("ن داخلية",I214)))</formula>
    </cfRule>
    <cfRule type="containsText" dxfId="1428" priority="1401" stopIfTrue="1" operator="containsText" text="داخلية">
      <formula>NOT(ISERROR(SEARCH("داخلية",I214)))</formula>
    </cfRule>
    <cfRule type="containsText" dxfId="1427" priority="1402" stopIfTrue="1" operator="containsText" text="ن داخلية">
      <formula>NOT(ISERROR(SEARCH("ن داخلية",I214)))</formula>
    </cfRule>
    <cfRule type="containsText" dxfId="1426" priority="1403" stopIfTrue="1" operator="containsText" text="داخلية">
      <formula>NOT(ISERROR(SEARCH("داخلية",I214)))</formula>
    </cfRule>
    <cfRule type="cellIs" dxfId="1425" priority="1404" stopIfTrue="1" operator="equal">
      <formula>"ن داخلي"</formula>
    </cfRule>
    <cfRule type="cellIs" dxfId="1424" priority="1405" stopIfTrue="1" operator="equal">
      <formula>"ن داخلية"</formula>
    </cfRule>
    <cfRule type="cellIs" dxfId="1423" priority="1406" stopIfTrue="1" operator="equal">
      <formula>#REF!</formula>
    </cfRule>
    <cfRule type="cellIs" dxfId="1422" priority="1407" stopIfTrue="1" operator="equal">
      <formula>#REF!</formula>
    </cfRule>
    <cfRule type="cellIs" dxfId="1421" priority="1408" stopIfTrue="1" operator="equal">
      <formula>#REF!</formula>
    </cfRule>
    <cfRule type="cellIs" dxfId="1420" priority="1409" stopIfTrue="1" operator="equal">
      <formula>#REF!</formula>
    </cfRule>
    <cfRule type="cellIs" dxfId="1419" priority="1410" stopIfTrue="1" operator="equal">
      <formula>"داخلية"</formula>
    </cfRule>
  </conditionalFormatting>
  <conditionalFormatting sqref="I422 I412 I434 I442 I438 I418:I420 I416">
    <cfRule type="expression" dxfId="1418" priority="1398" stopIfTrue="1">
      <formula>IF(ROW(#REF!)&lt;=#REF!,"",1)=1</formula>
    </cfRule>
  </conditionalFormatting>
  <conditionalFormatting sqref="I420 I416 I426 I422">
    <cfRule type="expression" dxfId="1417" priority="1397" stopIfTrue="1">
      <formula>IF(ROW(#REF!)&lt;=#REF!,"",1)=1</formula>
    </cfRule>
  </conditionalFormatting>
  <conditionalFormatting sqref="I422 I418:I419">
    <cfRule type="expression" dxfId="1416" priority="1396" stopIfTrue="1">
      <formula>IF(ROW(#REF!)&lt;=#REF!,"",1)=1</formula>
    </cfRule>
  </conditionalFormatting>
  <conditionalFormatting sqref="I426 I422">
    <cfRule type="expression" dxfId="1415" priority="1395" stopIfTrue="1">
      <formula>IF(ROW(#REF!)&lt;=#REF!,"",1)=1</formula>
    </cfRule>
  </conditionalFormatting>
  <conditionalFormatting sqref="D603:G605">
    <cfRule type="expression" dxfId="1414" priority="1394" stopIfTrue="1">
      <formula>#REF!=""</formula>
    </cfRule>
  </conditionalFormatting>
  <conditionalFormatting sqref="I603">
    <cfRule type="expression" dxfId="1413" priority="1393" stopIfTrue="1">
      <formula>#REF!=""</formula>
    </cfRule>
  </conditionalFormatting>
  <conditionalFormatting sqref="H603">
    <cfRule type="expression" dxfId="1412" priority="1392" stopIfTrue="1">
      <formula>#REF!=""</formula>
    </cfRule>
  </conditionalFormatting>
  <conditionalFormatting sqref="H603">
    <cfRule type="expression" dxfId="1411" priority="1391" stopIfTrue="1">
      <formula>#REF!=""</formula>
    </cfRule>
  </conditionalFormatting>
  <conditionalFormatting sqref="H603">
    <cfRule type="expression" dxfId="1410" priority="1390" stopIfTrue="1">
      <formula>#REF!=""</formula>
    </cfRule>
  </conditionalFormatting>
  <conditionalFormatting sqref="I603">
    <cfRule type="expression" dxfId="1409" priority="1389" stopIfTrue="1">
      <formula>#REF!=""</formula>
    </cfRule>
  </conditionalFormatting>
  <conditionalFormatting sqref="I603">
    <cfRule type="expression" dxfId="1408" priority="1388" stopIfTrue="1">
      <formula>#REF!=""</formula>
    </cfRule>
  </conditionalFormatting>
  <conditionalFormatting sqref="I603">
    <cfRule type="expression" dxfId="1407" priority="1387" stopIfTrue="1">
      <formula>#REF!=""</formula>
    </cfRule>
  </conditionalFormatting>
  <conditionalFormatting sqref="I603">
    <cfRule type="expression" dxfId="1406" priority="1386" stopIfTrue="1">
      <formula>#REF!=""</formula>
    </cfRule>
  </conditionalFormatting>
  <conditionalFormatting sqref="H603">
    <cfRule type="expression" dxfId="1405" priority="1385" stopIfTrue="1">
      <formula>#REF!=""</formula>
    </cfRule>
  </conditionalFormatting>
  <conditionalFormatting sqref="H603">
    <cfRule type="expression" dxfId="1404" priority="1384" stopIfTrue="1">
      <formula>#REF!=""</formula>
    </cfRule>
  </conditionalFormatting>
  <conditionalFormatting sqref="H603">
    <cfRule type="expression" dxfId="1403" priority="1383" stopIfTrue="1">
      <formula>#REF!=""</formula>
    </cfRule>
  </conditionalFormatting>
  <conditionalFormatting sqref="I603">
    <cfRule type="expression" dxfId="1402" priority="1382" stopIfTrue="1">
      <formula>#REF!=""</formula>
    </cfRule>
  </conditionalFormatting>
  <conditionalFormatting sqref="I603">
    <cfRule type="expression" dxfId="1401" priority="1381" stopIfTrue="1">
      <formula>#REF!=""</formula>
    </cfRule>
  </conditionalFormatting>
  <conditionalFormatting sqref="I603">
    <cfRule type="expression" dxfId="1400" priority="1380" stopIfTrue="1">
      <formula>#REF!=""</formula>
    </cfRule>
  </conditionalFormatting>
  <conditionalFormatting sqref="I603">
    <cfRule type="expression" dxfId="1399" priority="1379" stopIfTrue="1">
      <formula>#REF!=""</formula>
    </cfRule>
  </conditionalFormatting>
  <conditionalFormatting sqref="I603">
    <cfRule type="expression" dxfId="1398" priority="1378" stopIfTrue="1">
      <formula>IF(ROW(#REF!)&lt;=#REF!,"",1)=1</formula>
    </cfRule>
  </conditionalFormatting>
  <conditionalFormatting sqref="I604">
    <cfRule type="expression" dxfId="1397" priority="1377" stopIfTrue="1">
      <formula>#REF!=""</formula>
    </cfRule>
  </conditionalFormatting>
  <conditionalFormatting sqref="I604">
    <cfRule type="expression" dxfId="1396" priority="1376" stopIfTrue="1">
      <formula>#REF!=""</formula>
    </cfRule>
  </conditionalFormatting>
  <conditionalFormatting sqref="D337:G344">
    <cfRule type="expression" dxfId="1395" priority="1375" stopIfTrue="1">
      <formula>#REF!=""</formula>
    </cfRule>
  </conditionalFormatting>
  <conditionalFormatting sqref="I339:I344">
    <cfRule type="containsText" dxfId="1394" priority="1363" stopIfTrue="1" operator="containsText" text="خارجية">
      <formula>NOT(ISERROR(SEARCH("خارجية",I339)))</formula>
    </cfRule>
    <cfRule type="containsText" dxfId="1393" priority="1364" stopIfTrue="1" operator="containsText" text="ن داخلية">
      <formula>NOT(ISERROR(SEARCH("ن داخلية",I339)))</formula>
    </cfRule>
    <cfRule type="containsText" dxfId="1392" priority="1365" stopIfTrue="1" operator="containsText" text="داخلية">
      <formula>NOT(ISERROR(SEARCH("داخلية",I339)))</formula>
    </cfRule>
    <cfRule type="containsText" dxfId="1391" priority="1366" stopIfTrue="1" operator="containsText" text="ن داخلية">
      <formula>NOT(ISERROR(SEARCH("ن داخلية",I339)))</formula>
    </cfRule>
    <cfRule type="containsText" dxfId="1390" priority="1367" stopIfTrue="1" operator="containsText" text="داخلية">
      <formula>NOT(ISERROR(SEARCH("داخلية",I339)))</formula>
    </cfRule>
    <cfRule type="cellIs" dxfId="1389" priority="1368" stopIfTrue="1" operator="equal">
      <formula>"ن داخلي"</formula>
    </cfRule>
    <cfRule type="cellIs" dxfId="1388" priority="1369" stopIfTrue="1" operator="equal">
      <formula>"ن داخلية"</formula>
    </cfRule>
    <cfRule type="cellIs" dxfId="1387" priority="1370" stopIfTrue="1" operator="equal">
      <formula>#REF!</formula>
    </cfRule>
    <cfRule type="cellIs" dxfId="1386" priority="1371" stopIfTrue="1" operator="equal">
      <formula>#REF!</formula>
    </cfRule>
    <cfRule type="cellIs" dxfId="1385" priority="1372" stopIfTrue="1" operator="equal">
      <formula>#REF!</formula>
    </cfRule>
    <cfRule type="cellIs" dxfId="1384" priority="1373" stopIfTrue="1" operator="equal">
      <formula>#REF!</formula>
    </cfRule>
    <cfRule type="cellIs" dxfId="1383" priority="1374" stopIfTrue="1" operator="equal">
      <formula>"داخلية"</formula>
    </cfRule>
  </conditionalFormatting>
  <conditionalFormatting sqref="I339:I344">
    <cfRule type="containsText" dxfId="1382" priority="1361" stopIfTrue="1" operator="containsText" text="خارجية">
      <formula>NOT(ISERROR(SEARCH("خارجية",I339)))</formula>
    </cfRule>
    <cfRule type="containsText" dxfId="1381" priority="1362" stopIfTrue="1" operator="containsText" text="خارجي">
      <formula>NOT(ISERROR(SEARCH("خارجي",I339)))</formula>
    </cfRule>
  </conditionalFormatting>
  <conditionalFormatting sqref="D337:G344">
    <cfRule type="expression" dxfId="1380" priority="1360" stopIfTrue="1">
      <formula>#REF!=""</formula>
    </cfRule>
  </conditionalFormatting>
  <conditionalFormatting sqref="D337:G344">
    <cfRule type="expression" dxfId="1379" priority="1359" stopIfTrue="1">
      <formula>#REF!=""</formula>
    </cfRule>
  </conditionalFormatting>
  <conditionalFormatting sqref="I339:I344">
    <cfRule type="containsText" dxfId="1378" priority="1347" stopIfTrue="1" operator="containsText" text="خارجية">
      <formula>NOT(ISERROR(SEARCH("خارجية",I339)))</formula>
    </cfRule>
    <cfRule type="containsText" dxfId="1377" priority="1348" stopIfTrue="1" operator="containsText" text="ن داخلية">
      <formula>NOT(ISERROR(SEARCH("ن داخلية",I339)))</formula>
    </cfRule>
    <cfRule type="containsText" dxfId="1376" priority="1349" stopIfTrue="1" operator="containsText" text="داخلية">
      <formula>NOT(ISERROR(SEARCH("داخلية",I339)))</formula>
    </cfRule>
    <cfRule type="containsText" dxfId="1375" priority="1350" stopIfTrue="1" operator="containsText" text="ن داخلية">
      <formula>NOT(ISERROR(SEARCH("ن داخلية",I339)))</formula>
    </cfRule>
    <cfRule type="containsText" dxfId="1374" priority="1351" stopIfTrue="1" operator="containsText" text="داخلية">
      <formula>NOT(ISERROR(SEARCH("داخلية",I339)))</formula>
    </cfRule>
    <cfRule type="cellIs" dxfId="1373" priority="1352" stopIfTrue="1" operator="equal">
      <formula>"ن داخلي"</formula>
    </cfRule>
    <cfRule type="cellIs" dxfId="1372" priority="1353" stopIfTrue="1" operator="equal">
      <formula>"ن داخلية"</formula>
    </cfRule>
    <cfRule type="cellIs" dxfId="1371" priority="1354" stopIfTrue="1" operator="equal">
      <formula>#REF!</formula>
    </cfRule>
    <cfRule type="cellIs" dxfId="1370" priority="1355" stopIfTrue="1" operator="equal">
      <formula>#REF!</formula>
    </cfRule>
    <cfRule type="cellIs" dxfId="1369" priority="1356" stopIfTrue="1" operator="equal">
      <formula>#REF!</formula>
    </cfRule>
    <cfRule type="cellIs" dxfId="1368" priority="1357" stopIfTrue="1" operator="equal">
      <formula>#REF!</formula>
    </cfRule>
    <cfRule type="cellIs" dxfId="1367" priority="1358" stopIfTrue="1" operator="equal">
      <formula>"داخلية"</formula>
    </cfRule>
  </conditionalFormatting>
  <conditionalFormatting sqref="D606:G606">
    <cfRule type="expression" dxfId="1366" priority="1346" stopIfTrue="1">
      <formula>#REF!=""</formula>
    </cfRule>
  </conditionalFormatting>
  <conditionalFormatting sqref="D606:G606">
    <cfRule type="expression" dxfId="1365" priority="1345" stopIfTrue="1">
      <formula>#REF!=""</formula>
    </cfRule>
  </conditionalFormatting>
  <conditionalFormatting sqref="I606">
    <cfRule type="expression" dxfId="1364" priority="1344" stopIfTrue="1">
      <formula>#REF!=""</formula>
    </cfRule>
  </conditionalFormatting>
  <conditionalFormatting sqref="I606">
    <cfRule type="expression" dxfId="1363" priority="1343" stopIfTrue="1">
      <formula>#REF!=""</formula>
    </cfRule>
  </conditionalFormatting>
  <conditionalFormatting sqref="I606">
    <cfRule type="expression" dxfId="1362" priority="1342" stopIfTrue="1">
      <formula>#REF!=""</formula>
    </cfRule>
  </conditionalFormatting>
  <conditionalFormatting sqref="I606">
    <cfRule type="expression" dxfId="1361" priority="1341" stopIfTrue="1">
      <formula>#REF!=""</formula>
    </cfRule>
  </conditionalFormatting>
  <conditionalFormatting sqref="I606">
    <cfRule type="expression" dxfId="1360" priority="1340" stopIfTrue="1">
      <formula>#REF!=""</formula>
    </cfRule>
  </conditionalFormatting>
  <conditionalFormatting sqref="I606">
    <cfRule type="expression" dxfId="1359" priority="1339" stopIfTrue="1">
      <formula>#REF!=""</formula>
    </cfRule>
  </conditionalFormatting>
  <conditionalFormatting sqref="I606">
    <cfRule type="expression" dxfId="1358" priority="1338" stopIfTrue="1">
      <formula>#REF!=""</formula>
    </cfRule>
  </conditionalFormatting>
  <conditionalFormatting sqref="I606">
    <cfRule type="expression" dxfId="1357" priority="1337" stopIfTrue="1">
      <formula>#REF!=""</formula>
    </cfRule>
  </conditionalFormatting>
  <conditionalFormatting sqref="I606">
    <cfRule type="expression" dxfId="1356" priority="1336" stopIfTrue="1">
      <formula>#REF!=""</formula>
    </cfRule>
  </conditionalFormatting>
  <conditionalFormatting sqref="D637:E638 D640:E641 D628:E634 D589:E626 E464:E468 D465:D467 D494:E587 D469:E489 D291:E463 D237:E289 D231:E235 D208:E210 D203:E206 D215:E229 D136:E146 D126:E132">
    <cfRule type="expression" dxfId="1355" priority="1335" stopIfTrue="1">
      <formula>#REF!=""</formula>
    </cfRule>
  </conditionalFormatting>
  <conditionalFormatting sqref="D491:E587 D291:E489 D237:E289 D231:E235 D183:E184 D202:E204 D159:E181 D186:E200 D206:E229 D149:E151 D153:D158 E153:E157 D136:E147 D126:E132 D104:E104 E103 D589:E629">
    <cfRule type="expression" dxfId="1354" priority="1334" stopIfTrue="1">
      <formula>#REF!=""</formula>
    </cfRule>
  </conditionalFormatting>
  <conditionalFormatting sqref="D584:E587 D524:E582 D485:E489 D491:E522 D291:E483 D237:E289 D231:E235 D183:E184 D202:E204 D186:E190 D159:E181 D192:E200 D149:E151 D153:D158 E153:E157 D126:E132 D136:E147 D104:E105 E103 D589:E631 D206:E229">
    <cfRule type="expression" dxfId="1353" priority="1333" stopIfTrue="1">
      <formula>#REF!=""</formula>
    </cfRule>
  </conditionalFormatting>
  <conditionalFormatting sqref="H629">
    <cfRule type="expression" dxfId="1352" priority="1332" stopIfTrue="1">
      <formula>#REF!=""</formula>
    </cfRule>
  </conditionalFormatting>
  <conditionalFormatting sqref="H595 H626">
    <cfRule type="containsText" dxfId="1351" priority="1320" stopIfTrue="1" operator="containsText" text="خارجية">
      <formula>NOT(ISERROR(SEARCH("خارجية",H595)))</formula>
    </cfRule>
    <cfRule type="containsText" dxfId="1350" priority="1321" stopIfTrue="1" operator="containsText" text="ن داخلية">
      <formula>NOT(ISERROR(SEARCH("ن داخلية",H595)))</formula>
    </cfRule>
    <cfRule type="containsText" dxfId="1349" priority="1322" stopIfTrue="1" operator="containsText" text="داخلية">
      <formula>NOT(ISERROR(SEARCH("داخلية",H595)))</formula>
    </cfRule>
    <cfRule type="containsText" dxfId="1348" priority="1323" stopIfTrue="1" operator="containsText" text="ن داخلية">
      <formula>NOT(ISERROR(SEARCH("ن داخلية",H595)))</formula>
    </cfRule>
    <cfRule type="containsText" dxfId="1347" priority="1324" stopIfTrue="1" operator="containsText" text="داخلية">
      <formula>NOT(ISERROR(SEARCH("داخلية",H595)))</formula>
    </cfRule>
    <cfRule type="cellIs" dxfId="1346" priority="1325" stopIfTrue="1" operator="equal">
      <formula>"ن داخلي"</formula>
    </cfRule>
    <cfRule type="cellIs" dxfId="1345" priority="1326" stopIfTrue="1" operator="equal">
      <formula>"ن داخلية"</formula>
    </cfRule>
    <cfRule type="cellIs" dxfId="1344" priority="1327" stopIfTrue="1" operator="equal">
      <formula>#REF!</formula>
    </cfRule>
    <cfRule type="cellIs" dxfId="1343" priority="1328" stopIfTrue="1" operator="equal">
      <formula>#REF!</formula>
    </cfRule>
    <cfRule type="cellIs" dxfId="1342" priority="1329" stopIfTrue="1" operator="equal">
      <formula>#REF!</formula>
    </cfRule>
    <cfRule type="cellIs" dxfId="1341" priority="1330" stopIfTrue="1" operator="equal">
      <formula>#REF!</formula>
    </cfRule>
    <cfRule type="cellIs" dxfId="1340" priority="1331" stopIfTrue="1" operator="equal">
      <formula>"داخلية"</formula>
    </cfRule>
  </conditionalFormatting>
  <conditionalFormatting sqref="H595 H626">
    <cfRule type="containsText" dxfId="1339" priority="1318" stopIfTrue="1" operator="containsText" text="خارجية">
      <formula>NOT(ISERROR(SEARCH("خارجية",H595)))</formula>
    </cfRule>
    <cfRule type="containsText" dxfId="1338" priority="1319" stopIfTrue="1" operator="containsText" text="خارجي">
      <formula>NOT(ISERROR(SEARCH("خارجي",H595)))</formula>
    </cfRule>
  </conditionalFormatting>
  <conditionalFormatting sqref="H626 H595 H629">
    <cfRule type="expression" dxfId="1337" priority="1317" stopIfTrue="1">
      <formula>#REF!=""</formula>
    </cfRule>
  </conditionalFormatting>
  <conditionalFormatting sqref="H629 H633 H595 H626">
    <cfRule type="expression" dxfId="1336" priority="1316" stopIfTrue="1">
      <formula>#REF!=""</formula>
    </cfRule>
  </conditionalFormatting>
  <conditionalFormatting sqref="G638:G641 G628:G629 G589:G626 G491:G493 G487 G496:G506 G508:G587 G291:G454 G231:G235 G237:G289 G203:G206 G215:G229 G142">
    <cfRule type="expression" dxfId="1335" priority="1315" stopIfTrue="1">
      <formula>#REF!=""</formula>
    </cfRule>
  </conditionalFormatting>
  <conditionalFormatting sqref="F626 G619:G626 F589:G618 F619:F624 F491:G587 F291:G489 F237:G289 F231:G235 F208:F210 F190 G202:G204 F191:G191 G193:G200 G187:G190 G168:G179 G208:G229 G152:G161 G148 F142:G142 G129:G131 G126 F143:F146 G138:G141 G143:G144 F136:F141 F126:F132 F216:F229 F627:G627 G628:G629">
    <cfRule type="expression" dxfId="1334" priority="1314" stopIfTrue="1">
      <formula>#REF!=""</formula>
    </cfRule>
  </conditionalFormatting>
  <conditionalFormatting sqref="G632:G635 G572:G582 F584:G587 G556:G570 G541 G544:G554 F524:F582 G524:G539 F515:G515 G511 G465 G468 F463:G463 F501:G501 F502:F508 F511:F514 F516:F522 F509:G510 G513:G514 G516:G517 G520:G522 G492:G500 F464:F483 G470:G482 G458:G462 F485:F489 F491:F500 F416:F462 G422:G443 G416:G420 F291:G415 F237:G289 F231:G235 F208:F210 G202:G204 F190 G208:G215 G193:G200 G187:G190 G168:G179 F143:F146 G152:G161 G148 F142:G142 G129:G131 G126 G138:G141 G143:G144 F126:F132 F136:F141 F589:F628 F216:G229 G589:G630">
    <cfRule type="expression" dxfId="1333" priority="1313" stopIfTrue="1">
      <formula>#REF!=""</formula>
    </cfRule>
  </conditionalFormatting>
  <conditionalFormatting sqref="I215:I236 I609:I625 I572:I579 I594 I564 I552 I509 I420:I430 I433:I434 I436:I437 I412:I418 I377 I315 I252 I242:I248 I166:I177 I155:I156 I121:I123 I627 I596:I607">
    <cfRule type="expression" dxfId="1332" priority="1312" stopIfTrue="1">
      <formula>#REF!=""</formula>
    </cfRule>
  </conditionalFormatting>
  <conditionalFormatting sqref="I472:I474 I476 I478:I481 I458:I459 I483:I484 I461 I317 I320 I342:I347 I349:I451 I195 I157:I162 I171:I178 I209:I301 I630:I635 I626:I627 I491:I624">
    <cfRule type="containsText" dxfId="1331" priority="1300" stopIfTrue="1" operator="containsText" text="خارجية">
      <formula>NOT(ISERROR(SEARCH("خارجية",I157)))</formula>
    </cfRule>
    <cfRule type="containsText" dxfId="1330" priority="1301" stopIfTrue="1" operator="containsText" text="ن داخلية">
      <formula>NOT(ISERROR(SEARCH("ن داخلية",I157)))</formula>
    </cfRule>
    <cfRule type="containsText" dxfId="1329" priority="1302" stopIfTrue="1" operator="containsText" text="داخلية">
      <formula>NOT(ISERROR(SEARCH("داخلية",I157)))</formula>
    </cfRule>
    <cfRule type="containsText" dxfId="1328" priority="1303" stopIfTrue="1" operator="containsText" text="ن داخلية">
      <formula>NOT(ISERROR(SEARCH("ن داخلية",I157)))</formula>
    </cfRule>
    <cfRule type="containsText" dxfId="1327" priority="1304" stopIfTrue="1" operator="containsText" text="داخلية">
      <formula>NOT(ISERROR(SEARCH("داخلية",I157)))</formula>
    </cfRule>
    <cfRule type="cellIs" dxfId="1326" priority="1305" stopIfTrue="1" operator="equal">
      <formula>"ن داخلي"</formula>
    </cfRule>
    <cfRule type="cellIs" dxfId="1325" priority="1306" stopIfTrue="1" operator="equal">
      <formula>"ن داخلية"</formula>
    </cfRule>
    <cfRule type="cellIs" dxfId="1324" priority="1307" stopIfTrue="1" operator="equal">
      <formula>#REF!</formula>
    </cfRule>
    <cfRule type="cellIs" dxfId="1323" priority="1308" stopIfTrue="1" operator="equal">
      <formula>#REF!</formula>
    </cfRule>
    <cfRule type="cellIs" dxfId="1322" priority="1309" stopIfTrue="1" operator="equal">
      <formula>#REF!</formula>
    </cfRule>
    <cfRule type="cellIs" dxfId="1321" priority="1310" stopIfTrue="1" operator="equal">
      <formula>#REF!</formula>
    </cfRule>
    <cfRule type="cellIs" dxfId="1320" priority="1311" stopIfTrue="1" operator="equal">
      <formula>"داخلية"</formula>
    </cfRule>
  </conditionalFormatting>
  <conditionalFormatting sqref="I472:I474 I478:I481 I476 I458:I459 I483:I484 I461 I317 I320 I342:I347 I349:I451 I195 I157:I162 I171:I178 I209:I301 I630:I635 I626:I627 I491:I624">
    <cfRule type="containsText" dxfId="1319" priority="1298" stopIfTrue="1" operator="containsText" text="خارجية">
      <formula>NOT(ISERROR(SEARCH("خارجية",I157)))</formula>
    </cfRule>
    <cfRule type="containsText" dxfId="1318" priority="1299" stopIfTrue="1" operator="containsText" text="خارجي">
      <formula>NOT(ISERROR(SEARCH("خارجي",I157)))</formula>
    </cfRule>
  </conditionalFormatting>
  <conditionalFormatting sqref="I427 I423 I410 I406:I408">
    <cfRule type="expression" dxfId="1317" priority="1297" stopIfTrue="1">
      <formula>IF(ROW(#REF!)&lt;=#REF!,"",1)=1</formula>
    </cfRule>
  </conditionalFormatting>
  <conditionalFormatting sqref="I527 I522:I525 I515:I520 I507 I509:I513 I472:I473 I458:I462 I532:I587 I476:I503 I370:I451 I366:I368 I363 I349 I305:I323 I342:I343 I271 I279:I300 I242:I267 I166:I177 I155:I156 I149 I121:I123 I209:I237 I589:I627">
    <cfRule type="expression" dxfId="1316" priority="1296" stopIfTrue="1">
      <formula>#REF!=""</formula>
    </cfRule>
  </conditionalFormatting>
  <conditionalFormatting sqref="I423 I431 I427 I408 I400">
    <cfRule type="expression" dxfId="1315" priority="1295" stopIfTrue="1">
      <formula>IF(ROW(#REF!)&lt;=#REF!,"",1)=1</formula>
    </cfRule>
  </conditionalFormatting>
  <conditionalFormatting sqref="I414 I408 I410">
    <cfRule type="expression" dxfId="1314" priority="1294" stopIfTrue="1">
      <formula>IF(ROW(#REF!)&lt;=#REF!,"",1)=1</formula>
    </cfRule>
  </conditionalFormatting>
  <conditionalFormatting sqref="I406:I407 I410 I414:I415 I258 I173:I174 I214 I159">
    <cfRule type="expression" dxfId="1313" priority="1293" stopIfTrue="1">
      <formula>IF(ROW(#REF!)&lt;=#REF!,"",1)=1</formula>
    </cfRule>
  </conditionalFormatting>
  <conditionalFormatting sqref="I243">
    <cfRule type="cellIs" dxfId="1312" priority="1292" stopIfTrue="1" operator="greaterThan">
      <formula>"9.999"</formula>
    </cfRule>
  </conditionalFormatting>
  <conditionalFormatting sqref="I527 I458:I462 I515 I517:I520 I491 I493:I503 I507 I522:I525 I512 I478:I479 I476 I483:I488 I374:I451 I363 I370:I372 I349 I342:I343 I309:I323 I271 I283:I291 I295:I300 I243:I267 I166:I177 I155:I156 I149 I121:I123 I209:I237 I630:I635 I626:I627 I537:I624">
    <cfRule type="expression" dxfId="1311" priority="1291" stopIfTrue="1">
      <formula>#REF!=""</formula>
    </cfRule>
  </conditionalFormatting>
  <conditionalFormatting sqref="J620:J627">
    <cfRule type="expression" dxfId="1310" priority="1290" stopIfTrue="1">
      <formula>#REF!=""</formula>
    </cfRule>
  </conditionalFormatting>
  <conditionalFormatting sqref="J113:K149 F718:F721 J635:L637 M542:M546 M257:M305 L516 M469 M463 M308:M313 M315:M377 F266:F543 M153:M253 M148:M151 E721 M129:M146 F618 F614:F616 C763:D763 B732:F733 B661:F661 C725:F725 C710:D710 B716:F716 I688 B729:F730 C722:F722 B707:F707 B713:F713 B688:F688 I768:M769 K607:L634 K638:L668 B266:E309 L585:L606 M585:M635 D654:F654 B655:F659 H341 L559:M582 L549:M550 L553:M556 B649:F652 L525:L546 M525:M539 L519:M520 L522:M523 K514:M514 L489:M505 L483:M484 L406:L470 M406:M461 L389:M401 L384:M387 L379:M382 H438 H377 J340:J351 J326:K331 L257:L377 L255:M255 D188:F188 B229:F264 B664:F669 B217:F218 B147:F147 I704:I705 I148:I180 L113:L253 J150:J305 B132:C132 I134:I139 I761:I762 I144:I146 H746:H747 I656:J685 F584:F585 H557 I182:I655 H690:H691 H591 H270 H236 H509:H510 B768:F769 H687 H238 H559 B311:E543 B718:E720 H433:H434 H503 B672:F673 I718:I720 H720 K150:K319 K332:K351 K353:K513 K515:K606 J353:J634 K669:K767 J638:J655 J686:J767 B691:D706 E691:F705 B220:F227 B202:F215 B139:F145 F620:F648 F653 F660 F662:F663 B551:F561 B761:F762 E132:F132 B151:F163 F186:F187 F189:F195 B545:F549 B563:E585 F564:F567 F569:F570 F573 F575:F576 F578:F580 B587:E605 F588:F595 B607:E615 B617:E647 F597 F602:F604 E606:F606 F610:F612">
    <cfRule type="expression" dxfId="1309" priority="1289" stopIfTrue="1">
      <formula>#REF!=""</formula>
    </cfRule>
  </conditionalFormatting>
  <conditionalFormatting sqref="D533:D549 D359:D365 E523:F533 I761:I762 L620:M767 E359:F359 L206:M206 L196:M196 L192:M193 L201:M203 K279:L279 K277:L277 D249:F250 D356:F356 D247:F247 D145:F145 I764 E509:F510 D752:F756 I693 I683 D724:F725 D699:F706 I711 I716 I714 I679 D675:F676 K668:K673 D665:F665 K652:K655 D571:E571 L566:L619 K566:K645 E545:F549 D672:F673 F569 D626:F634 K410:L474 E364:F365 I688 I728:I745 K256:L275 E536:F543 E361:F361 K523:L532 I211:I212 I222 I767 H746:H747 I171:I176 I117 I185:I193 I227:I674 I220 I725:I726 I704:I705 F564 E686:F686 F566:F567 D642 F518:F522 D596 D598:D599 D491 D456 D425 D392 D318 D321 D186 D218 D284 D354 F455:F456 F420 F401 E625 D616:E616 D648:D649 F458:F459 F436:F453 F434 F423 F404 F426:F431 D745:D748 D654 D657:D658 D557:E558 D555:E555 D713:D714 E714 E682 F640:F641 F481 F307:F309 E507:F507 D560:D564 E561:E564 H200 H209:H210 F267:F292 J326:K331 H203:I203 H213:H216 H206:H207 H119 H122:H123 H131:H135 H137 H139 H141:H142 H145:H146 H153:H154 H156:H157 H159:H161 H163 H165:H166 H114:H116 H178 H175 H196 H198 H194 H674:H675 H685 H680:H682 H698:H699 H701 H708 H706 H738:H740 H750 H752:H753 H755 H743:H744 H760:H764 H766:H767 H170:H172 H180:H182 H187:H188 H190:H191 H222:H225 H227:H228 H231 H233 H235:H243 H246 H249 H251 H253 H255:H256 H258:H259 H262 H265:H266 H268 H270:H274 H278:H280 H287:H288 H290:H295 H299 H302:H307 H309 H313:H317 H319 H321 H323:H327 H330:H334 H336 H339:H345 H347 H349:H350 H354:H356 H363:H364 H367 H370:H371 H373:H377 H379:H381 H383:H387 H389 H391 H393:H395 H405:H406 H409 H412:H414 H416 H418:H419 H422 H431:H439 H444 H449 H452 H454 H456:H457 H459 H461 H464:H474 H476:H477 H482 H484 H486 H491 H493 H495 H497 H499:H500 H502:H511 H513 H516:H517 H520 H523 H526:H531 H535 H538:H539 H547 H549:H551 H557:H563 H568 H571:H572 H574 H577 H581:H583 H587 H589:H594 H596 H598:H601 H605 H607:H609 H613 H617 H619 H621:H623 H626 H629 H632 H641 H644:H645 H647:H650 H654:H655 H659:H660 H664:H667 H670:H671 H687:H694 H704 H710:H713 H715:H716 H718:I723 H725 H728 H730:H733 H758 D601:E601 D603:F604 D496:F496 D461:F461 D430:E430 D396:F396 D325:F325 D328:F328 D188:F188 D222:F222 D256:F256 D289:E289 D252:F252 D357 D245:D246 D248 D146 E521:E522 D750:D751 D719:F722 E689:F689 D718 D723 D696:D698 E687 D663:D664 D666 D668:F669 F650 F561 D566:E569 D574:E574 D551:F551 D674 D572 D618:D625 F486 E512:F512 D367:F367 F313:F314">
    <cfRule type="containsText" dxfId="1308" priority="1277" stopIfTrue="1" operator="containsText" text="خارجية">
      <formula>NOT(ISERROR(SEARCH("خارجية",D114)))</formula>
    </cfRule>
    <cfRule type="containsText" dxfId="1307" priority="1278" stopIfTrue="1" operator="containsText" text="ن داخلية">
      <formula>NOT(ISERROR(SEARCH("ن داخلية",D114)))</formula>
    </cfRule>
    <cfRule type="containsText" dxfId="1306" priority="1279" stopIfTrue="1" operator="containsText" text="داخلية">
      <formula>NOT(ISERROR(SEARCH("داخلية",D114)))</formula>
    </cfRule>
    <cfRule type="containsText" dxfId="1305" priority="1280" stopIfTrue="1" operator="containsText" text="ن داخلية">
      <formula>NOT(ISERROR(SEARCH("ن داخلية",D114)))</formula>
    </cfRule>
    <cfRule type="containsText" dxfId="1304" priority="1281" stopIfTrue="1" operator="containsText" text="داخلية">
      <formula>NOT(ISERROR(SEARCH("داخلية",D114)))</formula>
    </cfRule>
    <cfRule type="cellIs" dxfId="1303" priority="1282" stopIfTrue="1" operator="equal">
      <formula>"ن داخلي"</formula>
    </cfRule>
    <cfRule type="cellIs" dxfId="1302" priority="1283" stopIfTrue="1" operator="equal">
      <formula>"ن داخلية"</formula>
    </cfRule>
    <cfRule type="cellIs" dxfId="1301" priority="1284" stopIfTrue="1" operator="equal">
      <formula>#REF!</formula>
    </cfRule>
    <cfRule type="cellIs" dxfId="1300" priority="1285" stopIfTrue="1" operator="equal">
      <formula>#REF!</formula>
    </cfRule>
    <cfRule type="cellIs" dxfId="1299" priority="1286" stopIfTrue="1" operator="equal">
      <formula>#REF!</formula>
    </cfRule>
    <cfRule type="cellIs" dxfId="1298" priority="1287" stopIfTrue="1" operator="equal">
      <formula>#REF!</formula>
    </cfRule>
    <cfRule type="cellIs" dxfId="1297" priority="1288" stopIfTrue="1" operator="equal">
      <formula>"داخلية"</formula>
    </cfRule>
  </conditionalFormatting>
  <conditionalFormatting sqref="F313:F314 F518:F533 I227:I769 E509:F510 K668:K673 K652:K655 L620:M767 L566:L619 K566:K645 K410:L474 K279:L279 K277:L277 K256:L275 K523:L532 I222 I171:I176 I185:I193 E686:F686 F455:F456 F420 F401 F458:F459 F436:F453 F434 F423 F404 F426:F431 E682 F640:F641 F481 F307:F309 E507:F507 E521:E533 H200 I220 J326:K331 H209:H210 H203:I203 I211:I212 H206:H207 H114:H116 H119 H122:H123 H131:H135 H137 H139 H141:H142 H145:H146 H153:H154 H156:H157 H159:H161 H163 H165:H166 I117 H178 H175 H196 H198 H194 H213:H216 H170:H172 H180:H182 H187:H188 H190:H191 H222:H225 H227:H228 H231 H233 H235:H243 H246 H249 H251 H253 H255:H256 H258:H259 H262 H265:H266 H268 H270:H274 H278:H280 H287:H288 H290:H295 H299 H302:H307 H309 H313:H317 H319 H321 H323:H327 H330:H334 H336 H339:H345 H347 H349:H350 H354:H356 H363:H364 H367 H370:H371 H373:H377 H379:H381 H383:H387 H389 H391 H393:H395 H405:H406 H409 H412:H414 H416 H418:H419 H422 H431:H439 H444 H449 H452 H454 H456:H457 H459 H461 H464:H474 H476:H477 H482 H484 H486 H491 H493 H495 H497 H499:H500 H502:H511 H513 H516:H517 H520 H523 H526:H531 H535 H538:H539 H547 H549:H551 H557:H563 H568 H571:H572 H574 H577 H581:H583 H587 H589:H594 H596 H598:H601 H605 H607:H609 H613 H617 H619 H621:H623 H626 H629 H632 H641 H644:H645 H647:H650 H654:H655 H659:H660 H664:H667 H670:H671 H674:H675 H680:H682 H685:H694 H698:H699 H701 H704 H706 H708 H710:H713 H715:H716 H718:H723 H725 H728 H730:H733 H738:H740 H743:H744 H746:H748 H750 H752:H753 H755 H758 H760:H764 H766:H767 E512:F512 F267:F292 E689:F689 E687 F650 F486">
    <cfRule type="containsText" dxfId="1296" priority="1275" stopIfTrue="1" operator="containsText" text="خارجية">
      <formula>NOT(ISERROR(SEARCH("خارجية",E114)))</formula>
    </cfRule>
    <cfRule type="containsText" dxfId="1295" priority="1276" stopIfTrue="1" operator="containsText" text="خارجي">
      <formula>NOT(ISERROR(SEARCH("خارجي",E114)))</formula>
    </cfRule>
  </conditionalFormatting>
  <conditionalFormatting sqref="D752:F756 D724:F725 D699:F706 D675:F676 D665:F665 D545:F549 D672:F673 F569 D626:F634 H433:I433 I361 D364:F365 I252 D249:F250 I364:I365 L196:M196 L206:M206 I646:I648 L192:M193 L201:M203 I247 D536:F543 D361:F361 D247:F247 I437 H262 E625 D616:E616 D648:D649 D360 D362:D363 D745:D748 D654 D657:D658 D598:D599 D596 D555:E555 D557:E558 D713:D714 E714 D560:D564 E561:E564 F564 D571:E571 D245:D246 D248 I262:I263 H422 I428 H394 H439 H468:H474 H502 H504:H508 H526:H530 H558 H560:H561 H589:H590 H592:H594 H621 H688:H689 H718:H719 H721:H723 H647:H649 H641 I398:I399 H432 H435:H437 H367:I367 H363:H364 H249 H255 H258:I259 F566:F567 H246 I249:I250 H253 I651 D750:D751 D718:D723 E719:F722 D696:D698 D663:D664 D666 D668:F669 D603:F604 D601:E601 F561 D566:E569 D574:E574 D551:F551 D674 D572 D618:D625 D367:F367 D252:F252 D533:D535 D544">
    <cfRule type="cellIs" dxfId="1294" priority="1274" stopIfTrue="1" operator="greaterThan">
      <formula>"9.999"</formula>
    </cfRule>
  </conditionalFormatting>
  <conditionalFormatting sqref="B621:F622 B133:E133 B757:E758 C759 E686:E687 D186 B200:E200 B199:D199 E690:E692 B726:D727 B686 D686 F602 F369 F268:F269 B227:C269 D227:D229 B141:E142 C708 E712:E715 H701 H712:H713 H698:H699 H704 H688:H689 B270:F307 H758 H761:H762 H674 H718:H723 I688 H659:H660 I656:I685 H139 H145:H146 J113:J769 F616 F618 H134:H135 H137 H148:H150 H153:H154 H156:H157 H159:H161 H163 H165:H172 H175 H178 H180:H182 H187:H188 H190:H191 H194 H196 H198:H203 H206:H207 H209:H210 H213:H216 H222:H225 H227:H228 H231 H233 H235:H243 H246 H249 H251 H253 H255:H256 H258:H259 H262 H265:H266 H268 H270:H274 H278:H280 H287:H288 H290:H295 H299 H302:H307 H309 H313:H317 H319 H321 H323:H327 H330:H334 H336 H339:H345 H347 H349:H350 H354:H356 H363:H364 H367 H370:H371 H373:H377 H379:H381 H383:H387 H389 H391 H393:H395 H405:H406 H409 H412:H414 H416 H418:H419 H422 H431:H439 H444 H449 H452 H454 H456:H457 H459 H461 H464:H474 H476:H477 H482 H484 H486 H491 H493 H495 H497 H499:H500 H502:H511 H513 H516:H517 H520 H523 H526:H531 H535 H538:H539 H547 H549:H551 H557:H563 H568 H571:H572 H574 H577 H581:H583 H587 H589:H594 H596 H598:H601 H605 H607:H609 H613 H617 H619 H621:H623 H626 H629 H632 H641 H644:H645 H647:H650 H654:H655 H664:H667 H670:H671 H764 H766:H767 B764:F769 B139:D140 B143:D147 B761:E762 C763 B698:E701 B704:E705 B718:E720 E721 E696:E697 C725:D725 B710:D710 B716:D716 B706:C706 E694 B729:D733 C722:D723 B707:D707 B712:D714 B687:D697 B702:D703 B672:D672 B673:F673 F623:F626 B606:F606 B634:F656 F657:F663 B657:E659 B661:E661 B545:F545 B664:F668 B669:D670 B546:E605 B607:E620 B623:E633 F630:F633 B532:F540 E541:F542 F387:F520 B373:F373 D334:F339 F328:F333 F340:F349 F185:F195 D188 B203:E203 E543:E544 B374:E531 B541:D544 B219:E226 F308:F320 D230:E269 F527:F531 B201:D202 B204:D218 B155:E158 F152:F162 B150:D154 B159:D163 E143:E145 E132 B132 B308:C372 D340:E372 D308:E333">
    <cfRule type="expression" dxfId="1293" priority="1273" stopIfTrue="1">
      <formula>#REF!=""</formula>
    </cfRule>
  </conditionalFormatting>
  <conditionalFormatting sqref="D523:D529 E531 E496 B523:B529 D513:E513 E515 E523 D503:E507 D510:D512 D514 D499:E501 D498 D534:E534 E528 D502 D516:E517 B517:B518 B506:B508 D508 B497:B499 B501:B503 E535:E544 B510:B514 D472:E472 D489:D495 E492:E493 B485:B487 D477:D480 E485 D485:D487 B470:B475 B477:B480 E475:E480 D473:D475 B489:B493 D405:E405 B403:B405 B407:B468 D399:E401 D394:E396 D385:E385 D390:E391 B390:B391 B399:B401 B394:B396 B601:E601 B383:B385 D372:E382 D320 D322:E333 D362:D366 D371 E315:E319 B310 D310 B308 D314:E314 D300:E305 D294:E298 D317 D306:D308 B314 B296:B306 B320 B583:D583 B572:E582 B561:D561 E526 E518:E521 D454:D471 E454:E469 C417:E450 D451:E453 C403:E404 E402 E406 D407:E416 E386:E389 E392:E393 E397:E398 C387:D387 C383:D384 B368:E369 E365:E367 D370:E370 E362:E363 B334:E334 B322:B325 D335:E361 B312:D312 E132 E279:E280 B293:D293 D278:D285 E283:E285 D286:E292 C602:E615 C585:E600 C584:D584 C616:D620 C621 B584:B600 B602:B621 D621:D622 B132 B626:E634 B266:B269 B253 D253:E253 D251:E251 B251 D245 D241:E244 C233:C259 C226:C227 D158:E158 B154 D154 C139:C146 B163:D163 B271:B278 B294 B260:C265 D256:E269 B141 D141 E616:E622 C150:C155 C157:C162 D562:D564 E546:E556 E561:E564 D565:E571 E583:E584 D710:D711 E714 E687 E691 E693 B534:C535 C266:C270 C278 B279:C292 C294:C311 C313:C325 B326:C333 B335:C366 B367:D367 B370:C381 C382 C385:C386 C388:C402 C405:C416 C451:C533 C536:C556 B557:E560 B562:C571 B531:B533 D531:D533 D535:D556 B537:B556 E649 E644 C271:E277 B241:B249 D246:E249 E234:E236 B143:B145 D143:E144 B622:C625 D623:E625 B641:E642">
    <cfRule type="expression" dxfId="1292" priority="1272" stopIfTrue="1">
      <formula>#REF!=""</formula>
    </cfRule>
  </conditionalFormatting>
  <conditionalFormatting sqref="D642 D779:D782 E625 D616:E616 D649 E562 D750:D752 D656:D657 D624:D626 D543:D545 D561:D563 D363 D246:D247 D356 D721:D722 D699:D703 E686 D672:D673 E523:E528 D571 D536:D538 E509:E510 D361 E531 D775:E776 E772:E774">
    <cfRule type="containsText" dxfId="1291" priority="1260" stopIfTrue="1" operator="containsText" text="خارجية">
      <formula>NOT(ISERROR(SEARCH("خارجية",D246)))</formula>
    </cfRule>
    <cfRule type="containsText" dxfId="1290" priority="1261" stopIfTrue="1" operator="containsText" text="ن داخلية">
      <formula>NOT(ISERROR(SEARCH("ن داخلية",D246)))</formula>
    </cfRule>
    <cfRule type="containsText" dxfId="1289" priority="1262" stopIfTrue="1" operator="containsText" text="داخلية">
      <formula>NOT(ISERROR(SEARCH("داخلية",D246)))</formula>
    </cfRule>
    <cfRule type="containsText" dxfId="1288" priority="1263" stopIfTrue="1" operator="containsText" text="ن داخلية">
      <formula>NOT(ISERROR(SEARCH("ن داخلية",D246)))</formula>
    </cfRule>
    <cfRule type="containsText" dxfId="1287" priority="1264" stopIfTrue="1" operator="containsText" text="داخلية">
      <formula>NOT(ISERROR(SEARCH("داخلية",D246)))</formula>
    </cfRule>
    <cfRule type="cellIs" dxfId="1286" priority="1265" stopIfTrue="1" operator="equal">
      <formula>"ن داخلي"</formula>
    </cfRule>
    <cfRule type="cellIs" dxfId="1285" priority="1266" stopIfTrue="1" operator="equal">
      <formula>"ن داخلية"</formula>
    </cfRule>
    <cfRule type="cellIs" dxfId="1284" priority="1267" stopIfTrue="1" operator="equal">
      <formula>#REF!</formula>
    </cfRule>
    <cfRule type="cellIs" dxfId="1283" priority="1268" stopIfTrue="1" operator="equal">
      <formula>#REF!</formula>
    </cfRule>
    <cfRule type="cellIs" dxfId="1282" priority="1269" stopIfTrue="1" operator="equal">
      <formula>#REF!</formula>
    </cfRule>
    <cfRule type="cellIs" dxfId="1281" priority="1270" stopIfTrue="1" operator="equal">
      <formula>#REF!</formula>
    </cfRule>
    <cfRule type="cellIs" dxfId="1280" priority="1271" stopIfTrue="1" operator="equal">
      <formula>"داخلية"</formula>
    </cfRule>
  </conditionalFormatting>
  <conditionalFormatting sqref="D616:E616 D649 D780:D782 E562 D750:D752 D656:D657 D624:D626 D543:D545 D561:D563 D363 D721:D722 D699:D703 D672:D673 D571 D536:D538 D361 D246:D247 D775:D776 E625 D555 D584:D585 D532 D504 D549 D500:D501 D175:D176 D388 D357:D359 D206 D198 D202 D169:D170 D150 D265 D200 D192 D196">
    <cfRule type="cellIs" dxfId="1279" priority="1259" stopIfTrue="1" operator="greaterThan">
      <formula>"9.999"</formula>
    </cfRule>
  </conditionalFormatting>
  <conditionalFormatting sqref="E686 E509:E510 E772:E776 E584:E585 E515:E528 E558:E567 E487 E420 E413:E414 E396:E401 E388 E127:E128 E130:E149 E112:E125 E153:E386">
    <cfRule type="containsText" dxfId="1278" priority="1257" stopIfTrue="1" operator="containsText" text="خارجية">
      <formula>NOT(ISERROR(SEARCH("خارجية",E112)))</formula>
    </cfRule>
    <cfRule type="containsText" dxfId="1277" priority="1258" stopIfTrue="1" operator="containsText" text="خارجي">
      <formula>NOT(ISERROR(SEARCH("خارجي",E112)))</formula>
    </cfRule>
  </conditionalFormatting>
  <conditionalFormatting sqref="B770:C770 B772:D772 B775:E776">
    <cfRule type="expression" dxfId="1276" priority="1256" stopIfTrue="1">
      <formula>#REF!=""</formula>
    </cfRule>
  </conditionalFormatting>
  <conditionalFormatting sqref="D492:D501 D555 D564:D566 D539:D540 D532 D513 D549 D515:E516 D489 E455 E432:E434 D452:D453 E379 E376 E287 E231:E232 D201 D205 D193 D197 E135:E136 D149:D150 D145:E145 D147:E147 D169 D267:E267 E254:E255 D244 D175 D195 D199 D187 D191">
    <cfRule type="expression" dxfId="1275" priority="1255" stopIfTrue="1">
      <formula>#REF!=""</formula>
    </cfRule>
  </conditionalFormatting>
  <conditionalFormatting sqref="D205 D201 D197 D193 D265 D199 D195 D191 D187">
    <cfRule type="containsText" dxfId="1274" priority="1243" stopIfTrue="1" operator="containsText" text="خارجية">
      <formula>NOT(ISERROR(SEARCH("خارجية",D187)))</formula>
    </cfRule>
    <cfRule type="containsText" dxfId="1273" priority="1244" stopIfTrue="1" operator="containsText" text="ن داخلية">
      <formula>NOT(ISERROR(SEARCH("ن داخلية",D187)))</formula>
    </cfRule>
    <cfRule type="containsText" dxfId="1272" priority="1245" stopIfTrue="1" operator="containsText" text="داخلية">
      <formula>NOT(ISERROR(SEARCH("داخلية",D187)))</formula>
    </cfRule>
    <cfRule type="containsText" dxfId="1271" priority="1246" stopIfTrue="1" operator="containsText" text="ن داخلية">
      <formula>NOT(ISERROR(SEARCH("ن داخلية",D187)))</formula>
    </cfRule>
    <cfRule type="containsText" dxfId="1270" priority="1247" stopIfTrue="1" operator="containsText" text="داخلية">
      <formula>NOT(ISERROR(SEARCH("داخلية",D187)))</formula>
    </cfRule>
    <cfRule type="cellIs" dxfId="1269" priority="1248" stopIfTrue="1" operator="equal">
      <formula>"ن داخلي"</formula>
    </cfRule>
    <cfRule type="cellIs" dxfId="1268" priority="1249" stopIfTrue="1" operator="equal">
      <formula>"ن داخلية"</formula>
    </cfRule>
    <cfRule type="cellIs" dxfId="1267" priority="1250" stopIfTrue="1" operator="equal">
      <formula>#REF!</formula>
    </cfRule>
    <cfRule type="cellIs" dxfId="1266" priority="1251" stopIfTrue="1" operator="equal">
      <formula>#REF!</formula>
    </cfRule>
    <cfRule type="cellIs" dxfId="1265" priority="1252" stopIfTrue="1" operator="equal">
      <formula>#REF!</formula>
    </cfRule>
    <cfRule type="cellIs" dxfId="1264" priority="1253" stopIfTrue="1" operator="equal">
      <formula>#REF!</formula>
    </cfRule>
    <cfRule type="cellIs" dxfId="1263" priority="1254" stopIfTrue="1" operator="equal">
      <formula>"داخلية"</formula>
    </cfRule>
  </conditionalFormatting>
  <conditionalFormatting sqref="D555 D584:E585 D532 D504 D549 E515:E527 E558:E567 E487 E420 E413:E414 D500:D501 D357:D359 D388:E388 E396:E401 D206 D198 D202 D150 D169:D170 E112:E125 E127:E128 E130:E149 D200 D192 D196 D175:D176 E153:E386">
    <cfRule type="containsText" dxfId="1262" priority="1231" stopIfTrue="1" operator="containsText" text="خارجية">
      <formula>NOT(ISERROR(SEARCH("خارجية",D112)))</formula>
    </cfRule>
    <cfRule type="containsText" dxfId="1261" priority="1232" stopIfTrue="1" operator="containsText" text="ن داخلية">
      <formula>NOT(ISERROR(SEARCH("ن داخلية",D112)))</formula>
    </cfRule>
    <cfRule type="containsText" dxfId="1260" priority="1233" stopIfTrue="1" operator="containsText" text="داخلية">
      <formula>NOT(ISERROR(SEARCH("داخلية",D112)))</formula>
    </cfRule>
    <cfRule type="containsText" dxfId="1259" priority="1234" stopIfTrue="1" operator="containsText" text="ن داخلية">
      <formula>NOT(ISERROR(SEARCH("ن داخلية",D112)))</formula>
    </cfRule>
    <cfRule type="containsText" dxfId="1258" priority="1235" stopIfTrue="1" operator="containsText" text="داخلية">
      <formula>NOT(ISERROR(SEARCH("داخلية",D112)))</formula>
    </cfRule>
    <cfRule type="cellIs" dxfId="1257" priority="1236" stopIfTrue="1" operator="equal">
      <formula>"ن داخلي"</formula>
    </cfRule>
    <cfRule type="cellIs" dxfId="1256" priority="1237" stopIfTrue="1" operator="equal">
      <formula>"ن داخلية"</formula>
    </cfRule>
    <cfRule type="cellIs" dxfId="1255" priority="1238" stopIfTrue="1" operator="equal">
      <formula>#REF!</formula>
    </cfRule>
    <cfRule type="cellIs" dxfId="1254" priority="1239" stopIfTrue="1" operator="equal">
      <formula>#REF!</formula>
    </cfRule>
    <cfRule type="cellIs" dxfId="1253" priority="1240" stopIfTrue="1" operator="equal">
      <formula>#REF!</formula>
    </cfRule>
    <cfRule type="cellIs" dxfId="1252" priority="1241" stopIfTrue="1" operator="equal">
      <formula>#REF!</formula>
    </cfRule>
    <cfRule type="cellIs" dxfId="1251" priority="1242" stopIfTrue="1" operator="equal">
      <formula>"داخلية"</formula>
    </cfRule>
  </conditionalFormatting>
  <conditionalFormatting sqref="E420">
    <cfRule type="expression" dxfId="1250" priority="1230" stopIfTrue="1">
      <formula>#REF!=""</formula>
    </cfRule>
  </conditionalFormatting>
  <conditionalFormatting sqref="F616:F618 F600 F528 F492:F497 F431:F436 F438:F447 F423:F429 F328 F335 F337 F330 F630 F188:F193 F622:F625 F641:F642">
    <cfRule type="expression" dxfId="1249" priority="1229" stopIfTrue="1">
      <formula>#REF!=""</formula>
    </cfRule>
  </conditionalFormatting>
  <conditionalFormatting sqref="F648 F640 F423:F424 F407:F418 F402 F394:F396 F391 F399 F369 F628:F634 F458:F459 F439 F441:F453 F437 F434 F426 F404:F405 F388 F429:F431 F509:F510 F520:F527 F772:F776 F268:F322">
    <cfRule type="containsText" dxfId="1248" priority="1217" stopIfTrue="1" operator="containsText" text="خارجية">
      <formula>NOT(ISERROR(SEARCH("خارجية",F268)))</formula>
    </cfRule>
    <cfRule type="containsText" dxfId="1247" priority="1218" stopIfTrue="1" operator="containsText" text="ن داخلية">
      <formula>NOT(ISERROR(SEARCH("ن داخلية",F268)))</formula>
    </cfRule>
    <cfRule type="containsText" dxfId="1246" priority="1219" stopIfTrue="1" operator="containsText" text="داخلية">
      <formula>NOT(ISERROR(SEARCH("داخلية",F268)))</formula>
    </cfRule>
    <cfRule type="containsText" dxfId="1245" priority="1220" stopIfTrue="1" operator="containsText" text="ن داخلية">
      <formula>NOT(ISERROR(SEARCH("ن داخلية",F268)))</formula>
    </cfRule>
    <cfRule type="containsText" dxfId="1244" priority="1221" stopIfTrue="1" operator="containsText" text="داخلية">
      <formula>NOT(ISERROR(SEARCH("داخلية",F268)))</formula>
    </cfRule>
    <cfRule type="cellIs" dxfId="1243" priority="1222" stopIfTrue="1" operator="equal">
      <formula>"ن داخلي"</formula>
    </cfRule>
    <cfRule type="cellIs" dxfId="1242" priority="1223" stopIfTrue="1" operator="equal">
      <formula>"ن داخلية"</formula>
    </cfRule>
    <cfRule type="cellIs" dxfId="1241" priority="1224" stopIfTrue="1" operator="equal">
      <formula>#REF!</formula>
    </cfRule>
    <cfRule type="cellIs" dxfId="1240" priority="1225" stopIfTrue="1" operator="equal">
      <formula>#REF!</formula>
    </cfRule>
    <cfRule type="cellIs" dxfId="1239" priority="1226" stopIfTrue="1" operator="equal">
      <formula>#REF!</formula>
    </cfRule>
    <cfRule type="cellIs" dxfId="1238" priority="1227" stopIfTrue="1" operator="equal">
      <formula>#REF!</formula>
    </cfRule>
    <cfRule type="cellIs" dxfId="1237" priority="1228" stopIfTrue="1" operator="equal">
      <formula>"داخلية"</formula>
    </cfRule>
  </conditionalFormatting>
  <conditionalFormatting sqref="F520 F516:F518">
    <cfRule type="cellIs" dxfId="1236" priority="1216" stopIfTrue="1" operator="greaterThan">
      <formula>"9.999"</formula>
    </cfRule>
  </conditionalFormatting>
  <conditionalFormatting sqref="F648 F628:F634 F640 F407:F418 F402 F399 F394:F396 F391 F369 F458:F459 F439 F441:F453 F437 F434 F423:F424 F426 F429:F431 F509:F510 F772:F776 F830 F834:F860 F517:F527 F556 F364 F404:F405 F388 F568:F586 F153:F362">
    <cfRule type="containsText" dxfId="1235" priority="1214" stopIfTrue="1" operator="containsText" text="خارجية">
      <formula>NOT(ISERROR(SEARCH("خارجية",F153)))</formula>
    </cfRule>
    <cfRule type="containsText" dxfId="1234" priority="1215" stopIfTrue="1" operator="containsText" text="خارجي">
      <formula>NOT(ISERROR(SEARCH("خارجي",F153)))</formula>
    </cfRule>
  </conditionalFormatting>
  <conditionalFormatting sqref="F775:F776">
    <cfRule type="expression" dxfId="1233" priority="1213" stopIfTrue="1">
      <formula>#REF!=""</formula>
    </cfRule>
  </conditionalFormatting>
  <conditionalFormatting sqref="F579 F498">
    <cfRule type="expression" dxfId="1232" priority="1212" stopIfTrue="1">
      <formula>#REF!=""</formula>
    </cfRule>
  </conditionalFormatting>
  <conditionalFormatting sqref="F830 F834:F860 F556 F524:F527 F516:F521 F364 F568:F586 F153:F362">
    <cfRule type="containsText" dxfId="1231" priority="1200" stopIfTrue="1" operator="containsText" text="خارجية">
      <formula>NOT(ISERROR(SEARCH("خارجية",F153)))</formula>
    </cfRule>
    <cfRule type="containsText" dxfId="1230" priority="1201" stopIfTrue="1" operator="containsText" text="ن داخلية">
      <formula>NOT(ISERROR(SEARCH("ن داخلية",F153)))</formula>
    </cfRule>
    <cfRule type="containsText" dxfId="1229" priority="1202" stopIfTrue="1" operator="containsText" text="داخلية">
      <formula>NOT(ISERROR(SEARCH("داخلية",F153)))</formula>
    </cfRule>
    <cfRule type="containsText" dxfId="1228" priority="1203" stopIfTrue="1" operator="containsText" text="ن داخلية">
      <formula>NOT(ISERROR(SEARCH("ن داخلية",F153)))</formula>
    </cfRule>
    <cfRule type="containsText" dxfId="1227" priority="1204" stopIfTrue="1" operator="containsText" text="داخلية">
      <formula>NOT(ISERROR(SEARCH("داخلية",F153)))</formula>
    </cfRule>
    <cfRule type="cellIs" dxfId="1226" priority="1205" stopIfTrue="1" operator="equal">
      <formula>"ن داخلي"</formula>
    </cfRule>
    <cfRule type="cellIs" dxfId="1225" priority="1206" stopIfTrue="1" operator="equal">
      <formula>"ن داخلية"</formula>
    </cfRule>
    <cfRule type="cellIs" dxfId="1224" priority="1207" stopIfTrue="1" operator="equal">
      <formula>#REF!</formula>
    </cfRule>
    <cfRule type="cellIs" dxfId="1223" priority="1208" stopIfTrue="1" operator="equal">
      <formula>#REF!</formula>
    </cfRule>
    <cfRule type="cellIs" dxfId="1222" priority="1209" stopIfTrue="1" operator="equal">
      <formula>#REF!</formula>
    </cfRule>
    <cfRule type="cellIs" dxfId="1221" priority="1210" stopIfTrue="1" operator="equal">
      <formula>#REF!</formula>
    </cfRule>
    <cfRule type="cellIs" dxfId="1220" priority="1211" stopIfTrue="1" operator="equal">
      <formula>"داخلية"</formula>
    </cfRule>
  </conditionalFormatting>
  <conditionalFormatting sqref="F587:F611 F613:F743">
    <cfRule type="expression" dxfId="1219" priority="1199" stopIfTrue="1">
      <formula>#REF!=""</formula>
    </cfRule>
  </conditionalFormatting>
  <conditionalFormatting sqref="F612">
    <cfRule type="expression" dxfId="1218" priority="1198" stopIfTrue="1">
      <formula>#REF!=""</formula>
    </cfRule>
  </conditionalFormatting>
  <conditionalFormatting sqref="H456:H457 H517 H513 H464:H466 H459 H405 H641 H262 H581:H583 H314 H571 H454 H438 H461 H497 H591 H557 H535 H619 H607:H609 H626 H251 H268 H243 H246 H166 H623 H330 H265:H266 H145 H135 H416 H418:H419 H422 H444 H449 H452 H577 H596 H598:H601 H605 H617 H431:H434">
    <cfRule type="expression" dxfId="1217" priority="1197" stopIfTrue="1">
      <formula>#REF!=""</formula>
    </cfRule>
  </conditionalFormatting>
  <conditionalFormatting sqref="H778 H780:H782 H236 H238 H270 H341 H377 H438 H503 H557 H559 H591 H687 H720 H746:H747 H114:H116 H119 H122:H123 H131:H135 H137 H139 H141:H142 H145:H146 H153:H154 H156:H157 H159:H161 H163 H165:H166 H175 H178 H180:H182 H187:H188 H190:H191 H194 H196 H198 H206:H207 H209:H210 H213:H216 H222:H225 H227:H228 H231 H233 H243 H246 H249 H251 H253 H255:H256 H258:H259 H262 H265:H266 H268 H273:H274 H278:H280 H287:H288 H290:H295 H299 H305:H307 H309 H313:H317 H319 H321 H326:H327 H330:H334 H336 H339 H347 H349:H350 H354:H356 H363:H364 H367 H370:H371 H379:H381 H383:H387 H389 H391 H393:H395 H405:H406 H409 H412:H414 H416 H418:H419 H422 H431:H434 H444 H449 H452 H454 H456:H457 H459 H461 H464:H467 H476:H477 H482 H484 H486 H491 H493 H495 H497 H499:H500 H509:H511 H513 H516:H517 H520 H523 H531 H535 H538:H539 H546 H548:H550 H562:H563 H568 H581:H583 H596 H598:H601 H605 H607:H609 H613 H617 H619 H622:H623 H626 H629 H632 H641 H644:H645 H647:H650 H654:H655 H659:H660 H664:H667 H670:H671 H674:H675 H680:H682 H685 H690:H694 H698:H699 H701 H704 H706 H708 H710:H713 H715:H716 H725 H728 H730:H733 H738:H740 H750 H752:H753 H755 H758 H760:H764 H766:H767 H771:H773 H743:H744 H775:H776 H571:H578 H585:H587">
    <cfRule type="containsText" dxfId="1216" priority="1185" stopIfTrue="1" operator="containsText" text="خارجية">
      <formula>NOT(ISERROR(SEARCH("خارجية",H114)))</formula>
    </cfRule>
    <cfRule type="containsText" dxfId="1215" priority="1186" stopIfTrue="1" operator="containsText" text="ن داخلية">
      <formula>NOT(ISERROR(SEARCH("ن داخلية",H114)))</formula>
    </cfRule>
    <cfRule type="containsText" dxfId="1214" priority="1187" stopIfTrue="1" operator="containsText" text="داخلية">
      <formula>NOT(ISERROR(SEARCH("داخلية",H114)))</formula>
    </cfRule>
    <cfRule type="containsText" dxfId="1213" priority="1188" stopIfTrue="1" operator="containsText" text="ن داخلية">
      <formula>NOT(ISERROR(SEARCH("ن داخلية",H114)))</formula>
    </cfRule>
    <cfRule type="containsText" dxfId="1212" priority="1189" stopIfTrue="1" operator="containsText" text="داخلية">
      <formula>NOT(ISERROR(SEARCH("داخلية",H114)))</formula>
    </cfRule>
    <cfRule type="cellIs" dxfId="1211" priority="1190" stopIfTrue="1" operator="equal">
      <formula>"ن داخلي"</formula>
    </cfRule>
    <cfRule type="cellIs" dxfId="1210" priority="1191" stopIfTrue="1" operator="equal">
      <formula>"ن داخلية"</formula>
    </cfRule>
    <cfRule type="cellIs" dxfId="1209" priority="1192" stopIfTrue="1" operator="equal">
      <formula>#REF!</formula>
    </cfRule>
    <cfRule type="cellIs" dxfId="1208" priority="1193" stopIfTrue="1" operator="equal">
      <formula>#REF!</formula>
    </cfRule>
    <cfRule type="cellIs" dxfId="1207" priority="1194" stopIfTrue="1" operator="equal">
      <formula>#REF!</formula>
    </cfRule>
    <cfRule type="cellIs" dxfId="1206" priority="1195" stopIfTrue="1" operator="equal">
      <formula>#REF!</formula>
    </cfRule>
    <cfRule type="cellIs" dxfId="1205" priority="1196" stopIfTrue="1" operator="equal">
      <formula>"داخلية"</formula>
    </cfRule>
  </conditionalFormatting>
  <conditionalFormatting sqref="H422 H225 H649 H253 H780 H363 H641 H775:H776 H919 H1056 H206 H198 H202 H265 H200 H192 H196">
    <cfRule type="cellIs" dxfId="1204" priority="1184" stopIfTrue="1" operator="greaterThan">
      <formula>"9.999"</formula>
    </cfRule>
  </conditionalFormatting>
  <conditionalFormatting sqref="H862:H1151 H828 H834:H860 H112:H826">
    <cfRule type="containsText" dxfId="1203" priority="1182" stopIfTrue="1" operator="containsText" text="خارجية">
      <formula>NOT(ISERROR(SEARCH("خارجية",H112)))</formula>
    </cfRule>
    <cfRule type="containsText" dxfId="1202" priority="1183" stopIfTrue="1" operator="containsText" text="خارجي">
      <formula>NOT(ISERROR(SEARCH("خارجي",H112)))</formula>
    </cfRule>
  </conditionalFormatting>
  <conditionalFormatting sqref="H132 H145:H146 H139 H134:H135 H137 H153:H154 H156:H157 H159:H161 H163 H175 H178 H180:H182 H187:H188 H190:H191 H194 H196 H165:H166 H206:H207 H209:H210 H213:H216 H222:H225 H227:H228 H231 H233 H198 H236 H238 H270 H341 H377 H433:H434 H438 H503 H509:H510 H557 H559 H591 H687 H690:H691 H720 H746:H747 H771:H773 H775:H776">
    <cfRule type="expression" dxfId="1201" priority="1181" stopIfTrue="1">
      <formula>#REF!=""</formula>
    </cfRule>
  </conditionalFormatting>
  <conditionalFormatting sqref="H146 H148 H154:H156">
    <cfRule type="expression" dxfId="1200" priority="1180" stopIfTrue="1">
      <formula>#REF!=""</formula>
    </cfRule>
  </conditionalFormatting>
  <conditionalFormatting sqref="H919 H754:H755 H757:H759 H761:H762 H788:H789 H791:H793 H795:H810 H736:H737 H697:H698 H712 H581 H563:H566 H532:H533 H535:H537 H539:H548 H550:H551 H503 H489 H456 H431 H452:H453 H360 H353 H151 H187 H172 H130 H265 H244 H178 H671 H706 H744">
    <cfRule type="containsText" dxfId="1199" priority="1168" stopIfTrue="1" operator="containsText" text="خارجية">
      <formula>NOT(ISERROR(SEARCH("خارجية",H130)))</formula>
    </cfRule>
    <cfRule type="containsText" dxfId="1198" priority="1169" stopIfTrue="1" operator="containsText" text="ن داخلية">
      <formula>NOT(ISERROR(SEARCH("ن داخلية",H130)))</formula>
    </cfRule>
    <cfRule type="containsText" dxfId="1197" priority="1170" stopIfTrue="1" operator="containsText" text="داخلية">
      <formula>NOT(ISERROR(SEARCH("داخلية",H130)))</formula>
    </cfRule>
    <cfRule type="containsText" dxfId="1196" priority="1171" stopIfTrue="1" operator="containsText" text="ن داخلية">
      <formula>NOT(ISERROR(SEARCH("ن داخلية",H130)))</formula>
    </cfRule>
    <cfRule type="containsText" dxfId="1195" priority="1172" stopIfTrue="1" operator="containsText" text="داخلية">
      <formula>NOT(ISERROR(SEARCH("داخلية",H130)))</formula>
    </cfRule>
    <cfRule type="cellIs" dxfId="1194" priority="1173" stopIfTrue="1" operator="equal">
      <formula>"ن داخلي"</formula>
    </cfRule>
    <cfRule type="cellIs" dxfId="1193" priority="1174" stopIfTrue="1" operator="equal">
      <formula>"ن داخلية"</formula>
    </cfRule>
    <cfRule type="cellIs" dxfId="1192" priority="1175" stopIfTrue="1" operator="equal">
      <formula>#REF!</formula>
    </cfRule>
    <cfRule type="cellIs" dxfId="1191" priority="1176" stopIfTrue="1" operator="equal">
      <formula>#REF!</formula>
    </cfRule>
    <cfRule type="cellIs" dxfId="1190" priority="1177" stopIfTrue="1" operator="equal">
      <formula>#REF!</formula>
    </cfRule>
    <cfRule type="cellIs" dxfId="1189" priority="1178" stopIfTrue="1" operator="equal">
      <formula>#REF!</formula>
    </cfRule>
    <cfRule type="cellIs" dxfId="1188" priority="1179" stopIfTrue="1" operator="equal">
      <formula>"داخلية"</formula>
    </cfRule>
  </conditionalFormatting>
  <conditionalFormatting sqref="H862:H1151 H834:H860 H749:H815 H112:H151 H153:H423 H425:H486 H488:H489 H491:H514 H516:H744">
    <cfRule type="containsText" dxfId="1187" priority="1156" stopIfTrue="1" operator="containsText" text="خارجية">
      <formula>NOT(ISERROR(SEARCH("خارجية",H112)))</formula>
    </cfRule>
    <cfRule type="containsText" dxfId="1186" priority="1157" stopIfTrue="1" operator="containsText" text="ن داخلية">
      <formula>NOT(ISERROR(SEARCH("ن داخلية",H112)))</formula>
    </cfRule>
    <cfRule type="containsText" dxfId="1185" priority="1158" stopIfTrue="1" operator="containsText" text="داخلية">
      <formula>NOT(ISERROR(SEARCH("داخلية",H112)))</formula>
    </cfRule>
    <cfRule type="containsText" dxfId="1184" priority="1159" stopIfTrue="1" operator="containsText" text="ن داخلية">
      <formula>NOT(ISERROR(SEARCH("ن داخلية",H112)))</formula>
    </cfRule>
    <cfRule type="containsText" dxfId="1183" priority="1160" stopIfTrue="1" operator="containsText" text="داخلية">
      <formula>NOT(ISERROR(SEARCH("داخلية",H112)))</formula>
    </cfRule>
    <cfRule type="cellIs" dxfId="1182" priority="1161" stopIfTrue="1" operator="equal">
      <formula>"ن داخلي"</formula>
    </cfRule>
    <cfRule type="cellIs" dxfId="1181" priority="1162" stopIfTrue="1" operator="equal">
      <formula>"ن داخلية"</formula>
    </cfRule>
    <cfRule type="cellIs" dxfId="1180" priority="1163" stopIfTrue="1" operator="equal">
      <formula>#REF!</formula>
    </cfRule>
    <cfRule type="cellIs" dxfId="1179" priority="1164" stopIfTrue="1" operator="equal">
      <formula>#REF!</formula>
    </cfRule>
    <cfRule type="cellIs" dxfId="1178" priority="1165" stopIfTrue="1" operator="equal">
      <formula>#REF!</formula>
    </cfRule>
    <cfRule type="cellIs" dxfId="1177" priority="1166" stopIfTrue="1" operator="equal">
      <formula>#REF!</formula>
    </cfRule>
    <cfRule type="cellIs" dxfId="1176" priority="1167" stopIfTrue="1" operator="equal">
      <formula>"داخلية"</formula>
    </cfRule>
  </conditionalFormatting>
  <conditionalFormatting sqref="E777 B775:C775 B777:C777 C767 E768 E771 E748 E753 C749:C751 C747 E735:E736 E738:E740 B735:C735 B725:C725 B704:C704 B707:C707 E733 E729 B729:C729 B660:C661 B656:C658 B698:C698 C663 C666:C667 B662:B668 B651:C653 E651:E654 B701:C701 E603:E606 E565:E601 E305 E207:E214 E201:E205 E246:E250 E223:E244 E252:E303 B608:C649 E217:E221 B183:C195 E183:E193 E166:E175 E162 B151:C180 B146:C146 E139:E144 E153:E159 B139:C144 E608:E649 B217:C303 B197:C214 B305:C305 E307:E538 B307:C538 B540:C606 E656:E727 E765:E766 B133:C133 B125:C127 E133 B118:C118 C117 B112:C112 B114:C114 E540:E563">
    <cfRule type="expression" dxfId="1175" priority="1155" stopIfTrue="1">
      <formula>#REF!=""</formula>
    </cfRule>
  </conditionalFormatting>
  <conditionalFormatting sqref="C974:C975 E686 E619:E620 E628 E531 E509:E510 E507 E521:E528 E766:E886">
    <cfRule type="containsText" dxfId="1174" priority="1143" stopIfTrue="1" operator="containsText" text="خارجية">
      <formula>NOT(ISERROR(SEARCH("خارجية",C507)))</formula>
    </cfRule>
    <cfRule type="containsText" dxfId="1173" priority="1144" stopIfTrue="1" operator="containsText" text="ن داخلية">
      <formula>NOT(ISERROR(SEARCH("ن داخلية",C507)))</formula>
    </cfRule>
    <cfRule type="containsText" dxfId="1172" priority="1145" stopIfTrue="1" operator="containsText" text="داخلية">
      <formula>NOT(ISERROR(SEARCH("داخلية",C507)))</formula>
    </cfRule>
    <cfRule type="containsText" dxfId="1171" priority="1146" stopIfTrue="1" operator="containsText" text="ن داخلية">
      <formula>NOT(ISERROR(SEARCH("ن داخلية",C507)))</formula>
    </cfRule>
    <cfRule type="containsText" dxfId="1170" priority="1147" stopIfTrue="1" operator="containsText" text="داخلية">
      <formula>NOT(ISERROR(SEARCH("داخلية",C507)))</formula>
    </cfRule>
    <cfRule type="cellIs" dxfId="1169" priority="1148" stopIfTrue="1" operator="equal">
      <formula>"ن داخلي"</formula>
    </cfRule>
    <cfRule type="cellIs" dxfId="1168" priority="1149" stopIfTrue="1" operator="equal">
      <formula>"ن داخلية"</formula>
    </cfRule>
    <cfRule type="cellIs" dxfId="1167" priority="1150" stopIfTrue="1" operator="equal">
      <formula>#REF!</formula>
    </cfRule>
    <cfRule type="cellIs" dxfId="1166" priority="1151" stopIfTrue="1" operator="equal">
      <formula>#REF!</formula>
    </cfRule>
    <cfRule type="cellIs" dxfId="1165" priority="1152" stopIfTrue="1" operator="equal">
      <formula>#REF!</formula>
    </cfRule>
    <cfRule type="cellIs" dxfId="1164" priority="1153" stopIfTrue="1" operator="equal">
      <formula>#REF!</formula>
    </cfRule>
    <cfRule type="cellIs" dxfId="1163" priority="1154" stopIfTrue="1" operator="equal">
      <formula>"داخلية"</formula>
    </cfRule>
  </conditionalFormatting>
  <conditionalFormatting sqref="E766:E886 E686 E507 E521:E528 E509:E510">
    <cfRule type="containsText" dxfId="1162" priority="1141" stopIfTrue="1" operator="containsText" text="خارجية">
      <formula>NOT(ISERROR(SEARCH("خارجية",E507)))</formula>
    </cfRule>
    <cfRule type="containsText" dxfId="1161" priority="1142" stopIfTrue="1" operator="containsText" text="خارجي">
      <formula>NOT(ISERROR(SEARCH("خارجي",E507)))</formula>
    </cfRule>
  </conditionalFormatting>
  <conditionalFormatting sqref="E777 E752:E753 E733:E749 E607 E687 E690:E729 E678 E682 E674 E652 E659:E660 E662 E665:E666 E577 E554 E544:E545">
    <cfRule type="expression" dxfId="1160" priority="1140" stopIfTrue="1">
      <formula>IF(ROW(#REF!)&lt;=#REF!,"",1)=1</formula>
    </cfRule>
  </conditionalFormatting>
  <conditionalFormatting sqref="C974:C975 E619:E620 E628">
    <cfRule type="cellIs" dxfId="1159" priority="1139" stopIfTrue="1" operator="greaterThan">
      <formula>"9.999"</formula>
    </cfRule>
  </conditionalFormatting>
  <conditionalFormatting sqref="C975 B974:D974 C769 E777 E779:E781 E767 E745 E735 E738 C722 E726:E727 B723:C723 B710:C710 C719 B713:C713 B720:C720 B733:C734 B726:C729 E733 C707 B688:C690 B691 B667:C667 B692:C704 B669:C669 E656:E724 E651:E654 B196 B197:C214 E200:E214 E183:E198 B183:C195 E161:E175 B146:C148 E148 E139:E144 B139:C144 B608:C649 B307:C503 C504:C538 B217:C305 E217:E305 E307:E538 B505:B538 B540:C606 B777:C781 E775 B151:C180 E153:E159 E132:E133 B118:C119 C117 B135:C135 B114:C114 B112:C112 B123:C127 E123:E127 E114 B132 B133:C133 E770 B770:C770 E540:E563 E565:E649">
    <cfRule type="expression" dxfId="1158" priority="1138" stopIfTrue="1">
      <formula>#REF!=""</formula>
    </cfRule>
  </conditionalFormatting>
  <conditionalFormatting sqref="B729:D730 C722:D722 C707 B713:D713 B704:D704 B703:C703 B692:D702 B688:D688 D691 B691 E664 B669:D669 D628:D629 E632 E603 E561 E556 D356 E276 B249:E249 E235:E236 B531:D531 B144:C144 B143:E143 E607:E609 E132 B132">
    <cfRule type="expression" dxfId="1157" priority="1137" stopIfTrue="1">
      <formula>#REF!=""</formula>
    </cfRule>
  </conditionalFormatting>
  <conditionalFormatting sqref="E686 E523:E525 E509">
    <cfRule type="containsText" dxfId="1156" priority="1135" stopIfTrue="1" operator="containsText" text="خارجية">
      <formula>NOT(ISERROR(SEARCH("خارجية",E509)))</formula>
    </cfRule>
    <cfRule type="containsText" dxfId="1155" priority="1136" stopIfTrue="1" operator="containsText" text="خارجي">
      <formula>NOT(ISERROR(SEARCH("خارجي",E509)))</formula>
    </cfRule>
  </conditionalFormatting>
  <conditionalFormatting sqref="D356 D247">
    <cfRule type="containsText" dxfId="1154" priority="1123" stopIfTrue="1" operator="containsText" text="خارجية">
      <formula>NOT(ISERROR(SEARCH("خارجية",D247)))</formula>
    </cfRule>
    <cfRule type="containsText" dxfId="1153" priority="1124" stopIfTrue="1" operator="containsText" text="ن داخلية">
      <formula>NOT(ISERROR(SEARCH("ن داخلية",D247)))</formula>
    </cfRule>
    <cfRule type="containsText" dxfId="1152" priority="1125" stopIfTrue="1" operator="containsText" text="داخلية">
      <formula>NOT(ISERROR(SEARCH("داخلية",D247)))</formula>
    </cfRule>
    <cfRule type="containsText" dxfId="1151" priority="1126" stopIfTrue="1" operator="containsText" text="ن داخلية">
      <formula>NOT(ISERROR(SEARCH("ن داخلية",D247)))</formula>
    </cfRule>
    <cfRule type="containsText" dxfId="1150" priority="1127" stopIfTrue="1" operator="containsText" text="داخلية">
      <formula>NOT(ISERROR(SEARCH("داخلية",D247)))</formula>
    </cfRule>
    <cfRule type="cellIs" dxfId="1149" priority="1128" stopIfTrue="1" operator="equal">
      <formula>"ن داخلي"</formula>
    </cfRule>
    <cfRule type="cellIs" dxfId="1148" priority="1129" stopIfTrue="1" operator="equal">
      <formula>"ن داخلية"</formula>
    </cfRule>
    <cfRule type="cellIs" dxfId="1147" priority="1130" stopIfTrue="1" operator="equal">
      <formula>#REF!</formula>
    </cfRule>
    <cfRule type="cellIs" dxfId="1146" priority="1131" stopIfTrue="1" operator="equal">
      <formula>#REF!</formula>
    </cfRule>
    <cfRule type="cellIs" dxfId="1145" priority="1132" stopIfTrue="1" operator="equal">
      <formula>#REF!</formula>
    </cfRule>
    <cfRule type="cellIs" dxfId="1144" priority="1133" stopIfTrue="1" operator="equal">
      <formula>#REF!</formula>
    </cfRule>
    <cfRule type="cellIs" dxfId="1143" priority="1134" stopIfTrue="1" operator="equal">
      <formula>"داخلية"</formula>
    </cfRule>
  </conditionalFormatting>
  <conditionalFormatting sqref="D721:D722 D699:D703 D672:D673 D571 D536:D538 D361 D247">
    <cfRule type="cellIs" dxfId="1142" priority="1122" stopIfTrue="1" operator="greaterThan">
      <formula>"9.999"</formula>
    </cfRule>
  </conditionalFormatting>
  <conditionalFormatting sqref="D721:D722 D699:D703 E686 D672:D673 D571 D536:D538 E523:E525 E509 D361 E531">
    <cfRule type="containsText" dxfId="1141" priority="1110" stopIfTrue="1" operator="containsText" text="خارجية">
      <formula>NOT(ISERROR(SEARCH("خارجية",D361)))</formula>
    </cfRule>
    <cfRule type="containsText" dxfId="1140" priority="1111" stopIfTrue="1" operator="containsText" text="ن داخلية">
      <formula>NOT(ISERROR(SEARCH("ن داخلية",D361)))</formula>
    </cfRule>
    <cfRule type="containsText" dxfId="1139" priority="1112" stopIfTrue="1" operator="containsText" text="داخلية">
      <formula>NOT(ISERROR(SEARCH("داخلية",D361)))</formula>
    </cfRule>
    <cfRule type="containsText" dxfId="1138" priority="1113" stopIfTrue="1" operator="containsText" text="ن داخلية">
      <formula>NOT(ISERROR(SEARCH("ن داخلية",D361)))</formula>
    </cfRule>
    <cfRule type="containsText" dxfId="1137" priority="1114" stopIfTrue="1" operator="containsText" text="داخلية">
      <formula>NOT(ISERROR(SEARCH("داخلية",D361)))</formula>
    </cfRule>
    <cfRule type="cellIs" dxfId="1136" priority="1115" stopIfTrue="1" operator="equal">
      <formula>"ن داخلي"</formula>
    </cfRule>
    <cfRule type="cellIs" dxfId="1135" priority="1116" stopIfTrue="1" operator="equal">
      <formula>"ن داخلية"</formula>
    </cfRule>
    <cfRule type="cellIs" dxfId="1134" priority="1117" stopIfTrue="1" operator="equal">
      <formula>#REF!</formula>
    </cfRule>
    <cfRule type="cellIs" dxfId="1133" priority="1118" stopIfTrue="1" operator="equal">
      <formula>#REF!</formula>
    </cfRule>
    <cfRule type="cellIs" dxfId="1132" priority="1119" stopIfTrue="1" operator="equal">
      <formula>#REF!</formula>
    </cfRule>
    <cfRule type="cellIs" dxfId="1131" priority="1120" stopIfTrue="1" operator="equal">
      <formula>#REF!</formula>
    </cfRule>
    <cfRule type="cellIs" dxfId="1130" priority="1121" stopIfTrue="1" operator="equal">
      <formula>"داخلية"</formula>
    </cfRule>
  </conditionalFormatting>
  <conditionalFormatting sqref="E770 B770:C770">
    <cfRule type="expression" dxfId="1129" priority="1109" stopIfTrue="1">
      <formula>#REF!=""</formula>
    </cfRule>
  </conditionalFormatting>
  <conditionalFormatting sqref="B770:C770">
    <cfRule type="expression" dxfId="1128" priority="1108" stopIfTrue="1">
      <formula>#REF!=""</formula>
    </cfRule>
  </conditionalFormatting>
  <conditionalFormatting sqref="B771:C771">
    <cfRule type="expression" dxfId="1127" priority="1107" stopIfTrue="1">
      <formula>#REF!=""</formula>
    </cfRule>
  </conditionalFormatting>
  <conditionalFormatting sqref="E771 B771:C771">
    <cfRule type="expression" dxfId="1126" priority="1106" stopIfTrue="1">
      <formula>#REF!=""</formula>
    </cfRule>
  </conditionalFormatting>
  <conditionalFormatting sqref="E772 B772:C772">
    <cfRule type="expression" dxfId="1125" priority="1105" stopIfTrue="1">
      <formula>#REF!=""</formula>
    </cfRule>
  </conditionalFormatting>
  <conditionalFormatting sqref="E772 B772:C772">
    <cfRule type="expression" dxfId="1124" priority="1104" stopIfTrue="1">
      <formula>#REF!=""</formula>
    </cfRule>
  </conditionalFormatting>
  <conditionalFormatting sqref="B772:D772">
    <cfRule type="expression" dxfId="1123" priority="1103" stopIfTrue="1">
      <formula>#REF!=""</formula>
    </cfRule>
  </conditionalFormatting>
  <conditionalFormatting sqref="E772">
    <cfRule type="containsText" dxfId="1122" priority="1091" stopIfTrue="1" operator="containsText" text="خارجية">
      <formula>NOT(ISERROR(SEARCH("خارجية",E772)))</formula>
    </cfRule>
    <cfRule type="containsText" dxfId="1121" priority="1092" stopIfTrue="1" operator="containsText" text="ن داخلية">
      <formula>NOT(ISERROR(SEARCH("ن داخلية",E772)))</formula>
    </cfRule>
    <cfRule type="containsText" dxfId="1120" priority="1093" stopIfTrue="1" operator="containsText" text="داخلية">
      <formula>NOT(ISERROR(SEARCH("داخلية",E772)))</formula>
    </cfRule>
    <cfRule type="containsText" dxfId="1119" priority="1094" stopIfTrue="1" operator="containsText" text="ن داخلية">
      <formula>NOT(ISERROR(SEARCH("ن داخلية",E772)))</formula>
    </cfRule>
    <cfRule type="containsText" dxfId="1118" priority="1095" stopIfTrue="1" operator="containsText" text="داخلية">
      <formula>NOT(ISERROR(SEARCH("داخلية",E772)))</formula>
    </cfRule>
    <cfRule type="cellIs" dxfId="1117" priority="1096" stopIfTrue="1" operator="equal">
      <formula>"ن داخلي"</formula>
    </cfRule>
    <cfRule type="cellIs" dxfId="1116" priority="1097" stopIfTrue="1" operator="equal">
      <formula>"ن داخلية"</formula>
    </cfRule>
    <cfRule type="cellIs" dxfId="1115" priority="1098" stopIfTrue="1" operator="equal">
      <formula>#REF!</formula>
    </cfRule>
    <cfRule type="cellIs" dxfId="1114" priority="1099" stopIfTrue="1" operator="equal">
      <formula>#REF!</formula>
    </cfRule>
    <cfRule type="cellIs" dxfId="1113" priority="1100" stopIfTrue="1" operator="equal">
      <formula>#REF!</formula>
    </cfRule>
    <cfRule type="cellIs" dxfId="1112" priority="1101" stopIfTrue="1" operator="equal">
      <formula>#REF!</formula>
    </cfRule>
    <cfRule type="cellIs" dxfId="1111" priority="1102" stopIfTrue="1" operator="equal">
      <formula>"داخلية"</formula>
    </cfRule>
  </conditionalFormatting>
  <conditionalFormatting sqref="E773">
    <cfRule type="expression" dxfId="1110" priority="1090" stopIfTrue="1">
      <formula>#REF!=""</formula>
    </cfRule>
  </conditionalFormatting>
  <conditionalFormatting sqref="E773">
    <cfRule type="expression" dxfId="1109" priority="1089" stopIfTrue="1">
      <formula>IF(ROW(#REF!)&lt;=#REF!,"",1)=1</formula>
    </cfRule>
  </conditionalFormatting>
  <conditionalFormatting sqref="E773">
    <cfRule type="expression" dxfId="1108" priority="1088" stopIfTrue="1">
      <formula>#REF!=""</formula>
    </cfRule>
  </conditionalFormatting>
  <conditionalFormatting sqref="E564">
    <cfRule type="expression" dxfId="1107" priority="1087" stopIfTrue="1">
      <formula>#REF!=""</formula>
    </cfRule>
  </conditionalFormatting>
  <conditionalFormatting sqref="E564">
    <cfRule type="expression" dxfId="1106" priority="1086" stopIfTrue="1">
      <formula>#REF!=""</formula>
    </cfRule>
  </conditionalFormatting>
  <conditionalFormatting sqref="E774">
    <cfRule type="containsText" dxfId="1105" priority="1084" stopIfTrue="1" operator="containsText" text="خارجية">
      <formula>NOT(ISERROR(SEARCH("خارجية",E774)))</formula>
    </cfRule>
    <cfRule type="containsText" dxfId="1104" priority="1085" stopIfTrue="1" operator="containsText" text="خارجي">
      <formula>NOT(ISERROR(SEARCH("خارجي",E774)))</formula>
    </cfRule>
  </conditionalFormatting>
  <conditionalFormatting sqref="E774">
    <cfRule type="containsText" dxfId="1103" priority="1072" stopIfTrue="1" operator="containsText" text="خارجية">
      <formula>NOT(ISERROR(SEARCH("خارجية",E774)))</formula>
    </cfRule>
    <cfRule type="containsText" dxfId="1102" priority="1073" stopIfTrue="1" operator="containsText" text="ن داخلية">
      <formula>NOT(ISERROR(SEARCH("ن داخلية",E774)))</formula>
    </cfRule>
    <cfRule type="containsText" dxfId="1101" priority="1074" stopIfTrue="1" operator="containsText" text="داخلية">
      <formula>NOT(ISERROR(SEARCH("داخلية",E774)))</formula>
    </cfRule>
    <cfRule type="containsText" dxfId="1100" priority="1075" stopIfTrue="1" operator="containsText" text="ن داخلية">
      <formula>NOT(ISERROR(SEARCH("ن داخلية",E774)))</formula>
    </cfRule>
    <cfRule type="containsText" dxfId="1099" priority="1076" stopIfTrue="1" operator="containsText" text="داخلية">
      <formula>NOT(ISERROR(SEARCH("داخلية",E774)))</formula>
    </cfRule>
    <cfRule type="cellIs" dxfId="1098" priority="1077" stopIfTrue="1" operator="equal">
      <formula>"ن داخلي"</formula>
    </cfRule>
    <cfRule type="cellIs" dxfId="1097" priority="1078" stopIfTrue="1" operator="equal">
      <formula>"ن داخلية"</formula>
    </cfRule>
    <cfRule type="cellIs" dxfId="1096" priority="1079" stopIfTrue="1" operator="equal">
      <formula>#REF!</formula>
    </cfRule>
    <cfRule type="cellIs" dxfId="1095" priority="1080" stopIfTrue="1" operator="equal">
      <formula>#REF!</formula>
    </cfRule>
    <cfRule type="cellIs" dxfId="1094" priority="1081" stopIfTrue="1" operator="equal">
      <formula>#REF!</formula>
    </cfRule>
    <cfRule type="cellIs" dxfId="1093" priority="1082" stopIfTrue="1" operator="equal">
      <formula>#REF!</formula>
    </cfRule>
    <cfRule type="cellIs" dxfId="1092" priority="1083" stopIfTrue="1" operator="equal">
      <formula>"داخلية"</formula>
    </cfRule>
  </conditionalFormatting>
  <conditionalFormatting sqref="E776">
    <cfRule type="containsText" dxfId="1091" priority="1070" stopIfTrue="1" operator="containsText" text="خارجية">
      <formula>NOT(ISERROR(SEARCH("خارجية",E776)))</formula>
    </cfRule>
    <cfRule type="containsText" dxfId="1090" priority="1071" stopIfTrue="1" operator="containsText" text="خارجي">
      <formula>NOT(ISERROR(SEARCH("خارجي",E776)))</formula>
    </cfRule>
  </conditionalFormatting>
  <conditionalFormatting sqref="E776">
    <cfRule type="containsText" dxfId="1089" priority="1058" stopIfTrue="1" operator="containsText" text="خارجية">
      <formula>NOT(ISERROR(SEARCH("خارجية",E776)))</formula>
    </cfRule>
    <cfRule type="containsText" dxfId="1088" priority="1059" stopIfTrue="1" operator="containsText" text="ن داخلية">
      <formula>NOT(ISERROR(SEARCH("ن داخلية",E776)))</formula>
    </cfRule>
    <cfRule type="containsText" dxfId="1087" priority="1060" stopIfTrue="1" operator="containsText" text="داخلية">
      <formula>NOT(ISERROR(SEARCH("داخلية",E776)))</formula>
    </cfRule>
    <cfRule type="containsText" dxfId="1086" priority="1061" stopIfTrue="1" operator="containsText" text="ن داخلية">
      <formula>NOT(ISERROR(SEARCH("ن داخلية",E776)))</formula>
    </cfRule>
    <cfRule type="containsText" dxfId="1085" priority="1062" stopIfTrue="1" operator="containsText" text="داخلية">
      <formula>NOT(ISERROR(SEARCH("داخلية",E776)))</formula>
    </cfRule>
    <cfRule type="cellIs" dxfId="1084" priority="1063" stopIfTrue="1" operator="equal">
      <formula>"ن داخلي"</formula>
    </cfRule>
    <cfRule type="cellIs" dxfId="1083" priority="1064" stopIfTrue="1" operator="equal">
      <formula>"ن داخلية"</formula>
    </cfRule>
    <cfRule type="cellIs" dxfId="1082" priority="1065" stopIfTrue="1" operator="equal">
      <formula>#REF!</formula>
    </cfRule>
    <cfRule type="cellIs" dxfId="1081" priority="1066" stopIfTrue="1" operator="equal">
      <formula>#REF!</formula>
    </cfRule>
    <cfRule type="cellIs" dxfId="1080" priority="1067" stopIfTrue="1" operator="equal">
      <formula>#REF!</formula>
    </cfRule>
    <cfRule type="cellIs" dxfId="1079" priority="1068" stopIfTrue="1" operator="equal">
      <formula>#REF!</formula>
    </cfRule>
    <cfRule type="cellIs" dxfId="1078" priority="1069" stopIfTrue="1" operator="equal">
      <formula>"داخلية"</formula>
    </cfRule>
  </conditionalFormatting>
  <conditionalFormatting sqref="E777 B775:C775 B777:C777 C767 E768 E771 E748 E753 C749:C751 C747 E735:E736 E738:E740 B735:C735 B725:C725 B704:C704 B707:C707 E733 E729 B729:C729 B660:C661 B656:C658 B698:C698 C663 C666:C667 B662:B668 B651:C653 E651:E654 B701:C701 E603:E606 E305 E207:E214 E201:E205 E246:E250 E223:E244 E252:E303 E217:E221 E183:E193 E166:E175 E162 B151:C180 B146:C146 E139:E144 E153:E159 B139:C144 E608:E649 B217:C303 B305:C305 E307:E538 B307:C538 B540:C606 E656:E727 E765:E766 B133:C133 B125:C127 E133 B118:C118 C117 B112:C112 B114:C114 E540:E563 E565:E601 B183:C195 B197:C214 B608:C649">
    <cfRule type="expression" dxfId="1077" priority="1057" stopIfTrue="1">
      <formula>#REF!=""</formula>
    </cfRule>
  </conditionalFormatting>
  <conditionalFormatting sqref="C974:C975 E686 E619:E620 E628 E531 E509:E510 E507 E521:E528 E766:E886">
    <cfRule type="containsText" dxfId="1076" priority="1045" stopIfTrue="1" operator="containsText" text="خارجية">
      <formula>NOT(ISERROR(SEARCH("خارجية",C507)))</formula>
    </cfRule>
    <cfRule type="containsText" dxfId="1075" priority="1046" stopIfTrue="1" operator="containsText" text="ن داخلية">
      <formula>NOT(ISERROR(SEARCH("ن داخلية",C507)))</formula>
    </cfRule>
    <cfRule type="containsText" dxfId="1074" priority="1047" stopIfTrue="1" operator="containsText" text="داخلية">
      <formula>NOT(ISERROR(SEARCH("داخلية",C507)))</formula>
    </cfRule>
    <cfRule type="containsText" dxfId="1073" priority="1048" stopIfTrue="1" operator="containsText" text="ن داخلية">
      <formula>NOT(ISERROR(SEARCH("ن داخلية",C507)))</formula>
    </cfRule>
    <cfRule type="containsText" dxfId="1072" priority="1049" stopIfTrue="1" operator="containsText" text="داخلية">
      <formula>NOT(ISERROR(SEARCH("داخلية",C507)))</formula>
    </cfRule>
    <cfRule type="cellIs" dxfId="1071" priority="1050" stopIfTrue="1" operator="equal">
      <formula>"ن داخلي"</formula>
    </cfRule>
    <cfRule type="cellIs" dxfId="1070" priority="1051" stopIfTrue="1" operator="equal">
      <formula>"ن داخلية"</formula>
    </cfRule>
    <cfRule type="cellIs" dxfId="1069" priority="1052" stopIfTrue="1" operator="equal">
      <formula>#REF!</formula>
    </cfRule>
    <cfRule type="cellIs" dxfId="1068" priority="1053" stopIfTrue="1" operator="equal">
      <formula>#REF!</formula>
    </cfRule>
    <cfRule type="cellIs" dxfId="1067" priority="1054" stopIfTrue="1" operator="equal">
      <formula>#REF!</formula>
    </cfRule>
    <cfRule type="cellIs" dxfId="1066" priority="1055" stopIfTrue="1" operator="equal">
      <formula>#REF!</formula>
    </cfRule>
    <cfRule type="cellIs" dxfId="1065" priority="1056" stopIfTrue="1" operator="equal">
      <formula>"داخلية"</formula>
    </cfRule>
  </conditionalFormatting>
  <conditionalFormatting sqref="E766:E886 E686 E507 E521:E528 E509:E510">
    <cfRule type="containsText" dxfId="1064" priority="1043" stopIfTrue="1" operator="containsText" text="خارجية">
      <formula>NOT(ISERROR(SEARCH("خارجية",E507)))</formula>
    </cfRule>
    <cfRule type="containsText" dxfId="1063" priority="1044" stopIfTrue="1" operator="containsText" text="خارجي">
      <formula>NOT(ISERROR(SEARCH("خارجي",E507)))</formula>
    </cfRule>
  </conditionalFormatting>
  <conditionalFormatting sqref="E777 E752:E753 E733:E749 E607 E687 E690:E729 E678 E682 E674 E652 E659:E660 E662 E665:E666 E577 E554 E544:E545">
    <cfRule type="expression" dxfId="1062" priority="1042" stopIfTrue="1">
      <formula>IF(ROW(#REF!)&lt;=#REF!,"",1)=1</formula>
    </cfRule>
  </conditionalFormatting>
  <conditionalFormatting sqref="C974:C975 E619:E620 E628">
    <cfRule type="cellIs" dxfId="1061" priority="1041" stopIfTrue="1" operator="greaterThan">
      <formula>"9.999"</formula>
    </cfRule>
  </conditionalFormatting>
  <conditionalFormatting sqref="C975 B974:D974 C769 E777 E779:E781 E767 E745 E735 E738 C722 E726:E727 B723:C723 B710:C710 C719 B713:C713 B720:C720 B733:C734 B726:C729 E733 C707 B688:C690 B691 B667:C667 B692:C704 B669:C669 E656:E724 E651:E654 B196 E200:E214 E183:E198 E161:E175 B146:C148 E148 E139:E144 B139:C144 B307:C503 C504:C538 B217:C305 E217:E305 E307:E538 B505:B538 B540:C606 B777:C781 E775 E153:E159 E132:E133 B118:C119 C117 B135:C135 B114:C114 B112:C112 B123:C127 E123:E127 E114 B132 B133:C133 E770 B770:C770 E540:E563 E565:E649 B151:C180 B183:C195 B197:C214 B608:C649">
    <cfRule type="expression" dxfId="1060" priority="1040" stopIfTrue="1">
      <formula>#REF!=""</formula>
    </cfRule>
  </conditionalFormatting>
  <conditionalFormatting sqref="B729:D730 C722:D722 C707 B713:D713 B704:D704 B703:C703 B692:D702 B688:D688 D691 B691 E664 B669:D669 D628:D629 E632 E603 E561 E556 D356 E276 B249:E249 E235:E236 B531:D531 B144:C144 B143:E143 E607:E609 E132 B132">
    <cfRule type="expression" dxfId="1059" priority="1039" stopIfTrue="1">
      <formula>#REF!=""</formula>
    </cfRule>
  </conditionalFormatting>
  <conditionalFormatting sqref="E686 E523:E525 E509">
    <cfRule type="containsText" dxfId="1058" priority="1037" stopIfTrue="1" operator="containsText" text="خارجية">
      <formula>NOT(ISERROR(SEARCH("خارجية",E509)))</formula>
    </cfRule>
    <cfRule type="containsText" dxfId="1057" priority="1038" stopIfTrue="1" operator="containsText" text="خارجي">
      <formula>NOT(ISERROR(SEARCH("خارجي",E509)))</formula>
    </cfRule>
  </conditionalFormatting>
  <conditionalFormatting sqref="D356 D247">
    <cfRule type="containsText" dxfId="1056" priority="1025" stopIfTrue="1" operator="containsText" text="خارجية">
      <formula>NOT(ISERROR(SEARCH("خارجية",D247)))</formula>
    </cfRule>
    <cfRule type="containsText" dxfId="1055" priority="1026" stopIfTrue="1" operator="containsText" text="ن داخلية">
      <formula>NOT(ISERROR(SEARCH("ن داخلية",D247)))</formula>
    </cfRule>
    <cfRule type="containsText" dxfId="1054" priority="1027" stopIfTrue="1" operator="containsText" text="داخلية">
      <formula>NOT(ISERROR(SEARCH("داخلية",D247)))</formula>
    </cfRule>
    <cfRule type="containsText" dxfId="1053" priority="1028" stopIfTrue="1" operator="containsText" text="ن داخلية">
      <formula>NOT(ISERROR(SEARCH("ن داخلية",D247)))</formula>
    </cfRule>
    <cfRule type="containsText" dxfId="1052" priority="1029" stopIfTrue="1" operator="containsText" text="داخلية">
      <formula>NOT(ISERROR(SEARCH("داخلية",D247)))</formula>
    </cfRule>
    <cfRule type="cellIs" dxfId="1051" priority="1030" stopIfTrue="1" operator="equal">
      <formula>"ن داخلي"</formula>
    </cfRule>
    <cfRule type="cellIs" dxfId="1050" priority="1031" stopIfTrue="1" operator="equal">
      <formula>"ن داخلية"</formula>
    </cfRule>
    <cfRule type="cellIs" dxfId="1049" priority="1032" stopIfTrue="1" operator="equal">
      <formula>#REF!</formula>
    </cfRule>
    <cfRule type="cellIs" dxfId="1048" priority="1033" stopIfTrue="1" operator="equal">
      <formula>#REF!</formula>
    </cfRule>
    <cfRule type="cellIs" dxfId="1047" priority="1034" stopIfTrue="1" operator="equal">
      <formula>#REF!</formula>
    </cfRule>
    <cfRule type="cellIs" dxfId="1046" priority="1035" stopIfTrue="1" operator="equal">
      <formula>#REF!</formula>
    </cfRule>
    <cfRule type="cellIs" dxfId="1045" priority="1036" stopIfTrue="1" operator="equal">
      <formula>"داخلية"</formula>
    </cfRule>
  </conditionalFormatting>
  <conditionalFormatting sqref="D721:D722 D699:D703 D672:D673 D571 D536:D538 D361 D247">
    <cfRule type="cellIs" dxfId="1044" priority="1024" stopIfTrue="1" operator="greaterThan">
      <formula>"9.999"</formula>
    </cfRule>
  </conditionalFormatting>
  <conditionalFormatting sqref="D721:D722 D699:D703 E686 D672:D673 D571 D536:D538 E523:E525 E509 D361 E531">
    <cfRule type="containsText" dxfId="1043" priority="1012" stopIfTrue="1" operator="containsText" text="خارجية">
      <formula>NOT(ISERROR(SEARCH("خارجية",D361)))</formula>
    </cfRule>
    <cfRule type="containsText" dxfId="1042" priority="1013" stopIfTrue="1" operator="containsText" text="ن داخلية">
      <formula>NOT(ISERROR(SEARCH("ن داخلية",D361)))</formula>
    </cfRule>
    <cfRule type="containsText" dxfId="1041" priority="1014" stopIfTrue="1" operator="containsText" text="داخلية">
      <formula>NOT(ISERROR(SEARCH("داخلية",D361)))</formula>
    </cfRule>
    <cfRule type="containsText" dxfId="1040" priority="1015" stopIfTrue="1" operator="containsText" text="ن داخلية">
      <formula>NOT(ISERROR(SEARCH("ن داخلية",D361)))</formula>
    </cfRule>
    <cfRule type="containsText" dxfId="1039" priority="1016" stopIfTrue="1" operator="containsText" text="داخلية">
      <formula>NOT(ISERROR(SEARCH("داخلية",D361)))</formula>
    </cfRule>
    <cfRule type="cellIs" dxfId="1038" priority="1017" stopIfTrue="1" operator="equal">
      <formula>"ن داخلي"</formula>
    </cfRule>
    <cfRule type="cellIs" dxfId="1037" priority="1018" stopIfTrue="1" operator="equal">
      <formula>"ن داخلية"</formula>
    </cfRule>
    <cfRule type="cellIs" dxfId="1036" priority="1019" stopIfTrue="1" operator="equal">
      <formula>#REF!</formula>
    </cfRule>
    <cfRule type="cellIs" dxfId="1035" priority="1020" stopIfTrue="1" operator="equal">
      <formula>#REF!</formula>
    </cfRule>
    <cfRule type="cellIs" dxfId="1034" priority="1021" stopIfTrue="1" operator="equal">
      <formula>#REF!</formula>
    </cfRule>
    <cfRule type="cellIs" dxfId="1033" priority="1022" stopIfTrue="1" operator="equal">
      <formula>#REF!</formula>
    </cfRule>
    <cfRule type="cellIs" dxfId="1032" priority="1023" stopIfTrue="1" operator="equal">
      <formula>"داخلية"</formula>
    </cfRule>
  </conditionalFormatting>
  <conditionalFormatting sqref="E770 B770:C770">
    <cfRule type="expression" dxfId="1031" priority="1011" stopIfTrue="1">
      <formula>#REF!=""</formula>
    </cfRule>
  </conditionalFormatting>
  <conditionalFormatting sqref="B770:C770">
    <cfRule type="expression" dxfId="1030" priority="1010" stopIfTrue="1">
      <formula>#REF!=""</formula>
    </cfRule>
  </conditionalFormatting>
  <conditionalFormatting sqref="B771:C771">
    <cfRule type="expression" dxfId="1029" priority="1009" stopIfTrue="1">
      <formula>#REF!=""</formula>
    </cfRule>
  </conditionalFormatting>
  <conditionalFormatting sqref="E771 B771:C771">
    <cfRule type="expression" dxfId="1028" priority="1008" stopIfTrue="1">
      <formula>#REF!=""</formula>
    </cfRule>
  </conditionalFormatting>
  <conditionalFormatting sqref="E772 B772:C772">
    <cfRule type="expression" dxfId="1027" priority="1007" stopIfTrue="1">
      <formula>#REF!=""</formula>
    </cfRule>
  </conditionalFormatting>
  <conditionalFormatting sqref="E772 B772:C772">
    <cfRule type="expression" dxfId="1026" priority="1006" stopIfTrue="1">
      <formula>#REF!=""</formula>
    </cfRule>
  </conditionalFormatting>
  <conditionalFormatting sqref="B772:D772">
    <cfRule type="expression" dxfId="1025" priority="1005" stopIfTrue="1">
      <formula>#REF!=""</formula>
    </cfRule>
  </conditionalFormatting>
  <conditionalFormatting sqref="E772">
    <cfRule type="containsText" dxfId="1024" priority="993" stopIfTrue="1" operator="containsText" text="خارجية">
      <formula>NOT(ISERROR(SEARCH("خارجية",E772)))</formula>
    </cfRule>
    <cfRule type="containsText" dxfId="1023" priority="994" stopIfTrue="1" operator="containsText" text="ن داخلية">
      <formula>NOT(ISERROR(SEARCH("ن داخلية",E772)))</formula>
    </cfRule>
    <cfRule type="containsText" dxfId="1022" priority="995" stopIfTrue="1" operator="containsText" text="داخلية">
      <formula>NOT(ISERROR(SEARCH("داخلية",E772)))</formula>
    </cfRule>
    <cfRule type="containsText" dxfId="1021" priority="996" stopIfTrue="1" operator="containsText" text="ن داخلية">
      <formula>NOT(ISERROR(SEARCH("ن داخلية",E772)))</formula>
    </cfRule>
    <cfRule type="containsText" dxfId="1020" priority="997" stopIfTrue="1" operator="containsText" text="داخلية">
      <formula>NOT(ISERROR(SEARCH("داخلية",E772)))</formula>
    </cfRule>
    <cfRule type="cellIs" dxfId="1019" priority="998" stopIfTrue="1" operator="equal">
      <formula>"ن داخلي"</formula>
    </cfRule>
    <cfRule type="cellIs" dxfId="1018" priority="999" stopIfTrue="1" operator="equal">
      <formula>"ن داخلية"</formula>
    </cfRule>
    <cfRule type="cellIs" dxfId="1017" priority="1000" stopIfTrue="1" operator="equal">
      <formula>#REF!</formula>
    </cfRule>
    <cfRule type="cellIs" dxfId="1016" priority="1001" stopIfTrue="1" operator="equal">
      <formula>#REF!</formula>
    </cfRule>
    <cfRule type="cellIs" dxfId="1015" priority="1002" stopIfTrue="1" operator="equal">
      <formula>#REF!</formula>
    </cfRule>
    <cfRule type="cellIs" dxfId="1014" priority="1003" stopIfTrue="1" operator="equal">
      <formula>#REF!</formula>
    </cfRule>
    <cfRule type="cellIs" dxfId="1013" priority="1004" stopIfTrue="1" operator="equal">
      <formula>"داخلية"</formula>
    </cfRule>
  </conditionalFormatting>
  <conditionalFormatting sqref="E773">
    <cfRule type="expression" dxfId="1012" priority="992" stopIfTrue="1">
      <formula>#REF!=""</formula>
    </cfRule>
  </conditionalFormatting>
  <conditionalFormatting sqref="E773">
    <cfRule type="expression" dxfId="1011" priority="991" stopIfTrue="1">
      <formula>IF(ROW(#REF!)&lt;=#REF!,"",1)=1</formula>
    </cfRule>
  </conditionalFormatting>
  <conditionalFormatting sqref="E773">
    <cfRule type="expression" dxfId="1010" priority="990" stopIfTrue="1">
      <formula>#REF!=""</formula>
    </cfRule>
  </conditionalFormatting>
  <conditionalFormatting sqref="E564">
    <cfRule type="expression" dxfId="1009" priority="989" stopIfTrue="1">
      <formula>#REF!=""</formula>
    </cfRule>
  </conditionalFormatting>
  <conditionalFormatting sqref="E564">
    <cfRule type="expression" dxfId="1008" priority="988" stopIfTrue="1">
      <formula>#REF!=""</formula>
    </cfRule>
  </conditionalFormatting>
  <conditionalFormatting sqref="E774">
    <cfRule type="containsText" dxfId="1007" priority="986" stopIfTrue="1" operator="containsText" text="خارجية">
      <formula>NOT(ISERROR(SEARCH("خارجية",E774)))</formula>
    </cfRule>
    <cfRule type="containsText" dxfId="1006" priority="987" stopIfTrue="1" operator="containsText" text="خارجي">
      <formula>NOT(ISERROR(SEARCH("خارجي",E774)))</formula>
    </cfRule>
  </conditionalFormatting>
  <conditionalFormatting sqref="E774">
    <cfRule type="containsText" dxfId="1005" priority="974" stopIfTrue="1" operator="containsText" text="خارجية">
      <formula>NOT(ISERROR(SEARCH("خارجية",E774)))</formula>
    </cfRule>
    <cfRule type="containsText" dxfId="1004" priority="975" stopIfTrue="1" operator="containsText" text="ن داخلية">
      <formula>NOT(ISERROR(SEARCH("ن داخلية",E774)))</formula>
    </cfRule>
    <cfRule type="containsText" dxfId="1003" priority="976" stopIfTrue="1" operator="containsText" text="داخلية">
      <formula>NOT(ISERROR(SEARCH("داخلية",E774)))</formula>
    </cfRule>
    <cfRule type="containsText" dxfId="1002" priority="977" stopIfTrue="1" operator="containsText" text="ن داخلية">
      <formula>NOT(ISERROR(SEARCH("ن داخلية",E774)))</formula>
    </cfRule>
    <cfRule type="containsText" dxfId="1001" priority="978" stopIfTrue="1" operator="containsText" text="داخلية">
      <formula>NOT(ISERROR(SEARCH("داخلية",E774)))</formula>
    </cfRule>
    <cfRule type="cellIs" dxfId="1000" priority="979" stopIfTrue="1" operator="equal">
      <formula>"ن داخلي"</formula>
    </cfRule>
    <cfRule type="cellIs" dxfId="999" priority="980" stopIfTrue="1" operator="equal">
      <formula>"ن داخلية"</formula>
    </cfRule>
    <cfRule type="cellIs" dxfId="998" priority="981" stopIfTrue="1" operator="equal">
      <formula>#REF!</formula>
    </cfRule>
    <cfRule type="cellIs" dxfId="997" priority="982" stopIfTrue="1" operator="equal">
      <formula>#REF!</formula>
    </cfRule>
    <cfRule type="cellIs" dxfId="996" priority="983" stopIfTrue="1" operator="equal">
      <formula>#REF!</formula>
    </cfRule>
    <cfRule type="cellIs" dxfId="995" priority="984" stopIfTrue="1" operator="equal">
      <formula>#REF!</formula>
    </cfRule>
    <cfRule type="cellIs" dxfId="994" priority="985" stopIfTrue="1" operator="equal">
      <formula>"داخلية"</formula>
    </cfRule>
  </conditionalFormatting>
  <conditionalFormatting sqref="E776">
    <cfRule type="containsText" dxfId="993" priority="972" stopIfTrue="1" operator="containsText" text="خارجية">
      <formula>NOT(ISERROR(SEARCH("خارجية",E776)))</formula>
    </cfRule>
    <cfRule type="containsText" dxfId="992" priority="973" stopIfTrue="1" operator="containsText" text="خارجي">
      <formula>NOT(ISERROR(SEARCH("خارجي",E776)))</formula>
    </cfRule>
  </conditionalFormatting>
  <conditionalFormatting sqref="E776">
    <cfRule type="containsText" dxfId="991" priority="960" stopIfTrue="1" operator="containsText" text="خارجية">
      <formula>NOT(ISERROR(SEARCH("خارجية",E776)))</formula>
    </cfRule>
    <cfRule type="containsText" dxfId="990" priority="961" stopIfTrue="1" operator="containsText" text="ن داخلية">
      <formula>NOT(ISERROR(SEARCH("ن داخلية",E776)))</formula>
    </cfRule>
    <cfRule type="containsText" dxfId="989" priority="962" stopIfTrue="1" operator="containsText" text="داخلية">
      <formula>NOT(ISERROR(SEARCH("داخلية",E776)))</formula>
    </cfRule>
    <cfRule type="containsText" dxfId="988" priority="963" stopIfTrue="1" operator="containsText" text="ن داخلية">
      <formula>NOT(ISERROR(SEARCH("ن داخلية",E776)))</formula>
    </cfRule>
    <cfRule type="containsText" dxfId="987" priority="964" stopIfTrue="1" operator="containsText" text="داخلية">
      <formula>NOT(ISERROR(SEARCH("داخلية",E776)))</formula>
    </cfRule>
    <cfRule type="cellIs" dxfId="986" priority="965" stopIfTrue="1" operator="equal">
      <formula>"ن داخلي"</formula>
    </cfRule>
    <cfRule type="cellIs" dxfId="985" priority="966" stopIfTrue="1" operator="equal">
      <formula>"ن داخلية"</formula>
    </cfRule>
    <cfRule type="cellIs" dxfId="984" priority="967" stopIfTrue="1" operator="equal">
      <formula>#REF!</formula>
    </cfRule>
    <cfRule type="cellIs" dxfId="983" priority="968" stopIfTrue="1" operator="equal">
      <formula>#REF!</formula>
    </cfRule>
    <cfRule type="cellIs" dxfId="982" priority="969" stopIfTrue="1" operator="equal">
      <formula>#REF!</formula>
    </cfRule>
    <cfRule type="cellIs" dxfId="981" priority="970" stopIfTrue="1" operator="equal">
      <formula>#REF!</formula>
    </cfRule>
    <cfRule type="cellIs" dxfId="980" priority="971" stopIfTrue="1" operator="equal">
      <formula>"داخلية"</formula>
    </cfRule>
  </conditionalFormatting>
  <conditionalFormatting sqref="D523:D529 E531 E496 B523:B529 D513:E513 E515 E523 D503:E507 D510:D512 D514 D499:E501 D498 D534:E534 E528 D502 D516:E517 B517:B518 B506:B508 D508 B497:B499 B501:B503 E535:E544 B510:B514 D472:E472 D489:D495 E492:E493 B485:B487 D477:D480 E485 D485:D487 B470:B475 B477:B480 E475:E480 D473:D475 B489:B493 D405:E405 B403:B405 B407:B468 D399:E401 D394:E396 D385:E385 D390:E391 B390:B391 B399:B401 B394:B396 B601:E601 B383:B385 D372:E382 D320 D322:E333 D362:D366 D371 E315:E319 B310 D310 B308 D314:E314 D300:E305 D294:E298 D317 D306:D308 B314 B296:B306 B320 B583:D583 B572:E582 B561:D561 E526 E518:E521 D454:D471 E454:E469 C417:E450 D451:E453 C403:E404 E402 E406 D407:E416 E386:E389 E392:E393 E397:E398 C387:D387 C383:D384 B368:E369 E365:E367 D370:E370 E362:E363 B334:E334 B322:B325 D335:E361 B312:D312 E132 E279:E280 B293:D293 D278:D285 E283:E285 D286:E292 C602:E615 C585:E600 C584:D584 C616:D620 C621 B584:B600 B602:B621 D621:D622 B132 B626:E634 B266:B269 B253 D253:E253 D251:E251 B251 D245 D241:E244 C233:C259 C226:C227 D158:E158 B154 D154 C139:C146 B163:D163 B271:B278 B294 B260:C265 D256:E269 B141 D141 E616:E622 C150:C155 C157:C162 D562:D564 E546:E556 E561:E564 D565:E571 E583:E584 D710:D711 E714 E687 E691 E693 B534:C535 C266:C270 C278 B279:C292 C294:C311 C313:C325 B326:C333 B335:C366 B367:D367 B370:C381 C382 C385:C386 C388:C402 C405:C416 C451:C533 C536:C556 B557:E560 B562:C571 B531:B533 D531:D533 D535:D556 B537:B556 E649 E644 C271:E277 B241:B249 D246:E249 E234:E236 B143:B145 D143:E144 B622:C625 D623:E625 B641:E642">
    <cfRule type="expression" dxfId="979" priority="959" stopIfTrue="1">
      <formula>#REF!=""</formula>
    </cfRule>
  </conditionalFormatting>
  <conditionalFormatting sqref="D642 D779:D782 E625 D616:E616 D649 E562 D750:D752 D656:D657 D624:D626 D543:D545 D561:D563 D363 D246:D247 D356 D721:D722 D699:D703 E686 D672:D673 E523:E528 D571 D536:D538 E509:E510 D361 E531 D775:E776 E772:E774">
    <cfRule type="containsText" dxfId="978" priority="947" stopIfTrue="1" operator="containsText" text="خارجية">
      <formula>NOT(ISERROR(SEARCH("خارجية",D246)))</formula>
    </cfRule>
    <cfRule type="containsText" dxfId="977" priority="948" stopIfTrue="1" operator="containsText" text="ن داخلية">
      <formula>NOT(ISERROR(SEARCH("ن داخلية",D246)))</formula>
    </cfRule>
    <cfRule type="containsText" dxfId="976" priority="949" stopIfTrue="1" operator="containsText" text="داخلية">
      <formula>NOT(ISERROR(SEARCH("داخلية",D246)))</formula>
    </cfRule>
    <cfRule type="containsText" dxfId="975" priority="950" stopIfTrue="1" operator="containsText" text="ن داخلية">
      <formula>NOT(ISERROR(SEARCH("ن داخلية",D246)))</formula>
    </cfRule>
    <cfRule type="containsText" dxfId="974" priority="951" stopIfTrue="1" operator="containsText" text="داخلية">
      <formula>NOT(ISERROR(SEARCH("داخلية",D246)))</formula>
    </cfRule>
    <cfRule type="cellIs" dxfId="973" priority="952" stopIfTrue="1" operator="equal">
      <formula>"ن داخلي"</formula>
    </cfRule>
    <cfRule type="cellIs" dxfId="972" priority="953" stopIfTrue="1" operator="equal">
      <formula>"ن داخلية"</formula>
    </cfRule>
    <cfRule type="cellIs" dxfId="971" priority="954" stopIfTrue="1" operator="equal">
      <formula>#REF!</formula>
    </cfRule>
    <cfRule type="cellIs" dxfId="970" priority="955" stopIfTrue="1" operator="equal">
      <formula>#REF!</formula>
    </cfRule>
    <cfRule type="cellIs" dxfId="969" priority="956" stopIfTrue="1" operator="equal">
      <formula>#REF!</formula>
    </cfRule>
    <cfRule type="cellIs" dxfId="968" priority="957" stopIfTrue="1" operator="equal">
      <formula>#REF!</formula>
    </cfRule>
    <cfRule type="cellIs" dxfId="967" priority="958" stopIfTrue="1" operator="equal">
      <formula>"داخلية"</formula>
    </cfRule>
  </conditionalFormatting>
  <conditionalFormatting sqref="D616:E616 D649 D780:D782 E562 D750:D752 D656:D657 D624:D626 D543:D545 D561:D563 D363 D721:D722 D699:D703 D672:D673 D571 D536:D538 D361 D246:D247 D775:D776 E625 D555 D584:D585 D532 D504 D549 D500:D501 D175:D176 D388 D357:D359 D206 D198 D202 D169:D170 D150 D265 D200 D192 D196">
    <cfRule type="cellIs" dxfId="966" priority="946" stopIfTrue="1" operator="greaterThan">
      <formula>"9.999"</formula>
    </cfRule>
  </conditionalFormatting>
  <conditionalFormatting sqref="E686 E509:E510 E772:E776 E584:E585 E515:E528 E558:E567 E487 E420 E413:E414 E396:E401 E388 E127:E128 E130:E149 E112:E125 E153:E386">
    <cfRule type="containsText" dxfId="965" priority="944" stopIfTrue="1" operator="containsText" text="خارجية">
      <formula>NOT(ISERROR(SEARCH("خارجية",E112)))</formula>
    </cfRule>
    <cfRule type="containsText" dxfId="964" priority="945" stopIfTrue="1" operator="containsText" text="خارجي">
      <formula>NOT(ISERROR(SEARCH("خارجي",E112)))</formula>
    </cfRule>
  </conditionalFormatting>
  <conditionalFormatting sqref="B770:C770 B772:D772 B775:E776">
    <cfRule type="expression" dxfId="963" priority="943" stopIfTrue="1">
      <formula>#REF!=""</formula>
    </cfRule>
  </conditionalFormatting>
  <conditionalFormatting sqref="D492:D501 D555 D564:D566 D539:D540 D532 D513 D549 D515:E516 D489 E455 E432:E434 D452:D453 E379 E376 E287 E231:E232 D201 D205 D193 D197 E135:E136 D149:D150 D145:E145 D147:E147 D169 D267:E267 E254:E255 D244 D175 D195 D199 D187 D191">
    <cfRule type="expression" dxfId="962" priority="942" stopIfTrue="1">
      <formula>#REF!=""</formula>
    </cfRule>
  </conditionalFormatting>
  <conditionalFormatting sqref="D205 D201 D197 D193 D265 D199 D195 D191 D187">
    <cfRule type="containsText" dxfId="961" priority="930" stopIfTrue="1" operator="containsText" text="خارجية">
      <formula>NOT(ISERROR(SEARCH("خارجية",D187)))</formula>
    </cfRule>
    <cfRule type="containsText" dxfId="960" priority="931" stopIfTrue="1" operator="containsText" text="ن داخلية">
      <formula>NOT(ISERROR(SEARCH("ن داخلية",D187)))</formula>
    </cfRule>
    <cfRule type="containsText" dxfId="959" priority="932" stopIfTrue="1" operator="containsText" text="داخلية">
      <formula>NOT(ISERROR(SEARCH("داخلية",D187)))</formula>
    </cfRule>
    <cfRule type="containsText" dxfId="958" priority="933" stopIfTrue="1" operator="containsText" text="ن داخلية">
      <formula>NOT(ISERROR(SEARCH("ن داخلية",D187)))</formula>
    </cfRule>
    <cfRule type="containsText" dxfId="957" priority="934" stopIfTrue="1" operator="containsText" text="داخلية">
      <formula>NOT(ISERROR(SEARCH("داخلية",D187)))</formula>
    </cfRule>
    <cfRule type="cellIs" dxfId="956" priority="935" stopIfTrue="1" operator="equal">
      <formula>"ن داخلي"</formula>
    </cfRule>
    <cfRule type="cellIs" dxfId="955" priority="936" stopIfTrue="1" operator="equal">
      <formula>"ن داخلية"</formula>
    </cfRule>
    <cfRule type="cellIs" dxfId="954" priority="937" stopIfTrue="1" operator="equal">
      <formula>#REF!</formula>
    </cfRule>
    <cfRule type="cellIs" dxfId="953" priority="938" stopIfTrue="1" operator="equal">
      <formula>#REF!</formula>
    </cfRule>
    <cfRule type="cellIs" dxfId="952" priority="939" stopIfTrue="1" operator="equal">
      <formula>#REF!</formula>
    </cfRule>
    <cfRule type="cellIs" dxfId="951" priority="940" stopIfTrue="1" operator="equal">
      <formula>#REF!</formula>
    </cfRule>
    <cfRule type="cellIs" dxfId="950" priority="941" stopIfTrue="1" operator="equal">
      <formula>"داخلية"</formula>
    </cfRule>
  </conditionalFormatting>
  <conditionalFormatting sqref="D555 D584:E585 D532 D504 D549 E515:E527 E558:E567 E487 E420 E413:E414 D500:D501 D357:D359 D388:E388 E396:E401 D206 D198 D202 D150 D169:D170 E112:E125 E127:E128 E130:E149 D200 D192 D196 D175:D176 E153:E386">
    <cfRule type="containsText" dxfId="949" priority="918" stopIfTrue="1" operator="containsText" text="خارجية">
      <formula>NOT(ISERROR(SEARCH("خارجية",D112)))</formula>
    </cfRule>
    <cfRule type="containsText" dxfId="948" priority="919" stopIfTrue="1" operator="containsText" text="ن داخلية">
      <formula>NOT(ISERROR(SEARCH("ن داخلية",D112)))</formula>
    </cfRule>
    <cfRule type="containsText" dxfId="947" priority="920" stopIfTrue="1" operator="containsText" text="داخلية">
      <formula>NOT(ISERROR(SEARCH("داخلية",D112)))</formula>
    </cfRule>
    <cfRule type="containsText" dxfId="946" priority="921" stopIfTrue="1" operator="containsText" text="ن داخلية">
      <formula>NOT(ISERROR(SEARCH("ن داخلية",D112)))</formula>
    </cfRule>
    <cfRule type="containsText" dxfId="945" priority="922" stopIfTrue="1" operator="containsText" text="داخلية">
      <formula>NOT(ISERROR(SEARCH("داخلية",D112)))</formula>
    </cfRule>
    <cfRule type="cellIs" dxfId="944" priority="923" stopIfTrue="1" operator="equal">
      <formula>"ن داخلي"</formula>
    </cfRule>
    <cfRule type="cellIs" dxfId="943" priority="924" stopIfTrue="1" operator="equal">
      <formula>"ن داخلية"</formula>
    </cfRule>
    <cfRule type="cellIs" dxfId="942" priority="925" stopIfTrue="1" operator="equal">
      <formula>#REF!</formula>
    </cfRule>
    <cfRule type="cellIs" dxfId="941" priority="926" stopIfTrue="1" operator="equal">
      <formula>#REF!</formula>
    </cfRule>
    <cfRule type="cellIs" dxfId="940" priority="927" stopIfTrue="1" operator="equal">
      <formula>#REF!</formula>
    </cfRule>
    <cfRule type="cellIs" dxfId="939" priority="928" stopIfTrue="1" operator="equal">
      <formula>#REF!</formula>
    </cfRule>
    <cfRule type="cellIs" dxfId="938" priority="929" stopIfTrue="1" operator="equal">
      <formula>"داخلية"</formula>
    </cfRule>
  </conditionalFormatting>
  <conditionalFormatting sqref="E420">
    <cfRule type="expression" dxfId="937" priority="917" stopIfTrue="1">
      <formula>#REF!=""</formula>
    </cfRule>
  </conditionalFormatting>
  <conditionalFormatting sqref="D709:D710 E713 E686 E690 E692 E648 E643 B640:E641 D523:D529 E531 E496 B523:B529 D513:E513 E515 E523 D503:E507 D510:D512 D514 D499:E501 D498 D534:E534 E528 D502 D516:E517 B517:B518 B506:B508 D508 B497:B499 B501:B503 E535:E544 B510:B514 D472:E472 D489:D495 E492:E493 B485:B487 D477:D480 E485 D485:D487 B470:B475 B477:B480 E475:E480 D473:D475 B489:B493 D405:E405 B403:B405 B407:B468 D399:E401 D394:E396 D385:E385 D390:E391 B390:B391 B399:B401 B394:B396 B383:B385 D372:E382 D320 D322:E333 D362:D366 D371 E315:E319 B310 D310 B308 D314:E314 D300:E305 D294:E298 D317 D306:D308 B314 B296:B306 B320 B583:D583 B572:E582 B561:D561 E526 E518:E521 D454:D471 E454:E469 C417:E450 D451:E453 C403:E404 E402 E406 E386:E389 E392:E393 E397:E398 C387:D387 C383:D384 B368:E369 E365:E367 D370:E370 E362:E363 B334:E334 B322:B325 D335:E361 B312:D312 E132 E279:E280 B293:D293 D278:D285 E283:E285 D286:E292 D584 B601:E633 B584:C600 B132 B266:B269 B253 D253:E253 D251:E251 B251 D245 D241:E244 C233:C259 C226:C227 D158:E158 B154 D154 C139:C146 B163:D163 B271:B278 B294 B260:C265 D256:E269 B141 D141 D585:E600 C150:C155 C157:C162 D562:D564 E546:E556 E561:E564 D565:E571 E583:E584 B534:C535 C266:C270 C278 B279:C292 C294:C311 C313:C325 B326:C333 B335:C366 B367:D367 B370:C381 C382 C385:C386 C388:C402 C405:C416 C451:C533 C536:C556 B557:E560 B562:C571 B531:B533 D531:D533 D535:D556 B537:B556 C271:E277 B241:B249 D246:E249 E234:E236 B143:B145 D143:E144 D407:E416">
    <cfRule type="expression" dxfId="936" priority="916" stopIfTrue="1">
      <formula>#REF!=""</formula>
    </cfRule>
  </conditionalFormatting>
  <conditionalFormatting sqref="D641 D778:D781 E624 D615:E615 D648 D749:D751 D655:D656 D623:D625 D720:D721 D698:D702 E685 D671:D672 D774:E775 E771:E773 D543:D545 D561:D563 D363 D246:D247 D571 D536:D538 E509:E510 D361 E531 D265 D187 D555 D584:E585 D532 D504 D549 E515:E528 E558:E567 E487 E420 E413:E414 D500:D501 D356:D359 D388:E388 E396:E401 D205:D206 D150 D169:D170 E112:E125 E127:E128 E130:E149 D191:D193 D195:D202 D175:D176 E153:E386">
    <cfRule type="containsText" dxfId="935" priority="904" stopIfTrue="1" operator="containsText" text="خارجية">
      <formula>NOT(ISERROR(SEARCH("خارجية",D112)))</formula>
    </cfRule>
    <cfRule type="containsText" dxfId="934" priority="905" stopIfTrue="1" operator="containsText" text="ن داخلية">
      <formula>NOT(ISERROR(SEARCH("ن داخلية",D112)))</formula>
    </cfRule>
    <cfRule type="containsText" dxfId="933" priority="906" stopIfTrue="1" operator="containsText" text="داخلية">
      <formula>NOT(ISERROR(SEARCH("داخلية",D112)))</formula>
    </cfRule>
    <cfRule type="containsText" dxfId="932" priority="907" stopIfTrue="1" operator="containsText" text="ن داخلية">
      <formula>NOT(ISERROR(SEARCH("ن داخلية",D112)))</formula>
    </cfRule>
    <cfRule type="containsText" dxfId="931" priority="908" stopIfTrue="1" operator="containsText" text="داخلية">
      <formula>NOT(ISERROR(SEARCH("داخلية",D112)))</formula>
    </cfRule>
    <cfRule type="cellIs" dxfId="930" priority="909" stopIfTrue="1" operator="equal">
      <formula>"ن داخلي"</formula>
    </cfRule>
    <cfRule type="cellIs" dxfId="929" priority="910" stopIfTrue="1" operator="equal">
      <formula>"ن داخلية"</formula>
    </cfRule>
    <cfRule type="cellIs" dxfId="928" priority="911" stopIfTrue="1" operator="equal">
      <formula>#REF!</formula>
    </cfRule>
    <cfRule type="cellIs" dxfId="927" priority="912" stopIfTrue="1" operator="equal">
      <formula>#REF!</formula>
    </cfRule>
    <cfRule type="cellIs" dxfId="926" priority="913" stopIfTrue="1" operator="equal">
      <formula>#REF!</formula>
    </cfRule>
    <cfRule type="cellIs" dxfId="925" priority="914" stopIfTrue="1" operator="equal">
      <formula>#REF!</formula>
    </cfRule>
    <cfRule type="cellIs" dxfId="924" priority="915" stopIfTrue="1" operator="equal">
      <formula>"داخلية"</formula>
    </cfRule>
  </conditionalFormatting>
  <conditionalFormatting sqref="D615:E615 D648 D779:D781 D749:D751 D655:D656 D623:D625 D720:D721 D698:D702 D671:D672 D774:D775 D918 E624 E562 D543:D545 D561:D563 D363 D571 D536:D538 D361 D246:D247 D555 D584:D585 D532 D504 D549 D500:D501 D175:D176 D388 D357:D359 D206 D198 D202 D169:D170 D150 D265 D200 D192 D196">
    <cfRule type="cellIs" dxfId="923" priority="903" stopIfTrue="1" operator="greaterThan">
      <formula>"9.999"</formula>
    </cfRule>
  </conditionalFormatting>
  <conditionalFormatting sqref="E685 E771:E775 E861:E1000 E829 E833:E859 E509:E510 E584:E585 E515:E528 E558:E567 E487 E420 E413:E414 E396:E401 E388 E127:E128 E130:E149 E112:E125 E153:E386">
    <cfRule type="containsText" dxfId="922" priority="901" stopIfTrue="1" operator="containsText" text="خارجية">
      <formula>NOT(ISERROR(SEARCH("خارجية",E112)))</formula>
    </cfRule>
    <cfRule type="containsText" dxfId="921" priority="902" stopIfTrue="1" operator="containsText" text="خارجي">
      <formula>NOT(ISERROR(SEARCH("خارجي",E112)))</formula>
    </cfRule>
  </conditionalFormatting>
  <conditionalFormatting sqref="B769:C769 B771:D771 B774:E775 D492:D501 D555 D564:D566 D539:D540 D532 D513 D549 D515:E516 D489 E455 E432:E434 D452:D453 E379 E376 E287 E231:E232 D201 D205 D193 D197 E135:E136 D149:D150 D145:E145 D147:E147 D169 D267:E267 E254:E255 D244 D175 D195 D199 D187 D191">
    <cfRule type="expression" dxfId="920" priority="900" stopIfTrue="1">
      <formula>#REF!=""</formula>
    </cfRule>
  </conditionalFormatting>
  <conditionalFormatting sqref="D920:E920 E947 D860:E861 E906:E907 E950:E951 E967:E968 E989:E990">
    <cfRule type="expression" dxfId="919" priority="899" stopIfTrue="1">
      <formula>#REF!=""</formula>
    </cfRule>
  </conditionalFormatting>
  <conditionalFormatting sqref="D918">
    <cfRule type="containsText" dxfId="918" priority="887" stopIfTrue="1" operator="containsText" text="خارجية">
      <formula>NOT(ISERROR(SEARCH("خارجية",D918)))</formula>
    </cfRule>
    <cfRule type="containsText" dxfId="917" priority="888" stopIfTrue="1" operator="containsText" text="ن داخلية">
      <formula>NOT(ISERROR(SEARCH("ن داخلية",D918)))</formula>
    </cfRule>
    <cfRule type="containsText" dxfId="916" priority="889" stopIfTrue="1" operator="containsText" text="داخلية">
      <formula>NOT(ISERROR(SEARCH("داخلية",D918)))</formula>
    </cfRule>
    <cfRule type="containsText" dxfId="915" priority="890" stopIfTrue="1" operator="containsText" text="ن داخلية">
      <formula>NOT(ISERROR(SEARCH("ن داخلية",D918)))</formula>
    </cfRule>
    <cfRule type="containsText" dxfId="914" priority="891" stopIfTrue="1" operator="containsText" text="داخلية">
      <formula>NOT(ISERROR(SEARCH("داخلية",D918)))</formula>
    </cfRule>
    <cfRule type="cellIs" dxfId="913" priority="892" stopIfTrue="1" operator="equal">
      <formula>"ن داخلي"</formula>
    </cfRule>
    <cfRule type="cellIs" dxfId="912" priority="893" stopIfTrue="1" operator="equal">
      <formula>"ن داخلية"</formula>
    </cfRule>
    <cfRule type="cellIs" dxfId="911" priority="894" stopIfTrue="1" operator="equal">
      <formula>#REF!</formula>
    </cfRule>
    <cfRule type="cellIs" dxfId="910" priority="895" stopIfTrue="1" operator="equal">
      <formula>#REF!</formula>
    </cfRule>
    <cfRule type="cellIs" dxfId="909" priority="896" stopIfTrue="1" operator="equal">
      <formula>#REF!</formula>
    </cfRule>
    <cfRule type="cellIs" dxfId="908" priority="897" stopIfTrue="1" operator="equal">
      <formula>#REF!</formula>
    </cfRule>
    <cfRule type="cellIs" dxfId="907" priority="898" stopIfTrue="1" operator="equal">
      <formula>"داخلية"</formula>
    </cfRule>
  </conditionalFormatting>
  <conditionalFormatting sqref="E861:E1000 E829 E833:E859">
    <cfRule type="containsText" dxfId="906" priority="875" stopIfTrue="1" operator="containsText" text="خارجية">
      <formula>NOT(ISERROR(SEARCH("خارجية",E829)))</formula>
    </cfRule>
    <cfRule type="containsText" dxfId="905" priority="876" stopIfTrue="1" operator="containsText" text="ن داخلية">
      <formula>NOT(ISERROR(SEARCH("ن داخلية",E829)))</formula>
    </cfRule>
    <cfRule type="containsText" dxfId="904" priority="877" stopIfTrue="1" operator="containsText" text="داخلية">
      <formula>NOT(ISERROR(SEARCH("داخلية",E829)))</formula>
    </cfRule>
    <cfRule type="containsText" dxfId="903" priority="878" stopIfTrue="1" operator="containsText" text="ن داخلية">
      <formula>NOT(ISERROR(SEARCH("ن داخلية",E829)))</formula>
    </cfRule>
    <cfRule type="containsText" dxfId="902" priority="879" stopIfTrue="1" operator="containsText" text="داخلية">
      <formula>NOT(ISERROR(SEARCH("داخلية",E829)))</formula>
    </cfRule>
    <cfRule type="cellIs" dxfId="901" priority="880" stopIfTrue="1" operator="equal">
      <formula>"ن داخلي"</formula>
    </cfRule>
    <cfRule type="cellIs" dxfId="900" priority="881" stopIfTrue="1" operator="equal">
      <formula>"ن داخلية"</formula>
    </cfRule>
    <cfRule type="cellIs" dxfId="899" priority="882" stopIfTrue="1" operator="equal">
      <formula>#REF!</formula>
    </cfRule>
    <cfRule type="cellIs" dxfId="898" priority="883" stopIfTrue="1" operator="equal">
      <formula>#REF!</formula>
    </cfRule>
    <cfRule type="cellIs" dxfId="897" priority="884" stopIfTrue="1" operator="equal">
      <formula>#REF!</formula>
    </cfRule>
    <cfRule type="cellIs" dxfId="896" priority="885" stopIfTrue="1" operator="equal">
      <formula>#REF!</formula>
    </cfRule>
    <cfRule type="cellIs" dxfId="895" priority="886" stopIfTrue="1" operator="equal">
      <formula>"داخلية"</formula>
    </cfRule>
  </conditionalFormatting>
  <conditionalFormatting sqref="D710:D711 E714 E687 E691 E693 E649 E644 B641:E642 D524:D530 E532 E497 B524:B530 D514:E514 E516 E524 D504:E508 D511:D513 D515 D500:E502 D499 D535:E535 E529 D503 D517:E518 B518:B519 B507:B509 D509 B498:B500 B502:B504 E536:E545 B511:B515 D473:E473 D490:D496 E493:E494 B486:B488 D478:D481 E486 D486:D488 B471:B476 B478:B481 E476:E481 D474:D476 B490:B494 D406:E406 B404:B406 B408:B469 D400:E402 D395:E397 D386:E386 D391:E392 B391:B392 B400:B402 B395:B397 B384:B386 D373:E383 D321 D323:E334 D363:D367 D372 E316:E320 B311 D311 B309 D315:E315 D301:E306 D295:E299 D318 D307:D309 B315 B297:B307 B321 B584:D584 B573:E583 B562:D562 E527 E519:E522 D455:D472 E455:E470 C418:E451 D452:E454 C404:E405 E403 E407 E387:E390 E393:E394 E398:E399 C388:D388 C384:D385 B369:E370 E366:E368 D371:E371 E363:E364 B335:E335 B323:B326 D336:E362 B313:D313 E133 E280:E281 B294:D294 D279:D286 E284:E286 D287:E293 D585 B602:E634 B585:C601 B133 B267:B270 B254 D254:E254 D252:E252 B252 D246 D242:E245 C234:C260 C227:C228 D159:E159 B155 D155 C140:C147 B164:D164 B272:B279 B295 B261:C266 D257:E270 B142 D142 D586:E601 C151:C156 C158:C163 D563:D565 E547:E557 E562:E565 D566:E572 E584:E585 B535:C536 C267:C271 C279 B280:C293 C295:C312 C314:C326 B327:C334 B336:C367 B368:D368 B371:C382 C383 C386:C387 C389:C403 C406:C417 C452:C534 C537:C557 B558:E561 B563:C572 B532:B534 D532:D534 D536:D557 B538:B557 C272:E278 B242:B250 D247:E250 E235:E237 B144:B146 D144:E145 D408:E417">
    <cfRule type="expression" dxfId="894" priority="874" stopIfTrue="1">
      <formula>#REF!=""</formula>
    </cfRule>
  </conditionalFormatting>
  <conditionalFormatting sqref="D642 D779:D782 E625 D616:E616 D649 D750:D752 D656:D657 D624:D626 D721:D722 D699:D703 E686 D672:D673 D775:E776 E772:E774 D544:D546 D562:D564 D364 D247:D248 D572 D537:D539 E510:E511 D362 E532 D266 D188 D556 D585:E586 D533 D505 D550 E516:E529 E559:E568 E488 E421 E414:E415 D501:D502 D357:D360 D389:E389 E397:E402 D206:D207 D151 D170:D171 E113:E126 E128:E129 E131:E150 D192:D194 D196:D203 D176:D177 E154:E387">
    <cfRule type="containsText" dxfId="893" priority="862" stopIfTrue="1" operator="containsText" text="خارجية">
      <formula>NOT(ISERROR(SEARCH("خارجية",D113)))</formula>
    </cfRule>
    <cfRule type="containsText" dxfId="892" priority="863" stopIfTrue="1" operator="containsText" text="ن داخلية">
      <formula>NOT(ISERROR(SEARCH("ن داخلية",D113)))</formula>
    </cfRule>
    <cfRule type="containsText" dxfId="891" priority="864" stopIfTrue="1" operator="containsText" text="داخلية">
      <formula>NOT(ISERROR(SEARCH("داخلية",D113)))</formula>
    </cfRule>
    <cfRule type="containsText" dxfId="890" priority="865" stopIfTrue="1" operator="containsText" text="ن داخلية">
      <formula>NOT(ISERROR(SEARCH("ن داخلية",D113)))</formula>
    </cfRule>
    <cfRule type="containsText" dxfId="889" priority="866" stopIfTrue="1" operator="containsText" text="داخلية">
      <formula>NOT(ISERROR(SEARCH("داخلية",D113)))</formula>
    </cfRule>
    <cfRule type="cellIs" dxfId="888" priority="867" stopIfTrue="1" operator="equal">
      <formula>"ن داخلي"</formula>
    </cfRule>
    <cfRule type="cellIs" dxfId="887" priority="868" stopIfTrue="1" operator="equal">
      <formula>"ن داخلية"</formula>
    </cfRule>
    <cfRule type="cellIs" dxfId="886" priority="869" stopIfTrue="1" operator="equal">
      <formula>#REF!</formula>
    </cfRule>
    <cfRule type="cellIs" dxfId="885" priority="870" stopIfTrue="1" operator="equal">
      <formula>#REF!</formula>
    </cfRule>
    <cfRule type="cellIs" dxfId="884" priority="871" stopIfTrue="1" operator="equal">
      <formula>#REF!</formula>
    </cfRule>
    <cfRule type="cellIs" dxfId="883" priority="872" stopIfTrue="1" operator="equal">
      <formula>#REF!</formula>
    </cfRule>
    <cfRule type="cellIs" dxfId="882" priority="873" stopIfTrue="1" operator="equal">
      <formula>"داخلية"</formula>
    </cfRule>
  </conditionalFormatting>
  <conditionalFormatting sqref="D616:E616 D649 D780:D782 D750:D752 D656:D657 D624:D626 D721:D722 D699:D703 D672:D673 D775:D776 D919 E625 E563 D544:D546 D562:D564 D364 D572 D537:D539 D362 D247:D248 D556 D585:D586 D533 D505 D550 D501:D502 D176:D177 D389 D358:D360 D207 D199 D203 D170:D171 D151 D266 D201 D193 D197">
    <cfRule type="cellIs" dxfId="881" priority="861" stopIfTrue="1" operator="greaterThan">
      <formula>"9.999"</formula>
    </cfRule>
  </conditionalFormatting>
  <conditionalFormatting sqref="E686 E772:E776 E862:E1000 E830 E834:E860 E510:E511 E585:E586 E516:E529 E559:E568 E488 E421 E414:E415 E397:E402 E389 E128:E129 E131:E150 E113:E126 E154:E387">
    <cfRule type="containsText" dxfId="880" priority="859" stopIfTrue="1" operator="containsText" text="خارجية">
      <formula>NOT(ISERROR(SEARCH("خارجية",E113)))</formula>
    </cfRule>
    <cfRule type="containsText" dxfId="879" priority="860" stopIfTrue="1" operator="containsText" text="خارجي">
      <formula>NOT(ISERROR(SEARCH("خارجي",E113)))</formula>
    </cfRule>
  </conditionalFormatting>
  <conditionalFormatting sqref="B770:C770 B772:D772 B775:E776 D493:D502 D556 D565:D567 D540:D541 D533 D514 D550 D516:E517 D490 E456 E433:E435 D453:D454 E380 E377 E288 E232:E233 D202 D206 D194 D198 E136:E137 D150:D151 D146:E146 D148:E148 D170 D268:E268 E255:E256 D245 D176 D196 D200 D188 D192">
    <cfRule type="expression" dxfId="878" priority="858" stopIfTrue="1">
      <formula>#REF!=""</formula>
    </cfRule>
  </conditionalFormatting>
  <conditionalFormatting sqref="D921:E921 E948 D861:E862 E907:E908 E951:E952 E968:E969 E990:E991">
    <cfRule type="expression" dxfId="877" priority="857" stopIfTrue="1">
      <formula>#REF!=""</formula>
    </cfRule>
  </conditionalFormatting>
  <conditionalFormatting sqref="D919">
    <cfRule type="containsText" dxfId="876" priority="845" stopIfTrue="1" operator="containsText" text="خارجية">
      <formula>NOT(ISERROR(SEARCH("خارجية",D919)))</formula>
    </cfRule>
    <cfRule type="containsText" dxfId="875" priority="846" stopIfTrue="1" operator="containsText" text="ن داخلية">
      <formula>NOT(ISERROR(SEARCH("ن داخلية",D919)))</formula>
    </cfRule>
    <cfRule type="containsText" dxfId="874" priority="847" stopIfTrue="1" operator="containsText" text="داخلية">
      <formula>NOT(ISERROR(SEARCH("داخلية",D919)))</formula>
    </cfRule>
    <cfRule type="containsText" dxfId="873" priority="848" stopIfTrue="1" operator="containsText" text="ن داخلية">
      <formula>NOT(ISERROR(SEARCH("ن داخلية",D919)))</formula>
    </cfRule>
    <cfRule type="containsText" dxfId="872" priority="849" stopIfTrue="1" operator="containsText" text="داخلية">
      <formula>NOT(ISERROR(SEARCH("داخلية",D919)))</formula>
    </cfRule>
    <cfRule type="cellIs" dxfId="871" priority="850" stopIfTrue="1" operator="equal">
      <formula>"ن داخلي"</formula>
    </cfRule>
    <cfRule type="cellIs" dxfId="870" priority="851" stopIfTrue="1" operator="equal">
      <formula>"ن داخلية"</formula>
    </cfRule>
    <cfRule type="cellIs" dxfId="869" priority="852" stopIfTrue="1" operator="equal">
      <formula>#REF!</formula>
    </cfRule>
    <cfRule type="cellIs" dxfId="868" priority="853" stopIfTrue="1" operator="equal">
      <formula>#REF!</formula>
    </cfRule>
    <cfRule type="cellIs" dxfId="867" priority="854" stopIfTrue="1" operator="equal">
      <formula>#REF!</formula>
    </cfRule>
    <cfRule type="cellIs" dxfId="866" priority="855" stopIfTrue="1" operator="equal">
      <formula>#REF!</formula>
    </cfRule>
    <cfRule type="cellIs" dxfId="865" priority="856" stopIfTrue="1" operator="equal">
      <formula>"داخلية"</formula>
    </cfRule>
  </conditionalFormatting>
  <conditionalFormatting sqref="E862:E1000 E830 E834:E860">
    <cfRule type="containsText" dxfId="864" priority="833" stopIfTrue="1" operator="containsText" text="خارجية">
      <formula>NOT(ISERROR(SEARCH("خارجية",E830)))</formula>
    </cfRule>
    <cfRule type="containsText" dxfId="863" priority="834" stopIfTrue="1" operator="containsText" text="ن داخلية">
      <formula>NOT(ISERROR(SEARCH("ن داخلية",E830)))</formula>
    </cfRule>
    <cfRule type="containsText" dxfId="862" priority="835" stopIfTrue="1" operator="containsText" text="داخلية">
      <formula>NOT(ISERROR(SEARCH("داخلية",E830)))</formula>
    </cfRule>
    <cfRule type="containsText" dxfId="861" priority="836" stopIfTrue="1" operator="containsText" text="ن داخلية">
      <formula>NOT(ISERROR(SEARCH("ن داخلية",E830)))</formula>
    </cfRule>
    <cfRule type="containsText" dxfId="860" priority="837" stopIfTrue="1" operator="containsText" text="داخلية">
      <formula>NOT(ISERROR(SEARCH("داخلية",E830)))</formula>
    </cfRule>
    <cfRule type="cellIs" dxfId="859" priority="838" stopIfTrue="1" operator="equal">
      <formula>"ن داخلي"</formula>
    </cfRule>
    <cfRule type="cellIs" dxfId="858" priority="839" stopIfTrue="1" operator="equal">
      <formula>"ن داخلية"</formula>
    </cfRule>
    <cfRule type="cellIs" dxfId="857" priority="840" stopIfTrue="1" operator="equal">
      <formula>#REF!</formula>
    </cfRule>
    <cfRule type="cellIs" dxfId="856" priority="841" stopIfTrue="1" operator="equal">
      <formula>#REF!</formula>
    </cfRule>
    <cfRule type="cellIs" dxfId="855" priority="842" stopIfTrue="1" operator="equal">
      <formula>#REF!</formula>
    </cfRule>
    <cfRule type="cellIs" dxfId="854" priority="843" stopIfTrue="1" operator="equal">
      <formula>#REF!</formula>
    </cfRule>
    <cfRule type="cellIs" dxfId="853" priority="844" stopIfTrue="1" operator="equal">
      <formula>"داخلية"</formula>
    </cfRule>
  </conditionalFormatting>
  <conditionalFormatting sqref="D921:E921 E948 E951:E952 E968:E969 E990:E991 D861:E862 E907:E908 E456 E433:E435 D453:D454 D556 D565:D567 D540:D541 D533 D514 D550 D516:E517 D490 D493:D503 E380 E377 E288 D269:E269 D245 E255:E256 D199 D195 D191 D188 E136:E137 D150:D151 D177 D146:E146 D148:E148 D170">
    <cfRule type="expression" dxfId="852" priority="832" stopIfTrue="1">
      <formula>#REF!=""</formula>
    </cfRule>
  </conditionalFormatting>
  <conditionalFormatting sqref="E830 E834:E860 E862:E1000 E585:E586 E421 E414:E415 E389 E559:E568 E488 E383:E387 E392 E397:E402 E128:E129 E131:E150 E113:E126 E516:E528 E154:E381">
    <cfRule type="containsText" dxfId="851" priority="830" stopIfTrue="1" operator="containsText" text="خارجية">
      <formula>NOT(ISERROR(SEARCH("خارجية",E113)))</formula>
    </cfRule>
    <cfRule type="containsText" dxfId="850" priority="831" stopIfTrue="1" operator="containsText" text="خارجي">
      <formula>NOT(ISERROR(SEARCH("خارجي",E113)))</formula>
    </cfRule>
  </conditionalFormatting>
  <conditionalFormatting sqref="D919 D267 D195 D191 D199 D188">
    <cfRule type="containsText" dxfId="849" priority="818" stopIfTrue="1" operator="containsText" text="خارجية">
      <formula>NOT(ISERROR(SEARCH("خارجية",D188)))</formula>
    </cfRule>
    <cfRule type="containsText" dxfId="848" priority="819" stopIfTrue="1" operator="containsText" text="ن داخلية">
      <formula>NOT(ISERROR(SEARCH("ن داخلية",D188)))</formula>
    </cfRule>
    <cfRule type="containsText" dxfId="847" priority="820" stopIfTrue="1" operator="containsText" text="داخلية">
      <formula>NOT(ISERROR(SEARCH("داخلية",D188)))</formula>
    </cfRule>
    <cfRule type="containsText" dxfId="846" priority="821" stopIfTrue="1" operator="containsText" text="ن داخلية">
      <formula>NOT(ISERROR(SEARCH("ن داخلية",D188)))</formula>
    </cfRule>
    <cfRule type="containsText" dxfId="845" priority="822" stopIfTrue="1" operator="containsText" text="داخلية">
      <formula>NOT(ISERROR(SEARCH("داخلية",D188)))</formula>
    </cfRule>
    <cfRule type="cellIs" dxfId="844" priority="823" stopIfTrue="1" operator="equal">
      <formula>"ن داخلي"</formula>
    </cfRule>
    <cfRule type="cellIs" dxfId="843" priority="824" stopIfTrue="1" operator="equal">
      <formula>"ن داخلية"</formula>
    </cfRule>
    <cfRule type="cellIs" dxfId="842" priority="825" stopIfTrue="1" operator="equal">
      <formula>#REF!</formula>
    </cfRule>
    <cfRule type="cellIs" dxfId="841" priority="826" stopIfTrue="1" operator="equal">
      <formula>#REF!</formula>
    </cfRule>
    <cfRule type="cellIs" dxfId="840" priority="827" stopIfTrue="1" operator="equal">
      <formula>#REF!</formula>
    </cfRule>
    <cfRule type="cellIs" dxfId="839" priority="828" stopIfTrue="1" operator="equal">
      <formula>#REF!</formula>
    </cfRule>
    <cfRule type="cellIs" dxfId="838" priority="829" stopIfTrue="1" operator="equal">
      <formula>"داخلية"</formula>
    </cfRule>
  </conditionalFormatting>
  <conditionalFormatting sqref="D919 D585:D586 D389 D556 D533 D505 D550 D501:D503 D358:D360 D267 D201 D192 D196 D170:D171 D151 D177:D178">
    <cfRule type="cellIs" dxfId="837" priority="817" stopIfTrue="1" operator="greaterThan">
      <formula>"9.999"</formula>
    </cfRule>
  </conditionalFormatting>
  <conditionalFormatting sqref="E830 E834:E860 E862:E1000 D585:E586 E421 E414:E415 D389:E389 D556 D533 D505 D550 E516:E528 E559:E568 E488 D501:D503 E383:E387 E392 E397:E402 D358:D360 D201 D192 D196 D151 D177:D178 D170:D171 E113:E126 E128:E129 E131:E150 E154:E381">
    <cfRule type="containsText" dxfId="836" priority="805" stopIfTrue="1" operator="containsText" text="خارجية">
      <formula>NOT(ISERROR(SEARCH("خارجية",D113)))</formula>
    </cfRule>
    <cfRule type="containsText" dxfId="835" priority="806" stopIfTrue="1" operator="containsText" text="ن داخلية">
      <formula>NOT(ISERROR(SEARCH("ن داخلية",D113)))</formula>
    </cfRule>
    <cfRule type="containsText" dxfId="834" priority="807" stopIfTrue="1" operator="containsText" text="داخلية">
      <formula>NOT(ISERROR(SEARCH("داخلية",D113)))</formula>
    </cfRule>
    <cfRule type="containsText" dxfId="833" priority="808" stopIfTrue="1" operator="containsText" text="ن داخلية">
      <formula>NOT(ISERROR(SEARCH("ن داخلية",D113)))</formula>
    </cfRule>
    <cfRule type="containsText" dxfId="832" priority="809" stopIfTrue="1" operator="containsText" text="داخلية">
      <formula>NOT(ISERROR(SEARCH("داخلية",D113)))</formula>
    </cfRule>
    <cfRule type="cellIs" dxfId="831" priority="810" stopIfTrue="1" operator="equal">
      <formula>"ن داخلي"</formula>
    </cfRule>
    <cfRule type="cellIs" dxfId="830" priority="811" stopIfTrue="1" operator="equal">
      <formula>"ن داخلية"</formula>
    </cfRule>
    <cfRule type="cellIs" dxfId="829" priority="812" stopIfTrue="1" operator="equal">
      <formula>#REF!</formula>
    </cfRule>
    <cfRule type="cellIs" dxfId="828" priority="813" stopIfTrue="1" operator="equal">
      <formula>#REF!</formula>
    </cfRule>
    <cfRule type="cellIs" dxfId="827" priority="814" stopIfTrue="1" operator="equal">
      <formula>#REF!</formula>
    </cfRule>
    <cfRule type="cellIs" dxfId="826" priority="815" stopIfTrue="1" operator="equal">
      <formula>#REF!</formula>
    </cfRule>
    <cfRule type="cellIs" dxfId="825" priority="816" stopIfTrue="1" operator="equal">
      <formula>"داخلية"</formula>
    </cfRule>
  </conditionalFormatting>
  <conditionalFormatting sqref="E421">
    <cfRule type="expression" dxfId="824" priority="804" stopIfTrue="1">
      <formula>#REF!=""</formula>
    </cfRule>
  </conditionalFormatting>
  <conditionalFormatting sqref="D709:D710 E713 E686 E690 E692 E648 E643 B640:E641 D523:D529 E531 E496 B523:B529 D513:E513 E515 E523 D503:E507 D510:D512 D514 D499:E501 D498 D534:E534 E528 D502 D516:E517 B517:B518 B506:B508 D508 B497:B499 B501:B503 E535:E544 B510:B514 D472:E472 D489:D495 E492:E493 B485:B487 D477:D480 E485 D485:D487 B470:B475 B477:B480 E475:E480 D473:D475 B489:B493 D405:E405 B403:B405 B407:B468 D399:E401 D394:E396 D385:E385 D390:E391 B390:B391 B399:B401 B394:B396 B383:B385 D372:E382 D320 D322:E333 D362:D366 D371 E315:E319 B310 D310 B308 D314:E314 D300:E305 D294:E298 D317 D306:D308 B314 B296:B306 B320 B583:D583 B572:E582 B561:D561 E526 E518:E521 D454:D471 E454:E469 C417:E450 D451:E453 C403:E404 E402 E406 E386:E389 E392:E393 E397:E398 C387:D387 C383:D384 B368:E369 E365:E367 D370:E370 E362:E363 B334:E334 B322:B325 D335:E361 B312:D312 E132 E279:E280 B293:D293 D278:D285 E283:E285 D286:E292 D584 B601:E633 B584:C600 B132 B266:B269 B253 D253:E253 D251:E251 B251 D245 D241:E244 C233:C259 C226:C227 D158:E158 B154 D154 C139:C146 B163:D163 B271:B278 B294 B260:C265 D256:E269 B141 D141 D585:E600 C150:C155 C157:C162 D562:D564 E546:E556 E561:E564 D565:E571 E583:E584 B534:C535 C266:C270 C278 B279:C292 C294:C311 C313:C325 B326:C333 B335:C366 B367:D367 B370:C381 C382 C385:C386 C388:C402 C405:C416 C451:C533 C536:C556 B557:E560 B562:C571 B531:B533 D531:D533 D535:D556 B537:B556 C271:E277 B241:B249 D246:E249 E234:E236 B143:B145 D143:E144 D407:E416">
    <cfRule type="expression" dxfId="823" priority="803" stopIfTrue="1">
      <formula>#REF!=""</formula>
    </cfRule>
  </conditionalFormatting>
  <conditionalFormatting sqref="D641 D778:D781 E624 D615:E615 D648 D749:D751 D655:D656 D623:D625 D720:D721 D698:D702 E685 D671:D672 D774:E775 E771:E773 D543:D545 D561:D563 D363 D246:D247 D571 D536:D538 E509:E510 D361 E531 D265 D187 D555 D584:E585 D532 D504 D549 E515:E528 E558:E567 E487 E420 E413:E414 D500:D501 D356:D359 D388:E388 E396:E401 D205:D206 D150 D169:D170 E112:E125 E127:E128 E130:E149 D191:D193 D195:D202 D175:D176 E153:E386">
    <cfRule type="containsText" dxfId="822" priority="791" stopIfTrue="1" operator="containsText" text="خارجية">
      <formula>NOT(ISERROR(SEARCH("خارجية",D112)))</formula>
    </cfRule>
    <cfRule type="containsText" dxfId="821" priority="792" stopIfTrue="1" operator="containsText" text="ن داخلية">
      <formula>NOT(ISERROR(SEARCH("ن داخلية",D112)))</formula>
    </cfRule>
    <cfRule type="containsText" dxfId="820" priority="793" stopIfTrue="1" operator="containsText" text="داخلية">
      <formula>NOT(ISERROR(SEARCH("داخلية",D112)))</formula>
    </cfRule>
    <cfRule type="containsText" dxfId="819" priority="794" stopIfTrue="1" operator="containsText" text="ن داخلية">
      <formula>NOT(ISERROR(SEARCH("ن داخلية",D112)))</formula>
    </cfRule>
    <cfRule type="containsText" dxfId="818" priority="795" stopIfTrue="1" operator="containsText" text="داخلية">
      <formula>NOT(ISERROR(SEARCH("داخلية",D112)))</formula>
    </cfRule>
    <cfRule type="cellIs" dxfId="817" priority="796" stopIfTrue="1" operator="equal">
      <formula>"ن داخلي"</formula>
    </cfRule>
    <cfRule type="cellIs" dxfId="816" priority="797" stopIfTrue="1" operator="equal">
      <formula>"ن داخلية"</formula>
    </cfRule>
    <cfRule type="cellIs" dxfId="815" priority="798" stopIfTrue="1" operator="equal">
      <formula>#REF!</formula>
    </cfRule>
    <cfRule type="cellIs" dxfId="814" priority="799" stopIfTrue="1" operator="equal">
      <formula>#REF!</formula>
    </cfRule>
    <cfRule type="cellIs" dxfId="813" priority="800" stopIfTrue="1" operator="equal">
      <formula>#REF!</formula>
    </cfRule>
    <cfRule type="cellIs" dxfId="812" priority="801" stopIfTrue="1" operator="equal">
      <formula>#REF!</formula>
    </cfRule>
    <cfRule type="cellIs" dxfId="811" priority="802" stopIfTrue="1" operator="equal">
      <formula>"داخلية"</formula>
    </cfRule>
  </conditionalFormatting>
  <conditionalFormatting sqref="D615:E615 D648 D779:D781 D749:D751 D655:D656 D623:D625 D720:D721 D698:D702 D671:D672 D774:D775 D918 E624 E562 D543:D545 D561:D563 D363 D571 D536:D538 D361 D246:D247 D555 D584:D585 D532 D504 D549 D500:D501 D175:D176 D388 D357:D359 D206 D198 D202 D169:D170 D150 D265 D200 D192 D196">
    <cfRule type="cellIs" dxfId="810" priority="790" stopIfTrue="1" operator="greaterThan">
      <formula>"9.999"</formula>
    </cfRule>
  </conditionalFormatting>
  <conditionalFormatting sqref="E685 E771:E775 E861:E1000 E829 E833:E859 E509:E510 E584:E585 E515:E528 E558:E567 E487 E420 E413:E414 E396:E401 E388 E127:E128 E130:E149 E112:E125 E153:E386">
    <cfRule type="containsText" dxfId="809" priority="788" stopIfTrue="1" operator="containsText" text="خارجية">
      <formula>NOT(ISERROR(SEARCH("خارجية",E112)))</formula>
    </cfRule>
    <cfRule type="containsText" dxfId="808" priority="789" stopIfTrue="1" operator="containsText" text="خارجي">
      <formula>NOT(ISERROR(SEARCH("خارجي",E112)))</formula>
    </cfRule>
  </conditionalFormatting>
  <conditionalFormatting sqref="B769:C769 B771:D771 B774:E775 D492:D501 D555 D564:D566 D539:D540 D532 D513 D549 D515:E516 D489 E455 E432:E434 D452:D453 E379 E376 E287 E231:E232 D201 D205 D193 D197 E135:E136 D149:D150 D145:E145 D147:E147 D169 D267:E267 E254:E255 D244 D175 D195 D199 D187 D191">
    <cfRule type="expression" dxfId="807" priority="787" stopIfTrue="1">
      <formula>#REF!=""</formula>
    </cfRule>
  </conditionalFormatting>
  <conditionalFormatting sqref="D920:E920 E947 D860:E861 E906:E907 E950:E951 E967:E968 E989:E990">
    <cfRule type="expression" dxfId="806" priority="786" stopIfTrue="1">
      <formula>#REF!=""</formula>
    </cfRule>
  </conditionalFormatting>
  <conditionalFormatting sqref="D918">
    <cfRule type="containsText" dxfId="805" priority="774" stopIfTrue="1" operator="containsText" text="خارجية">
      <formula>NOT(ISERROR(SEARCH("خارجية",D918)))</formula>
    </cfRule>
    <cfRule type="containsText" dxfId="804" priority="775" stopIfTrue="1" operator="containsText" text="ن داخلية">
      <formula>NOT(ISERROR(SEARCH("ن داخلية",D918)))</formula>
    </cfRule>
    <cfRule type="containsText" dxfId="803" priority="776" stopIfTrue="1" operator="containsText" text="داخلية">
      <formula>NOT(ISERROR(SEARCH("داخلية",D918)))</formula>
    </cfRule>
    <cfRule type="containsText" dxfId="802" priority="777" stopIfTrue="1" operator="containsText" text="ن داخلية">
      <formula>NOT(ISERROR(SEARCH("ن داخلية",D918)))</formula>
    </cfRule>
    <cfRule type="containsText" dxfId="801" priority="778" stopIfTrue="1" operator="containsText" text="داخلية">
      <formula>NOT(ISERROR(SEARCH("داخلية",D918)))</formula>
    </cfRule>
    <cfRule type="cellIs" dxfId="800" priority="779" stopIfTrue="1" operator="equal">
      <formula>"ن داخلي"</formula>
    </cfRule>
    <cfRule type="cellIs" dxfId="799" priority="780" stopIfTrue="1" operator="equal">
      <formula>"ن داخلية"</formula>
    </cfRule>
    <cfRule type="cellIs" dxfId="798" priority="781" stopIfTrue="1" operator="equal">
      <formula>#REF!</formula>
    </cfRule>
    <cfRule type="cellIs" dxfId="797" priority="782" stopIfTrue="1" operator="equal">
      <formula>#REF!</formula>
    </cfRule>
    <cfRule type="cellIs" dxfId="796" priority="783" stopIfTrue="1" operator="equal">
      <formula>#REF!</formula>
    </cfRule>
    <cfRule type="cellIs" dxfId="795" priority="784" stopIfTrue="1" operator="equal">
      <formula>#REF!</formula>
    </cfRule>
    <cfRule type="cellIs" dxfId="794" priority="785" stopIfTrue="1" operator="equal">
      <formula>"داخلية"</formula>
    </cfRule>
  </conditionalFormatting>
  <conditionalFormatting sqref="E861:E1000 E829 E833:E859">
    <cfRule type="containsText" dxfId="793" priority="762" stopIfTrue="1" operator="containsText" text="خارجية">
      <formula>NOT(ISERROR(SEARCH("خارجية",E829)))</formula>
    </cfRule>
    <cfRule type="containsText" dxfId="792" priority="763" stopIfTrue="1" operator="containsText" text="ن داخلية">
      <formula>NOT(ISERROR(SEARCH("ن داخلية",E829)))</formula>
    </cfRule>
    <cfRule type="containsText" dxfId="791" priority="764" stopIfTrue="1" operator="containsText" text="داخلية">
      <formula>NOT(ISERROR(SEARCH("داخلية",E829)))</formula>
    </cfRule>
    <cfRule type="containsText" dxfId="790" priority="765" stopIfTrue="1" operator="containsText" text="ن داخلية">
      <formula>NOT(ISERROR(SEARCH("ن داخلية",E829)))</formula>
    </cfRule>
    <cfRule type="containsText" dxfId="789" priority="766" stopIfTrue="1" operator="containsText" text="داخلية">
      <formula>NOT(ISERROR(SEARCH("داخلية",E829)))</formula>
    </cfRule>
    <cfRule type="cellIs" dxfId="788" priority="767" stopIfTrue="1" operator="equal">
      <formula>"ن داخلي"</formula>
    </cfRule>
    <cfRule type="cellIs" dxfId="787" priority="768" stopIfTrue="1" operator="equal">
      <formula>"ن داخلية"</formula>
    </cfRule>
    <cfRule type="cellIs" dxfId="786" priority="769" stopIfTrue="1" operator="equal">
      <formula>#REF!</formula>
    </cfRule>
    <cfRule type="cellIs" dxfId="785" priority="770" stopIfTrue="1" operator="equal">
      <formula>#REF!</formula>
    </cfRule>
    <cfRule type="cellIs" dxfId="784" priority="771" stopIfTrue="1" operator="equal">
      <formula>#REF!</formula>
    </cfRule>
    <cfRule type="cellIs" dxfId="783" priority="772" stopIfTrue="1" operator="equal">
      <formula>#REF!</formula>
    </cfRule>
    <cfRule type="cellIs" dxfId="782" priority="773" stopIfTrue="1" operator="equal">
      <formula>"داخلية"</formula>
    </cfRule>
  </conditionalFormatting>
  <conditionalFormatting sqref="D920:E920 E947 E950:E951 E967:E968 E989:E990 D860:E861 E906:E907 E455 E432:E434 D452:D453 D555 D564:D566 D539:D540 D532 D513 D549 D515:E516 D489 D492:D502 E379 E376 E287 D268:E268 D244 E254:E255 D198 D194 D190 D187 E135:E136 D149:D150 D176 D145:E145 D147:E147 D169">
    <cfRule type="expression" dxfId="781" priority="761" stopIfTrue="1">
      <formula>#REF!=""</formula>
    </cfRule>
  </conditionalFormatting>
  <conditionalFormatting sqref="E829 E833:E859 E861:E1000 E584:E585 E420 E413:E414 E388 E558:E567 E487 E382:E386 E391 E396:E401 E127:E128 E130:E149 E112:E125 E515:E527 E153:E380">
    <cfRule type="containsText" dxfId="780" priority="759" stopIfTrue="1" operator="containsText" text="خارجية">
      <formula>NOT(ISERROR(SEARCH("خارجية",E112)))</formula>
    </cfRule>
    <cfRule type="containsText" dxfId="779" priority="760" stopIfTrue="1" operator="containsText" text="خارجي">
      <formula>NOT(ISERROR(SEARCH("خارجي",E112)))</formula>
    </cfRule>
  </conditionalFormatting>
  <conditionalFormatting sqref="D918 D266 D194 D190 D198 D187">
    <cfRule type="containsText" dxfId="778" priority="747" stopIfTrue="1" operator="containsText" text="خارجية">
      <formula>NOT(ISERROR(SEARCH("خارجية",D187)))</formula>
    </cfRule>
    <cfRule type="containsText" dxfId="777" priority="748" stopIfTrue="1" operator="containsText" text="ن داخلية">
      <formula>NOT(ISERROR(SEARCH("ن داخلية",D187)))</formula>
    </cfRule>
    <cfRule type="containsText" dxfId="776" priority="749" stopIfTrue="1" operator="containsText" text="داخلية">
      <formula>NOT(ISERROR(SEARCH("داخلية",D187)))</formula>
    </cfRule>
    <cfRule type="containsText" dxfId="775" priority="750" stopIfTrue="1" operator="containsText" text="ن داخلية">
      <formula>NOT(ISERROR(SEARCH("ن داخلية",D187)))</formula>
    </cfRule>
    <cfRule type="containsText" dxfId="774" priority="751" stopIfTrue="1" operator="containsText" text="داخلية">
      <formula>NOT(ISERROR(SEARCH("داخلية",D187)))</formula>
    </cfRule>
    <cfRule type="cellIs" dxfId="773" priority="752" stopIfTrue="1" operator="equal">
      <formula>"ن داخلي"</formula>
    </cfRule>
    <cfRule type="cellIs" dxfId="772" priority="753" stopIfTrue="1" operator="equal">
      <formula>"ن داخلية"</formula>
    </cfRule>
    <cfRule type="cellIs" dxfId="771" priority="754" stopIfTrue="1" operator="equal">
      <formula>#REF!</formula>
    </cfRule>
    <cfRule type="cellIs" dxfId="770" priority="755" stopIfTrue="1" operator="equal">
      <formula>#REF!</formula>
    </cfRule>
    <cfRule type="cellIs" dxfId="769" priority="756" stopIfTrue="1" operator="equal">
      <formula>#REF!</formula>
    </cfRule>
    <cfRule type="cellIs" dxfId="768" priority="757" stopIfTrue="1" operator="equal">
      <formula>#REF!</formula>
    </cfRule>
    <cfRule type="cellIs" dxfId="767" priority="758" stopIfTrue="1" operator="equal">
      <formula>"داخلية"</formula>
    </cfRule>
  </conditionalFormatting>
  <conditionalFormatting sqref="D918 D584:D585 D388 D555 D532 D504 D549 D500:D502 D357:D359 D266 D200 D191 D195 D169:D170 D150 D176:D177">
    <cfRule type="cellIs" dxfId="766" priority="746" stopIfTrue="1" operator="greaterThan">
      <formula>"9.999"</formula>
    </cfRule>
  </conditionalFormatting>
  <conditionalFormatting sqref="E829 E833:E859 E861:E1000 D584:E585 E420 E413:E414 D388:E388 D555 D532 D504 D549 E515:E527 E558:E567 E487 D500:D502 E382:E386 E391 E396:E401 D357:D359 D200 D191 D195 D150 D176:D177 D169:D170 E112:E125 E127:E128 E130:E149 E153:E380">
    <cfRule type="containsText" dxfId="765" priority="734" stopIfTrue="1" operator="containsText" text="خارجية">
      <formula>NOT(ISERROR(SEARCH("خارجية",D112)))</formula>
    </cfRule>
    <cfRule type="containsText" dxfId="764" priority="735" stopIfTrue="1" operator="containsText" text="ن داخلية">
      <formula>NOT(ISERROR(SEARCH("ن داخلية",D112)))</formula>
    </cfRule>
    <cfRule type="containsText" dxfId="763" priority="736" stopIfTrue="1" operator="containsText" text="داخلية">
      <formula>NOT(ISERROR(SEARCH("داخلية",D112)))</formula>
    </cfRule>
    <cfRule type="containsText" dxfId="762" priority="737" stopIfTrue="1" operator="containsText" text="ن داخلية">
      <formula>NOT(ISERROR(SEARCH("ن داخلية",D112)))</formula>
    </cfRule>
    <cfRule type="containsText" dxfId="761" priority="738" stopIfTrue="1" operator="containsText" text="داخلية">
      <formula>NOT(ISERROR(SEARCH("داخلية",D112)))</formula>
    </cfRule>
    <cfRule type="cellIs" dxfId="760" priority="739" stopIfTrue="1" operator="equal">
      <formula>"ن داخلي"</formula>
    </cfRule>
    <cfRule type="cellIs" dxfId="759" priority="740" stopIfTrue="1" operator="equal">
      <formula>"ن داخلية"</formula>
    </cfRule>
    <cfRule type="cellIs" dxfId="758" priority="741" stopIfTrue="1" operator="equal">
      <formula>#REF!</formula>
    </cfRule>
    <cfRule type="cellIs" dxfId="757" priority="742" stopIfTrue="1" operator="equal">
      <formula>#REF!</formula>
    </cfRule>
    <cfRule type="cellIs" dxfId="756" priority="743" stopIfTrue="1" operator="equal">
      <formula>#REF!</formula>
    </cfRule>
    <cfRule type="cellIs" dxfId="755" priority="744" stopIfTrue="1" operator="equal">
      <formula>#REF!</formula>
    </cfRule>
    <cfRule type="cellIs" dxfId="754" priority="745" stopIfTrue="1" operator="equal">
      <formula>"داخلية"</formula>
    </cfRule>
  </conditionalFormatting>
  <conditionalFormatting sqref="E420">
    <cfRule type="expression" dxfId="753" priority="733" stopIfTrue="1">
      <formula>#REF!=""</formula>
    </cfRule>
  </conditionalFormatting>
  <conditionalFormatting sqref="F726 F701 F685:F689 F691:F692 F675 F669:F672 F664:F667 F626 F544:F546 F540:F542 F472:F476 F379:F381 F376 F362 F478 F523:F527 F521 F490:F517 F484:F488 F383:F420 F422:F466 F349 F355:F357 F537:F538 F293:F317 F322:F337 F216 F286 F257:F282 F254 F224:F252 F628:F648 F529:F535 F183:F191 F169:F170 F163 F180:F181 F548:F624 F135:F137">
    <cfRule type="expression" dxfId="752" priority="732" stopIfTrue="1">
      <formula>#REF!=""</formula>
    </cfRule>
  </conditionalFormatting>
  <conditionalFormatting sqref="F752:F754 F748 F701 F710:F711 F704 F707 F718 F713 F715:F716 F685:F699 F722:F744 F682:F683 F661:F680 F213:F216 F345:F468 F490 F471:F488 F340:F341 F184:F196 F171:F176 F180:F181 F326:F338 F207 F209 F218:F323 F540:F659 F117 F114 F492:F538 F766:F799">
    <cfRule type="containsText" dxfId="751" priority="720" stopIfTrue="1" operator="containsText" text="خارجية">
      <formula>NOT(ISERROR(SEARCH("خارجية",F114)))</formula>
    </cfRule>
    <cfRule type="containsText" dxfId="750" priority="721" stopIfTrue="1" operator="containsText" text="ن داخلية">
      <formula>NOT(ISERROR(SEARCH("ن داخلية",F114)))</formula>
    </cfRule>
    <cfRule type="containsText" dxfId="749" priority="722" stopIfTrue="1" operator="containsText" text="داخلية">
      <formula>NOT(ISERROR(SEARCH("داخلية",F114)))</formula>
    </cfRule>
    <cfRule type="containsText" dxfId="748" priority="723" stopIfTrue="1" operator="containsText" text="ن داخلية">
      <formula>NOT(ISERROR(SEARCH("ن داخلية",F114)))</formula>
    </cfRule>
    <cfRule type="containsText" dxfId="747" priority="724" stopIfTrue="1" operator="containsText" text="داخلية">
      <formula>NOT(ISERROR(SEARCH("داخلية",F114)))</formula>
    </cfRule>
    <cfRule type="cellIs" dxfId="746" priority="725" stopIfTrue="1" operator="equal">
      <formula>"ن داخلي"</formula>
    </cfRule>
    <cfRule type="cellIs" dxfId="745" priority="726" stopIfTrue="1" operator="equal">
      <formula>"ن داخلية"</formula>
    </cfRule>
    <cfRule type="cellIs" dxfId="744" priority="727" stopIfTrue="1" operator="equal">
      <formula>#REF!</formula>
    </cfRule>
    <cfRule type="cellIs" dxfId="743" priority="728" stopIfTrue="1" operator="equal">
      <formula>#REF!</formula>
    </cfRule>
    <cfRule type="cellIs" dxfId="742" priority="729" stopIfTrue="1" operator="equal">
      <formula>#REF!</formula>
    </cfRule>
    <cfRule type="cellIs" dxfId="741" priority="730" stopIfTrue="1" operator="equal">
      <formula>#REF!</formula>
    </cfRule>
    <cfRule type="cellIs" dxfId="740" priority="731" stopIfTrue="1" operator="equal">
      <formula>"داخلية"</formula>
    </cfRule>
  </conditionalFormatting>
  <conditionalFormatting sqref="F490 F471:F488 F345:F468 F340:F341 F492:F538 F326:F338 F207 F209 F218:F323 F213:F216 F184:F196 F171:F176 F180:F181 F117 F114 F540:F799">
    <cfRule type="containsText" dxfId="739" priority="718" stopIfTrue="1" operator="containsText" text="خارجية">
      <formula>NOT(ISERROR(SEARCH("خارجية",F114)))</formula>
    </cfRule>
    <cfRule type="containsText" dxfId="738" priority="719" stopIfTrue="1" operator="containsText" text="خارجي">
      <formula>NOT(ISERROR(SEARCH("خارجي",F114)))</formula>
    </cfRule>
  </conditionalFormatting>
  <conditionalFormatting sqref="F441 F437 F424 F419:F420 F422">
    <cfRule type="expression" dxfId="737" priority="717" stopIfTrue="1">
      <formula>IF(ROW(#REF!)&lt;=#REF!,"",1)=1</formula>
    </cfRule>
  </conditionalFormatting>
  <conditionalFormatting sqref="F437 F441 F422 F413 F445:F446">
    <cfRule type="expression" dxfId="736" priority="716" stopIfTrue="1">
      <formula>IF(ROW(#REF!)&lt;=#REF!,"",1)=1</formula>
    </cfRule>
  </conditionalFormatting>
  <conditionalFormatting sqref="F424 F422">
    <cfRule type="expression" dxfId="735" priority="715" stopIfTrue="1">
      <formula>IF(ROW(#REF!)&lt;=#REF!,"",1)=1</formula>
    </cfRule>
  </conditionalFormatting>
  <conditionalFormatting sqref="F229 F173 F424 F419:F420 F273 F187:F188">
    <cfRule type="expression" dxfId="734" priority="714" stopIfTrue="1">
      <formula>IF(ROW(#REF!)&lt;=#REF!,"",1)=1</formula>
    </cfRule>
  </conditionalFormatting>
  <conditionalFormatting sqref="F247:F248 F262 F258 F226 F642 F645:F646 F619:F620 F628 F422 F360:F362 F253:F254 F649:F650 F654:F655 F776">
    <cfRule type="cellIs" dxfId="733" priority="713" stopIfTrue="1" operator="greaterThan">
      <formula>"9.999"</formula>
    </cfRule>
  </conditionalFormatting>
  <conditionalFormatting sqref="F779 F781 F723 F698 F726 F688:F692 F730:F732 F675 F667:F673 F701 F544:F546 F540:F542 F492:F493 F484:F485 F376 F362 F487 F469:F476 F478 F369:F371 F378 F490 F480:F482 F525:F527 F520:F523 F504:F518 F496:F502 F383:F420 F422:F466 F348:F349 F352 F355:F357 F326:F337 F310:F317 F216 F219:F220 F293 F289:F290 F298:F306 F224:F254 F258:F286 F529 F531:F538 F776 F144 F183:F191 F169:F170 F163 F166 F173:F174 F180:F181 F146 F548:F655 F135:F137 F114 F770">
    <cfRule type="expression" dxfId="732" priority="712" stopIfTrue="1">
      <formula>#REF!=""</formula>
    </cfRule>
  </conditionalFormatting>
  <conditionalFormatting sqref="F509 F522:F525 F520 F270:F287">
    <cfRule type="containsText" dxfId="731" priority="710" stopIfTrue="1" operator="containsText" text="خارجية">
      <formula>NOT(ISERROR(SEARCH("خارجية",F270)))</formula>
    </cfRule>
    <cfRule type="containsText" dxfId="730" priority="711" stopIfTrue="1" operator="containsText" text="خارجي">
      <formula>NOT(ISERROR(SEARCH("خارجي",F270)))</formula>
    </cfRule>
  </conditionalFormatting>
  <conditionalFormatting sqref="F509 F522:F525 F520 F270:F287">
    <cfRule type="containsText" dxfId="729" priority="698" stopIfTrue="1" operator="containsText" text="خارجية">
      <formula>NOT(ISERROR(SEARCH("خارجية",F270)))</formula>
    </cfRule>
    <cfRule type="containsText" dxfId="728" priority="699" stopIfTrue="1" operator="containsText" text="ن داخلية">
      <formula>NOT(ISERROR(SEARCH("ن داخلية",F270)))</formula>
    </cfRule>
    <cfRule type="containsText" dxfId="727" priority="700" stopIfTrue="1" operator="containsText" text="داخلية">
      <formula>NOT(ISERROR(SEARCH("داخلية",F270)))</formula>
    </cfRule>
    <cfRule type="containsText" dxfId="726" priority="701" stopIfTrue="1" operator="containsText" text="ن داخلية">
      <formula>NOT(ISERROR(SEARCH("ن داخلية",F270)))</formula>
    </cfRule>
    <cfRule type="containsText" dxfId="725" priority="702" stopIfTrue="1" operator="containsText" text="داخلية">
      <formula>NOT(ISERROR(SEARCH("داخلية",F270)))</formula>
    </cfRule>
    <cfRule type="cellIs" dxfId="724" priority="703" stopIfTrue="1" operator="equal">
      <formula>"ن داخلي"</formula>
    </cfRule>
    <cfRule type="cellIs" dxfId="723" priority="704" stopIfTrue="1" operator="equal">
      <formula>"ن داخلية"</formula>
    </cfRule>
    <cfRule type="cellIs" dxfId="722" priority="705" stopIfTrue="1" operator="equal">
      <formula>#REF!</formula>
    </cfRule>
    <cfRule type="cellIs" dxfId="721" priority="706" stopIfTrue="1" operator="equal">
      <formula>#REF!</formula>
    </cfRule>
    <cfRule type="cellIs" dxfId="720" priority="707" stopIfTrue="1" operator="equal">
      <formula>#REF!</formula>
    </cfRule>
    <cfRule type="cellIs" dxfId="719" priority="708" stopIfTrue="1" operator="equal">
      <formula>#REF!</formula>
    </cfRule>
    <cfRule type="cellIs" dxfId="718" priority="709" stopIfTrue="1" operator="equal">
      <formula>"داخلية"</formula>
    </cfRule>
  </conditionalFormatting>
  <conditionalFormatting sqref="F772">
    <cfRule type="expression" dxfId="717" priority="697" stopIfTrue="1">
      <formula>#REF!=""</formula>
    </cfRule>
  </conditionalFormatting>
  <conditionalFormatting sqref="F772">
    <cfRule type="expression" dxfId="716" priority="696" stopIfTrue="1">
      <formula>#REF!=""</formula>
    </cfRule>
  </conditionalFormatting>
  <conditionalFormatting sqref="F773">
    <cfRule type="expression" dxfId="715" priority="695" stopIfTrue="1">
      <formula>#REF!=""</formula>
    </cfRule>
  </conditionalFormatting>
  <conditionalFormatting sqref="F774">
    <cfRule type="containsText" dxfId="714" priority="693" stopIfTrue="1" operator="containsText" text="خارجية">
      <formula>NOT(ISERROR(SEARCH("خارجية",F774)))</formula>
    </cfRule>
    <cfRule type="containsText" dxfId="713" priority="694" stopIfTrue="1" operator="containsText" text="خارجي">
      <formula>NOT(ISERROR(SEARCH("خارجي",F774)))</formula>
    </cfRule>
  </conditionalFormatting>
  <conditionalFormatting sqref="F774">
    <cfRule type="containsText" dxfId="712" priority="681" stopIfTrue="1" operator="containsText" text="خارجية">
      <formula>NOT(ISERROR(SEARCH("خارجية",F774)))</formula>
    </cfRule>
    <cfRule type="containsText" dxfId="711" priority="682" stopIfTrue="1" operator="containsText" text="ن داخلية">
      <formula>NOT(ISERROR(SEARCH("ن داخلية",F774)))</formula>
    </cfRule>
    <cfRule type="containsText" dxfId="710" priority="683" stopIfTrue="1" operator="containsText" text="داخلية">
      <formula>NOT(ISERROR(SEARCH("داخلية",F774)))</formula>
    </cfRule>
    <cfRule type="containsText" dxfId="709" priority="684" stopIfTrue="1" operator="containsText" text="ن داخلية">
      <formula>NOT(ISERROR(SEARCH("ن داخلية",F774)))</formula>
    </cfRule>
    <cfRule type="containsText" dxfId="708" priority="685" stopIfTrue="1" operator="containsText" text="داخلية">
      <formula>NOT(ISERROR(SEARCH("داخلية",F774)))</formula>
    </cfRule>
    <cfRule type="cellIs" dxfId="707" priority="686" stopIfTrue="1" operator="equal">
      <formula>"ن داخلي"</formula>
    </cfRule>
    <cfRule type="cellIs" dxfId="706" priority="687" stopIfTrue="1" operator="equal">
      <formula>"ن داخلية"</formula>
    </cfRule>
    <cfRule type="cellIs" dxfId="705" priority="688" stopIfTrue="1" operator="equal">
      <formula>#REF!</formula>
    </cfRule>
    <cfRule type="cellIs" dxfId="704" priority="689" stopIfTrue="1" operator="equal">
      <formula>#REF!</formula>
    </cfRule>
    <cfRule type="cellIs" dxfId="703" priority="690" stopIfTrue="1" operator="equal">
      <formula>#REF!</formula>
    </cfRule>
    <cfRule type="cellIs" dxfId="702" priority="691" stopIfTrue="1" operator="equal">
      <formula>#REF!</formula>
    </cfRule>
    <cfRule type="cellIs" dxfId="701" priority="692" stopIfTrue="1" operator="equal">
      <formula>"داخلية"</formula>
    </cfRule>
  </conditionalFormatting>
  <conditionalFormatting sqref="F775">
    <cfRule type="containsText" dxfId="700" priority="679" stopIfTrue="1" operator="containsText" text="خارجية">
      <formula>NOT(ISERROR(SEARCH("خارجية",F775)))</formula>
    </cfRule>
    <cfRule type="containsText" dxfId="699" priority="680" stopIfTrue="1" operator="containsText" text="خارجي">
      <formula>NOT(ISERROR(SEARCH("خارجي",F775)))</formula>
    </cfRule>
  </conditionalFormatting>
  <conditionalFormatting sqref="F775">
    <cfRule type="containsText" dxfId="698" priority="667" stopIfTrue="1" operator="containsText" text="خارجية">
      <formula>NOT(ISERROR(SEARCH("خارجية",F775)))</formula>
    </cfRule>
    <cfRule type="containsText" dxfId="697" priority="668" stopIfTrue="1" operator="containsText" text="ن داخلية">
      <formula>NOT(ISERROR(SEARCH("ن داخلية",F775)))</formula>
    </cfRule>
    <cfRule type="containsText" dxfId="696" priority="669" stopIfTrue="1" operator="containsText" text="داخلية">
      <formula>NOT(ISERROR(SEARCH("داخلية",F775)))</formula>
    </cfRule>
    <cfRule type="containsText" dxfId="695" priority="670" stopIfTrue="1" operator="containsText" text="ن داخلية">
      <formula>NOT(ISERROR(SEARCH("ن داخلية",F775)))</formula>
    </cfRule>
    <cfRule type="containsText" dxfId="694" priority="671" stopIfTrue="1" operator="containsText" text="داخلية">
      <formula>NOT(ISERROR(SEARCH("داخلية",F775)))</formula>
    </cfRule>
    <cfRule type="cellIs" dxfId="693" priority="672" stopIfTrue="1" operator="equal">
      <formula>"ن داخلي"</formula>
    </cfRule>
    <cfRule type="cellIs" dxfId="692" priority="673" stopIfTrue="1" operator="equal">
      <formula>"ن داخلية"</formula>
    </cfRule>
    <cfRule type="cellIs" dxfId="691" priority="674" stopIfTrue="1" operator="equal">
      <formula>#REF!</formula>
    </cfRule>
    <cfRule type="cellIs" dxfId="690" priority="675" stopIfTrue="1" operator="equal">
      <formula>#REF!</formula>
    </cfRule>
    <cfRule type="cellIs" dxfId="689" priority="676" stopIfTrue="1" operator="equal">
      <formula>#REF!</formula>
    </cfRule>
    <cfRule type="cellIs" dxfId="688" priority="677" stopIfTrue="1" operator="equal">
      <formula>#REF!</formula>
    </cfRule>
    <cfRule type="cellIs" dxfId="687" priority="678" stopIfTrue="1" operator="equal">
      <formula>"داخلية"</formula>
    </cfRule>
  </conditionalFormatting>
  <conditionalFormatting sqref="F776">
    <cfRule type="expression" dxfId="686" priority="666" stopIfTrue="1">
      <formula>#REF!=""</formula>
    </cfRule>
  </conditionalFormatting>
  <conditionalFormatting sqref="F726 F701 F685:F689 F691:F692 F675 F669:F672 F664:F667 F626 F544:F546 F540:F542 F472:F476 F379:F381 F376 F362 F478 F523:F527 F521 F490:F517 F484:F488 F383:F420 F422:F466 F349 F355:F357 F537:F538 F293:F317 F322:F337 F216 F286 F257:F282 F254 F224:F252 F628:F648 F529:F535 F183:F191 F169:F170 F163 F180:F181 F548:F624 F135:F137">
    <cfRule type="expression" dxfId="685" priority="665" stopIfTrue="1">
      <formula>#REF!=""</formula>
    </cfRule>
  </conditionalFormatting>
  <conditionalFormatting sqref="F752:F754 F748 F701 F710:F711 F704 F707 F718 F713 F715:F716 F685:F699 F722:F744 F682:F683 F661:F680 F213:F216 F345:F468 F490 F471:F488 F340:F341 F184:F196 F171:F176 F180:F181 F326:F338 F207 F209 F218:F323 F540:F659 F117 F114 F492:F538 F766:F799">
    <cfRule type="containsText" dxfId="684" priority="653" stopIfTrue="1" operator="containsText" text="خارجية">
      <formula>NOT(ISERROR(SEARCH("خارجية",F114)))</formula>
    </cfRule>
    <cfRule type="containsText" dxfId="683" priority="654" stopIfTrue="1" operator="containsText" text="ن داخلية">
      <formula>NOT(ISERROR(SEARCH("ن داخلية",F114)))</formula>
    </cfRule>
    <cfRule type="containsText" dxfId="682" priority="655" stopIfTrue="1" operator="containsText" text="داخلية">
      <formula>NOT(ISERROR(SEARCH("داخلية",F114)))</formula>
    </cfRule>
    <cfRule type="containsText" dxfId="681" priority="656" stopIfTrue="1" operator="containsText" text="ن داخلية">
      <formula>NOT(ISERROR(SEARCH("ن داخلية",F114)))</formula>
    </cfRule>
    <cfRule type="containsText" dxfId="680" priority="657" stopIfTrue="1" operator="containsText" text="داخلية">
      <formula>NOT(ISERROR(SEARCH("داخلية",F114)))</formula>
    </cfRule>
    <cfRule type="cellIs" dxfId="679" priority="658" stopIfTrue="1" operator="equal">
      <formula>"ن داخلي"</formula>
    </cfRule>
    <cfRule type="cellIs" dxfId="678" priority="659" stopIfTrue="1" operator="equal">
      <formula>"ن داخلية"</formula>
    </cfRule>
    <cfRule type="cellIs" dxfId="677" priority="660" stopIfTrue="1" operator="equal">
      <formula>#REF!</formula>
    </cfRule>
    <cfRule type="cellIs" dxfId="676" priority="661" stopIfTrue="1" operator="equal">
      <formula>#REF!</formula>
    </cfRule>
    <cfRule type="cellIs" dxfId="675" priority="662" stopIfTrue="1" operator="equal">
      <formula>#REF!</formula>
    </cfRule>
    <cfRule type="cellIs" dxfId="674" priority="663" stopIfTrue="1" operator="equal">
      <formula>#REF!</formula>
    </cfRule>
    <cfRule type="cellIs" dxfId="673" priority="664" stopIfTrue="1" operator="equal">
      <formula>"داخلية"</formula>
    </cfRule>
  </conditionalFormatting>
  <conditionalFormatting sqref="F490 F471:F488 F345:F468 F340:F341 F492:F538 F326:F338 F207 F209 F218:F323 F213:F216 F184:F196 F171:F176 F180:F181 F117 F114 F540:F799">
    <cfRule type="containsText" dxfId="672" priority="651" stopIfTrue="1" operator="containsText" text="خارجية">
      <formula>NOT(ISERROR(SEARCH("خارجية",F114)))</formula>
    </cfRule>
    <cfRule type="containsText" dxfId="671" priority="652" stopIfTrue="1" operator="containsText" text="خارجي">
      <formula>NOT(ISERROR(SEARCH("خارجي",F114)))</formula>
    </cfRule>
  </conditionalFormatting>
  <conditionalFormatting sqref="F441 F437 F424 F419:F420 F422">
    <cfRule type="expression" dxfId="670" priority="650" stopIfTrue="1">
      <formula>IF(ROW(#REF!)&lt;=#REF!,"",1)=1</formula>
    </cfRule>
  </conditionalFormatting>
  <conditionalFormatting sqref="F437 F441 F422 F413 F445:F446">
    <cfRule type="expression" dxfId="669" priority="649" stopIfTrue="1">
      <formula>IF(ROW(#REF!)&lt;=#REF!,"",1)=1</formula>
    </cfRule>
  </conditionalFormatting>
  <conditionalFormatting sqref="F424 F422">
    <cfRule type="expression" dxfId="668" priority="648" stopIfTrue="1">
      <formula>IF(ROW(#REF!)&lt;=#REF!,"",1)=1</formula>
    </cfRule>
  </conditionalFormatting>
  <conditionalFormatting sqref="F229 F173 F424 F419:F420 F273 F187:F188">
    <cfRule type="expression" dxfId="667" priority="647" stopIfTrue="1">
      <formula>IF(ROW(#REF!)&lt;=#REF!,"",1)=1</formula>
    </cfRule>
  </conditionalFormatting>
  <conditionalFormatting sqref="F247:F248 F262 F258 F226 F642 F645:F646 F619:F620 F628 F422 F360:F362 F253:F254 F649:F650 F654:F655 F776">
    <cfRule type="cellIs" dxfId="666" priority="646" stopIfTrue="1" operator="greaterThan">
      <formula>"9.999"</formula>
    </cfRule>
  </conditionalFormatting>
  <conditionalFormatting sqref="F779 F781 F723 F698 F726 F688:F692 F730:F732 F675 F667:F673 F701 F544:F546 F540:F542 F492:F493 F484:F485 F376 F362 F487 F469:F476 F478 F369:F371 F378 F490 F480:F482 F525:F527 F520:F523 F504:F518 F496:F502 F383:F420 F422:F466 F348:F349 F352 F355:F357 F326:F337 F310:F317 F216 F219:F220 F293 F289:F290 F298:F306 F224:F254 F258:F286 F529 F531:F538 F144 F183:F191 F169:F170 F163 F166 F173:F174 F180:F181 F146 F548:F655 F135:F137 F114 F770 F776">
    <cfRule type="expression" dxfId="665" priority="645" stopIfTrue="1">
      <formula>#REF!=""</formula>
    </cfRule>
  </conditionalFormatting>
  <conditionalFormatting sqref="F509 F522:F525 F520 F270:F287">
    <cfRule type="containsText" dxfId="664" priority="643" stopIfTrue="1" operator="containsText" text="خارجية">
      <formula>NOT(ISERROR(SEARCH("خارجية",F270)))</formula>
    </cfRule>
    <cfRule type="containsText" dxfId="663" priority="644" stopIfTrue="1" operator="containsText" text="خارجي">
      <formula>NOT(ISERROR(SEARCH("خارجي",F270)))</formula>
    </cfRule>
  </conditionalFormatting>
  <conditionalFormatting sqref="F509 F522:F525 F520 F270:F287">
    <cfRule type="containsText" dxfId="662" priority="631" stopIfTrue="1" operator="containsText" text="خارجية">
      <formula>NOT(ISERROR(SEARCH("خارجية",F270)))</formula>
    </cfRule>
    <cfRule type="containsText" dxfId="661" priority="632" stopIfTrue="1" operator="containsText" text="ن داخلية">
      <formula>NOT(ISERROR(SEARCH("ن داخلية",F270)))</formula>
    </cfRule>
    <cfRule type="containsText" dxfId="660" priority="633" stopIfTrue="1" operator="containsText" text="داخلية">
      <formula>NOT(ISERROR(SEARCH("داخلية",F270)))</formula>
    </cfRule>
    <cfRule type="containsText" dxfId="659" priority="634" stopIfTrue="1" operator="containsText" text="ن داخلية">
      <formula>NOT(ISERROR(SEARCH("ن داخلية",F270)))</formula>
    </cfRule>
    <cfRule type="containsText" dxfId="658" priority="635" stopIfTrue="1" operator="containsText" text="داخلية">
      <formula>NOT(ISERROR(SEARCH("داخلية",F270)))</formula>
    </cfRule>
    <cfRule type="cellIs" dxfId="657" priority="636" stopIfTrue="1" operator="equal">
      <formula>"ن داخلي"</formula>
    </cfRule>
    <cfRule type="cellIs" dxfId="656" priority="637" stopIfTrue="1" operator="equal">
      <formula>"ن داخلية"</formula>
    </cfRule>
    <cfRule type="cellIs" dxfId="655" priority="638" stopIfTrue="1" operator="equal">
      <formula>#REF!</formula>
    </cfRule>
    <cfRule type="cellIs" dxfId="654" priority="639" stopIfTrue="1" operator="equal">
      <formula>#REF!</formula>
    </cfRule>
    <cfRule type="cellIs" dxfId="653" priority="640" stopIfTrue="1" operator="equal">
      <formula>#REF!</formula>
    </cfRule>
    <cfRule type="cellIs" dxfId="652" priority="641" stopIfTrue="1" operator="equal">
      <formula>#REF!</formula>
    </cfRule>
    <cfRule type="cellIs" dxfId="651" priority="642" stopIfTrue="1" operator="equal">
      <formula>"داخلية"</formula>
    </cfRule>
  </conditionalFormatting>
  <conditionalFormatting sqref="F772">
    <cfRule type="expression" dxfId="650" priority="630" stopIfTrue="1">
      <formula>#REF!=""</formula>
    </cfRule>
  </conditionalFormatting>
  <conditionalFormatting sqref="F772">
    <cfRule type="expression" dxfId="649" priority="629" stopIfTrue="1">
      <formula>#REF!=""</formula>
    </cfRule>
  </conditionalFormatting>
  <conditionalFormatting sqref="F773">
    <cfRule type="expression" dxfId="648" priority="628" stopIfTrue="1">
      <formula>#REF!=""</formula>
    </cfRule>
  </conditionalFormatting>
  <conditionalFormatting sqref="F774">
    <cfRule type="containsText" dxfId="647" priority="626" stopIfTrue="1" operator="containsText" text="خارجية">
      <formula>NOT(ISERROR(SEARCH("خارجية",F774)))</formula>
    </cfRule>
    <cfRule type="containsText" dxfId="646" priority="627" stopIfTrue="1" operator="containsText" text="خارجي">
      <formula>NOT(ISERROR(SEARCH("خارجي",F774)))</formula>
    </cfRule>
  </conditionalFormatting>
  <conditionalFormatting sqref="F774">
    <cfRule type="containsText" dxfId="645" priority="614" stopIfTrue="1" operator="containsText" text="خارجية">
      <formula>NOT(ISERROR(SEARCH("خارجية",F774)))</formula>
    </cfRule>
    <cfRule type="containsText" dxfId="644" priority="615" stopIfTrue="1" operator="containsText" text="ن داخلية">
      <formula>NOT(ISERROR(SEARCH("ن داخلية",F774)))</formula>
    </cfRule>
    <cfRule type="containsText" dxfId="643" priority="616" stopIfTrue="1" operator="containsText" text="داخلية">
      <formula>NOT(ISERROR(SEARCH("داخلية",F774)))</formula>
    </cfRule>
    <cfRule type="containsText" dxfId="642" priority="617" stopIfTrue="1" operator="containsText" text="ن داخلية">
      <formula>NOT(ISERROR(SEARCH("ن داخلية",F774)))</formula>
    </cfRule>
    <cfRule type="containsText" dxfId="641" priority="618" stopIfTrue="1" operator="containsText" text="داخلية">
      <formula>NOT(ISERROR(SEARCH("داخلية",F774)))</formula>
    </cfRule>
    <cfRule type="cellIs" dxfId="640" priority="619" stopIfTrue="1" operator="equal">
      <formula>"ن داخلي"</formula>
    </cfRule>
    <cfRule type="cellIs" dxfId="639" priority="620" stopIfTrue="1" operator="equal">
      <formula>"ن داخلية"</formula>
    </cfRule>
    <cfRule type="cellIs" dxfId="638" priority="621" stopIfTrue="1" operator="equal">
      <formula>#REF!</formula>
    </cfRule>
    <cfRule type="cellIs" dxfId="637" priority="622" stopIfTrue="1" operator="equal">
      <formula>#REF!</formula>
    </cfRule>
    <cfRule type="cellIs" dxfId="636" priority="623" stopIfTrue="1" operator="equal">
      <formula>#REF!</formula>
    </cfRule>
    <cfRule type="cellIs" dxfId="635" priority="624" stopIfTrue="1" operator="equal">
      <formula>#REF!</formula>
    </cfRule>
    <cfRule type="cellIs" dxfId="634" priority="625" stopIfTrue="1" operator="equal">
      <formula>"داخلية"</formula>
    </cfRule>
  </conditionalFormatting>
  <conditionalFormatting sqref="F775">
    <cfRule type="containsText" dxfId="633" priority="612" stopIfTrue="1" operator="containsText" text="خارجية">
      <formula>NOT(ISERROR(SEARCH("خارجية",F775)))</formula>
    </cfRule>
    <cfRule type="containsText" dxfId="632" priority="613" stopIfTrue="1" operator="containsText" text="خارجي">
      <formula>NOT(ISERROR(SEARCH("خارجي",F775)))</formula>
    </cfRule>
  </conditionalFormatting>
  <conditionalFormatting sqref="F775">
    <cfRule type="containsText" dxfId="631" priority="600" stopIfTrue="1" operator="containsText" text="خارجية">
      <formula>NOT(ISERROR(SEARCH("خارجية",F775)))</formula>
    </cfRule>
    <cfRule type="containsText" dxfId="630" priority="601" stopIfTrue="1" operator="containsText" text="ن داخلية">
      <formula>NOT(ISERROR(SEARCH("ن داخلية",F775)))</formula>
    </cfRule>
    <cfRule type="containsText" dxfId="629" priority="602" stopIfTrue="1" operator="containsText" text="داخلية">
      <formula>NOT(ISERROR(SEARCH("داخلية",F775)))</formula>
    </cfRule>
    <cfRule type="containsText" dxfId="628" priority="603" stopIfTrue="1" operator="containsText" text="ن داخلية">
      <formula>NOT(ISERROR(SEARCH("ن داخلية",F775)))</formula>
    </cfRule>
    <cfRule type="containsText" dxfId="627" priority="604" stopIfTrue="1" operator="containsText" text="داخلية">
      <formula>NOT(ISERROR(SEARCH("داخلية",F775)))</formula>
    </cfRule>
    <cfRule type="cellIs" dxfId="626" priority="605" stopIfTrue="1" operator="equal">
      <formula>"ن داخلي"</formula>
    </cfRule>
    <cfRule type="cellIs" dxfId="625" priority="606" stopIfTrue="1" operator="equal">
      <formula>"ن داخلية"</formula>
    </cfRule>
    <cfRule type="cellIs" dxfId="624" priority="607" stopIfTrue="1" operator="equal">
      <formula>#REF!</formula>
    </cfRule>
    <cfRule type="cellIs" dxfId="623" priority="608" stopIfTrue="1" operator="equal">
      <formula>#REF!</formula>
    </cfRule>
    <cfRule type="cellIs" dxfId="622" priority="609" stopIfTrue="1" operator="equal">
      <formula>#REF!</formula>
    </cfRule>
    <cfRule type="cellIs" dxfId="621" priority="610" stopIfTrue="1" operator="equal">
      <formula>#REF!</formula>
    </cfRule>
    <cfRule type="cellIs" dxfId="620" priority="611" stopIfTrue="1" operator="equal">
      <formula>"داخلية"</formula>
    </cfRule>
  </conditionalFormatting>
  <conditionalFormatting sqref="F776">
    <cfRule type="expression" dxfId="619" priority="599" stopIfTrue="1">
      <formula>#REF!=""</formula>
    </cfRule>
  </conditionalFormatting>
  <conditionalFormatting sqref="F616:F618 F600 F528 F492:F497 F431:F436 F438:F447 F423:F429 F328 F335 F337 F330 F630 F188:F193 F622:F625 F641:F642">
    <cfRule type="expression" dxfId="618" priority="598" stopIfTrue="1">
      <formula>#REF!=""</formula>
    </cfRule>
  </conditionalFormatting>
  <conditionalFormatting sqref="F648 F640 F423:F424 F407:F418 F402 F394:F396 F391 F399 F369 F628:F634 F458:F459 F439 F441:F453 F437 F434 F426 F404:F405 F388 F429:F431 F509:F510 F520:F527 F772:F776 F268:F322">
    <cfRule type="containsText" dxfId="617" priority="586" stopIfTrue="1" operator="containsText" text="خارجية">
      <formula>NOT(ISERROR(SEARCH("خارجية",F268)))</formula>
    </cfRule>
    <cfRule type="containsText" dxfId="616" priority="587" stopIfTrue="1" operator="containsText" text="ن داخلية">
      <formula>NOT(ISERROR(SEARCH("ن داخلية",F268)))</formula>
    </cfRule>
    <cfRule type="containsText" dxfId="615" priority="588" stopIfTrue="1" operator="containsText" text="داخلية">
      <formula>NOT(ISERROR(SEARCH("داخلية",F268)))</formula>
    </cfRule>
    <cfRule type="containsText" dxfId="614" priority="589" stopIfTrue="1" operator="containsText" text="ن داخلية">
      <formula>NOT(ISERROR(SEARCH("ن داخلية",F268)))</formula>
    </cfRule>
    <cfRule type="containsText" dxfId="613" priority="590" stopIfTrue="1" operator="containsText" text="داخلية">
      <formula>NOT(ISERROR(SEARCH("داخلية",F268)))</formula>
    </cfRule>
    <cfRule type="cellIs" dxfId="612" priority="591" stopIfTrue="1" operator="equal">
      <formula>"ن داخلي"</formula>
    </cfRule>
    <cfRule type="cellIs" dxfId="611" priority="592" stopIfTrue="1" operator="equal">
      <formula>"ن داخلية"</formula>
    </cfRule>
    <cfRule type="cellIs" dxfId="610" priority="593" stopIfTrue="1" operator="equal">
      <formula>#REF!</formula>
    </cfRule>
    <cfRule type="cellIs" dxfId="609" priority="594" stopIfTrue="1" operator="equal">
      <formula>#REF!</formula>
    </cfRule>
    <cfRule type="cellIs" dxfId="608" priority="595" stopIfTrue="1" operator="equal">
      <formula>#REF!</formula>
    </cfRule>
    <cfRule type="cellIs" dxfId="607" priority="596" stopIfTrue="1" operator="equal">
      <formula>#REF!</formula>
    </cfRule>
    <cfRule type="cellIs" dxfId="606" priority="597" stopIfTrue="1" operator="equal">
      <formula>"داخلية"</formula>
    </cfRule>
  </conditionalFormatting>
  <conditionalFormatting sqref="F520 F516:F518">
    <cfRule type="cellIs" dxfId="605" priority="585" stopIfTrue="1" operator="greaterThan">
      <formula>"9.999"</formula>
    </cfRule>
  </conditionalFormatting>
  <conditionalFormatting sqref="F648 F628:F634 F640 F407:F418 F402 F399 F394:F396 F391 F369 F458:F459 F439 F441:F453 F437 F434 F423:F424 F426 F429:F431 F509:F510 F772:F776 F517:F527 F556 F364 F404:F405 F388 F568:F586 F153:F362">
    <cfRule type="containsText" dxfId="604" priority="583" stopIfTrue="1" operator="containsText" text="خارجية">
      <formula>NOT(ISERROR(SEARCH("خارجية",F153)))</formula>
    </cfRule>
    <cfRule type="containsText" dxfId="603" priority="584" stopIfTrue="1" operator="containsText" text="خارجي">
      <formula>NOT(ISERROR(SEARCH("خارجي",F153)))</formula>
    </cfRule>
  </conditionalFormatting>
  <conditionalFormatting sqref="F775:F776">
    <cfRule type="expression" dxfId="602" priority="582" stopIfTrue="1">
      <formula>#REF!=""</formula>
    </cfRule>
  </conditionalFormatting>
  <conditionalFormatting sqref="F579 F498">
    <cfRule type="expression" dxfId="601" priority="581" stopIfTrue="1">
      <formula>#REF!=""</formula>
    </cfRule>
  </conditionalFormatting>
  <conditionalFormatting sqref="F556 F524:F527 F516:F521 F364 F568:F586 F153:F362">
    <cfRule type="containsText" dxfId="600" priority="569" stopIfTrue="1" operator="containsText" text="خارجية">
      <formula>NOT(ISERROR(SEARCH("خارجية",F153)))</formula>
    </cfRule>
    <cfRule type="containsText" dxfId="599" priority="570" stopIfTrue="1" operator="containsText" text="ن داخلية">
      <formula>NOT(ISERROR(SEARCH("ن داخلية",F153)))</formula>
    </cfRule>
    <cfRule type="containsText" dxfId="598" priority="571" stopIfTrue="1" operator="containsText" text="داخلية">
      <formula>NOT(ISERROR(SEARCH("داخلية",F153)))</formula>
    </cfRule>
    <cfRule type="containsText" dxfId="597" priority="572" stopIfTrue="1" operator="containsText" text="ن داخلية">
      <formula>NOT(ISERROR(SEARCH("ن داخلية",F153)))</formula>
    </cfRule>
    <cfRule type="containsText" dxfId="596" priority="573" stopIfTrue="1" operator="containsText" text="داخلية">
      <formula>NOT(ISERROR(SEARCH("داخلية",F153)))</formula>
    </cfRule>
    <cfRule type="cellIs" dxfId="595" priority="574" stopIfTrue="1" operator="equal">
      <formula>"ن داخلي"</formula>
    </cfRule>
    <cfRule type="cellIs" dxfId="594" priority="575" stopIfTrue="1" operator="equal">
      <formula>"ن داخلية"</formula>
    </cfRule>
    <cfRule type="cellIs" dxfId="593" priority="576" stopIfTrue="1" operator="equal">
      <formula>#REF!</formula>
    </cfRule>
    <cfRule type="cellIs" dxfId="592" priority="577" stopIfTrue="1" operator="equal">
      <formula>#REF!</formula>
    </cfRule>
    <cfRule type="cellIs" dxfId="591" priority="578" stopIfTrue="1" operator="equal">
      <formula>#REF!</formula>
    </cfRule>
    <cfRule type="cellIs" dxfId="590" priority="579" stopIfTrue="1" operator="equal">
      <formula>#REF!</formula>
    </cfRule>
    <cfRule type="cellIs" dxfId="589" priority="580" stopIfTrue="1" operator="equal">
      <formula>"داخلية"</formula>
    </cfRule>
  </conditionalFormatting>
  <conditionalFormatting sqref="F587:F611 F613:F743">
    <cfRule type="expression" dxfId="588" priority="568" stopIfTrue="1">
      <formula>#REF!=""</formula>
    </cfRule>
  </conditionalFormatting>
  <conditionalFormatting sqref="F612">
    <cfRule type="expression" dxfId="587" priority="567" stopIfTrue="1">
      <formula>#REF!=""</formula>
    </cfRule>
  </conditionalFormatting>
  <conditionalFormatting sqref="F615:F617 F629 F621:F624 F640:F641 F528 F492:F497 F431:F436 F438:F447 F423:F429 F328 F335 F337 F330 F587:F610">
    <cfRule type="expression" dxfId="586" priority="566" stopIfTrue="1">
      <formula>#REF!=""</formula>
    </cfRule>
  </conditionalFormatting>
  <conditionalFormatting sqref="F647 F639 F627:F633 F771:F775 F423:F424 F407:F418 F402 F394:F396 F391 F399 F369 F458:F459 F439 F441:F453 F437 F434 F426 F404:F405 F429:F431 F509:F510 F556 F516:F527 F388 F364 F568:F586 F205:F362">
    <cfRule type="containsText" dxfId="585" priority="554" stopIfTrue="1" operator="containsText" text="خارجية">
      <formula>NOT(ISERROR(SEARCH("خارجية",F205)))</formula>
    </cfRule>
    <cfRule type="containsText" dxfId="584" priority="555" stopIfTrue="1" operator="containsText" text="ن داخلية">
      <formula>NOT(ISERROR(SEARCH("ن داخلية",F205)))</formula>
    </cfRule>
    <cfRule type="containsText" dxfId="583" priority="556" stopIfTrue="1" operator="containsText" text="داخلية">
      <formula>NOT(ISERROR(SEARCH("داخلية",F205)))</formula>
    </cfRule>
    <cfRule type="containsText" dxfId="582" priority="557" stopIfTrue="1" operator="containsText" text="ن داخلية">
      <formula>NOT(ISERROR(SEARCH("ن داخلية",F205)))</formula>
    </cfRule>
    <cfRule type="containsText" dxfId="581" priority="558" stopIfTrue="1" operator="containsText" text="داخلية">
      <formula>NOT(ISERROR(SEARCH("داخلية",F205)))</formula>
    </cfRule>
    <cfRule type="cellIs" dxfId="580" priority="559" stopIfTrue="1" operator="equal">
      <formula>"ن داخلي"</formula>
    </cfRule>
    <cfRule type="cellIs" dxfId="579" priority="560" stopIfTrue="1" operator="equal">
      <formula>"ن داخلية"</formula>
    </cfRule>
    <cfRule type="cellIs" dxfId="578" priority="561" stopIfTrue="1" operator="equal">
      <formula>#REF!</formula>
    </cfRule>
    <cfRule type="cellIs" dxfId="577" priority="562" stopIfTrue="1" operator="equal">
      <formula>#REF!</formula>
    </cfRule>
    <cfRule type="cellIs" dxfId="576" priority="563" stopIfTrue="1" operator="equal">
      <formula>#REF!</formula>
    </cfRule>
    <cfRule type="cellIs" dxfId="575" priority="564" stopIfTrue="1" operator="equal">
      <formula>#REF!</formula>
    </cfRule>
    <cfRule type="cellIs" dxfId="574" priority="565" stopIfTrue="1" operator="equal">
      <formula>"داخلية"</formula>
    </cfRule>
  </conditionalFormatting>
  <conditionalFormatting sqref="F520 F516:F518">
    <cfRule type="cellIs" dxfId="573" priority="553" stopIfTrue="1" operator="greaterThan">
      <formula>"9.999"</formula>
    </cfRule>
  </conditionalFormatting>
  <conditionalFormatting sqref="F647 F627:F633 F639 F771:F775 F407:F418 F402 F399 F394:F396 F391 F369 F458:F459 F439 F441:F453 F437 F434 F423:F424 F426 F429:F431 F509:F510 F517:F527 F556 F364 F404:F405 F388 F568:F586 F205:F362">
    <cfRule type="containsText" dxfId="572" priority="551" stopIfTrue="1" operator="containsText" text="خارجية">
      <formula>NOT(ISERROR(SEARCH("خارجية",F205)))</formula>
    </cfRule>
    <cfRule type="containsText" dxfId="571" priority="552" stopIfTrue="1" operator="containsText" text="خارجي">
      <formula>NOT(ISERROR(SEARCH("خارجي",F205)))</formula>
    </cfRule>
  </conditionalFormatting>
  <conditionalFormatting sqref="F774:F775 F579 F498">
    <cfRule type="expression" dxfId="570" priority="550" stopIfTrue="1">
      <formula>#REF!=""</formula>
    </cfRule>
  </conditionalFormatting>
  <conditionalFormatting sqref="F612:F742">
    <cfRule type="expression" dxfId="569" priority="549" stopIfTrue="1">
      <formula>#REF!=""</formula>
    </cfRule>
  </conditionalFormatting>
  <conditionalFormatting sqref="F611">
    <cfRule type="expression" dxfId="568" priority="548" stopIfTrue="1">
      <formula>#REF!=""</formula>
    </cfRule>
  </conditionalFormatting>
  <conditionalFormatting sqref="F616:F618 F630 F622:F625 F641:F642 F529 F493:F498 F432:F437 F439:F448 F424:F430 F329 F336 F338 F331 F588:F611">
    <cfRule type="expression" dxfId="567" priority="547" stopIfTrue="1">
      <formula>#REF!=""</formula>
    </cfRule>
  </conditionalFormatting>
  <conditionalFormatting sqref="F648 F640 F628:F634 F772:F776 F424:F425 F408:F419 F403 F395:F397 F392 F400 F370 F459:F460 F440 F442:F454 F438 F435 F427 F405:F406 F430:F432 F510:F511 F557 F517:F528 F389 F365 F569:F587 F206:F363">
    <cfRule type="containsText" dxfId="566" priority="535" stopIfTrue="1" operator="containsText" text="خارجية">
      <formula>NOT(ISERROR(SEARCH("خارجية",F206)))</formula>
    </cfRule>
    <cfRule type="containsText" dxfId="565" priority="536" stopIfTrue="1" operator="containsText" text="ن داخلية">
      <formula>NOT(ISERROR(SEARCH("ن داخلية",F206)))</formula>
    </cfRule>
    <cfRule type="containsText" dxfId="564" priority="537" stopIfTrue="1" operator="containsText" text="داخلية">
      <formula>NOT(ISERROR(SEARCH("داخلية",F206)))</formula>
    </cfRule>
    <cfRule type="containsText" dxfId="563" priority="538" stopIfTrue="1" operator="containsText" text="ن داخلية">
      <formula>NOT(ISERROR(SEARCH("ن داخلية",F206)))</formula>
    </cfRule>
    <cfRule type="containsText" dxfId="562" priority="539" stopIfTrue="1" operator="containsText" text="داخلية">
      <formula>NOT(ISERROR(SEARCH("داخلية",F206)))</formula>
    </cfRule>
    <cfRule type="cellIs" dxfId="561" priority="540" stopIfTrue="1" operator="equal">
      <formula>"ن داخلي"</formula>
    </cfRule>
    <cfRule type="cellIs" dxfId="560" priority="541" stopIfTrue="1" operator="equal">
      <formula>"ن داخلية"</formula>
    </cfRule>
    <cfRule type="cellIs" dxfId="559" priority="542" stopIfTrue="1" operator="equal">
      <formula>#REF!</formula>
    </cfRule>
    <cfRule type="cellIs" dxfId="558" priority="543" stopIfTrue="1" operator="equal">
      <formula>#REF!</formula>
    </cfRule>
    <cfRule type="cellIs" dxfId="557" priority="544" stopIfTrue="1" operator="equal">
      <formula>#REF!</formula>
    </cfRule>
    <cfRule type="cellIs" dxfId="556" priority="545" stopIfTrue="1" operator="equal">
      <formula>#REF!</formula>
    </cfRule>
    <cfRule type="cellIs" dxfId="555" priority="546" stopIfTrue="1" operator="equal">
      <formula>"داخلية"</formula>
    </cfRule>
  </conditionalFormatting>
  <conditionalFormatting sqref="F521 F517:F519">
    <cfRule type="cellIs" dxfId="554" priority="534" stopIfTrue="1" operator="greaterThan">
      <formula>"9.999"</formula>
    </cfRule>
  </conditionalFormatting>
  <conditionalFormatting sqref="F648 F628:F634 F640 F772:F776 F408:F419 F403 F400 F395:F397 F392 F370 F459:F460 F440 F442:F454 F438 F435 F424:F425 F427 F430:F432 F510:F511 F518:F528 F557 F365 F405:F406 F389 F569:F587 F206:F363">
    <cfRule type="containsText" dxfId="553" priority="532" stopIfTrue="1" operator="containsText" text="خارجية">
      <formula>NOT(ISERROR(SEARCH("خارجية",F206)))</formula>
    </cfRule>
    <cfRule type="containsText" dxfId="552" priority="533" stopIfTrue="1" operator="containsText" text="خارجي">
      <formula>NOT(ISERROR(SEARCH("خارجي",F206)))</formula>
    </cfRule>
  </conditionalFormatting>
  <conditionalFormatting sqref="F775:F776 F580 F499">
    <cfRule type="expression" dxfId="551" priority="531" stopIfTrue="1">
      <formula>#REF!=""</formula>
    </cfRule>
  </conditionalFormatting>
  <conditionalFormatting sqref="F613:F743">
    <cfRule type="expression" dxfId="550" priority="530" stopIfTrue="1">
      <formula>#REF!=""</formula>
    </cfRule>
  </conditionalFormatting>
  <conditionalFormatting sqref="F612">
    <cfRule type="expression" dxfId="549" priority="529" stopIfTrue="1">
      <formula>#REF!=""</formula>
    </cfRule>
  </conditionalFormatting>
  <conditionalFormatting sqref="F552 F547 F580 F540 F498:F499">
    <cfRule type="expression" dxfId="548" priority="528" stopIfTrue="1">
      <formula>#REF!=""</formula>
    </cfRule>
  </conditionalFormatting>
  <conditionalFormatting sqref="F365 F518:F587 F154:F363">
    <cfRule type="containsText" dxfId="547" priority="526" stopIfTrue="1" operator="containsText" text="خارجية">
      <formula>NOT(ISERROR(SEARCH("خارجية",F154)))</formula>
    </cfRule>
    <cfRule type="containsText" dxfId="546" priority="527" stopIfTrue="1" operator="containsText" text="خارجي">
      <formula>NOT(ISERROR(SEARCH("خارجي",F154)))</formula>
    </cfRule>
  </conditionalFormatting>
  <conditionalFormatting sqref="F521 F516:F519">
    <cfRule type="cellIs" dxfId="545" priority="525" stopIfTrue="1" operator="greaterThan">
      <formula>"9.999"</formula>
    </cfRule>
  </conditionalFormatting>
  <conditionalFormatting sqref="F516:F587 F365 F154:F363">
    <cfRule type="containsText" dxfId="544" priority="513" stopIfTrue="1" operator="containsText" text="خارجية">
      <formula>NOT(ISERROR(SEARCH("خارجية",F154)))</formula>
    </cfRule>
    <cfRule type="containsText" dxfId="543" priority="514" stopIfTrue="1" operator="containsText" text="ن داخلية">
      <formula>NOT(ISERROR(SEARCH("ن داخلية",F154)))</formula>
    </cfRule>
    <cfRule type="containsText" dxfId="542" priority="515" stopIfTrue="1" operator="containsText" text="داخلية">
      <formula>NOT(ISERROR(SEARCH("داخلية",F154)))</formula>
    </cfRule>
    <cfRule type="containsText" dxfId="541" priority="516" stopIfTrue="1" operator="containsText" text="ن داخلية">
      <formula>NOT(ISERROR(SEARCH("ن داخلية",F154)))</formula>
    </cfRule>
    <cfRule type="containsText" dxfId="540" priority="517" stopIfTrue="1" operator="containsText" text="داخلية">
      <formula>NOT(ISERROR(SEARCH("داخلية",F154)))</formula>
    </cfRule>
    <cfRule type="cellIs" dxfId="539" priority="518" stopIfTrue="1" operator="equal">
      <formula>"ن داخلي"</formula>
    </cfRule>
    <cfRule type="cellIs" dxfId="538" priority="519" stopIfTrue="1" operator="equal">
      <formula>"ن داخلية"</formula>
    </cfRule>
    <cfRule type="cellIs" dxfId="537" priority="520" stopIfTrue="1" operator="equal">
      <formula>#REF!</formula>
    </cfRule>
    <cfRule type="cellIs" dxfId="536" priority="521" stopIfTrue="1" operator="equal">
      <formula>#REF!</formula>
    </cfRule>
    <cfRule type="cellIs" dxfId="535" priority="522" stopIfTrue="1" operator="equal">
      <formula>#REF!</formula>
    </cfRule>
    <cfRule type="cellIs" dxfId="534" priority="523" stopIfTrue="1" operator="equal">
      <formula>#REF!</formula>
    </cfRule>
    <cfRule type="cellIs" dxfId="533" priority="524" stopIfTrue="1" operator="equal">
      <formula>"داخلية"</formula>
    </cfRule>
  </conditionalFormatting>
  <conditionalFormatting sqref="F588:F743">
    <cfRule type="expression" dxfId="532" priority="512" stopIfTrue="1">
      <formula>#REF!=""</formula>
    </cfRule>
  </conditionalFormatting>
  <conditionalFormatting sqref="F615:F617 F629 F621:F624 F640:F641 F528 F492:F497 F431:F436 F438:F447 F423:F429 F328 F335 F337 F330 F587:F610">
    <cfRule type="expression" dxfId="531" priority="511" stopIfTrue="1">
      <formula>#REF!=""</formula>
    </cfRule>
  </conditionalFormatting>
  <conditionalFormatting sqref="F647 F639 F627:F633 F771:F775 F423:F424 F407:F418 F402 F394:F396 F391 F399 F369 F458:F459 F439 F441:F453 F437 F434 F426 F404:F405 F429:F431 F509:F510 F556 F516:F527 F388 F364 F568:F586 F205:F362">
    <cfRule type="containsText" dxfId="530" priority="499" stopIfTrue="1" operator="containsText" text="خارجية">
      <formula>NOT(ISERROR(SEARCH("خارجية",F205)))</formula>
    </cfRule>
    <cfRule type="containsText" dxfId="529" priority="500" stopIfTrue="1" operator="containsText" text="ن داخلية">
      <formula>NOT(ISERROR(SEARCH("ن داخلية",F205)))</formula>
    </cfRule>
    <cfRule type="containsText" dxfId="528" priority="501" stopIfTrue="1" operator="containsText" text="داخلية">
      <formula>NOT(ISERROR(SEARCH("داخلية",F205)))</formula>
    </cfRule>
    <cfRule type="containsText" dxfId="527" priority="502" stopIfTrue="1" operator="containsText" text="ن داخلية">
      <formula>NOT(ISERROR(SEARCH("ن داخلية",F205)))</formula>
    </cfRule>
    <cfRule type="containsText" dxfId="526" priority="503" stopIfTrue="1" operator="containsText" text="داخلية">
      <formula>NOT(ISERROR(SEARCH("داخلية",F205)))</formula>
    </cfRule>
    <cfRule type="cellIs" dxfId="525" priority="504" stopIfTrue="1" operator="equal">
      <formula>"ن داخلي"</formula>
    </cfRule>
    <cfRule type="cellIs" dxfId="524" priority="505" stopIfTrue="1" operator="equal">
      <formula>"ن داخلية"</formula>
    </cfRule>
    <cfRule type="cellIs" dxfId="523" priority="506" stopIfTrue="1" operator="equal">
      <formula>#REF!</formula>
    </cfRule>
    <cfRule type="cellIs" dxfId="522" priority="507" stopIfTrue="1" operator="equal">
      <formula>#REF!</formula>
    </cfRule>
    <cfRule type="cellIs" dxfId="521" priority="508" stopIfTrue="1" operator="equal">
      <formula>#REF!</formula>
    </cfRule>
    <cfRule type="cellIs" dxfId="520" priority="509" stopIfTrue="1" operator="equal">
      <formula>#REF!</formula>
    </cfRule>
    <cfRule type="cellIs" dxfId="519" priority="510" stopIfTrue="1" operator="equal">
      <formula>"داخلية"</formula>
    </cfRule>
  </conditionalFormatting>
  <conditionalFormatting sqref="F520 F516:F518">
    <cfRule type="cellIs" dxfId="518" priority="498" stopIfTrue="1" operator="greaterThan">
      <formula>"9.999"</formula>
    </cfRule>
  </conditionalFormatting>
  <conditionalFormatting sqref="F647 F627:F633 F639 F771:F775 F407:F418 F402 F399 F394:F396 F391 F369 F458:F459 F439 F441:F453 F437 F434 F423:F424 F426 F429:F431 F509:F510 F517:F527 F556 F364 F404:F405 F388 F568:F586 F205:F362">
    <cfRule type="containsText" dxfId="517" priority="496" stopIfTrue="1" operator="containsText" text="خارجية">
      <formula>NOT(ISERROR(SEARCH("خارجية",F205)))</formula>
    </cfRule>
    <cfRule type="containsText" dxfId="516" priority="497" stopIfTrue="1" operator="containsText" text="خارجي">
      <formula>NOT(ISERROR(SEARCH("خارجي",F205)))</formula>
    </cfRule>
  </conditionalFormatting>
  <conditionalFormatting sqref="F774:F775 F579 F498">
    <cfRule type="expression" dxfId="515" priority="495" stopIfTrue="1">
      <formula>#REF!=""</formula>
    </cfRule>
  </conditionalFormatting>
  <conditionalFormatting sqref="F612:F742">
    <cfRule type="expression" dxfId="514" priority="494" stopIfTrue="1">
      <formula>#REF!=""</formula>
    </cfRule>
  </conditionalFormatting>
  <conditionalFormatting sqref="F611">
    <cfRule type="expression" dxfId="513" priority="493" stopIfTrue="1">
      <formula>#REF!=""</formula>
    </cfRule>
  </conditionalFormatting>
  <conditionalFormatting sqref="F551 F546 F579 F539 F497:F498">
    <cfRule type="expression" dxfId="512" priority="492" stopIfTrue="1">
      <formula>#REF!=""</formula>
    </cfRule>
  </conditionalFormatting>
  <conditionalFormatting sqref="F364 F517:F586 F153:F362">
    <cfRule type="containsText" dxfId="511" priority="490" stopIfTrue="1" operator="containsText" text="خارجية">
      <formula>NOT(ISERROR(SEARCH("خارجية",F153)))</formula>
    </cfRule>
    <cfRule type="containsText" dxfId="510" priority="491" stopIfTrue="1" operator="containsText" text="خارجي">
      <formula>NOT(ISERROR(SEARCH("خارجي",F153)))</formula>
    </cfRule>
  </conditionalFormatting>
  <conditionalFormatting sqref="F520 F515:F518">
    <cfRule type="cellIs" dxfId="509" priority="489" stopIfTrue="1" operator="greaterThan">
      <formula>"9.999"</formula>
    </cfRule>
  </conditionalFormatting>
  <conditionalFormatting sqref="F515:F586 F364 F153:F362">
    <cfRule type="containsText" dxfId="508" priority="477" stopIfTrue="1" operator="containsText" text="خارجية">
      <formula>NOT(ISERROR(SEARCH("خارجية",F153)))</formula>
    </cfRule>
    <cfRule type="containsText" dxfId="507" priority="478" stopIfTrue="1" operator="containsText" text="ن داخلية">
      <formula>NOT(ISERROR(SEARCH("ن داخلية",F153)))</formula>
    </cfRule>
    <cfRule type="containsText" dxfId="506" priority="479" stopIfTrue="1" operator="containsText" text="داخلية">
      <formula>NOT(ISERROR(SEARCH("داخلية",F153)))</formula>
    </cfRule>
    <cfRule type="containsText" dxfId="505" priority="480" stopIfTrue="1" operator="containsText" text="ن داخلية">
      <formula>NOT(ISERROR(SEARCH("ن داخلية",F153)))</formula>
    </cfRule>
    <cfRule type="containsText" dxfId="504" priority="481" stopIfTrue="1" operator="containsText" text="داخلية">
      <formula>NOT(ISERROR(SEARCH("داخلية",F153)))</formula>
    </cfRule>
    <cfRule type="cellIs" dxfId="503" priority="482" stopIfTrue="1" operator="equal">
      <formula>"ن داخلي"</formula>
    </cfRule>
    <cfRule type="cellIs" dxfId="502" priority="483" stopIfTrue="1" operator="equal">
      <formula>"ن داخلية"</formula>
    </cfRule>
    <cfRule type="cellIs" dxfId="501" priority="484" stopIfTrue="1" operator="equal">
      <formula>#REF!</formula>
    </cfRule>
    <cfRule type="cellIs" dxfId="500" priority="485" stopIfTrue="1" operator="equal">
      <formula>#REF!</formula>
    </cfRule>
    <cfRule type="cellIs" dxfId="499" priority="486" stopIfTrue="1" operator="equal">
      <formula>#REF!</formula>
    </cfRule>
    <cfRule type="cellIs" dxfId="498" priority="487" stopIfTrue="1" operator="equal">
      <formula>#REF!</formula>
    </cfRule>
    <cfRule type="cellIs" dxfId="497" priority="488" stopIfTrue="1" operator="equal">
      <formula>"داخلية"</formula>
    </cfRule>
  </conditionalFormatting>
  <conditionalFormatting sqref="F587:F742">
    <cfRule type="expression" dxfId="496" priority="476" stopIfTrue="1">
      <formula>#REF!=""</formula>
    </cfRule>
  </conditionalFormatting>
  <conditionalFormatting sqref="H297:H300 H283:H295 H280 H713 H607 H276 H715:H716 H760:H764 H219:H220 H187:H188 H667 H580 H585 H724:H731 H311 H305 H669 H619:H620 H582 H587 H653:H657 H313:H322 H568 H570 H539 H528 H537 H440:H441 H484 H501 H429 H415:H416 H394:H395 H369 H326:H339 H530:H531 H518 H513 H515:H516 H520:H525 H510:H511 H488 H486 H503 H495:H498 H467 H431:H434 H377:H378 H443:H449 H451:H465 H413 H405:H411 H397 H385:H392 H371 H720 H418:H423 H349:H364 H346 H309 H237 H278 H274 H235 H117 H622:H624 H626:H629 H632:H633 H641 H733:H744 H750 H752:H753 H755 H758 H438 H242:H256 H258:H259 H262:H269 H766:H974">
    <cfRule type="containsText" dxfId="495" priority="464" stopIfTrue="1" operator="containsText" text="خارجية">
      <formula>NOT(ISERROR(SEARCH("خارجية",H117)))</formula>
    </cfRule>
    <cfRule type="containsText" dxfId="494" priority="465" stopIfTrue="1" operator="containsText" text="ن داخلية">
      <formula>NOT(ISERROR(SEARCH("ن داخلية",H117)))</formula>
    </cfRule>
    <cfRule type="containsText" dxfId="493" priority="466" stopIfTrue="1" operator="containsText" text="داخلية">
      <formula>NOT(ISERROR(SEARCH("داخلية",H117)))</formula>
    </cfRule>
    <cfRule type="containsText" dxfId="492" priority="467" stopIfTrue="1" operator="containsText" text="ن داخلية">
      <formula>NOT(ISERROR(SEARCH("ن داخلية",H117)))</formula>
    </cfRule>
    <cfRule type="containsText" dxfId="491" priority="468" stopIfTrue="1" operator="containsText" text="داخلية">
      <formula>NOT(ISERROR(SEARCH("داخلية",H117)))</formula>
    </cfRule>
    <cfRule type="cellIs" dxfId="490" priority="469" stopIfTrue="1" operator="equal">
      <formula>"ن داخلي"</formula>
    </cfRule>
    <cfRule type="cellIs" dxfId="489" priority="470" stopIfTrue="1" operator="equal">
      <formula>"ن داخلية"</formula>
    </cfRule>
    <cfRule type="cellIs" dxfId="488" priority="471" stopIfTrue="1" operator="equal">
      <formula>#REF!</formula>
    </cfRule>
    <cfRule type="cellIs" dxfId="487" priority="472" stopIfTrue="1" operator="equal">
      <formula>#REF!</formula>
    </cfRule>
    <cfRule type="cellIs" dxfId="486" priority="473" stopIfTrue="1" operator="equal">
      <formula>#REF!</formula>
    </cfRule>
    <cfRule type="cellIs" dxfId="485" priority="474" stopIfTrue="1" operator="equal">
      <formula>#REF!</formula>
    </cfRule>
    <cfRule type="cellIs" dxfId="484" priority="475" stopIfTrue="1" operator="equal">
      <formula>"داخلية"</formula>
    </cfRule>
  </conditionalFormatting>
  <conditionalFormatting sqref="H690:H716 H659:H685 H501 H484 H440:H441 H429 H415:H416 H394:H395 H369 H326:H339 H503 H518 H513 H515:H516 H488 H486 H510:H511 H495:H498 H467 H431:H434 H377:H378 H451:H465 H443:H449 H413 H405:H411 H397 H385:H392 H371 H724:H747 H418:H423 H349:H364 H346 H309 H278 H274 H235 H237 H297:H300 H283:H295 H280 H276 H219:H220 H187:H188 H311 H305 H313:H322 H585:H617 H117 H520:H583 H619:H657 H720 H438 H242:H256 H258:H259 H262:H269 H749:H974">
    <cfRule type="containsText" dxfId="483" priority="462" stopIfTrue="1" operator="containsText" text="خارجية">
      <formula>NOT(ISERROR(SEARCH("خارجية",H117)))</formula>
    </cfRule>
    <cfRule type="containsText" dxfId="482" priority="463" stopIfTrue="1" operator="containsText" text="خارجي">
      <formula>NOT(ISERROR(SEARCH("خارجي",H117)))</formula>
    </cfRule>
  </conditionalFormatting>
  <conditionalFormatting sqref="H361 H359 H246:H247">
    <cfRule type="cellIs" dxfId="481" priority="461" stopIfTrue="1" operator="greaterThan">
      <formula>"9.999"</formula>
    </cfRule>
  </conditionalFormatting>
  <conditionalFormatting sqref="H144 H770">
    <cfRule type="expression" dxfId="480" priority="460" stopIfTrue="1">
      <formula>#REF!=""</formula>
    </cfRule>
  </conditionalFormatting>
  <conditionalFormatting sqref="H144">
    <cfRule type="expression" dxfId="479" priority="459" stopIfTrue="1">
      <formula>#REF!=""</formula>
    </cfRule>
  </conditionalFormatting>
  <conditionalFormatting sqref="H724:H731 H758:H769 H691:H716 H733:H744 H661:H685 H624 H620:H621 H626:H657 H587:H617 H451 H503 H518 H520 H513 H515 H488 H486 H510 H497:H498 H467 H460:H465 H431 H445:H446 H433:H434 H749:H756 H453:H458 H448:H449 H413 H408:H409 H418 H397 H387:H392 H371 H377:H378 H422:H423 H351:H364 H346 H329:H339 H326:H327 H320:H322 H311 H305 H314 H316:H318 H299:H300 H294:H295 H265:H270 H288:H291 H285:H286 H280 H276 H243 H236 H238 H220 H188 H117 H522:H583 H440:H441 H245:H256 H258:H259 H262">
    <cfRule type="containsText" dxfId="478" priority="457" stopIfTrue="1" operator="containsText" text="خارجية">
      <formula>NOT(ISERROR(SEARCH("خارجية",H117)))</formula>
    </cfRule>
    <cfRule type="containsText" dxfId="477" priority="458" stopIfTrue="1" operator="containsText" text="خارجي">
      <formula>NOT(ISERROR(SEARCH("خارجي",H117)))</formula>
    </cfRule>
  </conditionalFormatting>
  <conditionalFormatting sqref="H760:H764 H766:H767 H725:H727 H729:H731 H669 H628:H629 H633 H606 H539 H530:H531 H247 H733:H744 H750 H752:H753 H755 H758">
    <cfRule type="containsText" dxfId="476" priority="445" stopIfTrue="1" operator="containsText" text="خارجية">
      <formula>NOT(ISERROR(SEARCH("خارجية",H247)))</formula>
    </cfRule>
    <cfRule type="containsText" dxfId="475" priority="446" stopIfTrue="1" operator="containsText" text="ن داخلية">
      <formula>NOT(ISERROR(SEARCH("ن داخلية",H247)))</formula>
    </cfRule>
    <cfRule type="containsText" dxfId="474" priority="447" stopIfTrue="1" operator="containsText" text="داخلية">
      <formula>NOT(ISERROR(SEARCH("داخلية",H247)))</formula>
    </cfRule>
    <cfRule type="containsText" dxfId="473" priority="448" stopIfTrue="1" operator="containsText" text="ن داخلية">
      <formula>NOT(ISERROR(SEARCH("ن داخلية",H247)))</formula>
    </cfRule>
    <cfRule type="containsText" dxfId="472" priority="449" stopIfTrue="1" operator="containsText" text="داخلية">
      <formula>NOT(ISERROR(SEARCH("داخلية",H247)))</formula>
    </cfRule>
    <cfRule type="cellIs" dxfId="471" priority="450" stopIfTrue="1" operator="equal">
      <formula>"ن داخلي"</formula>
    </cfRule>
    <cfRule type="cellIs" dxfId="470" priority="451" stopIfTrue="1" operator="equal">
      <formula>"ن داخلية"</formula>
    </cfRule>
    <cfRule type="cellIs" dxfId="469" priority="452" stopIfTrue="1" operator="equal">
      <formula>#REF!</formula>
    </cfRule>
    <cfRule type="cellIs" dxfId="468" priority="453" stopIfTrue="1" operator="equal">
      <formula>#REF!</formula>
    </cfRule>
    <cfRule type="cellIs" dxfId="467" priority="454" stopIfTrue="1" operator="equal">
      <formula>#REF!</formula>
    </cfRule>
    <cfRule type="cellIs" dxfId="466" priority="455" stopIfTrue="1" operator="equal">
      <formula>#REF!</formula>
    </cfRule>
    <cfRule type="cellIs" dxfId="465" priority="456" stopIfTrue="1" operator="equal">
      <formula>"داخلية"</formula>
    </cfRule>
  </conditionalFormatting>
  <conditionalFormatting sqref="H361 H247">
    <cfRule type="cellIs" dxfId="464" priority="444" stopIfTrue="1" operator="greaterThan">
      <formula>"9.999"</formula>
    </cfRule>
  </conditionalFormatting>
  <conditionalFormatting sqref="H188 H716 H733:H737 H117 H725:H727 H729:H731 H669 H628:H629 H624 H620 H655:H657 H633 H582 H587 H570 H539 H530:H531 H518 H520 H513 H515 H522:H525 H510 H488 H486 H503 H497:H498 H467 H460:H465 H431 H433:H434 H445:H446 H220 H453:H458 H448:H449 H451 H413 H408:H409 H418 H397 H387:H392 H371 H377:H378 H422:H423 H351:H364 H346 H329:H339 H326:H327 H320:H322 H311 H305 H314 H316:H318 H299:H300 H294:H295 H238 H288:H291 H285:H286 H280 H276 H243 H236 H265:H270 H440:H441 H245:H256 H258:H259 H262">
    <cfRule type="containsText" dxfId="463" priority="432" stopIfTrue="1" operator="containsText" text="خارجية">
      <formula>NOT(ISERROR(SEARCH("خارجية",H117)))</formula>
    </cfRule>
    <cfRule type="containsText" dxfId="462" priority="433" stopIfTrue="1" operator="containsText" text="ن داخلية">
      <formula>NOT(ISERROR(SEARCH("ن داخلية",H117)))</formula>
    </cfRule>
    <cfRule type="containsText" dxfId="461" priority="434" stopIfTrue="1" operator="containsText" text="داخلية">
      <formula>NOT(ISERROR(SEARCH("داخلية",H117)))</formula>
    </cfRule>
    <cfRule type="containsText" dxfId="460" priority="435" stopIfTrue="1" operator="containsText" text="ن داخلية">
      <formula>NOT(ISERROR(SEARCH("ن داخلية",H117)))</formula>
    </cfRule>
    <cfRule type="containsText" dxfId="459" priority="436" stopIfTrue="1" operator="containsText" text="داخلية">
      <formula>NOT(ISERROR(SEARCH("داخلية",H117)))</formula>
    </cfRule>
    <cfRule type="cellIs" dxfId="458" priority="437" stopIfTrue="1" operator="equal">
      <formula>"ن داخلي"</formula>
    </cfRule>
    <cfRule type="cellIs" dxfId="457" priority="438" stopIfTrue="1" operator="equal">
      <formula>"ن داخلية"</formula>
    </cfRule>
    <cfRule type="cellIs" dxfId="456" priority="439" stopIfTrue="1" operator="equal">
      <formula>#REF!</formula>
    </cfRule>
    <cfRule type="cellIs" dxfId="455" priority="440" stopIfTrue="1" operator="equal">
      <formula>#REF!</formula>
    </cfRule>
    <cfRule type="cellIs" dxfId="454" priority="441" stopIfTrue="1" operator="equal">
      <formula>#REF!</formula>
    </cfRule>
    <cfRule type="cellIs" dxfId="453" priority="442" stopIfTrue="1" operator="equal">
      <formula>#REF!</formula>
    </cfRule>
    <cfRule type="cellIs" dxfId="452" priority="443" stopIfTrue="1" operator="equal">
      <formula>"داخلية"</formula>
    </cfRule>
  </conditionalFormatting>
  <conditionalFormatting sqref="H770">
    <cfRule type="expression" dxfId="451" priority="431" stopIfTrue="1">
      <formula>#REF!=""</formula>
    </cfRule>
  </conditionalFormatting>
  <conditionalFormatting sqref="H772">
    <cfRule type="containsText" dxfId="450" priority="429" stopIfTrue="1" operator="containsText" text="خارجية">
      <formula>NOT(ISERROR(SEARCH("خارجية",H772)))</formula>
    </cfRule>
    <cfRule type="containsText" dxfId="449" priority="430" stopIfTrue="1" operator="containsText" text="خارجي">
      <formula>NOT(ISERROR(SEARCH("خارجي",H772)))</formula>
    </cfRule>
  </conditionalFormatting>
  <conditionalFormatting sqref="H772">
    <cfRule type="containsText" dxfId="448" priority="417" stopIfTrue="1" operator="containsText" text="خارجية">
      <formula>NOT(ISERROR(SEARCH("خارجية",H772)))</formula>
    </cfRule>
    <cfRule type="containsText" dxfId="447" priority="418" stopIfTrue="1" operator="containsText" text="ن داخلية">
      <formula>NOT(ISERROR(SEARCH("ن داخلية",H772)))</formula>
    </cfRule>
    <cfRule type="containsText" dxfId="446" priority="419" stopIfTrue="1" operator="containsText" text="داخلية">
      <formula>NOT(ISERROR(SEARCH("داخلية",H772)))</formula>
    </cfRule>
    <cfRule type="containsText" dxfId="445" priority="420" stopIfTrue="1" operator="containsText" text="ن داخلية">
      <formula>NOT(ISERROR(SEARCH("ن داخلية",H772)))</formula>
    </cfRule>
    <cfRule type="containsText" dxfId="444" priority="421" stopIfTrue="1" operator="containsText" text="داخلية">
      <formula>NOT(ISERROR(SEARCH("داخلية",H772)))</formula>
    </cfRule>
    <cfRule type="cellIs" dxfId="443" priority="422" stopIfTrue="1" operator="equal">
      <formula>"ن داخلي"</formula>
    </cfRule>
    <cfRule type="cellIs" dxfId="442" priority="423" stopIfTrue="1" operator="equal">
      <formula>"ن داخلية"</formula>
    </cfRule>
    <cfRule type="cellIs" dxfId="441" priority="424" stopIfTrue="1" operator="equal">
      <formula>#REF!</formula>
    </cfRule>
    <cfRule type="cellIs" dxfId="440" priority="425" stopIfTrue="1" operator="equal">
      <formula>#REF!</formula>
    </cfRule>
    <cfRule type="cellIs" dxfId="439" priority="426" stopIfTrue="1" operator="equal">
      <formula>#REF!</formula>
    </cfRule>
    <cfRule type="cellIs" dxfId="438" priority="427" stopIfTrue="1" operator="equal">
      <formula>#REF!</formula>
    </cfRule>
    <cfRule type="cellIs" dxfId="437" priority="428" stopIfTrue="1" operator="equal">
      <formula>"داخلية"</formula>
    </cfRule>
  </conditionalFormatting>
  <conditionalFormatting sqref="H772">
    <cfRule type="containsText" dxfId="436" priority="405" stopIfTrue="1" operator="containsText" text="خارجية">
      <formula>NOT(ISERROR(SEARCH("خارجية",H772)))</formula>
    </cfRule>
    <cfRule type="containsText" dxfId="435" priority="406" stopIfTrue="1" operator="containsText" text="ن داخلية">
      <formula>NOT(ISERROR(SEARCH("ن داخلية",H772)))</formula>
    </cfRule>
    <cfRule type="containsText" dxfId="434" priority="407" stopIfTrue="1" operator="containsText" text="داخلية">
      <formula>NOT(ISERROR(SEARCH("داخلية",H772)))</formula>
    </cfRule>
    <cfRule type="containsText" dxfId="433" priority="408" stopIfTrue="1" operator="containsText" text="ن داخلية">
      <formula>NOT(ISERROR(SEARCH("ن داخلية",H772)))</formula>
    </cfRule>
    <cfRule type="containsText" dxfId="432" priority="409" stopIfTrue="1" operator="containsText" text="داخلية">
      <formula>NOT(ISERROR(SEARCH("داخلية",H772)))</formula>
    </cfRule>
    <cfRule type="cellIs" dxfId="431" priority="410" stopIfTrue="1" operator="equal">
      <formula>"ن داخلي"</formula>
    </cfRule>
    <cfRule type="cellIs" dxfId="430" priority="411" stopIfTrue="1" operator="equal">
      <formula>"ن داخلية"</formula>
    </cfRule>
    <cfRule type="cellIs" dxfId="429" priority="412" stopIfTrue="1" operator="equal">
      <formula>#REF!</formula>
    </cfRule>
    <cfRule type="cellIs" dxfId="428" priority="413" stopIfTrue="1" operator="equal">
      <formula>#REF!</formula>
    </cfRule>
    <cfRule type="cellIs" dxfId="427" priority="414" stopIfTrue="1" operator="equal">
      <formula>#REF!</formula>
    </cfRule>
    <cfRule type="cellIs" dxfId="426" priority="415" stopIfTrue="1" operator="equal">
      <formula>#REF!</formula>
    </cfRule>
    <cfRule type="cellIs" dxfId="425" priority="416" stopIfTrue="1" operator="equal">
      <formula>"داخلية"</formula>
    </cfRule>
  </conditionalFormatting>
  <conditionalFormatting sqref="H773">
    <cfRule type="containsText" dxfId="424" priority="403" stopIfTrue="1" operator="containsText" text="خارجية">
      <formula>NOT(ISERROR(SEARCH("خارجية",H773)))</formula>
    </cfRule>
    <cfRule type="containsText" dxfId="423" priority="404" stopIfTrue="1" operator="containsText" text="خارجي">
      <formula>NOT(ISERROR(SEARCH("خارجي",H773)))</formula>
    </cfRule>
  </conditionalFormatting>
  <conditionalFormatting sqref="H773">
    <cfRule type="containsText" dxfId="422" priority="391" stopIfTrue="1" operator="containsText" text="خارجية">
      <formula>NOT(ISERROR(SEARCH("خارجية",H773)))</formula>
    </cfRule>
    <cfRule type="containsText" dxfId="421" priority="392" stopIfTrue="1" operator="containsText" text="ن داخلية">
      <formula>NOT(ISERROR(SEARCH("ن داخلية",H773)))</formula>
    </cfRule>
    <cfRule type="containsText" dxfId="420" priority="393" stopIfTrue="1" operator="containsText" text="داخلية">
      <formula>NOT(ISERROR(SEARCH("داخلية",H773)))</formula>
    </cfRule>
    <cfRule type="containsText" dxfId="419" priority="394" stopIfTrue="1" operator="containsText" text="ن داخلية">
      <formula>NOT(ISERROR(SEARCH("ن داخلية",H773)))</formula>
    </cfRule>
    <cfRule type="containsText" dxfId="418" priority="395" stopIfTrue="1" operator="containsText" text="داخلية">
      <formula>NOT(ISERROR(SEARCH("داخلية",H773)))</formula>
    </cfRule>
    <cfRule type="cellIs" dxfId="417" priority="396" stopIfTrue="1" operator="equal">
      <formula>"ن داخلي"</formula>
    </cfRule>
    <cfRule type="cellIs" dxfId="416" priority="397" stopIfTrue="1" operator="equal">
      <formula>"ن داخلية"</formula>
    </cfRule>
    <cfRule type="cellIs" dxfId="415" priority="398" stopIfTrue="1" operator="equal">
      <formula>#REF!</formula>
    </cfRule>
    <cfRule type="cellIs" dxfId="414" priority="399" stopIfTrue="1" operator="equal">
      <formula>#REF!</formula>
    </cfRule>
    <cfRule type="cellIs" dxfId="413" priority="400" stopIfTrue="1" operator="equal">
      <formula>#REF!</formula>
    </cfRule>
    <cfRule type="cellIs" dxfId="412" priority="401" stopIfTrue="1" operator="equal">
      <formula>#REF!</formula>
    </cfRule>
    <cfRule type="cellIs" dxfId="411" priority="402" stopIfTrue="1" operator="equal">
      <formula>"داخلية"</formula>
    </cfRule>
  </conditionalFormatting>
  <conditionalFormatting sqref="H774">
    <cfRule type="expression" dxfId="410" priority="390" stopIfTrue="1">
      <formula>#REF!=""</formula>
    </cfRule>
  </conditionalFormatting>
  <conditionalFormatting sqref="H774">
    <cfRule type="expression" dxfId="409" priority="389" stopIfTrue="1">
      <formula>#REF!=""</formula>
    </cfRule>
  </conditionalFormatting>
  <conditionalFormatting sqref="H775">
    <cfRule type="containsText" dxfId="408" priority="387" stopIfTrue="1" operator="containsText" text="خارجية">
      <formula>NOT(ISERROR(SEARCH("خارجية",H775)))</formula>
    </cfRule>
    <cfRule type="containsText" dxfId="407" priority="388" stopIfTrue="1" operator="containsText" text="خارجي">
      <formula>NOT(ISERROR(SEARCH("خارجي",H775)))</formula>
    </cfRule>
  </conditionalFormatting>
  <conditionalFormatting sqref="H775">
    <cfRule type="containsText" dxfId="406" priority="375" stopIfTrue="1" operator="containsText" text="خارجية">
      <formula>NOT(ISERROR(SEARCH("خارجية",H775)))</formula>
    </cfRule>
    <cfRule type="containsText" dxfId="405" priority="376" stopIfTrue="1" operator="containsText" text="ن داخلية">
      <formula>NOT(ISERROR(SEARCH("ن داخلية",H775)))</formula>
    </cfRule>
    <cfRule type="containsText" dxfId="404" priority="377" stopIfTrue="1" operator="containsText" text="داخلية">
      <formula>NOT(ISERROR(SEARCH("داخلية",H775)))</formula>
    </cfRule>
    <cfRule type="containsText" dxfId="403" priority="378" stopIfTrue="1" operator="containsText" text="ن داخلية">
      <formula>NOT(ISERROR(SEARCH("ن داخلية",H775)))</formula>
    </cfRule>
    <cfRule type="containsText" dxfId="402" priority="379" stopIfTrue="1" operator="containsText" text="داخلية">
      <formula>NOT(ISERROR(SEARCH("داخلية",H775)))</formula>
    </cfRule>
    <cfRule type="cellIs" dxfId="401" priority="380" stopIfTrue="1" operator="equal">
      <formula>"ن داخلي"</formula>
    </cfRule>
    <cfRule type="cellIs" dxfId="400" priority="381" stopIfTrue="1" operator="equal">
      <formula>"ن داخلية"</formula>
    </cfRule>
    <cfRule type="cellIs" dxfId="399" priority="382" stopIfTrue="1" operator="equal">
      <formula>#REF!</formula>
    </cfRule>
    <cfRule type="cellIs" dxfId="398" priority="383" stopIfTrue="1" operator="equal">
      <formula>#REF!</formula>
    </cfRule>
    <cfRule type="cellIs" dxfId="397" priority="384" stopIfTrue="1" operator="equal">
      <formula>#REF!</formula>
    </cfRule>
    <cfRule type="cellIs" dxfId="396" priority="385" stopIfTrue="1" operator="equal">
      <formula>#REF!</formula>
    </cfRule>
    <cfRule type="cellIs" dxfId="395" priority="386" stopIfTrue="1" operator="equal">
      <formula>"داخلية"</formula>
    </cfRule>
  </conditionalFormatting>
  <conditionalFormatting sqref="H775">
    <cfRule type="containsText" dxfId="394" priority="363" stopIfTrue="1" operator="containsText" text="خارجية">
      <formula>NOT(ISERROR(SEARCH("خارجية",H775)))</formula>
    </cfRule>
    <cfRule type="containsText" dxfId="393" priority="364" stopIfTrue="1" operator="containsText" text="ن داخلية">
      <formula>NOT(ISERROR(SEARCH("ن داخلية",H775)))</formula>
    </cfRule>
    <cfRule type="containsText" dxfId="392" priority="365" stopIfTrue="1" operator="containsText" text="داخلية">
      <formula>NOT(ISERROR(SEARCH("داخلية",H775)))</formula>
    </cfRule>
    <cfRule type="containsText" dxfId="391" priority="366" stopIfTrue="1" operator="containsText" text="ن داخلية">
      <formula>NOT(ISERROR(SEARCH("ن داخلية",H775)))</formula>
    </cfRule>
    <cfRule type="containsText" dxfId="390" priority="367" stopIfTrue="1" operator="containsText" text="داخلية">
      <formula>NOT(ISERROR(SEARCH("داخلية",H775)))</formula>
    </cfRule>
    <cfRule type="cellIs" dxfId="389" priority="368" stopIfTrue="1" operator="equal">
      <formula>"ن داخلي"</formula>
    </cfRule>
    <cfRule type="cellIs" dxfId="388" priority="369" stopIfTrue="1" operator="equal">
      <formula>"ن داخلية"</formula>
    </cfRule>
    <cfRule type="cellIs" dxfId="387" priority="370" stopIfTrue="1" operator="equal">
      <formula>#REF!</formula>
    </cfRule>
    <cfRule type="cellIs" dxfId="386" priority="371" stopIfTrue="1" operator="equal">
      <formula>#REF!</formula>
    </cfRule>
    <cfRule type="cellIs" dxfId="385" priority="372" stopIfTrue="1" operator="equal">
      <formula>#REF!</formula>
    </cfRule>
    <cfRule type="cellIs" dxfId="384" priority="373" stopIfTrue="1" operator="equal">
      <formula>#REF!</formula>
    </cfRule>
    <cfRule type="cellIs" dxfId="383" priority="374" stopIfTrue="1" operator="equal">
      <formula>"داخلية"</formula>
    </cfRule>
  </conditionalFormatting>
  <conditionalFormatting sqref="H776">
    <cfRule type="containsText" dxfId="382" priority="361" stopIfTrue="1" operator="containsText" text="خارجية">
      <formula>NOT(ISERROR(SEARCH("خارجية",H776)))</formula>
    </cfRule>
    <cfRule type="containsText" dxfId="381" priority="362" stopIfTrue="1" operator="containsText" text="خارجي">
      <formula>NOT(ISERROR(SEARCH("خارجي",H776)))</formula>
    </cfRule>
  </conditionalFormatting>
  <conditionalFormatting sqref="H776">
    <cfRule type="containsText" dxfId="380" priority="349" stopIfTrue="1" operator="containsText" text="خارجية">
      <formula>NOT(ISERROR(SEARCH("خارجية",H776)))</formula>
    </cfRule>
    <cfRule type="containsText" dxfId="379" priority="350" stopIfTrue="1" operator="containsText" text="ن داخلية">
      <formula>NOT(ISERROR(SEARCH("ن داخلية",H776)))</formula>
    </cfRule>
    <cfRule type="containsText" dxfId="378" priority="351" stopIfTrue="1" operator="containsText" text="داخلية">
      <formula>NOT(ISERROR(SEARCH("داخلية",H776)))</formula>
    </cfRule>
    <cfRule type="containsText" dxfId="377" priority="352" stopIfTrue="1" operator="containsText" text="ن داخلية">
      <formula>NOT(ISERROR(SEARCH("ن داخلية",H776)))</formula>
    </cfRule>
    <cfRule type="containsText" dxfId="376" priority="353" stopIfTrue="1" operator="containsText" text="داخلية">
      <formula>NOT(ISERROR(SEARCH("داخلية",H776)))</formula>
    </cfRule>
    <cfRule type="cellIs" dxfId="375" priority="354" stopIfTrue="1" operator="equal">
      <formula>"ن داخلي"</formula>
    </cfRule>
    <cfRule type="cellIs" dxfId="374" priority="355" stopIfTrue="1" operator="equal">
      <formula>"ن داخلية"</formula>
    </cfRule>
    <cfRule type="cellIs" dxfId="373" priority="356" stopIfTrue="1" operator="equal">
      <formula>#REF!</formula>
    </cfRule>
    <cfRule type="cellIs" dxfId="372" priority="357" stopIfTrue="1" operator="equal">
      <formula>#REF!</formula>
    </cfRule>
    <cfRule type="cellIs" dxfId="371" priority="358" stopIfTrue="1" operator="equal">
      <formula>#REF!</formula>
    </cfRule>
    <cfRule type="cellIs" dxfId="370" priority="359" stopIfTrue="1" operator="equal">
      <formula>#REF!</formula>
    </cfRule>
    <cfRule type="cellIs" dxfId="369" priority="360" stopIfTrue="1" operator="equal">
      <formula>"داخلية"</formula>
    </cfRule>
  </conditionalFormatting>
  <conditionalFormatting sqref="H297:H300 H283:H295 H280 H713 H607 H276 H715:H716 H760:H764 H219:H220 H187:H188 H667 H580 H585 H724:H731 H311 H305 H669 H619:H620 H582 H587 H653:H657 H313:H322 H568 H570 H539 H528 H537 H440:H441 H484 H501 H429 H415:H416 H394:H395 H369 H326:H339 H530:H531 H518 H513 H515:H516 H520:H525 H488 H486 H503 H495:H498 H467 H431:H434 H377:H378 H443:H449 H451:H465 H413 H405:H411 H397 H385:H392 H371 H720 H418:H423 H349:H364 H346 H309 H237 H278 H274 H235 H117 H622:H624 H626:H629 H632:H633 H641 H733:H744 H750 H752:H753 H755 H758 H438 H510:H511 H242:H256 H258:H259 H262:H269 H766:H929">
    <cfRule type="containsText" dxfId="368" priority="337" stopIfTrue="1" operator="containsText" text="خارجية">
      <formula>NOT(ISERROR(SEARCH("خارجية",H117)))</formula>
    </cfRule>
    <cfRule type="containsText" dxfId="367" priority="338" stopIfTrue="1" operator="containsText" text="ن داخلية">
      <formula>NOT(ISERROR(SEARCH("ن داخلية",H117)))</formula>
    </cfRule>
    <cfRule type="containsText" dxfId="366" priority="339" stopIfTrue="1" operator="containsText" text="داخلية">
      <formula>NOT(ISERROR(SEARCH("داخلية",H117)))</formula>
    </cfRule>
    <cfRule type="containsText" dxfId="365" priority="340" stopIfTrue="1" operator="containsText" text="ن داخلية">
      <formula>NOT(ISERROR(SEARCH("ن داخلية",H117)))</formula>
    </cfRule>
    <cfRule type="containsText" dxfId="364" priority="341" stopIfTrue="1" operator="containsText" text="داخلية">
      <formula>NOT(ISERROR(SEARCH("داخلية",H117)))</formula>
    </cfRule>
    <cfRule type="cellIs" dxfId="363" priority="342" stopIfTrue="1" operator="equal">
      <formula>"ن داخلي"</formula>
    </cfRule>
    <cfRule type="cellIs" dxfId="362" priority="343" stopIfTrue="1" operator="equal">
      <formula>"ن داخلية"</formula>
    </cfRule>
    <cfRule type="cellIs" dxfId="361" priority="344" stopIfTrue="1" operator="equal">
      <formula>#REF!</formula>
    </cfRule>
    <cfRule type="cellIs" dxfId="360" priority="345" stopIfTrue="1" operator="equal">
      <formula>#REF!</formula>
    </cfRule>
    <cfRule type="cellIs" dxfId="359" priority="346" stopIfTrue="1" operator="equal">
      <formula>#REF!</formula>
    </cfRule>
    <cfRule type="cellIs" dxfId="358" priority="347" stopIfTrue="1" operator="equal">
      <formula>#REF!</formula>
    </cfRule>
    <cfRule type="cellIs" dxfId="357" priority="348" stopIfTrue="1" operator="equal">
      <formula>"داخلية"</formula>
    </cfRule>
  </conditionalFormatting>
  <conditionalFormatting sqref="H690:H716 H659:H685 H501 H484 H440:H441 H429 H415:H416 H394:H395 H369 H326:H339 H503 H518 H513 H515:H516 H488 H486 H510:H511 H495:H498 H467 H431:H434 H377:H378 H451:H465 H443:H449 H413 H405:H411 H397 H385:H392 H371 H724:H747 H418:H423 H349:H364 H346 H309 H278 H274 H235 H237 H297:H300 H283:H295 H280 H276 H219:H220 H187:H188 H311 H305 H313:H322 H585:H617 H117 H520:H583 H720 H438 H242:H256 H258:H259 H262:H269 H619:H657 H749:H929">
    <cfRule type="containsText" dxfId="356" priority="335" stopIfTrue="1" operator="containsText" text="خارجية">
      <formula>NOT(ISERROR(SEARCH("خارجية",H117)))</formula>
    </cfRule>
    <cfRule type="containsText" dxfId="355" priority="336" stopIfTrue="1" operator="containsText" text="خارجي">
      <formula>NOT(ISERROR(SEARCH("خارجي",H117)))</formula>
    </cfRule>
  </conditionalFormatting>
  <conditionalFormatting sqref="H361 H359 H246:H247">
    <cfRule type="cellIs" dxfId="354" priority="334" stopIfTrue="1" operator="greaterThan">
      <formula>"9.999"</formula>
    </cfRule>
  </conditionalFormatting>
  <conditionalFormatting sqref="H144 H770">
    <cfRule type="expression" dxfId="353" priority="333" stopIfTrue="1">
      <formula>#REF!=""</formula>
    </cfRule>
  </conditionalFormatting>
  <conditionalFormatting sqref="H144">
    <cfRule type="expression" dxfId="352" priority="332" stopIfTrue="1">
      <formula>#REF!=""</formula>
    </cfRule>
  </conditionalFormatting>
  <conditionalFormatting sqref="H724:H731 H758:H769 H691:H716 H733:H744 H661:H685 H624 H620:H621 H626:H657 H587:H617 H451 H503 H518 H520 H513 H515 H488 H486 H510 H497:H498 H467 H460:H465 H431 H445:H446 H433:H434 H749:H756 H453:H458 H448:H449 H413 H408:H409 H418 H397 H387:H392 H371 H377:H378 H422:H423 H351:H364 H346 H329:H339 H326:H327 H320:H322 H311 H305 H314 H316:H318 H299:H300 H294:H295 H265:H270 H288:H291 H285:H286 H280 H276 H243 H236 H238 H220 H188 H117 H522:H583 H440:H441 H245:H256 H258:H259 H262">
    <cfRule type="containsText" dxfId="351" priority="330" stopIfTrue="1" operator="containsText" text="خارجية">
      <formula>NOT(ISERROR(SEARCH("خارجية",H117)))</formula>
    </cfRule>
    <cfRule type="containsText" dxfId="350" priority="331" stopIfTrue="1" operator="containsText" text="خارجي">
      <formula>NOT(ISERROR(SEARCH("خارجي",H117)))</formula>
    </cfRule>
  </conditionalFormatting>
  <conditionalFormatting sqref="H760:H764 H766:H767 H725:H727 H729:H731 H669 H628:H629 H633 H606 H539 H530:H531 H247 H733:H744 H750 H752:H753 H755 H758">
    <cfRule type="containsText" dxfId="349" priority="318" stopIfTrue="1" operator="containsText" text="خارجية">
      <formula>NOT(ISERROR(SEARCH("خارجية",H247)))</formula>
    </cfRule>
    <cfRule type="containsText" dxfId="348" priority="319" stopIfTrue="1" operator="containsText" text="ن داخلية">
      <formula>NOT(ISERROR(SEARCH("ن داخلية",H247)))</formula>
    </cfRule>
    <cfRule type="containsText" dxfId="347" priority="320" stopIfTrue="1" operator="containsText" text="داخلية">
      <formula>NOT(ISERROR(SEARCH("داخلية",H247)))</formula>
    </cfRule>
    <cfRule type="containsText" dxfId="346" priority="321" stopIfTrue="1" operator="containsText" text="ن داخلية">
      <formula>NOT(ISERROR(SEARCH("ن داخلية",H247)))</formula>
    </cfRule>
    <cfRule type="containsText" dxfId="345" priority="322" stopIfTrue="1" operator="containsText" text="داخلية">
      <formula>NOT(ISERROR(SEARCH("داخلية",H247)))</formula>
    </cfRule>
    <cfRule type="cellIs" dxfId="344" priority="323" stopIfTrue="1" operator="equal">
      <formula>"ن داخلي"</formula>
    </cfRule>
    <cfRule type="cellIs" dxfId="343" priority="324" stopIfTrue="1" operator="equal">
      <formula>"ن داخلية"</formula>
    </cfRule>
    <cfRule type="cellIs" dxfId="342" priority="325" stopIfTrue="1" operator="equal">
      <formula>#REF!</formula>
    </cfRule>
    <cfRule type="cellIs" dxfId="341" priority="326" stopIfTrue="1" operator="equal">
      <formula>#REF!</formula>
    </cfRule>
    <cfRule type="cellIs" dxfId="340" priority="327" stopIfTrue="1" operator="equal">
      <formula>#REF!</formula>
    </cfRule>
    <cfRule type="cellIs" dxfId="339" priority="328" stopIfTrue="1" operator="equal">
      <formula>#REF!</formula>
    </cfRule>
    <cfRule type="cellIs" dxfId="338" priority="329" stopIfTrue="1" operator="equal">
      <formula>"داخلية"</formula>
    </cfRule>
  </conditionalFormatting>
  <conditionalFormatting sqref="H361 H247">
    <cfRule type="cellIs" dxfId="337" priority="317" stopIfTrue="1" operator="greaterThan">
      <formula>"9.999"</formula>
    </cfRule>
  </conditionalFormatting>
  <conditionalFormatting sqref="H188 H716 H733:H737 H117 H725:H727 H729:H731 H669 H628:H629 H624 H620 H655:H657 H633 H582 H587 H570 H539 H530:H531 H518 H520 H513 H515 H522:H525 H510 H488 H486 H503 H497:H498 H467 H460:H465 H431 H433:H434 H445:H446 H220 H453:H458 H448:H449 H451 H413 H408:H409 H418 H397 H387:H392 H371 H377:H378 H422:H423 H351:H364 H346 H329:H339 H326:H327 H320:H322 H311 H305 H314 H316:H318 H299:H300 H294:H295 H238 H288:H291 H285:H286 H280 H276 H243 H236 H265:H270 H440:H441 H245:H256 H258:H259 H262">
    <cfRule type="containsText" dxfId="336" priority="305" stopIfTrue="1" operator="containsText" text="خارجية">
      <formula>NOT(ISERROR(SEARCH("خارجية",H117)))</formula>
    </cfRule>
    <cfRule type="containsText" dxfId="335" priority="306" stopIfTrue="1" operator="containsText" text="ن داخلية">
      <formula>NOT(ISERROR(SEARCH("ن داخلية",H117)))</formula>
    </cfRule>
    <cfRule type="containsText" dxfId="334" priority="307" stopIfTrue="1" operator="containsText" text="داخلية">
      <formula>NOT(ISERROR(SEARCH("داخلية",H117)))</formula>
    </cfRule>
    <cfRule type="containsText" dxfId="333" priority="308" stopIfTrue="1" operator="containsText" text="ن داخلية">
      <formula>NOT(ISERROR(SEARCH("ن داخلية",H117)))</formula>
    </cfRule>
    <cfRule type="containsText" dxfId="332" priority="309" stopIfTrue="1" operator="containsText" text="داخلية">
      <formula>NOT(ISERROR(SEARCH("داخلية",H117)))</formula>
    </cfRule>
    <cfRule type="cellIs" dxfId="331" priority="310" stopIfTrue="1" operator="equal">
      <formula>"ن داخلي"</formula>
    </cfRule>
    <cfRule type="cellIs" dxfId="330" priority="311" stopIfTrue="1" operator="equal">
      <formula>"ن داخلية"</formula>
    </cfRule>
    <cfRule type="cellIs" dxfId="329" priority="312" stopIfTrue="1" operator="equal">
      <formula>#REF!</formula>
    </cfRule>
    <cfRule type="cellIs" dxfId="328" priority="313" stopIfTrue="1" operator="equal">
      <formula>#REF!</formula>
    </cfRule>
    <cfRule type="cellIs" dxfId="327" priority="314" stopIfTrue="1" operator="equal">
      <formula>#REF!</formula>
    </cfRule>
    <cfRule type="cellIs" dxfId="326" priority="315" stopIfTrue="1" operator="equal">
      <formula>#REF!</formula>
    </cfRule>
    <cfRule type="cellIs" dxfId="325" priority="316" stopIfTrue="1" operator="equal">
      <formula>"داخلية"</formula>
    </cfRule>
  </conditionalFormatting>
  <conditionalFormatting sqref="H770">
    <cfRule type="expression" dxfId="324" priority="304" stopIfTrue="1">
      <formula>#REF!=""</formula>
    </cfRule>
  </conditionalFormatting>
  <conditionalFormatting sqref="H772">
    <cfRule type="containsText" dxfId="323" priority="302" stopIfTrue="1" operator="containsText" text="خارجية">
      <formula>NOT(ISERROR(SEARCH("خارجية",H772)))</formula>
    </cfRule>
    <cfRule type="containsText" dxfId="322" priority="303" stopIfTrue="1" operator="containsText" text="خارجي">
      <formula>NOT(ISERROR(SEARCH("خارجي",H772)))</formula>
    </cfRule>
  </conditionalFormatting>
  <conditionalFormatting sqref="H772">
    <cfRule type="containsText" dxfId="321" priority="290" stopIfTrue="1" operator="containsText" text="خارجية">
      <formula>NOT(ISERROR(SEARCH("خارجية",H772)))</formula>
    </cfRule>
    <cfRule type="containsText" dxfId="320" priority="291" stopIfTrue="1" operator="containsText" text="ن داخلية">
      <formula>NOT(ISERROR(SEARCH("ن داخلية",H772)))</formula>
    </cfRule>
    <cfRule type="containsText" dxfId="319" priority="292" stopIfTrue="1" operator="containsText" text="داخلية">
      <formula>NOT(ISERROR(SEARCH("داخلية",H772)))</formula>
    </cfRule>
    <cfRule type="containsText" dxfId="318" priority="293" stopIfTrue="1" operator="containsText" text="ن داخلية">
      <formula>NOT(ISERROR(SEARCH("ن داخلية",H772)))</formula>
    </cfRule>
    <cfRule type="containsText" dxfId="317" priority="294" stopIfTrue="1" operator="containsText" text="داخلية">
      <formula>NOT(ISERROR(SEARCH("داخلية",H772)))</formula>
    </cfRule>
    <cfRule type="cellIs" dxfId="316" priority="295" stopIfTrue="1" operator="equal">
      <formula>"ن داخلي"</formula>
    </cfRule>
    <cfRule type="cellIs" dxfId="315" priority="296" stopIfTrue="1" operator="equal">
      <formula>"ن داخلية"</formula>
    </cfRule>
    <cfRule type="cellIs" dxfId="314" priority="297" stopIfTrue="1" operator="equal">
      <formula>#REF!</formula>
    </cfRule>
    <cfRule type="cellIs" dxfId="313" priority="298" stopIfTrue="1" operator="equal">
      <formula>#REF!</formula>
    </cfRule>
    <cfRule type="cellIs" dxfId="312" priority="299" stopIfTrue="1" operator="equal">
      <formula>#REF!</formula>
    </cfRule>
    <cfRule type="cellIs" dxfId="311" priority="300" stopIfTrue="1" operator="equal">
      <formula>#REF!</formula>
    </cfRule>
    <cfRule type="cellIs" dxfId="310" priority="301" stopIfTrue="1" operator="equal">
      <formula>"داخلية"</formula>
    </cfRule>
  </conditionalFormatting>
  <conditionalFormatting sqref="H772">
    <cfRule type="containsText" dxfId="309" priority="278" stopIfTrue="1" operator="containsText" text="خارجية">
      <formula>NOT(ISERROR(SEARCH("خارجية",H772)))</formula>
    </cfRule>
    <cfRule type="containsText" dxfId="308" priority="279" stopIfTrue="1" operator="containsText" text="ن داخلية">
      <formula>NOT(ISERROR(SEARCH("ن داخلية",H772)))</formula>
    </cfRule>
    <cfRule type="containsText" dxfId="307" priority="280" stopIfTrue="1" operator="containsText" text="داخلية">
      <formula>NOT(ISERROR(SEARCH("داخلية",H772)))</formula>
    </cfRule>
    <cfRule type="containsText" dxfId="306" priority="281" stopIfTrue="1" operator="containsText" text="ن داخلية">
      <formula>NOT(ISERROR(SEARCH("ن داخلية",H772)))</formula>
    </cfRule>
    <cfRule type="containsText" dxfId="305" priority="282" stopIfTrue="1" operator="containsText" text="داخلية">
      <formula>NOT(ISERROR(SEARCH("داخلية",H772)))</formula>
    </cfRule>
    <cfRule type="cellIs" dxfId="304" priority="283" stopIfTrue="1" operator="equal">
      <formula>"ن داخلي"</formula>
    </cfRule>
    <cfRule type="cellIs" dxfId="303" priority="284" stopIfTrue="1" operator="equal">
      <formula>"ن داخلية"</formula>
    </cfRule>
    <cfRule type="cellIs" dxfId="302" priority="285" stopIfTrue="1" operator="equal">
      <formula>#REF!</formula>
    </cfRule>
    <cfRule type="cellIs" dxfId="301" priority="286" stopIfTrue="1" operator="equal">
      <formula>#REF!</formula>
    </cfRule>
    <cfRule type="cellIs" dxfId="300" priority="287" stopIfTrue="1" operator="equal">
      <formula>#REF!</formula>
    </cfRule>
    <cfRule type="cellIs" dxfId="299" priority="288" stopIfTrue="1" operator="equal">
      <formula>#REF!</formula>
    </cfRule>
    <cfRule type="cellIs" dxfId="298" priority="289" stopIfTrue="1" operator="equal">
      <formula>"داخلية"</formula>
    </cfRule>
  </conditionalFormatting>
  <conditionalFormatting sqref="H773">
    <cfRule type="containsText" dxfId="297" priority="276" stopIfTrue="1" operator="containsText" text="خارجية">
      <formula>NOT(ISERROR(SEARCH("خارجية",H773)))</formula>
    </cfRule>
    <cfRule type="containsText" dxfId="296" priority="277" stopIfTrue="1" operator="containsText" text="خارجي">
      <formula>NOT(ISERROR(SEARCH("خارجي",H773)))</formula>
    </cfRule>
  </conditionalFormatting>
  <conditionalFormatting sqref="H773">
    <cfRule type="containsText" dxfId="295" priority="264" stopIfTrue="1" operator="containsText" text="خارجية">
      <formula>NOT(ISERROR(SEARCH("خارجية",H773)))</formula>
    </cfRule>
    <cfRule type="containsText" dxfId="294" priority="265" stopIfTrue="1" operator="containsText" text="ن داخلية">
      <formula>NOT(ISERROR(SEARCH("ن داخلية",H773)))</formula>
    </cfRule>
    <cfRule type="containsText" dxfId="293" priority="266" stopIfTrue="1" operator="containsText" text="داخلية">
      <formula>NOT(ISERROR(SEARCH("داخلية",H773)))</formula>
    </cfRule>
    <cfRule type="containsText" dxfId="292" priority="267" stopIfTrue="1" operator="containsText" text="ن داخلية">
      <formula>NOT(ISERROR(SEARCH("ن داخلية",H773)))</formula>
    </cfRule>
    <cfRule type="containsText" dxfId="291" priority="268" stopIfTrue="1" operator="containsText" text="داخلية">
      <formula>NOT(ISERROR(SEARCH("داخلية",H773)))</formula>
    </cfRule>
    <cfRule type="cellIs" dxfId="290" priority="269" stopIfTrue="1" operator="equal">
      <formula>"ن داخلي"</formula>
    </cfRule>
    <cfRule type="cellIs" dxfId="289" priority="270" stopIfTrue="1" operator="equal">
      <formula>"ن داخلية"</formula>
    </cfRule>
    <cfRule type="cellIs" dxfId="288" priority="271" stopIfTrue="1" operator="equal">
      <formula>#REF!</formula>
    </cfRule>
    <cfRule type="cellIs" dxfId="287" priority="272" stopIfTrue="1" operator="equal">
      <formula>#REF!</formula>
    </cfRule>
    <cfRule type="cellIs" dxfId="286" priority="273" stopIfTrue="1" operator="equal">
      <formula>#REF!</formula>
    </cfRule>
    <cfRule type="cellIs" dxfId="285" priority="274" stopIfTrue="1" operator="equal">
      <formula>#REF!</formula>
    </cfRule>
    <cfRule type="cellIs" dxfId="284" priority="275" stopIfTrue="1" operator="equal">
      <formula>"داخلية"</formula>
    </cfRule>
  </conditionalFormatting>
  <conditionalFormatting sqref="H774">
    <cfRule type="expression" dxfId="283" priority="263" stopIfTrue="1">
      <formula>#REF!=""</formula>
    </cfRule>
  </conditionalFormatting>
  <conditionalFormatting sqref="H774">
    <cfRule type="expression" dxfId="282" priority="262" stopIfTrue="1">
      <formula>#REF!=""</formula>
    </cfRule>
  </conditionalFormatting>
  <conditionalFormatting sqref="H775">
    <cfRule type="containsText" dxfId="281" priority="260" stopIfTrue="1" operator="containsText" text="خارجية">
      <formula>NOT(ISERROR(SEARCH("خارجية",H775)))</formula>
    </cfRule>
    <cfRule type="containsText" dxfId="280" priority="261" stopIfTrue="1" operator="containsText" text="خارجي">
      <formula>NOT(ISERROR(SEARCH("خارجي",H775)))</formula>
    </cfRule>
  </conditionalFormatting>
  <conditionalFormatting sqref="H775">
    <cfRule type="containsText" dxfId="279" priority="248" stopIfTrue="1" operator="containsText" text="خارجية">
      <formula>NOT(ISERROR(SEARCH("خارجية",H775)))</formula>
    </cfRule>
    <cfRule type="containsText" dxfId="278" priority="249" stopIfTrue="1" operator="containsText" text="ن داخلية">
      <formula>NOT(ISERROR(SEARCH("ن داخلية",H775)))</formula>
    </cfRule>
    <cfRule type="containsText" dxfId="277" priority="250" stopIfTrue="1" operator="containsText" text="داخلية">
      <formula>NOT(ISERROR(SEARCH("داخلية",H775)))</formula>
    </cfRule>
    <cfRule type="containsText" dxfId="276" priority="251" stopIfTrue="1" operator="containsText" text="ن داخلية">
      <formula>NOT(ISERROR(SEARCH("ن داخلية",H775)))</formula>
    </cfRule>
    <cfRule type="containsText" dxfId="275" priority="252" stopIfTrue="1" operator="containsText" text="داخلية">
      <formula>NOT(ISERROR(SEARCH("داخلية",H775)))</formula>
    </cfRule>
    <cfRule type="cellIs" dxfId="274" priority="253" stopIfTrue="1" operator="equal">
      <formula>"ن داخلي"</formula>
    </cfRule>
    <cfRule type="cellIs" dxfId="273" priority="254" stopIfTrue="1" operator="equal">
      <formula>"ن داخلية"</formula>
    </cfRule>
    <cfRule type="cellIs" dxfId="272" priority="255" stopIfTrue="1" operator="equal">
      <formula>#REF!</formula>
    </cfRule>
    <cfRule type="cellIs" dxfId="271" priority="256" stopIfTrue="1" operator="equal">
      <formula>#REF!</formula>
    </cfRule>
    <cfRule type="cellIs" dxfId="270" priority="257" stopIfTrue="1" operator="equal">
      <formula>#REF!</formula>
    </cfRule>
    <cfRule type="cellIs" dxfId="269" priority="258" stopIfTrue="1" operator="equal">
      <formula>#REF!</formula>
    </cfRule>
    <cfRule type="cellIs" dxfId="268" priority="259" stopIfTrue="1" operator="equal">
      <formula>"داخلية"</formula>
    </cfRule>
  </conditionalFormatting>
  <conditionalFormatting sqref="H775">
    <cfRule type="containsText" dxfId="267" priority="236" stopIfTrue="1" operator="containsText" text="خارجية">
      <formula>NOT(ISERROR(SEARCH("خارجية",H775)))</formula>
    </cfRule>
    <cfRule type="containsText" dxfId="266" priority="237" stopIfTrue="1" operator="containsText" text="ن داخلية">
      <formula>NOT(ISERROR(SEARCH("ن داخلية",H775)))</formula>
    </cfRule>
    <cfRule type="containsText" dxfId="265" priority="238" stopIfTrue="1" operator="containsText" text="داخلية">
      <formula>NOT(ISERROR(SEARCH("داخلية",H775)))</formula>
    </cfRule>
    <cfRule type="containsText" dxfId="264" priority="239" stopIfTrue="1" operator="containsText" text="ن داخلية">
      <formula>NOT(ISERROR(SEARCH("ن داخلية",H775)))</formula>
    </cfRule>
    <cfRule type="containsText" dxfId="263" priority="240" stopIfTrue="1" operator="containsText" text="داخلية">
      <formula>NOT(ISERROR(SEARCH("داخلية",H775)))</formula>
    </cfRule>
    <cfRule type="cellIs" dxfId="262" priority="241" stopIfTrue="1" operator="equal">
      <formula>"ن داخلي"</formula>
    </cfRule>
    <cfRule type="cellIs" dxfId="261" priority="242" stopIfTrue="1" operator="equal">
      <formula>"ن داخلية"</formula>
    </cfRule>
    <cfRule type="cellIs" dxfId="260" priority="243" stopIfTrue="1" operator="equal">
      <formula>#REF!</formula>
    </cfRule>
    <cfRule type="cellIs" dxfId="259" priority="244" stopIfTrue="1" operator="equal">
      <formula>#REF!</formula>
    </cfRule>
    <cfRule type="cellIs" dxfId="258" priority="245" stopIfTrue="1" operator="equal">
      <formula>#REF!</formula>
    </cfRule>
    <cfRule type="cellIs" dxfId="257" priority="246" stopIfTrue="1" operator="equal">
      <formula>#REF!</formula>
    </cfRule>
    <cfRule type="cellIs" dxfId="256" priority="247" stopIfTrue="1" operator="equal">
      <formula>"داخلية"</formula>
    </cfRule>
  </conditionalFormatting>
  <conditionalFormatting sqref="H776">
    <cfRule type="containsText" dxfId="255" priority="234" stopIfTrue="1" operator="containsText" text="خارجية">
      <formula>NOT(ISERROR(SEARCH("خارجية",H776)))</formula>
    </cfRule>
    <cfRule type="containsText" dxfId="254" priority="235" stopIfTrue="1" operator="containsText" text="خارجي">
      <formula>NOT(ISERROR(SEARCH("خارجي",H776)))</formula>
    </cfRule>
  </conditionalFormatting>
  <conditionalFormatting sqref="H776">
    <cfRule type="containsText" dxfId="253" priority="222" stopIfTrue="1" operator="containsText" text="خارجية">
      <formula>NOT(ISERROR(SEARCH("خارجية",H776)))</formula>
    </cfRule>
    <cfRule type="containsText" dxfId="252" priority="223" stopIfTrue="1" operator="containsText" text="ن داخلية">
      <formula>NOT(ISERROR(SEARCH("ن داخلية",H776)))</formula>
    </cfRule>
    <cfRule type="containsText" dxfId="251" priority="224" stopIfTrue="1" operator="containsText" text="داخلية">
      <formula>NOT(ISERROR(SEARCH("داخلية",H776)))</formula>
    </cfRule>
    <cfRule type="containsText" dxfId="250" priority="225" stopIfTrue="1" operator="containsText" text="ن داخلية">
      <formula>NOT(ISERROR(SEARCH("ن داخلية",H776)))</formula>
    </cfRule>
    <cfRule type="containsText" dxfId="249" priority="226" stopIfTrue="1" operator="containsText" text="داخلية">
      <formula>NOT(ISERROR(SEARCH("داخلية",H776)))</formula>
    </cfRule>
    <cfRule type="cellIs" dxfId="248" priority="227" stopIfTrue="1" operator="equal">
      <formula>"ن داخلي"</formula>
    </cfRule>
    <cfRule type="cellIs" dxfId="247" priority="228" stopIfTrue="1" operator="equal">
      <formula>"ن داخلية"</formula>
    </cfRule>
    <cfRule type="cellIs" dxfId="246" priority="229" stopIfTrue="1" operator="equal">
      <formula>#REF!</formula>
    </cfRule>
    <cfRule type="cellIs" dxfId="245" priority="230" stopIfTrue="1" operator="equal">
      <formula>#REF!</formula>
    </cfRule>
    <cfRule type="cellIs" dxfId="244" priority="231" stopIfTrue="1" operator="equal">
      <formula>#REF!</formula>
    </cfRule>
    <cfRule type="cellIs" dxfId="243" priority="232" stopIfTrue="1" operator="equal">
      <formula>#REF!</formula>
    </cfRule>
    <cfRule type="cellIs" dxfId="242" priority="233" stopIfTrue="1" operator="equal">
      <formula>"داخلية"</formula>
    </cfRule>
  </conditionalFormatting>
  <conditionalFormatting sqref="H456:H457 H517 H513 H464:H466 H459 H405 H641 H262 H581:H583 H314 H571 H454 H438 H461 H497 H591 H557 H535 H619 H607:H609 H626 H251 H268 H243 H246 H166 H623 H330 H265:H266 H145 H135 H416 H418:H419 H422 H444 H449 H452 H577 H596 H598:H601 H605 H617 H431:H434">
    <cfRule type="expression" dxfId="241" priority="221" stopIfTrue="1">
      <formula>#REF!=""</formula>
    </cfRule>
  </conditionalFormatting>
  <conditionalFormatting sqref="H778 H780:H782 H236 H238 H270 H341 H377 H438 H503 H557 H559 H591 H687 H720 H746:H747 H114:H116 H119 H122:H123 H131:H135 H137 H139 H141:H142 H145:H146 H153:H154 H156:H157 H159:H161 H163 H165:H166 H175 H178 H180:H182 H187:H188 H190:H191 H194 H196 H198 H206:H207 H209:H210 H213:H216 H222:H225 H227:H228 H231 H233 H243 H246 H249 H251 H253 H255:H256 H258:H259 H262 H265:H266 H268 H273:H274 H278:H280 H287:H288 H290:H295 H299 H305:H307 H309 H313:H317 H319 H321 H326:H327 H330:H334 H336 H339 H347 H349:H350 H354:H356 H363:H364 H367 H370:H371 H379:H381 H383:H387 H389 H391 H393:H395 H405:H406 H409 H412:H414 H416 H418:H419 H422 H431:H434 H444 H449 H452 H454 H456:H457 H459 H461 H464:H467 H476:H477 H482 H484 H486 H491 H493 H495 H497 H499:H500 H509:H511 H513 H516:H517 H520 H523 H531 H535 H538:H539 H546 H548:H550 H562:H563 H568 H581:H583 H596 H598:H601 H605 H607:H609 H613 H617 H619 H622:H623 H626 H629 H632 H641 H644:H645 H647:H650 H654:H655 H659:H660 H664:H667 H670:H671 H674:H675 H680:H682 H685 H690:H694 H698:H699 H701 H704 H706 H708 H710:H713 H715:H716 H725 H728 H730:H733 H738:H740 H750 H752:H753 H755 H758 H760:H764 H766:H767 H771:H773 H743:H744 H775:H776 H571:H578 H585:H587">
    <cfRule type="containsText" dxfId="240" priority="209" stopIfTrue="1" operator="containsText" text="خارجية">
      <formula>NOT(ISERROR(SEARCH("خارجية",H114)))</formula>
    </cfRule>
    <cfRule type="containsText" dxfId="239" priority="210" stopIfTrue="1" operator="containsText" text="ن داخلية">
      <formula>NOT(ISERROR(SEARCH("ن داخلية",H114)))</formula>
    </cfRule>
    <cfRule type="containsText" dxfId="238" priority="211" stopIfTrue="1" operator="containsText" text="داخلية">
      <formula>NOT(ISERROR(SEARCH("داخلية",H114)))</formula>
    </cfRule>
    <cfRule type="containsText" dxfId="237" priority="212" stopIfTrue="1" operator="containsText" text="ن داخلية">
      <formula>NOT(ISERROR(SEARCH("ن داخلية",H114)))</formula>
    </cfRule>
    <cfRule type="containsText" dxfId="236" priority="213" stopIfTrue="1" operator="containsText" text="داخلية">
      <formula>NOT(ISERROR(SEARCH("داخلية",H114)))</formula>
    </cfRule>
    <cfRule type="cellIs" dxfId="235" priority="214" stopIfTrue="1" operator="equal">
      <formula>"ن داخلي"</formula>
    </cfRule>
    <cfRule type="cellIs" dxfId="234" priority="215" stopIfTrue="1" operator="equal">
      <formula>"ن داخلية"</formula>
    </cfRule>
    <cfRule type="cellIs" dxfId="233" priority="216" stopIfTrue="1" operator="equal">
      <formula>#REF!</formula>
    </cfRule>
    <cfRule type="cellIs" dxfId="232" priority="217" stopIfTrue="1" operator="equal">
      <formula>#REF!</formula>
    </cfRule>
    <cfRule type="cellIs" dxfId="231" priority="218" stopIfTrue="1" operator="equal">
      <formula>#REF!</formula>
    </cfRule>
    <cfRule type="cellIs" dxfId="230" priority="219" stopIfTrue="1" operator="equal">
      <formula>#REF!</formula>
    </cfRule>
    <cfRule type="cellIs" dxfId="229" priority="220" stopIfTrue="1" operator="equal">
      <formula>"داخلية"</formula>
    </cfRule>
  </conditionalFormatting>
  <conditionalFormatting sqref="H422 H225 H649 H253 H780 H363 H641 H775:H776 H919 H206 H198 H202 H265 H200 H192 H196">
    <cfRule type="cellIs" dxfId="228" priority="208" stopIfTrue="1" operator="greaterThan">
      <formula>"9.999"</formula>
    </cfRule>
  </conditionalFormatting>
  <conditionalFormatting sqref="H862:H998 H828 H834:H860 H112:H826">
    <cfRule type="containsText" dxfId="227" priority="206" stopIfTrue="1" operator="containsText" text="خارجية">
      <formula>NOT(ISERROR(SEARCH("خارجية",H112)))</formula>
    </cfRule>
    <cfRule type="containsText" dxfId="226" priority="207" stopIfTrue="1" operator="containsText" text="خارجي">
      <formula>NOT(ISERROR(SEARCH("خارجي",H112)))</formula>
    </cfRule>
  </conditionalFormatting>
  <conditionalFormatting sqref="H132 H145:H146 H139 H134:H135 H137 H153:H154 H156:H157 H159:H161 H163 H175 H178 H180:H182 H187:H188 H190:H191 H194 H196 H165:H166 H206:H207 H209:H210 H213:H216 H222:H225 H227:H228 H231 H233 H198 H236 H238 H270 H341 H377 H433:H434 H438 H503 H509:H510 H557 H559 H591 H687 H690:H691 H720 H746:H747 H771:H773 H775:H776">
    <cfRule type="expression" dxfId="225" priority="205" stopIfTrue="1">
      <formula>#REF!=""</formula>
    </cfRule>
  </conditionalFormatting>
  <conditionalFormatting sqref="H146 H148 H154:H156">
    <cfRule type="expression" dxfId="224" priority="204" stopIfTrue="1">
      <formula>#REF!=""</formula>
    </cfRule>
  </conditionalFormatting>
  <conditionalFormatting sqref="H919 H754:H755 H757:H759 H761:H762 H788:H789 H791:H793 H795:H810 H736:H737 H697:H698 H712 H581 H563:H566 H532:H533 H535:H537 H539:H548 H550:H551 H503 H489 H456 H431 H452:H453 H360 H353 H151 H187 H172 H130 H265 H244 H178 H671 H706 H744">
    <cfRule type="containsText" dxfId="223" priority="192" stopIfTrue="1" operator="containsText" text="خارجية">
      <formula>NOT(ISERROR(SEARCH("خارجية",H130)))</formula>
    </cfRule>
    <cfRule type="containsText" dxfId="222" priority="193" stopIfTrue="1" operator="containsText" text="ن داخلية">
      <formula>NOT(ISERROR(SEARCH("ن داخلية",H130)))</formula>
    </cfRule>
    <cfRule type="containsText" dxfId="221" priority="194" stopIfTrue="1" operator="containsText" text="داخلية">
      <formula>NOT(ISERROR(SEARCH("داخلية",H130)))</formula>
    </cfRule>
    <cfRule type="containsText" dxfId="220" priority="195" stopIfTrue="1" operator="containsText" text="ن داخلية">
      <formula>NOT(ISERROR(SEARCH("ن داخلية",H130)))</formula>
    </cfRule>
    <cfRule type="containsText" dxfId="219" priority="196" stopIfTrue="1" operator="containsText" text="داخلية">
      <formula>NOT(ISERROR(SEARCH("داخلية",H130)))</formula>
    </cfRule>
    <cfRule type="cellIs" dxfId="218" priority="197" stopIfTrue="1" operator="equal">
      <formula>"ن داخلي"</formula>
    </cfRule>
    <cfRule type="cellIs" dxfId="217" priority="198" stopIfTrue="1" operator="equal">
      <formula>"ن داخلية"</formula>
    </cfRule>
    <cfRule type="cellIs" dxfId="216" priority="199" stopIfTrue="1" operator="equal">
      <formula>#REF!</formula>
    </cfRule>
    <cfRule type="cellIs" dxfId="215" priority="200" stopIfTrue="1" operator="equal">
      <formula>#REF!</formula>
    </cfRule>
    <cfRule type="cellIs" dxfId="214" priority="201" stopIfTrue="1" operator="equal">
      <formula>#REF!</formula>
    </cfRule>
    <cfRule type="cellIs" dxfId="213" priority="202" stopIfTrue="1" operator="equal">
      <formula>#REF!</formula>
    </cfRule>
    <cfRule type="cellIs" dxfId="212" priority="203" stopIfTrue="1" operator="equal">
      <formula>"داخلية"</formula>
    </cfRule>
  </conditionalFormatting>
  <conditionalFormatting sqref="H862:H998 H834:H860 H749:H815 H112:H151 H153:H423 H425:H486 H488:H489 H491:H514 H516:H744">
    <cfRule type="containsText" dxfId="211" priority="180" stopIfTrue="1" operator="containsText" text="خارجية">
      <formula>NOT(ISERROR(SEARCH("خارجية",H112)))</formula>
    </cfRule>
    <cfRule type="containsText" dxfId="210" priority="181" stopIfTrue="1" operator="containsText" text="ن داخلية">
      <formula>NOT(ISERROR(SEARCH("ن داخلية",H112)))</formula>
    </cfRule>
    <cfRule type="containsText" dxfId="209" priority="182" stopIfTrue="1" operator="containsText" text="داخلية">
      <formula>NOT(ISERROR(SEARCH("داخلية",H112)))</formula>
    </cfRule>
    <cfRule type="containsText" dxfId="208" priority="183" stopIfTrue="1" operator="containsText" text="ن داخلية">
      <formula>NOT(ISERROR(SEARCH("ن داخلية",H112)))</formula>
    </cfRule>
    <cfRule type="containsText" dxfId="207" priority="184" stopIfTrue="1" operator="containsText" text="داخلية">
      <formula>NOT(ISERROR(SEARCH("داخلية",H112)))</formula>
    </cfRule>
    <cfRule type="cellIs" dxfId="206" priority="185" stopIfTrue="1" operator="equal">
      <formula>"ن داخلي"</formula>
    </cfRule>
    <cfRule type="cellIs" dxfId="205" priority="186" stopIfTrue="1" operator="equal">
      <formula>"ن داخلية"</formula>
    </cfRule>
    <cfRule type="cellIs" dxfId="204" priority="187" stopIfTrue="1" operator="equal">
      <formula>#REF!</formula>
    </cfRule>
    <cfRule type="cellIs" dxfId="203" priority="188" stopIfTrue="1" operator="equal">
      <formula>#REF!</formula>
    </cfRule>
    <cfRule type="cellIs" dxfId="202" priority="189" stopIfTrue="1" operator="equal">
      <formula>#REF!</formula>
    </cfRule>
    <cfRule type="cellIs" dxfId="201" priority="190" stopIfTrue="1" operator="equal">
      <formula>#REF!</formula>
    </cfRule>
    <cfRule type="cellIs" dxfId="200" priority="191" stopIfTrue="1" operator="equal">
      <formula>"داخلية"</formula>
    </cfRule>
  </conditionalFormatting>
  <conditionalFormatting sqref="H640 H618 H625 H622 H616 H456:H457 H517 H513 H464:H466 H459 H405 H262 H581:H583 H314 H571 H454 H438 H461 H497 H591 H557 H535 H607:H609 H251 H268 H243 H246 H166 H330 H265:H266 H145 H135 H416 H418:H419 H422 H444 H449 H452 H577 H596 H598:H601 H605 H431:H434">
    <cfRule type="expression" dxfId="199" priority="179" stopIfTrue="1">
      <formula>#REF!=""</formula>
    </cfRule>
  </conditionalFormatting>
  <conditionalFormatting sqref="H745:H746 H628 H705 H707 H488:H489 H784:H814 H112:H151 H153:H423 H425:H486 H491:H514 H516:H625 H631:H666 H669:H703 H709:H743 H748:H781">
    <cfRule type="containsText" dxfId="198" priority="167" stopIfTrue="1" operator="containsText" text="خارجية">
      <formula>NOT(ISERROR(SEARCH("خارجية",H112)))</formula>
    </cfRule>
    <cfRule type="containsText" dxfId="197" priority="168" stopIfTrue="1" operator="containsText" text="ن داخلية">
      <formula>NOT(ISERROR(SEARCH("ن داخلية",H112)))</formula>
    </cfRule>
    <cfRule type="containsText" dxfId="196" priority="169" stopIfTrue="1" operator="containsText" text="داخلية">
      <formula>NOT(ISERROR(SEARCH("داخلية",H112)))</formula>
    </cfRule>
    <cfRule type="containsText" dxfId="195" priority="170" stopIfTrue="1" operator="containsText" text="ن داخلية">
      <formula>NOT(ISERROR(SEARCH("ن داخلية",H112)))</formula>
    </cfRule>
    <cfRule type="containsText" dxfId="194" priority="171" stopIfTrue="1" operator="containsText" text="داخلية">
      <formula>NOT(ISERROR(SEARCH("داخلية",H112)))</formula>
    </cfRule>
    <cfRule type="cellIs" dxfId="193" priority="172" stopIfTrue="1" operator="equal">
      <formula>"ن داخلي"</formula>
    </cfRule>
    <cfRule type="cellIs" dxfId="192" priority="173" stopIfTrue="1" operator="equal">
      <formula>"ن داخلية"</formula>
    </cfRule>
    <cfRule type="cellIs" dxfId="191" priority="174" stopIfTrue="1" operator="equal">
      <formula>#REF!</formula>
    </cfRule>
    <cfRule type="cellIs" dxfId="190" priority="175" stopIfTrue="1" operator="equal">
      <formula>#REF!</formula>
    </cfRule>
    <cfRule type="cellIs" dxfId="189" priority="176" stopIfTrue="1" operator="equal">
      <formula>#REF!</formula>
    </cfRule>
    <cfRule type="cellIs" dxfId="188" priority="177" stopIfTrue="1" operator="equal">
      <formula>#REF!</formula>
    </cfRule>
    <cfRule type="cellIs" dxfId="187" priority="178" stopIfTrue="1" operator="equal">
      <formula>"داخلية"</formula>
    </cfRule>
  </conditionalFormatting>
  <conditionalFormatting sqref="H648 H779 H640 H774:H775 H918 H422 H225 H253 H363 H206 H198 H202 H265 H200 H192 H196">
    <cfRule type="cellIs" dxfId="186" priority="166" stopIfTrue="1" operator="greaterThan">
      <formula>"9.999"</formula>
    </cfRule>
  </conditionalFormatting>
  <conditionalFormatting sqref="H861:H998 H827 H833:H859 H112:H825">
    <cfRule type="containsText" dxfId="185" priority="164" stopIfTrue="1" operator="containsText" text="خارجية">
      <formula>NOT(ISERROR(SEARCH("خارجية",H112)))</formula>
    </cfRule>
    <cfRule type="containsText" dxfId="184" priority="165" stopIfTrue="1" operator="containsText" text="خارجي">
      <formula>NOT(ISERROR(SEARCH("خارجي",H112)))</formula>
    </cfRule>
  </conditionalFormatting>
  <conditionalFormatting sqref="H686 H689:H690 H719 H745:H746 H770:H772 H774:H775 H132 H139 H134:H135 H137 H159:H161 H163 H175 H178 H180:H182 H187:H188 H190:H191 H194 H196 H165:H166 H206:H207 H209:H210 H213:H216 H222:H225 H227:H228 H231 H233 H198 H236 H238 H270 H341 H377 H433:H434 H438 H503 H509:H510 H557 H559 H591 H145:H146 H148 H153:H157">
    <cfRule type="expression" dxfId="183" priority="163" stopIfTrue="1">
      <formula>#REF!=""</formula>
    </cfRule>
  </conditionalFormatting>
  <conditionalFormatting sqref="H918 H753:H754 H756:H758 H760:H761 H787:H788 H790:H792 H794:H809 H735:H736 H696:H697 H711 H670 H705 H743">
    <cfRule type="containsText" dxfId="182" priority="151" stopIfTrue="1" operator="containsText" text="خارجية">
      <formula>NOT(ISERROR(SEARCH("خارجية",H670)))</formula>
    </cfRule>
    <cfRule type="containsText" dxfId="181" priority="152" stopIfTrue="1" operator="containsText" text="ن داخلية">
      <formula>NOT(ISERROR(SEARCH("ن داخلية",H670)))</formula>
    </cfRule>
    <cfRule type="containsText" dxfId="180" priority="153" stopIfTrue="1" operator="containsText" text="داخلية">
      <formula>NOT(ISERROR(SEARCH("داخلية",H670)))</formula>
    </cfRule>
    <cfRule type="containsText" dxfId="179" priority="154" stopIfTrue="1" operator="containsText" text="ن داخلية">
      <formula>NOT(ISERROR(SEARCH("ن داخلية",H670)))</formula>
    </cfRule>
    <cfRule type="containsText" dxfId="178" priority="155" stopIfTrue="1" operator="containsText" text="داخلية">
      <formula>NOT(ISERROR(SEARCH("داخلية",H670)))</formula>
    </cfRule>
    <cfRule type="cellIs" dxfId="177" priority="156" stopIfTrue="1" operator="equal">
      <formula>"ن داخلي"</formula>
    </cfRule>
    <cfRule type="cellIs" dxfId="176" priority="157" stopIfTrue="1" operator="equal">
      <formula>"ن داخلية"</formula>
    </cfRule>
    <cfRule type="cellIs" dxfId="175" priority="158" stopIfTrue="1" operator="equal">
      <formula>#REF!</formula>
    </cfRule>
    <cfRule type="cellIs" dxfId="174" priority="159" stopIfTrue="1" operator="equal">
      <formula>#REF!</formula>
    </cfRule>
    <cfRule type="cellIs" dxfId="173" priority="160" stopIfTrue="1" operator="equal">
      <formula>#REF!</formula>
    </cfRule>
    <cfRule type="cellIs" dxfId="172" priority="161" stopIfTrue="1" operator="equal">
      <formula>#REF!</formula>
    </cfRule>
    <cfRule type="cellIs" dxfId="171" priority="162" stopIfTrue="1" operator="equal">
      <formula>"داخلية"</formula>
    </cfRule>
  </conditionalFormatting>
  <conditionalFormatting sqref="H861:H998 H833:H859 H748:H814 H611:H743">
    <cfRule type="containsText" dxfId="170" priority="139" stopIfTrue="1" operator="containsText" text="خارجية">
      <formula>NOT(ISERROR(SEARCH("خارجية",H611)))</formula>
    </cfRule>
    <cfRule type="containsText" dxfId="169" priority="140" stopIfTrue="1" operator="containsText" text="ن داخلية">
      <formula>NOT(ISERROR(SEARCH("ن داخلية",H611)))</formula>
    </cfRule>
    <cfRule type="containsText" dxfId="168" priority="141" stopIfTrue="1" operator="containsText" text="داخلية">
      <formula>NOT(ISERROR(SEARCH("داخلية",H611)))</formula>
    </cfRule>
    <cfRule type="containsText" dxfId="167" priority="142" stopIfTrue="1" operator="containsText" text="ن داخلية">
      <formula>NOT(ISERROR(SEARCH("ن داخلية",H611)))</formula>
    </cfRule>
    <cfRule type="containsText" dxfId="166" priority="143" stopIfTrue="1" operator="containsText" text="داخلية">
      <formula>NOT(ISERROR(SEARCH("داخلية",H611)))</formula>
    </cfRule>
    <cfRule type="cellIs" dxfId="165" priority="144" stopIfTrue="1" operator="equal">
      <formula>"ن داخلي"</formula>
    </cfRule>
    <cfRule type="cellIs" dxfId="164" priority="145" stopIfTrue="1" operator="equal">
      <formula>"ن داخلية"</formula>
    </cfRule>
    <cfRule type="cellIs" dxfId="163" priority="146" stopIfTrue="1" operator="equal">
      <formula>#REF!</formula>
    </cfRule>
    <cfRule type="cellIs" dxfId="162" priority="147" stopIfTrue="1" operator="equal">
      <formula>#REF!</formula>
    </cfRule>
    <cfRule type="cellIs" dxfId="161" priority="148" stopIfTrue="1" operator="equal">
      <formula>#REF!</formula>
    </cfRule>
    <cfRule type="cellIs" dxfId="160" priority="149" stopIfTrue="1" operator="equal">
      <formula>#REF!</formula>
    </cfRule>
    <cfRule type="cellIs" dxfId="159" priority="150" stopIfTrue="1" operator="equal">
      <formula>"داخلية"</formula>
    </cfRule>
  </conditionalFormatting>
  <conditionalFormatting sqref="H641 H619 H626 H623 H617 H457:H458 H518 H514 H465:H467 H460 H406 H263 H582:H584 H315 H572 H455 H439 H462 H498 H592 H558 H536 H608:H610 H252 H269 H244 H247 H167 H331 H266:H267 H146 H136 H417 H419:H420 H423 H445 H450 H453 H578 H597 H599:H602 H606 H432:H435">
    <cfRule type="expression" dxfId="158" priority="138" stopIfTrue="1">
      <formula>#REF!=""</formula>
    </cfRule>
  </conditionalFormatting>
  <conditionalFormatting sqref="H113:H152 H154:H487 H489:H490 H492:H515 H517:H815">
    <cfRule type="containsText" dxfId="157" priority="126" stopIfTrue="1" operator="containsText" text="خارجية">
      <formula>NOT(ISERROR(SEARCH("خارجية",H113)))</formula>
    </cfRule>
    <cfRule type="containsText" dxfId="156" priority="127" stopIfTrue="1" operator="containsText" text="ن داخلية">
      <formula>NOT(ISERROR(SEARCH("ن داخلية",H113)))</formula>
    </cfRule>
    <cfRule type="containsText" dxfId="155" priority="128" stopIfTrue="1" operator="containsText" text="داخلية">
      <formula>NOT(ISERROR(SEARCH("داخلية",H113)))</formula>
    </cfRule>
    <cfRule type="containsText" dxfId="154" priority="129" stopIfTrue="1" operator="containsText" text="ن داخلية">
      <formula>NOT(ISERROR(SEARCH("ن داخلية",H113)))</formula>
    </cfRule>
    <cfRule type="containsText" dxfId="153" priority="130" stopIfTrue="1" operator="containsText" text="داخلية">
      <formula>NOT(ISERROR(SEARCH("داخلية",H113)))</formula>
    </cfRule>
    <cfRule type="cellIs" dxfId="152" priority="131" stopIfTrue="1" operator="equal">
      <formula>"ن داخلي"</formula>
    </cfRule>
    <cfRule type="cellIs" dxfId="151" priority="132" stopIfTrue="1" operator="equal">
      <formula>"ن داخلية"</formula>
    </cfRule>
    <cfRule type="cellIs" dxfId="150" priority="133" stopIfTrue="1" operator="equal">
      <formula>#REF!</formula>
    </cfRule>
    <cfRule type="cellIs" dxfId="149" priority="134" stopIfTrue="1" operator="equal">
      <formula>#REF!</formula>
    </cfRule>
    <cfRule type="cellIs" dxfId="148" priority="135" stopIfTrue="1" operator="equal">
      <formula>#REF!</formula>
    </cfRule>
    <cfRule type="cellIs" dxfId="147" priority="136" stopIfTrue="1" operator="equal">
      <formula>#REF!</formula>
    </cfRule>
    <cfRule type="cellIs" dxfId="146" priority="137" stopIfTrue="1" operator="equal">
      <formula>"داخلية"</formula>
    </cfRule>
  </conditionalFormatting>
  <conditionalFormatting sqref="H649 H780 H641 H775:H776 H919 H423 H226 H254 H364 H207 H199 H203 H266 H201 H193 H197">
    <cfRule type="cellIs" dxfId="145" priority="125" stopIfTrue="1" operator="greaterThan">
      <formula>"9.999"</formula>
    </cfRule>
  </conditionalFormatting>
  <conditionalFormatting sqref="H862:H998 H828 H834:H860 H113:H826">
    <cfRule type="containsText" dxfId="144" priority="123" stopIfTrue="1" operator="containsText" text="خارجية">
      <formula>NOT(ISERROR(SEARCH("خارجية",H113)))</formula>
    </cfRule>
    <cfRule type="containsText" dxfId="143" priority="124" stopIfTrue="1" operator="containsText" text="خارجي">
      <formula>NOT(ISERROR(SEARCH("خارجي",H113)))</formula>
    </cfRule>
  </conditionalFormatting>
  <conditionalFormatting sqref="H687 H690:H691 H720 H746:H747 H771:H773 H775:H776 H133 H140 H135:H136 H138 H160:H162 H164 H176 H179 H181:H183 H188:H189 H191:H192 H195 H197 H166:H167 H207:H208 H210:H211 H214:H217 H223:H226 H228:H229 H232 H234 H199 H237 H239 H271 H342 H378 H434:H435 H439 H504 H510:H511 H558 H560 H592 H146:H147 H149 H154:H158">
    <cfRule type="expression" dxfId="142" priority="122" stopIfTrue="1">
      <formula>#REF!=""</formula>
    </cfRule>
  </conditionalFormatting>
  <conditionalFormatting sqref="H919 H754:H755 H757:H759 H761:H762 H788:H789 H791:H793 H795:H810 H736:H737 H697:H698 H712 H671 H706 H744">
    <cfRule type="containsText" dxfId="141" priority="110" stopIfTrue="1" operator="containsText" text="خارجية">
      <formula>NOT(ISERROR(SEARCH("خارجية",H671)))</formula>
    </cfRule>
    <cfRule type="containsText" dxfId="140" priority="111" stopIfTrue="1" operator="containsText" text="ن داخلية">
      <formula>NOT(ISERROR(SEARCH("ن داخلية",H671)))</formula>
    </cfRule>
    <cfRule type="containsText" dxfId="139" priority="112" stopIfTrue="1" operator="containsText" text="داخلية">
      <formula>NOT(ISERROR(SEARCH("داخلية",H671)))</formula>
    </cfRule>
    <cfRule type="containsText" dxfId="138" priority="113" stopIfTrue="1" operator="containsText" text="ن داخلية">
      <formula>NOT(ISERROR(SEARCH("ن داخلية",H671)))</formula>
    </cfRule>
    <cfRule type="containsText" dxfId="137" priority="114" stopIfTrue="1" operator="containsText" text="داخلية">
      <formula>NOT(ISERROR(SEARCH("داخلية",H671)))</formula>
    </cfRule>
    <cfRule type="cellIs" dxfId="136" priority="115" stopIfTrue="1" operator="equal">
      <formula>"ن داخلي"</formula>
    </cfRule>
    <cfRule type="cellIs" dxfId="135" priority="116" stopIfTrue="1" operator="equal">
      <formula>"ن داخلية"</formula>
    </cfRule>
    <cfRule type="cellIs" dxfId="134" priority="117" stopIfTrue="1" operator="equal">
      <formula>#REF!</formula>
    </cfRule>
    <cfRule type="cellIs" dxfId="133" priority="118" stopIfTrue="1" operator="equal">
      <formula>#REF!</formula>
    </cfRule>
    <cfRule type="cellIs" dxfId="132" priority="119" stopIfTrue="1" operator="equal">
      <formula>#REF!</formula>
    </cfRule>
    <cfRule type="cellIs" dxfId="131" priority="120" stopIfTrue="1" operator="equal">
      <formula>#REF!</formula>
    </cfRule>
    <cfRule type="cellIs" dxfId="130" priority="121" stopIfTrue="1" operator="equal">
      <formula>"داخلية"</formula>
    </cfRule>
  </conditionalFormatting>
  <conditionalFormatting sqref="H862:H998 H834:H860 H749:H815 H612:H744">
    <cfRule type="containsText" dxfId="129" priority="98" stopIfTrue="1" operator="containsText" text="خارجية">
      <formula>NOT(ISERROR(SEARCH("خارجية",H612)))</formula>
    </cfRule>
    <cfRule type="containsText" dxfId="128" priority="99" stopIfTrue="1" operator="containsText" text="ن داخلية">
      <formula>NOT(ISERROR(SEARCH("ن داخلية",H612)))</formula>
    </cfRule>
    <cfRule type="containsText" dxfId="127" priority="100" stopIfTrue="1" operator="containsText" text="داخلية">
      <formula>NOT(ISERROR(SEARCH("داخلية",H612)))</formula>
    </cfRule>
    <cfRule type="containsText" dxfId="126" priority="101" stopIfTrue="1" operator="containsText" text="ن داخلية">
      <formula>NOT(ISERROR(SEARCH("ن داخلية",H612)))</formula>
    </cfRule>
    <cfRule type="containsText" dxfId="125" priority="102" stopIfTrue="1" operator="containsText" text="داخلية">
      <formula>NOT(ISERROR(SEARCH("داخلية",H612)))</formula>
    </cfRule>
    <cfRule type="cellIs" dxfId="124" priority="103" stopIfTrue="1" operator="equal">
      <formula>"ن داخلي"</formula>
    </cfRule>
    <cfRule type="cellIs" dxfId="123" priority="104" stopIfTrue="1" operator="equal">
      <formula>"ن داخلية"</formula>
    </cfRule>
    <cfRule type="cellIs" dxfId="122" priority="105" stopIfTrue="1" operator="equal">
      <formula>#REF!</formula>
    </cfRule>
    <cfRule type="cellIs" dxfId="121" priority="106" stopIfTrue="1" operator="equal">
      <formula>#REF!</formula>
    </cfRule>
    <cfRule type="cellIs" dxfId="120" priority="107" stopIfTrue="1" operator="equal">
      <formula>#REF!</formula>
    </cfRule>
    <cfRule type="cellIs" dxfId="119" priority="108" stopIfTrue="1" operator="equal">
      <formula>#REF!</formula>
    </cfRule>
    <cfRule type="cellIs" dxfId="118" priority="109" stopIfTrue="1" operator="equal">
      <formula>"داخلية"</formula>
    </cfRule>
  </conditionalFormatting>
  <conditionalFormatting sqref="H147 H149 H155:H157">
    <cfRule type="expression" dxfId="117" priority="97" stopIfTrue="1">
      <formula>#REF!=""</formula>
    </cfRule>
  </conditionalFormatting>
  <conditionalFormatting sqref="H862:H998 H828 H834:H860 H113:H826">
    <cfRule type="containsText" dxfId="116" priority="95" stopIfTrue="1" operator="containsText" text="خارجية">
      <formula>NOT(ISERROR(SEARCH("خارجية",H113)))</formula>
    </cfRule>
    <cfRule type="containsText" dxfId="115" priority="96" stopIfTrue="1" operator="containsText" text="خارجي">
      <formula>NOT(ISERROR(SEARCH("خارجي",H113)))</formula>
    </cfRule>
  </conditionalFormatting>
  <conditionalFormatting sqref="H919 H754:H755 H757:H759 H761:H762 H788:H789 H791:H793 H795:H810 H735:H736 H697:H698 H712 H582 H457 H432 H453:H454 H564:H567 H533:H534 H536:H538 H540:H549 H551:H552 H504 H490 H361 H354 H267 H245 H131 H180 H152 H173">
    <cfRule type="containsText" dxfId="114" priority="83" stopIfTrue="1" operator="containsText" text="خارجية">
      <formula>NOT(ISERROR(SEARCH("خارجية",H131)))</formula>
    </cfRule>
    <cfRule type="containsText" dxfId="113" priority="84" stopIfTrue="1" operator="containsText" text="ن داخلية">
      <formula>NOT(ISERROR(SEARCH("ن داخلية",H131)))</formula>
    </cfRule>
    <cfRule type="containsText" dxfId="112" priority="85" stopIfTrue="1" operator="containsText" text="داخلية">
      <formula>NOT(ISERROR(SEARCH("داخلية",H131)))</formula>
    </cfRule>
    <cfRule type="containsText" dxfId="111" priority="86" stopIfTrue="1" operator="containsText" text="ن داخلية">
      <formula>NOT(ISERROR(SEARCH("ن داخلية",H131)))</formula>
    </cfRule>
    <cfRule type="containsText" dxfId="110" priority="87" stopIfTrue="1" operator="containsText" text="داخلية">
      <formula>NOT(ISERROR(SEARCH("داخلية",H131)))</formula>
    </cfRule>
    <cfRule type="cellIs" dxfId="109" priority="88" stopIfTrue="1" operator="equal">
      <formula>"ن داخلي"</formula>
    </cfRule>
    <cfRule type="cellIs" dxfId="108" priority="89" stopIfTrue="1" operator="equal">
      <formula>"ن داخلية"</formula>
    </cfRule>
    <cfRule type="cellIs" dxfId="107" priority="90" stopIfTrue="1" operator="equal">
      <formula>#REF!</formula>
    </cfRule>
    <cfRule type="cellIs" dxfId="106" priority="91" stopIfTrue="1" operator="equal">
      <formula>#REF!</formula>
    </cfRule>
    <cfRule type="cellIs" dxfId="105" priority="92" stopIfTrue="1" operator="equal">
      <formula>#REF!</formula>
    </cfRule>
    <cfRule type="cellIs" dxfId="104" priority="93" stopIfTrue="1" operator="equal">
      <formula>#REF!</formula>
    </cfRule>
    <cfRule type="cellIs" dxfId="103" priority="94" stopIfTrue="1" operator="equal">
      <formula>"داخلية"</formula>
    </cfRule>
  </conditionalFormatting>
  <conditionalFormatting sqref="H919 H267 H201 H192 H196">
    <cfRule type="cellIs" dxfId="102" priority="82" stopIfTrue="1" operator="greaterThan">
      <formula>"9.999"</formula>
    </cfRule>
  </conditionalFormatting>
  <conditionalFormatting sqref="H862:H998 H834:H860 H113:H152 H154:H430 H432:H487 H489:H490 H492:H515 H517:H743 H745:H815">
    <cfRule type="containsText" dxfId="101" priority="70" stopIfTrue="1" operator="containsText" text="خارجية">
      <formula>NOT(ISERROR(SEARCH("خارجية",H113)))</formula>
    </cfRule>
    <cfRule type="containsText" dxfId="100" priority="71" stopIfTrue="1" operator="containsText" text="ن داخلية">
      <formula>NOT(ISERROR(SEARCH("ن داخلية",H113)))</formula>
    </cfRule>
    <cfRule type="containsText" dxfId="99" priority="72" stopIfTrue="1" operator="containsText" text="داخلية">
      <formula>NOT(ISERROR(SEARCH("داخلية",H113)))</formula>
    </cfRule>
    <cfRule type="containsText" dxfId="98" priority="73" stopIfTrue="1" operator="containsText" text="ن داخلية">
      <formula>NOT(ISERROR(SEARCH("ن داخلية",H113)))</formula>
    </cfRule>
    <cfRule type="containsText" dxfId="97" priority="74" stopIfTrue="1" operator="containsText" text="داخلية">
      <formula>NOT(ISERROR(SEARCH("داخلية",H113)))</formula>
    </cfRule>
    <cfRule type="cellIs" dxfId="96" priority="75" stopIfTrue="1" operator="equal">
      <formula>"ن داخلي"</formula>
    </cfRule>
    <cfRule type="cellIs" dxfId="95" priority="76" stopIfTrue="1" operator="equal">
      <formula>"ن داخلية"</formula>
    </cfRule>
    <cfRule type="cellIs" dxfId="94" priority="77" stopIfTrue="1" operator="equal">
      <formula>#REF!</formula>
    </cfRule>
    <cfRule type="cellIs" dxfId="93" priority="78" stopIfTrue="1" operator="equal">
      <formula>#REF!</formula>
    </cfRule>
    <cfRule type="cellIs" dxfId="92" priority="79" stopIfTrue="1" operator="equal">
      <formula>#REF!</formula>
    </cfRule>
    <cfRule type="cellIs" dxfId="91" priority="80" stopIfTrue="1" operator="equal">
      <formula>#REF!</formula>
    </cfRule>
    <cfRule type="cellIs" dxfId="90" priority="81" stopIfTrue="1" operator="equal">
      <formula>"داخلية"</formula>
    </cfRule>
  </conditionalFormatting>
  <conditionalFormatting sqref="H640 H618 H625 H622 H616 H456:H457 H517 H513 H464:H466 H459 H405 H262 H581:H583 H314 H571 H454 H438 H461 H497 H591 H557 H535 H607:H609 H251 H268 H243 H246 H166 H330 H265:H266 H145 H135 H416 H418:H419 H422 H444 H449 H452 H577 H596 H598:H601 H605 H431:H434">
    <cfRule type="expression" dxfId="89" priority="69" stopIfTrue="1">
      <formula>#REF!=""</formula>
    </cfRule>
  </conditionalFormatting>
  <conditionalFormatting sqref="H112:H151 H153:H486 H488:H489 H491:H514 H516:H814">
    <cfRule type="containsText" dxfId="88" priority="57" stopIfTrue="1" operator="containsText" text="خارجية">
      <formula>NOT(ISERROR(SEARCH("خارجية",H112)))</formula>
    </cfRule>
    <cfRule type="containsText" dxfId="87" priority="58" stopIfTrue="1" operator="containsText" text="ن داخلية">
      <formula>NOT(ISERROR(SEARCH("ن داخلية",H112)))</formula>
    </cfRule>
    <cfRule type="containsText" dxfId="86" priority="59" stopIfTrue="1" operator="containsText" text="داخلية">
      <formula>NOT(ISERROR(SEARCH("داخلية",H112)))</formula>
    </cfRule>
    <cfRule type="containsText" dxfId="85" priority="60" stopIfTrue="1" operator="containsText" text="ن داخلية">
      <formula>NOT(ISERROR(SEARCH("ن داخلية",H112)))</formula>
    </cfRule>
    <cfRule type="containsText" dxfId="84" priority="61" stopIfTrue="1" operator="containsText" text="داخلية">
      <formula>NOT(ISERROR(SEARCH("داخلية",H112)))</formula>
    </cfRule>
    <cfRule type="cellIs" dxfId="83" priority="62" stopIfTrue="1" operator="equal">
      <formula>"ن داخلي"</formula>
    </cfRule>
    <cfRule type="cellIs" dxfId="82" priority="63" stopIfTrue="1" operator="equal">
      <formula>"ن داخلية"</formula>
    </cfRule>
    <cfRule type="cellIs" dxfId="81" priority="64" stopIfTrue="1" operator="equal">
      <formula>#REF!</formula>
    </cfRule>
    <cfRule type="cellIs" dxfId="80" priority="65" stopIfTrue="1" operator="equal">
      <formula>#REF!</formula>
    </cfRule>
    <cfRule type="cellIs" dxfId="79" priority="66" stopIfTrue="1" operator="equal">
      <formula>#REF!</formula>
    </cfRule>
    <cfRule type="cellIs" dxfId="78" priority="67" stopIfTrue="1" operator="equal">
      <formula>#REF!</formula>
    </cfRule>
    <cfRule type="cellIs" dxfId="77" priority="68" stopIfTrue="1" operator="equal">
      <formula>"داخلية"</formula>
    </cfRule>
  </conditionalFormatting>
  <conditionalFormatting sqref="H648 H779 H640 H774:H775 H918 H422 H225 H253 H363 H206 H198 H202 H265 H200 H192 H196">
    <cfRule type="cellIs" dxfId="76" priority="56" stopIfTrue="1" operator="greaterThan">
      <formula>"9.999"</formula>
    </cfRule>
  </conditionalFormatting>
  <conditionalFormatting sqref="H861:H951 H827 H833:H859 H112:H825">
    <cfRule type="containsText" dxfId="75" priority="54" stopIfTrue="1" operator="containsText" text="خارجية">
      <formula>NOT(ISERROR(SEARCH("خارجية",H112)))</formula>
    </cfRule>
    <cfRule type="containsText" dxfId="74" priority="55" stopIfTrue="1" operator="containsText" text="خارجي">
      <formula>NOT(ISERROR(SEARCH("خارجي",H112)))</formula>
    </cfRule>
  </conditionalFormatting>
  <conditionalFormatting sqref="H686 H689:H690 H719 H745:H746 H770:H772 H774:H775 H132 H139 H134:H135 H137 H159:H161 H163 H175 H178 H180:H182 H187:H188 H190:H191 H194 H196 H165:H166 H206:H207 H209:H210 H213:H216 H222:H225 H227:H228 H231 H233 H198 H236 H238 H270 H341 H377 H433:H434 H438 H503 H509:H510 H557 H559 H591 H145:H146 H148 H153:H157">
    <cfRule type="expression" dxfId="73" priority="53" stopIfTrue="1">
      <formula>#REF!=""</formula>
    </cfRule>
  </conditionalFormatting>
  <conditionalFormatting sqref="H918 H753:H754 H756:H758 H760:H761 H787:H788 H790:H792 H794:H809 H735:H736 H696:H697 H711 H670 H705 H743">
    <cfRule type="containsText" dxfId="72" priority="41" stopIfTrue="1" operator="containsText" text="خارجية">
      <formula>NOT(ISERROR(SEARCH("خارجية",H670)))</formula>
    </cfRule>
    <cfRule type="containsText" dxfId="71" priority="42" stopIfTrue="1" operator="containsText" text="ن داخلية">
      <formula>NOT(ISERROR(SEARCH("ن داخلية",H670)))</formula>
    </cfRule>
    <cfRule type="containsText" dxfId="70" priority="43" stopIfTrue="1" operator="containsText" text="داخلية">
      <formula>NOT(ISERROR(SEARCH("داخلية",H670)))</formula>
    </cfRule>
    <cfRule type="containsText" dxfId="69" priority="44" stopIfTrue="1" operator="containsText" text="ن داخلية">
      <formula>NOT(ISERROR(SEARCH("ن داخلية",H670)))</formula>
    </cfRule>
    <cfRule type="containsText" dxfId="68" priority="45" stopIfTrue="1" operator="containsText" text="داخلية">
      <formula>NOT(ISERROR(SEARCH("داخلية",H670)))</formula>
    </cfRule>
    <cfRule type="cellIs" dxfId="67" priority="46" stopIfTrue="1" operator="equal">
      <formula>"ن داخلي"</formula>
    </cfRule>
    <cfRule type="cellIs" dxfId="66" priority="47" stopIfTrue="1" operator="equal">
      <formula>"ن داخلية"</formula>
    </cfRule>
    <cfRule type="cellIs" dxfId="65" priority="48" stopIfTrue="1" operator="equal">
      <formula>#REF!</formula>
    </cfRule>
    <cfRule type="cellIs" dxfId="64" priority="49" stopIfTrue="1" operator="equal">
      <formula>#REF!</formula>
    </cfRule>
    <cfRule type="cellIs" dxfId="63" priority="50" stopIfTrue="1" operator="equal">
      <formula>#REF!</formula>
    </cfRule>
    <cfRule type="cellIs" dxfId="62" priority="51" stopIfTrue="1" operator="equal">
      <formula>#REF!</formula>
    </cfRule>
    <cfRule type="cellIs" dxfId="61" priority="52" stopIfTrue="1" operator="equal">
      <formula>"داخلية"</formula>
    </cfRule>
  </conditionalFormatting>
  <conditionalFormatting sqref="H861:H951 H833:H859 H748:H814 H611:H743">
    <cfRule type="containsText" dxfId="60" priority="29" stopIfTrue="1" operator="containsText" text="خارجية">
      <formula>NOT(ISERROR(SEARCH("خارجية",H611)))</formula>
    </cfRule>
    <cfRule type="containsText" dxfId="59" priority="30" stopIfTrue="1" operator="containsText" text="ن داخلية">
      <formula>NOT(ISERROR(SEARCH("ن داخلية",H611)))</formula>
    </cfRule>
    <cfRule type="containsText" dxfId="58" priority="31" stopIfTrue="1" operator="containsText" text="داخلية">
      <formula>NOT(ISERROR(SEARCH("داخلية",H611)))</formula>
    </cfRule>
    <cfRule type="containsText" dxfId="57" priority="32" stopIfTrue="1" operator="containsText" text="ن داخلية">
      <formula>NOT(ISERROR(SEARCH("ن داخلية",H611)))</formula>
    </cfRule>
    <cfRule type="containsText" dxfId="56" priority="33" stopIfTrue="1" operator="containsText" text="داخلية">
      <formula>NOT(ISERROR(SEARCH("داخلية",H611)))</formula>
    </cfRule>
    <cfRule type="cellIs" dxfId="55" priority="34" stopIfTrue="1" operator="equal">
      <formula>"ن داخلي"</formula>
    </cfRule>
    <cfRule type="cellIs" dxfId="54" priority="35" stopIfTrue="1" operator="equal">
      <formula>"ن داخلية"</formula>
    </cfRule>
    <cfRule type="cellIs" dxfId="53" priority="36" stopIfTrue="1" operator="equal">
      <formula>#REF!</formula>
    </cfRule>
    <cfRule type="cellIs" dxfId="52" priority="37" stopIfTrue="1" operator="equal">
      <formula>#REF!</formula>
    </cfRule>
    <cfRule type="cellIs" dxfId="51" priority="38" stopIfTrue="1" operator="equal">
      <formula>#REF!</formula>
    </cfRule>
    <cfRule type="cellIs" dxfId="50" priority="39" stopIfTrue="1" operator="equal">
      <formula>#REF!</formula>
    </cfRule>
    <cfRule type="cellIs" dxfId="49" priority="40" stopIfTrue="1" operator="equal">
      <formula>"داخلية"</formula>
    </cfRule>
  </conditionalFormatting>
  <conditionalFormatting sqref="H146 H148 H154:H156">
    <cfRule type="expression" dxfId="48" priority="28" stopIfTrue="1">
      <formula>#REF!=""</formula>
    </cfRule>
  </conditionalFormatting>
  <conditionalFormatting sqref="H861:H951 H827 H833:H859 H112:H825">
    <cfRule type="containsText" dxfId="47" priority="26" stopIfTrue="1" operator="containsText" text="خارجية">
      <formula>NOT(ISERROR(SEARCH("خارجية",H112)))</formula>
    </cfRule>
    <cfRule type="containsText" dxfId="46" priority="27" stopIfTrue="1" operator="containsText" text="خارجي">
      <formula>NOT(ISERROR(SEARCH("خارجي",H112)))</formula>
    </cfRule>
  </conditionalFormatting>
  <conditionalFormatting sqref="H918 H753:H754 H756:H758 H760:H761 H787:H788 H790:H792 H794:H809 H734:H735 H696:H697 H711 H581 H456 H431 H452:H453 H563:H566 H532:H533 H535:H537 H539:H548 H550:H551 H503 H489 H360 H353 H266 H244 H130 H179 H151 H172">
    <cfRule type="containsText" dxfId="45" priority="14" stopIfTrue="1" operator="containsText" text="خارجية">
      <formula>NOT(ISERROR(SEARCH("خارجية",H130)))</formula>
    </cfRule>
    <cfRule type="containsText" dxfId="44" priority="15" stopIfTrue="1" operator="containsText" text="ن داخلية">
      <formula>NOT(ISERROR(SEARCH("ن داخلية",H130)))</formula>
    </cfRule>
    <cfRule type="containsText" dxfId="43" priority="16" stopIfTrue="1" operator="containsText" text="داخلية">
      <formula>NOT(ISERROR(SEARCH("داخلية",H130)))</formula>
    </cfRule>
    <cfRule type="containsText" dxfId="42" priority="17" stopIfTrue="1" operator="containsText" text="ن داخلية">
      <formula>NOT(ISERROR(SEARCH("ن داخلية",H130)))</formula>
    </cfRule>
    <cfRule type="containsText" dxfId="41" priority="18" stopIfTrue="1" operator="containsText" text="داخلية">
      <formula>NOT(ISERROR(SEARCH("داخلية",H130)))</formula>
    </cfRule>
    <cfRule type="cellIs" dxfId="40" priority="19" stopIfTrue="1" operator="equal">
      <formula>"ن داخلي"</formula>
    </cfRule>
    <cfRule type="cellIs" dxfId="39" priority="20" stopIfTrue="1" operator="equal">
      <formula>"ن داخلية"</formula>
    </cfRule>
    <cfRule type="cellIs" dxfId="38" priority="21" stopIfTrue="1" operator="equal">
      <formula>#REF!</formula>
    </cfRule>
    <cfRule type="cellIs" dxfId="37" priority="22" stopIfTrue="1" operator="equal">
      <formula>#REF!</formula>
    </cfRule>
    <cfRule type="cellIs" dxfId="36" priority="23" stopIfTrue="1" operator="equal">
      <formula>#REF!</formula>
    </cfRule>
    <cfRule type="cellIs" dxfId="35" priority="24" stopIfTrue="1" operator="equal">
      <formula>#REF!</formula>
    </cfRule>
    <cfRule type="cellIs" dxfId="34" priority="25" stopIfTrue="1" operator="equal">
      <formula>"داخلية"</formula>
    </cfRule>
  </conditionalFormatting>
  <conditionalFormatting sqref="H918 H266 H200 H191 H195">
    <cfRule type="cellIs" dxfId="33" priority="13" stopIfTrue="1" operator="greaterThan">
      <formula>"9.999"</formula>
    </cfRule>
  </conditionalFormatting>
  <conditionalFormatting sqref="H861:H951 H833:H859 H112:H151 H153:H429 H431:H486 H488:H489 H491:H514 H516:H742 H744:H814">
    <cfRule type="containsText" dxfId="32" priority="1" stopIfTrue="1" operator="containsText" text="خارجية">
      <formula>NOT(ISERROR(SEARCH("خارجية",H112)))</formula>
    </cfRule>
    <cfRule type="containsText" dxfId="31" priority="2" stopIfTrue="1" operator="containsText" text="ن داخلية">
      <formula>NOT(ISERROR(SEARCH("ن داخلية",H112)))</formula>
    </cfRule>
    <cfRule type="containsText" dxfId="30" priority="3" stopIfTrue="1" operator="containsText" text="داخلية">
      <formula>NOT(ISERROR(SEARCH("داخلية",H112)))</formula>
    </cfRule>
    <cfRule type="containsText" dxfId="29" priority="4" stopIfTrue="1" operator="containsText" text="ن داخلية">
      <formula>NOT(ISERROR(SEARCH("ن داخلية",H112)))</formula>
    </cfRule>
    <cfRule type="containsText" dxfId="28" priority="5" stopIfTrue="1" operator="containsText" text="داخلية">
      <formula>NOT(ISERROR(SEARCH("داخلية",H112)))</formula>
    </cfRule>
    <cfRule type="cellIs" dxfId="27" priority="6" stopIfTrue="1" operator="equal">
      <formula>"ن داخلي"</formula>
    </cfRule>
    <cfRule type="cellIs" dxfId="26" priority="7" stopIfTrue="1" operator="equal">
      <formula>"ن داخلية"</formula>
    </cfRule>
    <cfRule type="cellIs" dxfId="25" priority="8" stopIfTrue="1" operator="equal">
      <formula>#REF!</formula>
    </cfRule>
    <cfRule type="cellIs" dxfId="24" priority="9" stopIfTrue="1" operator="equal">
      <formula>#REF!</formula>
    </cfRule>
    <cfRule type="cellIs" dxfId="23" priority="10" stopIfTrue="1" operator="equal">
      <formula>#REF!</formula>
    </cfRule>
    <cfRule type="cellIs" dxfId="22" priority="11" stopIfTrue="1" operator="equal">
      <formula>#REF!</formula>
    </cfRule>
    <cfRule type="cellIs" dxfId="21" priority="12" stopIfTrue="1" operator="equal">
      <formula>"داخلية"</formula>
    </cfRule>
  </conditionalFormatting>
  <hyperlinks>
    <hyperlink ref="N1" location="المصدر!A1" display="المصدر!A1"/>
    <hyperlink ref="P3" location="المصدر!A1" display="المصدر!A1"/>
  </hyperlinks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7"/>
  <dimension ref="A1:CA268"/>
  <sheetViews>
    <sheetView showZeros="0" rightToLeft="1" topLeftCell="A28" workbookViewId="0">
      <selection activeCell="U12" sqref="U12"/>
    </sheetView>
  </sheetViews>
  <sheetFormatPr baseColWidth="10" defaultRowHeight="15"/>
  <cols>
    <col min="1" max="1" width="9.85546875" style="726" customWidth="1"/>
    <col min="2" max="2" width="6.28515625" style="726" customWidth="1"/>
    <col min="3" max="3" width="6.42578125" style="726" customWidth="1"/>
    <col min="4" max="4" width="5.7109375" style="166" customWidth="1"/>
    <col min="5" max="5" width="5" style="166" customWidth="1"/>
    <col min="6" max="7" width="5.42578125" style="166" customWidth="1"/>
    <col min="8" max="8" width="5.85546875" style="166" customWidth="1"/>
    <col min="9" max="9" width="6" style="726" customWidth="1"/>
    <col min="10" max="10" width="5.42578125" style="726" customWidth="1"/>
    <col min="11" max="13" width="6.85546875" style="726" customWidth="1"/>
    <col min="14" max="14" width="11.5703125" style="726" customWidth="1"/>
    <col min="15" max="15" width="7.28515625" style="726" customWidth="1"/>
    <col min="16" max="16" width="6.42578125" style="726" customWidth="1"/>
    <col min="17" max="17" width="13.42578125" style="726" customWidth="1"/>
    <col min="18" max="18" width="11.42578125" style="726" customWidth="1"/>
    <col min="19" max="19" width="6.5703125" style="726" customWidth="1"/>
    <col min="20" max="20" width="15.42578125" style="726" hidden="1" customWidth="1"/>
    <col min="21" max="21" width="11.28515625" style="726" customWidth="1"/>
    <col min="22" max="22" width="6" style="22" customWidth="1"/>
    <col min="23" max="23" width="7" style="726" bestFit="1" customWidth="1"/>
    <col min="24" max="24" width="7" style="23" bestFit="1" customWidth="1"/>
    <col min="25" max="26" width="5.5703125" style="23" bestFit="1" customWidth="1"/>
    <col min="27" max="27" width="7" style="23" customWidth="1"/>
    <col min="28" max="28" width="8" style="23" customWidth="1"/>
    <col min="29" max="29" width="7.7109375" style="23" customWidth="1"/>
    <col min="30" max="30" width="9.42578125" style="23" customWidth="1"/>
    <col min="31" max="34" width="6.7109375" style="23" customWidth="1"/>
    <col min="35" max="35" width="9" style="23" customWidth="1"/>
    <col min="36" max="37" width="11.42578125" style="726"/>
    <col min="38" max="38" width="5" style="726" customWidth="1"/>
    <col min="39" max="39" width="11" style="726" customWidth="1"/>
    <col min="40" max="50" width="8.5703125" style="726" customWidth="1"/>
    <col min="51" max="51" width="15.28515625" style="726" customWidth="1"/>
    <col min="52" max="63" width="11.42578125" style="726"/>
    <col min="64" max="79" width="11.42578125" style="497"/>
  </cols>
  <sheetData>
    <row r="1" spans="1:79" ht="21">
      <c r="A1" s="21"/>
      <c r="B1" s="21"/>
      <c r="C1" s="21"/>
      <c r="D1" s="444"/>
      <c r="E1" s="444" t="s">
        <v>253</v>
      </c>
      <c r="F1" s="444"/>
      <c r="G1" s="444"/>
      <c r="H1" s="444"/>
      <c r="I1" s="21"/>
      <c r="J1" s="21"/>
      <c r="K1" s="21"/>
      <c r="L1" s="21"/>
      <c r="M1" s="21"/>
      <c r="N1" s="21"/>
      <c r="O1" s="21"/>
      <c r="P1" s="21"/>
      <c r="Q1" s="8"/>
      <c r="R1" s="8"/>
      <c r="S1" s="20"/>
      <c r="T1" s="20"/>
      <c r="U1" s="20"/>
      <c r="AH1" s="505" t="s">
        <v>253</v>
      </c>
      <c r="AI1" s="504"/>
      <c r="AJ1" s="504"/>
      <c r="AK1" s="504"/>
      <c r="AL1" s="504"/>
      <c r="AM1" s="504"/>
      <c r="AN1" s="504"/>
      <c r="AO1" s="504"/>
      <c r="AP1" s="504"/>
      <c r="AQ1" s="504"/>
      <c r="AR1" s="504"/>
      <c r="AS1" s="504"/>
      <c r="AT1" s="504"/>
      <c r="AU1" s="504"/>
      <c r="AV1" s="504"/>
      <c r="AW1" s="504"/>
    </row>
    <row r="2" spans="1:79" ht="21.75" customHeight="1">
      <c r="A2" s="21"/>
      <c r="B2" s="21"/>
      <c r="C2" s="21"/>
      <c r="D2" s="444"/>
      <c r="E2" s="444"/>
      <c r="F2" s="444" t="s">
        <v>254</v>
      </c>
      <c r="G2" s="444"/>
      <c r="H2" s="444"/>
      <c r="I2" s="21"/>
      <c r="J2" s="21"/>
      <c r="K2" s="21"/>
      <c r="L2" s="21"/>
      <c r="M2" s="21"/>
      <c r="N2" s="21"/>
      <c r="O2" s="21"/>
      <c r="P2" s="21"/>
      <c r="Q2" s="571" t="s">
        <v>496</v>
      </c>
      <c r="R2" s="8"/>
      <c r="S2" s="20"/>
      <c r="T2" s="20"/>
      <c r="U2" s="20"/>
      <c r="AH2" s="505" t="s">
        <v>79</v>
      </c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</row>
    <row r="3" spans="1:79" ht="18.75">
      <c r="A3" s="21" t="s">
        <v>255</v>
      </c>
      <c r="B3" s="21"/>
      <c r="C3" s="21"/>
      <c r="D3" s="444"/>
      <c r="E3" s="444"/>
      <c r="F3" s="444"/>
      <c r="G3" s="444"/>
      <c r="H3" s="444"/>
      <c r="I3" s="21"/>
      <c r="J3" s="21"/>
      <c r="K3" s="21"/>
      <c r="L3" s="21"/>
      <c r="M3" s="21"/>
      <c r="N3" s="21"/>
      <c r="O3" s="21"/>
      <c r="P3" s="21"/>
      <c r="Q3" s="8"/>
      <c r="R3" s="8"/>
      <c r="S3" s="21"/>
      <c r="T3" s="21"/>
      <c r="U3" s="21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515" t="s">
        <v>1203</v>
      </c>
      <c r="AI3" s="515"/>
      <c r="AJ3" s="515"/>
      <c r="AK3" s="515"/>
      <c r="AL3" s="8"/>
      <c r="AM3" s="8"/>
      <c r="AN3" s="8"/>
      <c r="AO3" s="308"/>
      <c r="AP3" s="516"/>
      <c r="AQ3" s="516"/>
      <c r="AR3" s="516"/>
      <c r="AS3" s="516"/>
      <c r="AT3" s="516"/>
      <c r="AU3" s="516"/>
      <c r="AV3" s="516"/>
      <c r="AW3" s="516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</row>
    <row r="4" spans="1:79" ht="19.5" thickBot="1">
      <c r="A4" s="21" t="s">
        <v>256</v>
      </c>
      <c r="B4" s="21"/>
      <c r="C4" s="21"/>
      <c r="D4" s="444"/>
      <c r="E4" s="444"/>
      <c r="F4" s="444"/>
      <c r="G4" s="444"/>
      <c r="H4" s="444"/>
      <c r="I4" s="445" t="str">
        <f>etat!N4</f>
        <v>السنة الدراسية : 2025/2026</v>
      </c>
      <c r="J4" s="445"/>
      <c r="K4" s="445"/>
      <c r="L4" s="445"/>
      <c r="M4" s="21"/>
      <c r="N4" s="21"/>
      <c r="O4" s="21"/>
      <c r="P4" s="21"/>
      <c r="Q4" s="8"/>
      <c r="R4" s="8"/>
      <c r="S4" s="21"/>
      <c r="T4" s="309" t="s">
        <v>496</v>
      </c>
      <c r="U4" s="310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7"/>
      <c r="AI4" s="8" t="s">
        <v>1204</v>
      </c>
      <c r="AJ4" s="8"/>
      <c r="AK4" s="8"/>
      <c r="AL4" s="13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</row>
    <row r="5" spans="1:79" ht="20.25" thickTop="1" thickBot="1">
      <c r="A5" s="21"/>
      <c r="B5" s="21"/>
      <c r="C5" s="21"/>
      <c r="D5" s="444"/>
      <c r="E5" s="444"/>
      <c r="F5" s="444"/>
      <c r="G5" s="444"/>
      <c r="H5" s="444"/>
      <c r="I5" s="21"/>
      <c r="J5" s="21"/>
      <c r="K5" s="21"/>
      <c r="L5" s="21"/>
      <c r="M5" s="21"/>
      <c r="N5" s="21"/>
      <c r="O5" s="21"/>
      <c r="P5" s="21"/>
      <c r="Q5" s="8"/>
      <c r="R5" s="8"/>
      <c r="S5" s="21"/>
      <c r="T5" s="21"/>
      <c r="U5" s="21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506" t="s">
        <v>258</v>
      </c>
      <c r="AI5" s="392" t="s">
        <v>1197</v>
      </c>
      <c r="AJ5" s="393"/>
      <c r="AK5" s="312" t="s">
        <v>1198</v>
      </c>
      <c r="AL5" s="389" t="s">
        <v>1199</v>
      </c>
      <c r="AM5" s="389" t="s">
        <v>1474</v>
      </c>
      <c r="AN5" s="389" t="s">
        <v>1475</v>
      </c>
      <c r="AO5" s="389" t="s">
        <v>1476</v>
      </c>
      <c r="AP5" s="390" t="s">
        <v>1200</v>
      </c>
      <c r="AQ5" s="389" t="s">
        <v>1465</v>
      </c>
      <c r="AR5" s="389" t="s">
        <v>1466</v>
      </c>
      <c r="AS5" s="389" t="s">
        <v>1495</v>
      </c>
      <c r="AT5" s="313"/>
      <c r="AU5" s="313"/>
      <c r="AV5" s="3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</row>
    <row r="6" spans="1:79" ht="20.25" thickTop="1" thickBot="1">
      <c r="A6" s="21"/>
      <c r="B6" s="21"/>
      <c r="C6" s="21"/>
      <c r="D6" s="446" t="s">
        <v>1562</v>
      </c>
      <c r="E6" s="444"/>
      <c r="F6" s="444"/>
      <c r="G6" s="444"/>
      <c r="H6" s="444"/>
      <c r="I6" s="21"/>
      <c r="J6" s="447"/>
      <c r="K6" s="21"/>
      <c r="L6" s="21"/>
      <c r="M6" s="21"/>
      <c r="N6" s="21"/>
      <c r="O6" s="21"/>
      <c r="P6" s="21"/>
      <c r="Q6" s="8"/>
      <c r="R6" s="8"/>
      <c r="S6" s="21"/>
      <c r="T6" s="21"/>
      <c r="U6" s="21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507"/>
      <c r="AI6" s="394" t="s">
        <v>1201</v>
      </c>
      <c r="AJ6" s="395"/>
      <c r="AK6" s="312" t="s">
        <v>259</v>
      </c>
      <c r="AL6" s="389" t="s">
        <v>1474</v>
      </c>
      <c r="AM6" s="389" t="s">
        <v>1475</v>
      </c>
      <c r="AN6" s="389" t="s">
        <v>1476</v>
      </c>
      <c r="AO6" s="389" t="s">
        <v>1477</v>
      </c>
      <c r="AP6" s="390" t="s">
        <v>1465</v>
      </c>
      <c r="AQ6" s="389" t="s">
        <v>1466</v>
      </c>
      <c r="AR6" s="389" t="s">
        <v>1495</v>
      </c>
      <c r="AS6" s="389" t="s">
        <v>1496</v>
      </c>
      <c r="AT6" s="314"/>
      <c r="AU6" s="314"/>
      <c r="AV6" s="314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</row>
    <row r="7" spans="1:79" ht="19.5" thickBot="1">
      <c r="A7" s="21"/>
      <c r="B7" s="21"/>
      <c r="C7" s="21"/>
      <c r="D7" s="448" t="s">
        <v>257</v>
      </c>
      <c r="E7" s="1439" t="s">
        <v>349</v>
      </c>
      <c r="F7" s="1439"/>
      <c r="G7" s="1436">
        <v>44682</v>
      </c>
      <c r="H7" s="1436"/>
      <c r="I7" s="1436"/>
      <c r="J7" s="449"/>
      <c r="K7" s="449"/>
      <c r="L7" s="449"/>
      <c r="M7" s="315"/>
      <c r="N7" s="315"/>
      <c r="O7" s="315"/>
      <c r="P7" s="315"/>
      <c r="Q7" s="27"/>
      <c r="R7" s="27"/>
      <c r="S7" s="315"/>
      <c r="T7" s="315"/>
      <c r="U7" s="315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488">
        <v>1</v>
      </c>
      <c r="AI7" s="286" t="s">
        <v>427</v>
      </c>
      <c r="AJ7" s="287"/>
      <c r="AK7" s="282" t="s">
        <v>262</v>
      </c>
      <c r="AL7" s="317" t="s">
        <v>819</v>
      </c>
      <c r="AM7" s="317" t="s">
        <v>819</v>
      </c>
      <c r="AN7" s="317" t="s">
        <v>265</v>
      </c>
      <c r="AO7" s="317" t="s">
        <v>6</v>
      </c>
      <c r="AP7" s="317"/>
      <c r="AQ7" s="318"/>
      <c r="AR7" s="318"/>
      <c r="AS7" s="318"/>
      <c r="AT7" s="318"/>
      <c r="AU7" s="318"/>
      <c r="AV7" s="318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</row>
    <row r="8" spans="1:79" ht="19.5" thickBot="1">
      <c r="A8" s="450">
        <v>-1</v>
      </c>
      <c r="B8" s="293" t="s">
        <v>261</v>
      </c>
      <c r="C8" s="293"/>
      <c r="D8" s="388"/>
      <c r="E8" s="451"/>
      <c r="F8" s="388"/>
      <c r="G8" s="388"/>
      <c r="H8" s="388"/>
      <c r="I8" s="293"/>
      <c r="J8" s="293"/>
      <c r="K8" s="293"/>
      <c r="L8" s="293"/>
      <c r="M8" s="293"/>
      <c r="N8" s="293"/>
      <c r="O8" s="293"/>
      <c r="P8" s="293"/>
      <c r="Q8" s="11"/>
      <c r="R8" s="11"/>
      <c r="S8" s="25"/>
      <c r="T8" s="25"/>
      <c r="U8" s="293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488">
        <v>2</v>
      </c>
      <c r="AI8" s="363" t="s">
        <v>274</v>
      </c>
      <c r="AJ8" s="287"/>
      <c r="AK8" s="282" t="s">
        <v>262</v>
      </c>
      <c r="AL8" s="318"/>
      <c r="AM8" s="318"/>
      <c r="AN8" s="318"/>
      <c r="AO8" s="318"/>
      <c r="AP8" s="423"/>
      <c r="AQ8" s="317" t="s">
        <v>1176</v>
      </c>
      <c r="AR8" s="317" t="s">
        <v>1176</v>
      </c>
      <c r="AS8" s="317" t="s">
        <v>1176</v>
      </c>
      <c r="AT8" s="281"/>
      <c r="AU8" s="281"/>
      <c r="AV8" s="281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</row>
    <row r="9" spans="1:79" ht="19.5" thickBot="1">
      <c r="A9" s="1422" t="s">
        <v>258</v>
      </c>
      <c r="B9" s="1422" t="s">
        <v>1197</v>
      </c>
      <c r="C9" s="1422"/>
      <c r="D9" s="1422" t="s">
        <v>1198</v>
      </c>
      <c r="E9" s="1422"/>
      <c r="F9" s="716" t="s">
        <v>1199</v>
      </c>
      <c r="G9" s="716" t="s">
        <v>1474</v>
      </c>
      <c r="H9" s="716" t="s">
        <v>1475</v>
      </c>
      <c r="I9" s="716" t="s">
        <v>1476</v>
      </c>
      <c r="J9" s="716" t="s">
        <v>1200</v>
      </c>
      <c r="K9" s="716" t="s">
        <v>1465</v>
      </c>
      <c r="L9" s="716" t="s">
        <v>1466</v>
      </c>
      <c r="M9" s="716" t="s">
        <v>1495</v>
      </c>
      <c r="N9" s="1442" t="s">
        <v>260</v>
      </c>
      <c r="O9" s="13"/>
      <c r="P9" s="1411" t="s">
        <v>607</v>
      </c>
      <c r="Q9" s="1411"/>
      <c r="R9" s="25"/>
      <c r="S9" s="521" t="s">
        <v>304</v>
      </c>
      <c r="T9" s="293"/>
      <c r="U9" s="293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488">
        <v>3</v>
      </c>
      <c r="AI9" s="286" t="s">
        <v>272</v>
      </c>
      <c r="AJ9" s="287"/>
      <c r="AK9" s="282" t="s">
        <v>262</v>
      </c>
      <c r="AL9" s="317" t="s">
        <v>821</v>
      </c>
      <c r="AM9" s="317" t="s">
        <v>821</v>
      </c>
      <c r="AN9" s="318"/>
      <c r="AO9" s="317" t="s">
        <v>265</v>
      </c>
      <c r="AP9" s="318"/>
      <c r="AQ9" s="318"/>
      <c r="AR9" s="317" t="s">
        <v>824</v>
      </c>
      <c r="AS9" s="317" t="s">
        <v>1210</v>
      </c>
      <c r="AT9" s="281"/>
      <c r="AU9" s="274"/>
      <c r="AV9" s="274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</row>
    <row r="10" spans="1:79" ht="19.5" thickBot="1">
      <c r="A10" s="1422"/>
      <c r="B10" s="1422" t="s">
        <v>1201</v>
      </c>
      <c r="C10" s="1422"/>
      <c r="D10" s="1422" t="s">
        <v>259</v>
      </c>
      <c r="E10" s="1422"/>
      <c r="F10" s="716" t="s">
        <v>1474</v>
      </c>
      <c r="G10" s="716" t="s">
        <v>1475</v>
      </c>
      <c r="H10" s="716" t="s">
        <v>1476</v>
      </c>
      <c r="I10" s="716" t="s">
        <v>1477</v>
      </c>
      <c r="J10" s="716" t="s">
        <v>1465</v>
      </c>
      <c r="K10" s="716" t="s">
        <v>1466</v>
      </c>
      <c r="L10" s="716" t="s">
        <v>1495</v>
      </c>
      <c r="M10" s="716" t="s">
        <v>1496</v>
      </c>
      <c r="N10" s="1443"/>
      <c r="O10" s="293"/>
      <c r="P10" s="296" t="s">
        <v>608</v>
      </c>
      <c r="Q10" s="1412" t="s">
        <v>260</v>
      </c>
      <c r="R10" s="1413"/>
      <c r="S10" s="518" t="s">
        <v>614</v>
      </c>
      <c r="T10" s="293"/>
      <c r="U10" s="293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488">
        <v>4</v>
      </c>
      <c r="AI10" s="286" t="s">
        <v>1219</v>
      </c>
      <c r="AJ10" s="287"/>
      <c r="AK10" s="282" t="s">
        <v>262</v>
      </c>
      <c r="AL10" s="317" t="s">
        <v>1504</v>
      </c>
      <c r="AM10" s="317" t="s">
        <v>1505</v>
      </c>
      <c r="AN10" s="317" t="s">
        <v>1175</v>
      </c>
      <c r="AO10" s="317" t="s">
        <v>1175</v>
      </c>
      <c r="AP10" s="317"/>
      <c r="AQ10" s="318"/>
      <c r="AR10" s="318"/>
      <c r="AS10" s="318"/>
      <c r="AT10" s="274"/>
      <c r="AU10" s="274"/>
      <c r="AV10" s="274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</row>
    <row r="11" spans="1:79" ht="19.5" thickBot="1">
      <c r="A11" s="531">
        <v>1</v>
      </c>
      <c r="B11" s="1630" t="str">
        <f t="shared" ref="B11:B20" si="0">VLOOKUP(P11,$AH$7:$AW$69,2,FALSE)</f>
        <v>صلاة عبدالقادر</v>
      </c>
      <c r="C11" s="1631"/>
      <c r="D11" s="1460" t="str">
        <f t="shared" ref="D11:D20" si="1">VLOOKUP(P11,$AH$7:$AW$69,4,FALSE)</f>
        <v>معلوماتية</v>
      </c>
      <c r="E11" s="1460">
        <f t="shared" ref="E11:E20" si="2">VLOOKUP(P11,$AH$7:$AW$69,5,FALSE)</f>
        <v>0</v>
      </c>
      <c r="F11" s="527">
        <f t="shared" ref="F11:F20" si="3">VLOOKUP(P11,$AH$7:$AW$69,5,FALSE)</f>
        <v>0</v>
      </c>
      <c r="G11" s="527">
        <f t="shared" ref="G11:G20" si="4">VLOOKUP(P11,$AH$7:$AW$69,6,FALSE)</f>
        <v>0</v>
      </c>
      <c r="H11" s="527">
        <f t="shared" ref="H11:H20" si="5">VLOOKUP(P11,$AH$7:$AW$69,7,FALSE)</f>
        <v>0</v>
      </c>
      <c r="I11" s="527">
        <f t="shared" ref="I11:I20" si="6">VLOOKUP(P11,$AH$7:$AW$69,8,FALSE)</f>
        <v>0</v>
      </c>
      <c r="J11" s="528" t="str">
        <f t="shared" ref="J11:J20" si="7">VLOOKUP(P11,$AH$7:$AW$69,10,FALSE)</f>
        <v>1اد2</v>
      </c>
      <c r="K11" s="528" t="str">
        <f t="shared" ref="K11:K20" si="8">VLOOKUP(P11,$AH$7:$AW$69,11,FALSE)</f>
        <v>1اد3</v>
      </c>
      <c r="L11" s="528" t="str">
        <f t="shared" ref="L11:L20" si="9">VLOOKUP(P11,$AH$7:$AW$69,12,FALSE)</f>
        <v>1اد2</v>
      </c>
      <c r="M11" s="498">
        <f t="shared" ref="M11:M20" si="10">VLOOKUP(P11,$AH$7:$AW$69,13,FALSE)</f>
        <v>0</v>
      </c>
      <c r="N11" s="713" t="e">
        <f>VLOOKUP(Q11,اس!$S$3:$T$31,2,FALSE)</f>
        <v>#N/A</v>
      </c>
      <c r="O11" s="293"/>
      <c r="P11" s="297">
        <v>46</v>
      </c>
      <c r="Q11" s="1415"/>
      <c r="R11" s="1415"/>
      <c r="S11" s="519" t="s">
        <v>615</v>
      </c>
      <c r="T11" s="293"/>
      <c r="U11" s="293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488">
        <v>5</v>
      </c>
      <c r="AI11" s="286" t="s">
        <v>1220</v>
      </c>
      <c r="AJ11" s="287"/>
      <c r="AK11" s="282" t="s">
        <v>262</v>
      </c>
      <c r="AL11" s="317" t="s">
        <v>1176</v>
      </c>
      <c r="AM11" s="317" t="s">
        <v>1176</v>
      </c>
      <c r="AN11" s="317"/>
      <c r="AO11" s="317" t="s">
        <v>328</v>
      </c>
      <c r="AP11" s="318"/>
      <c r="AQ11" s="318"/>
      <c r="AR11" s="318" t="s">
        <v>1499</v>
      </c>
      <c r="AS11" s="318" t="s">
        <v>1499</v>
      </c>
      <c r="AT11" s="274"/>
      <c r="AU11" s="274"/>
      <c r="AV11" s="274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</row>
    <row r="12" spans="1:79" ht="19.5" thickBot="1">
      <c r="A12" s="532">
        <v>2</v>
      </c>
      <c r="B12" s="1628" t="str">
        <f t="shared" si="0"/>
        <v>خليل فاطمة الزهراء</v>
      </c>
      <c r="C12" s="1629"/>
      <c r="D12" s="1459" t="str">
        <f t="shared" si="1"/>
        <v>فيزياء</v>
      </c>
      <c r="E12" s="1459" t="str">
        <f t="shared" si="2"/>
        <v>3ع1</v>
      </c>
      <c r="F12" s="735" t="str">
        <f t="shared" si="3"/>
        <v>3ع1</v>
      </c>
      <c r="G12" s="735" t="str">
        <f t="shared" si="4"/>
        <v>3ع1</v>
      </c>
      <c r="H12" s="439" t="str">
        <f t="shared" si="5"/>
        <v>3ع1</v>
      </c>
      <c r="I12" s="735" t="str">
        <f t="shared" si="6"/>
        <v>3ع1</v>
      </c>
      <c r="J12" s="439">
        <f t="shared" si="7"/>
        <v>0</v>
      </c>
      <c r="K12" s="439">
        <f t="shared" si="8"/>
        <v>0</v>
      </c>
      <c r="L12" s="735">
        <f t="shared" si="9"/>
        <v>0</v>
      </c>
      <c r="M12" s="734">
        <f t="shared" si="10"/>
        <v>0</v>
      </c>
      <c r="N12" s="714" t="e">
        <f>VLOOKUP(Q12,اس!$S$3:$T$31,2,FALSE)</f>
        <v>#N/A</v>
      </c>
      <c r="O12" s="293"/>
      <c r="P12" s="297">
        <v>11</v>
      </c>
      <c r="Q12" s="1415"/>
      <c r="R12" s="1415"/>
      <c r="S12" s="519" t="s">
        <v>628</v>
      </c>
      <c r="T12" s="293"/>
      <c r="U12" s="293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488">
        <v>6</v>
      </c>
      <c r="AI12" s="286" t="s">
        <v>1553</v>
      </c>
      <c r="AJ12" s="287"/>
      <c r="AK12" s="282" t="s">
        <v>262</v>
      </c>
      <c r="AL12" s="317" t="s">
        <v>820</v>
      </c>
      <c r="AM12" s="317" t="s">
        <v>820</v>
      </c>
      <c r="AN12" s="317" t="s">
        <v>820</v>
      </c>
      <c r="AO12" s="317" t="s">
        <v>820</v>
      </c>
      <c r="AP12" s="317" t="s">
        <v>6</v>
      </c>
      <c r="AQ12" s="318"/>
      <c r="AR12" s="318"/>
      <c r="AS12" s="318"/>
      <c r="AT12" s="274"/>
      <c r="AU12" s="274"/>
      <c r="AV12" s="274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</row>
    <row r="13" spans="1:79" ht="19.5" thickBot="1">
      <c r="A13" s="532">
        <v>3</v>
      </c>
      <c r="B13" s="1628">
        <f t="shared" si="0"/>
        <v>0</v>
      </c>
      <c r="C13" s="1629"/>
      <c r="D13" s="1630">
        <f t="shared" si="1"/>
        <v>0</v>
      </c>
      <c r="E13" s="1631">
        <f t="shared" si="2"/>
        <v>0</v>
      </c>
      <c r="F13" s="735">
        <f t="shared" si="3"/>
        <v>0</v>
      </c>
      <c r="G13" s="439">
        <f t="shared" si="4"/>
        <v>0</v>
      </c>
      <c r="H13" s="735">
        <f t="shared" si="5"/>
        <v>0</v>
      </c>
      <c r="I13" s="735">
        <f t="shared" si="6"/>
        <v>0</v>
      </c>
      <c r="J13" s="439">
        <f t="shared" si="7"/>
        <v>0</v>
      </c>
      <c r="K13" s="439">
        <f t="shared" si="8"/>
        <v>0</v>
      </c>
      <c r="L13" s="439">
        <f t="shared" si="9"/>
        <v>0</v>
      </c>
      <c r="M13" s="500">
        <f t="shared" si="10"/>
        <v>0</v>
      </c>
      <c r="N13" s="714" t="e">
        <f>VLOOKUP(Q13,اس!$S$3:$T$31,2,FALSE)</f>
        <v>#N/A</v>
      </c>
      <c r="O13" s="293"/>
      <c r="P13" s="297"/>
      <c r="Q13" s="1415"/>
      <c r="R13" s="1415"/>
      <c r="S13" s="520"/>
      <c r="T13" s="293"/>
      <c r="U13" s="293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488">
        <v>7</v>
      </c>
      <c r="AI13" s="286" t="s">
        <v>808</v>
      </c>
      <c r="AJ13" s="287"/>
      <c r="AK13" s="282" t="s">
        <v>270</v>
      </c>
      <c r="AL13" s="318"/>
      <c r="AM13" s="318"/>
      <c r="AN13" s="318"/>
      <c r="AO13" s="318"/>
      <c r="AP13" s="318"/>
      <c r="AQ13" s="318"/>
      <c r="AR13" s="317" t="s">
        <v>1175</v>
      </c>
      <c r="AS13" s="317" t="s">
        <v>1175</v>
      </c>
      <c r="AT13" s="281"/>
      <c r="AU13" s="281"/>
      <c r="AV13" s="281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</row>
    <row r="14" spans="1:79" ht="19.5" thickBot="1">
      <c r="A14" s="533">
        <v>4</v>
      </c>
      <c r="B14" s="1628">
        <f t="shared" si="0"/>
        <v>0</v>
      </c>
      <c r="C14" s="1629"/>
      <c r="D14" s="1630">
        <f t="shared" si="1"/>
        <v>0</v>
      </c>
      <c r="E14" s="1631">
        <f t="shared" si="2"/>
        <v>0</v>
      </c>
      <c r="F14" s="735">
        <f t="shared" si="3"/>
        <v>0</v>
      </c>
      <c r="G14" s="735">
        <f t="shared" si="4"/>
        <v>0</v>
      </c>
      <c r="H14" s="735">
        <f t="shared" si="5"/>
        <v>0</v>
      </c>
      <c r="I14" s="735">
        <f t="shared" si="6"/>
        <v>0</v>
      </c>
      <c r="J14" s="439">
        <f t="shared" si="7"/>
        <v>0</v>
      </c>
      <c r="K14" s="439">
        <f t="shared" si="8"/>
        <v>0</v>
      </c>
      <c r="L14" s="439">
        <f t="shared" si="9"/>
        <v>0</v>
      </c>
      <c r="M14" s="500">
        <f t="shared" si="10"/>
        <v>0</v>
      </c>
      <c r="N14" s="714" t="e">
        <f>VLOOKUP(Q14,اس!$S$3:$T$31,2,FALSE)</f>
        <v>#N/A</v>
      </c>
      <c r="O14" s="293"/>
      <c r="P14" s="297"/>
      <c r="Q14" s="1415"/>
      <c r="R14" s="1415"/>
      <c r="S14" s="25"/>
      <c r="T14" s="293"/>
      <c r="U14" s="293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488">
        <v>8</v>
      </c>
      <c r="AI14" s="286" t="s">
        <v>955</v>
      </c>
      <c r="AJ14" s="287"/>
      <c r="AK14" s="282" t="s">
        <v>270</v>
      </c>
      <c r="AL14" s="318"/>
      <c r="AM14" s="318"/>
      <c r="AN14" s="318"/>
      <c r="AO14" s="318"/>
      <c r="AP14" s="318"/>
      <c r="AQ14" s="318"/>
      <c r="AR14" s="318"/>
      <c r="AS14" s="318"/>
      <c r="AT14" s="274"/>
      <c r="AU14" s="274"/>
      <c r="AV14" s="274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</row>
    <row r="15" spans="1:79" ht="19.5" thickBot="1">
      <c r="A15" s="533">
        <v>5</v>
      </c>
      <c r="B15" s="1628">
        <f t="shared" si="0"/>
        <v>0</v>
      </c>
      <c r="C15" s="1629"/>
      <c r="D15" s="1630">
        <f t="shared" si="1"/>
        <v>0</v>
      </c>
      <c r="E15" s="1631">
        <f t="shared" si="2"/>
        <v>0</v>
      </c>
      <c r="F15" s="735">
        <f t="shared" si="3"/>
        <v>0</v>
      </c>
      <c r="G15" s="735">
        <f t="shared" si="4"/>
        <v>0</v>
      </c>
      <c r="H15" s="735">
        <f t="shared" si="5"/>
        <v>0</v>
      </c>
      <c r="I15" s="735">
        <f t="shared" si="6"/>
        <v>0</v>
      </c>
      <c r="J15" s="735">
        <f t="shared" si="7"/>
        <v>0</v>
      </c>
      <c r="K15" s="735">
        <f t="shared" si="8"/>
        <v>0</v>
      </c>
      <c r="L15" s="735">
        <f t="shared" si="9"/>
        <v>0</v>
      </c>
      <c r="M15" s="735">
        <f t="shared" si="10"/>
        <v>0</v>
      </c>
      <c r="N15" s="714" t="e">
        <f>VLOOKUP(Q15,اس!$S$3:$T$31,2,FALSE)</f>
        <v>#N/A</v>
      </c>
      <c r="O15" s="293"/>
      <c r="P15" s="297"/>
      <c r="Q15" s="1415"/>
      <c r="R15" s="1415"/>
      <c r="S15" s="25"/>
      <c r="T15" s="293"/>
      <c r="U15" s="293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488">
        <v>9</v>
      </c>
      <c r="AI15" s="512" t="s">
        <v>941</v>
      </c>
      <c r="AJ15" s="513"/>
      <c r="AK15" s="282" t="s">
        <v>270</v>
      </c>
      <c r="AL15" s="317"/>
      <c r="AM15" s="317"/>
      <c r="AN15" s="317"/>
      <c r="AO15" s="317"/>
      <c r="AP15" s="318" t="s">
        <v>1506</v>
      </c>
      <c r="AQ15" s="318" t="s">
        <v>1506</v>
      </c>
      <c r="AR15" s="318"/>
      <c r="AS15" s="318"/>
      <c r="AT15" s="274"/>
      <c r="AU15" s="274"/>
      <c r="AV15" s="274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</row>
    <row r="16" spans="1:79" ht="19.5" thickBot="1">
      <c r="A16" s="533">
        <v>6</v>
      </c>
      <c r="B16" s="1628">
        <f t="shared" si="0"/>
        <v>0</v>
      </c>
      <c r="C16" s="1629"/>
      <c r="D16" s="1630">
        <f t="shared" si="1"/>
        <v>0</v>
      </c>
      <c r="E16" s="1631">
        <f t="shared" si="2"/>
        <v>0</v>
      </c>
      <c r="F16" s="735">
        <f t="shared" si="3"/>
        <v>0</v>
      </c>
      <c r="G16" s="735">
        <f t="shared" si="4"/>
        <v>0</v>
      </c>
      <c r="H16" s="735">
        <f t="shared" si="5"/>
        <v>0</v>
      </c>
      <c r="I16" s="735">
        <f t="shared" si="6"/>
        <v>0</v>
      </c>
      <c r="J16" s="735">
        <f t="shared" si="7"/>
        <v>0</v>
      </c>
      <c r="K16" s="735">
        <f t="shared" si="8"/>
        <v>0</v>
      </c>
      <c r="L16" s="735">
        <f t="shared" si="9"/>
        <v>0</v>
      </c>
      <c r="M16" s="735">
        <f t="shared" si="10"/>
        <v>0</v>
      </c>
      <c r="N16" s="714" t="e">
        <f>VLOOKUP(Q16,اس!$S$3:$T$31,2,FALSE)</f>
        <v>#N/A</v>
      </c>
      <c r="O16" s="293"/>
      <c r="P16" s="297"/>
      <c r="Q16" s="1415"/>
      <c r="R16" s="1415"/>
      <c r="S16" s="25"/>
      <c r="T16" s="293"/>
      <c r="U16" s="293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488">
        <v>10</v>
      </c>
      <c r="AI16" s="286" t="s">
        <v>1221</v>
      </c>
      <c r="AJ16" s="287"/>
      <c r="AK16" s="282" t="s">
        <v>270</v>
      </c>
      <c r="AL16" s="317" t="s">
        <v>328</v>
      </c>
      <c r="AM16" s="317" t="s">
        <v>328</v>
      </c>
      <c r="AN16" s="317" t="s">
        <v>328</v>
      </c>
      <c r="AO16" s="317" t="s">
        <v>328</v>
      </c>
      <c r="AP16" s="318"/>
      <c r="AQ16" s="318"/>
      <c r="AR16" s="318"/>
      <c r="AS16" s="318"/>
      <c r="AT16" s="274"/>
      <c r="AU16" s="274"/>
      <c r="AV16" s="274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</row>
    <row r="17" spans="1:79" ht="19.5" thickBot="1">
      <c r="A17" s="533">
        <v>7</v>
      </c>
      <c r="B17" s="1628">
        <f t="shared" si="0"/>
        <v>0</v>
      </c>
      <c r="C17" s="1629"/>
      <c r="D17" s="1630">
        <f t="shared" si="1"/>
        <v>0</v>
      </c>
      <c r="E17" s="1631">
        <f t="shared" si="2"/>
        <v>0</v>
      </c>
      <c r="F17" s="735">
        <f t="shared" si="3"/>
        <v>0</v>
      </c>
      <c r="G17" s="735">
        <f t="shared" si="4"/>
        <v>0</v>
      </c>
      <c r="H17" s="735">
        <f t="shared" si="5"/>
        <v>0</v>
      </c>
      <c r="I17" s="735">
        <f t="shared" si="6"/>
        <v>0</v>
      </c>
      <c r="J17" s="735">
        <f t="shared" si="7"/>
        <v>0</v>
      </c>
      <c r="K17" s="735">
        <f t="shared" si="8"/>
        <v>0</v>
      </c>
      <c r="L17" s="735">
        <f t="shared" si="9"/>
        <v>0</v>
      </c>
      <c r="M17" s="735">
        <f t="shared" si="10"/>
        <v>0</v>
      </c>
      <c r="N17" s="714" t="e">
        <f>VLOOKUP(Q17,اس!$S$3:$T$31,2,FALSE)</f>
        <v>#N/A</v>
      </c>
      <c r="O17" s="293"/>
      <c r="P17" s="297"/>
      <c r="Q17" s="1415"/>
      <c r="R17" s="1415"/>
      <c r="S17" s="25"/>
      <c r="T17" s="293"/>
      <c r="U17" s="293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488">
        <v>11</v>
      </c>
      <c r="AI17" s="286" t="s">
        <v>1250</v>
      </c>
      <c r="AJ17" s="287"/>
      <c r="AK17" s="282" t="s">
        <v>270</v>
      </c>
      <c r="AL17" s="317" t="s">
        <v>820</v>
      </c>
      <c r="AM17" s="317" t="s">
        <v>820</v>
      </c>
      <c r="AN17" s="317" t="s">
        <v>820</v>
      </c>
      <c r="AO17" s="317" t="s">
        <v>820</v>
      </c>
      <c r="AP17" s="317" t="s">
        <v>326</v>
      </c>
      <c r="AQ17" s="318"/>
      <c r="AR17" s="318"/>
      <c r="AS17" s="318"/>
      <c r="AT17" s="274"/>
      <c r="AU17" s="274"/>
      <c r="AV17" s="274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</row>
    <row r="18" spans="1:79" ht="19.5" thickBot="1">
      <c r="A18" s="533">
        <v>8</v>
      </c>
      <c r="B18" s="1628">
        <f t="shared" si="0"/>
        <v>0</v>
      </c>
      <c r="C18" s="1629"/>
      <c r="D18" s="1630">
        <f t="shared" si="1"/>
        <v>0</v>
      </c>
      <c r="E18" s="1631">
        <f t="shared" si="2"/>
        <v>0</v>
      </c>
      <c r="F18" s="735">
        <f t="shared" si="3"/>
        <v>0</v>
      </c>
      <c r="G18" s="735">
        <f t="shared" si="4"/>
        <v>0</v>
      </c>
      <c r="H18" s="735">
        <f t="shared" si="5"/>
        <v>0</v>
      </c>
      <c r="I18" s="735">
        <f t="shared" si="6"/>
        <v>0</v>
      </c>
      <c r="J18" s="735">
        <f t="shared" si="7"/>
        <v>0</v>
      </c>
      <c r="K18" s="735">
        <f t="shared" si="8"/>
        <v>0</v>
      </c>
      <c r="L18" s="735">
        <f t="shared" si="9"/>
        <v>0</v>
      </c>
      <c r="M18" s="735">
        <f t="shared" si="10"/>
        <v>0</v>
      </c>
      <c r="N18" s="714" t="e">
        <f>VLOOKUP(Q18,اس!$S$3:$T$31,2,FALSE)</f>
        <v>#N/A</v>
      </c>
      <c r="O18" s="293"/>
      <c r="P18" s="297"/>
      <c r="Q18" s="1415"/>
      <c r="R18" s="1415"/>
      <c r="S18" s="25"/>
      <c r="T18" s="293"/>
      <c r="U18" s="293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488">
        <v>12</v>
      </c>
      <c r="AI18" s="286" t="s">
        <v>1222</v>
      </c>
      <c r="AJ18" s="287"/>
      <c r="AK18" s="282" t="s">
        <v>408</v>
      </c>
      <c r="AL18" s="317"/>
      <c r="AM18" s="317" t="s">
        <v>1175</v>
      </c>
      <c r="AN18" s="317" t="s">
        <v>1175</v>
      </c>
      <c r="AO18" s="317" t="s">
        <v>1176</v>
      </c>
      <c r="AP18" s="317"/>
      <c r="AQ18" s="318"/>
      <c r="AR18" s="318"/>
      <c r="AS18" s="318"/>
      <c r="AT18" s="274"/>
      <c r="AU18" s="274"/>
      <c r="AV18" s="274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</row>
    <row r="19" spans="1:79" ht="19.5" thickBot="1">
      <c r="A19" s="533">
        <v>9</v>
      </c>
      <c r="B19" s="1628">
        <f t="shared" si="0"/>
        <v>0</v>
      </c>
      <c r="C19" s="1629"/>
      <c r="D19" s="1630">
        <f t="shared" si="1"/>
        <v>0</v>
      </c>
      <c r="E19" s="1631">
        <f t="shared" si="2"/>
        <v>0</v>
      </c>
      <c r="F19" s="735">
        <f t="shared" si="3"/>
        <v>0</v>
      </c>
      <c r="G19" s="735">
        <f t="shared" si="4"/>
        <v>0</v>
      </c>
      <c r="H19" s="735">
        <f t="shared" si="5"/>
        <v>0</v>
      </c>
      <c r="I19" s="735">
        <f t="shared" si="6"/>
        <v>0</v>
      </c>
      <c r="J19" s="735">
        <f t="shared" si="7"/>
        <v>0</v>
      </c>
      <c r="K19" s="735">
        <f t="shared" si="8"/>
        <v>0</v>
      </c>
      <c r="L19" s="735">
        <f t="shared" si="9"/>
        <v>0</v>
      </c>
      <c r="M19" s="735">
        <f t="shared" si="10"/>
        <v>0</v>
      </c>
      <c r="N19" s="714" t="e">
        <f>VLOOKUP(Q19,اس!$S$3:$T$31,2,FALSE)</f>
        <v>#N/A</v>
      </c>
      <c r="O19" s="293"/>
      <c r="P19" s="297"/>
      <c r="Q19" s="1415"/>
      <c r="R19" s="1415"/>
      <c r="S19" s="25"/>
      <c r="T19" s="293"/>
      <c r="U19" s="293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488">
        <v>13</v>
      </c>
      <c r="AI19" s="512" t="s">
        <v>811</v>
      </c>
      <c r="AJ19" s="513"/>
      <c r="AK19" s="282" t="s">
        <v>408</v>
      </c>
      <c r="AL19" s="317" t="s">
        <v>328</v>
      </c>
      <c r="AM19" s="317" t="s">
        <v>328</v>
      </c>
      <c r="AN19" s="317" t="s">
        <v>328</v>
      </c>
      <c r="AO19" s="317" t="s">
        <v>328</v>
      </c>
      <c r="AP19" s="318" t="s">
        <v>1176</v>
      </c>
      <c r="AQ19" s="318" t="s">
        <v>1176</v>
      </c>
      <c r="AR19" s="318"/>
      <c r="AS19" s="318"/>
      <c r="AT19" s="274"/>
      <c r="AU19" s="274"/>
      <c r="AV19" s="274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</row>
    <row r="20" spans="1:79" ht="19.5" thickBot="1">
      <c r="A20" s="534">
        <v>10</v>
      </c>
      <c r="B20" s="1632">
        <f t="shared" si="0"/>
        <v>0</v>
      </c>
      <c r="C20" s="1633"/>
      <c r="D20" s="1630">
        <f t="shared" si="1"/>
        <v>0</v>
      </c>
      <c r="E20" s="1631">
        <f t="shared" si="2"/>
        <v>0</v>
      </c>
      <c r="F20" s="735">
        <f t="shared" si="3"/>
        <v>0</v>
      </c>
      <c r="G20" s="735">
        <f t="shared" si="4"/>
        <v>0</v>
      </c>
      <c r="H20" s="735">
        <f t="shared" si="5"/>
        <v>0</v>
      </c>
      <c r="I20" s="735">
        <f t="shared" si="6"/>
        <v>0</v>
      </c>
      <c r="J20" s="735">
        <f t="shared" si="7"/>
        <v>0</v>
      </c>
      <c r="K20" s="735">
        <f t="shared" si="8"/>
        <v>0</v>
      </c>
      <c r="L20" s="735">
        <f t="shared" si="9"/>
        <v>0</v>
      </c>
      <c r="M20" s="735">
        <f t="shared" si="10"/>
        <v>0</v>
      </c>
      <c r="N20" s="715" t="e">
        <f>VLOOKUP(Q20,اس!$S$3:$T$31,2,FALSE)</f>
        <v>#N/A</v>
      </c>
      <c r="O20" s="293"/>
      <c r="P20" s="297"/>
      <c r="Q20" s="1415"/>
      <c r="R20" s="1415"/>
      <c r="S20" s="25"/>
      <c r="T20" s="293"/>
      <c r="U20" s="293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488">
        <v>14</v>
      </c>
      <c r="AI20" s="286" t="s">
        <v>1223</v>
      </c>
      <c r="AJ20" s="287"/>
      <c r="AK20" s="282" t="s">
        <v>408</v>
      </c>
      <c r="AL20" s="317"/>
      <c r="AM20" s="317" t="s">
        <v>326</v>
      </c>
      <c r="AN20" s="317" t="s">
        <v>326</v>
      </c>
      <c r="AO20" s="317"/>
      <c r="AP20" s="317"/>
      <c r="AQ20" s="318"/>
      <c r="AR20" s="318"/>
      <c r="AS20" s="318"/>
      <c r="AT20" s="281"/>
      <c r="AU20" s="281"/>
      <c r="AV20" s="281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</row>
    <row r="21" spans="1:79" ht="19.5" thickBot="1">
      <c r="A21" s="522">
        <v>-2</v>
      </c>
      <c r="B21" s="523" t="s">
        <v>294</v>
      </c>
      <c r="C21" s="523"/>
      <c r="D21" s="523"/>
      <c r="E21" s="524"/>
      <c r="F21" s="525"/>
      <c r="G21" s="525"/>
      <c r="H21" s="525"/>
      <c r="I21" s="525"/>
      <c r="J21" s="565" t="s">
        <v>954</v>
      </c>
      <c r="K21" s="526"/>
      <c r="L21" s="526"/>
      <c r="M21" s="526"/>
      <c r="N21" s="298"/>
      <c r="O21" s="298"/>
      <c r="P21" s="297"/>
      <c r="Q21" s="1415"/>
      <c r="R21" s="1415"/>
      <c r="S21" s="25"/>
      <c r="T21" s="293"/>
      <c r="U21" s="293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488">
        <v>15</v>
      </c>
      <c r="AI21" s="286" t="s">
        <v>812</v>
      </c>
      <c r="AJ21" s="287"/>
      <c r="AK21" s="282" t="s">
        <v>408</v>
      </c>
      <c r="AL21" s="317" t="s">
        <v>268</v>
      </c>
      <c r="AM21" s="318"/>
      <c r="AN21" s="317" t="s">
        <v>500</v>
      </c>
      <c r="AO21" s="317" t="s">
        <v>265</v>
      </c>
      <c r="AP21" s="317" t="s">
        <v>327</v>
      </c>
      <c r="AQ21" s="317" t="s">
        <v>1210</v>
      </c>
      <c r="AR21" s="318"/>
      <c r="AS21" s="317" t="s">
        <v>1226</v>
      </c>
      <c r="AT21" s="281"/>
      <c r="AU21" s="274"/>
      <c r="AV21" s="274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</row>
    <row r="22" spans="1:79" ht="19.5" thickBot="1">
      <c r="A22" s="529" t="s">
        <v>298</v>
      </c>
      <c r="B22" s="1417" t="s">
        <v>299</v>
      </c>
      <c r="C22" s="1417"/>
      <c r="D22" s="1417" t="s">
        <v>300</v>
      </c>
      <c r="E22" s="1417"/>
      <c r="F22" s="1417" t="s">
        <v>301</v>
      </c>
      <c r="G22" s="1417"/>
      <c r="H22" s="1417" t="s">
        <v>302</v>
      </c>
      <c r="I22" s="1441"/>
      <c r="J22" s="1437" t="s">
        <v>303</v>
      </c>
      <c r="K22" s="1437"/>
      <c r="L22" s="1437"/>
      <c r="M22" s="732" t="s">
        <v>304</v>
      </c>
      <c r="N22" s="555" t="s">
        <v>541</v>
      </c>
      <c r="O22" s="503"/>
      <c r="P22" s="387" t="s">
        <v>825</v>
      </c>
      <c r="Q22" s="1415" t="s">
        <v>260</v>
      </c>
      <c r="R22" s="1415"/>
      <c r="S22" s="25"/>
      <c r="T22" s="293"/>
      <c r="U22" s="293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488">
        <v>16</v>
      </c>
      <c r="AI22" s="286" t="s">
        <v>283</v>
      </c>
      <c r="AJ22" s="287"/>
      <c r="AK22" s="282" t="s">
        <v>1207</v>
      </c>
      <c r="AL22" s="317" t="s">
        <v>819</v>
      </c>
      <c r="AM22" s="317" t="s">
        <v>1172</v>
      </c>
      <c r="AN22" s="317" t="s">
        <v>821</v>
      </c>
      <c r="AO22" s="317" t="s">
        <v>1171</v>
      </c>
      <c r="AP22" s="317" t="s">
        <v>820</v>
      </c>
      <c r="AQ22" s="317" t="s">
        <v>824</v>
      </c>
      <c r="AR22" s="317" t="s">
        <v>1224</v>
      </c>
      <c r="AS22" s="318"/>
      <c r="AT22" s="274"/>
      <c r="AU22" s="274"/>
      <c r="AV22" s="274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</row>
    <row r="23" spans="1:79" ht="19.5" thickBot="1">
      <c r="A23" s="541" t="s">
        <v>307</v>
      </c>
      <c r="B23" s="1432">
        <f>SUM(C25+B25)</f>
        <v>245</v>
      </c>
      <c r="C23" s="1432"/>
      <c r="D23" s="1432">
        <f>SUM(E25+D25)</f>
        <v>250</v>
      </c>
      <c r="E23" s="1432"/>
      <c r="F23" s="1432">
        <f>SUM(G25+F25)</f>
        <v>72</v>
      </c>
      <c r="G23" s="1432"/>
      <c r="H23" s="1432">
        <f>SUM(I25+H25)</f>
        <v>567</v>
      </c>
      <c r="I23" s="1449"/>
      <c r="J23" s="1625" t="str">
        <f>VLOOKUP(P23,اس!$S$3:$X$31,5,FALSE)</f>
        <v>مرابطين مختارية</v>
      </c>
      <c r="K23" s="1625"/>
      <c r="L23" s="1625"/>
      <c r="M23" s="564"/>
      <c r="N23" s="453" t="e">
        <f>VLOOKUP(Q23,اس!$S$3:$X$31,2,FALSE)</f>
        <v>#N/A</v>
      </c>
      <c r="O23" s="503"/>
      <c r="P23" s="387">
        <v>1</v>
      </c>
      <c r="Q23" s="1415"/>
      <c r="R23" s="1415"/>
      <c r="S23" s="25"/>
      <c r="T23" s="293"/>
      <c r="U23" s="293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488">
        <v>17</v>
      </c>
      <c r="AI23" s="284" t="s">
        <v>281</v>
      </c>
      <c r="AJ23" s="285"/>
      <c r="AK23" s="282" t="s">
        <v>1207</v>
      </c>
      <c r="AL23" s="318" t="s">
        <v>268</v>
      </c>
      <c r="AM23" s="318" t="s">
        <v>6</v>
      </c>
      <c r="AN23" s="318" t="s">
        <v>820</v>
      </c>
      <c r="AO23" s="318" t="s">
        <v>819</v>
      </c>
      <c r="AP23" s="318"/>
      <c r="AQ23" s="318"/>
      <c r="AR23" s="318"/>
      <c r="AS23" s="318"/>
      <c r="AT23" s="274"/>
      <c r="AU23" s="274"/>
      <c r="AV23" s="274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</row>
    <row r="24" spans="1:79" ht="19.5" thickBot="1">
      <c r="A24" s="530" t="s">
        <v>310</v>
      </c>
      <c r="B24" s="732" t="s">
        <v>311</v>
      </c>
      <c r="C24" s="732" t="s">
        <v>312</v>
      </c>
      <c r="D24" s="732" t="s">
        <v>311</v>
      </c>
      <c r="E24" s="732" t="s">
        <v>312</v>
      </c>
      <c r="F24" s="732" t="s">
        <v>311</v>
      </c>
      <c r="G24" s="732" t="s">
        <v>312</v>
      </c>
      <c r="H24" s="732" t="s">
        <v>311</v>
      </c>
      <c r="I24" s="608" t="s">
        <v>312</v>
      </c>
      <c r="J24" s="1625" t="e">
        <f>VLOOKUP(P24,اس!$S$3:$X$31,5,FALSE)</f>
        <v>#N/A</v>
      </c>
      <c r="K24" s="1625"/>
      <c r="L24" s="1625"/>
      <c r="M24" s="564"/>
      <c r="N24" s="453" t="e">
        <f>VLOOKUP(Q24,اس!$S$3:$X$31,2,FALSE)</f>
        <v>#N/A</v>
      </c>
      <c r="O24" s="503"/>
      <c r="P24" s="387"/>
      <c r="Q24" s="1415"/>
      <c r="R24" s="1415"/>
      <c r="S24" s="25"/>
      <c r="T24" s="293"/>
      <c r="U24" s="293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488">
        <v>18</v>
      </c>
      <c r="AI24" s="510" t="s">
        <v>1509</v>
      </c>
      <c r="AJ24" s="511"/>
      <c r="AK24" s="282" t="s">
        <v>1207</v>
      </c>
      <c r="AL24" s="318"/>
      <c r="AM24" s="318"/>
      <c r="AN24" s="318"/>
      <c r="AO24" s="318"/>
      <c r="AP24" s="318"/>
      <c r="AQ24" s="318"/>
      <c r="AR24" s="318"/>
      <c r="AS24" s="318"/>
      <c r="AT24" s="274"/>
      <c r="AU24" s="274"/>
      <c r="AV24" s="274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</row>
    <row r="25" spans="1:79" ht="19.5" thickBot="1">
      <c r="A25" s="537" t="s">
        <v>315</v>
      </c>
      <c r="B25" s="537">
        <f>COUNTIF(etat!$P$9:$P$1136,"ذن/د3")+COUNTIF(etat!$P$9:$P$1136,"ذخ3")</f>
        <v>110</v>
      </c>
      <c r="C25" s="537">
        <f>COUNTIF(etat!$P$9:$P$1136,"ان/د3")+COUNTIF(etat!$P$9:$P$1136,"اخ3")</f>
        <v>135</v>
      </c>
      <c r="D25" s="537">
        <f>COUNTIF(etat!$P$9:$P$1136,"ذن/د2")+COUNTIF(etat!$P$9:$P$1136,"ذخ2")</f>
        <v>93</v>
      </c>
      <c r="E25" s="537">
        <f>COUNTIF(etat!$P$12:$P$1136,"ان/د2")+COUNTIF(etat!$P$12:$P$1136,"اخ2")</f>
        <v>157</v>
      </c>
      <c r="F25" s="537">
        <f>COUNTIF(etat!$P$9:$P$1136,"ذن/د1")+COUNTIF(etat!$P$9:$P$1136,"ذخ1")</f>
        <v>29</v>
      </c>
      <c r="G25" s="537">
        <f>COUNTIF(etat!$P$12:$P$1136,"ان/د1")+COUNTIF(etat!$P$12:$P$1136,"اخ1")</f>
        <v>43</v>
      </c>
      <c r="H25" s="730">
        <f>SUM(B25+D25+F25)</f>
        <v>232</v>
      </c>
      <c r="I25" s="731">
        <f>SUM(C25+E25+G25)</f>
        <v>335</v>
      </c>
      <c r="J25" s="1625" t="e">
        <f>VLOOKUP(P25,اس!$S$3:$X$31,5,FALSE)</f>
        <v>#N/A</v>
      </c>
      <c r="K25" s="1625"/>
      <c r="L25" s="1625"/>
      <c r="M25" s="564"/>
      <c r="N25" s="453" t="e">
        <f>VLOOKUP(Q25,اس!$S$3:$X$31,2,FALSE)</f>
        <v>#N/A</v>
      </c>
      <c r="O25" s="503"/>
      <c r="P25" s="387"/>
      <c r="Q25" s="1415">
        <v>0</v>
      </c>
      <c r="R25" s="1415"/>
      <c r="S25" s="25"/>
      <c r="T25" s="293"/>
      <c r="U25" s="293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488">
        <v>19</v>
      </c>
      <c r="AI25" s="510" t="s">
        <v>278</v>
      </c>
      <c r="AJ25" s="511"/>
      <c r="AK25" s="282" t="s">
        <v>279</v>
      </c>
      <c r="AL25" s="318"/>
      <c r="AM25" s="317" t="s">
        <v>326</v>
      </c>
      <c r="AN25" s="317" t="s">
        <v>326</v>
      </c>
      <c r="AO25" s="318"/>
      <c r="AP25" s="318"/>
      <c r="AQ25" s="317" t="s">
        <v>1224</v>
      </c>
      <c r="AR25" s="317" t="s">
        <v>1224</v>
      </c>
      <c r="AS25" s="317" t="s">
        <v>1224</v>
      </c>
      <c r="AT25" s="274"/>
      <c r="AU25" s="274"/>
      <c r="AV25" s="274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</row>
    <row r="26" spans="1:79" ht="19.5" thickBot="1">
      <c r="A26" s="538" t="s">
        <v>316</v>
      </c>
      <c r="B26" s="539">
        <f t="shared" ref="B26:I26" si="11">SUM(B25-B30)</f>
        <v>110</v>
      </c>
      <c r="C26" s="539">
        <f t="shared" si="11"/>
        <v>135</v>
      </c>
      <c r="D26" s="539">
        <f t="shared" si="11"/>
        <v>93</v>
      </c>
      <c r="E26" s="539">
        <f t="shared" si="11"/>
        <v>157</v>
      </c>
      <c r="F26" s="539">
        <f t="shared" si="11"/>
        <v>29</v>
      </c>
      <c r="G26" s="539">
        <f t="shared" si="11"/>
        <v>43</v>
      </c>
      <c r="H26" s="539">
        <f t="shared" si="11"/>
        <v>232</v>
      </c>
      <c r="I26" s="563">
        <f t="shared" si="11"/>
        <v>335</v>
      </c>
      <c r="J26" s="1625" t="e">
        <f>VLOOKUP(P26,اس!$S$3:$X$31,5,FALSE)</f>
        <v>#N/A</v>
      </c>
      <c r="K26" s="1625"/>
      <c r="L26" s="1625"/>
      <c r="M26" s="564"/>
      <c r="N26" s="453" t="e">
        <f>VLOOKUP(Q26,اس!$S$3:$X$31,2,FALSE)</f>
        <v>#N/A</v>
      </c>
      <c r="O26" s="503"/>
      <c r="P26" s="387"/>
      <c r="Q26" s="1415">
        <v>0</v>
      </c>
      <c r="R26" s="1415"/>
      <c r="S26" s="25"/>
      <c r="T26" s="293"/>
      <c r="U26" s="293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488">
        <v>20</v>
      </c>
      <c r="AI26" s="286" t="s">
        <v>942</v>
      </c>
      <c r="AJ26" s="287"/>
      <c r="AK26" s="282" t="s">
        <v>279</v>
      </c>
      <c r="AL26" s="317" t="s">
        <v>639</v>
      </c>
      <c r="AM26" s="317" t="s">
        <v>639</v>
      </c>
      <c r="AN26" s="318"/>
      <c r="AO26" s="318"/>
      <c r="AP26" s="318"/>
      <c r="AQ26" s="318"/>
      <c r="AR26" s="318"/>
      <c r="AS26" s="318"/>
      <c r="AT26" s="274"/>
      <c r="AU26" s="274"/>
      <c r="AV26" s="274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</row>
    <row r="27" spans="1:79" ht="19.5" thickBot="1">
      <c r="A27" s="553">
        <v>-2</v>
      </c>
      <c r="B27" s="551" t="s">
        <v>294</v>
      </c>
      <c r="C27" s="551"/>
      <c r="D27" s="551"/>
      <c r="E27" s="554"/>
      <c r="F27" s="551"/>
      <c r="G27" s="551"/>
      <c r="H27" s="551"/>
      <c r="I27" s="551"/>
      <c r="J27" s="294"/>
      <c r="K27" s="294"/>
      <c r="L27" s="294"/>
      <c r="M27" s="294"/>
      <c r="N27" s="294"/>
      <c r="O27" s="142"/>
      <c r="P27" s="25"/>
      <c r="Q27" s="25"/>
      <c r="R27" s="25"/>
      <c r="S27" s="25"/>
      <c r="T27" s="293"/>
      <c r="U27" s="293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488">
        <v>21</v>
      </c>
      <c r="AI27" s="512" t="s">
        <v>286</v>
      </c>
      <c r="AJ27" s="513"/>
      <c r="AK27" s="282" t="s">
        <v>1202</v>
      </c>
      <c r="AL27" s="317" t="s">
        <v>265</v>
      </c>
      <c r="AM27" s="317" t="s">
        <v>265</v>
      </c>
      <c r="AN27" s="317" t="s">
        <v>1171</v>
      </c>
      <c r="AO27" s="318"/>
      <c r="AP27" s="317" t="s">
        <v>327</v>
      </c>
      <c r="AQ27" s="318"/>
      <c r="AR27" s="318"/>
      <c r="AS27" s="318"/>
      <c r="AT27" s="274"/>
      <c r="AU27" s="274"/>
      <c r="AV27" s="274"/>
      <c r="AW27" s="150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</row>
    <row r="28" spans="1:79" ht="19.5" thickBot="1">
      <c r="A28" s="552" t="s">
        <v>827</v>
      </c>
      <c r="B28" s="1430" t="s">
        <v>299</v>
      </c>
      <c r="C28" s="1430"/>
      <c r="D28" s="1424" t="s">
        <v>300</v>
      </c>
      <c r="E28" s="1424"/>
      <c r="F28" s="1424" t="s">
        <v>301</v>
      </c>
      <c r="G28" s="1424"/>
      <c r="H28" s="1424" t="s">
        <v>302</v>
      </c>
      <c r="I28" s="1424"/>
      <c r="J28" s="560" t="s">
        <v>952</v>
      </c>
      <c r="K28" s="741"/>
      <c r="L28" s="741"/>
      <c r="M28" s="741"/>
      <c r="N28" s="741"/>
      <c r="O28" s="142"/>
      <c r="P28" s="25"/>
      <c r="Q28" s="25"/>
      <c r="R28" s="25"/>
      <c r="S28" s="25"/>
      <c r="T28" s="293"/>
      <c r="U28" s="293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488">
        <v>22</v>
      </c>
      <c r="AI28" s="512" t="s">
        <v>287</v>
      </c>
      <c r="AJ28" s="513"/>
      <c r="AK28" s="282" t="s">
        <v>1202</v>
      </c>
      <c r="AL28" s="318"/>
      <c r="AM28" s="318"/>
      <c r="AN28" s="6"/>
      <c r="AO28" s="318"/>
      <c r="AP28" s="487" t="s">
        <v>821</v>
      </c>
      <c r="AQ28" s="487" t="s">
        <v>1499</v>
      </c>
      <c r="AR28" s="487" t="s">
        <v>1499</v>
      </c>
      <c r="AS28" s="317"/>
      <c r="AT28" s="274"/>
      <c r="AU28" s="274"/>
      <c r="AV28" s="274"/>
      <c r="AW28" s="154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</row>
    <row r="29" spans="1:79" ht="19.5" thickBot="1">
      <c r="A29" s="540" t="s">
        <v>302</v>
      </c>
      <c r="B29" s="1423">
        <f>SUM(C30+B30)</f>
        <v>0</v>
      </c>
      <c r="C29" s="1423"/>
      <c r="D29" s="1423">
        <f>SUM(E30+D30)</f>
        <v>0</v>
      </c>
      <c r="E29" s="1423"/>
      <c r="F29" s="1423">
        <f>SUM(G30+F30)</f>
        <v>0</v>
      </c>
      <c r="G29" s="1423"/>
      <c r="H29" s="1423">
        <f>SUM(I30+H30)</f>
        <v>0</v>
      </c>
      <c r="I29" s="1423"/>
      <c r="J29" s="738" t="s">
        <v>1247</v>
      </c>
      <c r="K29" s="739"/>
      <c r="L29" s="740"/>
      <c r="M29" s="535" t="s">
        <v>1545</v>
      </c>
      <c r="N29" s="725" t="s">
        <v>1546</v>
      </c>
      <c r="O29" s="142"/>
      <c r="P29" s="142"/>
      <c r="Q29" s="29"/>
      <c r="R29" s="142"/>
      <c r="S29" s="299"/>
      <c r="T29" s="293"/>
      <c r="U29" s="293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488">
        <v>23</v>
      </c>
      <c r="AI29" s="508" t="s">
        <v>284</v>
      </c>
      <c r="AJ29" s="509"/>
      <c r="AK29" s="282" t="s">
        <v>1202</v>
      </c>
      <c r="AL29" s="318"/>
      <c r="AM29" s="318"/>
      <c r="AN29" s="487" t="s">
        <v>268</v>
      </c>
      <c r="AO29" s="318"/>
      <c r="AP29" s="487" t="s">
        <v>263</v>
      </c>
      <c r="AQ29" s="487" t="s">
        <v>1226</v>
      </c>
      <c r="AR29" s="487" t="s">
        <v>1226</v>
      </c>
      <c r="AS29" s="318"/>
      <c r="AT29" s="274"/>
      <c r="AU29" s="274"/>
      <c r="AV29" s="274"/>
      <c r="AW29" s="154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</row>
    <row r="30" spans="1:79" ht="19.5" thickBot="1">
      <c r="A30" s="736" t="s">
        <v>317</v>
      </c>
      <c r="B30" s="733">
        <f t="shared" ref="B30:I30" si="12">SUM(B31:B32)</f>
        <v>0</v>
      </c>
      <c r="C30" s="733">
        <f t="shared" si="12"/>
        <v>0</v>
      </c>
      <c r="D30" s="733">
        <f t="shared" si="12"/>
        <v>0</v>
      </c>
      <c r="E30" s="733">
        <f t="shared" si="12"/>
        <v>0</v>
      </c>
      <c r="F30" s="733">
        <f t="shared" si="12"/>
        <v>0</v>
      </c>
      <c r="G30" s="733">
        <f t="shared" si="12"/>
        <v>0</v>
      </c>
      <c r="H30" s="733">
        <f t="shared" si="12"/>
        <v>0</v>
      </c>
      <c r="I30" s="733">
        <f t="shared" si="12"/>
        <v>0</v>
      </c>
      <c r="J30" s="737" t="s">
        <v>302</v>
      </c>
      <c r="K30" s="737"/>
      <c r="L30" s="502">
        <f>COUNT(AH7:AH55)</f>
        <v>48</v>
      </c>
      <c r="M30" s="502">
        <f>COUNT(اس!V3:W9)</f>
        <v>7</v>
      </c>
      <c r="N30" s="502">
        <v>1</v>
      </c>
      <c r="O30" s="142"/>
      <c r="P30" s="142"/>
      <c r="Q30" s="26"/>
      <c r="R30" s="142"/>
      <c r="S30" s="501"/>
      <c r="T30" s="293"/>
      <c r="U30" s="293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488">
        <v>24</v>
      </c>
      <c r="AI30" s="512" t="s">
        <v>1205</v>
      </c>
      <c r="AJ30" s="513"/>
      <c r="AK30" s="282" t="s">
        <v>1202</v>
      </c>
      <c r="AL30" s="318"/>
      <c r="AM30" s="318"/>
      <c r="AN30" s="318" t="s">
        <v>820</v>
      </c>
      <c r="AO30" s="318" t="s">
        <v>1497</v>
      </c>
      <c r="AP30" s="318" t="s">
        <v>824</v>
      </c>
      <c r="AQ30" s="317" t="s">
        <v>1518</v>
      </c>
      <c r="AR30" s="317" t="s">
        <v>1507</v>
      </c>
      <c r="AS30" s="317" t="s">
        <v>824</v>
      </c>
      <c r="AT30" s="281"/>
      <c r="AU30" s="281"/>
      <c r="AV30" s="281"/>
      <c r="AW30" s="154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</row>
    <row r="31" spans="1:79" ht="19.5" thickBot="1">
      <c r="A31" s="736" t="s">
        <v>318</v>
      </c>
      <c r="B31" s="454">
        <f>COUNTIF($S$68:$S$270,"ذن/د3")</f>
        <v>0</v>
      </c>
      <c r="C31" s="454">
        <f>COUNTIF($S$68:$S$270,"ان/د3")</f>
        <v>0</v>
      </c>
      <c r="D31" s="454">
        <f>COUNTIF($S$68:$S$270,"ذن/د2")</f>
        <v>0</v>
      </c>
      <c r="E31" s="454">
        <f>COUNTIF($S$68:$S$270,"ان/د2")</f>
        <v>0</v>
      </c>
      <c r="F31" s="454">
        <f>COUNTIF($S$68:$S$270,"ذن/د1")</f>
        <v>0</v>
      </c>
      <c r="G31" s="454">
        <f>COUNTIF($S$68:$S$270,"ان/د1")</f>
        <v>0</v>
      </c>
      <c r="H31" s="454">
        <f t="shared" ref="H31:I32" si="13">B31+D31+F31</f>
        <v>0</v>
      </c>
      <c r="I31" s="454">
        <f t="shared" si="13"/>
        <v>0</v>
      </c>
      <c r="J31" s="737" t="s">
        <v>316</v>
      </c>
      <c r="K31" s="737"/>
      <c r="L31" s="502">
        <f>SUM(L30-L32)</f>
        <v>46</v>
      </c>
      <c r="M31" s="502">
        <f>SUM(M30-M32)</f>
        <v>6</v>
      </c>
      <c r="N31" s="502">
        <f t="shared" ref="N31" si="14">SUM(N30-N32)</f>
        <v>1</v>
      </c>
      <c r="O31" s="142"/>
      <c r="P31" s="142"/>
      <c r="Q31" s="142"/>
      <c r="R31" s="142"/>
      <c r="S31" s="142"/>
      <c r="T31" s="293"/>
      <c r="U31" s="293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488">
        <v>25</v>
      </c>
      <c r="AI31" s="512" t="s">
        <v>1228</v>
      </c>
      <c r="AJ31" s="513"/>
      <c r="AK31" s="282" t="s">
        <v>1202</v>
      </c>
      <c r="AL31" s="317" t="s">
        <v>639</v>
      </c>
      <c r="AM31" s="317" t="s">
        <v>639</v>
      </c>
      <c r="AN31" s="317" t="s">
        <v>265</v>
      </c>
      <c r="AO31" s="317" t="s">
        <v>268</v>
      </c>
      <c r="AP31" s="317" t="s">
        <v>1172</v>
      </c>
      <c r="AQ31" s="318"/>
      <c r="AR31" s="318"/>
      <c r="AS31" s="318"/>
      <c r="AT31" s="274"/>
      <c r="AU31" s="25"/>
      <c r="AV31" s="25"/>
      <c r="AW31" s="154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</row>
    <row r="32" spans="1:79" ht="19.5" thickBot="1">
      <c r="A32" s="736" t="s">
        <v>319</v>
      </c>
      <c r="B32" s="454">
        <f>COUNTIF($S$68:$S$270,"ذخ3")</f>
        <v>0</v>
      </c>
      <c r="C32" s="454">
        <f>COUNTIF($S$68:$S$270,"اخ3")</f>
        <v>0</v>
      </c>
      <c r="D32" s="454">
        <f>COUNTIF($S$68:$S$270,"ذخ2")</f>
        <v>0</v>
      </c>
      <c r="E32" s="454">
        <f>COUNTIF($S$68:$S$270,"اخ2")</f>
        <v>0</v>
      </c>
      <c r="F32" s="454">
        <f>COUNTIF($S$68:$S$270,"ذخ1")</f>
        <v>0</v>
      </c>
      <c r="G32" s="454">
        <f>COUNTIF($S$68:$S$270,"اخ1")</f>
        <v>0</v>
      </c>
      <c r="H32" s="454">
        <f>B32+D32+F32</f>
        <v>0</v>
      </c>
      <c r="I32" s="454">
        <f t="shared" si="13"/>
        <v>0</v>
      </c>
      <c r="J32" s="737" t="s">
        <v>321</v>
      </c>
      <c r="K32" s="737"/>
      <c r="L32" s="502">
        <f>COUNT(P11:P21)</f>
        <v>2</v>
      </c>
      <c r="M32" s="502">
        <f>COUNT(P23:P26)</f>
        <v>1</v>
      </c>
      <c r="N32" s="502">
        <f>COUNT(R24:R28)</f>
        <v>0</v>
      </c>
      <c r="O32" s="142"/>
      <c r="P32" s="142"/>
      <c r="Q32" s="142"/>
      <c r="R32" s="142"/>
      <c r="S32" s="142"/>
      <c r="T32" s="293"/>
      <c r="U32" s="293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488">
        <v>26</v>
      </c>
      <c r="AI32" s="512" t="s">
        <v>1510</v>
      </c>
      <c r="AJ32" s="513"/>
      <c r="AK32" s="282" t="s">
        <v>1202</v>
      </c>
      <c r="AL32" s="317" t="s">
        <v>500</v>
      </c>
      <c r="AM32" s="317"/>
      <c r="AN32" s="318" t="s">
        <v>1176</v>
      </c>
      <c r="AO32" s="317" t="s">
        <v>1176</v>
      </c>
      <c r="AP32" s="317"/>
      <c r="AQ32" s="318"/>
      <c r="AR32" s="318"/>
      <c r="AS32" s="318"/>
      <c r="AT32" s="274"/>
      <c r="AU32" s="274"/>
      <c r="AV32" s="274"/>
      <c r="AW32" s="154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</row>
    <row r="33" spans="1:79" ht="19.5" thickBot="1">
      <c r="A33" s="514" t="s">
        <v>320</v>
      </c>
      <c r="B33" s="514">
        <f t="shared" ref="B33:I33" si="15">SUM(B30/B25*100)</f>
        <v>0</v>
      </c>
      <c r="C33" s="514">
        <f t="shared" si="15"/>
        <v>0</v>
      </c>
      <c r="D33" s="514">
        <f t="shared" si="15"/>
        <v>0</v>
      </c>
      <c r="E33" s="514">
        <f t="shared" si="15"/>
        <v>0</v>
      </c>
      <c r="F33" s="496">
        <f t="shared" si="15"/>
        <v>0</v>
      </c>
      <c r="G33" s="514">
        <f t="shared" si="15"/>
        <v>0</v>
      </c>
      <c r="H33" s="514">
        <f t="shared" si="15"/>
        <v>0</v>
      </c>
      <c r="I33" s="514">
        <f t="shared" si="15"/>
        <v>0</v>
      </c>
      <c r="J33" s="1449" t="s">
        <v>323</v>
      </c>
      <c r="K33" s="1455"/>
      <c r="L33" s="550">
        <f>SUM(L32/L30*100)</f>
        <v>4.1666666666666661</v>
      </c>
      <c r="M33" s="730">
        <f t="shared" ref="M33:N33" si="16">SUM(M32/M30*100)</f>
        <v>14.285714285714285</v>
      </c>
      <c r="N33" s="559">
        <f t="shared" si="16"/>
        <v>0</v>
      </c>
      <c r="O33" s="142"/>
      <c r="P33" s="142"/>
      <c r="Q33" s="142"/>
      <c r="R33" s="142"/>
      <c r="S33" s="142"/>
      <c r="T33" s="501"/>
      <c r="U33" s="501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488">
        <v>27</v>
      </c>
      <c r="AI33" s="286" t="s">
        <v>271</v>
      </c>
      <c r="AJ33" s="287"/>
      <c r="AK33" s="282" t="s">
        <v>1229</v>
      </c>
      <c r="AL33" s="6"/>
      <c r="AM33" s="317" t="s">
        <v>819</v>
      </c>
      <c r="AN33" s="317" t="s">
        <v>819</v>
      </c>
      <c r="AO33" s="318"/>
      <c r="AP33" s="318"/>
      <c r="AQ33" s="317" t="s">
        <v>1225</v>
      </c>
      <c r="AR33" s="317" t="s">
        <v>1226</v>
      </c>
      <c r="AS33" s="318"/>
      <c r="AT33" s="281"/>
      <c r="AU33" s="281"/>
      <c r="AV33" s="281"/>
      <c r="AW33" s="154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</row>
    <row r="34" spans="1:79" ht="19.5" thickBot="1">
      <c r="A34" s="536" t="s">
        <v>322</v>
      </c>
      <c r="B34" s="1465">
        <f>SUM(B29/B23)*100</f>
        <v>0</v>
      </c>
      <c r="C34" s="1465"/>
      <c r="D34" s="1465">
        <f>SUM(D29/D23)*100</f>
        <v>0</v>
      </c>
      <c r="E34" s="1465"/>
      <c r="F34" s="1462">
        <f>SUM(F29/F23)*100</f>
        <v>0</v>
      </c>
      <c r="G34" s="1462"/>
      <c r="H34" s="1462">
        <f>SUM(H29/H23)*100</f>
        <v>0</v>
      </c>
      <c r="I34" s="1462"/>
      <c r="J34" s="561"/>
      <c r="K34" s="561"/>
      <c r="L34" s="561"/>
      <c r="M34" s="561"/>
      <c r="N34" s="561"/>
      <c r="O34" s="142"/>
      <c r="P34" s="142"/>
      <c r="Q34" s="142"/>
      <c r="R34" s="142"/>
      <c r="S34" s="142"/>
      <c r="T34" s="729"/>
      <c r="U34" s="729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488">
        <v>28</v>
      </c>
      <c r="AI34" s="365" t="s">
        <v>1547</v>
      </c>
      <c r="AJ34" s="513"/>
      <c r="AK34" s="282" t="s">
        <v>1229</v>
      </c>
      <c r="AL34" s="318"/>
      <c r="AM34" s="318"/>
      <c r="AN34" s="318"/>
      <c r="AO34" s="318"/>
      <c r="AP34" s="318" t="s">
        <v>1532</v>
      </c>
      <c r="AQ34" s="318" t="s">
        <v>824</v>
      </c>
      <c r="AR34" s="318"/>
      <c r="AS34" s="318" t="s">
        <v>1532</v>
      </c>
      <c r="AT34" s="318"/>
      <c r="AU34" s="318"/>
      <c r="AV34" s="318"/>
      <c r="AW34" s="319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</row>
    <row r="35" spans="1:79" ht="19.5" thickBot="1">
      <c r="A35" s="1427" t="s">
        <v>1555</v>
      </c>
      <c r="B35" s="1428"/>
      <c r="C35" s="1428"/>
      <c r="D35" s="1428"/>
      <c r="E35" s="1428"/>
      <c r="F35" s="1429" t="s">
        <v>1556</v>
      </c>
      <c r="G35" s="1429"/>
      <c r="H35" s="1429"/>
      <c r="I35" s="1429" t="s">
        <v>1563</v>
      </c>
      <c r="J35" s="1429"/>
      <c r="K35" s="1429"/>
      <c r="L35" s="1429"/>
      <c r="M35" s="562"/>
      <c r="N35" s="562"/>
      <c r="O35" s="320"/>
      <c r="P35" s="142"/>
      <c r="Q35" s="142"/>
      <c r="R35" s="142"/>
      <c r="S35" s="142"/>
      <c r="T35" s="501"/>
      <c r="U35" s="501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488">
        <v>29</v>
      </c>
      <c r="AI35" s="286" t="s">
        <v>1511</v>
      </c>
      <c r="AJ35" s="287"/>
      <c r="AK35" s="282" t="s">
        <v>1229</v>
      </c>
      <c r="AL35" s="318" t="s">
        <v>1248</v>
      </c>
      <c r="AM35" s="318"/>
      <c r="AN35" s="318" t="s">
        <v>1248</v>
      </c>
      <c r="AO35" s="317"/>
      <c r="AP35" s="25"/>
      <c r="AQ35" s="318" t="s">
        <v>1530</v>
      </c>
      <c r="AR35" s="318" t="s">
        <v>1529</v>
      </c>
      <c r="AS35" s="317"/>
      <c r="AT35" s="281"/>
      <c r="AU35" s="274"/>
      <c r="AV35" s="274"/>
      <c r="AW35" s="154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</row>
    <row r="36" spans="1:79" ht="19.5" thickBot="1">
      <c r="A36" s="530" t="s">
        <v>324</v>
      </c>
      <c r="B36" s="556" t="s">
        <v>500</v>
      </c>
      <c r="C36" s="556" t="s">
        <v>1519</v>
      </c>
      <c r="D36" s="556" t="s">
        <v>1497</v>
      </c>
      <c r="E36" s="556" t="s">
        <v>820</v>
      </c>
      <c r="F36" s="556" t="s">
        <v>819</v>
      </c>
      <c r="G36" s="556" t="s">
        <v>1850</v>
      </c>
      <c r="H36" s="556" t="s">
        <v>1851</v>
      </c>
      <c r="I36" s="556" t="s">
        <v>1852</v>
      </c>
      <c r="J36" s="556" t="s">
        <v>268</v>
      </c>
      <c r="K36" s="556"/>
      <c r="L36" s="556"/>
      <c r="M36" s="556"/>
      <c r="N36" s="530" t="s">
        <v>302</v>
      </c>
      <c r="O36" s="25"/>
      <c r="P36" s="142"/>
      <c r="Q36" s="142"/>
      <c r="R36" s="142"/>
      <c r="S36" s="142"/>
      <c r="T36" s="501"/>
      <c r="U36" s="501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488">
        <v>30</v>
      </c>
      <c r="AI36" s="286" t="s">
        <v>1218</v>
      </c>
      <c r="AJ36" s="287"/>
      <c r="AK36" s="282" t="s">
        <v>1229</v>
      </c>
      <c r="AL36" s="318"/>
      <c r="AM36" s="318"/>
      <c r="AN36" s="318" t="s">
        <v>819</v>
      </c>
      <c r="AO36" s="318" t="s">
        <v>268</v>
      </c>
      <c r="AP36" s="318"/>
      <c r="AQ36" s="318" t="s">
        <v>1175</v>
      </c>
      <c r="AR36" s="318" t="s">
        <v>1175</v>
      </c>
      <c r="AS36" s="318" t="s">
        <v>1176</v>
      </c>
      <c r="AT36" s="274"/>
      <c r="AU36" s="274"/>
      <c r="AV36" s="274"/>
      <c r="AW36" s="154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</row>
    <row r="37" spans="1:79" ht="19.5" thickBot="1">
      <c r="A37" s="736" t="s">
        <v>325</v>
      </c>
      <c r="B37" s="454">
        <f>COUNTIF($Q$50:$Q$1971,"3ت ر")</f>
        <v>0</v>
      </c>
      <c r="C37" s="454">
        <f>COUNTIF($Q$50:$Q$1971,"3ت ا ق1")</f>
        <v>0</v>
      </c>
      <c r="D37" s="454">
        <f>COUNTIF($Q$50:$Q$1971,"3ت ا ق2")</f>
        <v>0</v>
      </c>
      <c r="E37" s="454">
        <f>COUNTIF($Q$50:$Q$1971,"3ع ت1")</f>
        <v>0</v>
      </c>
      <c r="F37" s="454">
        <f>COUNTIF($Q$50:$Q$1971,"3ع ت2")</f>
        <v>0</v>
      </c>
      <c r="G37" s="454">
        <f>COUNTIF($Q$50:$Q$1970,"3ع ت3")</f>
        <v>0</v>
      </c>
      <c r="H37" s="454">
        <f>COUNTIF($Q$50:$Q$1971,"3آ ف1")</f>
        <v>0</v>
      </c>
      <c r="I37" s="454">
        <f>COUNTIF($Q$50:$Q$1971,"3آ ف2")</f>
        <v>0</v>
      </c>
      <c r="J37" s="454">
        <f>COUNTIF($Q$50:$Q$1971,"3ل أ")</f>
        <v>0</v>
      </c>
      <c r="K37" s="573"/>
      <c r="L37" s="573"/>
      <c r="M37" s="573"/>
      <c r="N37" s="723">
        <f>SUM(B37:M37)</f>
        <v>0</v>
      </c>
      <c r="O37" s="25"/>
      <c r="P37" s="300"/>
      <c r="Q37" s="11"/>
      <c r="R37" s="142"/>
      <c r="S37" s="501"/>
      <c r="T37" s="501"/>
      <c r="U37" s="501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488">
        <v>31</v>
      </c>
      <c r="AI37" s="286" t="s">
        <v>1230</v>
      </c>
      <c r="AJ37" s="287"/>
      <c r="AK37" s="282" t="s">
        <v>1229</v>
      </c>
      <c r="AL37" s="317" t="s">
        <v>265</v>
      </c>
      <c r="AM37" s="317" t="s">
        <v>265</v>
      </c>
      <c r="AN37" s="318"/>
      <c r="AO37" s="317" t="s">
        <v>819</v>
      </c>
      <c r="AP37" s="318"/>
      <c r="AQ37" s="318"/>
      <c r="AR37" s="318"/>
      <c r="AS37" s="318"/>
      <c r="AT37" s="274"/>
      <c r="AU37" s="274"/>
      <c r="AV37" s="274"/>
      <c r="AW37" s="154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</row>
    <row r="38" spans="1:79" ht="19.5" thickBot="1">
      <c r="A38" s="736" t="s">
        <v>324</v>
      </c>
      <c r="B38" s="732" t="s">
        <v>6</v>
      </c>
      <c r="C38" s="732" t="s">
        <v>1173</v>
      </c>
      <c r="D38" s="732" t="s">
        <v>1174</v>
      </c>
      <c r="E38" s="732" t="s">
        <v>1520</v>
      </c>
      <c r="F38" s="732" t="s">
        <v>1521</v>
      </c>
      <c r="G38" s="732" t="s">
        <v>1522</v>
      </c>
      <c r="H38" s="732" t="s">
        <v>1456</v>
      </c>
      <c r="I38" s="732" t="s">
        <v>1457</v>
      </c>
      <c r="J38" s="732" t="s">
        <v>1565</v>
      </c>
      <c r="K38" s="732" t="s">
        <v>4</v>
      </c>
      <c r="L38" s="556"/>
      <c r="M38" s="556"/>
      <c r="N38" s="530" t="s">
        <v>302</v>
      </c>
      <c r="O38" s="25"/>
      <c r="P38" s="25"/>
      <c r="Q38" s="25"/>
      <c r="R38" s="25"/>
      <c r="S38" s="25"/>
      <c r="T38" s="501"/>
      <c r="U38" s="501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488">
        <v>32</v>
      </c>
      <c r="AI38" s="286" t="s">
        <v>291</v>
      </c>
      <c r="AJ38" s="287"/>
      <c r="AK38" s="282" t="s">
        <v>290</v>
      </c>
      <c r="AL38" s="318" t="s">
        <v>6</v>
      </c>
      <c r="AM38" s="318" t="s">
        <v>265</v>
      </c>
      <c r="AN38" s="317"/>
      <c r="AO38" s="318"/>
      <c r="AP38" s="317" t="s">
        <v>828</v>
      </c>
      <c r="AQ38" s="317" t="s">
        <v>821</v>
      </c>
      <c r="AR38" s="317" t="s">
        <v>821</v>
      </c>
      <c r="AS38" s="317"/>
      <c r="AT38" s="274"/>
      <c r="AU38" s="274"/>
      <c r="AV38" s="274"/>
      <c r="AW38" s="154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</row>
    <row r="39" spans="1:79" ht="19.5" thickBot="1">
      <c r="A39" s="736" t="s">
        <v>325</v>
      </c>
      <c r="B39" s="454">
        <f>COUNTIF($Q$50:$Q$1971,"2ت ر")</f>
        <v>0</v>
      </c>
      <c r="C39" s="454">
        <f>COUNTIF($Q$50:$Q$1971,"2ت ا ق1")</f>
        <v>0</v>
      </c>
      <c r="D39" s="454">
        <f>COUNTIF($Q$50:$Q$1971,"2ت ا ق2")</f>
        <v>0</v>
      </c>
      <c r="E39" s="454">
        <f>COUNTIF($Q$50:$Q$1971,"2ع ت1")</f>
        <v>0</v>
      </c>
      <c r="F39" s="454">
        <f>COUNTIF($Q$50:$Q$1971,"2ع ت2")</f>
        <v>0</v>
      </c>
      <c r="G39" s="454">
        <f>COUNTIF($Q$50:$Q$1971,"2ع ت3")</f>
        <v>0</v>
      </c>
      <c r="H39" s="454">
        <f>COUNTIF($Q$50:$Q$1971,"2أ ف1")</f>
        <v>0</v>
      </c>
      <c r="I39" s="454">
        <f>COUNTIF($Q$50:$Q$1971,"2أ ف2")</f>
        <v>0</v>
      </c>
      <c r="J39" s="454">
        <f>COUNTIF($Q$50:$Q$1971,"2أ ف3")</f>
        <v>0</v>
      </c>
      <c r="K39" s="454">
        <f>COUNTIF($Q$50:$Q$1971,"2ل أ")</f>
        <v>0</v>
      </c>
      <c r="L39" s="573"/>
      <c r="M39" s="573"/>
      <c r="N39" s="723">
        <f>SUM(B39:M39)</f>
        <v>0</v>
      </c>
      <c r="O39" s="25"/>
      <c r="P39" s="300"/>
      <c r="Q39" s="11"/>
      <c r="R39" s="142"/>
      <c r="S39" s="501"/>
      <c r="T39" s="501"/>
      <c r="U39" s="501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488">
        <v>33</v>
      </c>
      <c r="AI39" s="286" t="s">
        <v>396</v>
      </c>
      <c r="AJ39" s="287"/>
      <c r="AK39" s="282" t="s">
        <v>290</v>
      </c>
      <c r="AL39" s="318"/>
      <c r="AM39" s="318"/>
      <c r="AN39" s="318"/>
      <c r="AO39" s="318"/>
      <c r="AP39" s="318"/>
      <c r="AQ39" s="317" t="s">
        <v>1226</v>
      </c>
      <c r="AR39" s="317" t="s">
        <v>1225</v>
      </c>
      <c r="AS39" s="317" t="s">
        <v>828</v>
      </c>
      <c r="AT39" s="281"/>
      <c r="AU39" s="274"/>
      <c r="AV39" s="274"/>
      <c r="AW39" s="154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</row>
    <row r="40" spans="1:79" ht="19.5" thickBot="1">
      <c r="A40" s="736" t="s">
        <v>324</v>
      </c>
      <c r="B40" s="732" t="s">
        <v>326</v>
      </c>
      <c r="C40" s="732" t="s">
        <v>327</v>
      </c>
      <c r="D40" s="732" t="s">
        <v>328</v>
      </c>
      <c r="E40" s="732" t="s">
        <v>1175</v>
      </c>
      <c r="F40" s="732" t="s">
        <v>329</v>
      </c>
      <c r="G40" s="732" t="s">
        <v>330</v>
      </c>
      <c r="H40" s="732"/>
      <c r="I40" s="732"/>
      <c r="J40" s="732"/>
      <c r="K40" s="732"/>
      <c r="L40" s="556"/>
      <c r="M40" s="556"/>
      <c r="N40" s="530" t="s">
        <v>302</v>
      </c>
      <c r="O40" s="25"/>
      <c r="P40" s="300"/>
      <c r="Q40" s="11"/>
      <c r="R40" s="142"/>
      <c r="S40" s="501"/>
      <c r="T40" s="501"/>
      <c r="U40" s="501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488">
        <v>34</v>
      </c>
      <c r="AI40" s="512" t="s">
        <v>292</v>
      </c>
      <c r="AJ40" s="513"/>
      <c r="AK40" s="282" t="s">
        <v>290</v>
      </c>
      <c r="AL40" s="317" t="s">
        <v>1550</v>
      </c>
      <c r="AM40" s="317" t="s">
        <v>1550</v>
      </c>
      <c r="AN40" s="317" t="s">
        <v>1550</v>
      </c>
      <c r="AO40" s="317" t="s">
        <v>1550</v>
      </c>
      <c r="AP40" s="317"/>
      <c r="AQ40" s="317"/>
      <c r="AR40" s="317"/>
      <c r="AS40" s="318"/>
      <c r="AT40" s="274"/>
      <c r="AU40" s="274"/>
      <c r="AV40" s="274"/>
      <c r="AW40" s="154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</row>
    <row r="41" spans="1:79" ht="19.5" thickBot="1">
      <c r="A41" s="736" t="s">
        <v>325</v>
      </c>
      <c r="B41" s="454">
        <f>COUNTIF($Q$50:$Q$1971,"1ج م ع1")</f>
        <v>0</v>
      </c>
      <c r="C41" s="454">
        <f>COUNTIF($Q$50:$Q$1971,"1ج م ع2")</f>
        <v>0</v>
      </c>
      <c r="D41" s="454">
        <f>COUNTIF($Q$50:$Q$1971,"1ج م ع3")</f>
        <v>0</v>
      </c>
      <c r="E41" s="454">
        <f>COUNTIF($Q$50:$Q$1971,"1ج م ع4")</f>
        <v>0</v>
      </c>
      <c r="F41" s="454">
        <f>COUNTIF($Q$50:$Q$1971,"1ج م ا1")</f>
        <v>0</v>
      </c>
      <c r="G41" s="454">
        <f>COUNTIF($Q$50:$Q$1971,"1ج م ا2")</f>
        <v>0</v>
      </c>
      <c r="H41" s="454"/>
      <c r="I41" s="454"/>
      <c r="J41" s="455"/>
      <c r="K41" s="455"/>
      <c r="L41" s="573"/>
      <c r="M41" s="573"/>
      <c r="N41" s="723">
        <f>SUM(B41:M41)</f>
        <v>0</v>
      </c>
      <c r="O41" s="25"/>
      <c r="P41" s="12"/>
      <c r="Q41" s="10"/>
      <c r="R41" s="10"/>
      <c r="S41" s="246"/>
      <c r="T41" s="501"/>
      <c r="U41" s="501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488">
        <v>35</v>
      </c>
      <c r="AI41" s="512" t="s">
        <v>929</v>
      </c>
      <c r="AJ41" s="513"/>
      <c r="AK41" s="282" t="s">
        <v>290</v>
      </c>
      <c r="AL41" s="6" t="s">
        <v>326</v>
      </c>
      <c r="AM41" s="318" t="s">
        <v>1248</v>
      </c>
      <c r="AN41" s="318" t="s">
        <v>326</v>
      </c>
      <c r="AO41" s="317" t="s">
        <v>1248</v>
      </c>
      <c r="AP41" s="318"/>
      <c r="AQ41" s="317"/>
      <c r="AR41" s="317"/>
      <c r="AS41" s="317"/>
      <c r="AT41" s="281"/>
      <c r="AU41" s="274"/>
      <c r="AV41" s="274"/>
      <c r="AW41" s="154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</row>
    <row r="42" spans="1:79" ht="19.5" thickBot="1">
      <c r="A42" s="1425" t="s">
        <v>331</v>
      </c>
      <c r="B42" s="1425"/>
      <c r="C42" s="1425"/>
      <c r="D42" s="460"/>
      <c r="E42" s="460"/>
      <c r="F42" s="483"/>
      <c r="G42" s="484" t="s">
        <v>332</v>
      </c>
      <c r="H42" s="485"/>
      <c r="I42" s="367"/>
      <c r="J42" s="461"/>
      <c r="K42" s="461"/>
      <c r="L42" s="462" t="s">
        <v>333</v>
      </c>
      <c r="M42" s="367"/>
      <c r="N42" s="367"/>
      <c r="O42" s="12"/>
      <c r="P42" s="9"/>
      <c r="Q42" s="9"/>
      <c r="R42" s="311"/>
      <c r="S42" s="729"/>
      <c r="T42" s="729"/>
      <c r="U42" s="729"/>
      <c r="V42" s="13"/>
      <c r="W42" s="13"/>
      <c r="X42" s="13"/>
      <c r="Y42" s="13"/>
      <c r="Z42" s="13"/>
      <c r="AA42" s="25"/>
      <c r="AB42" s="13"/>
      <c r="AC42" s="13"/>
      <c r="AD42" s="13"/>
      <c r="AE42" s="13"/>
      <c r="AF42" s="13"/>
      <c r="AG42" s="13"/>
      <c r="AH42" s="488">
        <v>36</v>
      </c>
      <c r="AI42" s="486" t="s">
        <v>1536</v>
      </c>
      <c r="AJ42" s="513"/>
      <c r="AK42" s="282" t="s">
        <v>290</v>
      </c>
      <c r="AL42" s="317"/>
      <c r="AM42" s="317"/>
      <c r="AN42" s="317"/>
      <c r="AO42" s="317"/>
      <c r="AP42" s="317"/>
      <c r="AQ42" s="318"/>
      <c r="AR42" s="318"/>
      <c r="AS42" s="318" t="s">
        <v>1530</v>
      </c>
      <c r="AT42" s="318"/>
      <c r="AU42" s="318"/>
      <c r="AV42" s="318"/>
      <c r="AW42" s="319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</row>
    <row r="43" spans="1:79" ht="19.5" thickBot="1">
      <c r="A43" s="458" t="s">
        <v>1503</v>
      </c>
      <c r="B43" s="458"/>
      <c r="C43" s="458"/>
      <c r="D43" s="458"/>
      <c r="E43" s="459"/>
      <c r="F43" s="459"/>
      <c r="G43" s="459"/>
      <c r="H43" s="460"/>
      <c r="I43" s="367"/>
      <c r="J43" s="367"/>
      <c r="K43" s="367"/>
      <c r="L43" s="367"/>
      <c r="M43" s="21"/>
      <c r="N43" s="21"/>
      <c r="O43" s="8"/>
      <c r="P43" s="8"/>
      <c r="Q43" s="8"/>
      <c r="R43" s="311"/>
      <c r="S43" s="729"/>
      <c r="T43" s="729"/>
      <c r="U43" s="729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488">
        <v>37</v>
      </c>
      <c r="AI43" s="286" t="s">
        <v>296</v>
      </c>
      <c r="AJ43" s="287"/>
      <c r="AK43" s="282" t="s">
        <v>1206</v>
      </c>
      <c r="AL43" s="318"/>
      <c r="AM43" s="318"/>
      <c r="AN43" s="318"/>
      <c r="AO43" s="318"/>
      <c r="AP43" s="318"/>
      <c r="AQ43" s="317" t="s">
        <v>1175</v>
      </c>
      <c r="AR43" s="317" t="s">
        <v>1176</v>
      </c>
      <c r="AS43" s="317" t="s">
        <v>1226</v>
      </c>
      <c r="AT43" s="318"/>
      <c r="AU43" s="318"/>
      <c r="AV43" s="318"/>
      <c r="AW43" s="319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</row>
    <row r="44" spans="1:79" ht="19.5" thickBot="1">
      <c r="A44" s="457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367"/>
      <c r="O44" s="12"/>
      <c r="P44" s="12"/>
      <c r="Q44" s="11"/>
      <c r="R44" s="142"/>
      <c r="S44" s="501"/>
      <c r="T44" s="501"/>
      <c r="U44" s="501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488">
        <v>38</v>
      </c>
      <c r="AI44" s="286" t="s">
        <v>297</v>
      </c>
      <c r="AJ44" s="287"/>
      <c r="AK44" s="282" t="s">
        <v>1206</v>
      </c>
      <c r="AL44" s="317"/>
      <c r="AM44" s="317"/>
      <c r="AN44" s="318"/>
      <c r="AO44" s="317"/>
      <c r="AP44" s="318" t="s">
        <v>1507</v>
      </c>
      <c r="AQ44" s="318"/>
      <c r="AR44" s="318" t="s">
        <v>821</v>
      </c>
      <c r="AS44" s="318" t="s">
        <v>821</v>
      </c>
      <c r="AT44" s="274"/>
      <c r="AU44" s="274"/>
      <c r="AV44" s="274"/>
      <c r="AW44" s="154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</row>
    <row r="45" spans="1:79" ht="19.5" thickBot="1">
      <c r="A45" s="462" t="s">
        <v>334</v>
      </c>
      <c r="B45" s="462"/>
      <c r="C45" s="462"/>
      <c r="D45" s="461"/>
      <c r="E45" s="460"/>
      <c r="F45" s="460"/>
      <c r="G45" s="461" t="s">
        <v>334</v>
      </c>
      <c r="H45" s="461"/>
      <c r="I45" s="367"/>
      <c r="J45" s="367"/>
      <c r="K45" s="21"/>
      <c r="L45" s="462" t="s">
        <v>334</v>
      </c>
      <c r="M45" s="21"/>
      <c r="N45" s="457"/>
      <c r="O45" s="12"/>
      <c r="P45" s="12"/>
      <c r="Q45" s="11"/>
      <c r="R45" s="142"/>
      <c r="S45" s="501"/>
      <c r="T45" s="501"/>
      <c r="U45" s="501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488">
        <v>39</v>
      </c>
      <c r="AI45" s="286" t="s">
        <v>640</v>
      </c>
      <c r="AJ45" s="287"/>
      <c r="AK45" s="282" t="s">
        <v>1206</v>
      </c>
      <c r="AL45" s="317" t="s">
        <v>263</v>
      </c>
      <c r="AM45" s="317" t="s">
        <v>263</v>
      </c>
      <c r="AN45" s="317" t="s">
        <v>263</v>
      </c>
      <c r="AO45" s="317" t="s">
        <v>263</v>
      </c>
      <c r="AP45" s="318"/>
      <c r="AQ45" s="318"/>
      <c r="AR45" s="318"/>
      <c r="AS45" s="318"/>
      <c r="AT45" s="274"/>
      <c r="AU45" s="274"/>
      <c r="AV45" s="274"/>
      <c r="AW45" s="154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</row>
    <row r="46" spans="1:79" ht="19.5" thickBot="1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11"/>
      <c r="P46" s="11"/>
      <c r="Q46" s="11"/>
      <c r="R46" s="142"/>
      <c r="S46" s="501"/>
      <c r="T46" s="501"/>
      <c r="U46" s="501"/>
      <c r="V46" s="25"/>
      <c r="W46" s="542"/>
      <c r="X46" s="542"/>
      <c r="Y46" s="25"/>
      <c r="Z46" s="25"/>
      <c r="AA46" s="25"/>
      <c r="AB46" s="25"/>
      <c r="AC46" s="25"/>
      <c r="AD46" s="25"/>
      <c r="AE46" s="25"/>
      <c r="AF46" s="25"/>
      <c r="AG46" s="25"/>
      <c r="AH46" s="488">
        <v>41</v>
      </c>
      <c r="AI46" s="363" t="s">
        <v>1537</v>
      </c>
      <c r="AJ46" s="287"/>
      <c r="AK46" s="282" t="s">
        <v>1206</v>
      </c>
      <c r="AL46" s="317" t="s">
        <v>327</v>
      </c>
      <c r="AM46" s="317" t="s">
        <v>327</v>
      </c>
      <c r="AN46" s="317"/>
      <c r="AO46" s="317"/>
      <c r="AP46" s="318" t="s">
        <v>824</v>
      </c>
      <c r="AQ46" s="318" t="s">
        <v>828</v>
      </c>
      <c r="AR46" s="318" t="s">
        <v>828</v>
      </c>
      <c r="AS46" s="318" t="s">
        <v>1498</v>
      </c>
      <c r="AT46" s="274"/>
      <c r="AU46" s="274"/>
      <c r="AV46" s="274"/>
      <c r="AW46" s="154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</row>
    <row r="47" spans="1:79" ht="21.75" thickBot="1">
      <c r="A47" s="367"/>
      <c r="B47" s="367"/>
      <c r="C47" s="367"/>
      <c r="D47" s="460"/>
      <c r="E47" s="460"/>
      <c r="F47" s="460"/>
      <c r="G47" s="460"/>
      <c r="H47" s="460"/>
      <c r="I47" s="499"/>
      <c r="J47" s="20"/>
      <c r="K47" s="367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488">
        <v>42</v>
      </c>
      <c r="AI47" s="286" t="s">
        <v>1502</v>
      </c>
      <c r="AJ47" s="287"/>
      <c r="AK47" s="282" t="s">
        <v>1208</v>
      </c>
      <c r="AL47" s="318"/>
      <c r="AM47" s="318"/>
      <c r="AN47" s="318"/>
      <c r="AO47" s="318"/>
      <c r="AP47" s="318"/>
      <c r="AQ47" s="317" t="s">
        <v>1225</v>
      </c>
      <c r="AR47" s="318"/>
      <c r="AS47" s="317" t="s">
        <v>1225</v>
      </c>
      <c r="AT47" s="274"/>
      <c r="AU47" s="274"/>
      <c r="AV47" s="274"/>
      <c r="AW47" s="154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</row>
    <row r="48" spans="1:79" ht="19.5" customHeight="1" thickBot="1">
      <c r="A48" s="449"/>
      <c r="B48" s="449"/>
      <c r="C48" s="449"/>
      <c r="D48" s="459"/>
      <c r="E48" s="459"/>
      <c r="F48" s="459"/>
      <c r="G48" s="459"/>
      <c r="H48" s="459"/>
      <c r="I48" s="456"/>
      <c r="J48" s="456"/>
      <c r="K48" s="449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488">
        <v>43</v>
      </c>
      <c r="AI48" s="286" t="s">
        <v>1234</v>
      </c>
      <c r="AJ48" s="287"/>
      <c r="AK48" s="282" t="s">
        <v>1208</v>
      </c>
      <c r="AL48" s="318"/>
      <c r="AM48" s="318"/>
      <c r="AN48" s="318"/>
      <c r="AO48" s="318"/>
      <c r="AP48" s="318"/>
      <c r="AQ48" s="318"/>
      <c r="AR48" s="318"/>
      <c r="AS48" s="318"/>
      <c r="AT48" s="274"/>
      <c r="AU48" s="274"/>
      <c r="AV48" s="274"/>
      <c r="AW48" s="154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</row>
    <row r="49" spans="1:79" ht="19.5" thickBot="1">
      <c r="A49" s="25"/>
      <c r="B49" s="25"/>
      <c r="C49" s="25"/>
      <c r="D49" s="25"/>
      <c r="E49" s="25"/>
      <c r="F49" s="25"/>
      <c r="G49" s="25"/>
      <c r="H49" s="25"/>
      <c r="I49" s="456"/>
      <c r="J49" s="456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488">
        <v>44</v>
      </c>
      <c r="AI49" s="286" t="s">
        <v>1235</v>
      </c>
      <c r="AJ49" s="287"/>
      <c r="AK49" s="282" t="s">
        <v>1528</v>
      </c>
      <c r="AL49" s="318" t="s">
        <v>1551</v>
      </c>
      <c r="AM49" s="318" t="s">
        <v>1551</v>
      </c>
      <c r="AN49" s="318" t="s">
        <v>1551</v>
      </c>
      <c r="AO49" s="318" t="s">
        <v>1551</v>
      </c>
      <c r="AP49" s="318"/>
      <c r="AQ49" s="318"/>
      <c r="AR49" s="318"/>
      <c r="AS49" s="318"/>
      <c r="AT49" s="274"/>
      <c r="AU49" s="274"/>
      <c r="AV49" s="274"/>
      <c r="AW49" s="154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</row>
    <row r="50" spans="1:79" ht="19.5" thickBot="1">
      <c r="A50" s="457"/>
      <c r="B50" s="457"/>
      <c r="C50" s="457"/>
      <c r="D50" s="456"/>
      <c r="E50" s="456"/>
      <c r="F50" s="456"/>
      <c r="G50" s="456"/>
      <c r="H50" s="456"/>
      <c r="I50" s="456"/>
      <c r="J50" s="456"/>
      <c r="K50" s="457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305"/>
      <c r="AE50" s="305"/>
      <c r="AF50" s="305"/>
      <c r="AG50" s="305"/>
      <c r="AH50" s="488">
        <v>45</v>
      </c>
      <c r="AI50" s="286" t="s">
        <v>309</v>
      </c>
      <c r="AJ50" s="287"/>
      <c r="AK50" s="282" t="s">
        <v>1209</v>
      </c>
      <c r="AL50" s="318" t="s">
        <v>1175</v>
      </c>
      <c r="AM50" s="318" t="s">
        <v>500</v>
      </c>
      <c r="AN50" s="318" t="s">
        <v>500</v>
      </c>
      <c r="AO50" s="318" t="s">
        <v>500</v>
      </c>
      <c r="AP50" s="318"/>
      <c r="AQ50" s="318"/>
      <c r="AR50" s="317"/>
      <c r="AS50" s="317"/>
      <c r="AT50" s="274"/>
      <c r="AU50" s="274"/>
      <c r="AV50" s="274"/>
      <c r="AW50" s="154"/>
      <c r="AX50" s="25"/>
      <c r="AY50" s="25"/>
      <c r="AZ50" s="25"/>
      <c r="BA50" s="25"/>
      <c r="BB50" s="25"/>
      <c r="BC50" s="305"/>
      <c r="BD50" s="305"/>
      <c r="BE50" s="305"/>
      <c r="BF50" s="305"/>
      <c r="BG50" s="305"/>
      <c r="BH50" s="305"/>
      <c r="BI50" s="305"/>
      <c r="BJ50" s="305"/>
      <c r="BK50" s="30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</row>
    <row r="51" spans="1:79" ht="19.5" thickBot="1">
      <c r="A51" s="457"/>
      <c r="B51" s="457"/>
      <c r="C51" s="457"/>
      <c r="D51" s="456"/>
      <c r="E51" s="456"/>
      <c r="F51" s="456"/>
      <c r="G51" s="456"/>
      <c r="H51" s="456"/>
      <c r="I51" s="25"/>
      <c r="J51" s="25"/>
      <c r="K51" s="457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488">
        <v>46</v>
      </c>
      <c r="AI51" s="286" t="s">
        <v>1236</v>
      </c>
      <c r="AJ51" s="287"/>
      <c r="AK51" s="282" t="s">
        <v>1238</v>
      </c>
      <c r="AL51" s="424"/>
      <c r="AM51" s="424"/>
      <c r="AN51" s="424"/>
      <c r="AO51" s="424"/>
      <c r="AP51" s="424" t="s">
        <v>1530</v>
      </c>
      <c r="AQ51" s="424" t="s">
        <v>1529</v>
      </c>
      <c r="AR51" s="424" t="s">
        <v>1530</v>
      </c>
      <c r="AS51" s="424" t="s">
        <v>1529</v>
      </c>
      <c r="AT51" s="306"/>
      <c r="AU51" s="306"/>
      <c r="AV51" s="306"/>
      <c r="AW51" s="283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</row>
    <row r="52" spans="1:79" ht="19.5" thickBot="1">
      <c r="A52" s="12"/>
      <c r="B52" s="12"/>
      <c r="C52" s="12"/>
      <c r="D52" s="245"/>
      <c r="E52" s="245"/>
      <c r="F52" s="245"/>
      <c r="G52" s="245"/>
      <c r="H52" s="245"/>
      <c r="I52" s="25"/>
      <c r="J52" s="25"/>
      <c r="K52" s="12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488">
        <v>47</v>
      </c>
      <c r="AI52" s="286" t="s">
        <v>1239</v>
      </c>
      <c r="AJ52" s="287"/>
      <c r="AK52" s="282" t="s">
        <v>387</v>
      </c>
      <c r="AL52" s="18"/>
      <c r="AM52" s="18"/>
      <c r="AN52" s="18"/>
      <c r="AO52" s="18"/>
      <c r="AP52" s="18" t="s">
        <v>1552</v>
      </c>
      <c r="AQ52" s="18" t="s">
        <v>1552</v>
      </c>
      <c r="AR52" s="18" t="s">
        <v>1552</v>
      </c>
      <c r="AS52" s="18"/>
      <c r="AT52" s="301"/>
      <c r="AU52" s="301"/>
      <c r="AV52" s="301"/>
      <c r="AW52" s="301" t="s">
        <v>497</v>
      </c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</row>
    <row r="53" spans="1:79" ht="19.5" thickBot="1">
      <c r="A53" s="25"/>
      <c r="B53" s="25"/>
      <c r="C53" s="25"/>
      <c r="D53" s="295"/>
      <c r="E53" s="295"/>
      <c r="F53" s="295"/>
      <c r="G53" s="295"/>
      <c r="H53" s="29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488">
        <v>48</v>
      </c>
      <c r="AI53" s="286" t="s">
        <v>314</v>
      </c>
      <c r="AJ53" s="287"/>
      <c r="AK53" s="282" t="s">
        <v>387</v>
      </c>
      <c r="AL53" s="425"/>
      <c r="AM53" s="425"/>
      <c r="AN53" s="425"/>
      <c r="AO53" s="425"/>
      <c r="AP53" s="425"/>
      <c r="AQ53" s="425"/>
      <c r="AR53" s="425"/>
      <c r="AS53" s="425"/>
      <c r="AT53" s="143"/>
      <c r="AU53" s="143"/>
      <c r="AV53" s="143"/>
      <c r="AW53" s="143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</row>
    <row r="54" spans="1:79" ht="19.5" thickBot="1">
      <c r="A54" s="25"/>
      <c r="B54" s="25"/>
      <c r="C54" s="25"/>
      <c r="D54" s="295"/>
      <c r="E54" s="295"/>
      <c r="F54" s="295"/>
      <c r="G54" s="295"/>
      <c r="H54" s="29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488">
        <v>49</v>
      </c>
      <c r="AI54" s="284" t="s">
        <v>1240</v>
      </c>
      <c r="AJ54" s="287"/>
      <c r="AK54" s="282" t="s">
        <v>387</v>
      </c>
      <c r="AL54" s="316"/>
      <c r="AM54" s="316"/>
      <c r="AN54" s="316"/>
      <c r="AO54" s="316"/>
      <c r="AP54" s="316"/>
      <c r="AQ54" s="316"/>
      <c r="AR54" s="316"/>
      <c r="AS54" s="316"/>
      <c r="AT54" s="24"/>
      <c r="AU54" s="24"/>
      <c r="AV54" s="24"/>
      <c r="AW54" s="24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</row>
    <row r="55" spans="1:79" ht="19.5" thickBot="1">
      <c r="A55" s="25"/>
      <c r="B55" s="25"/>
      <c r="C55" s="25"/>
      <c r="D55" s="295"/>
      <c r="E55" s="295"/>
      <c r="F55" s="295"/>
      <c r="G55" s="295"/>
      <c r="H55" s="29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488"/>
      <c r="AI55" s="284"/>
      <c r="AJ55" s="285"/>
      <c r="AK55" s="24"/>
      <c r="AL55" s="316"/>
      <c r="AM55" s="316"/>
      <c r="AN55" s="316"/>
      <c r="AO55" s="316"/>
      <c r="AP55" s="316"/>
      <c r="AQ55" s="316"/>
      <c r="AR55" s="316"/>
      <c r="AS55" s="316"/>
      <c r="AT55" s="24"/>
      <c r="AU55" s="24"/>
      <c r="AV55" s="24"/>
      <c r="AW55" s="24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</row>
    <row r="56" spans="1:79" ht="19.5" thickBot="1">
      <c r="A56" s="25"/>
      <c r="B56" s="25"/>
      <c r="C56" s="25"/>
      <c r="D56" s="295"/>
      <c r="E56" s="295"/>
      <c r="F56" s="295"/>
      <c r="G56" s="295"/>
      <c r="H56" s="29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488"/>
      <c r="AI56" s="284"/>
      <c r="AJ56" s="285"/>
      <c r="AK56" s="24"/>
      <c r="AL56" s="316"/>
      <c r="AM56" s="316"/>
      <c r="AN56" s="316"/>
      <c r="AO56" s="316"/>
      <c r="AP56" s="316"/>
      <c r="AQ56" s="316"/>
      <c r="AR56" s="316"/>
      <c r="AS56" s="316"/>
      <c r="AT56" s="24"/>
      <c r="AU56" s="24"/>
      <c r="AV56" s="24"/>
      <c r="AW56" s="24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</row>
    <row r="57" spans="1:79" ht="19.5" thickBot="1">
      <c r="A57" s="25"/>
      <c r="B57" s="25"/>
      <c r="C57" s="25"/>
      <c r="D57" s="295"/>
      <c r="E57" s="295"/>
      <c r="F57" s="295"/>
      <c r="G57" s="295"/>
      <c r="H57" s="29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488"/>
      <c r="AI57" s="284"/>
      <c r="AJ57" s="285"/>
      <c r="AK57" s="24"/>
      <c r="AL57" s="316"/>
      <c r="AM57" s="316"/>
      <c r="AN57" s="316"/>
      <c r="AO57" s="316"/>
      <c r="AP57" s="316"/>
      <c r="AQ57" s="316"/>
      <c r="AR57" s="316"/>
      <c r="AS57" s="316"/>
      <c r="AT57" s="24"/>
      <c r="AU57" s="24"/>
      <c r="AV57" s="24"/>
      <c r="AW57" s="24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</row>
    <row r="58" spans="1:79" ht="19.5" thickBot="1">
      <c r="A58" s="25"/>
      <c r="B58" s="25"/>
      <c r="C58" s="25"/>
      <c r="D58" s="295"/>
      <c r="E58" s="295"/>
      <c r="F58" s="295"/>
      <c r="G58" s="295"/>
      <c r="H58" s="29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488"/>
      <c r="AI58" s="284"/>
      <c r="AJ58" s="285"/>
      <c r="AK58" s="24"/>
      <c r="AL58" s="316"/>
      <c r="AM58" s="316"/>
      <c r="AN58" s="316"/>
      <c r="AO58" s="316"/>
      <c r="AP58" s="316"/>
      <c r="AQ58" s="316"/>
      <c r="AR58" s="316"/>
      <c r="AS58" s="316"/>
      <c r="AT58" s="24"/>
      <c r="AU58" s="24"/>
      <c r="AV58" s="24"/>
      <c r="AW58" s="24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</row>
    <row r="59" spans="1:79" ht="19.5" thickBot="1">
      <c r="A59" s="25"/>
      <c r="B59" s="25"/>
      <c r="C59" s="25"/>
      <c r="D59" s="295"/>
      <c r="E59" s="295"/>
      <c r="F59" s="295"/>
      <c r="G59" s="295"/>
      <c r="H59" s="29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488"/>
      <c r="AI59" s="284"/>
      <c r="AJ59" s="285"/>
      <c r="AK59" s="24"/>
      <c r="AL59" s="316"/>
      <c r="AM59" s="316"/>
      <c r="AN59" s="316"/>
      <c r="AO59" s="316"/>
      <c r="AP59" s="316"/>
      <c r="AQ59" s="316"/>
      <c r="AR59" s="316"/>
      <c r="AS59" s="316"/>
      <c r="AT59" s="24"/>
      <c r="AU59" s="24"/>
      <c r="AV59" s="24"/>
      <c r="AW59" s="24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</row>
    <row r="60" spans="1:79" ht="19.5" thickBot="1">
      <c r="A60" s="25"/>
      <c r="B60" s="25"/>
      <c r="C60" s="25"/>
      <c r="D60" s="295"/>
      <c r="E60" s="295"/>
      <c r="F60" s="295"/>
      <c r="G60" s="295"/>
      <c r="H60" s="29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488"/>
      <c r="AI60" s="284"/>
      <c r="AJ60" s="285"/>
      <c r="AK60" s="24"/>
      <c r="AL60" s="316"/>
      <c r="AM60" s="316"/>
      <c r="AN60" s="316"/>
      <c r="AO60" s="316"/>
      <c r="AP60" s="316"/>
      <c r="AQ60" s="316"/>
      <c r="AR60" s="316"/>
      <c r="AS60" s="316"/>
      <c r="AT60" s="24"/>
      <c r="AU60" s="24"/>
      <c r="AV60" s="24"/>
      <c r="AW60" s="24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</row>
    <row r="61" spans="1:79" ht="19.5" thickBot="1">
      <c r="A61" s="25"/>
      <c r="B61" s="25"/>
      <c r="C61" s="25"/>
      <c r="D61" s="295"/>
      <c r="E61" s="295"/>
      <c r="F61" s="295"/>
      <c r="G61" s="295"/>
      <c r="H61" s="29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488"/>
      <c r="AI61" s="284"/>
      <c r="AJ61" s="285"/>
      <c r="AK61" s="24"/>
      <c r="AL61" s="316"/>
      <c r="AM61" s="316"/>
      <c r="AN61" s="316"/>
      <c r="AO61" s="316"/>
      <c r="AP61" s="316"/>
      <c r="AQ61" s="316"/>
      <c r="AR61" s="316"/>
      <c r="AS61" s="316"/>
      <c r="AT61" s="24"/>
      <c r="AU61" s="24"/>
      <c r="AV61" s="24"/>
      <c r="AW61" s="24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</row>
    <row r="62" spans="1:79" ht="19.5" thickBot="1">
      <c r="A62" s="25"/>
      <c r="B62" s="25"/>
      <c r="C62" s="25"/>
      <c r="D62" s="295"/>
      <c r="E62" s="295"/>
      <c r="F62" s="295"/>
      <c r="G62" s="295"/>
      <c r="H62" s="29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488"/>
      <c r="AI62" s="284"/>
      <c r="AJ62" s="285"/>
      <c r="AK62" s="24"/>
      <c r="AL62" s="316"/>
      <c r="AM62" s="316"/>
      <c r="AN62" s="316"/>
      <c r="AO62" s="316"/>
      <c r="AP62" s="316"/>
      <c r="AQ62" s="316"/>
      <c r="AR62" s="316"/>
      <c r="AS62" s="316"/>
      <c r="AT62" s="24"/>
      <c r="AU62" s="24"/>
      <c r="AV62" s="24"/>
      <c r="AW62" s="24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</row>
    <row r="63" spans="1:79" ht="19.5" thickBot="1">
      <c r="A63" s="25"/>
      <c r="B63" s="25"/>
      <c r="C63" s="25"/>
      <c r="D63" s="295"/>
      <c r="E63" s="295"/>
      <c r="F63" s="295"/>
      <c r="G63" s="295"/>
      <c r="H63" s="29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488"/>
      <c r="AI63" s="284"/>
      <c r="AJ63" s="285"/>
      <c r="AK63" s="24"/>
      <c r="AL63" s="316"/>
      <c r="AM63" s="316"/>
      <c r="AN63" s="316"/>
      <c r="AO63" s="316"/>
      <c r="AP63" s="316"/>
      <c r="AQ63" s="316"/>
      <c r="AR63" s="316"/>
      <c r="AS63" s="316"/>
      <c r="AT63" s="24"/>
      <c r="AU63" s="24"/>
      <c r="AV63" s="24"/>
      <c r="AW63" s="24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</row>
    <row r="64" spans="1:79" ht="19.5" thickBot="1">
      <c r="A64" s="25"/>
      <c r="B64" s="25"/>
      <c r="C64" s="25"/>
      <c r="D64" s="295"/>
      <c r="E64" s="295"/>
      <c r="F64" s="295"/>
      <c r="G64" s="295"/>
      <c r="H64" s="29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488"/>
      <c r="AI64" s="284"/>
      <c r="AJ64" s="285"/>
      <c r="AK64" s="24"/>
      <c r="AL64" s="316"/>
      <c r="AM64" s="316"/>
      <c r="AN64" s="316"/>
      <c r="AO64" s="316"/>
      <c r="AP64" s="316"/>
      <c r="AQ64" s="316"/>
      <c r="AR64" s="316"/>
      <c r="AS64" s="316"/>
      <c r="AT64" s="24"/>
      <c r="AU64" s="24"/>
      <c r="AV64" s="24"/>
      <c r="AW64" s="24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</row>
    <row r="65" spans="1:79" ht="21.75" thickBot="1">
      <c r="A65" s="25"/>
      <c r="B65" s="25"/>
      <c r="C65" s="25"/>
      <c r="D65" s="295"/>
      <c r="E65" s="295"/>
      <c r="F65" s="295"/>
      <c r="G65" s="295"/>
      <c r="H65" s="295"/>
      <c r="I65" s="25"/>
      <c r="J65" s="25"/>
      <c r="K65" s="25"/>
      <c r="L65" s="367"/>
      <c r="M65" s="367"/>
      <c r="N65" s="25"/>
      <c r="O65" s="25"/>
      <c r="P65" s="557" t="s">
        <v>335</v>
      </c>
      <c r="Q65" s="557"/>
      <c r="R65" s="568"/>
      <c r="S65" s="1626">
        <f>$F$7</f>
        <v>0</v>
      </c>
      <c r="T65" s="1626"/>
      <c r="U65" s="1627">
        <f>$H$7</f>
        <v>0</v>
      </c>
      <c r="V65" s="1627"/>
      <c r="W65" s="1627"/>
      <c r="X65" s="25"/>
      <c r="Y65" s="569"/>
      <c r="Z65" s="570"/>
      <c r="AA65" s="570"/>
      <c r="AB65" s="25"/>
      <c r="AC65" s="25"/>
      <c r="AD65" s="25"/>
      <c r="AE65" s="25"/>
      <c r="AF65" s="25"/>
      <c r="AG65" s="25"/>
      <c r="AH65" s="488">
        <v>0</v>
      </c>
      <c r="AI65" s="284"/>
      <c r="AJ65" s="285"/>
      <c r="AK65" s="24"/>
      <c r="AL65" s="316"/>
      <c r="AM65" s="316"/>
      <c r="AN65" s="316"/>
      <c r="AO65" s="316"/>
      <c r="AP65" s="316"/>
      <c r="AQ65" s="316"/>
      <c r="AR65" s="316"/>
      <c r="AS65" s="316"/>
      <c r="AT65" s="24"/>
      <c r="AU65" s="24"/>
      <c r="AV65" s="24"/>
      <c r="AW65" s="24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</row>
    <row r="66" spans="1:79" ht="17.25">
      <c r="A66" s="25"/>
      <c r="B66" s="25"/>
      <c r="C66" s="25"/>
      <c r="D66" s="295"/>
      <c r="E66" s="295"/>
      <c r="F66" s="295"/>
      <c r="G66" s="295"/>
      <c r="H66" s="295"/>
      <c r="I66" s="25"/>
      <c r="J66" s="25"/>
      <c r="K66" s="25"/>
      <c r="L66" s="1621" t="s">
        <v>339</v>
      </c>
      <c r="M66" s="1622"/>
      <c r="N66" s="1621" t="s">
        <v>1564</v>
      </c>
      <c r="O66" s="1622"/>
      <c r="P66" s="727" t="s">
        <v>258</v>
      </c>
      <c r="Q66" s="1444" t="s">
        <v>336</v>
      </c>
      <c r="R66" s="1444" t="s">
        <v>5</v>
      </c>
      <c r="S66" s="1444" t="s">
        <v>7</v>
      </c>
      <c r="T66" s="566"/>
      <c r="U66" s="1444" t="s">
        <v>634</v>
      </c>
      <c r="V66" s="1446" t="s">
        <v>356</v>
      </c>
      <c r="W66" s="1444" t="s">
        <v>635</v>
      </c>
      <c r="X66" s="1444" t="s">
        <v>636</v>
      </c>
      <c r="Y66" s="1444" t="s">
        <v>337</v>
      </c>
      <c r="Z66" s="1444" t="s">
        <v>338</v>
      </c>
      <c r="AA66" s="1444" t="s">
        <v>339</v>
      </c>
      <c r="AB66" s="1444" t="s">
        <v>1242</v>
      </c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</row>
    <row r="67" spans="1:79" ht="17.25">
      <c r="A67" s="25"/>
      <c r="B67" s="25"/>
      <c r="C67" s="25"/>
      <c r="D67" s="295"/>
      <c r="E67" s="295"/>
      <c r="F67" s="295"/>
      <c r="G67" s="295"/>
      <c r="H67" s="295"/>
      <c r="I67" s="25"/>
      <c r="J67" s="25"/>
      <c r="K67" s="25"/>
      <c r="L67" s="1623"/>
      <c r="M67" s="1624"/>
      <c r="N67" s="1623"/>
      <c r="O67" s="1624"/>
      <c r="P67" s="728"/>
      <c r="Q67" s="1445"/>
      <c r="R67" s="1445"/>
      <c r="S67" s="1445"/>
      <c r="T67" s="567"/>
      <c r="U67" s="1445"/>
      <c r="V67" s="1447"/>
      <c r="W67" s="1445"/>
      <c r="X67" s="1445"/>
      <c r="Y67" s="1445"/>
      <c r="Z67" s="1445"/>
      <c r="AA67" s="1445"/>
      <c r="AB67" s="144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</row>
    <row r="68" spans="1:79" ht="15.75">
      <c r="A68" s="25"/>
      <c r="B68" s="25"/>
      <c r="C68" s="25"/>
      <c r="D68" s="295"/>
      <c r="E68" s="295"/>
      <c r="F68" s="295"/>
      <c r="G68" s="295"/>
      <c r="H68" s="295"/>
      <c r="I68" s="25"/>
      <c r="J68" s="25"/>
      <c r="K68" s="25"/>
      <c r="L68" s="1617">
        <v>1</v>
      </c>
      <c r="M68" s="1618"/>
      <c r="N68" s="1619">
        <v>1</v>
      </c>
      <c r="O68" s="1620"/>
      <c r="P68" s="543">
        <f>P67+1</f>
        <v>1</v>
      </c>
      <c r="Q68" s="544">
        <f>VLOOKUP(N68,etat!$A$9:$N$1012,2,FALSE)</f>
        <v>0</v>
      </c>
      <c r="R68" s="545" t="str">
        <f>VLOOKUP(N68,etat!$A$9:$N$971,7,FALSE)</f>
        <v xml:space="preserve"> 3ت ر كه </v>
      </c>
      <c r="S68" s="545" t="str">
        <f>VLOOKUP(N68,etat!$A$9:$N$1011,9,FALSE)</f>
        <v>ن/د</v>
      </c>
      <c r="T68" s="545" t="str">
        <f>VLOOKUP(N68,etat!$A$9:$P$913,16,FALSE)</f>
        <v>ان/د3</v>
      </c>
      <c r="U68" s="517">
        <v>44577</v>
      </c>
      <c r="V68" s="546">
        <v>1</v>
      </c>
      <c r="W68" s="549">
        <v>44682</v>
      </c>
      <c r="X68" s="549">
        <v>44693</v>
      </c>
      <c r="Y68" s="549">
        <v>44707</v>
      </c>
      <c r="Z68" s="549">
        <v>44713</v>
      </c>
      <c r="AA68" s="547" t="str">
        <f>VLOOKUP(L68,اس!$S$3:$X$31,3,FALSE)</f>
        <v>رخصة</v>
      </c>
      <c r="AB68" s="548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</row>
    <row r="69" spans="1:79" ht="15.75">
      <c r="A69" s="25"/>
      <c r="B69" s="25"/>
      <c r="C69" s="25"/>
      <c r="D69" s="295"/>
      <c r="E69" s="295"/>
      <c r="F69" s="295"/>
      <c r="G69" s="295"/>
      <c r="H69" s="295"/>
      <c r="I69" s="25"/>
      <c r="J69" s="25"/>
      <c r="K69" s="25"/>
      <c r="L69" s="1617"/>
      <c r="M69" s="1618"/>
      <c r="N69" s="1619">
        <v>3</v>
      </c>
      <c r="O69" s="1620"/>
      <c r="P69" s="391">
        <f>P68+1</f>
        <v>2</v>
      </c>
      <c r="Q69" s="386">
        <f>VLOOKUP(N69,etat!$A$9:$N$1012,2,FALSE)</f>
        <v>0</v>
      </c>
      <c r="R69" s="435" t="str">
        <f>VLOOKUP(N69,etat!$A$9:$N$971,7,FALSE)</f>
        <v xml:space="preserve"> 3ت ر كه </v>
      </c>
      <c r="S69" s="435" t="str">
        <f>VLOOKUP(N69,etat!$A$9:$N$1011,9,FALSE)</f>
        <v>خ</v>
      </c>
      <c r="T69" s="435" t="str">
        <f>VLOOKUP(N69,etat!$A$9:$P$913,16,FALSE)</f>
        <v>اخ3</v>
      </c>
      <c r="U69" s="495">
        <v>44577</v>
      </c>
      <c r="V69" s="436">
        <v>1</v>
      </c>
      <c r="W69" s="549"/>
      <c r="X69" s="549"/>
      <c r="Y69" s="549"/>
      <c r="Z69" s="549"/>
      <c r="AA69" s="547" t="e">
        <f>VLOOKUP(L69,اس!$S$3:$X$31,3,FALSE)</f>
        <v>#N/A</v>
      </c>
      <c r="AB69" s="437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</row>
    <row r="70" spans="1:79" ht="15.75">
      <c r="A70" s="25"/>
      <c r="B70" s="25"/>
      <c r="C70" s="25"/>
      <c r="D70" s="295"/>
      <c r="E70" s="295"/>
      <c r="F70" s="295"/>
      <c r="G70" s="295"/>
      <c r="H70" s="295"/>
      <c r="I70" s="25"/>
      <c r="J70" s="25"/>
      <c r="K70" s="25"/>
      <c r="L70" s="1617"/>
      <c r="M70" s="1618"/>
      <c r="N70" s="1619">
        <v>4</v>
      </c>
      <c r="O70" s="1620"/>
      <c r="P70" s="543">
        <f t="shared" ref="P70:P133" si="17">P69+1</f>
        <v>3</v>
      </c>
      <c r="Q70" s="386">
        <f>VLOOKUP(N70,etat!$A$9:$N$1012,2,FALSE)</f>
        <v>0</v>
      </c>
      <c r="R70" s="435" t="str">
        <f>VLOOKUP(N70,etat!$A$9:$N$971,7,FALSE)</f>
        <v xml:space="preserve"> 3ت ر كه </v>
      </c>
      <c r="S70" s="435" t="str">
        <f>VLOOKUP(N70,etat!$A$9:$N$1011,9,FALSE)</f>
        <v>خ</v>
      </c>
      <c r="T70" s="435" t="str">
        <f>VLOOKUP(N70,etat!$A$9:$P$913,16,FALSE)</f>
        <v>اخ3</v>
      </c>
      <c r="U70" s="495">
        <v>44577</v>
      </c>
      <c r="V70" s="436">
        <v>1</v>
      </c>
      <c r="W70" s="549"/>
      <c r="X70" s="549"/>
      <c r="Y70" s="549"/>
      <c r="Z70" s="549"/>
      <c r="AA70" s="547" t="e">
        <f>VLOOKUP(L70,اس!$S$3:$X$31,3,FALSE)</f>
        <v>#N/A</v>
      </c>
      <c r="AB70" s="437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</row>
    <row r="71" spans="1:79" ht="15.75">
      <c r="A71" s="25"/>
      <c r="B71" s="25"/>
      <c r="C71" s="25"/>
      <c r="D71" s="295"/>
      <c r="E71" s="295"/>
      <c r="F71" s="295"/>
      <c r="G71" s="295"/>
      <c r="H71" s="295"/>
      <c r="I71" s="25"/>
      <c r="J71" s="25"/>
      <c r="K71" s="25"/>
      <c r="L71" s="1617">
        <v>0</v>
      </c>
      <c r="M71" s="1618"/>
      <c r="N71" s="1619">
        <v>18</v>
      </c>
      <c r="O71" s="1620"/>
      <c r="P71" s="391">
        <f t="shared" si="17"/>
        <v>4</v>
      </c>
      <c r="Q71" s="386">
        <f>VLOOKUP(N71,etat!$A$9:$N$1012,2,FALSE)</f>
        <v>0</v>
      </c>
      <c r="R71" s="435" t="str">
        <f>VLOOKUP(N71,etat!$A$9:$N$971,7,FALSE)</f>
        <v xml:space="preserve"> 3ت ر مك </v>
      </c>
      <c r="S71" s="435" t="str">
        <f>VLOOKUP(N71,etat!$A$9:$N$1011,9,FALSE)</f>
        <v>خ</v>
      </c>
      <c r="T71" s="435" t="str">
        <f>VLOOKUP(N71,etat!$A$9:$P$913,16,FALSE)</f>
        <v>ذخ3</v>
      </c>
      <c r="U71" s="495">
        <v>44577</v>
      </c>
      <c r="V71" s="436">
        <v>1</v>
      </c>
      <c r="W71" s="549"/>
      <c r="X71" s="549"/>
      <c r="Y71" s="549"/>
      <c r="Z71" s="549"/>
      <c r="AA71" s="547" t="e">
        <f>VLOOKUP(L71,اس!$S$3:$X$31,3,FALSE)</f>
        <v>#N/A</v>
      </c>
      <c r="AB71" s="437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</row>
    <row r="72" spans="1:79" ht="15.75">
      <c r="A72" s="25"/>
      <c r="B72" s="25"/>
      <c r="C72" s="25"/>
      <c r="D72" s="295"/>
      <c r="E72" s="295"/>
      <c r="F72" s="295"/>
      <c r="G72" s="295"/>
      <c r="H72" s="295"/>
      <c r="I72" s="25"/>
      <c r="J72" s="25"/>
      <c r="K72" s="25"/>
      <c r="L72" s="1617"/>
      <c r="M72" s="1618"/>
      <c r="N72" s="1619">
        <v>55</v>
      </c>
      <c r="O72" s="1620"/>
      <c r="P72" s="543">
        <f t="shared" si="17"/>
        <v>5</v>
      </c>
      <c r="Q72" s="386">
        <f>VLOOKUP(N72,etat!$A$9:$N$1012,2,FALSE)</f>
        <v>0</v>
      </c>
      <c r="R72" s="435" t="str">
        <f>VLOOKUP(N72,etat!$A$9:$N$971,7,FALSE)</f>
        <v>3ت ا ق2</v>
      </c>
      <c r="S72" s="435" t="str">
        <f>VLOOKUP(N72,etat!$A$9:$N$1011,9,FALSE)</f>
        <v>خ</v>
      </c>
      <c r="T72" s="435" t="str">
        <f>VLOOKUP(N72,etat!$A$9:$P$913,16,FALSE)</f>
        <v>ذخ3</v>
      </c>
      <c r="U72" s="495">
        <v>44577</v>
      </c>
      <c r="V72" s="436">
        <v>1</v>
      </c>
      <c r="W72" s="549"/>
      <c r="X72" s="549"/>
      <c r="Y72" s="549"/>
      <c r="Z72" s="549"/>
      <c r="AA72" s="547" t="e">
        <f>VLOOKUP(L72,اس!$S$3:$X$31,3,FALSE)</f>
        <v>#N/A</v>
      </c>
      <c r="AB72" s="437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</row>
    <row r="73" spans="1:79" ht="15.75">
      <c r="A73" s="25"/>
      <c r="B73" s="25"/>
      <c r="C73" s="25"/>
      <c r="D73" s="295"/>
      <c r="E73" s="295"/>
      <c r="F73" s="295"/>
      <c r="G73" s="295"/>
      <c r="H73" s="295"/>
      <c r="I73" s="25"/>
      <c r="J73" s="25"/>
      <c r="K73" s="25"/>
      <c r="L73" s="1617"/>
      <c r="M73" s="1618"/>
      <c r="N73" s="1619">
        <v>61</v>
      </c>
      <c r="O73" s="1620"/>
      <c r="P73" s="391">
        <f t="shared" si="17"/>
        <v>6</v>
      </c>
      <c r="Q73" s="386">
        <f>VLOOKUP(N73,etat!$A$9:$N$1012,2,FALSE)</f>
        <v>0</v>
      </c>
      <c r="R73" s="435" t="str">
        <f>VLOOKUP(N73,etat!$A$9:$N$971,7,FALSE)</f>
        <v>3ت ا ق2</v>
      </c>
      <c r="S73" s="435" t="str">
        <f>VLOOKUP(N73,etat!$A$9:$N$1011,9,FALSE)</f>
        <v>خ</v>
      </c>
      <c r="T73" s="435" t="str">
        <f>VLOOKUP(N73,etat!$A$9:$P$913,16,FALSE)</f>
        <v>اخ3</v>
      </c>
      <c r="U73" s="495">
        <v>44577</v>
      </c>
      <c r="V73" s="436">
        <v>1</v>
      </c>
      <c r="W73" s="549"/>
      <c r="X73" s="549"/>
      <c r="Y73" s="549"/>
      <c r="Z73" s="549"/>
      <c r="AA73" s="547" t="e">
        <f>VLOOKUP(L73,اس!$S$3:$X$31,3,FALSE)</f>
        <v>#N/A</v>
      </c>
      <c r="AB73" s="437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</row>
    <row r="74" spans="1:79" ht="15.75">
      <c r="A74" s="25"/>
      <c r="B74" s="25"/>
      <c r="C74" s="25"/>
      <c r="D74" s="295"/>
      <c r="E74" s="295"/>
      <c r="F74" s="295"/>
      <c r="G74" s="295"/>
      <c r="H74" s="295"/>
      <c r="I74" s="25"/>
      <c r="J74" s="25"/>
      <c r="K74" s="25"/>
      <c r="L74" s="1617"/>
      <c r="M74" s="1618"/>
      <c r="N74" s="1619">
        <v>66</v>
      </c>
      <c r="O74" s="1620"/>
      <c r="P74" s="543">
        <f t="shared" si="17"/>
        <v>7</v>
      </c>
      <c r="Q74" s="386">
        <f>VLOOKUP(N74,etat!$A$9:$N$1012,2,FALSE)</f>
        <v>0</v>
      </c>
      <c r="R74" s="435" t="str">
        <f>VLOOKUP(N74,etat!$A$9:$N$971,7,FALSE)</f>
        <v>3ت ا ق2</v>
      </c>
      <c r="S74" s="435" t="str">
        <f>VLOOKUP(N74,etat!$A$9:$N$1011,9,FALSE)</f>
        <v>خ</v>
      </c>
      <c r="T74" s="435" t="str">
        <f>VLOOKUP(N74,etat!$A$9:$P$913,16,FALSE)</f>
        <v>ذخ3</v>
      </c>
      <c r="U74" s="495">
        <v>44572</v>
      </c>
      <c r="V74" s="436">
        <v>6</v>
      </c>
      <c r="W74" s="549"/>
      <c r="X74" s="549"/>
      <c r="Y74" s="549"/>
      <c r="Z74" s="549"/>
      <c r="AA74" s="547" t="e">
        <f>VLOOKUP(L74,اس!$S$3:$X$31,3,FALSE)</f>
        <v>#N/A</v>
      </c>
      <c r="AB74" s="437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</row>
    <row r="75" spans="1:79" ht="15.75">
      <c r="A75" s="25"/>
      <c r="B75" s="25"/>
      <c r="C75" s="25"/>
      <c r="D75" s="295"/>
      <c r="E75" s="295"/>
      <c r="F75" s="295"/>
      <c r="G75" s="295"/>
      <c r="H75" s="295"/>
      <c r="I75" s="25"/>
      <c r="J75" s="25"/>
      <c r="K75" s="25"/>
      <c r="L75" s="1617"/>
      <c r="M75" s="1618"/>
      <c r="N75" s="1619">
        <v>88</v>
      </c>
      <c r="O75" s="1620"/>
      <c r="P75" s="391">
        <f t="shared" si="17"/>
        <v>8</v>
      </c>
      <c r="Q75" s="386">
        <f>VLOOKUP(N75,etat!$A$9:$N$1012,2,FALSE)</f>
        <v>0</v>
      </c>
      <c r="R75" s="435" t="str">
        <f>VLOOKUP(N75,etat!$A$9:$N$971,7,FALSE)</f>
        <v>3ع ت1</v>
      </c>
      <c r="S75" s="435" t="str">
        <f>VLOOKUP(N75,etat!$A$9:$N$1011,9,FALSE)</f>
        <v>خ</v>
      </c>
      <c r="T75" s="435" t="str">
        <f>VLOOKUP(N75,etat!$A$9:$P$913,16,FALSE)</f>
        <v>ذخ3</v>
      </c>
      <c r="U75" s="495">
        <v>44577</v>
      </c>
      <c r="V75" s="436">
        <v>24</v>
      </c>
      <c r="W75" s="549"/>
      <c r="X75" s="549"/>
      <c r="Y75" s="549"/>
      <c r="Z75" s="549"/>
      <c r="AA75" s="547" t="e">
        <f>VLOOKUP(L75,اس!$S$3:$X$31,3,FALSE)</f>
        <v>#N/A</v>
      </c>
      <c r="AB75" s="437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</row>
    <row r="76" spans="1:79" ht="15.75">
      <c r="A76" s="25"/>
      <c r="B76" s="25"/>
      <c r="C76" s="25"/>
      <c r="D76" s="295"/>
      <c r="E76" s="295"/>
      <c r="F76" s="295"/>
      <c r="G76" s="295"/>
      <c r="H76" s="295"/>
      <c r="I76" s="25"/>
      <c r="J76" s="25"/>
      <c r="K76" s="25"/>
      <c r="L76" s="1617"/>
      <c r="M76" s="1618"/>
      <c r="N76" s="1619">
        <v>99</v>
      </c>
      <c r="O76" s="1620"/>
      <c r="P76" s="543">
        <f t="shared" si="17"/>
        <v>9</v>
      </c>
      <c r="Q76" s="386">
        <f>VLOOKUP(N76,etat!$A$9:$N$1012,2,FALSE)</f>
        <v>0</v>
      </c>
      <c r="R76" s="435" t="str">
        <f>VLOOKUP(N76,etat!$A$9:$N$971,7,FALSE)</f>
        <v>3ع ت2</v>
      </c>
      <c r="S76" s="435" t="str">
        <f>VLOOKUP(N76,etat!$A$9:$N$1011,9,FALSE)</f>
        <v>خ</v>
      </c>
      <c r="T76" s="435" t="str">
        <f>VLOOKUP(N76,etat!$A$9:$P$913,16,FALSE)</f>
        <v>ذخ3</v>
      </c>
      <c r="U76" s="495">
        <v>44577</v>
      </c>
      <c r="V76" s="436">
        <v>1</v>
      </c>
      <c r="W76" s="549"/>
      <c r="X76" s="549"/>
      <c r="Y76" s="549"/>
      <c r="Z76" s="549"/>
      <c r="AA76" s="547" t="e">
        <f>VLOOKUP(L76,اس!$S$3:$X$31,3,FALSE)</f>
        <v>#N/A</v>
      </c>
      <c r="AB76" s="437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</row>
    <row r="77" spans="1:79" ht="15.75">
      <c r="A77" s="25"/>
      <c r="B77" s="25"/>
      <c r="C77" s="25"/>
      <c r="D77" s="295"/>
      <c r="E77" s="295"/>
      <c r="F77" s="295"/>
      <c r="G77" s="295"/>
      <c r="H77" s="295"/>
      <c r="I77" s="25"/>
      <c r="J77" s="25"/>
      <c r="K77" s="25"/>
      <c r="L77" s="1617"/>
      <c r="M77" s="1618"/>
      <c r="N77" s="1619">
        <v>122</v>
      </c>
      <c r="O77" s="1620"/>
      <c r="P77" s="391">
        <f t="shared" si="17"/>
        <v>10</v>
      </c>
      <c r="Q77" s="386">
        <f>VLOOKUP(N77,etat!$A$9:$N$1012,2,FALSE)</f>
        <v>0</v>
      </c>
      <c r="R77" s="435" t="str">
        <f>VLOOKUP(N77,etat!$A$9:$N$971,7,FALSE)</f>
        <v>3أ ف1</v>
      </c>
      <c r="S77" s="435" t="str">
        <f>VLOOKUP(N77,etat!$A$9:$N$1011,9,FALSE)</f>
        <v>ن/د</v>
      </c>
      <c r="T77" s="435" t="str">
        <f>VLOOKUP(N77,etat!$A$9:$P$913,16,FALSE)</f>
        <v>ذخ3</v>
      </c>
      <c r="U77" s="495">
        <v>44577</v>
      </c>
      <c r="V77" s="436">
        <v>1</v>
      </c>
      <c r="W77" s="549"/>
      <c r="X77" s="549"/>
      <c r="Y77" s="549"/>
      <c r="Z77" s="549"/>
      <c r="AA77" s="547" t="e">
        <f>VLOOKUP(L77,اس!$S$3:$X$31,3,FALSE)</f>
        <v>#N/A</v>
      </c>
      <c r="AB77" s="437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</row>
    <row r="78" spans="1:79" ht="15.75">
      <c r="A78" s="25"/>
      <c r="B78" s="25"/>
      <c r="C78" s="25"/>
      <c r="D78" s="295"/>
      <c r="E78" s="295"/>
      <c r="F78" s="295"/>
      <c r="G78" s="295"/>
      <c r="H78" s="295"/>
      <c r="I78" s="25"/>
      <c r="J78" s="25"/>
      <c r="K78" s="25"/>
      <c r="L78" s="1617"/>
      <c r="M78" s="1618"/>
      <c r="N78" s="1619">
        <v>124</v>
      </c>
      <c r="O78" s="1620"/>
      <c r="P78" s="543">
        <f t="shared" si="17"/>
        <v>11</v>
      </c>
      <c r="Q78" s="386">
        <f>VLOOKUP(N78,etat!$A$9:$N$1012,2,FALSE)</f>
        <v>0</v>
      </c>
      <c r="R78" s="435" t="str">
        <f>VLOOKUP(N78,etat!$A$9:$N$971,7,FALSE)</f>
        <v>3أ ف1</v>
      </c>
      <c r="S78" s="435" t="str">
        <f>VLOOKUP(N78,etat!$A$9:$N$1011,9,FALSE)</f>
        <v>ن/د</v>
      </c>
      <c r="T78" s="435" t="str">
        <f>VLOOKUP(N78,etat!$A$9:$P$913,16,FALSE)</f>
        <v>اخ3</v>
      </c>
      <c r="U78" s="495">
        <v>44577</v>
      </c>
      <c r="V78" s="436">
        <v>1</v>
      </c>
      <c r="W78" s="549"/>
      <c r="X78" s="549"/>
      <c r="Y78" s="549"/>
      <c r="Z78" s="549"/>
      <c r="AA78" s="547" t="e">
        <f>VLOOKUP(L78,اس!$S$3:$X$31,3,FALSE)</f>
        <v>#N/A</v>
      </c>
      <c r="AB78" s="437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</row>
    <row r="79" spans="1:79" ht="15.75">
      <c r="A79" s="25"/>
      <c r="B79" s="25"/>
      <c r="C79" s="25"/>
      <c r="D79" s="295"/>
      <c r="E79" s="295"/>
      <c r="F79" s="295"/>
      <c r="G79" s="295"/>
      <c r="H79" s="295"/>
      <c r="I79" s="25"/>
      <c r="J79" s="25"/>
      <c r="K79" s="25"/>
      <c r="L79" s="1617"/>
      <c r="M79" s="1618"/>
      <c r="N79" s="1619">
        <v>125</v>
      </c>
      <c r="O79" s="1620"/>
      <c r="P79" s="391">
        <f t="shared" si="17"/>
        <v>12</v>
      </c>
      <c r="Q79" s="386">
        <f>VLOOKUP(N79,etat!$A$9:$N$1012,2,FALSE)</f>
        <v>0</v>
      </c>
      <c r="R79" s="435" t="str">
        <f>VLOOKUP(N79,etat!$A$9:$N$971,7,FALSE)</f>
        <v>3أ ف1</v>
      </c>
      <c r="S79" s="435" t="str">
        <f>VLOOKUP(N79,etat!$A$9:$N$1011,9,FALSE)</f>
        <v>ن/د</v>
      </c>
      <c r="T79" s="435" t="str">
        <f>VLOOKUP(N79,etat!$A$9:$P$913,16,FALSE)</f>
        <v>اخ3</v>
      </c>
      <c r="U79" s="495">
        <v>44577</v>
      </c>
      <c r="V79" s="436">
        <v>1</v>
      </c>
      <c r="W79" s="549"/>
      <c r="X79" s="549"/>
      <c r="Y79" s="549"/>
      <c r="Z79" s="549"/>
      <c r="AA79" s="547" t="e">
        <f>VLOOKUP(L79,اس!$S$3:$X$31,3,FALSE)</f>
        <v>#N/A</v>
      </c>
      <c r="AB79" s="437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</row>
    <row r="80" spans="1:79" ht="15.75">
      <c r="A80" s="25"/>
      <c r="B80" s="25"/>
      <c r="C80" s="25"/>
      <c r="D80" s="295"/>
      <c r="E80" s="295"/>
      <c r="F80" s="295"/>
      <c r="G80" s="295"/>
      <c r="H80" s="295"/>
      <c r="I80" s="25"/>
      <c r="J80" s="25"/>
      <c r="K80" s="25"/>
      <c r="L80" s="1617"/>
      <c r="M80" s="1618"/>
      <c r="N80" s="1619">
        <v>222</v>
      </c>
      <c r="O80" s="1620"/>
      <c r="P80" s="543">
        <f t="shared" si="17"/>
        <v>13</v>
      </c>
      <c r="Q80" s="386">
        <f>VLOOKUP(N80,etat!$A$9:$N$1012,2,FALSE)</f>
        <v>0</v>
      </c>
      <c r="R80" s="435" t="str">
        <f>VLOOKUP(N80,etat!$A$9:$N$971,7,FALSE)</f>
        <v>2ت ا ق1</v>
      </c>
      <c r="S80" s="435" t="str">
        <f>VLOOKUP(N80,etat!$A$9:$N$1011,9,FALSE)</f>
        <v>ن/د</v>
      </c>
      <c r="T80" s="435" t="str">
        <f>VLOOKUP(N80,etat!$A$9:$P$913,16,FALSE)</f>
        <v>اخ3</v>
      </c>
      <c r="U80" s="495">
        <v>44574</v>
      </c>
      <c r="V80" s="436">
        <v>4</v>
      </c>
      <c r="W80" s="549"/>
      <c r="X80" s="549"/>
      <c r="Y80" s="549"/>
      <c r="Z80" s="549"/>
      <c r="AA80" s="547" t="e">
        <f>VLOOKUP(L80,اس!$S$3:$X$31,3,FALSE)</f>
        <v>#N/A</v>
      </c>
      <c r="AB80" s="437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</row>
    <row r="81" spans="1:79" ht="15.75">
      <c r="A81" s="25"/>
      <c r="B81" s="25"/>
      <c r="C81" s="25"/>
      <c r="D81" s="295"/>
      <c r="E81" s="295"/>
      <c r="F81" s="295"/>
      <c r="G81" s="295"/>
      <c r="H81" s="295"/>
      <c r="I81" s="25"/>
      <c r="J81" s="25"/>
      <c r="K81" s="25"/>
      <c r="L81" s="1617"/>
      <c r="M81" s="1618"/>
      <c r="N81" s="1619">
        <v>255</v>
      </c>
      <c r="O81" s="1620"/>
      <c r="P81" s="391">
        <f t="shared" si="17"/>
        <v>14</v>
      </c>
      <c r="Q81" s="386">
        <f>VLOOKUP(N81,etat!$A$9:$N$1012,2,FALSE)</f>
        <v>0</v>
      </c>
      <c r="R81" s="435" t="str">
        <f>VLOOKUP(N81,etat!$A$9:$N$971,7,FALSE)</f>
        <v>2ت ا ق1</v>
      </c>
      <c r="S81" s="435" t="str">
        <f>VLOOKUP(N81,etat!$A$9:$N$1011,9,FALSE)</f>
        <v>خ</v>
      </c>
      <c r="T81" s="435" t="str">
        <f>VLOOKUP(N81,etat!$A$9:$P$913,16,FALSE)</f>
        <v>اخ2</v>
      </c>
      <c r="U81" s="495">
        <v>44570</v>
      </c>
      <c r="V81" s="436">
        <v>8</v>
      </c>
      <c r="W81" s="549"/>
      <c r="X81" s="549"/>
      <c r="Y81" s="549"/>
      <c r="Z81" s="549"/>
      <c r="AA81" s="547" t="e">
        <f>VLOOKUP(L81,اس!$S$3:$X$31,3,FALSE)</f>
        <v>#N/A</v>
      </c>
      <c r="AB81" s="437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</row>
    <row r="82" spans="1:79" ht="15.75">
      <c r="A82" s="25"/>
      <c r="B82" s="25"/>
      <c r="C82" s="25"/>
      <c r="D82" s="295"/>
      <c r="E82" s="295"/>
      <c r="F82" s="295"/>
      <c r="G82" s="295"/>
      <c r="H82" s="295"/>
      <c r="I82" s="25"/>
      <c r="J82" s="25"/>
      <c r="K82" s="25"/>
      <c r="L82" s="1617"/>
      <c r="M82" s="1618"/>
      <c r="N82" s="1619">
        <v>322</v>
      </c>
      <c r="O82" s="1620"/>
      <c r="P82" s="543">
        <f t="shared" si="17"/>
        <v>15</v>
      </c>
      <c r="Q82" s="386">
        <f>VLOOKUP(N82,etat!$A$9:$N$1012,2,FALSE)</f>
        <v>0</v>
      </c>
      <c r="R82" s="435" t="str">
        <f>VLOOKUP(N82,etat!$A$9:$N$971,7,FALSE)</f>
        <v>2أف1</v>
      </c>
      <c r="S82" s="435" t="str">
        <f>VLOOKUP(N82,etat!$A$9:$N$1011,9,FALSE)</f>
        <v>خ</v>
      </c>
      <c r="T82" s="435" t="str">
        <f>VLOOKUP(N82,etat!$A$9:$P$913,16,FALSE)</f>
        <v>ذخ2</v>
      </c>
      <c r="U82" s="495">
        <v>44577</v>
      </c>
      <c r="V82" s="436">
        <v>1</v>
      </c>
      <c r="W82" s="549"/>
      <c r="X82" s="549"/>
      <c r="Y82" s="549"/>
      <c r="Z82" s="549"/>
      <c r="AA82" s="547" t="e">
        <f>VLOOKUP(L82,اس!$S$3:$X$31,3,FALSE)</f>
        <v>#N/A</v>
      </c>
      <c r="AB82" s="437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</row>
    <row r="83" spans="1:79" ht="15.75">
      <c r="A83" s="25"/>
      <c r="B83" s="25"/>
      <c r="C83" s="25"/>
      <c r="D83" s="295"/>
      <c r="E83" s="295"/>
      <c r="F83" s="295"/>
      <c r="G83" s="295"/>
      <c r="H83" s="295"/>
      <c r="I83" s="25"/>
      <c r="J83" s="25"/>
      <c r="K83" s="25"/>
      <c r="L83" s="1617"/>
      <c r="M83" s="1618"/>
      <c r="N83" s="1619">
        <v>333</v>
      </c>
      <c r="O83" s="1620"/>
      <c r="P83" s="391">
        <f t="shared" si="17"/>
        <v>16</v>
      </c>
      <c r="Q83" s="386">
        <f>VLOOKUP(N83,etat!$A$9:$N$1012,2,FALSE)</f>
        <v>0</v>
      </c>
      <c r="R83" s="435" t="str">
        <f>VLOOKUP(N83,etat!$A$9:$N$971,7,FALSE)</f>
        <v>2أف1</v>
      </c>
      <c r="S83" s="435" t="str">
        <f>VLOOKUP(N83,etat!$A$9:$N$1011,9,FALSE)</f>
        <v>خ</v>
      </c>
      <c r="T83" s="435" t="str">
        <f>VLOOKUP(N83,etat!$A$9:$P$913,16,FALSE)</f>
        <v>ان/د2</v>
      </c>
      <c r="U83" s="495">
        <v>44577</v>
      </c>
      <c r="V83" s="436">
        <v>1</v>
      </c>
      <c r="W83" s="549"/>
      <c r="X83" s="549"/>
      <c r="Y83" s="549"/>
      <c r="Z83" s="549"/>
      <c r="AA83" s="547" t="e">
        <f>VLOOKUP(L83,اس!$S$3:$X$31,3,FALSE)</f>
        <v>#N/A</v>
      </c>
      <c r="AB83" s="437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</row>
    <row r="84" spans="1:79" ht="15.75">
      <c r="A84" s="25"/>
      <c r="B84" s="25"/>
      <c r="C84" s="25"/>
      <c r="D84" s="295"/>
      <c r="E84" s="295"/>
      <c r="F84" s="295"/>
      <c r="G84" s="295"/>
      <c r="H84" s="295"/>
      <c r="I84" s="25"/>
      <c r="J84" s="25"/>
      <c r="K84" s="25"/>
      <c r="L84" s="1617"/>
      <c r="M84" s="1618"/>
      <c r="N84" s="1619">
        <v>355</v>
      </c>
      <c r="O84" s="1620"/>
      <c r="P84" s="543">
        <f t="shared" si="17"/>
        <v>17</v>
      </c>
      <c r="Q84" s="386">
        <f>VLOOKUP(N84,etat!$A$9:$N$1012,2,FALSE)</f>
        <v>0</v>
      </c>
      <c r="R84" s="435" t="str">
        <f>VLOOKUP(N84,etat!$A$9:$N$971,7,FALSE)</f>
        <v>2ل أ</v>
      </c>
      <c r="S84" s="435" t="str">
        <f>VLOOKUP(N84,etat!$A$9:$N$1011,9,FALSE)</f>
        <v>خ</v>
      </c>
      <c r="T84" s="435" t="str">
        <f>VLOOKUP(N84,etat!$A$9:$P$913,16,FALSE)</f>
        <v>اخ2</v>
      </c>
      <c r="U84" s="495">
        <v>44577</v>
      </c>
      <c r="V84" s="436">
        <v>1</v>
      </c>
      <c r="W84" s="549"/>
      <c r="X84" s="549"/>
      <c r="Y84" s="549"/>
      <c r="Z84" s="549"/>
      <c r="AA84" s="547" t="e">
        <f>VLOOKUP(L84,اس!$S$3:$X$31,3,FALSE)</f>
        <v>#N/A</v>
      </c>
      <c r="AB84" s="437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</row>
    <row r="85" spans="1:79" ht="15.75">
      <c r="A85" s="25"/>
      <c r="B85" s="25"/>
      <c r="C85" s="25"/>
      <c r="D85" s="295"/>
      <c r="E85" s="295"/>
      <c r="F85" s="295"/>
      <c r="G85" s="295"/>
      <c r="H85" s="295"/>
      <c r="I85" s="25"/>
      <c r="J85" s="25"/>
      <c r="K85" s="25"/>
      <c r="L85" s="1617"/>
      <c r="M85" s="1618"/>
      <c r="N85" s="1619">
        <v>366</v>
      </c>
      <c r="O85" s="1620"/>
      <c r="P85" s="391">
        <f t="shared" si="17"/>
        <v>18</v>
      </c>
      <c r="Q85" s="386">
        <f>VLOOKUP(N85,etat!$A$9:$N$1012,2,FALSE)</f>
        <v>0</v>
      </c>
      <c r="R85" s="435" t="str">
        <f>VLOOKUP(N85,etat!$A$9:$N$971,7,FALSE)</f>
        <v>1ج م ع1</v>
      </c>
      <c r="S85" s="435" t="str">
        <f>VLOOKUP(N85,etat!$A$9:$N$1011,9,FALSE)</f>
        <v>خ</v>
      </c>
      <c r="T85" s="435" t="str">
        <f>VLOOKUP(N85,etat!$A$9:$P$913,16,FALSE)</f>
        <v>اخ2</v>
      </c>
      <c r="U85" s="495">
        <v>44577</v>
      </c>
      <c r="V85" s="436">
        <v>1</v>
      </c>
      <c r="W85" s="549"/>
      <c r="X85" s="549"/>
      <c r="Y85" s="549"/>
      <c r="Z85" s="549"/>
      <c r="AA85" s="547" t="e">
        <f>VLOOKUP(L85,اس!$S$3:$X$31,3,FALSE)</f>
        <v>#N/A</v>
      </c>
      <c r="AB85" s="437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</row>
    <row r="86" spans="1:79" ht="15.75">
      <c r="A86" s="25"/>
      <c r="B86" s="25"/>
      <c r="C86" s="25"/>
      <c r="D86" s="295"/>
      <c r="E86" s="295"/>
      <c r="F86" s="295"/>
      <c r="G86" s="295"/>
      <c r="H86" s="295"/>
      <c r="I86" s="25"/>
      <c r="J86" s="25"/>
      <c r="K86" s="25"/>
      <c r="L86" s="1617">
        <v>15</v>
      </c>
      <c r="M86" s="1618"/>
      <c r="N86" s="1619">
        <v>415</v>
      </c>
      <c r="O86" s="1620"/>
      <c r="P86" s="543">
        <f t="shared" si="17"/>
        <v>19</v>
      </c>
      <c r="Q86" s="386">
        <f>VLOOKUP(N86,etat!$A$9:$N$1012,2,FALSE)</f>
        <v>0</v>
      </c>
      <c r="R86" s="435" t="str">
        <f>VLOOKUP(N86,etat!$A$9:$N$971,7,FALSE)</f>
        <v>1ج م ع2</v>
      </c>
      <c r="S86" s="435" t="str">
        <f>VLOOKUP(N86,etat!$A$9:$N$1011,9,FALSE)</f>
        <v>خ</v>
      </c>
      <c r="T86" s="435" t="str">
        <f>VLOOKUP(N86,etat!$A$9:$P$913,16,FALSE)</f>
        <v>اخ2</v>
      </c>
      <c r="U86" s="495">
        <v>44563</v>
      </c>
      <c r="V86" s="436">
        <v>15</v>
      </c>
      <c r="W86" s="549"/>
      <c r="X86" s="549"/>
      <c r="Y86" s="549"/>
      <c r="Z86" s="549"/>
      <c r="AA86" s="547" t="str">
        <f>VLOOKUP(L86,اس!$S$3:$X$31,3,FALSE)</f>
        <v xml:space="preserve">ش ط </v>
      </c>
      <c r="AB86" s="437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</row>
    <row r="87" spans="1:79" ht="15.75">
      <c r="A87" s="25"/>
      <c r="B87" s="25"/>
      <c r="C87" s="25"/>
      <c r="D87" s="295"/>
      <c r="E87" s="295"/>
      <c r="F87" s="295"/>
      <c r="G87" s="295"/>
      <c r="H87" s="295"/>
      <c r="I87" s="25"/>
      <c r="J87" s="25"/>
      <c r="K87" s="25"/>
      <c r="L87" s="1617"/>
      <c r="M87" s="1618"/>
      <c r="N87" s="1619">
        <v>422</v>
      </c>
      <c r="O87" s="1620"/>
      <c r="P87" s="391">
        <f t="shared" si="17"/>
        <v>20</v>
      </c>
      <c r="Q87" s="386">
        <f>VLOOKUP(N87,etat!$A$9:$N$1012,2,FALSE)</f>
        <v>0</v>
      </c>
      <c r="R87" s="435" t="str">
        <f>VLOOKUP(N87,etat!$A$9:$N$971,7,FALSE)</f>
        <v>1ج م ع3</v>
      </c>
      <c r="S87" s="435" t="str">
        <f>VLOOKUP(N87,etat!$A$9:$N$1011,9,FALSE)</f>
        <v>ن/د</v>
      </c>
      <c r="T87" s="435" t="str">
        <f>VLOOKUP(N87,etat!$A$9:$P$913,16,FALSE)</f>
        <v>اخ2</v>
      </c>
      <c r="U87" s="495">
        <v>44577</v>
      </c>
      <c r="V87" s="436">
        <v>1</v>
      </c>
      <c r="W87" s="549"/>
      <c r="X87" s="549"/>
      <c r="Y87" s="549"/>
      <c r="Z87" s="549"/>
      <c r="AA87" s="547" t="e">
        <f>VLOOKUP(L87,اس!$S$3:$X$31,3,FALSE)</f>
        <v>#N/A</v>
      </c>
      <c r="AB87" s="437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</row>
    <row r="88" spans="1:79" ht="15.75">
      <c r="A88" s="25"/>
      <c r="B88" s="25"/>
      <c r="C88" s="25"/>
      <c r="D88" s="295"/>
      <c r="E88" s="295"/>
      <c r="F88" s="295"/>
      <c r="G88" s="295"/>
      <c r="H88" s="295"/>
      <c r="I88" s="25"/>
      <c r="J88" s="25"/>
      <c r="K88" s="25"/>
      <c r="L88" s="1617"/>
      <c r="M88" s="1618"/>
      <c r="N88" s="1619">
        <v>555</v>
      </c>
      <c r="O88" s="1620"/>
      <c r="P88" s="543">
        <f t="shared" si="17"/>
        <v>21</v>
      </c>
      <c r="Q88" s="386">
        <f>VLOOKUP(N88,etat!$A$9:$N$1012,2,FALSE)</f>
        <v>0</v>
      </c>
      <c r="R88" s="435" t="str">
        <f>VLOOKUP(N88,etat!$A$9:$N$971,7,FALSE)</f>
        <v>1ج م أ2</v>
      </c>
      <c r="S88" s="435" t="str">
        <f>VLOOKUP(N88,etat!$A$9:$N$1011,9,FALSE)</f>
        <v>خ</v>
      </c>
      <c r="T88" s="435" t="str">
        <f>VLOOKUP(N88,etat!$A$9:$P$913,16,FALSE)</f>
        <v>اخ1</v>
      </c>
      <c r="U88" s="495">
        <v>44577</v>
      </c>
      <c r="V88" s="436">
        <v>1</v>
      </c>
      <c r="W88" s="549"/>
      <c r="X88" s="549"/>
      <c r="Y88" s="549"/>
      <c r="Z88" s="549"/>
      <c r="AA88" s="547" t="e">
        <f>VLOOKUP(L88,اس!$S$3:$X$31,3,FALSE)</f>
        <v>#N/A</v>
      </c>
      <c r="AB88" s="437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</row>
    <row r="89" spans="1:79" ht="15.75">
      <c r="A89" s="25"/>
      <c r="B89" s="25"/>
      <c r="C89" s="25"/>
      <c r="D89" s="295"/>
      <c r="E89" s="295"/>
      <c r="F89" s="295"/>
      <c r="G89" s="295"/>
      <c r="H89" s="295"/>
      <c r="I89" s="25"/>
      <c r="J89" s="25"/>
      <c r="K89" s="25"/>
      <c r="L89" s="1617"/>
      <c r="M89" s="1618"/>
      <c r="N89" s="1619">
        <v>555</v>
      </c>
      <c r="O89" s="1620"/>
      <c r="P89" s="391">
        <f t="shared" si="17"/>
        <v>22</v>
      </c>
      <c r="Q89" s="386">
        <f>VLOOKUP(N89,etat!$A$9:$N$1012,2,FALSE)</f>
        <v>0</v>
      </c>
      <c r="R89" s="435" t="str">
        <f>VLOOKUP(N89,etat!$A$9:$N$971,7,FALSE)</f>
        <v>1ج م أ2</v>
      </c>
      <c r="S89" s="435" t="str">
        <f>VLOOKUP(N89,etat!$A$9:$N$1011,9,FALSE)</f>
        <v>خ</v>
      </c>
      <c r="T89" s="435" t="str">
        <f>VLOOKUP(N89,etat!$A$9:$P$913,16,FALSE)</f>
        <v>اخ1</v>
      </c>
      <c r="U89" s="495">
        <v>44577</v>
      </c>
      <c r="V89" s="436">
        <v>1</v>
      </c>
      <c r="W89" s="549"/>
      <c r="X89" s="549"/>
      <c r="Y89" s="549"/>
      <c r="Z89" s="549"/>
      <c r="AA89" s="547" t="e">
        <f>VLOOKUP(L89,اس!$S$3:$X$31,3,FALSE)</f>
        <v>#N/A</v>
      </c>
      <c r="AB89" s="437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</row>
    <row r="90" spans="1:79" ht="15.75">
      <c r="A90" s="25"/>
      <c r="B90" s="25"/>
      <c r="C90" s="25"/>
      <c r="D90" s="295"/>
      <c r="E90" s="295"/>
      <c r="F90" s="295"/>
      <c r="G90" s="295"/>
      <c r="H90" s="295"/>
      <c r="I90" s="25"/>
      <c r="J90" s="25"/>
      <c r="K90" s="25"/>
      <c r="L90" s="1617"/>
      <c r="M90" s="1618"/>
      <c r="N90" s="1619">
        <v>644</v>
      </c>
      <c r="O90" s="1620"/>
      <c r="P90" s="543">
        <f t="shared" si="17"/>
        <v>23</v>
      </c>
      <c r="Q90" s="386">
        <f>VLOOKUP(N90,etat!$A$9:$N$1012,2,FALSE)</f>
        <v>0</v>
      </c>
      <c r="R90" s="435">
        <f>VLOOKUP(N90,etat!$A$9:$N$971,7,FALSE)</f>
        <v>0</v>
      </c>
      <c r="S90" s="435">
        <f>VLOOKUP(N90,etat!$A$9:$N$1011,9,FALSE)</f>
        <v>0</v>
      </c>
      <c r="T90" s="435">
        <f>VLOOKUP(N90,etat!$A$9:$P$913,16,FALSE)</f>
        <v>0</v>
      </c>
      <c r="U90" s="495">
        <v>44577</v>
      </c>
      <c r="V90" s="436">
        <v>1</v>
      </c>
      <c r="W90" s="549"/>
      <c r="X90" s="549"/>
      <c r="Y90" s="549"/>
      <c r="Z90" s="549"/>
      <c r="AA90" s="547" t="e">
        <f>VLOOKUP(L90,اس!$S$3:$X$31,3,FALSE)</f>
        <v>#N/A</v>
      </c>
      <c r="AB90" s="437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</row>
    <row r="91" spans="1:79" ht="15.75">
      <c r="A91" s="25"/>
      <c r="B91" s="25"/>
      <c r="C91" s="25"/>
      <c r="D91" s="295"/>
      <c r="E91" s="295"/>
      <c r="F91" s="295"/>
      <c r="G91" s="295"/>
      <c r="H91" s="295"/>
      <c r="I91" s="25"/>
      <c r="J91" s="25"/>
      <c r="K91" s="25"/>
      <c r="L91" s="1617"/>
      <c r="M91" s="1618"/>
      <c r="N91" s="1619"/>
      <c r="O91" s="1620"/>
      <c r="P91" s="391">
        <f t="shared" si="17"/>
        <v>24</v>
      </c>
      <c r="Q91" s="386" t="e">
        <f>VLOOKUP(N91,etat!$A$9:$N$1012,2,FALSE)</f>
        <v>#N/A</v>
      </c>
      <c r="R91" s="435" t="e">
        <f>VLOOKUP(N91,etat!$A$9:$N$971,7,FALSE)</f>
        <v>#N/A</v>
      </c>
      <c r="S91" s="435" t="e">
        <f>VLOOKUP(N91,etat!$A$9:$N$1011,9,FALSE)</f>
        <v>#N/A</v>
      </c>
      <c r="T91" s="435" t="e">
        <f>VLOOKUP(N91,etat!$A$9:$P$913,16,FALSE)</f>
        <v>#N/A</v>
      </c>
      <c r="U91" s="495"/>
      <c r="V91" s="436"/>
      <c r="W91" s="549"/>
      <c r="X91" s="549"/>
      <c r="Y91" s="549"/>
      <c r="Z91" s="549"/>
      <c r="AA91" s="547" t="e">
        <f>VLOOKUP(L91,اس!$S$3:$X$31,3,FALSE)</f>
        <v>#N/A</v>
      </c>
      <c r="AB91" s="437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</row>
    <row r="92" spans="1:79" ht="15.75">
      <c r="A92" s="25"/>
      <c r="B92" s="25"/>
      <c r="C92" s="25"/>
      <c r="D92" s="295"/>
      <c r="E92" s="295"/>
      <c r="F92" s="295"/>
      <c r="G92" s="295"/>
      <c r="H92" s="295"/>
      <c r="I92" s="25"/>
      <c r="J92" s="25"/>
      <c r="K92" s="25"/>
      <c r="L92" s="1617"/>
      <c r="M92" s="1618"/>
      <c r="N92" s="1619"/>
      <c r="O92" s="1620"/>
      <c r="P92" s="543">
        <f t="shared" si="17"/>
        <v>25</v>
      </c>
      <c r="Q92" s="386" t="e">
        <f>VLOOKUP(N92,etat!$A$9:$N$1012,2,FALSE)</f>
        <v>#N/A</v>
      </c>
      <c r="R92" s="435" t="e">
        <f>VLOOKUP(N92,etat!$A$9:$N$971,7,FALSE)</f>
        <v>#N/A</v>
      </c>
      <c r="S92" s="435" t="e">
        <f>VLOOKUP(N92,etat!$A$9:$N$1011,9,FALSE)</f>
        <v>#N/A</v>
      </c>
      <c r="T92" s="435" t="e">
        <f>VLOOKUP(N92,etat!$A$9:$P$913,16,FALSE)</f>
        <v>#N/A</v>
      </c>
      <c r="U92" s="495"/>
      <c r="V92" s="436"/>
      <c r="W92" s="549"/>
      <c r="X92" s="549"/>
      <c r="Y92" s="549"/>
      <c r="Z92" s="549"/>
      <c r="AA92" s="547" t="e">
        <f>VLOOKUP(L92,اس!$S$3:$X$31,3,FALSE)</f>
        <v>#N/A</v>
      </c>
      <c r="AB92" s="437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</row>
    <row r="93" spans="1:79" ht="15.75">
      <c r="A93" s="25"/>
      <c r="B93" s="25"/>
      <c r="C93" s="25"/>
      <c r="D93" s="295"/>
      <c r="E93" s="295"/>
      <c r="F93" s="295"/>
      <c r="G93" s="295"/>
      <c r="H93" s="295"/>
      <c r="I93" s="25"/>
      <c r="J93" s="25"/>
      <c r="K93" s="25"/>
      <c r="L93" s="1617"/>
      <c r="M93" s="1618"/>
      <c r="N93" s="1619"/>
      <c r="O93" s="1620"/>
      <c r="P93" s="391">
        <f t="shared" si="17"/>
        <v>26</v>
      </c>
      <c r="Q93" s="386" t="e">
        <f>VLOOKUP(N93,etat!$A$9:$N$1012,2,FALSE)</f>
        <v>#N/A</v>
      </c>
      <c r="R93" s="435" t="e">
        <f>VLOOKUP(N93,etat!$A$9:$N$971,7,FALSE)</f>
        <v>#N/A</v>
      </c>
      <c r="S93" s="435" t="e">
        <f>VLOOKUP(N93,etat!$A$9:$N$1011,9,FALSE)</f>
        <v>#N/A</v>
      </c>
      <c r="T93" s="435" t="e">
        <f>VLOOKUP(N93,etat!$A$9:$P$913,16,FALSE)</f>
        <v>#N/A</v>
      </c>
      <c r="U93" s="495"/>
      <c r="V93" s="436"/>
      <c r="W93" s="549"/>
      <c r="X93" s="549"/>
      <c r="Y93" s="549"/>
      <c r="Z93" s="549"/>
      <c r="AA93" s="547" t="e">
        <f>VLOOKUP(L93,اس!$S$3:$X$31,3,FALSE)</f>
        <v>#N/A</v>
      </c>
      <c r="AB93" s="437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</row>
    <row r="94" spans="1:79" ht="15.75">
      <c r="A94" s="25"/>
      <c r="B94" s="25"/>
      <c r="C94" s="25"/>
      <c r="D94" s="295"/>
      <c r="E94" s="295"/>
      <c r="F94" s="295"/>
      <c r="G94" s="295"/>
      <c r="H94" s="295"/>
      <c r="I94" s="25"/>
      <c r="J94" s="25"/>
      <c r="K94" s="25"/>
      <c r="L94" s="1617"/>
      <c r="M94" s="1618"/>
      <c r="N94" s="1619"/>
      <c r="O94" s="1620"/>
      <c r="P94" s="543">
        <f t="shared" si="17"/>
        <v>27</v>
      </c>
      <c r="Q94" s="386" t="e">
        <f>VLOOKUP(N94,etat!$A$9:$N$1012,2,FALSE)</f>
        <v>#N/A</v>
      </c>
      <c r="R94" s="435" t="e">
        <f>VLOOKUP(N94,etat!$A$9:$N$971,7,FALSE)</f>
        <v>#N/A</v>
      </c>
      <c r="S94" s="435" t="e">
        <f>VLOOKUP(N94,etat!$A$9:$N$1011,9,FALSE)</f>
        <v>#N/A</v>
      </c>
      <c r="T94" s="435" t="e">
        <f>VLOOKUP(N94,etat!$A$9:$P$913,16,FALSE)</f>
        <v>#N/A</v>
      </c>
      <c r="U94" s="495"/>
      <c r="V94" s="436"/>
      <c r="W94" s="549"/>
      <c r="X94" s="549"/>
      <c r="Y94" s="549"/>
      <c r="Z94" s="549"/>
      <c r="AA94" s="547" t="e">
        <f>VLOOKUP(L94,اس!$S$3:$X$31,3,FALSE)</f>
        <v>#N/A</v>
      </c>
      <c r="AB94" s="437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</row>
    <row r="95" spans="1:79" ht="15.75">
      <c r="A95" s="25"/>
      <c r="B95" s="25"/>
      <c r="C95" s="25"/>
      <c r="D95" s="295"/>
      <c r="E95" s="295"/>
      <c r="F95" s="295"/>
      <c r="G95" s="295"/>
      <c r="H95" s="295"/>
      <c r="I95" s="25"/>
      <c r="J95" s="25"/>
      <c r="K95" s="25"/>
      <c r="L95" s="1617"/>
      <c r="M95" s="1618"/>
      <c r="N95" s="1619"/>
      <c r="O95" s="1620"/>
      <c r="P95" s="391">
        <f t="shared" si="17"/>
        <v>28</v>
      </c>
      <c r="Q95" s="386" t="e">
        <f>VLOOKUP(N95,etat!$A$9:$N$1012,2,FALSE)</f>
        <v>#N/A</v>
      </c>
      <c r="R95" s="435" t="e">
        <f>VLOOKUP(N95,etat!$A$9:$N$971,7,FALSE)</f>
        <v>#N/A</v>
      </c>
      <c r="S95" s="435" t="e">
        <f>VLOOKUP(N95,etat!$A$9:$N$1011,9,FALSE)</f>
        <v>#N/A</v>
      </c>
      <c r="T95" s="435" t="e">
        <f>VLOOKUP(N95,etat!$A$9:$P$913,16,FALSE)</f>
        <v>#N/A</v>
      </c>
      <c r="U95" s="495"/>
      <c r="V95" s="436"/>
      <c r="W95" s="549"/>
      <c r="X95" s="549"/>
      <c r="Y95" s="549"/>
      <c r="Z95" s="549"/>
      <c r="AA95" s="547" t="e">
        <f>VLOOKUP(L95,اس!$S$3:$X$31,3,FALSE)</f>
        <v>#N/A</v>
      </c>
      <c r="AB95" s="437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</row>
    <row r="96" spans="1:79" ht="15.75">
      <c r="A96" s="25"/>
      <c r="B96" s="25"/>
      <c r="C96" s="25"/>
      <c r="D96" s="295"/>
      <c r="E96" s="295"/>
      <c r="F96" s="295"/>
      <c r="G96" s="295"/>
      <c r="H96" s="295"/>
      <c r="I96" s="25"/>
      <c r="J96" s="25"/>
      <c r="K96" s="25"/>
      <c r="L96" s="1617"/>
      <c r="M96" s="1618"/>
      <c r="N96" s="1619"/>
      <c r="O96" s="1620"/>
      <c r="P96" s="543">
        <f t="shared" si="17"/>
        <v>29</v>
      </c>
      <c r="Q96" s="386" t="e">
        <f>VLOOKUP(N96,etat!$A$9:$N$1012,2,FALSE)</f>
        <v>#N/A</v>
      </c>
      <c r="R96" s="435" t="e">
        <f>VLOOKUP(N96,etat!$A$9:$N$971,7,FALSE)</f>
        <v>#N/A</v>
      </c>
      <c r="S96" s="435" t="e">
        <f>VLOOKUP(N96,etat!$A$9:$N$1011,9,FALSE)</f>
        <v>#N/A</v>
      </c>
      <c r="T96" s="435" t="e">
        <f>VLOOKUP(N96,etat!$A$9:$P$913,16,FALSE)</f>
        <v>#N/A</v>
      </c>
      <c r="U96" s="495"/>
      <c r="V96" s="436"/>
      <c r="W96" s="549"/>
      <c r="X96" s="549"/>
      <c r="Y96" s="549"/>
      <c r="Z96" s="549"/>
      <c r="AA96" s="547" t="e">
        <f>VLOOKUP(L96,اس!$S$3:$X$31,3,FALSE)</f>
        <v>#N/A</v>
      </c>
      <c r="AB96" s="437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</row>
    <row r="97" spans="1:79" ht="15.75">
      <c r="A97" s="25"/>
      <c r="B97" s="25"/>
      <c r="C97" s="25"/>
      <c r="D97" s="295"/>
      <c r="E97" s="295"/>
      <c r="F97" s="295"/>
      <c r="G97" s="295"/>
      <c r="H97" s="295"/>
      <c r="I97" s="25"/>
      <c r="J97" s="25"/>
      <c r="K97" s="25"/>
      <c r="L97" s="1617"/>
      <c r="M97" s="1618"/>
      <c r="N97" s="1619"/>
      <c r="O97" s="1620"/>
      <c r="P97" s="391">
        <f t="shared" si="17"/>
        <v>30</v>
      </c>
      <c r="Q97" s="386" t="e">
        <f>VLOOKUP(N97,etat!$A$9:$N$1012,2,FALSE)</f>
        <v>#N/A</v>
      </c>
      <c r="R97" s="435" t="e">
        <f>VLOOKUP(N97,etat!$A$9:$N$971,7,FALSE)</f>
        <v>#N/A</v>
      </c>
      <c r="S97" s="435" t="e">
        <f>VLOOKUP(N97,etat!$A$9:$N$1011,9,FALSE)</f>
        <v>#N/A</v>
      </c>
      <c r="T97" s="435" t="e">
        <f>VLOOKUP(N97,etat!$A$9:$P$913,16,FALSE)</f>
        <v>#N/A</v>
      </c>
      <c r="U97" s="495"/>
      <c r="V97" s="436"/>
      <c r="W97" s="549"/>
      <c r="X97" s="549"/>
      <c r="Y97" s="549"/>
      <c r="Z97" s="549"/>
      <c r="AA97" s="547" t="e">
        <f>VLOOKUP(L97,اس!$S$3:$X$31,3,FALSE)</f>
        <v>#N/A</v>
      </c>
      <c r="AB97" s="437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</row>
    <row r="98" spans="1:79" ht="15.75">
      <c r="A98" s="25"/>
      <c r="B98" s="25"/>
      <c r="C98" s="25"/>
      <c r="D98" s="295"/>
      <c r="E98" s="295"/>
      <c r="F98" s="295"/>
      <c r="G98" s="295"/>
      <c r="H98" s="295"/>
      <c r="I98" s="25"/>
      <c r="J98" s="25"/>
      <c r="K98" s="25"/>
      <c r="L98" s="1617"/>
      <c r="M98" s="1618"/>
      <c r="N98" s="1619"/>
      <c r="O98" s="1620"/>
      <c r="P98" s="543">
        <f t="shared" si="17"/>
        <v>31</v>
      </c>
      <c r="Q98" s="386" t="e">
        <f>VLOOKUP(N98,etat!$A$9:$N$1012,2,FALSE)</f>
        <v>#N/A</v>
      </c>
      <c r="R98" s="435" t="e">
        <f>VLOOKUP(N98,etat!$A$9:$N$971,7,FALSE)</f>
        <v>#N/A</v>
      </c>
      <c r="S98" s="435" t="e">
        <f>VLOOKUP(N98,etat!$A$9:$N$1011,9,FALSE)</f>
        <v>#N/A</v>
      </c>
      <c r="T98" s="435" t="e">
        <f>VLOOKUP(N98,etat!$A$9:$P$913,16,FALSE)</f>
        <v>#N/A</v>
      </c>
      <c r="U98" s="495"/>
      <c r="V98" s="436"/>
      <c r="W98" s="549"/>
      <c r="X98" s="549"/>
      <c r="Y98" s="549"/>
      <c r="Z98" s="549"/>
      <c r="AA98" s="547" t="e">
        <f>VLOOKUP(L98,اس!$S$3:$X$31,3,FALSE)</f>
        <v>#N/A</v>
      </c>
      <c r="AB98" s="437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</row>
    <row r="99" spans="1:79" ht="15.75">
      <c r="A99" s="25"/>
      <c r="B99" s="25"/>
      <c r="C99" s="25"/>
      <c r="D99" s="295"/>
      <c r="E99" s="295"/>
      <c r="F99" s="295"/>
      <c r="G99" s="295"/>
      <c r="H99" s="295"/>
      <c r="I99" s="25"/>
      <c r="J99" s="25"/>
      <c r="K99" s="25"/>
      <c r="L99" s="1617"/>
      <c r="M99" s="1618"/>
      <c r="N99" s="1619"/>
      <c r="O99" s="1620"/>
      <c r="P99" s="391">
        <f t="shared" si="17"/>
        <v>32</v>
      </c>
      <c r="Q99" s="386" t="e">
        <f>VLOOKUP(N99,etat!$A$9:$N$1012,2,FALSE)</f>
        <v>#N/A</v>
      </c>
      <c r="R99" s="435" t="e">
        <f>VLOOKUP(N99,etat!$A$9:$N$971,7,FALSE)</f>
        <v>#N/A</v>
      </c>
      <c r="S99" s="435" t="e">
        <f>VLOOKUP(N99,etat!$A$9:$N$1011,9,FALSE)</f>
        <v>#N/A</v>
      </c>
      <c r="T99" s="435" t="e">
        <f>VLOOKUP(N99,etat!$A$9:$P$913,16,FALSE)</f>
        <v>#N/A</v>
      </c>
      <c r="U99" s="495"/>
      <c r="V99" s="436"/>
      <c r="W99" s="549"/>
      <c r="X99" s="549"/>
      <c r="Y99" s="549"/>
      <c r="Z99" s="549"/>
      <c r="AA99" s="547" t="e">
        <f>VLOOKUP(L99,اس!$S$3:$X$31,3,FALSE)</f>
        <v>#N/A</v>
      </c>
      <c r="AB99" s="437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</row>
    <row r="100" spans="1:79" ht="15.75">
      <c r="A100" s="25"/>
      <c r="B100" s="25"/>
      <c r="C100" s="25"/>
      <c r="D100" s="295"/>
      <c r="E100" s="295"/>
      <c r="F100" s="295"/>
      <c r="G100" s="295"/>
      <c r="H100" s="295"/>
      <c r="I100" s="25"/>
      <c r="J100" s="25"/>
      <c r="K100" s="25"/>
      <c r="L100" s="1617"/>
      <c r="M100" s="1618"/>
      <c r="N100" s="1619"/>
      <c r="O100" s="1620"/>
      <c r="P100" s="543">
        <f t="shared" si="17"/>
        <v>33</v>
      </c>
      <c r="Q100" s="386" t="e">
        <f>VLOOKUP(N100,etat!$A$9:$N$1012,2,FALSE)</f>
        <v>#N/A</v>
      </c>
      <c r="R100" s="435" t="e">
        <f>VLOOKUP(N100,etat!$A$9:$N$971,7,FALSE)</f>
        <v>#N/A</v>
      </c>
      <c r="S100" s="435" t="e">
        <f>VLOOKUP(N100,etat!$A$9:$N$1011,9,FALSE)</f>
        <v>#N/A</v>
      </c>
      <c r="T100" s="435" t="e">
        <f>VLOOKUP(N100,etat!$A$9:$P$913,16,FALSE)</f>
        <v>#N/A</v>
      </c>
      <c r="U100" s="495"/>
      <c r="V100" s="436"/>
      <c r="W100" s="549"/>
      <c r="X100" s="549"/>
      <c r="Y100" s="549"/>
      <c r="Z100" s="549"/>
      <c r="AA100" s="547" t="e">
        <f>VLOOKUP(L100,اس!$S$3:$X$31,3,FALSE)</f>
        <v>#N/A</v>
      </c>
      <c r="AB100" s="437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</row>
    <row r="101" spans="1:79" ht="15.75">
      <c r="A101" s="25"/>
      <c r="B101" s="25"/>
      <c r="C101" s="25"/>
      <c r="D101" s="295"/>
      <c r="E101" s="295"/>
      <c r="F101" s="295"/>
      <c r="G101" s="295"/>
      <c r="H101" s="295"/>
      <c r="I101" s="25"/>
      <c r="J101" s="25"/>
      <c r="K101" s="25"/>
      <c r="L101" s="1617"/>
      <c r="M101" s="1618"/>
      <c r="N101" s="1619"/>
      <c r="O101" s="1620"/>
      <c r="P101" s="391">
        <f t="shared" si="17"/>
        <v>34</v>
      </c>
      <c r="Q101" s="386" t="e">
        <f>VLOOKUP(N101,etat!$A$9:$N$1012,2,FALSE)</f>
        <v>#N/A</v>
      </c>
      <c r="R101" s="435" t="e">
        <f>VLOOKUP(N101,etat!$A$9:$N$971,7,FALSE)</f>
        <v>#N/A</v>
      </c>
      <c r="S101" s="435" t="e">
        <f>VLOOKUP(N101,etat!$A$9:$N$1011,9,FALSE)</f>
        <v>#N/A</v>
      </c>
      <c r="T101" s="435" t="e">
        <f>VLOOKUP(N101,etat!$A$9:$P$913,16,FALSE)</f>
        <v>#N/A</v>
      </c>
      <c r="U101" s="495"/>
      <c r="V101" s="436"/>
      <c r="W101" s="549"/>
      <c r="X101" s="549"/>
      <c r="Y101" s="549"/>
      <c r="Z101" s="549"/>
      <c r="AA101" s="547" t="e">
        <f>VLOOKUP(L101,اس!$S$3:$X$31,3,FALSE)</f>
        <v>#N/A</v>
      </c>
      <c r="AB101" s="437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</row>
    <row r="102" spans="1:79" ht="15.75">
      <c r="A102" s="25"/>
      <c r="B102" s="25"/>
      <c r="C102" s="25"/>
      <c r="D102" s="295"/>
      <c r="E102" s="295"/>
      <c r="F102" s="295"/>
      <c r="G102" s="295"/>
      <c r="H102" s="295"/>
      <c r="I102" s="25"/>
      <c r="J102" s="25"/>
      <c r="K102" s="25"/>
      <c r="L102" s="1617"/>
      <c r="M102" s="1618"/>
      <c r="N102" s="1619"/>
      <c r="O102" s="1620"/>
      <c r="P102" s="543">
        <f t="shared" si="17"/>
        <v>35</v>
      </c>
      <c r="Q102" s="386" t="e">
        <f>VLOOKUP(N102,etat!$A$9:$N$1012,2,FALSE)</f>
        <v>#N/A</v>
      </c>
      <c r="R102" s="435" t="e">
        <f>VLOOKUP(N102,etat!$A$9:$N$971,7,FALSE)</f>
        <v>#N/A</v>
      </c>
      <c r="S102" s="435" t="e">
        <f>VLOOKUP(N102,etat!$A$9:$N$1011,9,FALSE)</f>
        <v>#N/A</v>
      </c>
      <c r="T102" s="435" t="e">
        <f>VLOOKUP(N102,etat!$A$9:$P$913,16,FALSE)</f>
        <v>#N/A</v>
      </c>
      <c r="U102" s="495"/>
      <c r="V102" s="436"/>
      <c r="W102" s="549"/>
      <c r="X102" s="549"/>
      <c r="Y102" s="549"/>
      <c r="Z102" s="549"/>
      <c r="AA102" s="547" t="e">
        <f>VLOOKUP(L102,اس!$S$3:$X$31,3,FALSE)</f>
        <v>#N/A</v>
      </c>
      <c r="AB102" s="437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</row>
    <row r="103" spans="1:79" ht="15.75">
      <c r="A103" s="25"/>
      <c r="B103" s="25"/>
      <c r="C103" s="25"/>
      <c r="D103" s="295"/>
      <c r="E103" s="295"/>
      <c r="F103" s="295"/>
      <c r="G103" s="295"/>
      <c r="H103" s="295"/>
      <c r="I103" s="25"/>
      <c r="J103" s="25"/>
      <c r="K103" s="25"/>
      <c r="L103" s="1617"/>
      <c r="M103" s="1618"/>
      <c r="N103" s="1619"/>
      <c r="O103" s="1620"/>
      <c r="P103" s="391">
        <f t="shared" si="17"/>
        <v>36</v>
      </c>
      <c r="Q103" s="386" t="e">
        <f>VLOOKUP(N103,etat!$A$9:$N$1012,2,FALSE)</f>
        <v>#N/A</v>
      </c>
      <c r="R103" s="435" t="e">
        <f>VLOOKUP(N103,etat!$A$9:$N$971,7,FALSE)</f>
        <v>#N/A</v>
      </c>
      <c r="S103" s="435" t="e">
        <f>VLOOKUP(N103,etat!$A$9:$N$1011,9,FALSE)</f>
        <v>#N/A</v>
      </c>
      <c r="T103" s="435" t="e">
        <f>VLOOKUP(N103,etat!$A$9:$P$913,16,FALSE)</f>
        <v>#N/A</v>
      </c>
      <c r="U103" s="495"/>
      <c r="V103" s="436"/>
      <c r="W103" s="549"/>
      <c r="X103" s="549"/>
      <c r="Y103" s="549"/>
      <c r="Z103" s="549"/>
      <c r="AA103" s="547" t="e">
        <f>VLOOKUP(L103,اس!$S$3:$X$31,3,FALSE)</f>
        <v>#N/A</v>
      </c>
      <c r="AB103" s="437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</row>
    <row r="104" spans="1:79" ht="15.75">
      <c r="A104" s="25"/>
      <c r="B104" s="25"/>
      <c r="C104" s="25"/>
      <c r="D104" s="295"/>
      <c r="E104" s="295"/>
      <c r="F104" s="295"/>
      <c r="G104" s="295"/>
      <c r="H104" s="295"/>
      <c r="I104" s="25"/>
      <c r="J104" s="25"/>
      <c r="K104" s="25"/>
      <c r="L104" s="1617"/>
      <c r="M104" s="1618"/>
      <c r="N104" s="1619"/>
      <c r="O104" s="1620"/>
      <c r="P104" s="543">
        <f t="shared" si="17"/>
        <v>37</v>
      </c>
      <c r="Q104" s="386" t="e">
        <f>VLOOKUP(N104,etat!$A$9:$N$1012,2,FALSE)</f>
        <v>#N/A</v>
      </c>
      <c r="R104" s="435" t="e">
        <f>VLOOKUP(N104,etat!$A$9:$N$971,7,FALSE)</f>
        <v>#N/A</v>
      </c>
      <c r="S104" s="435" t="e">
        <f>VLOOKUP(N104,etat!$A$9:$N$1011,9,FALSE)</f>
        <v>#N/A</v>
      </c>
      <c r="T104" s="435" t="e">
        <f>VLOOKUP(N104,etat!$A$9:$P$913,16,FALSE)</f>
        <v>#N/A</v>
      </c>
      <c r="U104" s="495"/>
      <c r="V104" s="436"/>
      <c r="W104" s="549"/>
      <c r="X104" s="549"/>
      <c r="Y104" s="549"/>
      <c r="Z104" s="549"/>
      <c r="AA104" s="547" t="e">
        <f>VLOOKUP(L104,اس!$S$3:$X$31,3,FALSE)</f>
        <v>#N/A</v>
      </c>
      <c r="AB104" s="437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</row>
    <row r="105" spans="1:79" ht="15.75">
      <c r="A105" s="25"/>
      <c r="B105" s="25"/>
      <c r="C105" s="25"/>
      <c r="D105" s="295"/>
      <c r="E105" s="295"/>
      <c r="F105" s="295"/>
      <c r="G105" s="295"/>
      <c r="H105" s="295"/>
      <c r="I105" s="25"/>
      <c r="J105" s="25"/>
      <c r="K105" s="25"/>
      <c r="L105" s="1617"/>
      <c r="M105" s="1618"/>
      <c r="N105" s="1619"/>
      <c r="O105" s="1620"/>
      <c r="P105" s="391">
        <f t="shared" si="17"/>
        <v>38</v>
      </c>
      <c r="Q105" s="386" t="e">
        <f>VLOOKUP(N105,etat!$A$9:$N$1012,2,FALSE)</f>
        <v>#N/A</v>
      </c>
      <c r="R105" s="435" t="e">
        <f>VLOOKUP(N105,etat!$A$9:$N$971,7,FALSE)</f>
        <v>#N/A</v>
      </c>
      <c r="S105" s="435" t="e">
        <f>VLOOKUP(N105,etat!$A$9:$N$1011,9,FALSE)</f>
        <v>#N/A</v>
      </c>
      <c r="T105" s="435" t="e">
        <f>VLOOKUP(N105,etat!$A$9:$P$913,16,FALSE)</f>
        <v>#N/A</v>
      </c>
      <c r="U105" s="495"/>
      <c r="V105" s="436"/>
      <c r="W105" s="549"/>
      <c r="X105" s="549"/>
      <c r="Y105" s="549"/>
      <c r="Z105" s="549"/>
      <c r="AA105" s="547" t="e">
        <f>VLOOKUP(L105,اس!$S$3:$X$31,3,FALSE)</f>
        <v>#N/A</v>
      </c>
      <c r="AB105" s="437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</row>
    <row r="106" spans="1:79" ht="15.75">
      <c r="A106" s="25"/>
      <c r="B106" s="25"/>
      <c r="C106" s="25"/>
      <c r="D106" s="295"/>
      <c r="E106" s="295"/>
      <c r="F106" s="295"/>
      <c r="G106" s="295"/>
      <c r="H106" s="295"/>
      <c r="I106" s="25"/>
      <c r="J106" s="25"/>
      <c r="K106" s="25"/>
      <c r="L106" s="1617"/>
      <c r="M106" s="1618"/>
      <c r="N106" s="1619"/>
      <c r="O106" s="1620"/>
      <c r="P106" s="543">
        <f t="shared" si="17"/>
        <v>39</v>
      </c>
      <c r="Q106" s="386" t="e">
        <f>VLOOKUP(N106,etat!$A$9:$N$1012,2,FALSE)</f>
        <v>#N/A</v>
      </c>
      <c r="R106" s="435" t="e">
        <f>VLOOKUP(N106,etat!$A$9:$N$971,7,FALSE)</f>
        <v>#N/A</v>
      </c>
      <c r="S106" s="435" t="e">
        <f>VLOOKUP(N106,etat!$A$9:$N$1011,9,FALSE)</f>
        <v>#N/A</v>
      </c>
      <c r="T106" s="435" t="e">
        <f>VLOOKUP(N106,etat!$A$9:$P$913,16,FALSE)</f>
        <v>#N/A</v>
      </c>
      <c r="U106" s="495"/>
      <c r="V106" s="436"/>
      <c r="W106" s="549"/>
      <c r="X106" s="549"/>
      <c r="Y106" s="549"/>
      <c r="Z106" s="549"/>
      <c r="AA106" s="547" t="e">
        <f>VLOOKUP(L106,اس!$S$3:$X$31,3,FALSE)</f>
        <v>#N/A</v>
      </c>
      <c r="AB106" s="437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</row>
    <row r="107" spans="1:79" ht="15.75">
      <c r="A107" s="25"/>
      <c r="B107" s="25"/>
      <c r="C107" s="25"/>
      <c r="D107" s="295"/>
      <c r="E107" s="295"/>
      <c r="F107" s="295"/>
      <c r="G107" s="295"/>
      <c r="H107" s="295"/>
      <c r="I107" s="25"/>
      <c r="J107" s="25"/>
      <c r="K107" s="25"/>
      <c r="L107" s="1617"/>
      <c r="M107" s="1618"/>
      <c r="N107" s="1619"/>
      <c r="O107" s="1620"/>
      <c r="P107" s="391">
        <f t="shared" si="17"/>
        <v>40</v>
      </c>
      <c r="Q107" s="386" t="e">
        <f>VLOOKUP(N107,etat!$A$9:$N$1012,2,FALSE)</f>
        <v>#N/A</v>
      </c>
      <c r="R107" s="435" t="e">
        <f>VLOOKUP(N107,etat!$A$9:$N$971,7,FALSE)</f>
        <v>#N/A</v>
      </c>
      <c r="S107" s="435" t="e">
        <f>VLOOKUP(N107,etat!$A$9:$N$1011,9,FALSE)</f>
        <v>#N/A</v>
      </c>
      <c r="T107" s="435" t="e">
        <f>VLOOKUP(N107,etat!$A$9:$P$913,16,FALSE)</f>
        <v>#N/A</v>
      </c>
      <c r="U107" s="495"/>
      <c r="V107" s="436"/>
      <c r="W107" s="549"/>
      <c r="X107" s="549"/>
      <c r="Y107" s="549"/>
      <c r="Z107" s="549"/>
      <c r="AA107" s="547" t="e">
        <f>VLOOKUP(L107,اس!$S$3:$X$31,3,FALSE)</f>
        <v>#N/A</v>
      </c>
      <c r="AB107" s="437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</row>
    <row r="108" spans="1:79" ht="15.75">
      <c r="A108" s="25"/>
      <c r="B108" s="25"/>
      <c r="C108" s="25"/>
      <c r="D108" s="295"/>
      <c r="E108" s="295"/>
      <c r="F108" s="295"/>
      <c r="G108" s="295"/>
      <c r="H108" s="295"/>
      <c r="I108" s="25"/>
      <c r="J108" s="25"/>
      <c r="K108" s="25"/>
      <c r="L108" s="1617"/>
      <c r="M108" s="1618"/>
      <c r="N108" s="1619"/>
      <c r="O108" s="1620"/>
      <c r="P108" s="543">
        <f t="shared" si="17"/>
        <v>41</v>
      </c>
      <c r="Q108" s="386" t="e">
        <f>VLOOKUP(N108,etat!$A$9:$N$1012,2,FALSE)</f>
        <v>#N/A</v>
      </c>
      <c r="R108" s="435" t="e">
        <f>VLOOKUP(N108,etat!$A$9:$N$971,7,FALSE)</f>
        <v>#N/A</v>
      </c>
      <c r="S108" s="435" t="e">
        <f>VLOOKUP(N108,etat!$A$9:$N$1011,9,FALSE)</f>
        <v>#N/A</v>
      </c>
      <c r="T108" s="435" t="e">
        <f>VLOOKUP(N108,etat!$A$9:$P$913,16,FALSE)</f>
        <v>#N/A</v>
      </c>
      <c r="U108" s="495"/>
      <c r="V108" s="436"/>
      <c r="W108" s="549"/>
      <c r="X108" s="549"/>
      <c r="Y108" s="549"/>
      <c r="Z108" s="549"/>
      <c r="AA108" s="547" t="e">
        <f>VLOOKUP(L108,اس!$S$3:$X$31,3,FALSE)</f>
        <v>#N/A</v>
      </c>
      <c r="AB108" s="437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</row>
    <row r="109" spans="1:79" ht="15.75">
      <c r="A109" s="25"/>
      <c r="B109" s="25"/>
      <c r="C109" s="25"/>
      <c r="D109" s="295"/>
      <c r="E109" s="295"/>
      <c r="F109" s="295"/>
      <c r="G109" s="295"/>
      <c r="H109" s="295"/>
      <c r="I109" s="25"/>
      <c r="J109" s="25"/>
      <c r="K109" s="25"/>
      <c r="L109" s="1617"/>
      <c r="M109" s="1618"/>
      <c r="N109" s="1619"/>
      <c r="O109" s="1620"/>
      <c r="P109" s="391">
        <f t="shared" si="17"/>
        <v>42</v>
      </c>
      <c r="Q109" s="386" t="e">
        <f>VLOOKUP(N109,etat!$A$9:$N$1012,2,FALSE)</f>
        <v>#N/A</v>
      </c>
      <c r="R109" s="435" t="e">
        <f>VLOOKUP(N109,etat!$A$9:$N$971,7,FALSE)</f>
        <v>#N/A</v>
      </c>
      <c r="S109" s="435" t="e">
        <f>VLOOKUP(N109,etat!$A$9:$N$1011,9,FALSE)</f>
        <v>#N/A</v>
      </c>
      <c r="T109" s="435" t="e">
        <f>VLOOKUP(N109,etat!$A$9:$P$913,16,FALSE)</f>
        <v>#N/A</v>
      </c>
      <c r="U109" s="495"/>
      <c r="V109" s="436"/>
      <c r="W109" s="549"/>
      <c r="X109" s="549"/>
      <c r="Y109" s="549"/>
      <c r="Z109" s="549"/>
      <c r="AA109" s="547" t="e">
        <f>VLOOKUP(L109,اس!$S$3:$X$31,3,FALSE)</f>
        <v>#N/A</v>
      </c>
      <c r="AB109" s="437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</row>
    <row r="110" spans="1:79" ht="15.75">
      <c r="A110" s="25"/>
      <c r="B110" s="25"/>
      <c r="C110" s="25"/>
      <c r="D110" s="295"/>
      <c r="E110" s="295"/>
      <c r="F110" s="295"/>
      <c r="G110" s="295"/>
      <c r="H110" s="295"/>
      <c r="I110" s="25"/>
      <c r="J110" s="25"/>
      <c r="K110" s="25"/>
      <c r="L110" s="1617"/>
      <c r="M110" s="1618"/>
      <c r="N110" s="1619"/>
      <c r="O110" s="1620"/>
      <c r="P110" s="543">
        <f t="shared" si="17"/>
        <v>43</v>
      </c>
      <c r="Q110" s="386" t="e">
        <f>VLOOKUP(N110,etat!$A$9:$N$1012,2,FALSE)</f>
        <v>#N/A</v>
      </c>
      <c r="R110" s="435" t="e">
        <f>VLOOKUP(N110,etat!$A$9:$N$971,7,FALSE)</f>
        <v>#N/A</v>
      </c>
      <c r="S110" s="435" t="e">
        <f>VLOOKUP(N110,etat!$A$9:$N$1011,9,FALSE)</f>
        <v>#N/A</v>
      </c>
      <c r="T110" s="435" t="e">
        <f>VLOOKUP(N110,etat!$A$9:$P$913,16,FALSE)</f>
        <v>#N/A</v>
      </c>
      <c r="U110" s="495"/>
      <c r="V110" s="436"/>
      <c r="W110" s="549"/>
      <c r="X110" s="549"/>
      <c r="Y110" s="549"/>
      <c r="Z110" s="549"/>
      <c r="AA110" s="547" t="e">
        <f>VLOOKUP(L110,اس!$S$3:$X$31,3,FALSE)</f>
        <v>#N/A</v>
      </c>
      <c r="AB110" s="437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</row>
    <row r="111" spans="1:79" ht="15.75">
      <c r="A111" s="25"/>
      <c r="B111" s="25"/>
      <c r="C111" s="25"/>
      <c r="D111" s="295"/>
      <c r="E111" s="295"/>
      <c r="F111" s="295"/>
      <c r="G111" s="295"/>
      <c r="H111" s="295"/>
      <c r="I111" s="25"/>
      <c r="J111" s="25"/>
      <c r="K111" s="25"/>
      <c r="L111" s="1617"/>
      <c r="M111" s="1618"/>
      <c r="N111" s="1619"/>
      <c r="O111" s="1620"/>
      <c r="P111" s="391">
        <f t="shared" si="17"/>
        <v>44</v>
      </c>
      <c r="Q111" s="386" t="e">
        <f>VLOOKUP(N111,etat!$A$9:$N$1012,2,FALSE)</f>
        <v>#N/A</v>
      </c>
      <c r="R111" s="435" t="e">
        <f>VLOOKUP(N111,etat!$A$9:$N$971,7,FALSE)</f>
        <v>#N/A</v>
      </c>
      <c r="S111" s="435" t="e">
        <f>VLOOKUP(N111,etat!$A$9:$N$1011,9,FALSE)</f>
        <v>#N/A</v>
      </c>
      <c r="T111" s="435" t="e">
        <f>VLOOKUP(N111,etat!$A$9:$P$913,16,FALSE)</f>
        <v>#N/A</v>
      </c>
      <c r="U111" s="495"/>
      <c r="V111" s="436"/>
      <c r="W111" s="549"/>
      <c r="X111" s="549"/>
      <c r="Y111" s="549"/>
      <c r="Z111" s="549"/>
      <c r="AA111" s="547" t="e">
        <f>VLOOKUP(L111,اس!$S$3:$X$31,3,FALSE)</f>
        <v>#N/A</v>
      </c>
      <c r="AB111" s="437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</row>
    <row r="112" spans="1:79" ht="15.75">
      <c r="A112" s="25"/>
      <c r="B112" s="25"/>
      <c r="C112" s="25"/>
      <c r="D112" s="295"/>
      <c r="E112" s="295"/>
      <c r="F112" s="295"/>
      <c r="G112" s="295"/>
      <c r="H112" s="295"/>
      <c r="I112" s="25"/>
      <c r="J112" s="25"/>
      <c r="K112" s="25"/>
      <c r="L112" s="1617"/>
      <c r="M112" s="1618"/>
      <c r="N112" s="1619"/>
      <c r="O112" s="1620"/>
      <c r="P112" s="543">
        <f t="shared" si="17"/>
        <v>45</v>
      </c>
      <c r="Q112" s="386" t="e">
        <f>VLOOKUP(N112,etat!$A$9:$N$1012,2,FALSE)</f>
        <v>#N/A</v>
      </c>
      <c r="R112" s="435" t="e">
        <f>VLOOKUP(N112,etat!$A$9:$N$971,7,FALSE)</f>
        <v>#N/A</v>
      </c>
      <c r="S112" s="435" t="e">
        <f>VLOOKUP(N112,etat!$A$9:$N$1011,9,FALSE)</f>
        <v>#N/A</v>
      </c>
      <c r="T112" s="435" t="e">
        <f>VLOOKUP(N112,etat!$A$9:$P$913,16,FALSE)</f>
        <v>#N/A</v>
      </c>
      <c r="U112" s="495"/>
      <c r="V112" s="436"/>
      <c r="W112" s="549"/>
      <c r="X112" s="549"/>
      <c r="Y112" s="549"/>
      <c r="Z112" s="549"/>
      <c r="AA112" s="547" t="e">
        <f>VLOOKUP(L112,اس!$S$3:$X$31,3,FALSE)</f>
        <v>#N/A</v>
      </c>
      <c r="AB112" s="437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</row>
    <row r="113" spans="1:79" ht="15.75">
      <c r="A113" s="25"/>
      <c r="B113" s="25"/>
      <c r="C113" s="25"/>
      <c r="D113" s="295"/>
      <c r="E113" s="295"/>
      <c r="F113" s="295"/>
      <c r="G113" s="295"/>
      <c r="H113" s="295"/>
      <c r="I113" s="25"/>
      <c r="J113" s="25"/>
      <c r="K113" s="25"/>
      <c r="L113" s="1617"/>
      <c r="M113" s="1618"/>
      <c r="N113" s="1619"/>
      <c r="O113" s="1620"/>
      <c r="P113" s="391">
        <f t="shared" si="17"/>
        <v>46</v>
      </c>
      <c r="Q113" s="386" t="e">
        <f>VLOOKUP(N113,etat!$A$9:$N$1012,2,FALSE)</f>
        <v>#N/A</v>
      </c>
      <c r="R113" s="435" t="e">
        <f>VLOOKUP(N113,etat!$A$9:$N$971,7,FALSE)</f>
        <v>#N/A</v>
      </c>
      <c r="S113" s="435" t="e">
        <f>VLOOKUP(N113,etat!$A$9:$N$1011,9,FALSE)</f>
        <v>#N/A</v>
      </c>
      <c r="T113" s="435" t="e">
        <f>VLOOKUP(N113,etat!$A$9:$P$913,16,FALSE)</f>
        <v>#N/A</v>
      </c>
      <c r="U113" s="495"/>
      <c r="V113" s="436"/>
      <c r="W113" s="549"/>
      <c r="X113" s="549"/>
      <c r="Y113" s="549"/>
      <c r="Z113" s="549"/>
      <c r="AA113" s="547" t="e">
        <f>VLOOKUP(L113,اس!$S$3:$X$31,3,FALSE)</f>
        <v>#N/A</v>
      </c>
      <c r="AB113" s="437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</row>
    <row r="114" spans="1:79" ht="15.75">
      <c r="A114" s="25"/>
      <c r="B114" s="25"/>
      <c r="C114" s="25"/>
      <c r="D114" s="295"/>
      <c r="E114" s="295"/>
      <c r="F114" s="295"/>
      <c r="G114" s="295"/>
      <c r="H114" s="295"/>
      <c r="I114" s="25"/>
      <c r="J114" s="25"/>
      <c r="K114" s="25"/>
      <c r="L114" s="1617"/>
      <c r="M114" s="1618"/>
      <c r="N114" s="1619"/>
      <c r="O114" s="1620"/>
      <c r="P114" s="543">
        <f t="shared" si="17"/>
        <v>47</v>
      </c>
      <c r="Q114" s="386" t="e">
        <f>VLOOKUP(N114,etat!$A$9:$N$1012,2,FALSE)</f>
        <v>#N/A</v>
      </c>
      <c r="R114" s="435" t="e">
        <f>VLOOKUP(N114,etat!$A$9:$N$971,7,FALSE)</f>
        <v>#N/A</v>
      </c>
      <c r="S114" s="435" t="e">
        <f>VLOOKUP(N114,etat!$A$9:$N$1011,9,FALSE)</f>
        <v>#N/A</v>
      </c>
      <c r="T114" s="435" t="e">
        <f>VLOOKUP(N114,etat!$A$9:$P$913,16,FALSE)</f>
        <v>#N/A</v>
      </c>
      <c r="U114" s="495"/>
      <c r="V114" s="436"/>
      <c r="W114" s="549"/>
      <c r="X114" s="549"/>
      <c r="Y114" s="549"/>
      <c r="Z114" s="549"/>
      <c r="AA114" s="547" t="e">
        <f>VLOOKUP(L114,اس!$S$3:$X$31,3,FALSE)</f>
        <v>#N/A</v>
      </c>
      <c r="AB114" s="437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</row>
    <row r="115" spans="1:79" ht="15.75">
      <c r="A115" s="25"/>
      <c r="B115" s="25"/>
      <c r="C115" s="25"/>
      <c r="D115" s="295"/>
      <c r="E115" s="295"/>
      <c r="F115" s="295"/>
      <c r="G115" s="295"/>
      <c r="H115" s="295"/>
      <c r="I115" s="25"/>
      <c r="J115" s="25"/>
      <c r="K115" s="25"/>
      <c r="L115" s="1617"/>
      <c r="M115" s="1618"/>
      <c r="N115" s="1619"/>
      <c r="O115" s="1620"/>
      <c r="P115" s="391">
        <f t="shared" si="17"/>
        <v>48</v>
      </c>
      <c r="Q115" s="386" t="e">
        <f>VLOOKUP(N115,etat!$A$9:$N$1012,2,FALSE)</f>
        <v>#N/A</v>
      </c>
      <c r="R115" s="435" t="e">
        <f>VLOOKUP(N115,etat!$A$9:$N$971,7,FALSE)</f>
        <v>#N/A</v>
      </c>
      <c r="S115" s="435" t="e">
        <f>VLOOKUP(N115,etat!$A$9:$N$1011,9,FALSE)</f>
        <v>#N/A</v>
      </c>
      <c r="T115" s="435" t="e">
        <f>VLOOKUP(N115,etat!$A$9:$P$913,16,FALSE)</f>
        <v>#N/A</v>
      </c>
      <c r="U115" s="495"/>
      <c r="V115" s="436"/>
      <c r="W115" s="549"/>
      <c r="X115" s="549"/>
      <c r="Y115" s="549"/>
      <c r="Z115" s="549"/>
      <c r="AA115" s="547" t="e">
        <f>VLOOKUP(L115,اس!$S$3:$X$31,3,FALSE)</f>
        <v>#N/A</v>
      </c>
      <c r="AB115" s="437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</row>
    <row r="116" spans="1:79" ht="15.75">
      <c r="A116" s="25"/>
      <c r="B116" s="25"/>
      <c r="C116" s="25"/>
      <c r="D116" s="295"/>
      <c r="E116" s="295"/>
      <c r="F116" s="295"/>
      <c r="G116" s="295"/>
      <c r="H116" s="295"/>
      <c r="I116" s="25"/>
      <c r="J116" s="25"/>
      <c r="K116" s="25"/>
      <c r="L116" s="1617"/>
      <c r="M116" s="1618"/>
      <c r="N116" s="1619"/>
      <c r="O116" s="1620"/>
      <c r="P116" s="543">
        <f t="shared" si="17"/>
        <v>49</v>
      </c>
      <c r="Q116" s="386" t="e">
        <f>VLOOKUP(N116,etat!$A$9:$N$1012,2,FALSE)</f>
        <v>#N/A</v>
      </c>
      <c r="R116" s="435" t="e">
        <f>VLOOKUP(N116,etat!$A$9:$N$971,7,FALSE)</f>
        <v>#N/A</v>
      </c>
      <c r="S116" s="435" t="e">
        <f>VLOOKUP(N116,etat!$A$9:$N$1011,9,FALSE)</f>
        <v>#N/A</v>
      </c>
      <c r="T116" s="435" t="e">
        <f>VLOOKUP(N116,etat!$A$9:$P$913,16,FALSE)</f>
        <v>#N/A</v>
      </c>
      <c r="U116" s="495"/>
      <c r="V116" s="436"/>
      <c r="W116" s="549"/>
      <c r="X116" s="549"/>
      <c r="Y116" s="549"/>
      <c r="Z116" s="549"/>
      <c r="AA116" s="547" t="e">
        <f>VLOOKUP(L116,اس!$S$3:$X$31,3,FALSE)</f>
        <v>#N/A</v>
      </c>
      <c r="AB116" s="437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</row>
    <row r="117" spans="1:79" ht="15.75">
      <c r="A117" s="25"/>
      <c r="B117" s="25"/>
      <c r="C117" s="25"/>
      <c r="D117" s="295"/>
      <c r="E117" s="295"/>
      <c r="F117" s="295"/>
      <c r="G117" s="295"/>
      <c r="H117" s="295"/>
      <c r="I117" s="25"/>
      <c r="J117" s="25"/>
      <c r="K117" s="25"/>
      <c r="L117" s="1617"/>
      <c r="M117" s="1618"/>
      <c r="N117" s="1619"/>
      <c r="O117" s="1620"/>
      <c r="P117" s="391">
        <f t="shared" si="17"/>
        <v>50</v>
      </c>
      <c r="Q117" s="386" t="e">
        <f>VLOOKUP(N117,etat!$A$9:$N$1012,2,FALSE)</f>
        <v>#N/A</v>
      </c>
      <c r="R117" s="435" t="e">
        <f>VLOOKUP(N117,etat!$A$9:$N$971,7,FALSE)</f>
        <v>#N/A</v>
      </c>
      <c r="S117" s="435" t="e">
        <f>VLOOKUP(N117,etat!$A$9:$N$1011,9,FALSE)</f>
        <v>#N/A</v>
      </c>
      <c r="T117" s="435" t="e">
        <f>VLOOKUP(N117,etat!$A$9:$P$913,16,FALSE)</f>
        <v>#N/A</v>
      </c>
      <c r="U117" s="495"/>
      <c r="V117" s="436"/>
      <c r="W117" s="549"/>
      <c r="X117" s="549"/>
      <c r="Y117" s="549"/>
      <c r="Z117" s="549"/>
      <c r="AA117" s="547" t="e">
        <f>VLOOKUP(L117,اس!$S$3:$X$31,3,FALSE)</f>
        <v>#N/A</v>
      </c>
      <c r="AB117" s="437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</row>
    <row r="118" spans="1:79" ht="15.75">
      <c r="A118" s="25"/>
      <c r="B118" s="25"/>
      <c r="C118" s="25"/>
      <c r="D118" s="295"/>
      <c r="E118" s="295"/>
      <c r="F118" s="295"/>
      <c r="G118" s="295"/>
      <c r="H118" s="295"/>
      <c r="I118" s="25"/>
      <c r="J118" s="25"/>
      <c r="K118" s="25"/>
      <c r="L118" s="1617"/>
      <c r="M118" s="1618"/>
      <c r="N118" s="1619"/>
      <c r="O118" s="1620"/>
      <c r="P118" s="543">
        <f t="shared" si="17"/>
        <v>51</v>
      </c>
      <c r="Q118" s="386" t="e">
        <f>VLOOKUP(N118,etat!$A$9:$N$1012,2,FALSE)</f>
        <v>#N/A</v>
      </c>
      <c r="R118" s="435" t="e">
        <f>VLOOKUP(N118,etat!$A$9:$N$971,7,FALSE)</f>
        <v>#N/A</v>
      </c>
      <c r="S118" s="435" t="e">
        <f>VLOOKUP(N118,etat!$A$9:$N$1011,9,FALSE)</f>
        <v>#N/A</v>
      </c>
      <c r="T118" s="435" t="e">
        <f>VLOOKUP(N118,etat!$A$9:$P$913,16,FALSE)</f>
        <v>#N/A</v>
      </c>
      <c r="U118" s="495"/>
      <c r="V118" s="436"/>
      <c r="W118" s="549"/>
      <c r="X118" s="549"/>
      <c r="Y118" s="549"/>
      <c r="Z118" s="549"/>
      <c r="AA118" s="547" t="e">
        <f>VLOOKUP(L118,اس!$S$3:$X$31,3,FALSE)</f>
        <v>#N/A</v>
      </c>
      <c r="AB118" s="437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</row>
    <row r="119" spans="1:79" ht="15.75">
      <c r="A119" s="25"/>
      <c r="B119" s="25"/>
      <c r="C119" s="25"/>
      <c r="D119" s="295"/>
      <c r="E119" s="295"/>
      <c r="F119" s="295"/>
      <c r="G119" s="295"/>
      <c r="H119" s="295"/>
      <c r="I119" s="25"/>
      <c r="J119" s="25"/>
      <c r="K119" s="25"/>
      <c r="L119" s="1617"/>
      <c r="M119" s="1618"/>
      <c r="N119" s="1619"/>
      <c r="O119" s="1620"/>
      <c r="P119" s="391">
        <f t="shared" si="17"/>
        <v>52</v>
      </c>
      <c r="Q119" s="386" t="e">
        <f>VLOOKUP(N119,etat!$A$9:$N$1012,2,FALSE)</f>
        <v>#N/A</v>
      </c>
      <c r="R119" s="435" t="e">
        <f>VLOOKUP(N119,etat!$A$9:$N$971,7,FALSE)</f>
        <v>#N/A</v>
      </c>
      <c r="S119" s="435" t="e">
        <f>VLOOKUP(N119,etat!$A$9:$N$1011,9,FALSE)</f>
        <v>#N/A</v>
      </c>
      <c r="T119" s="435" t="e">
        <f>VLOOKUP(N119,etat!$A$9:$P$913,16,FALSE)</f>
        <v>#N/A</v>
      </c>
      <c r="U119" s="495"/>
      <c r="V119" s="436"/>
      <c r="W119" s="549"/>
      <c r="X119" s="549"/>
      <c r="Y119" s="549"/>
      <c r="Z119" s="549"/>
      <c r="AA119" s="547" t="e">
        <f>VLOOKUP(L119,اس!$S$3:$X$31,3,FALSE)</f>
        <v>#N/A</v>
      </c>
      <c r="AB119" s="437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</row>
    <row r="120" spans="1:79" ht="15.75">
      <c r="A120" s="25"/>
      <c r="B120" s="25"/>
      <c r="C120" s="25"/>
      <c r="D120" s="295"/>
      <c r="E120" s="295"/>
      <c r="F120" s="295"/>
      <c r="G120" s="295"/>
      <c r="H120" s="295"/>
      <c r="I120" s="25"/>
      <c r="J120" s="25"/>
      <c r="K120" s="25"/>
      <c r="L120" s="1617"/>
      <c r="M120" s="1618"/>
      <c r="N120" s="1619"/>
      <c r="O120" s="1620"/>
      <c r="P120" s="543">
        <f t="shared" si="17"/>
        <v>53</v>
      </c>
      <c r="Q120" s="386" t="e">
        <f>VLOOKUP(N120,etat!$A$9:$N$1012,2,FALSE)</f>
        <v>#N/A</v>
      </c>
      <c r="R120" s="435" t="e">
        <f>VLOOKUP(N120,etat!$A$9:$N$971,7,FALSE)</f>
        <v>#N/A</v>
      </c>
      <c r="S120" s="435" t="e">
        <f>VLOOKUP(N120,etat!$A$9:$N$1011,9,FALSE)</f>
        <v>#N/A</v>
      </c>
      <c r="T120" s="435" t="e">
        <f>VLOOKUP(N120,etat!$A$9:$P$913,16,FALSE)</f>
        <v>#N/A</v>
      </c>
      <c r="U120" s="495"/>
      <c r="V120" s="436"/>
      <c r="W120" s="549"/>
      <c r="X120" s="549"/>
      <c r="Y120" s="549"/>
      <c r="Z120" s="549"/>
      <c r="AA120" s="547" t="e">
        <f>VLOOKUP(L120,اس!$S$3:$X$31,3,FALSE)</f>
        <v>#N/A</v>
      </c>
      <c r="AB120" s="437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</row>
    <row r="121" spans="1:79" ht="15.75">
      <c r="A121" s="25"/>
      <c r="B121" s="25"/>
      <c r="C121" s="25"/>
      <c r="D121" s="295"/>
      <c r="E121" s="295"/>
      <c r="F121" s="295"/>
      <c r="G121" s="295"/>
      <c r="H121" s="295"/>
      <c r="I121" s="25"/>
      <c r="J121" s="25"/>
      <c r="K121" s="25"/>
      <c r="L121" s="1617"/>
      <c r="M121" s="1618"/>
      <c r="N121" s="1619"/>
      <c r="O121" s="1620"/>
      <c r="P121" s="391">
        <f t="shared" si="17"/>
        <v>54</v>
      </c>
      <c r="Q121" s="386" t="e">
        <f>VLOOKUP(N121,etat!$A$9:$N$1012,2,FALSE)</f>
        <v>#N/A</v>
      </c>
      <c r="R121" s="435" t="e">
        <f>VLOOKUP(N121,etat!$A$9:$N$971,7,FALSE)</f>
        <v>#N/A</v>
      </c>
      <c r="S121" s="435" t="e">
        <f>VLOOKUP(N121,etat!$A$9:$N$1011,9,FALSE)</f>
        <v>#N/A</v>
      </c>
      <c r="T121" s="435" t="e">
        <f>VLOOKUP(N121,etat!$A$9:$P$913,16,FALSE)</f>
        <v>#N/A</v>
      </c>
      <c r="U121" s="495"/>
      <c r="V121" s="436"/>
      <c r="W121" s="549"/>
      <c r="X121" s="549"/>
      <c r="Y121" s="549"/>
      <c r="Z121" s="549"/>
      <c r="AA121" s="547" t="e">
        <f>VLOOKUP(L121,اس!$S$3:$X$31,3,FALSE)</f>
        <v>#N/A</v>
      </c>
      <c r="AB121" s="437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</row>
    <row r="122" spans="1:79" ht="15.75">
      <c r="A122" s="25"/>
      <c r="B122" s="25"/>
      <c r="C122" s="25"/>
      <c r="D122" s="295"/>
      <c r="E122" s="295"/>
      <c r="F122" s="295"/>
      <c r="G122" s="295"/>
      <c r="H122" s="295"/>
      <c r="I122" s="25"/>
      <c r="J122" s="25"/>
      <c r="K122" s="25"/>
      <c r="L122" s="1617"/>
      <c r="M122" s="1618"/>
      <c r="N122" s="1619"/>
      <c r="O122" s="1620"/>
      <c r="P122" s="543">
        <f t="shared" si="17"/>
        <v>55</v>
      </c>
      <c r="Q122" s="386" t="e">
        <f>VLOOKUP(N122,etat!$A$9:$N$1012,2,FALSE)</f>
        <v>#N/A</v>
      </c>
      <c r="R122" s="435" t="e">
        <f>VLOOKUP(N122,etat!$A$9:$N$971,7,FALSE)</f>
        <v>#N/A</v>
      </c>
      <c r="S122" s="435" t="e">
        <f>VLOOKUP(N122,etat!$A$9:$N$1011,9,FALSE)</f>
        <v>#N/A</v>
      </c>
      <c r="T122" s="435" t="e">
        <f>VLOOKUP(N122,etat!$A$9:$P$913,16,FALSE)</f>
        <v>#N/A</v>
      </c>
      <c r="U122" s="495"/>
      <c r="V122" s="436"/>
      <c r="W122" s="549"/>
      <c r="X122" s="549"/>
      <c r="Y122" s="549"/>
      <c r="Z122" s="549"/>
      <c r="AA122" s="547" t="e">
        <f>VLOOKUP(L122,اس!$S$3:$X$31,3,FALSE)</f>
        <v>#N/A</v>
      </c>
      <c r="AB122" s="437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</row>
    <row r="123" spans="1:79" ht="15.75">
      <c r="A123" s="25"/>
      <c r="B123" s="25"/>
      <c r="C123" s="25"/>
      <c r="D123" s="295"/>
      <c r="E123" s="295"/>
      <c r="F123" s="295"/>
      <c r="G123" s="295"/>
      <c r="H123" s="295"/>
      <c r="I123" s="25"/>
      <c r="J123" s="25"/>
      <c r="K123" s="25"/>
      <c r="L123" s="1617"/>
      <c r="M123" s="1618"/>
      <c r="N123" s="1619"/>
      <c r="O123" s="1620"/>
      <c r="P123" s="391">
        <f t="shared" si="17"/>
        <v>56</v>
      </c>
      <c r="Q123" s="386" t="e">
        <f>VLOOKUP(N123,etat!$A$9:$N$1012,2,FALSE)</f>
        <v>#N/A</v>
      </c>
      <c r="R123" s="435" t="e">
        <f>VLOOKUP(N123,etat!$A$9:$N$971,7,FALSE)</f>
        <v>#N/A</v>
      </c>
      <c r="S123" s="435" t="e">
        <f>VLOOKUP(N123,etat!$A$9:$N$1011,9,FALSE)</f>
        <v>#N/A</v>
      </c>
      <c r="T123" s="435" t="e">
        <f>VLOOKUP(N123,etat!$A$9:$P$913,16,FALSE)</f>
        <v>#N/A</v>
      </c>
      <c r="U123" s="495"/>
      <c r="V123" s="436"/>
      <c r="W123" s="549"/>
      <c r="X123" s="549"/>
      <c r="Y123" s="549"/>
      <c r="Z123" s="549"/>
      <c r="AA123" s="547" t="e">
        <f>VLOOKUP(L123,اس!$S$3:$X$31,3,FALSE)</f>
        <v>#N/A</v>
      </c>
      <c r="AB123" s="437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</row>
    <row r="124" spans="1:79" ht="15.75">
      <c r="A124" s="25"/>
      <c r="B124" s="25"/>
      <c r="C124" s="25"/>
      <c r="D124" s="295"/>
      <c r="E124" s="295"/>
      <c r="F124" s="295"/>
      <c r="G124" s="295"/>
      <c r="H124" s="295"/>
      <c r="I124" s="25"/>
      <c r="J124" s="25"/>
      <c r="K124" s="25"/>
      <c r="L124" s="1617"/>
      <c r="M124" s="1618"/>
      <c r="N124" s="1619"/>
      <c r="O124" s="1620"/>
      <c r="P124" s="543">
        <f t="shared" si="17"/>
        <v>57</v>
      </c>
      <c r="Q124" s="386" t="e">
        <f>VLOOKUP(N124,etat!$A$9:$N$1012,2,FALSE)</f>
        <v>#N/A</v>
      </c>
      <c r="R124" s="435" t="e">
        <f>VLOOKUP(N124,etat!$A$9:$N$971,7,FALSE)</f>
        <v>#N/A</v>
      </c>
      <c r="S124" s="435" t="e">
        <f>VLOOKUP(N124,etat!$A$9:$N$1011,9,FALSE)</f>
        <v>#N/A</v>
      </c>
      <c r="T124" s="435" t="e">
        <f>VLOOKUP(N124,etat!$A$9:$P$913,16,FALSE)</f>
        <v>#N/A</v>
      </c>
      <c r="U124" s="495"/>
      <c r="V124" s="436"/>
      <c r="W124" s="549"/>
      <c r="X124" s="549"/>
      <c r="Y124" s="549"/>
      <c r="Z124" s="549"/>
      <c r="AA124" s="547" t="e">
        <f>VLOOKUP(L124,اس!$S$3:$X$31,3,FALSE)</f>
        <v>#N/A</v>
      </c>
      <c r="AB124" s="437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</row>
    <row r="125" spans="1:79" ht="15.75">
      <c r="A125" s="25"/>
      <c r="B125" s="25"/>
      <c r="C125" s="25"/>
      <c r="D125" s="295"/>
      <c r="E125" s="295"/>
      <c r="F125" s="295"/>
      <c r="G125" s="295"/>
      <c r="H125" s="295"/>
      <c r="I125" s="25"/>
      <c r="J125" s="25"/>
      <c r="K125" s="25"/>
      <c r="L125" s="1617"/>
      <c r="M125" s="1618"/>
      <c r="N125" s="1619"/>
      <c r="O125" s="1620"/>
      <c r="P125" s="391">
        <f t="shared" si="17"/>
        <v>58</v>
      </c>
      <c r="Q125" s="386" t="e">
        <f>VLOOKUP(N125,etat!$A$9:$N$1012,2,FALSE)</f>
        <v>#N/A</v>
      </c>
      <c r="R125" s="435" t="e">
        <f>VLOOKUP(N125,etat!$A$9:$N$971,7,FALSE)</f>
        <v>#N/A</v>
      </c>
      <c r="S125" s="435" t="e">
        <f>VLOOKUP(N125,etat!$A$9:$N$1011,9,FALSE)</f>
        <v>#N/A</v>
      </c>
      <c r="T125" s="435" t="e">
        <f>VLOOKUP(N125,etat!$A$9:$P$913,16,FALSE)</f>
        <v>#N/A</v>
      </c>
      <c r="U125" s="495"/>
      <c r="V125" s="436"/>
      <c r="W125" s="549"/>
      <c r="X125" s="549"/>
      <c r="Y125" s="549"/>
      <c r="Z125" s="549"/>
      <c r="AA125" s="547" t="e">
        <f>VLOOKUP(L125,اس!$S$3:$X$31,3,FALSE)</f>
        <v>#N/A</v>
      </c>
      <c r="AB125" s="437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</row>
    <row r="126" spans="1:79" ht="15.75">
      <c r="A126" s="25"/>
      <c r="B126" s="25"/>
      <c r="C126" s="25"/>
      <c r="D126" s="295"/>
      <c r="E126" s="295"/>
      <c r="F126" s="295"/>
      <c r="G126" s="295"/>
      <c r="H126" s="295"/>
      <c r="I126" s="25"/>
      <c r="J126" s="25"/>
      <c r="K126" s="25"/>
      <c r="L126" s="1617"/>
      <c r="M126" s="1618"/>
      <c r="N126" s="1619"/>
      <c r="O126" s="1620"/>
      <c r="P126" s="543">
        <f t="shared" si="17"/>
        <v>59</v>
      </c>
      <c r="Q126" s="386" t="e">
        <f>VLOOKUP(N126,etat!$A$9:$N$1012,2,FALSE)</f>
        <v>#N/A</v>
      </c>
      <c r="R126" s="435" t="e">
        <f>VLOOKUP(N126,etat!$A$9:$N$971,7,FALSE)</f>
        <v>#N/A</v>
      </c>
      <c r="S126" s="435" t="e">
        <f>VLOOKUP(N126,etat!$A$9:$N$1011,9,FALSE)</f>
        <v>#N/A</v>
      </c>
      <c r="T126" s="435" t="e">
        <f>VLOOKUP(N126,etat!$A$9:$P$913,16,FALSE)</f>
        <v>#N/A</v>
      </c>
      <c r="U126" s="495"/>
      <c r="V126" s="436"/>
      <c r="W126" s="549"/>
      <c r="X126" s="549"/>
      <c r="Y126" s="549"/>
      <c r="Z126" s="549"/>
      <c r="AA126" s="547" t="e">
        <f>VLOOKUP(L126,اس!$S$3:$X$31,3,FALSE)</f>
        <v>#N/A</v>
      </c>
      <c r="AB126" s="437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</row>
    <row r="127" spans="1:79" ht="15.75">
      <c r="A127" s="25"/>
      <c r="B127" s="25"/>
      <c r="C127" s="25"/>
      <c r="D127" s="295"/>
      <c r="E127" s="295"/>
      <c r="F127" s="295"/>
      <c r="G127" s="295"/>
      <c r="H127" s="295"/>
      <c r="I127" s="25"/>
      <c r="J127" s="25"/>
      <c r="K127" s="25"/>
      <c r="L127" s="1617"/>
      <c r="M127" s="1618"/>
      <c r="N127" s="1619"/>
      <c r="O127" s="1620"/>
      <c r="P127" s="391">
        <f t="shared" si="17"/>
        <v>60</v>
      </c>
      <c r="Q127" s="386" t="e">
        <f>VLOOKUP(N127,etat!$A$9:$N$1012,2,FALSE)</f>
        <v>#N/A</v>
      </c>
      <c r="R127" s="435" t="e">
        <f>VLOOKUP(N127,etat!$A$9:$N$971,7,FALSE)</f>
        <v>#N/A</v>
      </c>
      <c r="S127" s="435" t="e">
        <f>VLOOKUP(N127,etat!$A$9:$N$1011,9,FALSE)</f>
        <v>#N/A</v>
      </c>
      <c r="T127" s="435" t="e">
        <f>VLOOKUP(N127,etat!$A$9:$P$913,16,FALSE)</f>
        <v>#N/A</v>
      </c>
      <c r="U127" s="495"/>
      <c r="V127" s="436"/>
      <c r="W127" s="549"/>
      <c r="X127" s="549"/>
      <c r="Y127" s="549"/>
      <c r="Z127" s="549"/>
      <c r="AA127" s="547" t="e">
        <f>VLOOKUP(L127,اس!$S$3:$X$31,3,FALSE)</f>
        <v>#N/A</v>
      </c>
      <c r="AB127" s="437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</row>
    <row r="128" spans="1:79" ht="15.75">
      <c r="A128" s="25"/>
      <c r="B128" s="25"/>
      <c r="C128" s="25"/>
      <c r="D128" s="295"/>
      <c r="E128" s="295"/>
      <c r="F128" s="295"/>
      <c r="G128" s="295"/>
      <c r="H128" s="295"/>
      <c r="I128" s="25"/>
      <c r="J128" s="25"/>
      <c r="K128" s="25"/>
      <c r="L128" s="1617"/>
      <c r="M128" s="1618"/>
      <c r="N128" s="1619"/>
      <c r="O128" s="1620"/>
      <c r="P128" s="543">
        <f t="shared" si="17"/>
        <v>61</v>
      </c>
      <c r="Q128" s="386" t="e">
        <f>VLOOKUP(N128,etat!$A$9:$N$1012,2,FALSE)</f>
        <v>#N/A</v>
      </c>
      <c r="R128" s="435" t="e">
        <f>VLOOKUP(N128,etat!$A$9:$N$971,7,FALSE)</f>
        <v>#N/A</v>
      </c>
      <c r="S128" s="435" t="e">
        <f>VLOOKUP(N128,etat!$A$9:$N$1011,9,FALSE)</f>
        <v>#N/A</v>
      </c>
      <c r="T128" s="435" t="e">
        <f>VLOOKUP(N128,etat!$A$9:$P$913,16,FALSE)</f>
        <v>#N/A</v>
      </c>
      <c r="U128" s="495"/>
      <c r="V128" s="436"/>
      <c r="W128" s="549"/>
      <c r="X128" s="549"/>
      <c r="Y128" s="549"/>
      <c r="Z128" s="549"/>
      <c r="AA128" s="547" t="e">
        <f>VLOOKUP(L128,اس!$S$3:$X$31,3,FALSE)</f>
        <v>#N/A</v>
      </c>
      <c r="AB128" s="437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</row>
    <row r="129" spans="1:79" ht="15.75">
      <c r="A129" s="25"/>
      <c r="B129" s="25"/>
      <c r="C129" s="25"/>
      <c r="D129" s="295"/>
      <c r="E129" s="295"/>
      <c r="F129" s="295"/>
      <c r="G129" s="295"/>
      <c r="H129" s="295"/>
      <c r="I129" s="25"/>
      <c r="J129" s="25"/>
      <c r="K129" s="25"/>
      <c r="L129" s="1617"/>
      <c r="M129" s="1618"/>
      <c r="N129" s="1619"/>
      <c r="O129" s="1620"/>
      <c r="P129" s="391">
        <f t="shared" si="17"/>
        <v>62</v>
      </c>
      <c r="Q129" s="386" t="e">
        <f>VLOOKUP(N129,etat!$A$9:$N$1012,2,FALSE)</f>
        <v>#N/A</v>
      </c>
      <c r="R129" s="435" t="e">
        <f>VLOOKUP(N129,etat!$A$9:$N$971,7,FALSE)</f>
        <v>#N/A</v>
      </c>
      <c r="S129" s="435" t="e">
        <f>VLOOKUP(N129,etat!$A$9:$N$1011,9,FALSE)</f>
        <v>#N/A</v>
      </c>
      <c r="T129" s="435" t="e">
        <f>VLOOKUP(N129,etat!$A$9:$P$913,16,FALSE)</f>
        <v>#N/A</v>
      </c>
      <c r="U129" s="495"/>
      <c r="V129" s="436"/>
      <c r="W129" s="549"/>
      <c r="X129" s="549"/>
      <c r="Y129" s="549"/>
      <c r="Z129" s="549"/>
      <c r="AA129" s="547" t="e">
        <f>VLOOKUP(L129,اس!$S$3:$X$31,3,FALSE)</f>
        <v>#N/A</v>
      </c>
      <c r="AB129" s="437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</row>
    <row r="130" spans="1:79" ht="15.75">
      <c r="A130" s="25"/>
      <c r="B130" s="25"/>
      <c r="C130" s="25"/>
      <c r="D130" s="295"/>
      <c r="E130" s="295"/>
      <c r="F130" s="295"/>
      <c r="G130" s="295"/>
      <c r="H130" s="295"/>
      <c r="I130" s="25"/>
      <c r="J130" s="25"/>
      <c r="K130" s="25"/>
      <c r="L130" s="1617"/>
      <c r="M130" s="1618"/>
      <c r="N130" s="1619"/>
      <c r="O130" s="1620"/>
      <c r="P130" s="543">
        <f t="shared" si="17"/>
        <v>63</v>
      </c>
      <c r="Q130" s="386" t="e">
        <f>VLOOKUP(N130,etat!$A$9:$N$1012,2,FALSE)</f>
        <v>#N/A</v>
      </c>
      <c r="R130" s="435" t="e">
        <f>VLOOKUP(N130,etat!$A$9:$N$971,7,FALSE)</f>
        <v>#N/A</v>
      </c>
      <c r="S130" s="435" t="e">
        <f>VLOOKUP(N130,etat!$A$9:$N$1011,9,FALSE)</f>
        <v>#N/A</v>
      </c>
      <c r="T130" s="435" t="e">
        <f>VLOOKUP(N130,etat!$A$9:$P$913,16,FALSE)</f>
        <v>#N/A</v>
      </c>
      <c r="U130" s="495"/>
      <c r="V130" s="436"/>
      <c r="W130" s="549"/>
      <c r="X130" s="549"/>
      <c r="Y130" s="549"/>
      <c r="Z130" s="549"/>
      <c r="AA130" s="547" t="e">
        <f>VLOOKUP(L130,اس!$S$3:$X$31,3,FALSE)</f>
        <v>#N/A</v>
      </c>
      <c r="AB130" s="437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</row>
    <row r="131" spans="1:79" ht="15.75">
      <c r="A131" s="25"/>
      <c r="B131" s="25"/>
      <c r="C131" s="25"/>
      <c r="D131" s="295"/>
      <c r="E131" s="295"/>
      <c r="F131" s="295"/>
      <c r="G131" s="295"/>
      <c r="H131" s="295"/>
      <c r="I131" s="25"/>
      <c r="J131" s="25"/>
      <c r="K131" s="25"/>
      <c r="L131" s="1617"/>
      <c r="M131" s="1618"/>
      <c r="N131" s="1619"/>
      <c r="O131" s="1620"/>
      <c r="P131" s="391">
        <f t="shared" si="17"/>
        <v>64</v>
      </c>
      <c r="Q131" s="386" t="e">
        <f>VLOOKUP(N131,etat!$A$9:$N$1012,2,FALSE)</f>
        <v>#N/A</v>
      </c>
      <c r="R131" s="435" t="e">
        <f>VLOOKUP(N131,etat!$A$9:$N$971,7,FALSE)</f>
        <v>#N/A</v>
      </c>
      <c r="S131" s="435" t="e">
        <f>VLOOKUP(N131,etat!$A$9:$N$1011,9,FALSE)</f>
        <v>#N/A</v>
      </c>
      <c r="T131" s="435" t="e">
        <f>VLOOKUP(N131,etat!$A$9:$P$913,16,FALSE)</f>
        <v>#N/A</v>
      </c>
      <c r="U131" s="495"/>
      <c r="V131" s="436"/>
      <c r="W131" s="549"/>
      <c r="X131" s="549"/>
      <c r="Y131" s="549"/>
      <c r="Z131" s="549"/>
      <c r="AA131" s="547" t="e">
        <f>VLOOKUP(L131,اس!$S$3:$X$31,3,FALSE)</f>
        <v>#N/A</v>
      </c>
      <c r="AB131" s="437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</row>
    <row r="132" spans="1:79" ht="15.75">
      <c r="A132" s="25"/>
      <c r="B132" s="25"/>
      <c r="C132" s="25"/>
      <c r="D132" s="295"/>
      <c r="E132" s="295"/>
      <c r="F132" s="295"/>
      <c r="G132" s="295"/>
      <c r="H132" s="295"/>
      <c r="I132" s="25"/>
      <c r="J132" s="25"/>
      <c r="K132" s="25"/>
      <c r="L132" s="1617"/>
      <c r="M132" s="1618"/>
      <c r="N132" s="1619"/>
      <c r="O132" s="1620"/>
      <c r="P132" s="543">
        <f t="shared" si="17"/>
        <v>65</v>
      </c>
      <c r="Q132" s="386" t="e">
        <f>VLOOKUP(N132,etat!$A$9:$N$1012,2,FALSE)</f>
        <v>#N/A</v>
      </c>
      <c r="R132" s="435" t="e">
        <f>VLOOKUP(N132,etat!$A$9:$N$971,7,FALSE)</f>
        <v>#N/A</v>
      </c>
      <c r="S132" s="435" t="e">
        <f>VLOOKUP(N132,etat!$A$9:$N$1011,9,FALSE)</f>
        <v>#N/A</v>
      </c>
      <c r="T132" s="435" t="e">
        <f>VLOOKUP(N132,etat!$A$9:$P$913,16,FALSE)</f>
        <v>#N/A</v>
      </c>
      <c r="U132" s="495"/>
      <c r="V132" s="436"/>
      <c r="W132" s="549"/>
      <c r="X132" s="549"/>
      <c r="Y132" s="549"/>
      <c r="Z132" s="549"/>
      <c r="AA132" s="547" t="e">
        <f>VLOOKUP(L132,اس!$S$3:$X$31,3,FALSE)</f>
        <v>#N/A</v>
      </c>
      <c r="AB132" s="437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</row>
    <row r="133" spans="1:79" ht="15.75">
      <c r="A133" s="25"/>
      <c r="B133" s="25"/>
      <c r="C133" s="25"/>
      <c r="D133" s="295"/>
      <c r="E133" s="295"/>
      <c r="F133" s="295"/>
      <c r="G133" s="295"/>
      <c r="H133" s="295"/>
      <c r="I133" s="25"/>
      <c r="J133" s="25"/>
      <c r="K133" s="25"/>
      <c r="L133" s="1617"/>
      <c r="M133" s="1618"/>
      <c r="N133" s="1619"/>
      <c r="O133" s="1620"/>
      <c r="P133" s="391">
        <f t="shared" si="17"/>
        <v>66</v>
      </c>
      <c r="Q133" s="386" t="e">
        <f>VLOOKUP(N133,etat!$A$9:$N$1012,2,FALSE)</f>
        <v>#N/A</v>
      </c>
      <c r="R133" s="435" t="e">
        <f>VLOOKUP(N133,etat!$A$9:$N$971,7,FALSE)</f>
        <v>#N/A</v>
      </c>
      <c r="S133" s="435" t="e">
        <f>VLOOKUP(N133,etat!$A$9:$N$1011,9,FALSE)</f>
        <v>#N/A</v>
      </c>
      <c r="T133" s="435" t="e">
        <f>VLOOKUP(N133,etat!$A$9:$P$913,16,FALSE)</f>
        <v>#N/A</v>
      </c>
      <c r="U133" s="495"/>
      <c r="V133" s="436"/>
      <c r="W133" s="549"/>
      <c r="X133" s="549"/>
      <c r="Y133" s="549"/>
      <c r="Z133" s="549"/>
      <c r="AA133" s="547" t="e">
        <f>VLOOKUP(L133,اس!$S$3:$X$31,3,FALSE)</f>
        <v>#N/A</v>
      </c>
      <c r="AB133" s="437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</row>
    <row r="134" spans="1:79" ht="15.75">
      <c r="A134" s="25"/>
      <c r="B134" s="25"/>
      <c r="C134" s="25"/>
      <c r="D134" s="295"/>
      <c r="E134" s="295"/>
      <c r="F134" s="295"/>
      <c r="G134" s="295"/>
      <c r="H134" s="295"/>
      <c r="I134" s="25"/>
      <c r="J134" s="25"/>
      <c r="K134" s="25"/>
      <c r="L134" s="1617"/>
      <c r="M134" s="1618"/>
      <c r="N134" s="1619"/>
      <c r="O134" s="1620"/>
      <c r="P134" s="543">
        <f t="shared" ref="P134:P173" si="18">P133+1</f>
        <v>67</v>
      </c>
      <c r="Q134" s="386" t="e">
        <f>VLOOKUP(N134,etat!$A$9:$N$1012,2,FALSE)</f>
        <v>#N/A</v>
      </c>
      <c r="R134" s="435" t="e">
        <f>VLOOKUP(N134,etat!$A$9:$N$971,7,FALSE)</f>
        <v>#N/A</v>
      </c>
      <c r="S134" s="435" t="e">
        <f>VLOOKUP(N134,etat!$A$9:$N$1011,9,FALSE)</f>
        <v>#N/A</v>
      </c>
      <c r="T134" s="435" t="e">
        <f>VLOOKUP(N134,etat!$A$9:$P$913,16,FALSE)</f>
        <v>#N/A</v>
      </c>
      <c r="U134" s="495"/>
      <c r="V134" s="436"/>
      <c r="W134" s="549"/>
      <c r="X134" s="549"/>
      <c r="Y134" s="549"/>
      <c r="Z134" s="549"/>
      <c r="AA134" s="547" t="e">
        <f>VLOOKUP(L134,اس!$S$3:$X$31,3,FALSE)</f>
        <v>#N/A</v>
      </c>
      <c r="AB134" s="437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</row>
    <row r="135" spans="1:79" ht="15.75">
      <c r="A135" s="25"/>
      <c r="B135" s="25"/>
      <c r="C135" s="25"/>
      <c r="D135" s="295"/>
      <c r="E135" s="295"/>
      <c r="F135" s="295"/>
      <c r="G135" s="295"/>
      <c r="H135" s="295"/>
      <c r="I135" s="25"/>
      <c r="J135" s="25"/>
      <c r="K135" s="25"/>
      <c r="L135" s="1617"/>
      <c r="M135" s="1618"/>
      <c r="N135" s="1619"/>
      <c r="O135" s="1620"/>
      <c r="P135" s="391">
        <f t="shared" si="18"/>
        <v>68</v>
      </c>
      <c r="Q135" s="386" t="e">
        <f>VLOOKUP(N135,etat!$A$9:$N$1012,2,FALSE)</f>
        <v>#N/A</v>
      </c>
      <c r="R135" s="435" t="e">
        <f>VLOOKUP(N135,etat!$A$9:$N$971,7,FALSE)</f>
        <v>#N/A</v>
      </c>
      <c r="S135" s="435" t="e">
        <f>VLOOKUP(N135,etat!$A$9:$N$1011,9,FALSE)</f>
        <v>#N/A</v>
      </c>
      <c r="T135" s="435" t="e">
        <f>VLOOKUP(N135,etat!$A$9:$P$913,16,FALSE)</f>
        <v>#N/A</v>
      </c>
      <c r="U135" s="495"/>
      <c r="V135" s="436"/>
      <c r="W135" s="549"/>
      <c r="X135" s="549"/>
      <c r="Y135" s="549"/>
      <c r="Z135" s="549"/>
      <c r="AA135" s="547" t="e">
        <f>VLOOKUP(L135,اس!$S$3:$X$31,3,FALSE)</f>
        <v>#N/A</v>
      </c>
      <c r="AB135" s="437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</row>
    <row r="136" spans="1:79" ht="15.75">
      <c r="A136" s="25"/>
      <c r="B136" s="25"/>
      <c r="C136" s="25"/>
      <c r="D136" s="295"/>
      <c r="E136" s="295"/>
      <c r="F136" s="295"/>
      <c r="G136" s="295"/>
      <c r="H136" s="295"/>
      <c r="I136" s="25"/>
      <c r="J136" s="25"/>
      <c r="K136" s="25"/>
      <c r="L136" s="1617"/>
      <c r="M136" s="1618"/>
      <c r="N136" s="1619"/>
      <c r="O136" s="1620"/>
      <c r="P136" s="543">
        <f t="shared" si="18"/>
        <v>69</v>
      </c>
      <c r="Q136" s="386" t="e">
        <f>VLOOKUP(N136,etat!$A$9:$N$1012,2,FALSE)</f>
        <v>#N/A</v>
      </c>
      <c r="R136" s="435" t="e">
        <f>VLOOKUP(N136,etat!$A$9:$N$971,7,FALSE)</f>
        <v>#N/A</v>
      </c>
      <c r="S136" s="435" t="e">
        <f>VLOOKUP(N136,etat!$A$9:$N$1011,9,FALSE)</f>
        <v>#N/A</v>
      </c>
      <c r="T136" s="435" t="e">
        <f>VLOOKUP(N136,etat!$A$9:$P$913,16,FALSE)</f>
        <v>#N/A</v>
      </c>
      <c r="U136" s="495"/>
      <c r="V136" s="436"/>
      <c r="W136" s="549"/>
      <c r="X136" s="549"/>
      <c r="Y136" s="549"/>
      <c r="Z136" s="549"/>
      <c r="AA136" s="547" t="e">
        <f>VLOOKUP(L136,اس!$S$3:$X$31,3,FALSE)</f>
        <v>#N/A</v>
      </c>
      <c r="AB136" s="437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</row>
    <row r="137" spans="1:79" ht="15.75">
      <c r="A137" s="25"/>
      <c r="B137" s="25"/>
      <c r="C137" s="25"/>
      <c r="D137" s="295"/>
      <c r="E137" s="295"/>
      <c r="F137" s="295"/>
      <c r="G137" s="295"/>
      <c r="H137" s="295"/>
      <c r="I137" s="25"/>
      <c r="J137" s="25"/>
      <c r="K137" s="25"/>
      <c r="L137" s="1617"/>
      <c r="M137" s="1618"/>
      <c r="N137" s="1619"/>
      <c r="O137" s="1620"/>
      <c r="P137" s="391">
        <f t="shared" si="18"/>
        <v>70</v>
      </c>
      <c r="Q137" s="386" t="e">
        <f>VLOOKUP(N137,etat!$A$9:$N$1012,2,FALSE)</f>
        <v>#N/A</v>
      </c>
      <c r="R137" s="435" t="e">
        <f>VLOOKUP(N137,etat!$A$9:$N$971,7,FALSE)</f>
        <v>#N/A</v>
      </c>
      <c r="S137" s="435" t="e">
        <f>VLOOKUP(N137,etat!$A$9:$N$1011,9,FALSE)</f>
        <v>#N/A</v>
      </c>
      <c r="T137" s="435" t="e">
        <f>VLOOKUP(N137,etat!$A$9:$P$913,16,FALSE)</f>
        <v>#N/A</v>
      </c>
      <c r="U137" s="495"/>
      <c r="V137" s="436"/>
      <c r="W137" s="549"/>
      <c r="X137" s="549"/>
      <c r="Y137" s="549"/>
      <c r="Z137" s="549"/>
      <c r="AA137" s="547" t="e">
        <f>VLOOKUP(L137,اس!$S$3:$X$31,3,FALSE)</f>
        <v>#N/A</v>
      </c>
      <c r="AB137" s="437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</row>
    <row r="138" spans="1:79" ht="15.75">
      <c r="A138" s="25"/>
      <c r="B138" s="25"/>
      <c r="C138" s="25"/>
      <c r="D138" s="295"/>
      <c r="E138" s="295"/>
      <c r="F138" s="295"/>
      <c r="G138" s="295"/>
      <c r="H138" s="295"/>
      <c r="I138" s="25"/>
      <c r="J138" s="25"/>
      <c r="K138" s="25"/>
      <c r="L138" s="1617"/>
      <c r="M138" s="1618"/>
      <c r="N138" s="1619"/>
      <c r="O138" s="1620"/>
      <c r="P138" s="543">
        <f t="shared" si="18"/>
        <v>71</v>
      </c>
      <c r="Q138" s="386" t="e">
        <f>VLOOKUP(N138,etat!$A$9:$N$1012,2,FALSE)</f>
        <v>#N/A</v>
      </c>
      <c r="R138" s="435" t="e">
        <f>VLOOKUP(N138,etat!$A$9:$N$971,7,FALSE)</f>
        <v>#N/A</v>
      </c>
      <c r="S138" s="435" t="e">
        <f>VLOOKUP(N138,etat!$A$9:$N$1011,9,FALSE)</f>
        <v>#N/A</v>
      </c>
      <c r="T138" s="435" t="e">
        <f>VLOOKUP(N138,etat!$A$9:$P$913,16,FALSE)</f>
        <v>#N/A</v>
      </c>
      <c r="U138" s="495"/>
      <c r="V138" s="436"/>
      <c r="W138" s="549"/>
      <c r="X138" s="549"/>
      <c r="Y138" s="549"/>
      <c r="Z138" s="549"/>
      <c r="AA138" s="547" t="e">
        <f>VLOOKUP(L138,اس!$S$3:$X$31,3,FALSE)</f>
        <v>#N/A</v>
      </c>
      <c r="AB138" s="437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</row>
    <row r="139" spans="1:79" ht="15.75">
      <c r="A139" s="25"/>
      <c r="B139" s="25"/>
      <c r="C139" s="25"/>
      <c r="D139" s="295"/>
      <c r="E139" s="295"/>
      <c r="F139" s="295"/>
      <c r="G139" s="295"/>
      <c r="H139" s="295"/>
      <c r="I139" s="25"/>
      <c r="J139" s="25"/>
      <c r="K139" s="25"/>
      <c r="L139" s="1617"/>
      <c r="M139" s="1618"/>
      <c r="N139" s="1619"/>
      <c r="O139" s="1620"/>
      <c r="P139" s="391">
        <f t="shared" si="18"/>
        <v>72</v>
      </c>
      <c r="Q139" s="386" t="e">
        <f>VLOOKUP(N139,etat!$A$9:$N$1012,2,FALSE)</f>
        <v>#N/A</v>
      </c>
      <c r="R139" s="435" t="e">
        <f>VLOOKUP(N139,etat!$A$9:$N$971,7,FALSE)</f>
        <v>#N/A</v>
      </c>
      <c r="S139" s="435" t="e">
        <f>VLOOKUP(N139,etat!$A$9:$N$1011,9,FALSE)</f>
        <v>#N/A</v>
      </c>
      <c r="T139" s="435" t="e">
        <f>VLOOKUP(N139,etat!$A$9:$P$913,16,FALSE)</f>
        <v>#N/A</v>
      </c>
      <c r="U139" s="495"/>
      <c r="V139" s="436"/>
      <c r="W139" s="549"/>
      <c r="X139" s="549"/>
      <c r="Y139" s="549"/>
      <c r="Z139" s="549"/>
      <c r="AA139" s="547" t="e">
        <f>VLOOKUP(L139,اس!$S$3:$X$31,3,FALSE)</f>
        <v>#N/A</v>
      </c>
      <c r="AB139" s="437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</row>
    <row r="140" spans="1:79" ht="15.75">
      <c r="A140" s="25"/>
      <c r="B140" s="25"/>
      <c r="C140" s="25"/>
      <c r="D140" s="295"/>
      <c r="E140" s="295"/>
      <c r="F140" s="295"/>
      <c r="G140" s="295"/>
      <c r="H140" s="295"/>
      <c r="I140" s="25"/>
      <c r="J140" s="25"/>
      <c r="K140" s="25"/>
      <c r="L140" s="1617"/>
      <c r="M140" s="1618"/>
      <c r="N140" s="1619"/>
      <c r="O140" s="1620"/>
      <c r="P140" s="543">
        <f t="shared" si="18"/>
        <v>73</v>
      </c>
      <c r="Q140" s="386" t="e">
        <f>VLOOKUP(N140,etat!$A$9:$N$1012,2,FALSE)</f>
        <v>#N/A</v>
      </c>
      <c r="R140" s="435" t="e">
        <f>VLOOKUP(N140,etat!$A$9:$N$971,7,FALSE)</f>
        <v>#N/A</v>
      </c>
      <c r="S140" s="435" t="e">
        <f>VLOOKUP(N140,etat!$A$9:$N$1011,9,FALSE)</f>
        <v>#N/A</v>
      </c>
      <c r="T140" s="435" t="e">
        <f>VLOOKUP(N140,etat!$A$9:$P$913,16,FALSE)</f>
        <v>#N/A</v>
      </c>
      <c r="U140" s="495"/>
      <c r="V140" s="436"/>
      <c r="W140" s="549"/>
      <c r="X140" s="549"/>
      <c r="Y140" s="549"/>
      <c r="Z140" s="549"/>
      <c r="AA140" s="547" t="e">
        <f>VLOOKUP(L140,اس!$S$3:$X$31,3,FALSE)</f>
        <v>#N/A</v>
      </c>
      <c r="AB140" s="437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</row>
    <row r="141" spans="1:79" ht="15.75">
      <c r="A141" s="25"/>
      <c r="B141" s="25"/>
      <c r="C141" s="25"/>
      <c r="D141" s="295"/>
      <c r="E141" s="295"/>
      <c r="F141" s="295"/>
      <c r="G141" s="295"/>
      <c r="H141" s="295"/>
      <c r="I141" s="25"/>
      <c r="J141" s="25"/>
      <c r="K141" s="25"/>
      <c r="L141" s="1617"/>
      <c r="M141" s="1618"/>
      <c r="N141" s="1619"/>
      <c r="O141" s="1620"/>
      <c r="P141" s="391">
        <f t="shared" si="18"/>
        <v>74</v>
      </c>
      <c r="Q141" s="386" t="e">
        <f>VLOOKUP(N141,etat!$A$9:$N$1012,2,FALSE)</f>
        <v>#N/A</v>
      </c>
      <c r="R141" s="435" t="e">
        <f>VLOOKUP(N141,etat!$A$9:$N$971,7,FALSE)</f>
        <v>#N/A</v>
      </c>
      <c r="S141" s="435" t="e">
        <f>VLOOKUP(N141,etat!$A$9:$N$1011,9,FALSE)</f>
        <v>#N/A</v>
      </c>
      <c r="T141" s="435" t="e">
        <f>VLOOKUP(N141,etat!$A$9:$P$913,16,FALSE)</f>
        <v>#N/A</v>
      </c>
      <c r="U141" s="495"/>
      <c r="V141" s="436"/>
      <c r="W141" s="549"/>
      <c r="X141" s="549"/>
      <c r="Y141" s="549"/>
      <c r="Z141" s="549"/>
      <c r="AA141" s="547" t="e">
        <f>VLOOKUP(L141,اس!$S$3:$X$31,3,FALSE)</f>
        <v>#N/A</v>
      </c>
      <c r="AB141" s="437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</row>
    <row r="142" spans="1:79" ht="15.75">
      <c r="A142" s="25"/>
      <c r="B142" s="25"/>
      <c r="C142" s="25"/>
      <c r="D142" s="295"/>
      <c r="E142" s="295"/>
      <c r="F142" s="295"/>
      <c r="G142" s="295"/>
      <c r="H142" s="295"/>
      <c r="I142" s="25"/>
      <c r="J142" s="25"/>
      <c r="K142" s="25"/>
      <c r="L142" s="1617"/>
      <c r="M142" s="1618"/>
      <c r="N142" s="1619"/>
      <c r="O142" s="1620"/>
      <c r="P142" s="543">
        <f t="shared" si="18"/>
        <v>75</v>
      </c>
      <c r="Q142" s="386" t="e">
        <f>VLOOKUP(N142,etat!$A$9:$N$1012,2,FALSE)</f>
        <v>#N/A</v>
      </c>
      <c r="R142" s="435" t="e">
        <f>VLOOKUP(N142,etat!$A$9:$N$971,7,FALSE)</f>
        <v>#N/A</v>
      </c>
      <c r="S142" s="435" t="e">
        <f>VLOOKUP(N142,etat!$A$9:$N$1011,9,FALSE)</f>
        <v>#N/A</v>
      </c>
      <c r="T142" s="435" t="e">
        <f>VLOOKUP(N142,etat!$A$9:$P$913,16,FALSE)</f>
        <v>#N/A</v>
      </c>
      <c r="U142" s="495"/>
      <c r="V142" s="436"/>
      <c r="W142" s="549"/>
      <c r="X142" s="549"/>
      <c r="Y142" s="549"/>
      <c r="Z142" s="549"/>
      <c r="AA142" s="547" t="e">
        <f>VLOOKUP(L142,اس!$S$3:$X$31,3,FALSE)</f>
        <v>#N/A</v>
      </c>
      <c r="AB142" s="437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</row>
    <row r="143" spans="1:79" ht="15.75">
      <c r="A143" s="25"/>
      <c r="B143" s="25"/>
      <c r="C143" s="25"/>
      <c r="D143" s="295"/>
      <c r="E143" s="295"/>
      <c r="F143" s="295"/>
      <c r="G143" s="295"/>
      <c r="H143" s="295"/>
      <c r="I143" s="25"/>
      <c r="J143" s="25"/>
      <c r="K143" s="25"/>
      <c r="L143" s="1617"/>
      <c r="M143" s="1618"/>
      <c r="N143" s="1619"/>
      <c r="O143" s="1620"/>
      <c r="P143" s="391">
        <f t="shared" si="18"/>
        <v>76</v>
      </c>
      <c r="Q143" s="386" t="e">
        <f>VLOOKUP(N143,etat!$A$9:$N$1012,2,FALSE)</f>
        <v>#N/A</v>
      </c>
      <c r="R143" s="435" t="e">
        <f>VLOOKUP(N143,etat!$A$9:$N$971,7,FALSE)</f>
        <v>#N/A</v>
      </c>
      <c r="S143" s="435" t="e">
        <f>VLOOKUP(N143,etat!$A$9:$N$1011,9,FALSE)</f>
        <v>#N/A</v>
      </c>
      <c r="T143" s="435" t="e">
        <f>VLOOKUP(N143,etat!$A$9:$P$913,16,FALSE)</f>
        <v>#N/A</v>
      </c>
      <c r="U143" s="495"/>
      <c r="V143" s="436"/>
      <c r="W143" s="549"/>
      <c r="X143" s="549"/>
      <c r="Y143" s="549"/>
      <c r="Z143" s="549"/>
      <c r="AA143" s="547" t="e">
        <f>VLOOKUP(L143,اس!$S$3:$X$31,3,FALSE)</f>
        <v>#N/A</v>
      </c>
      <c r="AB143" s="437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</row>
    <row r="144" spans="1:79" ht="15.75">
      <c r="A144" s="25"/>
      <c r="B144" s="25"/>
      <c r="C144" s="25"/>
      <c r="D144" s="295"/>
      <c r="E144" s="295"/>
      <c r="F144" s="295"/>
      <c r="G144" s="295"/>
      <c r="H144" s="295"/>
      <c r="I144" s="25"/>
      <c r="J144" s="25"/>
      <c r="K144" s="25"/>
      <c r="L144" s="1617"/>
      <c r="M144" s="1618"/>
      <c r="N144" s="1619"/>
      <c r="O144" s="1620"/>
      <c r="P144" s="543">
        <f t="shared" si="18"/>
        <v>77</v>
      </c>
      <c r="Q144" s="386" t="e">
        <f>VLOOKUP(N144,etat!$A$9:$N$1012,2,FALSE)</f>
        <v>#N/A</v>
      </c>
      <c r="R144" s="435" t="e">
        <f>VLOOKUP(N144,etat!$A$9:$N$971,7,FALSE)</f>
        <v>#N/A</v>
      </c>
      <c r="S144" s="435" t="e">
        <f>VLOOKUP(N144,etat!$A$9:$N$1011,9,FALSE)</f>
        <v>#N/A</v>
      </c>
      <c r="T144" s="435" t="e">
        <f>VLOOKUP(N144,etat!$A$9:$P$913,16,FALSE)</f>
        <v>#N/A</v>
      </c>
      <c r="U144" s="495"/>
      <c r="V144" s="436"/>
      <c r="W144" s="549"/>
      <c r="X144" s="549"/>
      <c r="Y144" s="549"/>
      <c r="Z144" s="549"/>
      <c r="AA144" s="547" t="e">
        <f>VLOOKUP(L144,اس!$S$3:$X$31,3,FALSE)</f>
        <v>#N/A</v>
      </c>
      <c r="AB144" s="437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</row>
    <row r="145" spans="1:79" ht="15.75">
      <c r="A145" s="25"/>
      <c r="B145" s="25"/>
      <c r="C145" s="25"/>
      <c r="D145" s="295"/>
      <c r="E145" s="295"/>
      <c r="F145" s="295"/>
      <c r="G145" s="295"/>
      <c r="H145" s="295"/>
      <c r="I145" s="25"/>
      <c r="J145" s="25"/>
      <c r="K145" s="25"/>
      <c r="L145" s="1617"/>
      <c r="M145" s="1618"/>
      <c r="N145" s="1619"/>
      <c r="O145" s="1620"/>
      <c r="P145" s="391">
        <f t="shared" si="18"/>
        <v>78</v>
      </c>
      <c r="Q145" s="386" t="e">
        <f>VLOOKUP(N145,etat!$A$9:$N$1012,2,FALSE)</f>
        <v>#N/A</v>
      </c>
      <c r="R145" s="435" t="e">
        <f>VLOOKUP(N145,etat!$A$9:$N$971,7,FALSE)</f>
        <v>#N/A</v>
      </c>
      <c r="S145" s="435" t="e">
        <f>VLOOKUP(N145,etat!$A$9:$N$1011,9,FALSE)</f>
        <v>#N/A</v>
      </c>
      <c r="T145" s="435" t="e">
        <f>VLOOKUP(N145,etat!$A$9:$P$913,16,FALSE)</f>
        <v>#N/A</v>
      </c>
      <c r="U145" s="495"/>
      <c r="V145" s="436"/>
      <c r="W145" s="549"/>
      <c r="X145" s="549"/>
      <c r="Y145" s="549"/>
      <c r="Z145" s="549"/>
      <c r="AA145" s="547" t="e">
        <f>VLOOKUP(L145,اس!$S$3:$X$31,3,FALSE)</f>
        <v>#N/A</v>
      </c>
      <c r="AB145" s="437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</row>
    <row r="146" spans="1:79" ht="15.75">
      <c r="A146" s="25"/>
      <c r="B146" s="25"/>
      <c r="C146" s="25"/>
      <c r="D146" s="295"/>
      <c r="E146" s="295"/>
      <c r="F146" s="295"/>
      <c r="G146" s="295"/>
      <c r="H146" s="295"/>
      <c r="I146" s="25"/>
      <c r="J146" s="25"/>
      <c r="K146" s="25"/>
      <c r="L146" s="1617"/>
      <c r="M146" s="1618"/>
      <c r="N146" s="1619"/>
      <c r="O146" s="1620"/>
      <c r="P146" s="543">
        <f t="shared" si="18"/>
        <v>79</v>
      </c>
      <c r="Q146" s="386" t="e">
        <f>VLOOKUP(N146,etat!$A$9:$N$1012,2,FALSE)</f>
        <v>#N/A</v>
      </c>
      <c r="R146" s="435" t="e">
        <f>VLOOKUP(N146,etat!$A$9:$N$971,7,FALSE)</f>
        <v>#N/A</v>
      </c>
      <c r="S146" s="435" t="e">
        <f>VLOOKUP(N146,etat!$A$9:$N$1011,9,FALSE)</f>
        <v>#N/A</v>
      </c>
      <c r="T146" s="435" t="e">
        <f>VLOOKUP(N146,etat!$A$9:$P$913,16,FALSE)</f>
        <v>#N/A</v>
      </c>
      <c r="U146" s="495"/>
      <c r="V146" s="436"/>
      <c r="W146" s="549"/>
      <c r="X146" s="549"/>
      <c r="Y146" s="549"/>
      <c r="Z146" s="549"/>
      <c r="AA146" s="547" t="e">
        <f>VLOOKUP(L146,اس!$S$3:$X$31,3,FALSE)</f>
        <v>#N/A</v>
      </c>
      <c r="AB146" s="437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</row>
    <row r="147" spans="1:79" ht="15.75">
      <c r="A147" s="25"/>
      <c r="B147" s="25"/>
      <c r="C147" s="25"/>
      <c r="D147" s="295"/>
      <c r="E147" s="295"/>
      <c r="F147" s="295"/>
      <c r="G147" s="295"/>
      <c r="H147" s="295"/>
      <c r="I147" s="25"/>
      <c r="J147" s="25"/>
      <c r="K147" s="25"/>
      <c r="L147" s="1617"/>
      <c r="M147" s="1618"/>
      <c r="N147" s="1619"/>
      <c r="O147" s="1620"/>
      <c r="P147" s="391">
        <f t="shared" si="18"/>
        <v>80</v>
      </c>
      <c r="Q147" s="386" t="e">
        <f>VLOOKUP(N147,etat!$A$9:$N$1012,2,FALSE)</f>
        <v>#N/A</v>
      </c>
      <c r="R147" s="435" t="e">
        <f>VLOOKUP(N147,etat!$A$9:$N$971,7,FALSE)</f>
        <v>#N/A</v>
      </c>
      <c r="S147" s="435" t="e">
        <f>VLOOKUP(N147,etat!$A$9:$N$1011,9,FALSE)</f>
        <v>#N/A</v>
      </c>
      <c r="T147" s="435" t="e">
        <f>VLOOKUP(N147,etat!$A$9:$P$913,16,FALSE)</f>
        <v>#N/A</v>
      </c>
      <c r="U147" s="495"/>
      <c r="V147" s="436"/>
      <c r="W147" s="549"/>
      <c r="X147" s="549"/>
      <c r="Y147" s="549"/>
      <c r="Z147" s="549"/>
      <c r="AA147" s="547" t="e">
        <f>VLOOKUP(L147,اس!$S$3:$X$31,3,FALSE)</f>
        <v>#N/A</v>
      </c>
      <c r="AB147" s="437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</row>
    <row r="148" spans="1:79" ht="15.75">
      <c r="A148" s="25"/>
      <c r="B148" s="25"/>
      <c r="C148" s="25"/>
      <c r="D148" s="295"/>
      <c r="E148" s="295"/>
      <c r="F148" s="295"/>
      <c r="G148" s="295"/>
      <c r="H148" s="295"/>
      <c r="I148" s="25"/>
      <c r="J148" s="25"/>
      <c r="K148" s="25"/>
      <c r="L148" s="1617"/>
      <c r="M148" s="1618"/>
      <c r="N148" s="1619"/>
      <c r="O148" s="1620"/>
      <c r="P148" s="543">
        <f t="shared" si="18"/>
        <v>81</v>
      </c>
      <c r="Q148" s="386" t="e">
        <f>VLOOKUP(N148,etat!$A$9:$N$1012,2,FALSE)</f>
        <v>#N/A</v>
      </c>
      <c r="R148" s="435" t="e">
        <f>VLOOKUP(N148,etat!$A$9:$N$971,7,FALSE)</f>
        <v>#N/A</v>
      </c>
      <c r="S148" s="435" t="e">
        <f>VLOOKUP(N148,etat!$A$9:$N$1011,9,FALSE)</f>
        <v>#N/A</v>
      </c>
      <c r="T148" s="435" t="e">
        <f>VLOOKUP(N148,etat!$A$9:$P$913,16,FALSE)</f>
        <v>#N/A</v>
      </c>
      <c r="U148" s="495"/>
      <c r="V148" s="436"/>
      <c r="W148" s="549"/>
      <c r="X148" s="549"/>
      <c r="Y148" s="549"/>
      <c r="Z148" s="549"/>
      <c r="AA148" s="547" t="e">
        <f>VLOOKUP(L148,اس!$S$3:$X$31,3,FALSE)</f>
        <v>#N/A</v>
      </c>
      <c r="AB148" s="437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</row>
    <row r="149" spans="1:79" ht="15.75">
      <c r="A149" s="25"/>
      <c r="B149" s="25"/>
      <c r="C149" s="25"/>
      <c r="D149" s="295"/>
      <c r="E149" s="295"/>
      <c r="F149" s="295"/>
      <c r="G149" s="295"/>
      <c r="H149" s="295"/>
      <c r="I149" s="25"/>
      <c r="J149" s="25"/>
      <c r="K149" s="25"/>
      <c r="L149" s="1617"/>
      <c r="M149" s="1618"/>
      <c r="N149" s="1619"/>
      <c r="O149" s="1620"/>
      <c r="P149" s="391">
        <f t="shared" si="18"/>
        <v>82</v>
      </c>
      <c r="Q149" s="386" t="e">
        <f>VLOOKUP(N149,etat!$A$9:$N$1012,2,FALSE)</f>
        <v>#N/A</v>
      </c>
      <c r="R149" s="435" t="e">
        <f>VLOOKUP(N149,etat!$A$9:$N$971,7,FALSE)</f>
        <v>#N/A</v>
      </c>
      <c r="S149" s="435" t="e">
        <f>VLOOKUP(N149,etat!$A$9:$N$1011,9,FALSE)</f>
        <v>#N/A</v>
      </c>
      <c r="T149" s="435" t="e">
        <f>VLOOKUP(N149,etat!$A$9:$P$913,16,FALSE)</f>
        <v>#N/A</v>
      </c>
      <c r="U149" s="495"/>
      <c r="V149" s="436"/>
      <c r="W149" s="549"/>
      <c r="X149" s="549"/>
      <c r="Y149" s="549"/>
      <c r="Z149" s="549"/>
      <c r="AA149" s="547" t="e">
        <f>VLOOKUP(L149,اس!$S$3:$X$31,3,FALSE)</f>
        <v>#N/A</v>
      </c>
      <c r="AB149" s="437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</row>
    <row r="150" spans="1:79" ht="15.75">
      <c r="A150" s="25"/>
      <c r="B150" s="25"/>
      <c r="C150" s="25"/>
      <c r="D150" s="295"/>
      <c r="E150" s="295"/>
      <c r="F150" s="295"/>
      <c r="G150" s="295"/>
      <c r="H150" s="295"/>
      <c r="I150" s="25"/>
      <c r="J150" s="25"/>
      <c r="K150" s="25"/>
      <c r="L150" s="1617"/>
      <c r="M150" s="1618"/>
      <c r="N150" s="1619"/>
      <c r="O150" s="1620"/>
      <c r="P150" s="543">
        <f t="shared" si="18"/>
        <v>83</v>
      </c>
      <c r="Q150" s="386" t="e">
        <f>VLOOKUP(N150,etat!$A$9:$N$1012,2,FALSE)</f>
        <v>#N/A</v>
      </c>
      <c r="R150" s="435" t="e">
        <f>VLOOKUP(N150,etat!$A$9:$N$971,7,FALSE)</f>
        <v>#N/A</v>
      </c>
      <c r="S150" s="435" t="e">
        <f>VLOOKUP(N150,etat!$A$9:$N$1011,9,FALSE)</f>
        <v>#N/A</v>
      </c>
      <c r="T150" s="435" t="e">
        <f>VLOOKUP(N150,etat!$A$9:$P$913,16,FALSE)</f>
        <v>#N/A</v>
      </c>
      <c r="U150" s="495"/>
      <c r="V150" s="436"/>
      <c r="W150" s="549"/>
      <c r="X150" s="549"/>
      <c r="Y150" s="549"/>
      <c r="Z150" s="549"/>
      <c r="AA150" s="547" t="e">
        <f>VLOOKUP(L150,اس!$S$3:$X$31,3,FALSE)</f>
        <v>#N/A</v>
      </c>
      <c r="AB150" s="437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</row>
    <row r="151" spans="1:79" ht="15.75">
      <c r="A151" s="25"/>
      <c r="B151" s="25"/>
      <c r="C151" s="25"/>
      <c r="D151" s="295"/>
      <c r="E151" s="295"/>
      <c r="F151" s="295"/>
      <c r="G151" s="295"/>
      <c r="H151" s="295"/>
      <c r="I151" s="25"/>
      <c r="J151" s="25"/>
      <c r="K151" s="25"/>
      <c r="L151" s="1617"/>
      <c r="M151" s="1618"/>
      <c r="N151" s="1619"/>
      <c r="O151" s="1620"/>
      <c r="P151" s="391">
        <f t="shared" si="18"/>
        <v>84</v>
      </c>
      <c r="Q151" s="386" t="e">
        <f>VLOOKUP(N151,etat!$A$9:$N$1012,2,FALSE)</f>
        <v>#N/A</v>
      </c>
      <c r="R151" s="435" t="e">
        <f>VLOOKUP(N151,etat!$A$9:$N$971,7,FALSE)</f>
        <v>#N/A</v>
      </c>
      <c r="S151" s="435" t="e">
        <f>VLOOKUP(N151,etat!$A$9:$N$1011,9,FALSE)</f>
        <v>#N/A</v>
      </c>
      <c r="T151" s="435" t="e">
        <f>VLOOKUP(N151,etat!$A$9:$P$913,16,FALSE)</f>
        <v>#N/A</v>
      </c>
      <c r="U151" s="495"/>
      <c r="V151" s="436"/>
      <c r="W151" s="549"/>
      <c r="X151" s="549"/>
      <c r="Y151" s="549"/>
      <c r="Z151" s="549"/>
      <c r="AA151" s="547" t="e">
        <f>VLOOKUP(L151,اس!$S$3:$X$31,3,FALSE)</f>
        <v>#N/A</v>
      </c>
      <c r="AB151" s="437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</row>
    <row r="152" spans="1:79" ht="15.75">
      <c r="A152" s="25"/>
      <c r="B152" s="25"/>
      <c r="C152" s="25"/>
      <c r="D152" s="295"/>
      <c r="E152" s="295"/>
      <c r="F152" s="295"/>
      <c r="G152" s="295"/>
      <c r="H152" s="295"/>
      <c r="I152" s="25"/>
      <c r="J152" s="25"/>
      <c r="K152" s="25"/>
      <c r="L152" s="1617"/>
      <c r="M152" s="1618"/>
      <c r="N152" s="1619"/>
      <c r="O152" s="1620"/>
      <c r="P152" s="543">
        <f t="shared" si="18"/>
        <v>85</v>
      </c>
      <c r="Q152" s="386" t="e">
        <f>VLOOKUP(N152,etat!$A$9:$N$1012,2,FALSE)</f>
        <v>#N/A</v>
      </c>
      <c r="R152" s="435" t="e">
        <f>VLOOKUP(N152,etat!$A$9:$N$971,7,FALSE)</f>
        <v>#N/A</v>
      </c>
      <c r="S152" s="435" t="e">
        <f>VLOOKUP(N152,etat!$A$9:$N$1011,9,FALSE)</f>
        <v>#N/A</v>
      </c>
      <c r="T152" s="435" t="e">
        <f>VLOOKUP(N152,etat!$A$9:$P$913,16,FALSE)</f>
        <v>#N/A</v>
      </c>
      <c r="U152" s="495"/>
      <c r="V152" s="436"/>
      <c r="W152" s="549"/>
      <c r="X152" s="549"/>
      <c r="Y152" s="549"/>
      <c r="Z152" s="549"/>
      <c r="AA152" s="547" t="e">
        <f>VLOOKUP(L152,اس!$S$3:$X$31,3,FALSE)</f>
        <v>#N/A</v>
      </c>
      <c r="AB152" s="437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</row>
    <row r="153" spans="1:79" ht="15.75">
      <c r="A153" s="25"/>
      <c r="B153" s="25"/>
      <c r="C153" s="25"/>
      <c r="D153" s="295"/>
      <c r="E153" s="295"/>
      <c r="F153" s="295"/>
      <c r="G153" s="295"/>
      <c r="H153" s="295"/>
      <c r="I153" s="25"/>
      <c r="J153" s="25"/>
      <c r="K153" s="25"/>
      <c r="L153" s="1617"/>
      <c r="M153" s="1618"/>
      <c r="N153" s="1619"/>
      <c r="O153" s="1620"/>
      <c r="P153" s="391">
        <f t="shared" si="18"/>
        <v>86</v>
      </c>
      <c r="Q153" s="386" t="e">
        <f>VLOOKUP(N153,etat!$A$9:$N$1012,2,FALSE)</f>
        <v>#N/A</v>
      </c>
      <c r="R153" s="435" t="e">
        <f>VLOOKUP(N153,etat!$A$9:$N$971,7,FALSE)</f>
        <v>#N/A</v>
      </c>
      <c r="S153" s="435" t="e">
        <f>VLOOKUP(N153,etat!$A$9:$N$1011,9,FALSE)</f>
        <v>#N/A</v>
      </c>
      <c r="T153" s="435" t="e">
        <f>VLOOKUP(N153,etat!$A$9:$P$913,16,FALSE)</f>
        <v>#N/A</v>
      </c>
      <c r="U153" s="495"/>
      <c r="V153" s="436"/>
      <c r="W153" s="549"/>
      <c r="X153" s="549"/>
      <c r="Y153" s="549"/>
      <c r="Z153" s="549"/>
      <c r="AA153" s="547" t="e">
        <f>VLOOKUP(L153,اس!$S$3:$X$31,3,FALSE)</f>
        <v>#N/A</v>
      </c>
      <c r="AB153" s="437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</row>
    <row r="154" spans="1:79" ht="15.75">
      <c r="A154" s="25"/>
      <c r="B154" s="25"/>
      <c r="C154" s="25"/>
      <c r="D154" s="295"/>
      <c r="E154" s="295"/>
      <c r="F154" s="295"/>
      <c r="G154" s="295"/>
      <c r="H154" s="295"/>
      <c r="I154" s="25"/>
      <c r="J154" s="25"/>
      <c r="K154" s="25"/>
      <c r="L154" s="1617"/>
      <c r="M154" s="1618"/>
      <c r="N154" s="1619"/>
      <c r="O154" s="1620"/>
      <c r="P154" s="543">
        <f t="shared" si="18"/>
        <v>87</v>
      </c>
      <c r="Q154" s="386" t="e">
        <f>VLOOKUP(N154,etat!$A$9:$N$1012,2,FALSE)</f>
        <v>#N/A</v>
      </c>
      <c r="R154" s="435" t="e">
        <f>VLOOKUP(N154,etat!$A$9:$N$971,7,FALSE)</f>
        <v>#N/A</v>
      </c>
      <c r="S154" s="435" t="e">
        <f>VLOOKUP(N154,etat!$A$9:$N$1011,9,FALSE)</f>
        <v>#N/A</v>
      </c>
      <c r="T154" s="435" t="e">
        <f>VLOOKUP(N154,etat!$A$9:$P$913,16,FALSE)</f>
        <v>#N/A</v>
      </c>
      <c r="U154" s="495"/>
      <c r="V154" s="436"/>
      <c r="W154" s="549"/>
      <c r="X154" s="549"/>
      <c r="Y154" s="549"/>
      <c r="Z154" s="549"/>
      <c r="AA154" s="547" t="e">
        <f>VLOOKUP(L154,اس!$S$3:$X$31,3,FALSE)</f>
        <v>#N/A</v>
      </c>
      <c r="AB154" s="437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</row>
    <row r="155" spans="1:79" ht="15.75">
      <c r="A155" s="25"/>
      <c r="B155" s="25"/>
      <c r="C155" s="25"/>
      <c r="D155" s="295"/>
      <c r="E155" s="295"/>
      <c r="F155" s="295"/>
      <c r="G155" s="295"/>
      <c r="H155" s="295"/>
      <c r="I155" s="25"/>
      <c r="J155" s="25"/>
      <c r="K155" s="25"/>
      <c r="L155" s="1617"/>
      <c r="M155" s="1618"/>
      <c r="N155" s="1619"/>
      <c r="O155" s="1620"/>
      <c r="P155" s="391">
        <f t="shared" si="18"/>
        <v>88</v>
      </c>
      <c r="Q155" s="386" t="e">
        <f>VLOOKUP(N155,etat!$A$9:$N$1012,2,FALSE)</f>
        <v>#N/A</v>
      </c>
      <c r="R155" s="435" t="e">
        <f>VLOOKUP(N155,etat!$A$9:$N$971,7,FALSE)</f>
        <v>#N/A</v>
      </c>
      <c r="S155" s="435" t="e">
        <f>VLOOKUP(N155,etat!$A$9:$N$1011,9,FALSE)</f>
        <v>#N/A</v>
      </c>
      <c r="T155" s="435" t="e">
        <f>VLOOKUP(N155,etat!$A$9:$P$913,16,FALSE)</f>
        <v>#N/A</v>
      </c>
      <c r="U155" s="495"/>
      <c r="V155" s="436"/>
      <c r="W155" s="549"/>
      <c r="X155" s="549"/>
      <c r="Y155" s="549"/>
      <c r="Z155" s="549"/>
      <c r="AA155" s="547" t="e">
        <f>VLOOKUP(L155,اس!$S$3:$X$31,3,FALSE)</f>
        <v>#N/A</v>
      </c>
      <c r="AB155" s="437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</row>
    <row r="156" spans="1:79" ht="15.75">
      <c r="A156" s="25"/>
      <c r="B156" s="25"/>
      <c r="C156" s="25"/>
      <c r="D156" s="295"/>
      <c r="E156" s="295"/>
      <c r="F156" s="295"/>
      <c r="G156" s="295"/>
      <c r="H156" s="295"/>
      <c r="I156" s="25"/>
      <c r="J156" s="25"/>
      <c r="K156" s="25"/>
      <c r="L156" s="1617"/>
      <c r="M156" s="1618"/>
      <c r="N156" s="1619"/>
      <c r="O156" s="1620"/>
      <c r="P156" s="543">
        <f t="shared" si="18"/>
        <v>89</v>
      </c>
      <c r="Q156" s="386" t="e">
        <f>VLOOKUP(N156,etat!$A$9:$N$1012,2,FALSE)</f>
        <v>#N/A</v>
      </c>
      <c r="R156" s="435" t="e">
        <f>VLOOKUP(N156,etat!$A$9:$N$971,7,FALSE)</f>
        <v>#N/A</v>
      </c>
      <c r="S156" s="435" t="e">
        <f>VLOOKUP(N156,etat!$A$9:$N$1011,9,FALSE)</f>
        <v>#N/A</v>
      </c>
      <c r="T156" s="435" t="e">
        <f>VLOOKUP(N156,etat!$A$9:$P$913,16,FALSE)</f>
        <v>#N/A</v>
      </c>
      <c r="U156" s="495"/>
      <c r="V156" s="436"/>
      <c r="W156" s="549"/>
      <c r="X156" s="549"/>
      <c r="Y156" s="549"/>
      <c r="Z156" s="549"/>
      <c r="AA156" s="547" t="e">
        <f>VLOOKUP(L156,اس!$S$3:$X$31,3,FALSE)</f>
        <v>#N/A</v>
      </c>
      <c r="AB156" s="437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</row>
    <row r="157" spans="1:79" ht="15.75">
      <c r="A157" s="25"/>
      <c r="B157" s="25"/>
      <c r="C157" s="25"/>
      <c r="D157" s="295"/>
      <c r="E157" s="295"/>
      <c r="F157" s="295"/>
      <c r="G157" s="295"/>
      <c r="H157" s="295"/>
      <c r="I157" s="25"/>
      <c r="J157" s="25"/>
      <c r="K157" s="25"/>
      <c r="L157" s="1617"/>
      <c r="M157" s="1618"/>
      <c r="N157" s="1619"/>
      <c r="O157" s="1620"/>
      <c r="P157" s="391">
        <f t="shared" si="18"/>
        <v>90</v>
      </c>
      <c r="Q157" s="386" t="e">
        <f>VLOOKUP(N157,etat!$A$9:$N$1012,2,FALSE)</f>
        <v>#N/A</v>
      </c>
      <c r="R157" s="435" t="e">
        <f>VLOOKUP(N157,etat!$A$9:$N$971,7,FALSE)</f>
        <v>#N/A</v>
      </c>
      <c r="S157" s="435" t="e">
        <f>VLOOKUP(N157,etat!$A$9:$N$1011,9,FALSE)</f>
        <v>#N/A</v>
      </c>
      <c r="T157" s="435" t="e">
        <f>VLOOKUP(N157,etat!$A$9:$P$913,16,FALSE)</f>
        <v>#N/A</v>
      </c>
      <c r="U157" s="495"/>
      <c r="V157" s="436"/>
      <c r="W157" s="549"/>
      <c r="X157" s="549"/>
      <c r="Y157" s="549"/>
      <c r="Z157" s="549"/>
      <c r="AA157" s="547" t="e">
        <f>VLOOKUP(L157,اس!$S$3:$X$31,3,FALSE)</f>
        <v>#N/A</v>
      </c>
      <c r="AB157" s="437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</row>
    <row r="158" spans="1:79" ht="15.75">
      <c r="A158" s="25"/>
      <c r="B158" s="25"/>
      <c r="C158" s="25"/>
      <c r="D158" s="295"/>
      <c r="E158" s="295"/>
      <c r="F158" s="295"/>
      <c r="G158" s="295"/>
      <c r="H158" s="295"/>
      <c r="I158" s="25"/>
      <c r="J158" s="25"/>
      <c r="K158" s="25"/>
      <c r="L158" s="1617"/>
      <c r="M158" s="1618"/>
      <c r="N158" s="1619"/>
      <c r="O158" s="1620"/>
      <c r="P158" s="543">
        <f t="shared" si="18"/>
        <v>91</v>
      </c>
      <c r="Q158" s="386" t="e">
        <f>VLOOKUP(N158,etat!$A$9:$N$1012,2,FALSE)</f>
        <v>#N/A</v>
      </c>
      <c r="R158" s="435" t="e">
        <f>VLOOKUP(N158,etat!$A$9:$N$971,7,FALSE)</f>
        <v>#N/A</v>
      </c>
      <c r="S158" s="435" t="e">
        <f>VLOOKUP(N158,etat!$A$9:$N$1011,9,FALSE)</f>
        <v>#N/A</v>
      </c>
      <c r="T158" s="435" t="e">
        <f>VLOOKUP(N158,etat!$A$9:$P$913,16,FALSE)</f>
        <v>#N/A</v>
      </c>
      <c r="U158" s="495"/>
      <c r="V158" s="436"/>
      <c r="W158" s="549"/>
      <c r="X158" s="549"/>
      <c r="Y158" s="549"/>
      <c r="Z158" s="549"/>
      <c r="AA158" s="547" t="e">
        <f>VLOOKUP(L158,اس!$S$3:$X$31,3,FALSE)</f>
        <v>#N/A</v>
      </c>
      <c r="AB158" s="437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</row>
    <row r="159" spans="1:79" ht="15.75">
      <c r="A159" s="25"/>
      <c r="B159" s="25"/>
      <c r="C159" s="25"/>
      <c r="D159" s="295"/>
      <c r="E159" s="295"/>
      <c r="F159" s="295"/>
      <c r="G159" s="295"/>
      <c r="H159" s="295"/>
      <c r="I159" s="25"/>
      <c r="J159" s="25"/>
      <c r="K159" s="25"/>
      <c r="L159" s="1617"/>
      <c r="M159" s="1618"/>
      <c r="N159" s="1619"/>
      <c r="O159" s="1620"/>
      <c r="P159" s="391">
        <f t="shared" si="18"/>
        <v>92</v>
      </c>
      <c r="Q159" s="386" t="e">
        <f>VLOOKUP(N159,etat!$A$9:$N$1012,2,FALSE)</f>
        <v>#N/A</v>
      </c>
      <c r="R159" s="435" t="e">
        <f>VLOOKUP(N159,etat!$A$9:$N$971,7,FALSE)</f>
        <v>#N/A</v>
      </c>
      <c r="S159" s="435" t="e">
        <f>VLOOKUP(N159,etat!$A$9:$N$1011,9,FALSE)</f>
        <v>#N/A</v>
      </c>
      <c r="T159" s="435" t="e">
        <f>VLOOKUP(N159,etat!$A$9:$P$913,16,FALSE)</f>
        <v>#N/A</v>
      </c>
      <c r="U159" s="495"/>
      <c r="V159" s="436"/>
      <c r="W159" s="549"/>
      <c r="X159" s="549"/>
      <c r="Y159" s="549"/>
      <c r="Z159" s="549"/>
      <c r="AA159" s="547" t="e">
        <f>VLOOKUP(L159,اس!$S$3:$X$31,3,FALSE)</f>
        <v>#N/A</v>
      </c>
      <c r="AB159" s="437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</row>
    <row r="160" spans="1:79" ht="15.75">
      <c r="A160" s="25"/>
      <c r="B160" s="25"/>
      <c r="C160" s="25"/>
      <c r="D160" s="295"/>
      <c r="E160" s="295"/>
      <c r="F160" s="295"/>
      <c r="G160" s="295"/>
      <c r="H160" s="295"/>
      <c r="I160" s="25"/>
      <c r="J160" s="25"/>
      <c r="K160" s="25"/>
      <c r="L160" s="1617"/>
      <c r="M160" s="1618"/>
      <c r="N160" s="1619"/>
      <c r="O160" s="1620"/>
      <c r="P160" s="543">
        <f t="shared" si="18"/>
        <v>93</v>
      </c>
      <c r="Q160" s="386" t="e">
        <f>VLOOKUP(N160,etat!$A$9:$N$1012,2,FALSE)</f>
        <v>#N/A</v>
      </c>
      <c r="R160" s="435" t="e">
        <f>VLOOKUP(N160,etat!$A$9:$N$971,7,FALSE)</f>
        <v>#N/A</v>
      </c>
      <c r="S160" s="435" t="e">
        <f>VLOOKUP(N160,etat!$A$9:$N$1011,9,FALSE)</f>
        <v>#N/A</v>
      </c>
      <c r="T160" s="435" t="e">
        <f>VLOOKUP(N160,etat!$A$9:$P$913,16,FALSE)</f>
        <v>#N/A</v>
      </c>
      <c r="U160" s="495"/>
      <c r="V160" s="436"/>
      <c r="W160" s="549"/>
      <c r="X160" s="549"/>
      <c r="Y160" s="549"/>
      <c r="Z160" s="549"/>
      <c r="AA160" s="547" t="e">
        <f>VLOOKUP(L160,اس!$S$3:$X$31,3,FALSE)</f>
        <v>#N/A</v>
      </c>
      <c r="AB160" s="437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</row>
    <row r="161" spans="1:79" ht="15.75">
      <c r="A161" s="25"/>
      <c r="B161" s="25"/>
      <c r="C161" s="25"/>
      <c r="D161" s="295"/>
      <c r="E161" s="295"/>
      <c r="F161" s="295"/>
      <c r="G161" s="295"/>
      <c r="H161" s="295"/>
      <c r="I161" s="25"/>
      <c r="J161" s="25"/>
      <c r="K161" s="25"/>
      <c r="L161" s="1617"/>
      <c r="M161" s="1618"/>
      <c r="N161" s="1619"/>
      <c r="O161" s="1620"/>
      <c r="P161" s="391">
        <f t="shared" si="18"/>
        <v>94</v>
      </c>
      <c r="Q161" s="386" t="e">
        <f>VLOOKUP(N161,etat!$A$9:$N$1012,2,FALSE)</f>
        <v>#N/A</v>
      </c>
      <c r="R161" s="435" t="e">
        <f>VLOOKUP(N161,etat!$A$9:$N$971,7,FALSE)</f>
        <v>#N/A</v>
      </c>
      <c r="S161" s="435" t="e">
        <f>VLOOKUP(N161,etat!$A$9:$N$1011,9,FALSE)</f>
        <v>#N/A</v>
      </c>
      <c r="T161" s="435" t="e">
        <f>VLOOKUP(N161,etat!$A$9:$P$913,16,FALSE)</f>
        <v>#N/A</v>
      </c>
      <c r="U161" s="495"/>
      <c r="V161" s="436"/>
      <c r="W161" s="549"/>
      <c r="X161" s="549"/>
      <c r="Y161" s="549"/>
      <c r="Z161" s="549"/>
      <c r="AA161" s="547" t="e">
        <f>VLOOKUP(L161,اس!$S$3:$X$31,3,FALSE)</f>
        <v>#N/A</v>
      </c>
      <c r="AB161" s="437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</row>
    <row r="162" spans="1:79" ht="15.75">
      <c r="A162" s="25"/>
      <c r="B162" s="25"/>
      <c r="C162" s="25"/>
      <c r="D162" s="295"/>
      <c r="E162" s="295"/>
      <c r="F162" s="295"/>
      <c r="G162" s="295"/>
      <c r="H162" s="295"/>
      <c r="I162" s="25"/>
      <c r="J162" s="25"/>
      <c r="K162" s="25"/>
      <c r="L162" s="1617"/>
      <c r="M162" s="1618"/>
      <c r="N162" s="1619"/>
      <c r="O162" s="1620"/>
      <c r="P162" s="543">
        <f t="shared" si="18"/>
        <v>95</v>
      </c>
      <c r="Q162" s="386" t="e">
        <f>VLOOKUP(N162,etat!$A$9:$N$1012,2,FALSE)</f>
        <v>#N/A</v>
      </c>
      <c r="R162" s="435" t="e">
        <f>VLOOKUP(N162,etat!$A$9:$N$971,7,FALSE)</f>
        <v>#N/A</v>
      </c>
      <c r="S162" s="435" t="e">
        <f>VLOOKUP(N162,etat!$A$9:$N$1011,9,FALSE)</f>
        <v>#N/A</v>
      </c>
      <c r="T162" s="435" t="e">
        <f>VLOOKUP(N162,etat!$A$9:$P$913,16,FALSE)</f>
        <v>#N/A</v>
      </c>
      <c r="U162" s="495"/>
      <c r="V162" s="436"/>
      <c r="W162" s="549"/>
      <c r="X162" s="549"/>
      <c r="Y162" s="549"/>
      <c r="Z162" s="549"/>
      <c r="AA162" s="547" t="e">
        <f>VLOOKUP(L162,اس!$S$3:$X$31,3,FALSE)</f>
        <v>#N/A</v>
      </c>
      <c r="AB162" s="437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</row>
    <row r="163" spans="1:79" ht="15.75">
      <c r="A163" s="25"/>
      <c r="B163" s="25"/>
      <c r="C163" s="25"/>
      <c r="D163" s="295"/>
      <c r="E163" s="295"/>
      <c r="F163" s="295"/>
      <c r="G163" s="295"/>
      <c r="H163" s="295"/>
      <c r="I163" s="25"/>
      <c r="J163" s="25"/>
      <c r="K163" s="25"/>
      <c r="L163" s="1617"/>
      <c r="M163" s="1618"/>
      <c r="N163" s="1619"/>
      <c r="O163" s="1620"/>
      <c r="P163" s="391">
        <f t="shared" si="18"/>
        <v>96</v>
      </c>
      <c r="Q163" s="386" t="e">
        <f>VLOOKUP(N163,etat!$A$9:$N$1012,2,FALSE)</f>
        <v>#N/A</v>
      </c>
      <c r="R163" s="435" t="e">
        <f>VLOOKUP(N163,etat!$A$9:$N$971,7,FALSE)</f>
        <v>#N/A</v>
      </c>
      <c r="S163" s="435" t="e">
        <f>VLOOKUP(N163,etat!$A$9:$N$1011,9,FALSE)</f>
        <v>#N/A</v>
      </c>
      <c r="T163" s="435" t="e">
        <f>VLOOKUP(N163,etat!$A$9:$P$913,16,FALSE)</f>
        <v>#N/A</v>
      </c>
      <c r="U163" s="495"/>
      <c r="V163" s="436"/>
      <c r="W163" s="549"/>
      <c r="X163" s="549"/>
      <c r="Y163" s="549"/>
      <c r="Z163" s="549"/>
      <c r="AA163" s="547" t="e">
        <f>VLOOKUP(L163,اس!$S$3:$X$31,3,FALSE)</f>
        <v>#N/A</v>
      </c>
      <c r="AB163" s="437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</row>
    <row r="164" spans="1:79" ht="15.75">
      <c r="A164" s="25"/>
      <c r="B164" s="25"/>
      <c r="C164" s="25"/>
      <c r="D164" s="295"/>
      <c r="E164" s="295"/>
      <c r="F164" s="295"/>
      <c r="G164" s="295"/>
      <c r="H164" s="295"/>
      <c r="I164" s="25"/>
      <c r="J164" s="25"/>
      <c r="K164" s="25"/>
      <c r="L164" s="1617"/>
      <c r="M164" s="1618"/>
      <c r="N164" s="1619"/>
      <c r="O164" s="1620"/>
      <c r="P164" s="543">
        <f t="shared" si="18"/>
        <v>97</v>
      </c>
      <c r="Q164" s="386" t="e">
        <f>VLOOKUP(N164,etat!$A$9:$N$1012,2,FALSE)</f>
        <v>#N/A</v>
      </c>
      <c r="R164" s="435" t="e">
        <f>VLOOKUP(N164,etat!$A$9:$N$971,7,FALSE)</f>
        <v>#N/A</v>
      </c>
      <c r="S164" s="435" t="e">
        <f>VLOOKUP(N164,etat!$A$9:$N$1011,9,FALSE)</f>
        <v>#N/A</v>
      </c>
      <c r="T164" s="435" t="e">
        <f>VLOOKUP(N164,etat!$A$9:$P$913,16,FALSE)</f>
        <v>#N/A</v>
      </c>
      <c r="U164" s="495"/>
      <c r="V164" s="436"/>
      <c r="W164" s="549"/>
      <c r="X164" s="549"/>
      <c r="Y164" s="549"/>
      <c r="Z164" s="549"/>
      <c r="AA164" s="547" t="e">
        <f>VLOOKUP(L164,اس!$S$3:$X$31,3,FALSE)</f>
        <v>#N/A</v>
      </c>
      <c r="AB164" s="437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</row>
    <row r="165" spans="1:79" ht="15.75">
      <c r="A165" s="25"/>
      <c r="B165" s="25"/>
      <c r="C165" s="25"/>
      <c r="D165" s="295"/>
      <c r="E165" s="295"/>
      <c r="F165" s="295"/>
      <c r="G165" s="295"/>
      <c r="H165" s="295"/>
      <c r="I165" s="25"/>
      <c r="J165" s="25"/>
      <c r="K165" s="25"/>
      <c r="L165" s="1617"/>
      <c r="M165" s="1618"/>
      <c r="N165" s="1619"/>
      <c r="O165" s="1620"/>
      <c r="P165" s="391">
        <f t="shared" si="18"/>
        <v>98</v>
      </c>
      <c r="Q165" s="386" t="e">
        <f>VLOOKUP(N165,etat!$A$9:$N$1012,2,FALSE)</f>
        <v>#N/A</v>
      </c>
      <c r="R165" s="435" t="e">
        <f>VLOOKUP(N165,etat!$A$9:$N$971,7,FALSE)</f>
        <v>#N/A</v>
      </c>
      <c r="S165" s="435" t="e">
        <f>VLOOKUP(N165,etat!$A$9:$N$1011,9,FALSE)</f>
        <v>#N/A</v>
      </c>
      <c r="T165" s="435" t="e">
        <f>VLOOKUP(N165,etat!$A$9:$P$913,16,FALSE)</f>
        <v>#N/A</v>
      </c>
      <c r="U165" s="495"/>
      <c r="V165" s="436"/>
      <c r="W165" s="549"/>
      <c r="X165" s="549"/>
      <c r="Y165" s="549"/>
      <c r="Z165" s="549"/>
      <c r="AA165" s="547" t="e">
        <f>VLOOKUP(L165,اس!$S$3:$X$31,3,FALSE)</f>
        <v>#N/A</v>
      </c>
      <c r="AB165" s="437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</row>
    <row r="166" spans="1:79" ht="15.75">
      <c r="A166" s="25"/>
      <c r="B166" s="25"/>
      <c r="C166" s="25"/>
      <c r="D166" s="295"/>
      <c r="E166" s="295"/>
      <c r="F166" s="295"/>
      <c r="G166" s="295"/>
      <c r="H166" s="295"/>
      <c r="I166" s="25"/>
      <c r="J166" s="25"/>
      <c r="K166" s="25"/>
      <c r="L166" s="1617"/>
      <c r="M166" s="1618"/>
      <c r="N166" s="1619"/>
      <c r="O166" s="1620"/>
      <c r="P166" s="543">
        <f t="shared" si="18"/>
        <v>99</v>
      </c>
      <c r="Q166" s="386" t="e">
        <f>VLOOKUP(N166,etat!$A$9:$N$1012,2,FALSE)</f>
        <v>#N/A</v>
      </c>
      <c r="R166" s="435" t="e">
        <f>VLOOKUP(N166,etat!$A$9:$N$971,7,FALSE)</f>
        <v>#N/A</v>
      </c>
      <c r="S166" s="435" t="e">
        <f>VLOOKUP(N166,etat!$A$9:$N$1011,9,FALSE)</f>
        <v>#N/A</v>
      </c>
      <c r="T166" s="435" t="e">
        <f>VLOOKUP(N166,etat!$A$9:$P$913,16,FALSE)</f>
        <v>#N/A</v>
      </c>
      <c r="U166" s="495"/>
      <c r="V166" s="436"/>
      <c r="W166" s="549"/>
      <c r="X166" s="549"/>
      <c r="Y166" s="549"/>
      <c r="Z166" s="549"/>
      <c r="AA166" s="547" t="e">
        <f>VLOOKUP(L166,اس!$S$3:$X$31,3,FALSE)</f>
        <v>#N/A</v>
      </c>
      <c r="AB166" s="437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</row>
    <row r="167" spans="1:79" ht="15.75">
      <c r="A167" s="25"/>
      <c r="B167" s="25"/>
      <c r="C167" s="25"/>
      <c r="D167" s="295"/>
      <c r="E167" s="295"/>
      <c r="F167" s="295"/>
      <c r="G167" s="295"/>
      <c r="H167" s="295"/>
      <c r="I167" s="25"/>
      <c r="J167" s="25"/>
      <c r="K167" s="25"/>
      <c r="L167" s="1617"/>
      <c r="M167" s="1618"/>
      <c r="N167" s="1619"/>
      <c r="O167" s="1620"/>
      <c r="P167" s="391">
        <f t="shared" si="18"/>
        <v>100</v>
      </c>
      <c r="Q167" s="386" t="e">
        <f>VLOOKUP(N167,etat!$A$9:$N$1012,2,FALSE)</f>
        <v>#N/A</v>
      </c>
      <c r="R167" s="435" t="e">
        <f>VLOOKUP(N167,etat!$A$9:$N$971,7,FALSE)</f>
        <v>#N/A</v>
      </c>
      <c r="S167" s="435" t="e">
        <f>VLOOKUP(N167,etat!$A$9:$N$1011,9,FALSE)</f>
        <v>#N/A</v>
      </c>
      <c r="T167" s="435" t="e">
        <f>VLOOKUP(N167,etat!$A$9:$P$913,16,FALSE)</f>
        <v>#N/A</v>
      </c>
      <c r="U167" s="495"/>
      <c r="V167" s="436"/>
      <c r="W167" s="549"/>
      <c r="X167" s="549"/>
      <c r="Y167" s="549"/>
      <c r="Z167" s="549"/>
      <c r="AA167" s="547" t="e">
        <f>VLOOKUP(L167,اس!$S$3:$X$31,3,FALSE)</f>
        <v>#N/A</v>
      </c>
      <c r="AB167" s="437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</row>
    <row r="168" spans="1:79" ht="15.75">
      <c r="A168" s="25"/>
      <c r="B168" s="25"/>
      <c r="C168" s="25"/>
      <c r="D168" s="295"/>
      <c r="E168" s="295"/>
      <c r="F168" s="295"/>
      <c r="G168" s="295"/>
      <c r="H168" s="295"/>
      <c r="I168" s="25"/>
      <c r="J168" s="25"/>
      <c r="K168" s="25"/>
      <c r="L168" s="1617"/>
      <c r="M168" s="1618"/>
      <c r="N168" s="1619"/>
      <c r="O168" s="1620"/>
      <c r="P168" s="543">
        <f t="shared" si="18"/>
        <v>101</v>
      </c>
      <c r="Q168" s="386" t="e">
        <f>VLOOKUP(N168,etat!$A$9:$N$1012,2,FALSE)</f>
        <v>#N/A</v>
      </c>
      <c r="R168" s="435" t="e">
        <f>VLOOKUP(N168,etat!$A$9:$N$971,7,FALSE)</f>
        <v>#N/A</v>
      </c>
      <c r="S168" s="435" t="e">
        <f>VLOOKUP(N168,etat!$A$9:$N$1011,9,FALSE)</f>
        <v>#N/A</v>
      </c>
      <c r="T168" s="435" t="e">
        <f>VLOOKUP(N168,etat!$A$9:$P$913,16,FALSE)</f>
        <v>#N/A</v>
      </c>
      <c r="U168" s="495"/>
      <c r="V168" s="436"/>
      <c r="W168" s="549"/>
      <c r="X168" s="549"/>
      <c r="Y168" s="549"/>
      <c r="Z168" s="549"/>
      <c r="AA168" s="547" t="e">
        <f>VLOOKUP(L168,اس!$S$3:$X$31,3,FALSE)</f>
        <v>#N/A</v>
      </c>
      <c r="AB168" s="437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</row>
    <row r="169" spans="1:79" ht="15.75">
      <c r="A169" s="25"/>
      <c r="B169" s="25"/>
      <c r="C169" s="25"/>
      <c r="D169" s="295"/>
      <c r="E169" s="295"/>
      <c r="F169" s="295"/>
      <c r="G169" s="295"/>
      <c r="H169" s="295"/>
      <c r="I169" s="25"/>
      <c r="J169" s="25"/>
      <c r="K169" s="25"/>
      <c r="L169" s="1617"/>
      <c r="M169" s="1618"/>
      <c r="N169" s="1619"/>
      <c r="O169" s="1620"/>
      <c r="P169" s="391">
        <f t="shared" si="18"/>
        <v>102</v>
      </c>
      <c r="Q169" s="386" t="e">
        <f>VLOOKUP(N169,etat!$A$9:$N$1012,2,FALSE)</f>
        <v>#N/A</v>
      </c>
      <c r="R169" s="435" t="e">
        <f>VLOOKUP(N169,etat!$A$9:$N$971,7,FALSE)</f>
        <v>#N/A</v>
      </c>
      <c r="S169" s="435" t="e">
        <f>VLOOKUP(N169,etat!$A$9:$N$1011,9,FALSE)</f>
        <v>#N/A</v>
      </c>
      <c r="T169" s="435" t="e">
        <f>VLOOKUP(N169,etat!$A$9:$P$913,16,FALSE)</f>
        <v>#N/A</v>
      </c>
      <c r="U169" s="495"/>
      <c r="V169" s="436"/>
      <c r="W169" s="549"/>
      <c r="X169" s="549"/>
      <c r="Y169" s="549"/>
      <c r="Z169" s="549"/>
      <c r="AA169" s="547" t="e">
        <f>VLOOKUP(L169,اس!$S$3:$X$31,3,FALSE)</f>
        <v>#N/A</v>
      </c>
      <c r="AB169" s="437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</row>
    <row r="170" spans="1:79" ht="15.75">
      <c r="A170" s="25"/>
      <c r="B170" s="25"/>
      <c r="C170" s="25"/>
      <c r="D170" s="295"/>
      <c r="E170" s="295"/>
      <c r="F170" s="295"/>
      <c r="G170" s="295"/>
      <c r="H170" s="295"/>
      <c r="I170" s="25"/>
      <c r="J170" s="25"/>
      <c r="K170" s="25"/>
      <c r="L170" s="1617"/>
      <c r="M170" s="1618"/>
      <c r="N170" s="1619"/>
      <c r="O170" s="1620"/>
      <c r="P170" s="543">
        <f t="shared" si="18"/>
        <v>103</v>
      </c>
      <c r="Q170" s="386" t="e">
        <f>VLOOKUP(N170,etat!$A$9:$N$1012,2,FALSE)</f>
        <v>#N/A</v>
      </c>
      <c r="R170" s="435" t="e">
        <f>VLOOKUP(N170,etat!$A$9:$N$971,7,FALSE)</f>
        <v>#N/A</v>
      </c>
      <c r="S170" s="435" t="e">
        <f>VLOOKUP(N170,etat!$A$9:$N$1011,9,FALSE)</f>
        <v>#N/A</v>
      </c>
      <c r="T170" s="435" t="e">
        <f>VLOOKUP(N170,etat!$A$9:$P$913,16,FALSE)</f>
        <v>#N/A</v>
      </c>
      <c r="U170" s="495"/>
      <c r="V170" s="436"/>
      <c r="W170" s="549"/>
      <c r="X170" s="549"/>
      <c r="Y170" s="549"/>
      <c r="Z170" s="549"/>
      <c r="AA170" s="547" t="e">
        <f>VLOOKUP(L170,اس!$S$3:$X$31,3,FALSE)</f>
        <v>#N/A</v>
      </c>
      <c r="AB170" s="437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</row>
    <row r="171" spans="1:79" ht="15.75">
      <c r="A171" s="25"/>
      <c r="B171" s="25"/>
      <c r="C171" s="25"/>
      <c r="D171" s="295"/>
      <c r="E171" s="295"/>
      <c r="F171" s="295"/>
      <c r="G171" s="295"/>
      <c r="H171" s="295"/>
      <c r="I171" s="25"/>
      <c r="J171" s="25"/>
      <c r="K171" s="25"/>
      <c r="L171" s="1617"/>
      <c r="M171" s="1618"/>
      <c r="N171" s="1619"/>
      <c r="O171" s="1620"/>
      <c r="P171" s="391">
        <f t="shared" si="18"/>
        <v>104</v>
      </c>
      <c r="Q171" s="386" t="e">
        <f>VLOOKUP(N171,etat!$A$9:$N$1012,2,FALSE)</f>
        <v>#N/A</v>
      </c>
      <c r="R171" s="435" t="e">
        <f>VLOOKUP(N171,etat!$A$9:$N$971,7,FALSE)</f>
        <v>#N/A</v>
      </c>
      <c r="S171" s="435" t="e">
        <f>VLOOKUP(N171,etat!$A$9:$N$1011,9,FALSE)</f>
        <v>#N/A</v>
      </c>
      <c r="T171" s="435" t="e">
        <f>VLOOKUP(N171,etat!$A$9:$P$913,16,FALSE)</f>
        <v>#N/A</v>
      </c>
      <c r="U171" s="495"/>
      <c r="V171" s="436"/>
      <c r="W171" s="549"/>
      <c r="X171" s="549"/>
      <c r="Y171" s="549"/>
      <c r="Z171" s="549"/>
      <c r="AA171" s="547" t="e">
        <f>VLOOKUP(L171,اس!$S$3:$X$31,3,FALSE)</f>
        <v>#N/A</v>
      </c>
      <c r="AB171" s="437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</row>
    <row r="172" spans="1:79" ht="15.75">
      <c r="A172" s="25"/>
      <c r="B172" s="25"/>
      <c r="C172" s="25"/>
      <c r="D172" s="295"/>
      <c r="E172" s="295"/>
      <c r="F172" s="295"/>
      <c r="G172" s="295"/>
      <c r="H172" s="295"/>
      <c r="I172" s="25"/>
      <c r="J172" s="25"/>
      <c r="K172" s="25"/>
      <c r="L172" s="1617"/>
      <c r="M172" s="1618"/>
      <c r="N172" s="1619"/>
      <c r="O172" s="1620"/>
      <c r="P172" s="543">
        <f t="shared" si="18"/>
        <v>105</v>
      </c>
      <c r="Q172" s="386" t="e">
        <f>VLOOKUP(N172,etat!$A$9:$N$1012,2,FALSE)</f>
        <v>#N/A</v>
      </c>
      <c r="R172" s="435" t="e">
        <f>VLOOKUP(N172,etat!$A$9:$N$971,7,FALSE)</f>
        <v>#N/A</v>
      </c>
      <c r="S172" s="435" t="e">
        <f>VLOOKUP(N172,etat!$A$9:$N$1011,9,FALSE)</f>
        <v>#N/A</v>
      </c>
      <c r="T172" s="435" t="e">
        <f>VLOOKUP(N172,etat!$A$9:$P$913,16,FALSE)</f>
        <v>#N/A</v>
      </c>
      <c r="U172" s="495"/>
      <c r="V172" s="436"/>
      <c r="W172" s="549"/>
      <c r="X172" s="549"/>
      <c r="Y172" s="549"/>
      <c r="Z172" s="549"/>
      <c r="AA172" s="547" t="e">
        <f>VLOOKUP(L172,اس!$S$3:$X$31,3,FALSE)</f>
        <v>#N/A</v>
      </c>
      <c r="AB172" s="437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</row>
    <row r="173" spans="1:79" ht="15.75">
      <c r="A173" s="25"/>
      <c r="B173" s="25"/>
      <c r="C173" s="25"/>
      <c r="D173" s="295"/>
      <c r="E173" s="295"/>
      <c r="F173" s="295"/>
      <c r="G173" s="295"/>
      <c r="H173" s="295"/>
      <c r="I173" s="25"/>
      <c r="J173" s="25"/>
      <c r="K173" s="25"/>
      <c r="L173" s="1617"/>
      <c r="M173" s="1618"/>
      <c r="N173" s="1619"/>
      <c r="O173" s="1620"/>
      <c r="P173" s="391">
        <f t="shared" si="18"/>
        <v>106</v>
      </c>
      <c r="Q173" s="386" t="e">
        <f>VLOOKUP(N173,etat!$A$9:$N$1012,2,FALSE)</f>
        <v>#N/A</v>
      </c>
      <c r="R173" s="435" t="e">
        <f>VLOOKUP(N173,etat!$A$9:$N$971,7,FALSE)</f>
        <v>#N/A</v>
      </c>
      <c r="S173" s="435" t="e">
        <f>VLOOKUP(N173,etat!$A$9:$N$1011,9,FALSE)</f>
        <v>#N/A</v>
      </c>
      <c r="T173" s="435" t="e">
        <f>VLOOKUP(N173,etat!$A$9:$P$913,16,FALSE)</f>
        <v>#N/A</v>
      </c>
      <c r="U173" s="495"/>
      <c r="V173" s="436"/>
      <c r="W173" s="549"/>
      <c r="X173" s="549"/>
      <c r="Y173" s="549"/>
      <c r="Z173" s="549"/>
      <c r="AA173" s="547" t="e">
        <f>VLOOKUP(L173,اس!$S$3:$X$31,3,FALSE)</f>
        <v>#N/A</v>
      </c>
      <c r="AB173" s="437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</row>
    <row r="174" spans="1:79" ht="15.75">
      <c r="A174" s="25"/>
      <c r="B174" s="25"/>
      <c r="C174" s="25"/>
      <c r="D174" s="295"/>
      <c r="E174" s="295"/>
      <c r="F174" s="295"/>
      <c r="G174" s="295"/>
      <c r="H174" s="295"/>
      <c r="I174" s="25"/>
      <c r="J174" s="25"/>
      <c r="K174" s="25"/>
      <c r="L174" s="1616"/>
      <c r="M174" s="1616"/>
      <c r="N174" s="1616"/>
      <c r="O174" s="1616"/>
      <c r="P174" s="574"/>
      <c r="Q174" s="575"/>
      <c r="R174" s="576"/>
      <c r="S174" s="576"/>
      <c r="T174" s="576"/>
      <c r="U174" s="579"/>
      <c r="V174" s="579"/>
      <c r="W174" s="577"/>
      <c r="X174" s="577"/>
      <c r="Y174" s="577"/>
      <c r="Z174" s="577"/>
      <c r="AA174" s="503"/>
      <c r="AB174" s="578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</row>
    <row r="175" spans="1:79" ht="15.75">
      <c r="A175" s="25"/>
      <c r="B175" s="25"/>
      <c r="C175" s="25"/>
      <c r="D175" s="295"/>
      <c r="E175" s="295"/>
      <c r="F175" s="295"/>
      <c r="G175" s="295"/>
      <c r="H175" s="295"/>
      <c r="I175" s="25"/>
      <c r="J175" s="25"/>
      <c r="K175" s="25"/>
      <c r="L175" s="1615"/>
      <c r="M175" s="1615"/>
      <c r="N175" s="1615"/>
      <c r="O175" s="1615"/>
      <c r="P175" s="574"/>
      <c r="Q175" s="575"/>
      <c r="R175" s="576"/>
      <c r="S175" s="576"/>
      <c r="T175" s="576"/>
      <c r="U175" s="579"/>
      <c r="V175" s="579"/>
      <c r="W175" s="577"/>
      <c r="X175" s="577"/>
      <c r="Y175" s="577"/>
      <c r="Z175" s="577"/>
      <c r="AA175" s="503"/>
      <c r="AB175" s="578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</row>
    <row r="176" spans="1:79" ht="15.75">
      <c r="A176" s="25"/>
      <c r="B176" s="25"/>
      <c r="C176" s="25"/>
      <c r="D176" s="295"/>
      <c r="E176" s="295"/>
      <c r="F176" s="295"/>
      <c r="G176" s="295"/>
      <c r="H176" s="295"/>
      <c r="I176" s="25"/>
      <c r="J176" s="25"/>
      <c r="K176" s="25"/>
      <c r="L176" s="1615"/>
      <c r="M176" s="1615"/>
      <c r="N176" s="1615"/>
      <c r="O176" s="1615"/>
      <c r="P176" s="574"/>
      <c r="Q176" s="575"/>
      <c r="R176" s="576"/>
      <c r="S176" s="576"/>
      <c r="T176" s="576"/>
      <c r="U176" s="579"/>
      <c r="V176" s="579"/>
      <c r="W176" s="577"/>
      <c r="X176" s="577"/>
      <c r="Y176" s="577"/>
      <c r="Z176" s="577"/>
      <c r="AA176" s="503"/>
      <c r="AB176" s="578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</row>
    <row r="177" spans="1:79" ht="15.75">
      <c r="A177" s="25"/>
      <c r="B177" s="25"/>
      <c r="C177" s="25"/>
      <c r="D177" s="295"/>
      <c r="E177" s="295"/>
      <c r="F177" s="295"/>
      <c r="G177" s="295"/>
      <c r="H177" s="295"/>
      <c r="I177" s="25"/>
      <c r="J177" s="25"/>
      <c r="K177" s="25"/>
      <c r="L177" s="1615"/>
      <c r="M177" s="1615"/>
      <c r="N177" s="1615"/>
      <c r="O177" s="1615"/>
      <c r="P177" s="574"/>
      <c r="Q177" s="575"/>
      <c r="R177" s="576"/>
      <c r="S177" s="576"/>
      <c r="T177" s="576"/>
      <c r="U177" s="579"/>
      <c r="V177" s="579"/>
      <c r="W177" s="577"/>
      <c r="X177" s="577"/>
      <c r="Y177" s="577"/>
      <c r="Z177" s="577"/>
      <c r="AA177" s="503"/>
      <c r="AB177" s="578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</row>
    <row r="178" spans="1:79" ht="15.75">
      <c r="A178" s="25"/>
      <c r="B178" s="25"/>
      <c r="C178" s="25"/>
      <c r="D178" s="295"/>
      <c r="E178" s="295"/>
      <c r="F178" s="295"/>
      <c r="G178" s="295"/>
      <c r="H178" s="295"/>
      <c r="I178" s="25"/>
      <c r="J178" s="25"/>
      <c r="K178" s="25"/>
      <c r="L178" s="1615"/>
      <c r="M178" s="1615"/>
      <c r="N178" s="1615"/>
      <c r="O178" s="1615"/>
      <c r="P178" s="574"/>
      <c r="Q178" s="575"/>
      <c r="R178" s="576"/>
      <c r="S178" s="576"/>
      <c r="T178" s="576"/>
      <c r="U178" s="579"/>
      <c r="V178" s="579"/>
      <c r="W178" s="577"/>
      <c r="X178" s="577"/>
      <c r="Y178" s="577"/>
      <c r="Z178" s="577"/>
      <c r="AA178" s="503"/>
      <c r="AB178" s="578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</row>
    <row r="179" spans="1:79" ht="15.75">
      <c r="A179" s="25"/>
      <c r="B179" s="25"/>
      <c r="C179" s="25"/>
      <c r="D179" s="295"/>
      <c r="E179" s="295"/>
      <c r="F179" s="295"/>
      <c r="G179" s="295"/>
      <c r="H179" s="295"/>
      <c r="I179" s="25"/>
      <c r="J179" s="25"/>
      <c r="K179" s="25"/>
      <c r="L179" s="1615"/>
      <c r="M179" s="1615"/>
      <c r="N179" s="1615"/>
      <c r="O179" s="1615"/>
      <c r="P179" s="574"/>
      <c r="Q179" s="575"/>
      <c r="R179" s="576"/>
      <c r="S179" s="576"/>
      <c r="T179" s="576"/>
      <c r="U179" s="579"/>
      <c r="V179" s="579"/>
      <c r="W179" s="577"/>
      <c r="X179" s="577"/>
      <c r="Y179" s="577"/>
      <c r="Z179" s="577"/>
      <c r="AA179" s="503"/>
      <c r="AB179" s="578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</row>
    <row r="180" spans="1:79" ht="15.75">
      <c r="A180" s="25"/>
      <c r="B180" s="25"/>
      <c r="C180" s="25"/>
      <c r="D180" s="295"/>
      <c r="E180" s="295"/>
      <c r="F180" s="295"/>
      <c r="G180" s="295"/>
      <c r="H180" s="295"/>
      <c r="I180" s="25"/>
      <c r="J180" s="25"/>
      <c r="K180" s="25"/>
      <c r="L180" s="1615"/>
      <c r="M180" s="1615"/>
      <c r="N180" s="1615"/>
      <c r="O180" s="1615"/>
      <c r="P180" s="574"/>
      <c r="Q180" s="575"/>
      <c r="R180" s="576"/>
      <c r="S180" s="576"/>
      <c r="T180" s="576"/>
      <c r="U180" s="579"/>
      <c r="V180" s="579"/>
      <c r="W180" s="577"/>
      <c r="X180" s="577"/>
      <c r="Y180" s="577"/>
      <c r="Z180" s="577"/>
      <c r="AA180" s="503"/>
      <c r="AB180" s="578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</row>
    <row r="181" spans="1:79" ht="15.75">
      <c r="A181" s="25"/>
      <c r="B181" s="25"/>
      <c r="C181" s="25"/>
      <c r="D181" s="295"/>
      <c r="E181" s="295"/>
      <c r="F181" s="295"/>
      <c r="G181" s="295"/>
      <c r="H181" s="295"/>
      <c r="I181" s="25"/>
      <c r="J181" s="25"/>
      <c r="K181" s="25"/>
      <c r="L181" s="1615"/>
      <c r="M181" s="1615"/>
      <c r="N181" s="1615"/>
      <c r="O181" s="1615"/>
      <c r="P181" s="574"/>
      <c r="Q181" s="575"/>
      <c r="R181" s="576"/>
      <c r="S181" s="576"/>
      <c r="T181" s="576"/>
      <c r="U181" s="579"/>
      <c r="V181" s="579"/>
      <c r="W181" s="577"/>
      <c r="X181" s="577"/>
      <c r="Y181" s="577"/>
      <c r="Z181" s="577"/>
      <c r="AA181" s="503"/>
      <c r="AB181" s="578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</row>
    <row r="182" spans="1:79" ht="15.75">
      <c r="A182" s="25"/>
      <c r="B182" s="25"/>
      <c r="C182" s="25"/>
      <c r="D182" s="295"/>
      <c r="E182" s="295"/>
      <c r="F182" s="295"/>
      <c r="G182" s="295"/>
      <c r="H182" s="295"/>
      <c r="I182" s="25"/>
      <c r="J182" s="25"/>
      <c r="K182" s="25"/>
      <c r="L182" s="1615"/>
      <c r="M182" s="1615"/>
      <c r="N182" s="1615"/>
      <c r="O182" s="1615"/>
      <c r="P182" s="574"/>
      <c r="Q182" s="575"/>
      <c r="R182" s="576"/>
      <c r="S182" s="576"/>
      <c r="T182" s="576"/>
      <c r="U182" s="579"/>
      <c r="V182" s="579"/>
      <c r="W182" s="577"/>
      <c r="X182" s="577"/>
      <c r="Y182" s="577"/>
      <c r="Z182" s="577"/>
      <c r="AA182" s="503"/>
      <c r="AB182" s="578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</row>
    <row r="183" spans="1:79" ht="15.75">
      <c r="A183" s="25"/>
      <c r="B183" s="25"/>
      <c r="C183" s="25"/>
      <c r="D183" s="295"/>
      <c r="E183" s="295"/>
      <c r="F183" s="295"/>
      <c r="G183" s="295"/>
      <c r="H183" s="295"/>
      <c r="I183" s="25"/>
      <c r="J183" s="25"/>
      <c r="K183" s="25"/>
      <c r="L183" s="1615"/>
      <c r="M183" s="1615"/>
      <c r="N183" s="1615"/>
      <c r="O183" s="1615"/>
      <c r="P183" s="574"/>
      <c r="Q183" s="575"/>
      <c r="R183" s="576"/>
      <c r="S183" s="576"/>
      <c r="T183" s="576"/>
      <c r="U183" s="579"/>
      <c r="V183" s="579"/>
      <c r="W183" s="577"/>
      <c r="X183" s="577"/>
      <c r="Y183" s="577"/>
      <c r="Z183" s="577"/>
      <c r="AA183" s="503"/>
      <c r="AB183" s="578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</row>
    <row r="184" spans="1:79" ht="15.75">
      <c r="A184" s="25"/>
      <c r="B184" s="25"/>
      <c r="C184" s="25"/>
      <c r="D184" s="295"/>
      <c r="E184" s="295"/>
      <c r="F184" s="295"/>
      <c r="G184" s="295"/>
      <c r="H184" s="295"/>
      <c r="I184" s="25"/>
      <c r="J184" s="25"/>
      <c r="K184" s="25"/>
      <c r="L184" s="1615"/>
      <c r="M184" s="1615"/>
      <c r="N184" s="1615"/>
      <c r="O184" s="1615"/>
      <c r="P184" s="574"/>
      <c r="Q184" s="575"/>
      <c r="R184" s="576"/>
      <c r="S184" s="576"/>
      <c r="T184" s="576"/>
      <c r="U184" s="579"/>
      <c r="V184" s="579"/>
      <c r="W184" s="577"/>
      <c r="X184" s="577"/>
      <c r="Y184" s="577"/>
      <c r="Z184" s="577"/>
      <c r="AA184" s="503"/>
      <c r="AB184" s="578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</row>
    <row r="185" spans="1:79" ht="15.75">
      <c r="A185" s="25"/>
      <c r="B185" s="25"/>
      <c r="C185" s="25"/>
      <c r="D185" s="295"/>
      <c r="E185" s="295"/>
      <c r="F185" s="295"/>
      <c r="G185" s="295"/>
      <c r="H185" s="295"/>
      <c r="I185" s="25"/>
      <c r="J185" s="25"/>
      <c r="K185" s="25"/>
      <c r="L185" s="1615"/>
      <c r="M185" s="1615"/>
      <c r="N185" s="1615"/>
      <c r="O185" s="1615"/>
      <c r="P185" s="574"/>
      <c r="Q185" s="575"/>
      <c r="R185" s="576"/>
      <c r="S185" s="576"/>
      <c r="T185" s="576"/>
      <c r="U185" s="579"/>
      <c r="V185" s="579"/>
      <c r="W185" s="577"/>
      <c r="X185" s="577"/>
      <c r="Y185" s="577"/>
      <c r="Z185" s="577"/>
      <c r="AA185" s="503"/>
      <c r="AB185" s="578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</row>
    <row r="186" spans="1:79" ht="15.75">
      <c r="A186" s="25"/>
      <c r="B186" s="25"/>
      <c r="C186" s="25"/>
      <c r="D186" s="295"/>
      <c r="E186" s="295"/>
      <c r="F186" s="295"/>
      <c r="G186" s="295"/>
      <c r="H186" s="295"/>
      <c r="I186" s="25"/>
      <c r="J186" s="25"/>
      <c r="K186" s="25"/>
      <c r="L186" s="1615"/>
      <c r="M186" s="1615"/>
      <c r="N186" s="1615"/>
      <c r="O186" s="1615"/>
      <c r="P186" s="574"/>
      <c r="Q186" s="575"/>
      <c r="R186" s="576"/>
      <c r="S186" s="576"/>
      <c r="T186" s="576"/>
      <c r="U186" s="579"/>
      <c r="V186" s="579"/>
      <c r="W186" s="577"/>
      <c r="X186" s="577"/>
      <c r="Y186" s="577"/>
      <c r="Z186" s="577"/>
      <c r="AA186" s="503"/>
      <c r="AB186" s="578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</row>
    <row r="187" spans="1:79" ht="15.75">
      <c r="A187" s="25"/>
      <c r="B187" s="25"/>
      <c r="C187" s="25"/>
      <c r="D187" s="295"/>
      <c r="E187" s="295"/>
      <c r="F187" s="295"/>
      <c r="G187" s="295"/>
      <c r="H187" s="295"/>
      <c r="I187" s="25"/>
      <c r="J187" s="25"/>
      <c r="K187" s="25"/>
      <c r="L187" s="1615"/>
      <c r="M187" s="1615"/>
      <c r="N187" s="1615"/>
      <c r="O187" s="1615"/>
      <c r="P187" s="574"/>
      <c r="Q187" s="575"/>
      <c r="R187" s="576"/>
      <c r="S187" s="576"/>
      <c r="T187" s="576"/>
      <c r="U187" s="579"/>
      <c r="V187" s="579"/>
      <c r="W187" s="577"/>
      <c r="X187" s="577"/>
      <c r="Y187" s="577"/>
      <c r="Z187" s="577"/>
      <c r="AA187" s="503"/>
      <c r="AB187" s="578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</row>
    <row r="188" spans="1:79" ht="15.75">
      <c r="A188" s="25"/>
      <c r="B188" s="25"/>
      <c r="C188" s="25"/>
      <c r="D188" s="295"/>
      <c r="E188" s="295"/>
      <c r="F188" s="295"/>
      <c r="G188" s="295"/>
      <c r="H188" s="295"/>
      <c r="I188" s="25"/>
      <c r="J188" s="25"/>
      <c r="K188" s="25"/>
      <c r="L188" s="1615"/>
      <c r="M188" s="1615"/>
      <c r="N188" s="1615"/>
      <c r="O188" s="1615"/>
      <c r="P188" s="574"/>
      <c r="Q188" s="575"/>
      <c r="R188" s="576"/>
      <c r="S188" s="576"/>
      <c r="T188" s="576"/>
      <c r="U188" s="579"/>
      <c r="V188" s="579"/>
      <c r="W188" s="577"/>
      <c r="X188" s="577"/>
      <c r="Y188" s="577"/>
      <c r="Z188" s="577"/>
      <c r="AA188" s="503"/>
      <c r="AB188" s="578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</row>
    <row r="189" spans="1:79" ht="15.75">
      <c r="A189" s="25"/>
      <c r="B189" s="25"/>
      <c r="C189" s="25"/>
      <c r="D189" s="295"/>
      <c r="E189" s="295"/>
      <c r="F189" s="295"/>
      <c r="G189" s="295"/>
      <c r="H189" s="295"/>
      <c r="I189" s="25"/>
      <c r="J189" s="25"/>
      <c r="K189" s="25"/>
      <c r="L189" s="1615"/>
      <c r="M189" s="1615"/>
      <c r="N189" s="1615"/>
      <c r="O189" s="1615"/>
      <c r="P189" s="574"/>
      <c r="Q189" s="575"/>
      <c r="R189" s="576"/>
      <c r="S189" s="576"/>
      <c r="T189" s="576"/>
      <c r="U189" s="579"/>
      <c r="V189" s="579"/>
      <c r="W189" s="577"/>
      <c r="X189" s="577"/>
      <c r="Y189" s="577"/>
      <c r="Z189" s="577"/>
      <c r="AA189" s="503"/>
      <c r="AB189" s="578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</row>
    <row r="190" spans="1:79" ht="15.75">
      <c r="A190" s="25"/>
      <c r="B190" s="25"/>
      <c r="C190" s="25"/>
      <c r="D190" s="295"/>
      <c r="E190" s="295"/>
      <c r="F190" s="295"/>
      <c r="G190" s="295"/>
      <c r="H190" s="295"/>
      <c r="I190" s="25"/>
      <c r="J190" s="25"/>
      <c r="K190" s="25"/>
      <c r="L190" s="1615"/>
      <c r="M190" s="1615"/>
      <c r="N190" s="1615"/>
      <c r="O190" s="1615"/>
      <c r="P190" s="574"/>
      <c r="Q190" s="575"/>
      <c r="R190" s="576"/>
      <c r="S190" s="576"/>
      <c r="T190" s="576"/>
      <c r="U190" s="579"/>
      <c r="V190" s="579"/>
      <c r="W190" s="577"/>
      <c r="X190" s="577"/>
      <c r="Y190" s="577"/>
      <c r="Z190" s="577"/>
      <c r="AA190" s="503"/>
      <c r="AB190" s="578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</row>
    <row r="191" spans="1:79" ht="17.25">
      <c r="A191" s="25"/>
      <c r="B191" s="25"/>
      <c r="C191" s="25"/>
      <c r="D191" s="295"/>
      <c r="E191" s="295"/>
      <c r="F191" s="295"/>
      <c r="G191" s="295"/>
      <c r="H191" s="295"/>
      <c r="I191" s="25"/>
      <c r="J191" s="25"/>
      <c r="K191" s="25"/>
      <c r="L191" s="1615"/>
      <c r="M191" s="1615"/>
      <c r="N191" s="1615"/>
      <c r="O191" s="1615"/>
      <c r="P191" s="574"/>
      <c r="Q191" s="575"/>
      <c r="R191" s="576"/>
      <c r="S191" s="576"/>
      <c r="T191" s="576"/>
      <c r="U191" s="579"/>
      <c r="V191" s="579"/>
      <c r="W191" s="577"/>
      <c r="X191" s="577"/>
      <c r="Y191" s="577"/>
      <c r="Z191" s="577"/>
      <c r="AA191" s="503"/>
      <c r="AB191" s="578"/>
      <c r="AC191" s="25"/>
      <c r="AD191" s="25"/>
      <c r="AE191" s="25"/>
      <c r="AF191" s="25"/>
      <c r="AG191" s="25"/>
      <c r="AH191" s="302"/>
      <c r="AI191" s="302"/>
      <c r="AJ191" s="302"/>
      <c r="AK191" s="302"/>
      <c r="AL191" s="302"/>
      <c r="AM191" s="302"/>
      <c r="AN191" s="302"/>
      <c r="AO191" s="302"/>
      <c r="AP191" s="302"/>
      <c r="AQ191" s="302"/>
      <c r="AR191" s="302"/>
      <c r="AS191" s="302"/>
      <c r="AT191" s="302"/>
      <c r="AU191" s="302"/>
      <c r="AV191" s="302"/>
      <c r="AW191" s="302"/>
      <c r="AX191" s="302"/>
      <c r="AY191" s="302"/>
      <c r="AZ191" s="302"/>
      <c r="BA191" s="302"/>
      <c r="BB191" s="302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</row>
    <row r="192" spans="1:79" ht="17.25">
      <c r="A192" s="302"/>
      <c r="B192" s="302"/>
      <c r="C192" s="302"/>
      <c r="D192" s="303"/>
      <c r="E192" s="303"/>
      <c r="F192" s="303"/>
      <c r="G192" s="303"/>
      <c r="H192" s="303"/>
      <c r="I192" s="302"/>
      <c r="J192" s="302"/>
      <c r="K192" s="302"/>
      <c r="L192" s="1615"/>
      <c r="M192" s="1615"/>
      <c r="N192" s="1615"/>
      <c r="O192" s="1615"/>
      <c r="P192" s="574"/>
      <c r="Q192" s="575"/>
      <c r="R192" s="576"/>
      <c r="S192" s="576"/>
      <c r="T192" s="576"/>
      <c r="U192" s="579"/>
      <c r="V192" s="579"/>
      <c r="W192" s="577"/>
      <c r="X192" s="577"/>
      <c r="Y192" s="577"/>
      <c r="Z192" s="577"/>
      <c r="AA192" s="503"/>
      <c r="AB192" s="578"/>
      <c r="AC192" s="302"/>
      <c r="AD192" s="25"/>
      <c r="AE192" s="25"/>
      <c r="AF192" s="25"/>
      <c r="AG192" s="25"/>
      <c r="AH192" s="302"/>
      <c r="AI192" s="302"/>
      <c r="AJ192" s="302"/>
      <c r="AK192" s="302"/>
      <c r="AL192" s="302"/>
      <c r="AM192" s="302"/>
      <c r="AN192" s="302"/>
      <c r="AO192" s="302"/>
      <c r="AP192" s="302"/>
      <c r="AQ192" s="302"/>
      <c r="AR192" s="302"/>
      <c r="AS192" s="302"/>
      <c r="AT192" s="302"/>
      <c r="AU192" s="302"/>
      <c r="AV192" s="302"/>
      <c r="AW192" s="302"/>
      <c r="AX192" s="302"/>
      <c r="AY192" s="302"/>
      <c r="AZ192" s="302"/>
      <c r="BA192" s="302"/>
      <c r="BB192" s="302"/>
      <c r="BC192" s="25"/>
      <c r="BD192" s="25"/>
      <c r="BE192" s="25"/>
      <c r="BF192" s="25"/>
      <c r="BG192" s="25"/>
      <c r="BH192" s="25"/>
      <c r="BI192" s="25"/>
      <c r="BJ192" s="25"/>
      <c r="BK192" s="25"/>
      <c r="BL192" s="302"/>
      <c r="BM192" s="302"/>
      <c r="BN192" s="302"/>
      <c r="BO192" s="302"/>
      <c r="BP192" s="302"/>
      <c r="BQ192" s="302"/>
      <c r="BR192" s="302"/>
      <c r="BS192" s="302"/>
      <c r="BT192" s="302"/>
      <c r="BU192" s="302"/>
      <c r="BV192" s="302"/>
      <c r="BW192" s="302"/>
      <c r="BX192" s="302"/>
      <c r="BY192" s="302"/>
      <c r="BZ192" s="302"/>
      <c r="CA192" s="302"/>
    </row>
    <row r="193" spans="1:79" ht="17.25">
      <c r="A193" s="302"/>
      <c r="B193" s="302"/>
      <c r="C193" s="302"/>
      <c r="D193" s="303"/>
      <c r="E193" s="303"/>
      <c r="F193" s="303"/>
      <c r="G193" s="303"/>
      <c r="H193" s="303"/>
      <c r="I193" s="302"/>
      <c r="J193" s="302"/>
      <c r="K193" s="302"/>
      <c r="L193" s="1615"/>
      <c r="M193" s="1615"/>
      <c r="N193" s="1615"/>
      <c r="O193" s="1615"/>
      <c r="P193" s="574"/>
      <c r="Q193" s="575"/>
      <c r="R193" s="576"/>
      <c r="S193" s="576"/>
      <c r="T193" s="576"/>
      <c r="U193" s="579"/>
      <c r="V193" s="579"/>
      <c r="W193" s="577"/>
      <c r="X193" s="577"/>
      <c r="Y193" s="577"/>
      <c r="Z193" s="577"/>
      <c r="AA193" s="503"/>
      <c r="AB193" s="578"/>
      <c r="AC193" s="302"/>
      <c r="AD193" s="25"/>
      <c r="AE193" s="25"/>
      <c r="AF193" s="25"/>
      <c r="AG193" s="25"/>
      <c r="AH193" s="302"/>
      <c r="AI193" s="302"/>
      <c r="AJ193" s="302"/>
      <c r="AK193" s="302"/>
      <c r="AL193" s="302"/>
      <c r="AM193" s="302"/>
      <c r="AN193" s="302"/>
      <c r="AO193" s="302"/>
      <c r="AP193" s="302"/>
      <c r="AQ193" s="302"/>
      <c r="AR193" s="302"/>
      <c r="AS193" s="302"/>
      <c r="AT193" s="302"/>
      <c r="AU193" s="302"/>
      <c r="AV193" s="302"/>
      <c r="AW193" s="302"/>
      <c r="AX193" s="302"/>
      <c r="AY193" s="302"/>
      <c r="AZ193" s="302"/>
      <c r="BA193" s="302"/>
      <c r="BB193" s="302"/>
      <c r="BC193" s="25"/>
      <c r="BD193" s="25"/>
      <c r="BE193" s="25"/>
      <c r="BF193" s="25"/>
      <c r="BG193" s="25"/>
      <c r="BH193" s="25"/>
      <c r="BI193" s="25"/>
      <c r="BJ193" s="25"/>
      <c r="BK193" s="25"/>
      <c r="BL193" s="302"/>
      <c r="BM193" s="302"/>
      <c r="BN193" s="302"/>
      <c r="BO193" s="302"/>
      <c r="BP193" s="302"/>
      <c r="BQ193" s="302"/>
      <c r="BR193" s="302"/>
      <c r="BS193" s="302"/>
      <c r="BT193" s="302"/>
      <c r="BU193" s="302"/>
      <c r="BV193" s="302"/>
      <c r="BW193" s="302"/>
      <c r="BX193" s="302"/>
      <c r="BY193" s="302"/>
      <c r="BZ193" s="302"/>
      <c r="CA193" s="302"/>
    </row>
    <row r="194" spans="1:79" ht="17.25">
      <c r="A194" s="302"/>
      <c r="B194" s="302"/>
      <c r="C194" s="302"/>
      <c r="D194" s="303"/>
      <c r="E194" s="303"/>
      <c r="F194" s="303"/>
      <c r="G194" s="303"/>
      <c r="H194" s="303"/>
      <c r="I194" s="302"/>
      <c r="J194" s="302"/>
      <c r="K194" s="302"/>
      <c r="L194" s="1615"/>
      <c r="M194" s="1615"/>
      <c r="N194" s="1615"/>
      <c r="O194" s="1615"/>
      <c r="P194" s="574"/>
      <c r="Q194" s="575"/>
      <c r="R194" s="576"/>
      <c r="S194" s="576"/>
      <c r="T194" s="576"/>
      <c r="U194" s="579"/>
      <c r="V194" s="579"/>
      <c r="W194" s="577"/>
      <c r="X194" s="577"/>
      <c r="Y194" s="577"/>
      <c r="Z194" s="577"/>
      <c r="AA194" s="503"/>
      <c r="AB194" s="578"/>
      <c r="AC194" s="302"/>
      <c r="AD194" s="25"/>
      <c r="AE194" s="25"/>
      <c r="AF194" s="25"/>
      <c r="AG194" s="25"/>
      <c r="AH194" s="302"/>
      <c r="AI194" s="302"/>
      <c r="AJ194" s="302"/>
      <c r="AK194" s="302"/>
      <c r="AL194" s="302"/>
      <c r="AM194" s="302"/>
      <c r="AN194" s="302"/>
      <c r="AO194" s="302"/>
      <c r="AP194" s="302"/>
      <c r="AQ194" s="302"/>
      <c r="AR194" s="302"/>
      <c r="AS194" s="302"/>
      <c r="AT194" s="302"/>
      <c r="AU194" s="302"/>
      <c r="AV194" s="302"/>
      <c r="AW194" s="302"/>
      <c r="AX194" s="302"/>
      <c r="AY194" s="302"/>
      <c r="AZ194" s="302"/>
      <c r="BA194" s="302"/>
      <c r="BB194" s="302"/>
      <c r="BC194" s="25"/>
      <c r="BD194" s="25"/>
      <c r="BE194" s="25"/>
      <c r="BF194" s="25"/>
      <c r="BG194" s="25"/>
      <c r="BH194" s="25"/>
      <c r="BI194" s="25"/>
      <c r="BJ194" s="25"/>
      <c r="BK194" s="25"/>
      <c r="BL194" s="302"/>
      <c r="BM194" s="302"/>
      <c r="BN194" s="302"/>
      <c r="BO194" s="302"/>
      <c r="BP194" s="302"/>
      <c r="BQ194" s="302"/>
      <c r="BR194" s="302"/>
      <c r="BS194" s="302"/>
      <c r="BT194" s="302"/>
      <c r="BU194" s="302"/>
      <c r="BV194" s="302"/>
      <c r="BW194" s="302"/>
      <c r="BX194" s="302"/>
      <c r="BY194" s="302"/>
      <c r="BZ194" s="302"/>
      <c r="CA194" s="302"/>
    </row>
    <row r="195" spans="1:79" ht="17.25">
      <c r="A195" s="302"/>
      <c r="B195" s="302"/>
      <c r="C195" s="302"/>
      <c r="D195" s="303"/>
      <c r="E195" s="303"/>
      <c r="F195" s="303"/>
      <c r="G195" s="303"/>
      <c r="H195" s="303"/>
      <c r="I195" s="302"/>
      <c r="J195" s="302"/>
      <c r="K195" s="302"/>
      <c r="L195" s="1615"/>
      <c r="M195" s="1615"/>
      <c r="N195" s="1615"/>
      <c r="O195" s="1615"/>
      <c r="P195" s="574"/>
      <c r="Q195" s="575"/>
      <c r="R195" s="576"/>
      <c r="S195" s="576"/>
      <c r="T195" s="576"/>
      <c r="U195" s="579"/>
      <c r="V195" s="579"/>
      <c r="W195" s="577"/>
      <c r="X195" s="577"/>
      <c r="Y195" s="577"/>
      <c r="Z195" s="577"/>
      <c r="AA195" s="503"/>
      <c r="AB195" s="578"/>
      <c r="AC195" s="302"/>
      <c r="AD195" s="25"/>
      <c r="AE195" s="25"/>
      <c r="AF195" s="25"/>
      <c r="AG195" s="25"/>
      <c r="AH195" s="302"/>
      <c r="AI195" s="302"/>
      <c r="AJ195" s="302"/>
      <c r="AK195" s="302"/>
      <c r="AL195" s="302"/>
      <c r="AM195" s="302"/>
      <c r="AN195" s="302"/>
      <c r="AO195" s="302"/>
      <c r="AP195" s="302"/>
      <c r="AQ195" s="302"/>
      <c r="AR195" s="302"/>
      <c r="AS195" s="302"/>
      <c r="AT195" s="302"/>
      <c r="AU195" s="302"/>
      <c r="AV195" s="302"/>
      <c r="AW195" s="302"/>
      <c r="AX195" s="302"/>
      <c r="AY195" s="302"/>
      <c r="AZ195" s="302"/>
      <c r="BA195" s="302"/>
      <c r="BB195" s="302"/>
      <c r="BC195" s="302"/>
      <c r="BD195" s="302"/>
      <c r="BE195" s="302"/>
      <c r="BF195" s="302"/>
      <c r="BG195" s="302"/>
      <c r="BH195" s="302"/>
      <c r="BI195" s="302"/>
      <c r="BJ195" s="302"/>
      <c r="BK195" s="302"/>
      <c r="BL195" s="302"/>
      <c r="BM195" s="302"/>
      <c r="BN195" s="302"/>
      <c r="BO195" s="302"/>
      <c r="BP195" s="302"/>
      <c r="BQ195" s="302"/>
      <c r="BR195" s="302"/>
      <c r="BS195" s="302"/>
      <c r="BT195" s="302"/>
      <c r="BU195" s="302"/>
      <c r="BV195" s="302"/>
      <c r="BW195" s="302"/>
      <c r="BX195" s="302"/>
      <c r="BY195" s="302"/>
      <c r="BZ195" s="302"/>
      <c r="CA195" s="302"/>
    </row>
    <row r="196" spans="1:79" ht="17.25">
      <c r="A196" s="302"/>
      <c r="B196" s="302"/>
      <c r="C196" s="302"/>
      <c r="D196" s="303"/>
      <c r="E196" s="303"/>
      <c r="F196" s="303"/>
      <c r="G196" s="303"/>
      <c r="H196" s="303"/>
      <c r="I196" s="302"/>
      <c r="J196" s="302"/>
      <c r="K196" s="302"/>
      <c r="L196" s="1615"/>
      <c r="M196" s="1615"/>
      <c r="N196" s="1615"/>
      <c r="O196" s="1615"/>
      <c r="P196" s="574"/>
      <c r="Q196" s="575"/>
      <c r="R196" s="576"/>
      <c r="S196" s="576"/>
      <c r="T196" s="576"/>
      <c r="U196" s="579"/>
      <c r="V196" s="579"/>
      <c r="W196" s="577"/>
      <c r="X196" s="577"/>
      <c r="Y196" s="577"/>
      <c r="Z196" s="577"/>
      <c r="AA196" s="503"/>
      <c r="AB196" s="578"/>
      <c r="AC196" s="302"/>
      <c r="AD196" s="25"/>
      <c r="AE196" s="25"/>
      <c r="AF196" s="25"/>
      <c r="AG196" s="25"/>
      <c r="AH196" s="302"/>
      <c r="AI196" s="302"/>
      <c r="AJ196" s="302"/>
      <c r="AK196" s="302"/>
      <c r="AL196" s="302"/>
      <c r="AM196" s="302"/>
      <c r="AN196" s="302"/>
      <c r="AO196" s="302"/>
      <c r="AP196" s="302"/>
      <c r="AQ196" s="302"/>
      <c r="AR196" s="302"/>
      <c r="AS196" s="302"/>
      <c r="AT196" s="302"/>
      <c r="AU196" s="302"/>
      <c r="AV196" s="302"/>
      <c r="AW196" s="302"/>
      <c r="AX196" s="302"/>
      <c r="AY196" s="302"/>
      <c r="AZ196" s="302"/>
      <c r="BA196" s="302"/>
      <c r="BB196" s="302"/>
      <c r="BC196" s="302"/>
      <c r="BD196" s="302"/>
      <c r="BE196" s="302"/>
      <c r="BF196" s="302"/>
      <c r="BG196" s="302"/>
      <c r="BH196" s="302"/>
      <c r="BI196" s="302"/>
      <c r="BJ196" s="302"/>
      <c r="BK196" s="302"/>
      <c r="BL196" s="302"/>
      <c r="BM196" s="302"/>
      <c r="BN196" s="302"/>
      <c r="BO196" s="302"/>
      <c r="BP196" s="302"/>
      <c r="BQ196" s="302"/>
      <c r="BR196" s="302"/>
      <c r="BS196" s="302"/>
      <c r="BT196" s="302"/>
      <c r="BU196" s="302"/>
      <c r="BV196" s="302"/>
      <c r="BW196" s="302"/>
      <c r="BX196" s="302"/>
      <c r="BY196" s="302"/>
      <c r="BZ196" s="302"/>
      <c r="CA196" s="302"/>
    </row>
    <row r="197" spans="1:79" ht="17.25">
      <c r="A197" s="302"/>
      <c r="B197" s="302"/>
      <c r="C197" s="302"/>
      <c r="D197" s="303"/>
      <c r="E197" s="303"/>
      <c r="F197" s="303"/>
      <c r="G197" s="303"/>
      <c r="H197" s="303"/>
      <c r="I197" s="302"/>
      <c r="J197" s="302"/>
      <c r="K197" s="302"/>
      <c r="L197" s="1615"/>
      <c r="M197" s="1615"/>
      <c r="N197" s="1615"/>
      <c r="O197" s="1615"/>
      <c r="P197" s="574"/>
      <c r="Q197" s="575"/>
      <c r="R197" s="576"/>
      <c r="S197" s="576"/>
      <c r="T197" s="576"/>
      <c r="U197" s="579"/>
      <c r="V197" s="579"/>
      <c r="W197" s="577"/>
      <c r="X197" s="577"/>
      <c r="Y197" s="577"/>
      <c r="Z197" s="577"/>
      <c r="AA197" s="503"/>
      <c r="AB197" s="578"/>
      <c r="AC197" s="302"/>
      <c r="AD197" s="25"/>
      <c r="AE197" s="25"/>
      <c r="AF197" s="25"/>
      <c r="AG197" s="25"/>
      <c r="AH197" s="302"/>
      <c r="AI197" s="302"/>
      <c r="AJ197" s="302"/>
      <c r="AK197" s="302"/>
      <c r="AL197" s="302"/>
      <c r="AM197" s="302"/>
      <c r="AN197" s="302"/>
      <c r="AO197" s="302"/>
      <c r="AP197" s="302"/>
      <c r="AQ197" s="302"/>
      <c r="AR197" s="302"/>
      <c r="AS197" s="302"/>
      <c r="AT197" s="302"/>
      <c r="AU197" s="302"/>
      <c r="AV197" s="302"/>
      <c r="AW197" s="302"/>
      <c r="AX197" s="302"/>
      <c r="AY197" s="302"/>
      <c r="AZ197" s="302"/>
      <c r="BA197" s="302"/>
      <c r="BB197" s="302"/>
      <c r="BC197" s="302"/>
      <c r="BD197" s="302"/>
      <c r="BE197" s="302"/>
      <c r="BF197" s="302"/>
      <c r="BG197" s="302"/>
      <c r="BH197" s="302"/>
      <c r="BI197" s="302"/>
      <c r="BJ197" s="302"/>
      <c r="BK197" s="302"/>
      <c r="BL197" s="302"/>
      <c r="BM197" s="302"/>
      <c r="BN197" s="302"/>
      <c r="BO197" s="302"/>
      <c r="BP197" s="302"/>
      <c r="BQ197" s="302"/>
      <c r="BR197" s="302"/>
      <c r="BS197" s="302"/>
      <c r="BT197" s="302"/>
      <c r="BU197" s="302"/>
      <c r="BV197" s="302"/>
      <c r="BW197" s="302"/>
      <c r="BX197" s="302"/>
      <c r="BY197" s="302"/>
      <c r="BZ197" s="302"/>
      <c r="CA197" s="302"/>
    </row>
    <row r="198" spans="1:79" ht="17.25">
      <c r="A198" s="302"/>
      <c r="B198" s="302"/>
      <c r="C198" s="302"/>
      <c r="D198" s="303"/>
      <c r="E198" s="303"/>
      <c r="F198" s="303"/>
      <c r="G198" s="303"/>
      <c r="H198" s="303"/>
      <c r="I198" s="302"/>
      <c r="J198" s="302"/>
      <c r="K198" s="302"/>
      <c r="L198" s="1615"/>
      <c r="M198" s="1615"/>
      <c r="N198" s="1615"/>
      <c r="O198" s="1615"/>
      <c r="P198" s="574"/>
      <c r="Q198" s="575"/>
      <c r="R198" s="576"/>
      <c r="S198" s="576"/>
      <c r="T198" s="576"/>
      <c r="U198" s="579"/>
      <c r="V198" s="579"/>
      <c r="W198" s="577"/>
      <c r="X198" s="577"/>
      <c r="Y198" s="577"/>
      <c r="Z198" s="577"/>
      <c r="AA198" s="503"/>
      <c r="AB198" s="578"/>
      <c r="AC198" s="302"/>
      <c r="AD198" s="25"/>
      <c r="AE198" s="25"/>
      <c r="AF198" s="25"/>
      <c r="AG198" s="25"/>
      <c r="AH198" s="302"/>
      <c r="AI198" s="302"/>
      <c r="AJ198" s="302"/>
      <c r="AK198" s="302"/>
      <c r="AL198" s="302"/>
      <c r="AM198" s="302"/>
      <c r="AN198" s="302"/>
      <c r="AO198" s="302"/>
      <c r="AP198" s="302"/>
      <c r="AQ198" s="302"/>
      <c r="AR198" s="302"/>
      <c r="AS198" s="302"/>
      <c r="AT198" s="302"/>
      <c r="AU198" s="302"/>
      <c r="AV198" s="302"/>
      <c r="AW198" s="302"/>
      <c r="AX198" s="302"/>
      <c r="AY198" s="302"/>
      <c r="AZ198" s="302"/>
      <c r="BA198" s="302"/>
      <c r="BB198" s="302"/>
      <c r="BC198" s="302"/>
      <c r="BD198" s="302"/>
      <c r="BE198" s="302"/>
      <c r="BF198" s="302"/>
      <c r="BG198" s="302"/>
      <c r="BH198" s="302"/>
      <c r="BI198" s="302"/>
      <c r="BJ198" s="302"/>
      <c r="BK198" s="302"/>
      <c r="BL198" s="302"/>
      <c r="BM198" s="302"/>
      <c r="BN198" s="302"/>
      <c r="BO198" s="302"/>
      <c r="BP198" s="302"/>
      <c r="BQ198" s="302"/>
      <c r="BR198" s="302"/>
      <c r="BS198" s="302"/>
      <c r="BT198" s="302"/>
      <c r="BU198" s="302"/>
      <c r="BV198" s="302"/>
      <c r="BW198" s="302"/>
      <c r="BX198" s="302"/>
      <c r="BY198" s="302"/>
      <c r="BZ198" s="302"/>
      <c r="CA198" s="302"/>
    </row>
    <row r="199" spans="1:79" ht="17.25">
      <c r="A199" s="302"/>
      <c r="B199" s="302"/>
      <c r="C199" s="302"/>
      <c r="D199" s="303"/>
      <c r="E199" s="303"/>
      <c r="F199" s="303"/>
      <c r="G199" s="303"/>
      <c r="H199" s="303"/>
      <c r="I199" s="302"/>
      <c r="J199" s="302"/>
      <c r="K199" s="302"/>
      <c r="L199" s="1615"/>
      <c r="M199" s="1615"/>
      <c r="N199" s="1615"/>
      <c r="O199" s="1615"/>
      <c r="P199" s="574"/>
      <c r="Q199" s="575"/>
      <c r="R199" s="576"/>
      <c r="S199" s="576"/>
      <c r="T199" s="576"/>
      <c r="U199" s="579"/>
      <c r="V199" s="579"/>
      <c r="W199" s="577"/>
      <c r="X199" s="577"/>
      <c r="Y199" s="577"/>
      <c r="Z199" s="577"/>
      <c r="AA199" s="503"/>
      <c r="AB199" s="578"/>
      <c r="AC199" s="302"/>
      <c r="AD199" s="25"/>
      <c r="AE199" s="25"/>
      <c r="AF199" s="25"/>
      <c r="AG199" s="25"/>
      <c r="AH199" s="302"/>
      <c r="AI199" s="302"/>
      <c r="AJ199" s="302"/>
      <c r="AK199" s="302"/>
      <c r="AL199" s="302"/>
      <c r="AM199" s="302"/>
      <c r="AN199" s="302"/>
      <c r="AO199" s="302"/>
      <c r="AP199" s="302"/>
      <c r="AQ199" s="302"/>
      <c r="AR199" s="302"/>
      <c r="AS199" s="302"/>
      <c r="AT199" s="302"/>
      <c r="AU199" s="302"/>
      <c r="AV199" s="302"/>
      <c r="AW199" s="302"/>
      <c r="AX199" s="302"/>
      <c r="AY199" s="302"/>
      <c r="AZ199" s="302"/>
      <c r="BA199" s="302"/>
      <c r="BB199" s="302"/>
      <c r="BC199" s="302"/>
      <c r="BD199" s="302"/>
      <c r="BE199" s="302"/>
      <c r="BF199" s="302"/>
      <c r="BG199" s="302"/>
      <c r="BH199" s="302"/>
      <c r="BI199" s="302"/>
      <c r="BJ199" s="302"/>
      <c r="BK199" s="302"/>
      <c r="BL199" s="302"/>
      <c r="BM199" s="302"/>
      <c r="BN199" s="302"/>
      <c r="BO199" s="302"/>
      <c r="BP199" s="302"/>
      <c r="BQ199" s="302"/>
      <c r="BR199" s="302"/>
      <c r="BS199" s="302"/>
      <c r="BT199" s="302"/>
      <c r="BU199" s="302"/>
      <c r="BV199" s="302"/>
      <c r="BW199" s="302"/>
      <c r="BX199" s="302"/>
      <c r="BY199" s="302"/>
      <c r="BZ199" s="302"/>
      <c r="CA199" s="302"/>
    </row>
    <row r="200" spans="1:79" ht="17.25">
      <c r="A200" s="302"/>
      <c r="B200" s="302"/>
      <c r="C200" s="302"/>
      <c r="D200" s="303"/>
      <c r="E200" s="303"/>
      <c r="F200" s="303"/>
      <c r="G200" s="303"/>
      <c r="H200" s="303"/>
      <c r="I200" s="302"/>
      <c r="J200" s="302"/>
      <c r="K200" s="302"/>
      <c r="L200" s="1615"/>
      <c r="M200" s="1615"/>
      <c r="N200" s="1615"/>
      <c r="O200" s="1615"/>
      <c r="P200" s="574"/>
      <c r="Q200" s="575"/>
      <c r="R200" s="576"/>
      <c r="S200" s="576"/>
      <c r="T200" s="576"/>
      <c r="U200" s="579"/>
      <c r="V200" s="579"/>
      <c r="W200" s="577"/>
      <c r="X200" s="577"/>
      <c r="Y200" s="577"/>
      <c r="Z200" s="577"/>
      <c r="AA200" s="503"/>
      <c r="AB200" s="578"/>
      <c r="AC200" s="302"/>
      <c r="AD200" s="25"/>
      <c r="AE200" s="25"/>
      <c r="AF200" s="25"/>
      <c r="AG200" s="25"/>
      <c r="AH200" s="302"/>
      <c r="AI200" s="302"/>
      <c r="AJ200" s="302"/>
      <c r="AK200" s="302"/>
      <c r="AL200" s="302"/>
      <c r="AM200" s="302"/>
      <c r="AN200" s="302"/>
      <c r="AO200" s="302"/>
      <c r="AP200" s="302"/>
      <c r="AQ200" s="302"/>
      <c r="AR200" s="302"/>
      <c r="AS200" s="302"/>
      <c r="AT200" s="302"/>
      <c r="AU200" s="302"/>
      <c r="AV200" s="302"/>
      <c r="AW200" s="302"/>
      <c r="AX200" s="302"/>
      <c r="AY200" s="302"/>
      <c r="AZ200" s="302"/>
      <c r="BA200" s="302"/>
      <c r="BB200" s="302"/>
      <c r="BC200" s="302"/>
      <c r="BD200" s="302"/>
      <c r="BE200" s="302"/>
      <c r="BF200" s="302"/>
      <c r="BG200" s="302"/>
      <c r="BH200" s="302"/>
      <c r="BI200" s="302"/>
      <c r="BJ200" s="302"/>
      <c r="BK200" s="302"/>
      <c r="BL200" s="302"/>
      <c r="BM200" s="302"/>
      <c r="BN200" s="302"/>
      <c r="BO200" s="302"/>
      <c r="BP200" s="302"/>
      <c r="BQ200" s="302"/>
      <c r="BR200" s="302"/>
      <c r="BS200" s="302"/>
      <c r="BT200" s="302"/>
      <c r="BU200" s="302"/>
      <c r="BV200" s="302"/>
      <c r="BW200" s="302"/>
      <c r="BX200" s="302"/>
      <c r="BY200" s="302"/>
      <c r="BZ200" s="302"/>
      <c r="CA200" s="302"/>
    </row>
    <row r="201" spans="1:79" ht="17.25">
      <c r="A201" s="302"/>
      <c r="B201" s="302"/>
      <c r="C201" s="302"/>
      <c r="D201" s="303"/>
      <c r="E201" s="303"/>
      <c r="F201" s="303"/>
      <c r="G201" s="303"/>
      <c r="H201" s="303"/>
      <c r="I201" s="302"/>
      <c r="J201" s="302"/>
      <c r="K201" s="302"/>
      <c r="L201" s="1615"/>
      <c r="M201" s="1615"/>
      <c r="N201" s="1615"/>
      <c r="O201" s="1615"/>
      <c r="P201" s="574"/>
      <c r="Q201" s="575"/>
      <c r="R201" s="576"/>
      <c r="S201" s="576"/>
      <c r="T201" s="576"/>
      <c r="U201" s="579"/>
      <c r="V201" s="579"/>
      <c r="W201" s="577"/>
      <c r="X201" s="577"/>
      <c r="Y201" s="577"/>
      <c r="Z201" s="577"/>
      <c r="AA201" s="503"/>
      <c r="AB201" s="578"/>
      <c r="AC201" s="302"/>
      <c r="AD201" s="25"/>
      <c r="AE201" s="25"/>
      <c r="AF201" s="25"/>
      <c r="AG201" s="25"/>
      <c r="AH201" s="302"/>
      <c r="AI201" s="302"/>
      <c r="AJ201" s="302"/>
      <c r="AK201" s="302"/>
      <c r="AL201" s="302"/>
      <c r="AM201" s="302"/>
      <c r="AN201" s="302"/>
      <c r="AO201" s="302"/>
      <c r="AP201" s="302"/>
      <c r="AQ201" s="302"/>
      <c r="AR201" s="302"/>
      <c r="AS201" s="302"/>
      <c r="AT201" s="302"/>
      <c r="AU201" s="302"/>
      <c r="AV201" s="302"/>
      <c r="AW201" s="302"/>
      <c r="AX201" s="302"/>
      <c r="AY201" s="302"/>
      <c r="AZ201" s="302"/>
      <c r="BA201" s="302"/>
      <c r="BB201" s="302"/>
      <c r="BC201" s="302"/>
      <c r="BD201" s="302"/>
      <c r="BE201" s="302"/>
      <c r="BF201" s="302"/>
      <c r="BG201" s="302"/>
      <c r="BH201" s="302"/>
      <c r="BI201" s="302"/>
      <c r="BJ201" s="302"/>
      <c r="BK201" s="302"/>
      <c r="BL201" s="302"/>
      <c r="BM201" s="302"/>
      <c r="BN201" s="302"/>
      <c r="BO201" s="302"/>
      <c r="BP201" s="302"/>
      <c r="BQ201" s="302"/>
      <c r="BR201" s="302"/>
      <c r="BS201" s="302"/>
      <c r="BT201" s="302"/>
      <c r="BU201" s="302"/>
      <c r="BV201" s="302"/>
      <c r="BW201" s="302"/>
      <c r="BX201" s="302"/>
      <c r="BY201" s="302"/>
      <c r="BZ201" s="302"/>
      <c r="CA201" s="302"/>
    </row>
    <row r="202" spans="1:79" ht="17.25">
      <c r="A202" s="302"/>
      <c r="B202" s="302"/>
      <c r="C202" s="302"/>
      <c r="D202" s="303"/>
      <c r="E202" s="303"/>
      <c r="F202" s="303"/>
      <c r="G202" s="303"/>
      <c r="H202" s="303"/>
      <c r="I202" s="302"/>
      <c r="J202" s="302"/>
      <c r="K202" s="302"/>
      <c r="L202" s="1615"/>
      <c r="M202" s="1615"/>
      <c r="N202" s="1615"/>
      <c r="O202" s="1615"/>
      <c r="P202" s="574"/>
      <c r="Q202" s="575"/>
      <c r="R202" s="576"/>
      <c r="S202" s="576"/>
      <c r="T202" s="576"/>
      <c r="U202" s="579"/>
      <c r="V202" s="579"/>
      <c r="W202" s="577"/>
      <c r="X202" s="577"/>
      <c r="Y202" s="577"/>
      <c r="Z202" s="577"/>
      <c r="AA202" s="503"/>
      <c r="AB202" s="578"/>
      <c r="AC202" s="302"/>
      <c r="AD202" s="25"/>
      <c r="AE202" s="25"/>
      <c r="AF202" s="25"/>
      <c r="AG202" s="25"/>
      <c r="AH202" s="302"/>
      <c r="AI202" s="302"/>
      <c r="AJ202" s="302"/>
      <c r="AK202" s="302"/>
      <c r="AL202" s="302"/>
      <c r="AM202" s="302"/>
      <c r="AN202" s="302"/>
      <c r="AO202" s="302"/>
      <c r="AP202" s="302"/>
      <c r="AQ202" s="302"/>
      <c r="AR202" s="302"/>
      <c r="AS202" s="302"/>
      <c r="AT202" s="302"/>
      <c r="AU202" s="302"/>
      <c r="AV202" s="302"/>
      <c r="AW202" s="302"/>
      <c r="AX202" s="302"/>
      <c r="AY202" s="302"/>
      <c r="AZ202" s="302"/>
      <c r="BA202" s="302"/>
      <c r="BB202" s="302"/>
      <c r="BC202" s="302"/>
      <c r="BD202" s="302"/>
      <c r="BE202" s="302"/>
      <c r="BF202" s="302"/>
      <c r="BG202" s="302"/>
      <c r="BH202" s="302"/>
      <c r="BI202" s="302"/>
      <c r="BJ202" s="302"/>
      <c r="BK202" s="302"/>
      <c r="BL202" s="302"/>
      <c r="BM202" s="302"/>
      <c r="BN202" s="302"/>
      <c r="BO202" s="302"/>
      <c r="BP202" s="302"/>
      <c r="BQ202" s="302"/>
      <c r="BR202" s="302"/>
      <c r="BS202" s="302"/>
      <c r="BT202" s="302"/>
      <c r="BU202" s="302"/>
      <c r="BV202" s="302"/>
      <c r="BW202" s="302"/>
      <c r="BX202" s="302"/>
      <c r="BY202" s="302"/>
      <c r="BZ202" s="302"/>
      <c r="CA202" s="302"/>
    </row>
    <row r="203" spans="1:79" ht="17.25">
      <c r="A203" s="302"/>
      <c r="B203" s="302"/>
      <c r="C203" s="302"/>
      <c r="D203" s="303"/>
      <c r="E203" s="303"/>
      <c r="F203" s="303"/>
      <c r="G203" s="303"/>
      <c r="H203" s="303"/>
      <c r="I203" s="302"/>
      <c r="J203" s="302"/>
      <c r="K203" s="302"/>
      <c r="L203" s="1615"/>
      <c r="M203" s="1615"/>
      <c r="N203" s="1615"/>
      <c r="O203" s="1615"/>
      <c r="P203" s="574"/>
      <c r="Q203" s="575"/>
      <c r="R203" s="576"/>
      <c r="S203" s="576"/>
      <c r="T203" s="576"/>
      <c r="U203" s="579"/>
      <c r="V203" s="579"/>
      <c r="W203" s="577"/>
      <c r="X203" s="577"/>
      <c r="Y203" s="577"/>
      <c r="Z203" s="577"/>
      <c r="AA203" s="503"/>
      <c r="AB203" s="578"/>
      <c r="AC203" s="302"/>
      <c r="AD203" s="25"/>
      <c r="AE203" s="25"/>
      <c r="AF203" s="25"/>
      <c r="AG203" s="25"/>
      <c r="AH203" s="302"/>
      <c r="AI203" s="302"/>
      <c r="AJ203" s="302"/>
      <c r="AK203" s="302"/>
      <c r="AL203" s="302"/>
      <c r="AM203" s="302"/>
      <c r="AN203" s="302"/>
      <c r="AO203" s="302"/>
      <c r="AP203" s="302"/>
      <c r="AQ203" s="302"/>
      <c r="AR203" s="302"/>
      <c r="AS203" s="302"/>
      <c r="AT203" s="302"/>
      <c r="AU203" s="302"/>
      <c r="AV203" s="302"/>
      <c r="AW203" s="302"/>
      <c r="AX203" s="302"/>
      <c r="AY203" s="302"/>
      <c r="AZ203" s="302"/>
      <c r="BA203" s="302"/>
      <c r="BB203" s="302"/>
      <c r="BC203" s="302"/>
      <c r="BD203" s="302"/>
      <c r="BE203" s="302"/>
      <c r="BF203" s="302"/>
      <c r="BG203" s="302"/>
      <c r="BH203" s="302"/>
      <c r="BI203" s="302"/>
      <c r="BJ203" s="302"/>
      <c r="BK203" s="302"/>
      <c r="BL203" s="302"/>
      <c r="BM203" s="302"/>
      <c r="BN203" s="302"/>
      <c r="BO203" s="302"/>
      <c r="BP203" s="302"/>
      <c r="BQ203" s="302"/>
      <c r="BR203" s="302"/>
      <c r="BS203" s="302"/>
      <c r="BT203" s="302"/>
      <c r="BU203" s="302"/>
      <c r="BV203" s="302"/>
      <c r="BW203" s="302"/>
      <c r="BX203" s="302"/>
      <c r="BY203" s="302"/>
      <c r="BZ203" s="302"/>
      <c r="CA203" s="302"/>
    </row>
    <row r="204" spans="1:79" ht="17.25">
      <c r="A204" s="302"/>
      <c r="B204" s="302"/>
      <c r="C204" s="302"/>
      <c r="D204" s="303"/>
      <c r="E204" s="303"/>
      <c r="F204" s="303"/>
      <c r="G204" s="303"/>
      <c r="H204" s="303"/>
      <c r="I204" s="302"/>
      <c r="J204" s="302"/>
      <c r="K204" s="302"/>
      <c r="L204" s="1615"/>
      <c r="M204" s="1615"/>
      <c r="N204" s="1615"/>
      <c r="O204" s="1615"/>
      <c r="P204" s="574"/>
      <c r="Q204" s="575"/>
      <c r="R204" s="576"/>
      <c r="S204" s="576"/>
      <c r="T204" s="576"/>
      <c r="U204" s="579"/>
      <c r="V204" s="579"/>
      <c r="W204" s="577"/>
      <c r="X204" s="577"/>
      <c r="Y204" s="577"/>
      <c r="Z204" s="577"/>
      <c r="AA204" s="503"/>
      <c r="AB204" s="578"/>
      <c r="AC204" s="302"/>
      <c r="AD204" s="25"/>
      <c r="AE204" s="25"/>
      <c r="AF204" s="25"/>
      <c r="AG204" s="25"/>
      <c r="AH204" s="302"/>
      <c r="AI204" s="302"/>
      <c r="AJ204" s="302"/>
      <c r="AK204" s="302"/>
      <c r="AL204" s="302"/>
      <c r="AM204" s="302"/>
      <c r="AN204" s="302"/>
      <c r="AO204" s="302"/>
      <c r="AP204" s="302"/>
      <c r="AQ204" s="302"/>
      <c r="AR204" s="302"/>
      <c r="AS204" s="302"/>
      <c r="AT204" s="302"/>
      <c r="AU204" s="302"/>
      <c r="AV204" s="302"/>
      <c r="AW204" s="302"/>
      <c r="AX204" s="302"/>
      <c r="AY204" s="302"/>
      <c r="AZ204" s="302"/>
      <c r="BA204" s="302"/>
      <c r="BB204" s="302"/>
      <c r="BC204" s="302"/>
      <c r="BD204" s="302"/>
      <c r="BE204" s="302"/>
      <c r="BF204" s="302"/>
      <c r="BG204" s="302"/>
      <c r="BH204" s="302"/>
      <c r="BI204" s="302"/>
      <c r="BJ204" s="302"/>
      <c r="BK204" s="302"/>
      <c r="BL204" s="302"/>
      <c r="BM204" s="302"/>
      <c r="BN204" s="302"/>
      <c r="BO204" s="302"/>
      <c r="BP204" s="302"/>
      <c r="BQ204" s="302"/>
      <c r="BR204" s="302"/>
      <c r="BS204" s="302"/>
      <c r="BT204" s="302"/>
      <c r="BU204" s="302"/>
      <c r="BV204" s="302"/>
      <c r="BW204" s="302"/>
      <c r="BX204" s="302"/>
      <c r="BY204" s="302"/>
      <c r="BZ204" s="302"/>
      <c r="CA204" s="302"/>
    </row>
    <row r="205" spans="1:79" ht="17.25">
      <c r="A205" s="302"/>
      <c r="B205" s="302"/>
      <c r="C205" s="302"/>
      <c r="D205" s="303"/>
      <c r="E205" s="303"/>
      <c r="F205" s="303"/>
      <c r="G205" s="303"/>
      <c r="H205" s="303"/>
      <c r="I205" s="302"/>
      <c r="J205" s="302"/>
      <c r="K205" s="302"/>
      <c r="L205" s="1615"/>
      <c r="M205" s="1615"/>
      <c r="N205" s="1615"/>
      <c r="O205" s="1615"/>
      <c r="P205" s="574"/>
      <c r="Q205" s="575"/>
      <c r="R205" s="576"/>
      <c r="S205" s="576"/>
      <c r="T205" s="576"/>
      <c r="U205" s="579"/>
      <c r="V205" s="579"/>
      <c r="W205" s="577"/>
      <c r="X205" s="577"/>
      <c r="Y205" s="577"/>
      <c r="Z205" s="577"/>
      <c r="AA205" s="503"/>
      <c r="AB205" s="578"/>
      <c r="AC205" s="302"/>
      <c r="AD205" s="25"/>
      <c r="AE205" s="25"/>
      <c r="AF205" s="25"/>
      <c r="AG205" s="25"/>
      <c r="AH205" s="302"/>
      <c r="AI205" s="302"/>
      <c r="AJ205" s="302"/>
      <c r="AK205" s="302"/>
      <c r="AL205" s="302"/>
      <c r="AM205" s="302"/>
      <c r="AN205" s="302"/>
      <c r="AO205" s="302"/>
      <c r="AP205" s="302"/>
      <c r="AQ205" s="302"/>
      <c r="AR205" s="302"/>
      <c r="AS205" s="302"/>
      <c r="AT205" s="302"/>
      <c r="AU205" s="302"/>
      <c r="AV205" s="302"/>
      <c r="AW205" s="302"/>
      <c r="AX205" s="302"/>
      <c r="AY205" s="302"/>
      <c r="AZ205" s="302"/>
      <c r="BA205" s="302"/>
      <c r="BB205" s="302"/>
      <c r="BC205" s="302"/>
      <c r="BD205" s="302"/>
      <c r="BE205" s="302"/>
      <c r="BF205" s="302"/>
      <c r="BG205" s="302"/>
      <c r="BH205" s="302"/>
      <c r="BI205" s="302"/>
      <c r="BJ205" s="302"/>
      <c r="BK205" s="302"/>
      <c r="BL205" s="302"/>
      <c r="BM205" s="302"/>
      <c r="BN205" s="302"/>
      <c r="BO205" s="302"/>
      <c r="BP205" s="302"/>
      <c r="BQ205" s="302"/>
      <c r="BR205" s="302"/>
      <c r="BS205" s="302"/>
      <c r="BT205" s="302"/>
      <c r="BU205" s="302"/>
      <c r="BV205" s="302"/>
      <c r="BW205" s="302"/>
      <c r="BX205" s="302"/>
      <c r="BY205" s="302"/>
      <c r="BZ205" s="302"/>
      <c r="CA205" s="302"/>
    </row>
    <row r="206" spans="1:79" ht="17.25">
      <c r="A206" s="302"/>
      <c r="B206" s="302"/>
      <c r="C206" s="302"/>
      <c r="D206" s="303"/>
      <c r="E206" s="303"/>
      <c r="F206" s="303"/>
      <c r="G206" s="303"/>
      <c r="H206" s="303"/>
      <c r="I206" s="302"/>
      <c r="J206" s="302"/>
      <c r="K206" s="302"/>
      <c r="L206" s="1615"/>
      <c r="M206" s="1615"/>
      <c r="N206" s="1615"/>
      <c r="O206" s="1615"/>
      <c r="P206" s="574"/>
      <c r="Q206" s="575"/>
      <c r="R206" s="576"/>
      <c r="S206" s="576"/>
      <c r="T206" s="576"/>
      <c r="U206" s="579"/>
      <c r="V206" s="579"/>
      <c r="W206" s="577"/>
      <c r="X206" s="577"/>
      <c r="Y206" s="577"/>
      <c r="Z206" s="577"/>
      <c r="AA206" s="503"/>
      <c r="AB206" s="578"/>
      <c r="AC206" s="302"/>
      <c r="AD206" s="25"/>
      <c r="AE206" s="25"/>
      <c r="AF206" s="25"/>
      <c r="AG206" s="25"/>
      <c r="AH206" s="302"/>
      <c r="AI206" s="302"/>
      <c r="AJ206" s="302"/>
      <c r="AK206" s="302"/>
      <c r="AL206" s="302"/>
      <c r="AM206" s="302"/>
      <c r="AN206" s="302"/>
      <c r="AO206" s="302"/>
      <c r="AP206" s="302"/>
      <c r="AQ206" s="302"/>
      <c r="AR206" s="302"/>
      <c r="AS206" s="302"/>
      <c r="AT206" s="302"/>
      <c r="AU206" s="302"/>
      <c r="AV206" s="302"/>
      <c r="AW206" s="302"/>
      <c r="AX206" s="302"/>
      <c r="AY206" s="302"/>
      <c r="AZ206" s="302"/>
      <c r="BA206" s="302"/>
      <c r="BB206" s="302"/>
      <c r="BC206" s="302"/>
      <c r="BD206" s="302"/>
      <c r="BE206" s="302"/>
      <c r="BF206" s="302"/>
      <c r="BG206" s="302"/>
      <c r="BH206" s="302"/>
      <c r="BI206" s="302"/>
      <c r="BJ206" s="302"/>
      <c r="BK206" s="302"/>
      <c r="BL206" s="302"/>
      <c r="BM206" s="302"/>
      <c r="BN206" s="302"/>
      <c r="BO206" s="302"/>
      <c r="BP206" s="302"/>
      <c r="BQ206" s="302"/>
      <c r="BR206" s="302"/>
      <c r="BS206" s="302"/>
      <c r="BT206" s="302"/>
      <c r="BU206" s="302"/>
      <c r="BV206" s="302"/>
      <c r="BW206" s="302"/>
      <c r="BX206" s="302"/>
      <c r="BY206" s="302"/>
      <c r="BZ206" s="302"/>
      <c r="CA206" s="302"/>
    </row>
    <row r="207" spans="1:79" ht="17.25">
      <c r="A207" s="302"/>
      <c r="B207" s="302"/>
      <c r="C207" s="302"/>
      <c r="D207" s="303"/>
      <c r="E207" s="303"/>
      <c r="F207" s="303"/>
      <c r="G207" s="303"/>
      <c r="H207" s="303"/>
      <c r="I207" s="302"/>
      <c r="J207" s="302"/>
      <c r="K207" s="302"/>
      <c r="L207" s="1615"/>
      <c r="M207" s="1615"/>
      <c r="N207" s="1615"/>
      <c r="O207" s="1615"/>
      <c r="P207" s="574"/>
      <c r="Q207" s="575"/>
      <c r="R207" s="576"/>
      <c r="S207" s="576"/>
      <c r="T207" s="576"/>
      <c r="U207" s="579"/>
      <c r="V207" s="579"/>
      <c r="W207" s="577"/>
      <c r="X207" s="577"/>
      <c r="Y207" s="577"/>
      <c r="Z207" s="577"/>
      <c r="AA207" s="503"/>
      <c r="AB207" s="578"/>
      <c r="AC207" s="302"/>
      <c r="AD207" s="25"/>
      <c r="AE207" s="25"/>
      <c r="AF207" s="25"/>
      <c r="AG207" s="25"/>
      <c r="AH207" s="302"/>
      <c r="AI207" s="302"/>
      <c r="AJ207" s="302"/>
      <c r="AK207" s="302"/>
      <c r="AL207" s="302"/>
      <c r="AM207" s="302"/>
      <c r="AN207" s="302"/>
      <c r="AO207" s="302"/>
      <c r="AP207" s="302"/>
      <c r="AQ207" s="302"/>
      <c r="AR207" s="302"/>
      <c r="AS207" s="302"/>
      <c r="AT207" s="302"/>
      <c r="AU207" s="302"/>
      <c r="AV207" s="302"/>
      <c r="AW207" s="302"/>
      <c r="AX207" s="302"/>
      <c r="AY207" s="302"/>
      <c r="AZ207" s="302"/>
      <c r="BA207" s="302"/>
      <c r="BB207" s="302"/>
      <c r="BC207" s="302"/>
      <c r="BD207" s="302"/>
      <c r="BE207" s="302"/>
      <c r="BF207" s="302"/>
      <c r="BG207" s="302"/>
      <c r="BH207" s="302"/>
      <c r="BI207" s="302"/>
      <c r="BJ207" s="302"/>
      <c r="BK207" s="302"/>
      <c r="BL207" s="302"/>
      <c r="BM207" s="302"/>
      <c r="BN207" s="302"/>
      <c r="BO207" s="302"/>
      <c r="BP207" s="302"/>
      <c r="BQ207" s="302"/>
      <c r="BR207" s="302"/>
      <c r="BS207" s="302"/>
      <c r="BT207" s="302"/>
      <c r="BU207" s="302"/>
      <c r="BV207" s="302"/>
      <c r="BW207" s="302"/>
      <c r="BX207" s="302"/>
      <c r="BY207" s="302"/>
      <c r="BZ207" s="302"/>
      <c r="CA207" s="302"/>
    </row>
    <row r="208" spans="1:79" ht="17.25">
      <c r="A208" s="302"/>
      <c r="B208" s="302"/>
      <c r="C208" s="302"/>
      <c r="D208" s="303"/>
      <c r="E208" s="303"/>
      <c r="F208" s="303"/>
      <c r="G208" s="303"/>
      <c r="H208" s="303"/>
      <c r="I208" s="302"/>
      <c r="J208" s="302"/>
      <c r="K208" s="302"/>
      <c r="L208" s="1615"/>
      <c r="M208" s="1615"/>
      <c r="N208" s="1615"/>
      <c r="O208" s="1615"/>
      <c r="P208" s="574"/>
      <c r="Q208" s="575"/>
      <c r="R208" s="576"/>
      <c r="S208" s="576"/>
      <c r="T208" s="576"/>
      <c r="U208" s="579"/>
      <c r="V208" s="579"/>
      <c r="W208" s="577"/>
      <c r="X208" s="577"/>
      <c r="Y208" s="577"/>
      <c r="Z208" s="577"/>
      <c r="AA208" s="503"/>
      <c r="AB208" s="578"/>
      <c r="AC208" s="302"/>
      <c r="AD208" s="25"/>
      <c r="AE208" s="25"/>
      <c r="AF208" s="25"/>
      <c r="AG208" s="25"/>
      <c r="AH208" s="302"/>
      <c r="AI208" s="302"/>
      <c r="AJ208" s="302"/>
      <c r="AK208" s="302"/>
      <c r="AL208" s="302"/>
      <c r="AM208" s="302"/>
      <c r="AN208" s="302"/>
      <c r="AO208" s="302"/>
      <c r="AP208" s="302"/>
      <c r="AQ208" s="302"/>
      <c r="AR208" s="302"/>
      <c r="AS208" s="302"/>
      <c r="AT208" s="302"/>
      <c r="AU208" s="302"/>
      <c r="AV208" s="302"/>
      <c r="AW208" s="302"/>
      <c r="AX208" s="302"/>
      <c r="AY208" s="302"/>
      <c r="AZ208" s="302"/>
      <c r="BA208" s="302"/>
      <c r="BB208" s="302"/>
      <c r="BC208" s="302"/>
      <c r="BD208" s="302"/>
      <c r="BE208" s="302"/>
      <c r="BF208" s="302"/>
      <c r="BG208" s="302"/>
      <c r="BH208" s="302"/>
      <c r="BI208" s="302"/>
      <c r="BJ208" s="302"/>
      <c r="BK208" s="302"/>
      <c r="BL208" s="302"/>
      <c r="BM208" s="302"/>
      <c r="BN208" s="302"/>
      <c r="BO208" s="302"/>
      <c r="BP208" s="302"/>
      <c r="BQ208" s="302"/>
      <c r="BR208" s="302"/>
      <c r="BS208" s="302"/>
      <c r="BT208" s="302"/>
      <c r="BU208" s="302"/>
      <c r="BV208" s="302"/>
      <c r="BW208" s="302"/>
      <c r="BX208" s="302"/>
      <c r="BY208" s="302"/>
      <c r="BZ208" s="302"/>
      <c r="CA208" s="302"/>
    </row>
    <row r="209" spans="1:79" ht="17.25">
      <c r="A209" s="302"/>
      <c r="B209" s="302"/>
      <c r="C209" s="302"/>
      <c r="D209" s="303"/>
      <c r="E209" s="303"/>
      <c r="F209" s="303"/>
      <c r="G209" s="303"/>
      <c r="H209" s="303"/>
      <c r="I209" s="302"/>
      <c r="J209" s="302"/>
      <c r="K209" s="302"/>
      <c r="L209" s="1615"/>
      <c r="M209" s="1615"/>
      <c r="N209" s="1615"/>
      <c r="O209" s="1615"/>
      <c r="P209" s="574"/>
      <c r="Q209" s="575"/>
      <c r="R209" s="576"/>
      <c r="S209" s="576"/>
      <c r="T209" s="576"/>
      <c r="U209" s="579"/>
      <c r="V209" s="579"/>
      <c r="W209" s="577"/>
      <c r="X209" s="577"/>
      <c r="Y209" s="577"/>
      <c r="Z209" s="577"/>
      <c r="AA209" s="503"/>
      <c r="AB209" s="578"/>
      <c r="AC209" s="302"/>
      <c r="AD209" s="25"/>
      <c r="AE209" s="25"/>
      <c r="AF209" s="25"/>
      <c r="AG209" s="25"/>
      <c r="AH209" s="302"/>
      <c r="AI209" s="302"/>
      <c r="AJ209" s="302"/>
      <c r="AK209" s="302"/>
      <c r="AL209" s="302"/>
      <c r="AM209" s="302"/>
      <c r="AN209" s="302"/>
      <c r="AO209" s="302"/>
      <c r="AP209" s="302"/>
      <c r="AQ209" s="302"/>
      <c r="AR209" s="302"/>
      <c r="AS209" s="302"/>
      <c r="AT209" s="302"/>
      <c r="AU209" s="302"/>
      <c r="AV209" s="302"/>
      <c r="AW209" s="302"/>
      <c r="AX209" s="302"/>
      <c r="AY209" s="302"/>
      <c r="AZ209" s="302"/>
      <c r="BA209" s="302"/>
      <c r="BB209" s="302"/>
      <c r="BC209" s="302"/>
      <c r="BD209" s="302"/>
      <c r="BE209" s="302"/>
      <c r="BF209" s="302"/>
      <c r="BG209" s="302"/>
      <c r="BH209" s="302"/>
      <c r="BI209" s="302"/>
      <c r="BJ209" s="302"/>
      <c r="BK209" s="302"/>
      <c r="BL209" s="302"/>
      <c r="BM209" s="302"/>
      <c r="BN209" s="302"/>
      <c r="BO209" s="302"/>
      <c r="BP209" s="302"/>
      <c r="BQ209" s="302"/>
      <c r="BR209" s="302"/>
      <c r="BS209" s="302"/>
      <c r="BT209" s="302"/>
      <c r="BU209" s="302"/>
      <c r="BV209" s="302"/>
      <c r="BW209" s="302"/>
      <c r="BX209" s="302"/>
      <c r="BY209" s="302"/>
      <c r="BZ209" s="302"/>
      <c r="CA209" s="302"/>
    </row>
    <row r="210" spans="1:79" ht="17.25">
      <c r="A210" s="302"/>
      <c r="B210" s="302"/>
      <c r="C210" s="302"/>
      <c r="D210" s="303"/>
      <c r="E210" s="303"/>
      <c r="F210" s="303"/>
      <c r="G210" s="303"/>
      <c r="H210" s="303"/>
      <c r="I210" s="302"/>
      <c r="J210" s="302"/>
      <c r="K210" s="302"/>
      <c r="L210" s="1615"/>
      <c r="M210" s="1615"/>
      <c r="N210" s="1615"/>
      <c r="O210" s="1615"/>
      <c r="P210" s="574"/>
      <c r="Q210" s="575"/>
      <c r="R210" s="576"/>
      <c r="S210" s="576"/>
      <c r="T210" s="576"/>
      <c r="U210" s="579"/>
      <c r="V210" s="579"/>
      <c r="W210" s="577"/>
      <c r="X210" s="577"/>
      <c r="Y210" s="577"/>
      <c r="Z210" s="577"/>
      <c r="AA210" s="503"/>
      <c r="AB210" s="578"/>
      <c r="AC210" s="302"/>
      <c r="AD210" s="25"/>
      <c r="AE210" s="25"/>
      <c r="AF210" s="25"/>
      <c r="AG210" s="25"/>
      <c r="AH210" s="302"/>
      <c r="AI210" s="302"/>
      <c r="AJ210" s="302"/>
      <c r="AK210" s="302"/>
      <c r="AL210" s="302"/>
      <c r="AM210" s="302"/>
      <c r="AN210" s="302"/>
      <c r="AO210" s="302"/>
      <c r="AP210" s="302"/>
      <c r="AQ210" s="302"/>
      <c r="AR210" s="302"/>
      <c r="AS210" s="302"/>
      <c r="AT210" s="302"/>
      <c r="AU210" s="302"/>
      <c r="AV210" s="302"/>
      <c r="AW210" s="302"/>
      <c r="AX210" s="302"/>
      <c r="AY210" s="302"/>
      <c r="AZ210" s="302"/>
      <c r="BA210" s="302"/>
      <c r="BB210" s="302"/>
      <c r="BC210" s="302"/>
      <c r="BD210" s="302"/>
      <c r="BE210" s="302"/>
      <c r="BF210" s="302"/>
      <c r="BG210" s="302"/>
      <c r="BH210" s="302"/>
      <c r="BI210" s="302"/>
      <c r="BJ210" s="302"/>
      <c r="BK210" s="302"/>
      <c r="BL210" s="302"/>
      <c r="BM210" s="302"/>
      <c r="BN210" s="302"/>
      <c r="BO210" s="302"/>
      <c r="BP210" s="302"/>
      <c r="BQ210" s="302"/>
      <c r="BR210" s="302"/>
      <c r="BS210" s="302"/>
      <c r="BT210" s="302"/>
      <c r="BU210" s="302"/>
      <c r="BV210" s="302"/>
      <c r="BW210" s="302"/>
      <c r="BX210" s="302"/>
      <c r="BY210" s="302"/>
      <c r="BZ210" s="302"/>
      <c r="CA210" s="302"/>
    </row>
    <row r="211" spans="1:79" ht="17.25">
      <c r="A211" s="302"/>
      <c r="B211" s="302"/>
      <c r="C211" s="302"/>
      <c r="D211" s="303"/>
      <c r="E211" s="303"/>
      <c r="F211" s="303"/>
      <c r="G211" s="303"/>
      <c r="H211" s="303"/>
      <c r="I211" s="302"/>
      <c r="J211" s="302"/>
      <c r="K211" s="302"/>
      <c r="L211" s="1615"/>
      <c r="M211" s="1615"/>
      <c r="N211" s="1615"/>
      <c r="O211" s="1615"/>
      <c r="P211" s="574"/>
      <c r="Q211" s="575"/>
      <c r="R211" s="576"/>
      <c r="S211" s="576"/>
      <c r="T211" s="576"/>
      <c r="U211" s="579"/>
      <c r="V211" s="579"/>
      <c r="W211" s="577"/>
      <c r="X211" s="577"/>
      <c r="Y211" s="577"/>
      <c r="Z211" s="577"/>
      <c r="AA211" s="503"/>
      <c r="AB211" s="578"/>
      <c r="AC211" s="302"/>
      <c r="AD211" s="25"/>
      <c r="AE211" s="25"/>
      <c r="AF211" s="25"/>
      <c r="AG211" s="25"/>
      <c r="AH211" s="302"/>
      <c r="AI211" s="302"/>
      <c r="AJ211" s="302"/>
      <c r="AK211" s="302"/>
      <c r="AL211" s="302"/>
      <c r="AM211" s="302"/>
      <c r="AN211" s="302"/>
      <c r="AO211" s="302"/>
      <c r="AP211" s="302"/>
      <c r="AQ211" s="302"/>
      <c r="AR211" s="302"/>
      <c r="AS211" s="302"/>
      <c r="AT211" s="302"/>
      <c r="AU211" s="302"/>
      <c r="AV211" s="302"/>
      <c r="AW211" s="302"/>
      <c r="AX211" s="302"/>
      <c r="AY211" s="302"/>
      <c r="AZ211" s="302"/>
      <c r="BA211" s="302"/>
      <c r="BB211" s="302"/>
      <c r="BC211" s="302"/>
      <c r="BD211" s="302"/>
      <c r="BE211" s="302"/>
      <c r="BF211" s="302"/>
      <c r="BG211" s="302"/>
      <c r="BH211" s="302"/>
      <c r="BI211" s="302"/>
      <c r="BJ211" s="302"/>
      <c r="BK211" s="302"/>
      <c r="BL211" s="302"/>
      <c r="BM211" s="302"/>
      <c r="BN211" s="302"/>
      <c r="BO211" s="302"/>
      <c r="BP211" s="302"/>
      <c r="BQ211" s="302"/>
      <c r="BR211" s="302"/>
      <c r="BS211" s="302"/>
      <c r="BT211" s="302"/>
      <c r="BU211" s="302"/>
      <c r="BV211" s="302"/>
      <c r="BW211" s="302"/>
      <c r="BX211" s="302"/>
      <c r="BY211" s="302"/>
      <c r="BZ211" s="302"/>
      <c r="CA211" s="302"/>
    </row>
    <row r="212" spans="1:79" ht="17.25">
      <c r="A212" s="302"/>
      <c r="B212" s="302"/>
      <c r="C212" s="302"/>
      <c r="D212" s="303"/>
      <c r="E212" s="303"/>
      <c r="F212" s="303"/>
      <c r="G212" s="303"/>
      <c r="H212" s="303"/>
      <c r="I212" s="302"/>
      <c r="J212" s="302"/>
      <c r="K212" s="302"/>
      <c r="L212" s="1615"/>
      <c r="M212" s="1615"/>
      <c r="N212" s="1615"/>
      <c r="O212" s="1615"/>
      <c r="P212" s="574"/>
      <c r="Q212" s="575"/>
      <c r="R212" s="576"/>
      <c r="S212" s="576"/>
      <c r="T212" s="576"/>
      <c r="U212" s="579"/>
      <c r="V212" s="579"/>
      <c r="W212" s="577"/>
      <c r="X212" s="577"/>
      <c r="Y212" s="577"/>
      <c r="Z212" s="577"/>
      <c r="AA212" s="503"/>
      <c r="AB212" s="578"/>
      <c r="AC212" s="302"/>
      <c r="AD212" s="25"/>
      <c r="AE212" s="25"/>
      <c r="AF212" s="25"/>
      <c r="AG212" s="25"/>
      <c r="AH212" s="302"/>
      <c r="AI212" s="302"/>
      <c r="AJ212" s="302"/>
      <c r="AK212" s="302"/>
      <c r="AL212" s="302"/>
      <c r="AM212" s="302"/>
      <c r="AN212" s="302"/>
      <c r="AO212" s="302"/>
      <c r="AP212" s="302"/>
      <c r="AQ212" s="302"/>
      <c r="AR212" s="302"/>
      <c r="AS212" s="302"/>
      <c r="AT212" s="302"/>
      <c r="AU212" s="302"/>
      <c r="AV212" s="302"/>
      <c r="AW212" s="302"/>
      <c r="AX212" s="302"/>
      <c r="AY212" s="302"/>
      <c r="AZ212" s="302"/>
      <c r="BA212" s="302"/>
      <c r="BB212" s="302"/>
      <c r="BC212" s="302"/>
      <c r="BD212" s="302"/>
      <c r="BE212" s="302"/>
      <c r="BF212" s="302"/>
      <c r="BG212" s="302"/>
      <c r="BH212" s="302"/>
      <c r="BI212" s="302"/>
      <c r="BJ212" s="302"/>
      <c r="BK212" s="302"/>
      <c r="BL212" s="302"/>
      <c r="BM212" s="302"/>
      <c r="BN212" s="302"/>
      <c r="BO212" s="302"/>
      <c r="BP212" s="302"/>
      <c r="BQ212" s="302"/>
      <c r="BR212" s="302"/>
      <c r="BS212" s="302"/>
      <c r="BT212" s="302"/>
      <c r="BU212" s="302"/>
      <c r="BV212" s="302"/>
      <c r="BW212" s="302"/>
      <c r="BX212" s="302"/>
      <c r="BY212" s="302"/>
      <c r="BZ212" s="302"/>
      <c r="CA212" s="302"/>
    </row>
    <row r="213" spans="1:79" ht="17.25">
      <c r="A213" s="302"/>
      <c r="B213" s="302"/>
      <c r="C213" s="302"/>
      <c r="D213" s="303"/>
      <c r="E213" s="303"/>
      <c r="F213" s="303"/>
      <c r="G213" s="303"/>
      <c r="H213" s="303"/>
      <c r="I213" s="302"/>
      <c r="J213" s="302"/>
      <c r="K213" s="302"/>
      <c r="L213" s="1615"/>
      <c r="M213" s="1615"/>
      <c r="N213" s="1615"/>
      <c r="O213" s="1615"/>
      <c r="P213" s="574"/>
      <c r="Q213" s="575"/>
      <c r="R213" s="576"/>
      <c r="S213" s="576"/>
      <c r="T213" s="576"/>
      <c r="U213" s="579"/>
      <c r="V213" s="579"/>
      <c r="W213" s="577"/>
      <c r="X213" s="577"/>
      <c r="Y213" s="577"/>
      <c r="Z213" s="577"/>
      <c r="AA213" s="503"/>
      <c r="AB213" s="578"/>
      <c r="AC213" s="302"/>
      <c r="AD213" s="25"/>
      <c r="AE213" s="25"/>
      <c r="AF213" s="25"/>
      <c r="AG213" s="25"/>
      <c r="AH213" s="302"/>
      <c r="AI213" s="302"/>
      <c r="AJ213" s="302"/>
      <c r="AK213" s="302"/>
      <c r="AL213" s="302"/>
      <c r="AM213" s="302"/>
      <c r="AN213" s="302"/>
      <c r="AO213" s="302"/>
      <c r="AP213" s="302"/>
      <c r="AQ213" s="302"/>
      <c r="AR213" s="302"/>
      <c r="AS213" s="302"/>
      <c r="AT213" s="302"/>
      <c r="AU213" s="302"/>
      <c r="AV213" s="302"/>
      <c r="AW213" s="302"/>
      <c r="AX213" s="302"/>
      <c r="AY213" s="302"/>
      <c r="AZ213" s="302"/>
      <c r="BA213" s="302"/>
      <c r="BB213" s="302"/>
      <c r="BC213" s="302"/>
      <c r="BD213" s="302"/>
      <c r="BE213" s="302"/>
      <c r="BF213" s="302"/>
      <c r="BG213" s="302"/>
      <c r="BH213" s="302"/>
      <c r="BI213" s="302"/>
      <c r="BJ213" s="302"/>
      <c r="BK213" s="302"/>
      <c r="BL213" s="302"/>
      <c r="BM213" s="302"/>
      <c r="BN213" s="302"/>
      <c r="BO213" s="302"/>
      <c r="BP213" s="302"/>
      <c r="BQ213" s="302"/>
      <c r="BR213" s="302"/>
      <c r="BS213" s="302"/>
      <c r="BT213" s="302"/>
      <c r="BU213" s="302"/>
      <c r="BV213" s="302"/>
      <c r="BW213" s="302"/>
      <c r="BX213" s="302"/>
      <c r="BY213" s="302"/>
      <c r="BZ213" s="302"/>
      <c r="CA213" s="302"/>
    </row>
    <row r="214" spans="1:79" ht="17.25">
      <c r="A214" s="302"/>
      <c r="B214" s="302"/>
      <c r="C214" s="302"/>
      <c r="D214" s="303"/>
      <c r="E214" s="303"/>
      <c r="F214" s="303"/>
      <c r="G214" s="303"/>
      <c r="H214" s="303"/>
      <c r="I214" s="302"/>
      <c r="J214" s="302"/>
      <c r="K214" s="302"/>
      <c r="L214" s="1615"/>
      <c r="M214" s="1615"/>
      <c r="N214" s="1615"/>
      <c r="O214" s="1615"/>
      <c r="P214" s="574"/>
      <c r="Q214" s="575"/>
      <c r="R214" s="576"/>
      <c r="S214" s="576"/>
      <c r="T214" s="576"/>
      <c r="U214" s="579"/>
      <c r="V214" s="579"/>
      <c r="W214" s="577"/>
      <c r="X214" s="577"/>
      <c r="Y214" s="577"/>
      <c r="Z214" s="577"/>
      <c r="AA214" s="503"/>
      <c r="AB214" s="578"/>
      <c r="AC214" s="302"/>
      <c r="AD214" s="25"/>
      <c r="AE214" s="25"/>
      <c r="AF214" s="25"/>
      <c r="AG214" s="25"/>
      <c r="AH214" s="302"/>
      <c r="AI214" s="302"/>
      <c r="AJ214" s="302"/>
      <c r="AK214" s="302"/>
      <c r="AL214" s="302"/>
      <c r="AM214" s="302"/>
      <c r="AN214" s="302"/>
      <c r="AO214" s="302"/>
      <c r="AP214" s="302"/>
      <c r="AQ214" s="302"/>
      <c r="AR214" s="302"/>
      <c r="AS214" s="302"/>
      <c r="AT214" s="302"/>
      <c r="AU214" s="302"/>
      <c r="AV214" s="302"/>
      <c r="AW214" s="302"/>
      <c r="AX214" s="302"/>
      <c r="AY214" s="302"/>
      <c r="AZ214" s="302"/>
      <c r="BA214" s="302"/>
      <c r="BB214" s="302"/>
      <c r="BC214" s="302"/>
      <c r="BD214" s="302"/>
      <c r="BE214" s="302"/>
      <c r="BF214" s="302"/>
      <c r="BG214" s="302"/>
      <c r="BH214" s="302"/>
      <c r="BI214" s="302"/>
      <c r="BJ214" s="302"/>
      <c r="BK214" s="302"/>
      <c r="BL214" s="302"/>
      <c r="BM214" s="302"/>
      <c r="BN214" s="302"/>
      <c r="BO214" s="302"/>
      <c r="BP214" s="302"/>
      <c r="BQ214" s="302"/>
      <c r="BR214" s="302"/>
      <c r="BS214" s="302"/>
      <c r="BT214" s="302"/>
      <c r="BU214" s="302"/>
      <c r="BV214" s="302"/>
      <c r="BW214" s="302"/>
      <c r="BX214" s="302"/>
      <c r="BY214" s="302"/>
      <c r="BZ214" s="302"/>
      <c r="CA214" s="302"/>
    </row>
    <row r="215" spans="1:79" ht="17.25">
      <c r="A215" s="302"/>
      <c r="B215" s="302"/>
      <c r="C215" s="302"/>
      <c r="D215" s="303"/>
      <c r="E215" s="303"/>
      <c r="F215" s="303"/>
      <c r="G215" s="303"/>
      <c r="H215" s="303"/>
      <c r="I215" s="302"/>
      <c r="J215" s="302"/>
      <c r="K215" s="302"/>
      <c r="L215" s="1615"/>
      <c r="M215" s="1615"/>
      <c r="N215" s="1615"/>
      <c r="O215" s="1615"/>
      <c r="P215" s="574"/>
      <c r="Q215" s="575"/>
      <c r="R215" s="576"/>
      <c r="S215" s="576"/>
      <c r="T215" s="576"/>
      <c r="U215" s="579"/>
      <c r="V215" s="579"/>
      <c r="W215" s="577"/>
      <c r="X215" s="577"/>
      <c r="Y215" s="577"/>
      <c r="Z215" s="577"/>
      <c r="AA215" s="503"/>
      <c r="AB215" s="578"/>
      <c r="AC215" s="302"/>
      <c r="AD215" s="25"/>
      <c r="AE215" s="25"/>
      <c r="AF215" s="25"/>
      <c r="AG215" s="25"/>
      <c r="AH215" s="302"/>
      <c r="AI215" s="302"/>
      <c r="AJ215" s="302"/>
      <c r="AK215" s="302"/>
      <c r="AL215" s="302"/>
      <c r="AM215" s="302"/>
      <c r="AN215" s="302"/>
      <c r="AO215" s="302"/>
      <c r="AP215" s="302"/>
      <c r="AQ215" s="302"/>
      <c r="AR215" s="302"/>
      <c r="AS215" s="302"/>
      <c r="AT215" s="302"/>
      <c r="AU215" s="302"/>
      <c r="AV215" s="302"/>
      <c r="AW215" s="302"/>
      <c r="AX215" s="302"/>
      <c r="AY215" s="302"/>
      <c r="AZ215" s="302"/>
      <c r="BA215" s="302"/>
      <c r="BB215" s="302"/>
      <c r="BC215" s="302"/>
      <c r="BD215" s="302"/>
      <c r="BE215" s="302"/>
      <c r="BF215" s="302"/>
      <c r="BG215" s="302"/>
      <c r="BH215" s="302"/>
      <c r="BI215" s="302"/>
      <c r="BJ215" s="302"/>
      <c r="BK215" s="302"/>
      <c r="BL215" s="302"/>
      <c r="BM215" s="302"/>
      <c r="BN215" s="302"/>
      <c r="BO215" s="302"/>
      <c r="BP215" s="302"/>
      <c r="BQ215" s="302"/>
      <c r="BR215" s="302"/>
      <c r="BS215" s="302"/>
      <c r="BT215" s="302"/>
      <c r="BU215" s="302"/>
      <c r="BV215" s="302"/>
      <c r="BW215" s="302"/>
      <c r="BX215" s="302"/>
      <c r="BY215" s="302"/>
      <c r="BZ215" s="302"/>
      <c r="CA215" s="302"/>
    </row>
    <row r="216" spans="1:79" ht="17.25">
      <c r="L216" s="1615"/>
      <c r="M216" s="1615"/>
      <c r="N216" s="1615"/>
      <c r="O216" s="1615"/>
      <c r="P216" s="574"/>
      <c r="Q216" s="575"/>
      <c r="R216" s="576"/>
      <c r="S216" s="576"/>
      <c r="T216" s="576"/>
      <c r="U216" s="579"/>
      <c r="V216" s="579"/>
      <c r="W216" s="577"/>
      <c r="X216" s="577"/>
      <c r="Y216" s="577"/>
      <c r="Z216" s="577"/>
      <c r="AA216" s="503"/>
      <c r="AB216" s="578"/>
      <c r="AD216" s="25"/>
      <c r="AE216" s="25"/>
      <c r="AF216" s="25"/>
      <c r="AG216" s="25"/>
      <c r="AH216" s="302"/>
      <c r="AI216" s="302"/>
      <c r="AJ216" s="302"/>
      <c r="AK216" s="302"/>
      <c r="AL216" s="302"/>
      <c r="AM216" s="302"/>
      <c r="AN216" s="302"/>
      <c r="AO216" s="302"/>
      <c r="AP216" s="302"/>
      <c r="AQ216" s="302"/>
      <c r="AR216" s="302"/>
      <c r="AS216" s="302"/>
      <c r="AT216" s="302"/>
      <c r="AU216" s="302"/>
      <c r="AV216" s="302"/>
      <c r="AW216" s="302"/>
      <c r="AX216" s="302"/>
      <c r="AY216" s="302"/>
      <c r="AZ216" s="302"/>
      <c r="BA216" s="302"/>
      <c r="BB216" s="302"/>
      <c r="BC216" s="302"/>
      <c r="BD216" s="302"/>
      <c r="BE216" s="302"/>
      <c r="BF216" s="302"/>
      <c r="BG216" s="302"/>
      <c r="BH216" s="302"/>
      <c r="BI216" s="302"/>
      <c r="BJ216" s="302"/>
      <c r="BK216" s="302"/>
    </row>
    <row r="217" spans="1:79" ht="17.25">
      <c r="L217" s="1615"/>
      <c r="M217" s="1615"/>
      <c r="N217" s="1615"/>
      <c r="O217" s="1615"/>
      <c r="P217" s="574"/>
      <c r="Q217" s="575"/>
      <c r="R217" s="576"/>
      <c r="S217" s="576"/>
      <c r="T217" s="576"/>
      <c r="U217" s="579"/>
      <c r="V217" s="579"/>
      <c r="W217" s="577"/>
      <c r="X217" s="577"/>
      <c r="Y217" s="577"/>
      <c r="Z217" s="577"/>
      <c r="AA217" s="503"/>
      <c r="AB217" s="578"/>
      <c r="AD217" s="25"/>
      <c r="AE217" s="25"/>
      <c r="AF217" s="25"/>
      <c r="AG217" s="25"/>
      <c r="AH217" s="302"/>
      <c r="AI217" s="302"/>
      <c r="AJ217" s="302"/>
      <c r="AK217" s="302"/>
      <c r="AL217" s="302"/>
      <c r="AM217" s="302"/>
      <c r="AN217" s="302"/>
      <c r="AO217" s="302"/>
      <c r="AP217" s="302"/>
      <c r="AQ217" s="302"/>
      <c r="AR217" s="302"/>
      <c r="AS217" s="302"/>
      <c r="AT217" s="302"/>
      <c r="AU217" s="302"/>
      <c r="AV217" s="302"/>
      <c r="AW217" s="302"/>
      <c r="AX217" s="302"/>
      <c r="AY217" s="302"/>
      <c r="AZ217" s="302"/>
      <c r="BA217" s="302"/>
      <c r="BB217" s="302"/>
      <c r="BC217" s="302"/>
      <c r="BD217" s="302"/>
      <c r="BE217" s="302"/>
      <c r="BF217" s="302"/>
      <c r="BG217" s="302"/>
      <c r="BH217" s="302"/>
      <c r="BI217" s="302"/>
      <c r="BJ217" s="302"/>
      <c r="BK217" s="302"/>
    </row>
    <row r="218" spans="1:79" ht="17.25">
      <c r="L218" s="1615"/>
      <c r="M218" s="1615"/>
      <c r="N218" s="1615"/>
      <c r="O218" s="1615"/>
      <c r="P218" s="574"/>
      <c r="Q218" s="575"/>
      <c r="R218" s="576"/>
      <c r="S218" s="576"/>
      <c r="T218" s="576"/>
      <c r="U218" s="579"/>
      <c r="V218" s="579"/>
      <c r="W218" s="577"/>
      <c r="X218" s="577"/>
      <c r="Y218" s="577"/>
      <c r="Z218" s="577"/>
      <c r="AA218" s="503"/>
      <c r="AB218" s="578"/>
      <c r="AD218" s="25"/>
      <c r="AE218" s="25"/>
      <c r="AF218" s="25"/>
      <c r="AG218" s="25"/>
      <c r="AH218" s="302"/>
      <c r="AI218" s="302"/>
      <c r="AJ218" s="302"/>
      <c r="AK218" s="302"/>
      <c r="AL218" s="302"/>
      <c r="AM218" s="302"/>
      <c r="AN218" s="302"/>
      <c r="AO218" s="302"/>
      <c r="AP218" s="302"/>
      <c r="AQ218" s="302"/>
      <c r="AR218" s="302"/>
      <c r="AS218" s="302"/>
      <c r="AT218" s="302"/>
      <c r="AU218" s="302"/>
      <c r="AV218" s="302"/>
      <c r="AW218" s="302"/>
      <c r="AX218" s="302"/>
      <c r="AY218" s="302"/>
      <c r="AZ218" s="302"/>
      <c r="BA218" s="302"/>
      <c r="BB218" s="302"/>
      <c r="BC218" s="302"/>
      <c r="BD218" s="302"/>
      <c r="BE218" s="302"/>
      <c r="BF218" s="302"/>
      <c r="BG218" s="302"/>
      <c r="BH218" s="302"/>
      <c r="BI218" s="302"/>
      <c r="BJ218" s="302"/>
      <c r="BK218" s="302"/>
    </row>
    <row r="219" spans="1:79" ht="15.75">
      <c r="L219" s="1615"/>
      <c r="M219" s="1615"/>
      <c r="N219" s="1615"/>
      <c r="O219" s="1615"/>
      <c r="P219" s="574"/>
      <c r="Q219" s="575"/>
      <c r="R219" s="576"/>
      <c r="S219" s="576"/>
      <c r="T219" s="576"/>
      <c r="U219" s="579"/>
      <c r="V219" s="579"/>
      <c r="W219" s="577"/>
      <c r="X219" s="577"/>
      <c r="Y219" s="577"/>
      <c r="Z219" s="577"/>
      <c r="AA219" s="503"/>
      <c r="AB219" s="578"/>
      <c r="AD219" s="25"/>
      <c r="AE219" s="25"/>
      <c r="AF219" s="25"/>
      <c r="AG219" s="25"/>
      <c r="AH219" s="726"/>
      <c r="AI219" s="726"/>
    </row>
    <row r="220" spans="1:79" ht="15.75">
      <c r="L220" s="1615"/>
      <c r="M220" s="1615"/>
      <c r="N220" s="1615"/>
      <c r="O220" s="1615"/>
      <c r="P220" s="574"/>
      <c r="Q220" s="575"/>
      <c r="R220" s="576"/>
      <c r="S220" s="576"/>
      <c r="T220" s="576"/>
      <c r="U220" s="579"/>
      <c r="V220" s="579"/>
      <c r="W220" s="577"/>
      <c r="X220" s="577"/>
      <c r="Y220" s="577"/>
      <c r="Z220" s="577"/>
      <c r="AA220" s="503"/>
      <c r="AB220" s="578"/>
      <c r="AD220" s="25"/>
      <c r="AE220" s="25"/>
      <c r="AF220" s="25"/>
      <c r="AG220" s="25"/>
      <c r="AH220" s="726"/>
      <c r="AI220" s="726"/>
    </row>
    <row r="221" spans="1:79" ht="15.75"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AD221" s="25"/>
      <c r="AE221" s="25"/>
      <c r="AF221" s="25"/>
      <c r="AG221" s="25"/>
      <c r="AH221" s="726"/>
      <c r="AI221" s="726"/>
    </row>
    <row r="222" spans="1:79" ht="15.75"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AD222" s="25"/>
      <c r="AE222" s="25"/>
      <c r="AF222" s="25"/>
      <c r="AG222" s="25"/>
      <c r="AH222" s="726"/>
      <c r="AI222" s="726"/>
    </row>
    <row r="223" spans="1:79" ht="15.75">
      <c r="W223" s="23"/>
      <c r="AD223" s="25"/>
      <c r="AE223" s="25"/>
      <c r="AF223" s="25"/>
      <c r="AG223" s="25"/>
      <c r="AH223" s="726"/>
      <c r="AI223" s="726"/>
    </row>
    <row r="224" spans="1:79">
      <c r="W224" s="23"/>
      <c r="AH224" s="726"/>
      <c r="AI224" s="726"/>
    </row>
    <row r="225" spans="23:35">
      <c r="W225" s="23"/>
      <c r="AH225" s="726"/>
      <c r="AI225" s="726"/>
    </row>
    <row r="226" spans="23:35">
      <c r="W226" s="23"/>
      <c r="AH226" s="726"/>
      <c r="AI226" s="726"/>
    </row>
    <row r="227" spans="23:35">
      <c r="W227" s="23"/>
      <c r="AH227" s="726"/>
      <c r="AI227" s="726"/>
    </row>
    <row r="228" spans="23:35">
      <c r="W228" s="23"/>
      <c r="AH228" s="726"/>
      <c r="AI228" s="726"/>
    </row>
    <row r="229" spans="23:35">
      <c r="W229" s="23"/>
      <c r="AH229" s="726"/>
      <c r="AI229" s="726"/>
    </row>
    <row r="230" spans="23:35">
      <c r="W230" s="23"/>
      <c r="AH230" s="726"/>
      <c r="AI230" s="726"/>
    </row>
    <row r="231" spans="23:35">
      <c r="W231" s="23"/>
      <c r="AH231" s="726"/>
      <c r="AI231" s="726"/>
    </row>
    <row r="232" spans="23:35">
      <c r="W232" s="23"/>
      <c r="AH232" s="726"/>
      <c r="AI232" s="726"/>
    </row>
    <row r="233" spans="23:35">
      <c r="W233" s="23"/>
      <c r="AH233" s="726"/>
      <c r="AI233" s="726"/>
    </row>
    <row r="234" spans="23:35">
      <c r="W234" s="23"/>
      <c r="AH234" s="726"/>
      <c r="AI234" s="726"/>
    </row>
    <row r="235" spans="23:35">
      <c r="W235" s="23"/>
      <c r="AH235" s="726"/>
      <c r="AI235" s="726"/>
    </row>
    <row r="236" spans="23:35">
      <c r="W236" s="23"/>
      <c r="AH236" s="726"/>
      <c r="AI236" s="726"/>
    </row>
    <row r="237" spans="23:35">
      <c r="W237" s="23"/>
      <c r="AH237" s="726"/>
      <c r="AI237" s="726"/>
    </row>
    <row r="238" spans="23:35">
      <c r="W238" s="23"/>
      <c r="AH238" s="726"/>
      <c r="AI238" s="726"/>
    </row>
    <row r="239" spans="23:35">
      <c r="W239" s="23"/>
      <c r="AH239" s="726"/>
      <c r="AI239" s="726"/>
    </row>
    <row r="240" spans="23:35">
      <c r="W240" s="23"/>
      <c r="AH240" s="726"/>
      <c r="AI240" s="726"/>
    </row>
    <row r="241" spans="23:35">
      <c r="W241" s="23"/>
      <c r="AH241" s="726"/>
      <c r="AI241" s="726"/>
    </row>
    <row r="242" spans="23:35">
      <c r="W242" s="23"/>
      <c r="AH242" s="726"/>
      <c r="AI242" s="726"/>
    </row>
    <row r="243" spans="23:35">
      <c r="W243" s="23"/>
      <c r="AH243" s="726"/>
      <c r="AI243" s="726"/>
    </row>
    <row r="244" spans="23:35">
      <c r="W244" s="23"/>
      <c r="AH244" s="726"/>
      <c r="AI244" s="726"/>
    </row>
    <row r="245" spans="23:35">
      <c r="W245" s="23"/>
      <c r="AH245" s="726"/>
      <c r="AI245" s="726"/>
    </row>
    <row r="246" spans="23:35">
      <c r="W246" s="23"/>
      <c r="AH246" s="726"/>
      <c r="AI246" s="726"/>
    </row>
    <row r="247" spans="23:35">
      <c r="W247" s="23"/>
      <c r="AH247" s="726"/>
      <c r="AI247" s="726"/>
    </row>
    <row r="248" spans="23:35">
      <c r="W248" s="23"/>
      <c r="AH248" s="726"/>
      <c r="AI248" s="726"/>
    </row>
    <row r="249" spans="23:35">
      <c r="W249" s="23"/>
      <c r="AH249" s="726"/>
      <c r="AI249" s="726"/>
    </row>
    <row r="250" spans="23:35">
      <c r="W250" s="23"/>
      <c r="AH250" s="726"/>
      <c r="AI250" s="726"/>
    </row>
    <row r="251" spans="23:35">
      <c r="W251" s="23"/>
      <c r="AH251" s="726"/>
      <c r="AI251" s="726"/>
    </row>
    <row r="252" spans="23:35">
      <c r="W252" s="23"/>
      <c r="AH252" s="726"/>
      <c r="AI252" s="726"/>
    </row>
    <row r="253" spans="23:35">
      <c r="W253" s="23"/>
      <c r="AH253" s="726"/>
      <c r="AI253" s="726"/>
    </row>
    <row r="254" spans="23:35">
      <c r="W254" s="23"/>
      <c r="AH254" s="726"/>
      <c r="AI254" s="726"/>
    </row>
    <row r="255" spans="23:35">
      <c r="W255" s="23"/>
      <c r="AH255" s="726"/>
      <c r="AI255" s="726"/>
    </row>
    <row r="256" spans="23:35">
      <c r="W256" s="23"/>
      <c r="AH256" s="726"/>
      <c r="AI256" s="726"/>
    </row>
    <row r="257" spans="23:35">
      <c r="W257" s="23"/>
      <c r="AH257" s="726"/>
      <c r="AI257" s="726"/>
    </row>
    <row r="258" spans="23:35">
      <c r="W258" s="23"/>
      <c r="AH258" s="726"/>
      <c r="AI258" s="726"/>
    </row>
    <row r="259" spans="23:35">
      <c r="W259" s="23"/>
      <c r="AH259" s="726"/>
      <c r="AI259" s="726"/>
    </row>
    <row r="260" spans="23:35">
      <c r="W260" s="23"/>
      <c r="AH260" s="726"/>
      <c r="AI260" s="726"/>
    </row>
    <row r="261" spans="23:35">
      <c r="W261" s="23"/>
    </row>
    <row r="262" spans="23:35">
      <c r="W262" s="23"/>
    </row>
    <row r="263" spans="23:35">
      <c r="W263" s="23"/>
    </row>
    <row r="264" spans="23:35">
      <c r="W264" s="23"/>
    </row>
    <row r="265" spans="23:35">
      <c r="W265" s="23"/>
    </row>
    <row r="266" spans="23:35">
      <c r="W266" s="23"/>
    </row>
    <row r="267" spans="23:35">
      <c r="W267" s="23"/>
    </row>
    <row r="268" spans="23:35">
      <c r="W268" s="23"/>
    </row>
  </sheetData>
  <mergeCells count="397">
    <mergeCell ref="E7:F7"/>
    <mergeCell ref="G7:I7"/>
    <mergeCell ref="A9:A10"/>
    <mergeCell ref="B9:C9"/>
    <mergeCell ref="D9:E9"/>
    <mergeCell ref="B10:C10"/>
    <mergeCell ref="D10:E10"/>
    <mergeCell ref="B11:C11"/>
    <mergeCell ref="D11:E11"/>
    <mergeCell ref="N9:N10"/>
    <mergeCell ref="P9:Q9"/>
    <mergeCell ref="Q10:R10"/>
    <mergeCell ref="Q11:R11"/>
    <mergeCell ref="B12:C12"/>
    <mergeCell ref="D12:E12"/>
    <mergeCell ref="B16:C16"/>
    <mergeCell ref="D16:E16"/>
    <mergeCell ref="B17:C17"/>
    <mergeCell ref="D17:E17"/>
    <mergeCell ref="Q17:R17"/>
    <mergeCell ref="B18:C18"/>
    <mergeCell ref="D18:E18"/>
    <mergeCell ref="B13:C13"/>
    <mergeCell ref="D13:E13"/>
    <mergeCell ref="B14:C14"/>
    <mergeCell ref="D14:E14"/>
    <mergeCell ref="B15:C15"/>
    <mergeCell ref="D15:E15"/>
    <mergeCell ref="F22:G22"/>
    <mergeCell ref="H22:I22"/>
    <mergeCell ref="B23:C23"/>
    <mergeCell ref="D23:E23"/>
    <mergeCell ref="F23:G23"/>
    <mergeCell ref="H23:I23"/>
    <mergeCell ref="B19:C19"/>
    <mergeCell ref="D19:E19"/>
    <mergeCell ref="B20:C20"/>
    <mergeCell ref="D20:E20"/>
    <mergeCell ref="B22:C22"/>
    <mergeCell ref="D22:E22"/>
    <mergeCell ref="B28:C28"/>
    <mergeCell ref="D28:E28"/>
    <mergeCell ref="F28:G28"/>
    <mergeCell ref="H28:I28"/>
    <mergeCell ref="B29:C29"/>
    <mergeCell ref="D29:E29"/>
    <mergeCell ref="F29:G29"/>
    <mergeCell ref="H29:I29"/>
    <mergeCell ref="J25:L25"/>
    <mergeCell ref="A42:C42"/>
    <mergeCell ref="B34:C34"/>
    <mergeCell ref="D34:E34"/>
    <mergeCell ref="F34:G34"/>
    <mergeCell ref="H34:I34"/>
    <mergeCell ref="A35:E35"/>
    <mergeCell ref="F35:H35"/>
    <mergeCell ref="I35:L35"/>
    <mergeCell ref="J33:K33"/>
    <mergeCell ref="Q18:R18"/>
    <mergeCell ref="Q19:R19"/>
    <mergeCell ref="Q20:R20"/>
    <mergeCell ref="Q21:R21"/>
    <mergeCell ref="Q12:R12"/>
    <mergeCell ref="Q13:R13"/>
    <mergeCell ref="Q14:R14"/>
    <mergeCell ref="Q15:R15"/>
    <mergeCell ref="Q16:R16"/>
    <mergeCell ref="Q25:R25"/>
    <mergeCell ref="J26:L26"/>
    <mergeCell ref="Q26:R26"/>
    <mergeCell ref="S65:T65"/>
    <mergeCell ref="U65:W65"/>
    <mergeCell ref="J22:L22"/>
    <mergeCell ref="Q22:R22"/>
    <mergeCell ref="J23:L23"/>
    <mergeCell ref="Q23:R23"/>
    <mergeCell ref="J24:L24"/>
    <mergeCell ref="Q24:R24"/>
    <mergeCell ref="L69:M69"/>
    <mergeCell ref="N69:O69"/>
    <mergeCell ref="L70:M70"/>
    <mergeCell ref="N70:O70"/>
    <mergeCell ref="L71:M71"/>
    <mergeCell ref="N71:O71"/>
    <mergeCell ref="Z66:Z67"/>
    <mergeCell ref="AA66:AA67"/>
    <mergeCell ref="AB66:AB67"/>
    <mergeCell ref="L68:M68"/>
    <mergeCell ref="N68:O68"/>
    <mergeCell ref="U66:U67"/>
    <mergeCell ref="V66:V67"/>
    <mergeCell ref="W66:W67"/>
    <mergeCell ref="X66:X67"/>
    <mergeCell ref="Y66:Y67"/>
    <mergeCell ref="L66:M67"/>
    <mergeCell ref="N66:O67"/>
    <mergeCell ref="Q66:Q67"/>
    <mergeCell ref="R66:R67"/>
    <mergeCell ref="S66:S67"/>
    <mergeCell ref="L75:M75"/>
    <mergeCell ref="N75:O75"/>
    <mergeCell ref="L76:M76"/>
    <mergeCell ref="N76:O76"/>
    <mergeCell ref="L77:M77"/>
    <mergeCell ref="N77:O77"/>
    <mergeCell ref="L72:M72"/>
    <mergeCell ref="N72:O72"/>
    <mergeCell ref="L73:M73"/>
    <mergeCell ref="N73:O73"/>
    <mergeCell ref="L74:M74"/>
    <mergeCell ref="N74:O74"/>
    <mergeCell ref="L81:M81"/>
    <mergeCell ref="N81:O81"/>
    <mergeCell ref="L82:M82"/>
    <mergeCell ref="N82:O82"/>
    <mergeCell ref="L83:M83"/>
    <mergeCell ref="N83:O83"/>
    <mergeCell ref="L78:M78"/>
    <mergeCell ref="N78:O78"/>
    <mergeCell ref="L79:M79"/>
    <mergeCell ref="N79:O79"/>
    <mergeCell ref="L80:M80"/>
    <mergeCell ref="N80:O80"/>
    <mergeCell ref="L87:M87"/>
    <mergeCell ref="N87:O87"/>
    <mergeCell ref="L88:M88"/>
    <mergeCell ref="N88:O88"/>
    <mergeCell ref="L89:M89"/>
    <mergeCell ref="N89:O89"/>
    <mergeCell ref="L84:M84"/>
    <mergeCell ref="N84:O84"/>
    <mergeCell ref="L85:M85"/>
    <mergeCell ref="N85:O85"/>
    <mergeCell ref="L86:M86"/>
    <mergeCell ref="N86:O86"/>
    <mergeCell ref="L93:M93"/>
    <mergeCell ref="N93:O93"/>
    <mergeCell ref="L94:M94"/>
    <mergeCell ref="N94:O94"/>
    <mergeCell ref="L95:M95"/>
    <mergeCell ref="N95:O95"/>
    <mergeCell ref="L90:M90"/>
    <mergeCell ref="N90:O90"/>
    <mergeCell ref="L91:M91"/>
    <mergeCell ref="N91:O91"/>
    <mergeCell ref="L92:M92"/>
    <mergeCell ref="N92:O92"/>
    <mergeCell ref="L99:M99"/>
    <mergeCell ref="N99:O99"/>
    <mergeCell ref="L100:M100"/>
    <mergeCell ref="N100:O100"/>
    <mergeCell ref="L101:M101"/>
    <mergeCell ref="N101:O101"/>
    <mergeCell ref="L96:M96"/>
    <mergeCell ref="N96:O96"/>
    <mergeCell ref="L97:M97"/>
    <mergeCell ref="N97:O97"/>
    <mergeCell ref="L98:M98"/>
    <mergeCell ref="N98:O98"/>
    <mergeCell ref="L105:M105"/>
    <mergeCell ref="N105:O105"/>
    <mergeCell ref="L106:M106"/>
    <mergeCell ref="N106:O106"/>
    <mergeCell ref="L107:M107"/>
    <mergeCell ref="N107:O107"/>
    <mergeCell ref="L102:M102"/>
    <mergeCell ref="N102:O102"/>
    <mergeCell ref="L103:M103"/>
    <mergeCell ref="N103:O103"/>
    <mergeCell ref="L104:M104"/>
    <mergeCell ref="N104:O104"/>
    <mergeCell ref="L111:M111"/>
    <mergeCell ref="N111:O111"/>
    <mergeCell ref="L112:M112"/>
    <mergeCell ref="N112:O112"/>
    <mergeCell ref="L113:M113"/>
    <mergeCell ref="N113:O113"/>
    <mergeCell ref="L108:M108"/>
    <mergeCell ref="N108:O108"/>
    <mergeCell ref="L109:M109"/>
    <mergeCell ref="N109:O109"/>
    <mergeCell ref="L110:M110"/>
    <mergeCell ref="N110:O110"/>
    <mergeCell ref="L117:M117"/>
    <mergeCell ref="N117:O117"/>
    <mergeCell ref="L118:M118"/>
    <mergeCell ref="N118:O118"/>
    <mergeCell ref="L119:M119"/>
    <mergeCell ref="N119:O119"/>
    <mergeCell ref="L114:M114"/>
    <mergeCell ref="N114:O114"/>
    <mergeCell ref="L115:M115"/>
    <mergeCell ref="N115:O115"/>
    <mergeCell ref="L116:M116"/>
    <mergeCell ref="N116:O116"/>
    <mergeCell ref="L123:M123"/>
    <mergeCell ref="N123:O123"/>
    <mergeCell ref="L124:M124"/>
    <mergeCell ref="N124:O124"/>
    <mergeCell ref="L125:M125"/>
    <mergeCell ref="N125:O125"/>
    <mergeCell ref="L120:M120"/>
    <mergeCell ref="N120:O120"/>
    <mergeCell ref="L121:M121"/>
    <mergeCell ref="N121:O121"/>
    <mergeCell ref="L122:M122"/>
    <mergeCell ref="N122:O122"/>
    <mergeCell ref="L129:M129"/>
    <mergeCell ref="N129:O129"/>
    <mergeCell ref="L130:M130"/>
    <mergeCell ref="N130:O130"/>
    <mergeCell ref="L131:M131"/>
    <mergeCell ref="N131:O131"/>
    <mergeCell ref="L126:M126"/>
    <mergeCell ref="N126:O126"/>
    <mergeCell ref="L127:M127"/>
    <mergeCell ref="N127:O127"/>
    <mergeCell ref="L128:M128"/>
    <mergeCell ref="N128:O128"/>
    <mergeCell ref="L135:M135"/>
    <mergeCell ref="N135:O135"/>
    <mergeCell ref="L136:M136"/>
    <mergeCell ref="N136:O136"/>
    <mergeCell ref="L137:M137"/>
    <mergeCell ref="N137:O137"/>
    <mergeCell ref="L132:M132"/>
    <mergeCell ref="N132:O132"/>
    <mergeCell ref="L133:M133"/>
    <mergeCell ref="N133:O133"/>
    <mergeCell ref="L134:M134"/>
    <mergeCell ref="N134:O134"/>
    <mergeCell ref="L141:M141"/>
    <mergeCell ref="N141:O141"/>
    <mergeCell ref="L142:M142"/>
    <mergeCell ref="N142:O142"/>
    <mergeCell ref="L143:M143"/>
    <mergeCell ref="N143:O143"/>
    <mergeCell ref="L138:M138"/>
    <mergeCell ref="N138:O138"/>
    <mergeCell ref="L139:M139"/>
    <mergeCell ref="N139:O139"/>
    <mergeCell ref="L140:M140"/>
    <mergeCell ref="N140:O140"/>
    <mergeCell ref="L147:M147"/>
    <mergeCell ref="N147:O147"/>
    <mergeCell ref="L148:M148"/>
    <mergeCell ref="N148:O148"/>
    <mergeCell ref="L149:M149"/>
    <mergeCell ref="N149:O149"/>
    <mergeCell ref="L144:M144"/>
    <mergeCell ref="N144:O144"/>
    <mergeCell ref="L145:M145"/>
    <mergeCell ref="N145:O145"/>
    <mergeCell ref="L146:M146"/>
    <mergeCell ref="N146:O146"/>
    <mergeCell ref="L153:M153"/>
    <mergeCell ref="N153:O153"/>
    <mergeCell ref="L154:M154"/>
    <mergeCell ref="N154:O154"/>
    <mergeCell ref="L155:M155"/>
    <mergeCell ref="N155:O155"/>
    <mergeCell ref="L150:M150"/>
    <mergeCell ref="N150:O150"/>
    <mergeCell ref="L151:M151"/>
    <mergeCell ref="N151:O151"/>
    <mergeCell ref="L152:M152"/>
    <mergeCell ref="N152:O152"/>
    <mergeCell ref="L159:M159"/>
    <mergeCell ref="N159:O159"/>
    <mergeCell ref="L160:M160"/>
    <mergeCell ref="N160:O160"/>
    <mergeCell ref="L161:M161"/>
    <mergeCell ref="N161:O161"/>
    <mergeCell ref="L156:M156"/>
    <mergeCell ref="N156:O156"/>
    <mergeCell ref="L157:M157"/>
    <mergeCell ref="N157:O157"/>
    <mergeCell ref="L158:M158"/>
    <mergeCell ref="N158:O158"/>
    <mergeCell ref="L165:M165"/>
    <mergeCell ref="N165:O165"/>
    <mergeCell ref="L166:M166"/>
    <mergeCell ref="N166:O166"/>
    <mergeCell ref="L167:M167"/>
    <mergeCell ref="N167:O167"/>
    <mergeCell ref="L162:M162"/>
    <mergeCell ref="N162:O162"/>
    <mergeCell ref="L163:M163"/>
    <mergeCell ref="N163:O163"/>
    <mergeCell ref="L164:M164"/>
    <mergeCell ref="N164:O164"/>
    <mergeCell ref="L171:M171"/>
    <mergeCell ref="N171:O171"/>
    <mergeCell ref="L172:M172"/>
    <mergeCell ref="N172:O172"/>
    <mergeCell ref="L173:M173"/>
    <mergeCell ref="N173:O173"/>
    <mergeCell ref="L168:M168"/>
    <mergeCell ref="N168:O168"/>
    <mergeCell ref="L169:M169"/>
    <mergeCell ref="N169:O169"/>
    <mergeCell ref="L170:M170"/>
    <mergeCell ref="N170:O170"/>
    <mergeCell ref="L177:M177"/>
    <mergeCell ref="N177:O177"/>
    <mergeCell ref="L178:M178"/>
    <mergeCell ref="N178:O178"/>
    <mergeCell ref="L179:M179"/>
    <mergeCell ref="N179:O179"/>
    <mergeCell ref="L174:M174"/>
    <mergeCell ref="N174:O174"/>
    <mergeCell ref="L175:M175"/>
    <mergeCell ref="N175:O175"/>
    <mergeCell ref="L176:M176"/>
    <mergeCell ref="N176:O176"/>
    <mergeCell ref="L183:M183"/>
    <mergeCell ref="N183:O183"/>
    <mergeCell ref="L184:M184"/>
    <mergeCell ref="N184:O184"/>
    <mergeCell ref="L185:M185"/>
    <mergeCell ref="N185:O185"/>
    <mergeCell ref="L180:M180"/>
    <mergeCell ref="N180:O180"/>
    <mergeCell ref="L181:M181"/>
    <mergeCell ref="N181:O181"/>
    <mergeCell ref="L182:M182"/>
    <mergeCell ref="N182:O182"/>
    <mergeCell ref="L189:M189"/>
    <mergeCell ref="N189:O189"/>
    <mergeCell ref="L190:M190"/>
    <mergeCell ref="N190:O190"/>
    <mergeCell ref="L191:M191"/>
    <mergeCell ref="N191:O191"/>
    <mergeCell ref="L186:M186"/>
    <mergeCell ref="N186:O186"/>
    <mergeCell ref="L187:M187"/>
    <mergeCell ref="N187:O187"/>
    <mergeCell ref="L188:M188"/>
    <mergeCell ref="N188:O188"/>
    <mergeCell ref="L195:M195"/>
    <mergeCell ref="N195:O195"/>
    <mergeCell ref="L196:M196"/>
    <mergeCell ref="N196:O196"/>
    <mergeCell ref="L197:M197"/>
    <mergeCell ref="N197:O197"/>
    <mergeCell ref="L192:M192"/>
    <mergeCell ref="N192:O192"/>
    <mergeCell ref="L193:M193"/>
    <mergeCell ref="N193:O193"/>
    <mergeCell ref="L194:M194"/>
    <mergeCell ref="N194:O194"/>
    <mergeCell ref="L201:M201"/>
    <mergeCell ref="N201:O201"/>
    <mergeCell ref="L202:M202"/>
    <mergeCell ref="N202:O202"/>
    <mergeCell ref="L203:M203"/>
    <mergeCell ref="N203:O203"/>
    <mergeCell ref="L198:M198"/>
    <mergeCell ref="N198:O198"/>
    <mergeCell ref="L199:M199"/>
    <mergeCell ref="N199:O199"/>
    <mergeCell ref="L200:M200"/>
    <mergeCell ref="N200:O200"/>
    <mergeCell ref="L207:M207"/>
    <mergeCell ref="N207:O207"/>
    <mergeCell ref="L208:M208"/>
    <mergeCell ref="N208:O208"/>
    <mergeCell ref="L209:M209"/>
    <mergeCell ref="N209:O209"/>
    <mergeCell ref="L204:M204"/>
    <mergeCell ref="N204:O204"/>
    <mergeCell ref="L205:M205"/>
    <mergeCell ref="N205:O205"/>
    <mergeCell ref="L206:M206"/>
    <mergeCell ref="N206:O206"/>
    <mergeCell ref="L213:M213"/>
    <mergeCell ref="N213:O213"/>
    <mergeCell ref="L214:M214"/>
    <mergeCell ref="N214:O214"/>
    <mergeCell ref="L215:M215"/>
    <mergeCell ref="N215:O215"/>
    <mergeCell ref="L210:M210"/>
    <mergeCell ref="N210:O210"/>
    <mergeCell ref="L211:M211"/>
    <mergeCell ref="N211:O211"/>
    <mergeCell ref="L212:M212"/>
    <mergeCell ref="N212:O212"/>
    <mergeCell ref="L219:M219"/>
    <mergeCell ref="N219:O219"/>
    <mergeCell ref="L220:M220"/>
    <mergeCell ref="N220:O220"/>
    <mergeCell ref="L216:M216"/>
    <mergeCell ref="N216:O216"/>
    <mergeCell ref="L217:M217"/>
    <mergeCell ref="N217:O217"/>
    <mergeCell ref="L218:M218"/>
    <mergeCell ref="N218:O218"/>
  </mergeCells>
  <dataValidations count="1">
    <dataValidation type="list" allowBlank="1" showInputMessage="1" showErrorMessage="1" sqref="M23:M26">
      <formula1>$S$10:$S$14</formula1>
    </dataValidation>
  </dataValidations>
  <hyperlinks>
    <hyperlink ref="T4" location="الرجوع!A1" display="الرجوع!A1"/>
    <hyperlink ref="Q2" location="الرجوع!A1" display="الرجوع!A1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1"/>
  <sheetViews>
    <sheetView rightToLeft="1" view="pageBreakPreview" zoomScale="110" zoomScaleSheetLayoutView="110" workbookViewId="0">
      <selection activeCell="C3" sqref="C3"/>
    </sheetView>
  </sheetViews>
  <sheetFormatPr baseColWidth="10" defaultRowHeight="15"/>
  <cols>
    <col min="1" max="1" width="5.7109375" customWidth="1"/>
    <col min="2" max="2" width="12.85546875" customWidth="1"/>
    <col min="3" max="3" width="12.5703125" customWidth="1"/>
    <col min="4" max="4" width="13.28515625" customWidth="1"/>
    <col min="5" max="5" width="9.5703125" customWidth="1"/>
    <col min="7" max="7" width="19.85546875" customWidth="1"/>
  </cols>
  <sheetData>
    <row r="1" spans="1:14" ht="18">
      <c r="A1" s="1314" t="s">
        <v>78</v>
      </c>
      <c r="B1" s="1314"/>
      <c r="C1" s="1314"/>
      <c r="D1" s="1314"/>
      <c r="E1" s="1314"/>
      <c r="F1" s="1314"/>
      <c r="G1" s="1049"/>
      <c r="H1" s="1049"/>
      <c r="I1" s="1049"/>
      <c r="J1" s="1049"/>
      <c r="K1" s="1049"/>
      <c r="L1" s="1049"/>
      <c r="M1" s="1049"/>
      <c r="N1" s="1049"/>
    </row>
    <row r="2" spans="1:14" ht="18">
      <c r="A2" s="1314" t="s">
        <v>79</v>
      </c>
      <c r="B2" s="1314"/>
      <c r="C2" s="1314"/>
      <c r="D2" s="1314"/>
      <c r="E2" s="1314"/>
      <c r="F2" s="1314"/>
      <c r="G2" s="1049"/>
      <c r="H2" s="1049"/>
      <c r="I2" s="1049"/>
      <c r="J2" s="1049"/>
      <c r="K2" s="1049"/>
      <c r="L2" s="1049"/>
      <c r="M2" s="1049"/>
      <c r="N2" s="1049"/>
    </row>
    <row r="3" spans="1:14" ht="18">
      <c r="A3" s="168" t="s">
        <v>220</v>
      </c>
      <c r="B3" s="1048"/>
      <c r="C3" s="1048"/>
      <c r="D3" s="1048"/>
      <c r="E3" s="1048"/>
      <c r="F3" s="1048"/>
      <c r="G3" s="1058" t="s">
        <v>2259</v>
      </c>
      <c r="H3" s="1048"/>
      <c r="I3" s="1048"/>
      <c r="J3" s="1048"/>
      <c r="K3" s="1048"/>
      <c r="L3" s="1048"/>
      <c r="M3" s="33"/>
      <c r="N3" s="33"/>
    </row>
    <row r="4" spans="1:14" ht="18">
      <c r="A4" s="168" t="s">
        <v>444</v>
      </c>
      <c r="B4" s="1048"/>
      <c r="C4" s="1048"/>
      <c r="D4" s="1048"/>
      <c r="E4" s="1048"/>
      <c r="F4" s="1048"/>
      <c r="G4" s="1048"/>
      <c r="H4" s="1048"/>
      <c r="I4" s="1048"/>
      <c r="J4" s="1048"/>
      <c r="K4" s="1048"/>
      <c r="L4" s="1048"/>
      <c r="M4" s="33"/>
      <c r="N4" s="33"/>
    </row>
    <row r="5" spans="1:14" s="1047" customFormat="1" ht="18">
      <c r="A5" s="168"/>
      <c r="B5" s="1048"/>
      <c r="C5" s="1048"/>
      <c r="D5" s="1048"/>
      <c r="E5" s="1048"/>
      <c r="F5" s="1048"/>
      <c r="G5" s="1048"/>
      <c r="H5" s="1048"/>
      <c r="I5" s="1048"/>
      <c r="J5" s="1048"/>
      <c r="K5" s="1048"/>
      <c r="L5" s="1048"/>
      <c r="M5" s="33"/>
      <c r="N5" s="33"/>
    </row>
    <row r="6" spans="1:14" s="1047" customFormat="1" ht="18">
      <c r="A6" s="168"/>
      <c r="B6" s="1636" t="s">
        <v>2254</v>
      </c>
      <c r="C6" s="1636"/>
      <c r="D6" s="1636"/>
      <c r="E6" s="1636"/>
      <c r="F6" s="1636"/>
      <c r="G6" s="1048"/>
      <c r="H6" s="1048"/>
      <c r="I6" s="1048"/>
      <c r="J6" s="1048"/>
      <c r="K6" s="1048"/>
      <c r="L6" s="1048"/>
      <c r="M6" s="33"/>
      <c r="N6" s="33"/>
    </row>
    <row r="7" spans="1:14" ht="18.75">
      <c r="B7" s="1059" t="s">
        <v>2255</v>
      </c>
      <c r="C7" s="1059"/>
      <c r="D7" s="1059"/>
      <c r="E7" s="1059"/>
    </row>
    <row r="10" spans="1:14" ht="18.75">
      <c r="A10" s="18" t="s">
        <v>258</v>
      </c>
      <c r="B10" s="18" t="s">
        <v>2249</v>
      </c>
      <c r="C10" s="18" t="s">
        <v>2250</v>
      </c>
      <c r="D10" s="18" t="s">
        <v>2251</v>
      </c>
      <c r="E10" s="18" t="s">
        <v>2252</v>
      </c>
      <c r="F10" s="18" t="s">
        <v>2253</v>
      </c>
      <c r="G10" s="18"/>
    </row>
    <row r="11" spans="1:14" ht="18.75">
      <c r="A11" s="18">
        <v>1</v>
      </c>
      <c r="B11" s="972" t="s">
        <v>867</v>
      </c>
      <c r="C11" s="972" t="s">
        <v>1644</v>
      </c>
      <c r="D11" s="1050">
        <v>39481</v>
      </c>
      <c r="E11" s="1051" t="s">
        <v>90</v>
      </c>
      <c r="F11" s="1634" t="s">
        <v>803</v>
      </c>
      <c r="G11" s="1635"/>
    </row>
    <row r="12" spans="1:14" ht="18.75">
      <c r="A12" s="18">
        <v>2</v>
      </c>
      <c r="B12" s="972" t="s">
        <v>1651</v>
      </c>
      <c r="C12" s="972" t="s">
        <v>1652</v>
      </c>
      <c r="D12" s="1050">
        <v>39514</v>
      </c>
      <c r="E12" s="1051" t="s">
        <v>90</v>
      </c>
      <c r="F12" s="1634" t="s">
        <v>806</v>
      </c>
      <c r="G12" s="1635"/>
    </row>
    <row r="13" spans="1:14" ht="18.75">
      <c r="A13" s="18">
        <v>3</v>
      </c>
      <c r="B13" s="1050" t="s">
        <v>519</v>
      </c>
      <c r="C13" s="1050" t="s">
        <v>2207</v>
      </c>
      <c r="D13" s="1050">
        <v>39516</v>
      </c>
      <c r="E13" s="1051" t="s">
        <v>90</v>
      </c>
      <c r="F13" s="1634" t="s">
        <v>2194</v>
      </c>
      <c r="G13" s="1635"/>
    </row>
    <row r="14" spans="1:14" ht="18.75">
      <c r="A14" s="18">
        <v>4</v>
      </c>
      <c r="B14" s="972" t="s">
        <v>695</v>
      </c>
      <c r="C14" s="972" t="s">
        <v>1956</v>
      </c>
      <c r="D14" s="1050">
        <v>39698</v>
      </c>
      <c r="E14" s="419" t="s">
        <v>90</v>
      </c>
      <c r="F14" s="1634" t="s">
        <v>917</v>
      </c>
      <c r="G14" s="1635"/>
    </row>
    <row r="15" spans="1:14" ht="32.25">
      <c r="A15" s="18">
        <v>5</v>
      </c>
      <c r="B15" s="972" t="s">
        <v>1671</v>
      </c>
      <c r="C15" s="972" t="s">
        <v>1672</v>
      </c>
      <c r="D15" s="1050">
        <v>39449</v>
      </c>
      <c r="E15" s="1051" t="s">
        <v>90</v>
      </c>
      <c r="F15" s="1634" t="s">
        <v>1887</v>
      </c>
      <c r="G15" s="1635"/>
    </row>
    <row r="16" spans="1:14" ht="32.25">
      <c r="A16" s="18">
        <v>6</v>
      </c>
      <c r="B16" s="972" t="s">
        <v>1749</v>
      </c>
      <c r="C16" s="972" t="s">
        <v>1750</v>
      </c>
      <c r="D16" s="1050">
        <v>39674</v>
      </c>
      <c r="E16" s="1051" t="s">
        <v>133</v>
      </c>
      <c r="F16" s="720" t="s">
        <v>1891</v>
      </c>
      <c r="G16" s="1060"/>
    </row>
    <row r="17" spans="1:7" ht="32.25">
      <c r="A17" s="18">
        <v>7</v>
      </c>
      <c r="B17" s="972" t="s">
        <v>1343</v>
      </c>
      <c r="C17" s="972" t="s">
        <v>1751</v>
      </c>
      <c r="D17" s="1050">
        <v>39526</v>
      </c>
      <c r="E17" s="1051" t="s">
        <v>90</v>
      </c>
      <c r="F17" s="720" t="s">
        <v>2059</v>
      </c>
      <c r="G17" s="1060"/>
    </row>
    <row r="18" spans="1:7" ht="18.75">
      <c r="A18" s="18">
        <v>8</v>
      </c>
      <c r="B18" s="972" t="s">
        <v>1727</v>
      </c>
      <c r="C18" s="972" t="s">
        <v>1728</v>
      </c>
      <c r="D18" s="1050">
        <v>39515</v>
      </c>
      <c r="E18" s="1051" t="s">
        <v>90</v>
      </c>
      <c r="F18" s="720" t="s">
        <v>527</v>
      </c>
      <c r="G18" s="1060"/>
    </row>
    <row r="19" spans="1:7" ht="18.75">
      <c r="A19" s="18">
        <v>9</v>
      </c>
      <c r="B19" s="972" t="s">
        <v>872</v>
      </c>
      <c r="C19" s="972" t="s">
        <v>2203</v>
      </c>
      <c r="D19" s="1050">
        <v>39516</v>
      </c>
      <c r="E19" s="419" t="s">
        <v>90</v>
      </c>
      <c r="F19" s="1061" t="s">
        <v>2208</v>
      </c>
      <c r="G19" s="1062"/>
    </row>
    <row r="20" spans="1:7" ht="18.75">
      <c r="A20" s="18">
        <v>10</v>
      </c>
      <c r="B20" s="972" t="s">
        <v>168</v>
      </c>
      <c r="C20" s="972" t="s">
        <v>1766</v>
      </c>
      <c r="D20" s="1050">
        <v>39451</v>
      </c>
      <c r="E20" s="1051" t="s">
        <v>90</v>
      </c>
      <c r="F20" s="720" t="s">
        <v>2156</v>
      </c>
      <c r="G20" s="1060"/>
    </row>
    <row r="21" spans="1:7" ht="18.75">
      <c r="A21" s="18">
        <v>11</v>
      </c>
      <c r="B21" s="972" t="s">
        <v>1836</v>
      </c>
      <c r="C21" s="972" t="s">
        <v>1837</v>
      </c>
      <c r="D21" s="1050">
        <v>39575</v>
      </c>
      <c r="E21" s="1051" t="s">
        <v>90</v>
      </c>
      <c r="F21" s="720" t="s">
        <v>183</v>
      </c>
      <c r="G21" s="1060"/>
    </row>
    <row r="22" spans="1:7" ht="18.75">
      <c r="A22" s="18">
        <v>12</v>
      </c>
      <c r="B22" s="972" t="s">
        <v>1845</v>
      </c>
      <c r="C22" s="972" t="s">
        <v>1846</v>
      </c>
      <c r="D22" s="1050">
        <v>39452</v>
      </c>
      <c r="E22" s="1051" t="s">
        <v>90</v>
      </c>
      <c r="F22" s="720" t="s">
        <v>195</v>
      </c>
      <c r="G22" s="1060"/>
    </row>
    <row r="23" spans="1:7" ht="18.75">
      <c r="A23" s="18">
        <v>13</v>
      </c>
      <c r="B23" s="972" t="s">
        <v>791</v>
      </c>
      <c r="C23" s="972" t="s">
        <v>991</v>
      </c>
      <c r="D23" s="1050">
        <v>39548</v>
      </c>
      <c r="E23" s="1051" t="s">
        <v>178</v>
      </c>
      <c r="F23" s="720" t="s">
        <v>195</v>
      </c>
      <c r="G23" s="1060"/>
    </row>
    <row r="24" spans="1:7" ht="18.75">
      <c r="A24" s="18">
        <v>14</v>
      </c>
      <c r="B24" s="972" t="s">
        <v>16</v>
      </c>
      <c r="C24" s="972" t="s">
        <v>2082</v>
      </c>
      <c r="D24" s="1050">
        <v>39498</v>
      </c>
      <c r="E24" s="1038" t="s">
        <v>90</v>
      </c>
      <c r="F24" s="720" t="s">
        <v>2157</v>
      </c>
      <c r="G24" s="1060"/>
    </row>
    <row r="25" spans="1:7" ht="18.75">
      <c r="A25" s="18">
        <v>15</v>
      </c>
      <c r="B25" s="972" t="s">
        <v>167</v>
      </c>
      <c r="C25" s="972" t="s">
        <v>790</v>
      </c>
      <c r="D25" s="1050">
        <v>39524</v>
      </c>
      <c r="E25" s="267" t="s">
        <v>90</v>
      </c>
      <c r="F25" s="1634" t="s">
        <v>108</v>
      </c>
      <c r="G25" s="1635"/>
    </row>
    <row r="26" spans="1:7" ht="18.75">
      <c r="A26" s="18">
        <v>16</v>
      </c>
      <c r="B26" s="972" t="s">
        <v>1351</v>
      </c>
      <c r="C26" s="972" t="s">
        <v>196</v>
      </c>
      <c r="D26" s="1050">
        <v>39687</v>
      </c>
      <c r="E26" s="595" t="s">
        <v>90</v>
      </c>
      <c r="F26" s="720" t="s">
        <v>2060</v>
      </c>
      <c r="G26" s="1060"/>
    </row>
    <row r="27" spans="1:7" ht="18.75">
      <c r="A27" s="18">
        <v>17</v>
      </c>
      <c r="B27" s="972" t="s">
        <v>2003</v>
      </c>
      <c r="C27" s="972" t="s">
        <v>105</v>
      </c>
      <c r="D27" s="1050">
        <v>39633</v>
      </c>
      <c r="E27" s="1052" t="s">
        <v>90</v>
      </c>
      <c r="F27" s="720" t="s">
        <v>176</v>
      </c>
      <c r="G27" s="1060"/>
    </row>
    <row r="28" spans="1:7" ht="18.75">
      <c r="A28" s="18">
        <v>18</v>
      </c>
      <c r="B28" s="972" t="s">
        <v>2025</v>
      </c>
      <c r="C28" s="972" t="s">
        <v>789</v>
      </c>
      <c r="D28" s="1050">
        <v>39585</v>
      </c>
      <c r="E28" s="266" t="s">
        <v>90</v>
      </c>
      <c r="F28" s="720" t="s">
        <v>2073</v>
      </c>
      <c r="G28" s="1060"/>
    </row>
    <row r="29" spans="1:7" ht="32.25">
      <c r="A29" s="18">
        <v>19</v>
      </c>
      <c r="B29" s="972" t="s">
        <v>2091</v>
      </c>
      <c r="C29" s="972" t="s">
        <v>2092</v>
      </c>
      <c r="D29" s="1050">
        <v>39811</v>
      </c>
      <c r="E29" s="266" t="s">
        <v>90</v>
      </c>
      <c r="F29" s="1634" t="s">
        <v>108</v>
      </c>
      <c r="G29" s="1635"/>
    </row>
    <row r="30" spans="1:7" ht="18.75">
      <c r="A30" s="18">
        <v>20</v>
      </c>
      <c r="B30" s="972" t="s">
        <v>1989</v>
      </c>
      <c r="C30" s="972" t="s">
        <v>1776</v>
      </c>
      <c r="D30" s="1050">
        <v>39474</v>
      </c>
      <c r="E30" s="1053" t="s">
        <v>90</v>
      </c>
      <c r="F30" s="720" t="s">
        <v>1967</v>
      </c>
      <c r="G30" s="1060"/>
    </row>
    <row r="31" spans="1:7" ht="18.75">
      <c r="A31" s="18">
        <v>21</v>
      </c>
      <c r="B31" s="972" t="s">
        <v>1999</v>
      </c>
      <c r="C31" s="972" t="s">
        <v>1884</v>
      </c>
      <c r="D31" s="1050">
        <v>39534</v>
      </c>
      <c r="E31" s="1054" t="s">
        <v>90</v>
      </c>
      <c r="F31" s="720" t="s">
        <v>915</v>
      </c>
      <c r="G31" s="1060"/>
    </row>
    <row r="32" spans="1:7" ht="18.75">
      <c r="A32" s="18">
        <v>22</v>
      </c>
      <c r="B32" s="972" t="s">
        <v>530</v>
      </c>
      <c r="C32" s="972" t="s">
        <v>169</v>
      </c>
      <c r="D32" s="1050">
        <v>39608</v>
      </c>
      <c r="E32" s="263" t="s">
        <v>90</v>
      </c>
      <c r="F32" s="720" t="s">
        <v>2064</v>
      </c>
      <c r="G32" s="1060"/>
    </row>
    <row r="33" spans="1:7" ht="18.75">
      <c r="A33" s="18">
        <v>23</v>
      </c>
      <c r="B33" s="972" t="s">
        <v>1721</v>
      </c>
      <c r="C33" s="972" t="s">
        <v>1722</v>
      </c>
      <c r="D33" s="1050">
        <v>39546</v>
      </c>
      <c r="E33" s="1051" t="s">
        <v>90</v>
      </c>
      <c r="F33" s="720" t="s">
        <v>1889</v>
      </c>
      <c r="G33" s="1060"/>
    </row>
    <row r="34" spans="1:7" ht="18.75">
      <c r="A34" s="18">
        <v>24</v>
      </c>
      <c r="B34" s="972" t="s">
        <v>905</v>
      </c>
      <c r="C34" s="972" t="s">
        <v>991</v>
      </c>
      <c r="D34" s="1050">
        <v>39492</v>
      </c>
      <c r="E34" s="266" t="s">
        <v>90</v>
      </c>
      <c r="F34" s="720" t="s">
        <v>2158</v>
      </c>
      <c r="G34" s="1060"/>
    </row>
    <row r="35" spans="1:7" ht="18.75">
      <c r="A35" s="18">
        <v>25</v>
      </c>
      <c r="B35" s="972" t="s">
        <v>1610</v>
      </c>
      <c r="C35" s="972" t="s">
        <v>880</v>
      </c>
      <c r="D35" s="1050">
        <v>39780</v>
      </c>
      <c r="E35" s="216" t="s">
        <v>90</v>
      </c>
      <c r="F35" s="720" t="s">
        <v>1880</v>
      </c>
      <c r="G35" s="1060"/>
    </row>
    <row r="36" spans="1:7" ht="18.75">
      <c r="A36" s="18">
        <v>26</v>
      </c>
      <c r="B36" s="972" t="s">
        <v>1669</v>
      </c>
      <c r="C36" s="972" t="s">
        <v>105</v>
      </c>
      <c r="D36" s="1050">
        <v>39590</v>
      </c>
      <c r="E36" s="592" t="s">
        <v>90</v>
      </c>
      <c r="F36" s="720" t="s">
        <v>195</v>
      </c>
      <c r="G36" s="1060"/>
    </row>
    <row r="37" spans="1:7" ht="18.75">
      <c r="A37" s="18">
        <v>27</v>
      </c>
      <c r="B37" s="972" t="s">
        <v>2027</v>
      </c>
      <c r="C37" s="972" t="s">
        <v>2028</v>
      </c>
      <c r="D37" s="1050">
        <v>39729</v>
      </c>
      <c r="E37" s="1052" t="s">
        <v>104</v>
      </c>
      <c r="F37" s="720" t="s">
        <v>1464</v>
      </c>
      <c r="G37" s="1060"/>
    </row>
    <row r="38" spans="1:7" ht="18.75">
      <c r="A38" s="18">
        <v>28</v>
      </c>
      <c r="B38" s="972" t="s">
        <v>1990</v>
      </c>
      <c r="C38" s="972" t="s">
        <v>991</v>
      </c>
      <c r="D38" s="1050">
        <v>39561</v>
      </c>
      <c r="E38" s="592" t="s">
        <v>90</v>
      </c>
      <c r="F38" s="720" t="s">
        <v>195</v>
      </c>
      <c r="G38" s="1060"/>
    </row>
    <row r="39" spans="1:7" ht="18.75">
      <c r="A39" s="18">
        <v>29</v>
      </c>
      <c r="B39" s="972" t="s">
        <v>2012</v>
      </c>
      <c r="C39" s="972" t="s">
        <v>1155</v>
      </c>
      <c r="D39" s="1050">
        <v>39743</v>
      </c>
      <c r="E39" s="266" t="s">
        <v>104</v>
      </c>
      <c r="F39" s="720" t="s">
        <v>2072</v>
      </c>
      <c r="G39" s="1060"/>
    </row>
    <row r="40" spans="1:7" ht="32.25">
      <c r="A40" s="18">
        <v>30</v>
      </c>
      <c r="B40" s="972" t="s">
        <v>2018</v>
      </c>
      <c r="C40" s="972" t="s">
        <v>2019</v>
      </c>
      <c r="D40" s="1050">
        <v>39699</v>
      </c>
      <c r="E40" s="1051" t="s">
        <v>104</v>
      </c>
      <c r="F40" s="720" t="s">
        <v>936</v>
      </c>
      <c r="G40" s="1060"/>
    </row>
    <row r="41" spans="1:7" ht="32.25">
      <c r="A41" s="18">
        <v>31</v>
      </c>
      <c r="B41" s="972" t="s">
        <v>188</v>
      </c>
      <c r="C41" s="972" t="s">
        <v>2007</v>
      </c>
      <c r="D41" s="1050">
        <v>39724</v>
      </c>
      <c r="E41" s="1053" t="s">
        <v>90</v>
      </c>
      <c r="F41" s="720" t="s">
        <v>916</v>
      </c>
      <c r="G41" s="1060"/>
    </row>
    <row r="42" spans="1:7" ht="18.75">
      <c r="A42" s="18">
        <v>32</v>
      </c>
      <c r="B42" s="972" t="s">
        <v>1996</v>
      </c>
      <c r="C42" s="972" t="s">
        <v>1997</v>
      </c>
      <c r="D42" s="1050">
        <v>39672</v>
      </c>
      <c r="E42" s="592" t="s">
        <v>178</v>
      </c>
      <c r="F42" s="720" t="s">
        <v>2084</v>
      </c>
      <c r="G42" s="1060"/>
    </row>
    <row r="43" spans="1:7" ht="18.75">
      <c r="A43" s="18">
        <v>33</v>
      </c>
      <c r="B43" s="972" t="s">
        <v>530</v>
      </c>
      <c r="C43" s="972" t="s">
        <v>1069</v>
      </c>
      <c r="D43" s="1050">
        <v>39804</v>
      </c>
      <c r="E43" s="266" t="s">
        <v>104</v>
      </c>
      <c r="F43" s="720" t="s">
        <v>2076</v>
      </c>
      <c r="G43" s="1060"/>
    </row>
    <row r="44" spans="1:7" ht="32.25">
      <c r="A44" s="18">
        <v>34</v>
      </c>
      <c r="B44" s="972" t="s">
        <v>2010</v>
      </c>
      <c r="C44" s="972" t="s">
        <v>2011</v>
      </c>
      <c r="D44" s="1050">
        <v>39534</v>
      </c>
      <c r="E44" s="1054" t="s">
        <v>90</v>
      </c>
      <c r="F44" s="720" t="s">
        <v>2066</v>
      </c>
      <c r="G44" s="1060"/>
    </row>
    <row r="45" spans="1:7" ht="32.25">
      <c r="A45" s="18">
        <v>35</v>
      </c>
      <c r="B45" s="972" t="s">
        <v>984</v>
      </c>
      <c r="C45" s="972" t="s">
        <v>2038</v>
      </c>
      <c r="D45" s="1050">
        <v>39694</v>
      </c>
      <c r="E45" s="267" t="s">
        <v>90</v>
      </c>
      <c r="F45" s="720" t="s">
        <v>2199</v>
      </c>
      <c r="G45" s="1060"/>
    </row>
    <row r="46" spans="1:7" ht="18.75">
      <c r="A46" s="18">
        <v>36</v>
      </c>
      <c r="B46" s="972" t="s">
        <v>2013</v>
      </c>
      <c r="C46" s="972" t="s">
        <v>2014</v>
      </c>
      <c r="D46" s="1050">
        <v>39732</v>
      </c>
      <c r="E46" s="1054" t="s">
        <v>104</v>
      </c>
      <c r="F46" s="720" t="s">
        <v>505</v>
      </c>
      <c r="G46" s="1060"/>
    </row>
    <row r="47" spans="1:7" ht="18.75">
      <c r="A47" s="18">
        <v>37</v>
      </c>
      <c r="B47" s="972" t="s">
        <v>1301</v>
      </c>
      <c r="C47" s="972" t="s">
        <v>2002</v>
      </c>
      <c r="D47" s="1050">
        <v>39618</v>
      </c>
      <c r="E47" s="263" t="s">
        <v>104</v>
      </c>
      <c r="F47" s="720" t="s">
        <v>801</v>
      </c>
      <c r="G47" s="1060"/>
    </row>
    <row r="48" spans="1:7" ht="18.75">
      <c r="A48" s="18">
        <v>38</v>
      </c>
      <c r="B48" s="972" t="s">
        <v>2034</v>
      </c>
      <c r="C48" s="972" t="s">
        <v>189</v>
      </c>
      <c r="D48" s="1050">
        <v>39664</v>
      </c>
      <c r="E48" s="267" t="s">
        <v>90</v>
      </c>
      <c r="F48" s="720" t="s">
        <v>129</v>
      </c>
      <c r="G48" s="1060"/>
    </row>
    <row r="49" spans="1:7" ht="18.75">
      <c r="A49" s="18">
        <v>39</v>
      </c>
      <c r="B49" s="972" t="s">
        <v>1991</v>
      </c>
      <c r="C49" s="972" t="s">
        <v>1992</v>
      </c>
      <c r="D49" s="1050">
        <v>39805</v>
      </c>
      <c r="E49" s="592" t="s">
        <v>90</v>
      </c>
      <c r="F49" s="720" t="s">
        <v>2061</v>
      </c>
      <c r="G49" s="1060"/>
    </row>
    <row r="50" spans="1:7" ht="32.25">
      <c r="A50" s="18">
        <v>40</v>
      </c>
      <c r="B50" s="972" t="s">
        <v>1991</v>
      </c>
      <c r="C50" s="972" t="s">
        <v>2004</v>
      </c>
      <c r="D50" s="1050">
        <v>39716</v>
      </c>
      <c r="E50" s="419" t="s">
        <v>90</v>
      </c>
      <c r="F50" s="720" t="s">
        <v>2074</v>
      </c>
      <c r="G50" s="1060"/>
    </row>
    <row r="51" spans="1:7" ht="18.75">
      <c r="A51" s="18">
        <v>41</v>
      </c>
      <c r="B51" s="972" t="s">
        <v>851</v>
      </c>
      <c r="C51" s="972" t="s">
        <v>697</v>
      </c>
      <c r="D51" s="1050">
        <v>39793</v>
      </c>
      <c r="E51" s="595" t="s">
        <v>90</v>
      </c>
      <c r="F51" s="720" t="s">
        <v>2062</v>
      </c>
      <c r="G51" s="1060"/>
    </row>
    <row r="52" spans="1:7" ht="18.75">
      <c r="A52" s="18">
        <v>42</v>
      </c>
      <c r="B52" s="972" t="s">
        <v>1993</v>
      </c>
      <c r="C52" s="972" t="s">
        <v>1994</v>
      </c>
      <c r="D52" s="1050">
        <v>39711</v>
      </c>
      <c r="E52" s="595" t="s">
        <v>104</v>
      </c>
      <c r="F52" s="720" t="s">
        <v>2159</v>
      </c>
      <c r="G52" s="1060"/>
    </row>
    <row r="53" spans="1:7" ht="18.75">
      <c r="A53" s="18">
        <v>43</v>
      </c>
      <c r="B53" s="972" t="s">
        <v>1995</v>
      </c>
      <c r="C53" s="972" t="s">
        <v>98</v>
      </c>
      <c r="D53" s="1050">
        <v>39543</v>
      </c>
      <c r="E53" s="592" t="s">
        <v>90</v>
      </c>
      <c r="F53" s="720" t="s">
        <v>2063</v>
      </c>
      <c r="G53" s="1060"/>
    </row>
    <row r="54" spans="1:7" ht="18.75">
      <c r="A54" s="18">
        <v>44</v>
      </c>
      <c r="B54" s="972" t="s">
        <v>2009</v>
      </c>
      <c r="C54" s="972" t="s">
        <v>1062</v>
      </c>
      <c r="D54" s="1050">
        <v>39760</v>
      </c>
      <c r="E54" s="419" t="s">
        <v>90</v>
      </c>
      <c r="F54" s="720" t="s">
        <v>2160</v>
      </c>
      <c r="G54" s="1060"/>
    </row>
    <row r="55" spans="1:7" ht="18.75">
      <c r="A55" s="18">
        <v>45</v>
      </c>
      <c r="B55" s="972" t="s">
        <v>906</v>
      </c>
      <c r="C55" s="972" t="s">
        <v>2022</v>
      </c>
      <c r="D55" s="1050">
        <v>39580</v>
      </c>
      <c r="E55" s="266" t="s">
        <v>90</v>
      </c>
      <c r="F55" s="720" t="s">
        <v>2069</v>
      </c>
      <c r="G55" s="1060"/>
    </row>
    <row r="56" spans="1:7" ht="18.75">
      <c r="A56" s="18">
        <v>46</v>
      </c>
      <c r="B56" s="972" t="s">
        <v>2023</v>
      </c>
      <c r="C56" s="972" t="s">
        <v>2024</v>
      </c>
      <c r="D56" s="1050">
        <v>39520</v>
      </c>
      <c r="E56" s="266" t="s">
        <v>90</v>
      </c>
      <c r="F56" s="720" t="s">
        <v>804</v>
      </c>
      <c r="G56" s="1060"/>
    </row>
    <row r="57" spans="1:7" ht="18.75">
      <c r="A57" s="18">
        <v>47</v>
      </c>
      <c r="B57" s="972" t="s">
        <v>519</v>
      </c>
      <c r="C57" s="972" t="s">
        <v>1021</v>
      </c>
      <c r="D57" s="1050">
        <v>39809</v>
      </c>
      <c r="E57" s="1051" t="s">
        <v>90</v>
      </c>
      <c r="F57" s="720" t="s">
        <v>2070</v>
      </c>
      <c r="G57" s="1060"/>
    </row>
    <row r="58" spans="1:7" ht="18.75">
      <c r="A58" s="18">
        <v>48</v>
      </c>
      <c r="B58" s="972" t="s">
        <v>1752</v>
      </c>
      <c r="C58" s="972" t="s">
        <v>2033</v>
      </c>
      <c r="D58" s="1050">
        <v>39550</v>
      </c>
      <c r="E58" s="266" t="s">
        <v>90</v>
      </c>
      <c r="F58" s="720" t="s">
        <v>1461</v>
      </c>
      <c r="G58" s="1060"/>
    </row>
    <row r="59" spans="1:7" ht="18.75">
      <c r="A59" s="18">
        <v>49</v>
      </c>
      <c r="B59" s="972" t="s">
        <v>538</v>
      </c>
      <c r="C59" s="972" t="s">
        <v>118</v>
      </c>
      <c r="D59" s="1050">
        <v>39573</v>
      </c>
      <c r="E59" s="266" t="s">
        <v>104</v>
      </c>
      <c r="F59" s="1634" t="s">
        <v>800</v>
      </c>
      <c r="G59" s="1635"/>
    </row>
    <row r="60" spans="1:7" ht="32.25">
      <c r="A60" s="18">
        <v>50</v>
      </c>
      <c r="B60" s="972" t="s">
        <v>2056</v>
      </c>
      <c r="C60" s="972" t="s">
        <v>2057</v>
      </c>
      <c r="D60" s="1050">
        <v>39507</v>
      </c>
      <c r="E60" s="1053" t="s">
        <v>133</v>
      </c>
      <c r="F60" s="720" t="s">
        <v>183</v>
      </c>
      <c r="G60" s="1060"/>
    </row>
    <row r="61" spans="1:7" ht="18.75">
      <c r="A61" s="18">
        <v>51</v>
      </c>
      <c r="B61" s="972" t="s">
        <v>2045</v>
      </c>
      <c r="C61" s="972" t="s">
        <v>2046</v>
      </c>
      <c r="D61" s="1050">
        <v>39627</v>
      </c>
      <c r="E61" s="1053" t="s">
        <v>90</v>
      </c>
      <c r="F61" s="720" t="s">
        <v>801</v>
      </c>
      <c r="G61" s="1060"/>
    </row>
    <row r="62" spans="1:7" ht="18.75">
      <c r="A62" s="18">
        <v>52</v>
      </c>
      <c r="B62" s="972" t="s">
        <v>2039</v>
      </c>
      <c r="C62" s="972" t="s">
        <v>2040</v>
      </c>
      <c r="D62" s="1050">
        <v>39459</v>
      </c>
      <c r="E62" s="1053" t="s">
        <v>90</v>
      </c>
      <c r="F62" s="720" t="s">
        <v>1882</v>
      </c>
      <c r="G62" s="1060"/>
    </row>
    <row r="63" spans="1:7" ht="18.75">
      <c r="A63" s="18">
        <v>53</v>
      </c>
      <c r="B63" s="972" t="s">
        <v>2047</v>
      </c>
      <c r="C63" s="972" t="s">
        <v>2048</v>
      </c>
      <c r="D63" s="1050">
        <v>39586</v>
      </c>
      <c r="E63" s="1053" t="s">
        <v>90</v>
      </c>
      <c r="F63" s="720" t="s">
        <v>2078</v>
      </c>
      <c r="G63" s="1060"/>
    </row>
    <row r="64" spans="1:7" ht="18.75">
      <c r="A64" s="18">
        <v>54</v>
      </c>
      <c r="B64" s="972" t="s">
        <v>2041</v>
      </c>
      <c r="C64" s="972" t="s">
        <v>2042</v>
      </c>
      <c r="D64" s="1050">
        <v>39795</v>
      </c>
      <c r="E64" s="1053" t="s">
        <v>90</v>
      </c>
      <c r="F64" s="720" t="s">
        <v>1196</v>
      </c>
      <c r="G64" s="1060"/>
    </row>
    <row r="65" spans="1:7" ht="18.75">
      <c r="A65" s="18">
        <v>55</v>
      </c>
      <c r="B65" s="972" t="s">
        <v>2049</v>
      </c>
      <c r="C65" s="972" t="s">
        <v>94</v>
      </c>
      <c r="D65" s="1050">
        <v>39466</v>
      </c>
      <c r="E65" s="1053" t="s">
        <v>104</v>
      </c>
      <c r="F65" s="720" t="s">
        <v>799</v>
      </c>
      <c r="G65" s="1060"/>
    </row>
    <row r="66" spans="1:7" ht="18.75">
      <c r="A66" s="18">
        <v>56</v>
      </c>
      <c r="B66" s="972" t="s">
        <v>906</v>
      </c>
      <c r="C66" s="972" t="s">
        <v>894</v>
      </c>
      <c r="D66" s="1050">
        <v>39632</v>
      </c>
      <c r="E66" s="1053" t="s">
        <v>90</v>
      </c>
      <c r="F66" s="720" t="s">
        <v>1473</v>
      </c>
      <c r="G66" s="1060"/>
    </row>
    <row r="67" spans="1:7" ht="18.75">
      <c r="A67" s="18">
        <v>57</v>
      </c>
      <c r="B67" s="972" t="s">
        <v>2090</v>
      </c>
      <c r="C67" s="972" t="s">
        <v>1523</v>
      </c>
      <c r="D67" s="1050">
        <v>39488</v>
      </c>
      <c r="E67" s="1053" t="s">
        <v>90</v>
      </c>
      <c r="F67" s="720" t="s">
        <v>802</v>
      </c>
      <c r="G67" s="1060"/>
    </row>
    <row r="68" spans="1:7" ht="18.75">
      <c r="A68" s="18">
        <v>58</v>
      </c>
      <c r="B68" s="972" t="s">
        <v>1589</v>
      </c>
      <c r="C68" s="972" t="s">
        <v>2050</v>
      </c>
      <c r="D68" s="1050">
        <v>39490</v>
      </c>
      <c r="E68" s="1053" t="s">
        <v>90</v>
      </c>
      <c r="F68" s="720" t="s">
        <v>1882</v>
      </c>
      <c r="G68" s="1060"/>
    </row>
    <row r="69" spans="1:7" ht="18.75">
      <c r="A69" s="18">
        <v>59</v>
      </c>
      <c r="B69" s="972" t="s">
        <v>906</v>
      </c>
      <c r="C69" s="972" t="s">
        <v>189</v>
      </c>
      <c r="D69" s="1050">
        <v>39783</v>
      </c>
      <c r="E69" s="1054" t="s">
        <v>90</v>
      </c>
      <c r="F69" s="720" t="s">
        <v>2065</v>
      </c>
      <c r="G69" s="1060"/>
    </row>
    <row r="70" spans="1:7" ht="18.75">
      <c r="A70" s="18">
        <v>60</v>
      </c>
      <c r="B70" s="972" t="s">
        <v>2119</v>
      </c>
      <c r="C70" s="972" t="s">
        <v>2120</v>
      </c>
      <c r="D70" s="1050">
        <v>39580</v>
      </c>
      <c r="E70" s="1054" t="s">
        <v>90</v>
      </c>
      <c r="F70" s="720" t="s">
        <v>2164</v>
      </c>
      <c r="G70" s="1060"/>
    </row>
    <row r="71" spans="1:7" ht="18.75">
      <c r="A71" s="18">
        <v>61</v>
      </c>
      <c r="B71" s="972" t="s">
        <v>2121</v>
      </c>
      <c r="C71" s="972" t="s">
        <v>2122</v>
      </c>
      <c r="D71" s="1050">
        <v>39635</v>
      </c>
      <c r="E71" s="1051" t="s">
        <v>90</v>
      </c>
      <c r="F71" s="720" t="s">
        <v>2166</v>
      </c>
      <c r="G71" s="1060"/>
    </row>
    <row r="72" spans="1:7" ht="18.75">
      <c r="A72" s="18">
        <v>62</v>
      </c>
      <c r="B72" s="972" t="s">
        <v>1789</v>
      </c>
      <c r="C72" s="972" t="s">
        <v>2123</v>
      </c>
      <c r="D72" s="1050">
        <v>39624</v>
      </c>
      <c r="E72" s="595" t="s">
        <v>90</v>
      </c>
      <c r="F72" s="720" t="s">
        <v>176</v>
      </c>
      <c r="G72" s="1060"/>
    </row>
    <row r="73" spans="1:7" ht="18.75">
      <c r="A73" s="18">
        <v>63</v>
      </c>
      <c r="B73" s="972" t="s">
        <v>1593</v>
      </c>
      <c r="C73" s="972" t="s">
        <v>2124</v>
      </c>
      <c r="D73" s="1050">
        <v>39601</v>
      </c>
      <c r="E73" s="1051" t="s">
        <v>90</v>
      </c>
      <c r="F73" s="720" t="s">
        <v>2167</v>
      </c>
      <c r="G73" s="1060"/>
    </row>
    <row r="74" spans="1:7" ht="18.75">
      <c r="A74" s="18">
        <v>64</v>
      </c>
      <c r="B74" s="972" t="s">
        <v>530</v>
      </c>
      <c r="C74" s="972" t="s">
        <v>2125</v>
      </c>
      <c r="D74" s="1050">
        <v>39461</v>
      </c>
      <c r="E74" s="592" t="s">
        <v>90</v>
      </c>
      <c r="F74" s="720" t="s">
        <v>99</v>
      </c>
      <c r="G74" s="1060"/>
    </row>
    <row r="75" spans="1:7" ht="18.75">
      <c r="A75" s="18">
        <v>65</v>
      </c>
      <c r="B75" s="972" t="s">
        <v>2131</v>
      </c>
      <c r="C75" s="972" t="s">
        <v>2132</v>
      </c>
      <c r="D75" s="1050">
        <v>39722</v>
      </c>
      <c r="E75" s="419" t="s">
        <v>90</v>
      </c>
      <c r="F75" s="720" t="s">
        <v>1888</v>
      </c>
      <c r="G75" s="1060"/>
    </row>
    <row r="76" spans="1:7" ht="18.75">
      <c r="A76" s="18">
        <v>66</v>
      </c>
      <c r="B76" s="972" t="s">
        <v>2133</v>
      </c>
      <c r="C76" s="972" t="s">
        <v>1636</v>
      </c>
      <c r="D76" s="1050">
        <v>39782</v>
      </c>
      <c r="E76" s="1038" t="s">
        <v>90</v>
      </c>
      <c r="F76" s="720" t="s">
        <v>2169</v>
      </c>
      <c r="G76" s="1060"/>
    </row>
    <row r="77" spans="1:7" ht="18.75">
      <c r="A77" s="18">
        <v>67</v>
      </c>
      <c r="B77" s="972" t="s">
        <v>1647</v>
      </c>
      <c r="C77" s="972" t="s">
        <v>2134</v>
      </c>
      <c r="D77" s="1050">
        <v>39730</v>
      </c>
      <c r="E77" s="595" t="s">
        <v>1878</v>
      </c>
      <c r="F77" s="720" t="s">
        <v>2172</v>
      </c>
      <c r="G77" s="1060"/>
    </row>
    <row r="78" spans="1:7" ht="18.75">
      <c r="A78" s="18">
        <v>68</v>
      </c>
      <c r="B78" s="972" t="s">
        <v>2020</v>
      </c>
      <c r="C78" s="972" t="s">
        <v>2021</v>
      </c>
      <c r="D78" s="1050">
        <v>39748</v>
      </c>
      <c r="E78" s="266" t="s">
        <v>104</v>
      </c>
      <c r="F78" s="720" t="s">
        <v>2068</v>
      </c>
      <c r="G78" s="1060"/>
    </row>
    <row r="79" spans="1:7" ht="32.25">
      <c r="A79" s="18">
        <v>69</v>
      </c>
      <c r="B79" s="972" t="s">
        <v>2080</v>
      </c>
      <c r="C79" s="972" t="s">
        <v>2081</v>
      </c>
      <c r="D79" s="1050">
        <v>39588</v>
      </c>
      <c r="E79" s="266" t="s">
        <v>90</v>
      </c>
      <c r="F79" s="720" t="s">
        <v>2085</v>
      </c>
      <c r="G79" s="1060"/>
    </row>
    <row r="80" spans="1:7" ht="32.25">
      <c r="A80" s="18">
        <v>70</v>
      </c>
      <c r="B80" s="972" t="s">
        <v>2129</v>
      </c>
      <c r="C80" s="972" t="s">
        <v>2130</v>
      </c>
      <c r="D80" s="1050">
        <v>39647</v>
      </c>
      <c r="E80" s="592" t="s">
        <v>90</v>
      </c>
      <c r="F80" s="1634" t="s">
        <v>1193</v>
      </c>
      <c r="G80" s="1635"/>
    </row>
    <row r="81" spans="1:7" ht="18.75">
      <c r="A81" s="18">
        <v>71</v>
      </c>
      <c r="B81" s="972" t="s">
        <v>1332</v>
      </c>
      <c r="C81" s="972" t="s">
        <v>2206</v>
      </c>
      <c r="D81" s="1050">
        <v>39711</v>
      </c>
      <c r="E81" s="266" t="s">
        <v>90</v>
      </c>
      <c r="F81" s="720" t="s">
        <v>2210</v>
      </c>
      <c r="G81" s="1060"/>
    </row>
    <row r="82" spans="1:7" ht="32.25">
      <c r="A82" s="18">
        <v>72</v>
      </c>
      <c r="B82" s="972" t="s">
        <v>2126</v>
      </c>
      <c r="C82" s="972" t="s">
        <v>2127</v>
      </c>
      <c r="D82" s="1050">
        <v>39713</v>
      </c>
      <c r="E82" s="1054" t="s">
        <v>90</v>
      </c>
      <c r="F82" s="720" t="s">
        <v>2176</v>
      </c>
      <c r="G82" s="1060"/>
    </row>
    <row r="83" spans="1:7" ht="18.75">
      <c r="A83" s="18">
        <v>73</v>
      </c>
      <c r="B83" s="972" t="s">
        <v>1614</v>
      </c>
      <c r="C83" s="972" t="s">
        <v>1370</v>
      </c>
      <c r="D83" s="1050">
        <v>39691</v>
      </c>
      <c r="E83" s="1038" t="s">
        <v>90</v>
      </c>
      <c r="F83" s="720" t="s">
        <v>2165</v>
      </c>
      <c r="G83" s="1060"/>
    </row>
    <row r="84" spans="1:7" ht="32.25">
      <c r="A84" s="18">
        <v>74</v>
      </c>
      <c r="B84" s="972" t="s">
        <v>949</v>
      </c>
      <c r="C84" s="972" t="s">
        <v>2035</v>
      </c>
      <c r="D84" s="1050">
        <v>39727</v>
      </c>
      <c r="E84" s="266" t="s">
        <v>90</v>
      </c>
      <c r="F84" s="720" t="s">
        <v>2075</v>
      </c>
      <c r="G84" s="1060"/>
    </row>
    <row r="85" spans="1:7" ht="18.75">
      <c r="A85" s="18">
        <v>75</v>
      </c>
      <c r="B85" s="972" t="s">
        <v>1339</v>
      </c>
      <c r="C85" s="972" t="s">
        <v>2128</v>
      </c>
      <c r="D85" s="1050">
        <v>39764</v>
      </c>
      <c r="E85" s="419" t="s">
        <v>90</v>
      </c>
      <c r="F85" s="720" t="s">
        <v>2193</v>
      </c>
      <c r="G85" s="1060"/>
    </row>
    <row r="86" spans="1:7" ht="18.75">
      <c r="A86" s="18">
        <v>76</v>
      </c>
      <c r="B86" s="972" t="s">
        <v>919</v>
      </c>
      <c r="C86" s="972" t="s">
        <v>2087</v>
      </c>
      <c r="D86" s="1050">
        <v>39709</v>
      </c>
      <c r="E86" s="266" t="s">
        <v>90</v>
      </c>
      <c r="F86" s="720" t="s">
        <v>1463</v>
      </c>
      <c r="G86" s="1060"/>
    </row>
    <row r="87" spans="1:7" ht="18.75">
      <c r="A87" s="18">
        <v>77</v>
      </c>
      <c r="B87" s="972" t="s">
        <v>1678</v>
      </c>
      <c r="C87" s="972" t="s">
        <v>132</v>
      </c>
      <c r="D87" s="1050">
        <v>39593</v>
      </c>
      <c r="E87" s="592" t="s">
        <v>90</v>
      </c>
      <c r="F87" s="720" t="s">
        <v>505</v>
      </c>
      <c r="G87" s="1060"/>
    </row>
    <row r="88" spans="1:7" ht="18.75">
      <c r="A88" s="18">
        <v>78</v>
      </c>
      <c r="B88" s="972" t="s">
        <v>2135</v>
      </c>
      <c r="C88" s="972" t="s">
        <v>2136</v>
      </c>
      <c r="D88" s="1050">
        <v>39783</v>
      </c>
      <c r="E88" s="266" t="s">
        <v>90</v>
      </c>
      <c r="F88" s="720" t="s">
        <v>1888</v>
      </c>
      <c r="G88" s="1060"/>
    </row>
    <row r="89" spans="1:7" ht="18.75">
      <c r="A89" s="18">
        <v>79</v>
      </c>
      <c r="B89" s="972" t="s">
        <v>2137</v>
      </c>
      <c r="C89" s="972" t="s">
        <v>2138</v>
      </c>
      <c r="D89" s="1050">
        <v>39543</v>
      </c>
      <c r="E89" s="266" t="s">
        <v>90</v>
      </c>
      <c r="F89" s="720" t="s">
        <v>2181</v>
      </c>
      <c r="G89" s="1060"/>
    </row>
    <row r="90" spans="1:7" ht="32.25">
      <c r="A90" s="18">
        <v>80</v>
      </c>
      <c r="B90" s="972" t="s">
        <v>948</v>
      </c>
      <c r="C90" s="972" t="s">
        <v>2103</v>
      </c>
      <c r="D90" s="1050">
        <v>39538</v>
      </c>
      <c r="E90" s="1051" t="s">
        <v>90</v>
      </c>
      <c r="F90" s="720" t="s">
        <v>1463</v>
      </c>
      <c r="G90" s="1060"/>
    </row>
    <row r="91" spans="1:7" ht="18.75">
      <c r="A91" s="18">
        <v>81</v>
      </c>
      <c r="B91" s="972" t="s">
        <v>1998</v>
      </c>
      <c r="C91" s="972" t="s">
        <v>1073</v>
      </c>
      <c r="D91" s="1050">
        <v>39804</v>
      </c>
      <c r="E91" s="1053" t="s">
        <v>90</v>
      </c>
      <c r="F91" s="720" t="s">
        <v>2209</v>
      </c>
      <c r="G91" s="1060"/>
    </row>
    <row r="92" spans="1:7" ht="32.25">
      <c r="A92" s="18">
        <v>82</v>
      </c>
      <c r="B92" s="972" t="s">
        <v>892</v>
      </c>
      <c r="C92" s="972" t="s">
        <v>2139</v>
      </c>
      <c r="D92" s="1050">
        <v>39536</v>
      </c>
      <c r="E92" s="266" t="s">
        <v>90</v>
      </c>
      <c r="F92" s="720" t="s">
        <v>2182</v>
      </c>
      <c r="G92" s="1060"/>
    </row>
    <row r="93" spans="1:7" ht="18.75">
      <c r="A93" s="18">
        <v>83</v>
      </c>
      <c r="B93" s="972" t="s">
        <v>2142</v>
      </c>
      <c r="C93" s="972" t="s">
        <v>707</v>
      </c>
      <c r="D93" s="1050">
        <v>39639</v>
      </c>
      <c r="E93" s="266" t="s">
        <v>90</v>
      </c>
      <c r="F93" s="1637" t="s">
        <v>1193</v>
      </c>
      <c r="G93" s="1638"/>
    </row>
    <row r="94" spans="1:7" ht="18.75">
      <c r="A94" s="18">
        <v>84</v>
      </c>
      <c r="B94" s="972" t="s">
        <v>2118</v>
      </c>
      <c r="C94" s="972" t="s">
        <v>707</v>
      </c>
      <c r="D94" s="1050">
        <v>39689</v>
      </c>
      <c r="E94" s="1051" t="s">
        <v>90</v>
      </c>
      <c r="F94" s="720" t="s">
        <v>505</v>
      </c>
      <c r="G94" s="1060"/>
    </row>
    <row r="95" spans="1:7" ht="32.25">
      <c r="A95" s="18">
        <v>85</v>
      </c>
      <c r="B95" s="972" t="s">
        <v>2140</v>
      </c>
      <c r="C95" s="972" t="s">
        <v>2141</v>
      </c>
      <c r="D95" s="1050">
        <v>39628</v>
      </c>
      <c r="E95" s="1051" t="s">
        <v>104</v>
      </c>
      <c r="F95" s="720" t="s">
        <v>2183</v>
      </c>
      <c r="G95" s="1060"/>
    </row>
    <row r="96" spans="1:7" ht="18.75">
      <c r="A96" s="18">
        <v>86</v>
      </c>
      <c r="B96" s="972" t="s">
        <v>2008</v>
      </c>
      <c r="C96" s="972" t="s">
        <v>2143</v>
      </c>
      <c r="D96" s="1050">
        <v>39687</v>
      </c>
      <c r="E96" s="216" t="s">
        <v>90</v>
      </c>
      <c r="F96" s="720" t="s">
        <v>2185</v>
      </c>
      <c r="G96" s="1060"/>
    </row>
    <row r="97" spans="1:7" ht="18.75">
      <c r="A97" s="18">
        <v>87</v>
      </c>
      <c r="B97" s="972" t="s">
        <v>2144</v>
      </c>
      <c r="C97" s="972" t="s">
        <v>2145</v>
      </c>
      <c r="D97" s="1050">
        <v>39599</v>
      </c>
      <c r="E97" s="266" t="s">
        <v>90</v>
      </c>
      <c r="F97" s="720" t="s">
        <v>2201</v>
      </c>
      <c r="G97" s="1060"/>
    </row>
    <row r="98" spans="1:7" ht="18.75">
      <c r="A98" s="18">
        <v>88</v>
      </c>
      <c r="B98" s="972" t="s">
        <v>2054</v>
      </c>
      <c r="C98" s="972" t="s">
        <v>2146</v>
      </c>
      <c r="D98" s="1050">
        <v>39733</v>
      </c>
      <c r="E98" s="267" t="s">
        <v>104</v>
      </c>
      <c r="F98" s="720" t="s">
        <v>2186</v>
      </c>
      <c r="G98" s="1060"/>
    </row>
    <row r="99" spans="1:7" ht="18.75">
      <c r="A99" s="18">
        <v>89</v>
      </c>
      <c r="B99" s="972" t="s">
        <v>1527</v>
      </c>
      <c r="C99" s="972" t="s">
        <v>2149</v>
      </c>
      <c r="D99" s="1050">
        <v>39768</v>
      </c>
      <c r="E99" s="266" t="s">
        <v>90</v>
      </c>
      <c r="F99" s="1634" t="s">
        <v>800</v>
      </c>
      <c r="G99" s="1635"/>
    </row>
    <row r="100" spans="1:7" ht="18.75">
      <c r="A100" s="18">
        <v>90</v>
      </c>
      <c r="B100" s="972" t="s">
        <v>867</v>
      </c>
      <c r="C100" s="972" t="s">
        <v>146</v>
      </c>
      <c r="D100" s="1050">
        <v>39813</v>
      </c>
      <c r="E100" s="266" t="s">
        <v>90</v>
      </c>
      <c r="F100" s="720" t="s">
        <v>510</v>
      </c>
      <c r="G100" s="1060"/>
    </row>
    <row r="101" spans="1:7" ht="18.75">
      <c r="A101" s="18">
        <v>91</v>
      </c>
      <c r="B101" s="972" t="s">
        <v>2147</v>
      </c>
      <c r="C101" s="972" t="s">
        <v>2148</v>
      </c>
      <c r="D101" s="1050">
        <v>39681</v>
      </c>
      <c r="E101" s="419" t="s">
        <v>90</v>
      </c>
      <c r="F101" s="720" t="s">
        <v>2177</v>
      </c>
      <c r="G101" s="1060"/>
    </row>
    <row r="102" spans="1:7" ht="18.75">
      <c r="A102" s="18">
        <v>92</v>
      </c>
      <c r="B102" s="972" t="s">
        <v>1336</v>
      </c>
      <c r="C102" s="972" t="s">
        <v>2117</v>
      </c>
      <c r="D102" s="1050">
        <v>39760</v>
      </c>
      <c r="E102" s="266" t="s">
        <v>90</v>
      </c>
      <c r="F102" s="720" t="s">
        <v>505</v>
      </c>
      <c r="G102" s="1060"/>
    </row>
    <row r="103" spans="1:7" ht="18.75">
      <c r="A103" s="18">
        <v>93</v>
      </c>
      <c r="B103" s="972" t="s">
        <v>1699</v>
      </c>
      <c r="C103" s="972" t="s">
        <v>2150</v>
      </c>
      <c r="D103" s="1050">
        <v>39602</v>
      </c>
      <c r="E103" s="595" t="s">
        <v>90</v>
      </c>
      <c r="F103" s="720" t="s">
        <v>129</v>
      </c>
      <c r="G103" s="1060"/>
    </row>
    <row r="104" spans="1:7" ht="18.75">
      <c r="A104" s="18">
        <v>94</v>
      </c>
      <c r="B104" s="972" t="s">
        <v>2051</v>
      </c>
      <c r="C104" s="972" t="s">
        <v>2052</v>
      </c>
      <c r="D104" s="1050">
        <v>39798</v>
      </c>
      <c r="E104" s="1053" t="s">
        <v>104</v>
      </c>
      <c r="F104" s="720" t="s">
        <v>799</v>
      </c>
      <c r="G104" s="1060"/>
    </row>
    <row r="105" spans="1:7" ht="18.75">
      <c r="A105" s="18">
        <v>95</v>
      </c>
      <c r="B105" s="972" t="s">
        <v>1610</v>
      </c>
      <c r="C105" s="972" t="s">
        <v>1695</v>
      </c>
      <c r="D105" s="1050">
        <v>39517</v>
      </c>
      <c r="E105" s="267" t="s">
        <v>90</v>
      </c>
      <c r="F105" s="720" t="s">
        <v>2187</v>
      </c>
      <c r="G105" s="1060"/>
    </row>
    <row r="106" spans="1:7" ht="32.25">
      <c r="A106" s="18">
        <v>96</v>
      </c>
      <c r="B106" s="972" t="s">
        <v>1955</v>
      </c>
      <c r="C106" s="972" t="s">
        <v>2151</v>
      </c>
      <c r="D106" s="1050">
        <v>39471</v>
      </c>
      <c r="E106" s="267" t="s">
        <v>90</v>
      </c>
      <c r="F106" s="720" t="s">
        <v>2188</v>
      </c>
      <c r="G106" s="1060"/>
    </row>
    <row r="107" spans="1:7" ht="18.75">
      <c r="A107" s="18">
        <v>97</v>
      </c>
      <c r="B107" s="972" t="s">
        <v>2015</v>
      </c>
      <c r="C107" s="972" t="s">
        <v>2117</v>
      </c>
      <c r="D107" s="1050">
        <v>39776</v>
      </c>
      <c r="E107" s="267" t="s">
        <v>90</v>
      </c>
      <c r="F107" s="720" t="s">
        <v>2189</v>
      </c>
      <c r="G107" s="1060"/>
    </row>
    <row r="108" spans="1:7" ht="18.75">
      <c r="A108" s="18">
        <v>98</v>
      </c>
      <c r="B108" s="972" t="s">
        <v>516</v>
      </c>
      <c r="C108" s="972" t="s">
        <v>1333</v>
      </c>
      <c r="D108" s="1050">
        <v>39677</v>
      </c>
      <c r="E108" s="1051" t="s">
        <v>90</v>
      </c>
      <c r="F108" s="720" t="s">
        <v>2190</v>
      </c>
      <c r="G108" s="1060"/>
    </row>
    <row r="109" spans="1:7" ht="18.75">
      <c r="A109" s="18">
        <v>99</v>
      </c>
      <c r="B109" s="972" t="s">
        <v>2005</v>
      </c>
      <c r="C109" s="972" t="s">
        <v>2117</v>
      </c>
      <c r="D109" s="1050">
        <v>39620</v>
      </c>
      <c r="E109" s="1054" t="s">
        <v>90</v>
      </c>
      <c r="F109" s="720" t="s">
        <v>505</v>
      </c>
      <c r="G109" s="1060"/>
    </row>
    <row r="110" spans="1:7" ht="32.25">
      <c r="A110" s="18">
        <v>100</v>
      </c>
      <c r="B110" s="972" t="s">
        <v>949</v>
      </c>
      <c r="C110" s="972" t="s">
        <v>2155</v>
      </c>
      <c r="D110" s="1050">
        <v>39790</v>
      </c>
      <c r="E110" s="1054" t="s">
        <v>90</v>
      </c>
      <c r="F110" s="720" t="s">
        <v>2191</v>
      </c>
      <c r="G110" s="1060"/>
    </row>
    <row r="111" spans="1:7" ht="18.75">
      <c r="A111" s="18">
        <v>101</v>
      </c>
      <c r="B111" s="972" t="s">
        <v>2221</v>
      </c>
      <c r="C111" s="972" t="s">
        <v>134</v>
      </c>
      <c r="D111" s="1050">
        <v>39725</v>
      </c>
      <c r="E111" s="267" t="s">
        <v>2222</v>
      </c>
      <c r="F111" s="720" t="s">
        <v>2224</v>
      </c>
      <c r="G111" s="1060"/>
    </row>
  </sheetData>
  <mergeCells count="14">
    <mergeCell ref="F93:G93"/>
    <mergeCell ref="F99:G99"/>
    <mergeCell ref="F80:G80"/>
    <mergeCell ref="F59:G59"/>
    <mergeCell ref="F29:G29"/>
    <mergeCell ref="F25:G25"/>
    <mergeCell ref="F14:G14"/>
    <mergeCell ref="F15:G15"/>
    <mergeCell ref="A1:F1"/>
    <mergeCell ref="A2:F2"/>
    <mergeCell ref="F11:G11"/>
    <mergeCell ref="F12:G12"/>
    <mergeCell ref="F13:G13"/>
    <mergeCell ref="B6:F6"/>
  </mergeCells>
  <conditionalFormatting sqref="D17 E16 E18:E49 E51:E73 B11:C73 B74:E74 D75 B76:D76 E75:E76 E78:E79 B75:C79 B80:E80 E81:E85 B81:C85 B86:E87 B88:D91 B92:E92 B93:D95 B96:C96 B97:D98 B99:E99 B100:D106 E107:E108 B107:C109">
    <cfRule type="expression" dxfId="20" priority="35" stopIfTrue="1">
      <formula>#REF!=""</formula>
    </cfRule>
  </conditionalFormatting>
  <conditionalFormatting sqref="E11:E12 D13:E13 E14 D15:E15 E16:E17 D18:E18 E19 D20:E27 E28 D30:E30 E31:E33 E35:E36 E38 D40:E40 E41 D42:E43 D49:D50 D52 E46:E52 D53:E58 E59 D60:E64 D66:E68 E69 D70:E71 D73:E73 D76 E74:E76 D77:E78 E79 D80:E80 E81:E82 D83:E83 D85:E87 B88:E88 D89:E90 D96 E94:E98 E101 B102:E111 B29:F29 B65:F65 B91:F93 B99:F100 F102:F109 F111">
    <cfRule type="containsText" dxfId="19" priority="23" stopIfTrue="1" operator="containsText" text="خارجية">
      <formula>NOT(ISERROR(SEARCH("خارجية",B11)))</formula>
    </cfRule>
    <cfRule type="containsText" dxfId="18" priority="24" stopIfTrue="1" operator="containsText" text="ن داخلية">
      <formula>NOT(ISERROR(SEARCH("ن داخلية",B11)))</formula>
    </cfRule>
    <cfRule type="containsText" dxfId="17" priority="25" stopIfTrue="1" operator="containsText" text="داخلية">
      <formula>NOT(ISERROR(SEARCH("داخلية",B11)))</formula>
    </cfRule>
    <cfRule type="containsText" dxfId="16" priority="26" stopIfTrue="1" operator="containsText" text="ن داخلية">
      <formula>NOT(ISERROR(SEARCH("ن داخلية",B11)))</formula>
    </cfRule>
    <cfRule type="containsText" dxfId="15" priority="27" stopIfTrue="1" operator="containsText" text="داخلية">
      <formula>NOT(ISERROR(SEARCH("داخلية",B11)))</formula>
    </cfRule>
    <cfRule type="cellIs" dxfId="14" priority="28" stopIfTrue="1" operator="equal">
      <formula>"ن داخلي"</formula>
    </cfRule>
    <cfRule type="cellIs" dxfId="13" priority="29" stopIfTrue="1" operator="equal">
      <formula>"ن داخلية"</formula>
    </cfRule>
    <cfRule type="cellIs" dxfId="12" priority="30" stopIfTrue="1" operator="equal">
      <formula>#REF!</formula>
    </cfRule>
    <cfRule type="cellIs" dxfId="11" priority="31" stopIfTrue="1" operator="equal">
      <formula>#REF!</formula>
    </cfRule>
    <cfRule type="cellIs" dxfId="10" priority="32" stopIfTrue="1" operator="equal">
      <formula>#REF!</formula>
    </cfRule>
    <cfRule type="cellIs" dxfId="9" priority="33" stopIfTrue="1" operator="equal">
      <formula>#REF!</formula>
    </cfRule>
    <cfRule type="cellIs" dxfId="8" priority="34" stopIfTrue="1" operator="equal">
      <formula>"داخلية"</formula>
    </cfRule>
  </conditionalFormatting>
  <conditionalFormatting sqref="E11:E12 B13:E13 D14:E14 B15:E111 F96:F111 F87:F94 F51:F73 F76 F79:F83 F16:F49">
    <cfRule type="containsText" dxfId="7" priority="21" stopIfTrue="1" operator="containsText" text="خارجية">
      <formula>NOT(ISERROR(SEARCH("خارجية",B11)))</formula>
    </cfRule>
    <cfRule type="containsText" dxfId="6" priority="22" stopIfTrue="1" operator="containsText" text="خارجي">
      <formula>NOT(ISERROR(SEARCH("خارجي",B11)))</formula>
    </cfRule>
  </conditionalFormatting>
  <conditionalFormatting sqref="D11 D13:D15 B16:E17 D18:D27 D29:D31 D34:D37 D38:E40 D41:D46 D48:D50 D47:E49 D51:E53 E55 D54:D58 D60:D68 D73:E73 D70:D71 D75:E75 D74:D76 D77:E77 E81 D78:D83 D84:E84 D85:D87 D88:E90 D91:D92 D93:E93 E94 D94:D97 D98:E98 D99 D100:E100 D101:D102 D103:E103 D104:D105 D106:E108 D109 D110:E111">
    <cfRule type="cellIs" dxfId="5" priority="20" stopIfTrue="1" operator="greaterThan">
      <formula>"9.999"</formula>
    </cfRule>
  </conditionalFormatting>
  <conditionalFormatting sqref="B11:C11 E11 B12:E111">
    <cfRule type="expression" dxfId="4" priority="19" stopIfTrue="1">
      <formula>#REF!=""</formula>
    </cfRule>
  </conditionalFormatting>
  <conditionalFormatting sqref="E13 E16:E17 E19 E25:E33 E47:E50 E54 E57 E59 E77 E85 E87 E96 E110">
    <cfRule type="expression" dxfId="3" priority="18" stopIfTrue="1">
      <formula>IF(ROW(#REF!)&lt;=#REF!,"",1)=1</formula>
    </cfRule>
  </conditionalFormatting>
  <conditionalFormatting sqref="E13 E18:E19 E21:E22 E28:E35 E40 E47 E49:E54 E57 E60:E63 E68 E75 E81:E91 E105 E108">
    <cfRule type="expression" dxfId="2" priority="17" stopIfTrue="1">
      <formula>IF(ROW(#REF!)&lt;=#REF!,"",1)=1</formula>
    </cfRule>
  </conditionalFormatting>
  <conditionalFormatting sqref="E13 E16:E23 E25:E38 E40 E42:E43 E46:E55 E57:E63 B65:C65 E66 E68 E71 E74:E75 E77:E78 E80:E92 E96 E99 E102 E105:E110">
    <cfRule type="expression" dxfId="1" priority="16" stopIfTrue="1">
      <formula>IF(ROW(#REF!)&lt;=#REF!,"",1)=1</formula>
    </cfRule>
  </conditionalFormatting>
  <conditionalFormatting sqref="E80:E81 E85:E88">
    <cfRule type="expression" dxfId="0" priority="15" stopIfTrue="1">
      <formula>IF(ROW(#REF!)&lt;=#REF!,"",1)=1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15</vt:i4>
      </vt:variant>
      <vt:variant>
        <vt:lpstr>Plages nommées</vt:lpstr>
      </vt:variant>
      <vt:variant>
        <vt:i4>6</vt:i4>
      </vt:variant>
    </vt:vector>
  </HeadingPairs>
  <TitlesOfParts>
    <vt:vector size="21" baseType="lpstr">
      <vt:lpstr>المواطبة</vt:lpstr>
      <vt:lpstr>etat</vt:lpstr>
      <vt:lpstr>اس</vt:lpstr>
      <vt:lpstr>الاحـــد</vt:lpstr>
      <vt:lpstr>الاثنين</vt:lpstr>
      <vt:lpstr>الثلاثاء</vt:lpstr>
      <vt:lpstr>الاربعاء</vt:lpstr>
      <vt:lpstr>الخميس</vt:lpstr>
      <vt:lpstr>Feuil1</vt:lpstr>
      <vt:lpstr>Feuil3</vt:lpstr>
      <vt:lpstr>الرجوع</vt:lpstr>
      <vt:lpstr>الشطب</vt:lpstr>
      <vt:lpstr>نعداد</vt:lpstr>
      <vt:lpstr>النقرير</vt:lpstr>
      <vt:lpstr>Feuil2</vt:lpstr>
      <vt:lpstr>a</vt:lpstr>
      <vt:lpstr>P</vt:lpstr>
      <vt:lpstr>Feuil1!Zone_d_impression</vt:lpstr>
      <vt:lpstr>الاثنين!Zone_d_impression</vt:lpstr>
      <vt:lpstr>الاحـــد!Zone_d_impression</vt:lpstr>
      <vt:lpstr>المواطبة!Zone_d_impression</vt:lpstr>
    </vt:vector>
  </TitlesOfParts>
  <Company>Sweet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SWEET</dc:creator>
  <cp:lastModifiedBy>smk</cp:lastModifiedBy>
  <cp:lastPrinted>2025-09-30T09:28:36Z</cp:lastPrinted>
  <dcterms:created xsi:type="dcterms:W3CDTF">2013-11-15T09:02:12Z</dcterms:created>
  <dcterms:modified xsi:type="dcterms:W3CDTF">2025-10-14T21:37:01Z</dcterms:modified>
</cp:coreProperties>
</file>